
<file path=[Content_Types].xml><?xml version="1.0" encoding="utf-8"?>
<Types xmlns="http://schemas.openxmlformats.org/package/2006/content-types">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racTracker Data Centers" sheetId="1" r:id="rId5"/>
    <sheet state="hidden" name="DB_Output_V2" sheetId="2" r:id="rId6"/>
    <sheet state="visible" name="README" sheetId="3" r:id="rId7"/>
  </sheets>
  <definedNames/>
  <calcPr/>
</workbook>
</file>

<file path=xl/sharedStrings.xml><?xml version="1.0" encoding="utf-8"?>
<sst xmlns="http://schemas.openxmlformats.org/spreadsheetml/2006/main" count="71369" uniqueCount="13711">
  <si>
    <t>facility_name</t>
  </si>
  <si>
    <t>address</t>
  </si>
  <si>
    <t>city</t>
  </si>
  <si>
    <t>state</t>
  </si>
  <si>
    <t>zip</t>
  </si>
  <si>
    <t>county</t>
  </si>
  <si>
    <t>lat</t>
  </si>
  <si>
    <t>long</t>
  </si>
  <si>
    <t>status</t>
  </si>
  <si>
    <t>location_confidence</t>
  </si>
  <si>
    <t>purpose</t>
  </si>
  <si>
    <t>operator_name</t>
  </si>
  <si>
    <t>tenant</t>
  </si>
  <si>
    <t>mw</t>
  </si>
  <si>
    <t>sizerank</t>
  </si>
  <si>
    <t>power_source</t>
  </si>
  <si>
    <t>dedicated_power_plant</t>
  </si>
  <si>
    <t>number_of_generators</t>
  </si>
  <si>
    <t>number_of_buildings</t>
  </si>
  <si>
    <t>cooling_source</t>
  </si>
  <si>
    <t>cooling_type</t>
  </si>
  <si>
    <t>facility_size_sqft</t>
  </si>
  <si>
    <t>property_size_acres</t>
  </si>
  <si>
    <t>project_cost</t>
  </si>
  <si>
    <t>expected_date_online</t>
  </si>
  <si>
    <t>community_pushback</t>
  </si>
  <si>
    <t>advocacy_information</t>
  </si>
  <si>
    <t>resistance_status</t>
  </si>
  <si>
    <t>nda</t>
  </si>
  <si>
    <t>community_group_website_1</t>
  </si>
  <si>
    <t>community_group_website_2</t>
  </si>
  <si>
    <t>petition_url</t>
  </si>
  <si>
    <t>other_info</t>
  </si>
  <si>
    <t>information_source</t>
  </si>
  <si>
    <t>info_source_1</t>
  </si>
  <si>
    <t>info_source_2</t>
  </si>
  <si>
    <t>info_source_3</t>
  </si>
  <si>
    <t>info_source_4</t>
  </si>
  <si>
    <t>info_source_5</t>
  </si>
  <si>
    <t>info_source_6</t>
  </si>
  <si>
    <t>info_source_7</t>
  </si>
  <si>
    <t>info_source_8</t>
  </si>
  <si>
    <t>date_created</t>
  </si>
  <si>
    <t>date_updated</t>
  </si>
  <si>
    <t>Global Stack Data Center</t>
  </si>
  <si>
    <t/>
  </si>
  <si>
    <t>Napa</t>
  </si>
  <si>
    <t>38.585007</t>
  </si>
  <si>
    <t>-122.58886</t>
  </si>
  <si>
    <t>Proposed</t>
  </si>
  <si>
    <t>Medium</t>
  </si>
  <si>
    <t>Global Stack/ Edge</t>
  </si>
  <si>
    <t>10</t>
  </si>
  <si>
    <t>Small (0-10 MW)</t>
  </si>
  <si>
    <t>70</t>
  </si>
  <si>
    <t>Yes</t>
  </si>
  <si>
    <t>Emerging Concern</t>
  </si>
  <si>
    <t>Media Monitoring</t>
  </si>
  <si>
    <t>https://www.datacenterdynamics.com/en/news/developer-of-edge-data-centers-helipads-and-parking-garages-proposes-project-on-former-fairground-in-calistoga-california/</t>
  </si>
  <si>
    <t>https://calistoga.civicweb.net/document/116181/Global%20Stack%20Opportunity%20Overview.pdf?handle=92DF9DCF83B442A68B3263107EF2411A</t>
  </si>
  <si>
    <t>06/29/2026</t>
  </si>
  <si>
    <t>Stak Energy Data Center</t>
  </si>
  <si>
    <t>Dalton Hwy, 26 miles south of Deadhorse</t>
  </si>
  <si>
    <t>North Slope Borough</t>
  </si>
  <si>
    <t>AK</t>
  </si>
  <si>
    <t>North Slope</t>
  </si>
  <si>
    <t>69.90071</t>
  </si>
  <si>
    <t>-148.81477</t>
  </si>
  <si>
    <t>Stak</t>
  </si>
  <si>
    <t>3000</t>
  </si>
  <si>
    <t>Mega campus (&gt;1,000 MW)</t>
  </si>
  <si>
    <t>Natural gas</t>
  </si>
  <si>
    <t>715</t>
  </si>
  <si>
    <t>2028</t>
  </si>
  <si>
    <t>Unknown</t>
  </si>
  <si>
    <t>https://www.datacenterdynamics.com/en/news/stak-energy-proposes-3gw-natural-gas-powered-data-center-in-alaskas-north-slope/</t>
  </si>
  <si>
    <t>https://www.cbc.ca/news/canada/north/yukon-alaska-data-centre-indigenous-environment-9.7239464</t>
  </si>
  <si>
    <t>05/20/2026</t>
  </si>
  <si>
    <t>06/24/2026</t>
  </si>
  <si>
    <t>Prudhoe Bay Data Center</t>
  </si>
  <si>
    <t>Dalton Hwy</t>
  </si>
  <si>
    <t>Prudhoe Bay</t>
  </si>
  <si>
    <t>99734</t>
  </si>
  <si>
    <t>70.18478</t>
  </si>
  <si>
    <t>-148.44</t>
  </si>
  <si>
    <t>Operating</t>
  </si>
  <si>
    <t>Far North Digital, LLC</t>
  </si>
  <si>
    <t>120</t>
  </si>
  <si>
    <t>Hyperscale (100-999 MW)</t>
  </si>
  <si>
    <t>Air</t>
  </si>
  <si>
    <t>100</t>
  </si>
  <si>
    <t>https://www.fn-digital.com/data-center</t>
  </si>
  <si>
    <t>Grant County Data Center</t>
  </si>
  <si>
    <t>Just outside the city limits of Sheridan, Arkansas, in rural Grant County.</t>
  </si>
  <si>
    <t>Sheridan</t>
  </si>
  <si>
    <t>72150</t>
  </si>
  <si>
    <t>Grant</t>
  </si>
  <si>
    <t>34.3065</t>
  </si>
  <si>
    <t>-92.4045</t>
  </si>
  <si>
    <t>Low</t>
  </si>
  <si>
    <t>AI Data center and solar fam</t>
  </si>
  <si>
    <t>Clean Cloud Energy</t>
  </si>
  <si>
    <t>500</t>
  </si>
  <si>
    <t>Solar, Grid (unspecified mix), Natural gas</t>
  </si>
  <si>
    <t>4</t>
  </si>
  <si>
    <t>Water</t>
  </si>
  <si>
    <t>1,000,000</t>
  </si>
  <si>
    <t>753</t>
  </si>
  <si>
    <t>4 million</t>
  </si>
  <si>
    <t>Organized Advocacy</t>
  </si>
  <si>
    <t>https://www.facebook.com/groups/1489861802232589/</t>
  </si>
  <si>
    <t>https://www.change.org/p/ban-new-data-centers-on-farmland-and-in-towns</t>
  </si>
  <si>
    <t>https://www.deltaplexnews.com/local-news/data-center-for-grant-county-not-close-yet-to-determine-possible-user/</t>
  </si>
  <si>
    <t>https://www.southarkansasreckoning.com/grant-county-data-center-opponents-to-protest-monday/</t>
  </si>
  <si>
    <t>https://www.kark.com/news/local-news/people-protest-at-the-grant-county-courthouse-against-proposed-data-and-solar-center-near-sheridan/#:~:text=In%20October%2C%20the%20Grant%20County,be%20built%20in%20West%20Memphis</t>
  </si>
  <si>
    <t>https://arktimes.com/arkansas-blog/2025/11/12/solar-project-in-grant-county-to-help-power-google-data-centers-details-are-scant-on-west-memphis-agreement</t>
  </si>
  <si>
    <t>https://www.kark.com/news/state-news/grant-county-residents-voice-concerns-over-proposed-data-solar-center/#:~:text=Pruitt%20emphasized%20that%20the%20resolution,large%20names%2C%E2%80%9D%20Pruitt%20said.</t>
  </si>
  <si>
    <t>04/28/2026</t>
  </si>
  <si>
    <t>Project Marvel</t>
  </si>
  <si>
    <t>Rock Mountain Lake Rd</t>
  </si>
  <si>
    <t>Bessemer</t>
  </si>
  <si>
    <t>AL</t>
  </si>
  <si>
    <t>35022</t>
  </si>
  <si>
    <t>Jefferson</t>
  </si>
  <si>
    <t>33.342</t>
  </si>
  <si>
    <t>-87.0341</t>
  </si>
  <si>
    <t>High</t>
  </si>
  <si>
    <t>Logistic Land Investments LLC</t>
  </si>
  <si>
    <t>1200</t>
  </si>
  <si>
    <t>18</t>
  </si>
  <si>
    <t>4,500,000</t>
  </si>
  <si>
    <t>1600</t>
  </si>
  <si>
    <t>$14 billion</t>
  </si>
  <si>
    <t>2032</t>
  </si>
  <si>
    <t>Bessemer Data Center - We Say No!</t>
  </si>
  <si>
    <t>Bessemer Mayor Kenneth Gulley, the city attorney, and other city leaders signed NDAs</t>
  </si>
  <si>
    <t>https://www.facebook.com/groups/1153501246871845</t>
  </si>
  <si>
    <t>https://www.facebook.com/groups/740748888833453</t>
  </si>
  <si>
    <t>Request for 700 acres of land to be rezoned from agriculture to light industrial approved by the Bessemer City Council November 2025. As of January 2026 a second rezoning request was submitted to expand the campus by 900 acres. Revised plans including larger residential buffers was prposed in February 2026 and is awaiting approval from the Bessemer Planning and Zoning Commission.  Could impact Bessemer darter, a fish on Endangered Species list</t>
  </si>
  <si>
    <t>https://www.datacenterdynamics.com/en/news/700-acre-data-center-in-bessemer-alabama-approved-despite-opposition/</t>
  </si>
  <si>
    <t>https://www.youtube.com/watch?v=ICSrvQ7meow&amp;ab_channel=InsideClimateNews</t>
  </si>
  <si>
    <t>https://www.al.com/news/2025/06/14-billion-proposed-data-center-near-birmingham-hits-another-hurdle.html</t>
  </si>
  <si>
    <t>https://www.wbrc.com/2025/09/14/bessemer-residents-frustrated-over-proposed-data-center/</t>
  </si>
  <si>
    <t>https://www.wbrc.com/2025/11/19/bessemer-city-council-approves-149-billion-data-center-project-despite-transparency-concerns/?fbclid=IwY2xjawOKTxFleHRuA2FlbQIxMABicmlkETEwaFplSmJPZzc4OFJiUWo5c3J0YwZhcHBfaWQQMjIyMDM5MTc4ODIwMDg5MgABHvStxnxA58rPAQ18A844EkSUQ5kDNMyIy5_2P5dSogqkTSIEBa9p7N7V4Vr6_aem_ZzcqUxOQ-qztwhUEQJHxfQ</t>
  </si>
  <si>
    <t>https://www.datacenterdynamics.com/en/news/alabamas-planned-14bn-project-marvel-data-center-could-double-in-size/</t>
  </si>
  <si>
    <t>https://abc3340.com/news/abc-3340-news-iteam/bessemer-unveils-revised-project-marvel-data-center-campus-plan-amid-ongoing-controversy</t>
  </si>
  <si>
    <t>https://insideclimatenews.org/news/13112025/proposed-alabama-data-center-clashes-with-northern-beltline-birmingham-darter/</t>
  </si>
  <si>
    <t>09/16/2025</t>
  </si>
  <si>
    <t>03/13/2026</t>
  </si>
  <si>
    <t>BHM01 Nebius Data Center</t>
  </si>
  <si>
    <t xml:space="preserve">201 Milan Parkway </t>
  </si>
  <si>
    <t>Birmingham</t>
  </si>
  <si>
    <t>35221</t>
  </si>
  <si>
    <t>33.42746</t>
  </si>
  <si>
    <t>-86.88143</t>
  </si>
  <si>
    <t>Nebius</t>
  </si>
  <si>
    <t>300</t>
  </si>
  <si>
    <t>80</t>
  </si>
  <si>
    <t>$90 million</t>
  </si>
  <si>
    <t>Birmingham also currently considering data center moratorium</t>
  </si>
  <si>
    <t>https://www.datacenterdynamics.com/en/news/nebius-targets-data-center-development-in-birmingham-alabama/</t>
  </si>
  <si>
    <t>https://www.bhamyouthfirst.org/news/city-birmingham-proposes-temporary-pause-new-data-center-applications</t>
  </si>
  <si>
    <t>02/20/2026</t>
  </si>
  <si>
    <t>DC Blox</t>
  </si>
  <si>
    <t>433 6th St S</t>
  </si>
  <si>
    <t>35233</t>
  </si>
  <si>
    <t>33.50051</t>
  </si>
  <si>
    <t>-86.821</t>
  </si>
  <si>
    <t>08/25/2025</t>
  </si>
  <si>
    <t>Google Data Center</t>
  </si>
  <si>
    <t>48809 Alabama 277</t>
  </si>
  <si>
    <t>Bridgeport</t>
  </si>
  <si>
    <t>35740</t>
  </si>
  <si>
    <t>Jackson</t>
  </si>
  <si>
    <t>34.92019</t>
  </si>
  <si>
    <t>-85.7446</t>
  </si>
  <si>
    <t>Google</t>
  </si>
  <si>
    <t>270,000</t>
  </si>
  <si>
    <t>360</t>
  </si>
  <si>
    <t>$600 million</t>
  </si>
  <si>
    <t>https://www.madeinalabama.com/2018/04/google-kicks-off-construction-on-alabama-data-center/</t>
  </si>
  <si>
    <t>https://claycorp.com/work/mission-critical</t>
  </si>
  <si>
    <t>07/15/2025</t>
  </si>
  <si>
    <t>02/18/2026</t>
  </si>
  <si>
    <t>Western Hospitality Partners Data Center</t>
  </si>
  <si>
    <t>Childersburg Industrial Park</t>
  </si>
  <si>
    <t>Childersburg</t>
  </si>
  <si>
    <t>35044</t>
  </si>
  <si>
    <t>Talladega</t>
  </si>
  <si>
    <t>33.340885</t>
  </si>
  <si>
    <t>-86.336205</t>
  </si>
  <si>
    <t>486</t>
  </si>
  <si>
    <t>$6 billion</t>
  </si>
  <si>
    <t>https://www.facebook.com/groups/904402025318961e</t>
  </si>
  <si>
    <t>https://www.datacenterdynamics.com/en/news/planned-data-center-project-outside-chicago-illinois-paused-due-to-energy-infrastructure/</t>
  </si>
  <si>
    <t>https://www.childersburg.org/childersburg-industrial-park</t>
  </si>
  <si>
    <t>https://abc3340.com/news/local/concerns-grow-in-childersburg-over-possible-data-center-at-industrial-park</t>
  </si>
  <si>
    <t>01/26/2026</t>
  </si>
  <si>
    <t>05/03/2026</t>
  </si>
  <si>
    <t>333 Diamond Dr NW</t>
  </si>
  <si>
    <t>Huntsville</t>
  </si>
  <si>
    <t>35806</t>
  </si>
  <si>
    <t>Madison</t>
  </si>
  <si>
    <t>34.71003</t>
  </si>
  <si>
    <t>-86.693</t>
  </si>
  <si>
    <t>Meta Data Center</t>
  </si>
  <si>
    <t>5400 Prosperity Dr NW</t>
  </si>
  <si>
    <t>35810</t>
  </si>
  <si>
    <t>34.84065</t>
  </si>
  <si>
    <t>-86.6295</t>
  </si>
  <si>
    <t>Meta</t>
  </si>
  <si>
    <t>https://www.datacenterdynamics.com/en/news/meta-to-build-800m-data-center-in-montgomery-alabama/</t>
  </si>
  <si>
    <t>08/11/2025</t>
  </si>
  <si>
    <t>~1125 Hyundai Blvd</t>
  </si>
  <si>
    <t>Montgomery</t>
  </si>
  <si>
    <t>36105</t>
  </si>
  <si>
    <t>32.27604</t>
  </si>
  <si>
    <t>-86.3287</t>
  </si>
  <si>
    <t>Approved/Permitted/Under construction</t>
  </si>
  <si>
    <t>100-200</t>
  </si>
  <si>
    <t>Grid (unspecified mix)</t>
  </si>
  <si>
    <t>Closed loop</t>
  </si>
  <si>
    <t>715,000</t>
  </si>
  <si>
    <t>$800 million</t>
  </si>
  <si>
    <t>02/10/2026</t>
  </si>
  <si>
    <t>Beacon Data Center</t>
  </si>
  <si>
    <t>betw Highway 43 and Shepard House Rd</t>
  </si>
  <si>
    <t>Mount Vernon</t>
  </si>
  <si>
    <t>36560</t>
  </si>
  <si>
    <t>Mobile</t>
  </si>
  <si>
    <t>31.12417</t>
  </si>
  <si>
    <t>-88.03166</t>
  </si>
  <si>
    <t>Beacon</t>
  </si>
  <si>
    <t>2</t>
  </si>
  <si>
    <t>95</t>
  </si>
  <si>
    <t>On-site substation. Takes up 95 out of 620 acres.</t>
  </si>
  <si>
    <t>https://www.datacenterdynamics.com/en/news/canadas-beacon-details-plans-for-data-center-campus-in-alabama/</t>
  </si>
  <si>
    <t>07/06/2026</t>
  </si>
  <si>
    <t>Voltcore Bitcoin Mine</t>
  </si>
  <si>
    <t>Union Rd, near intersection Hwy 36 and 67</t>
  </si>
  <si>
    <t>Somerville</t>
  </si>
  <si>
    <t>35670</t>
  </si>
  <si>
    <t>Morgan</t>
  </si>
  <si>
    <t>34.449276</t>
  </si>
  <si>
    <t>-86.76024</t>
  </si>
  <si>
    <t>Suspended</t>
  </si>
  <si>
    <t>Crypto</t>
  </si>
  <si>
    <t>15</t>
  </si>
  <si>
    <t>Moratorium now in place</t>
  </si>
  <si>
    <t>https://www.datacenterdynamics.com/en/news/morgan-county-alabama-passes-data-center-moratorium-blocking-cryptomine-proposal/</t>
  </si>
  <si>
    <t>Wilsonville Data Center</t>
  </si>
  <si>
    <t>Shleby County Highway 61</t>
  </si>
  <si>
    <t>Wilsonville</t>
  </si>
  <si>
    <t>35186</t>
  </si>
  <si>
    <t>Shleby</t>
  </si>
  <si>
    <t>33.257</t>
  </si>
  <si>
    <t>-86.495</t>
  </si>
  <si>
    <t xml:space="preserve">Northpoint Development </t>
  </si>
  <si>
    <t>1008</t>
  </si>
  <si>
    <t>14</t>
  </si>
  <si>
    <t>3,000,000</t>
  </si>
  <si>
    <t>687</t>
  </si>
  <si>
    <t>Yes- https://www.al.com/news/2025/10/secrecy-agreements-fuel-pushback-of-14-billion-alabama-data-center.html</t>
  </si>
  <si>
    <t>https://www.facebook.com/groups/4004296566505749/</t>
  </si>
  <si>
    <t>https://alabamareflector.com/2025/08/24/wilsonville-residents-seek-preemptive-strike-against-massive-data-center-project/</t>
  </si>
  <si>
    <t>https://www.al.com/news/birmingham/2025/08/alabama-towns-residents-seek-preemptive-strike-against-massive-data-center-project.html</t>
  </si>
  <si>
    <t>Clarksville Data Center</t>
  </si>
  <si>
    <t>North of Interstate 40</t>
  </si>
  <si>
    <t>Clarksville</t>
  </si>
  <si>
    <t>AR</t>
  </si>
  <si>
    <t>72830</t>
  </si>
  <si>
    <t>Johnson</t>
  </si>
  <si>
    <t>35.454384</t>
  </si>
  <si>
    <t>-93.44725</t>
  </si>
  <si>
    <t>Serverfarm</t>
  </si>
  <si>
    <t>6</t>
  </si>
  <si>
    <t>2,160,000</t>
  </si>
  <si>
    <t>135</t>
  </si>
  <si>
    <t>$8 billion</t>
  </si>
  <si>
    <t>https://www.change.org/p/stop-the-mega-data-center-in-clarksville-arkansas?utm_source=chatgpt.com</t>
  </si>
  <si>
    <t>The city’s planning commission approved Phase 1 of construction</t>
  </si>
  <si>
    <t>https://www.datacenterdynamics.com/en/news/serverfarm-targets-135-acre-data-center-campus-in-arkansas/</t>
  </si>
  <si>
    <t>11/27/2025</t>
  </si>
  <si>
    <t>Harrison Data Center</t>
  </si>
  <si>
    <t>Graham Street 202</t>
  </si>
  <si>
    <t>Harrison</t>
  </si>
  <si>
    <t>72601</t>
  </si>
  <si>
    <t>Boone</t>
  </si>
  <si>
    <t>36.21472</t>
  </si>
  <si>
    <t>-93.0786</t>
  </si>
  <si>
    <t>Telecom / network data center</t>
  </si>
  <si>
    <t>Windstream</t>
  </si>
  <si>
    <t>34,623</t>
  </si>
  <si>
    <t>Windstream telecom switch and network data center (legacy central-office class)</t>
  </si>
  <si>
    <t>https://invest.jll.com/us/en/listings/special-purpose-facility/8-asset-switch-portfolio</t>
  </si>
  <si>
    <t>05/27/2025</t>
  </si>
  <si>
    <t>02/19/2026</t>
  </si>
  <si>
    <t>Little Rock Port Data Center</t>
  </si>
  <si>
    <t>Little Rock Port</t>
  </si>
  <si>
    <t>Little Rock</t>
  </si>
  <si>
    <t>72206</t>
  </si>
  <si>
    <t>Pulaski</t>
  </si>
  <si>
    <t>34.71681</t>
  </si>
  <si>
    <t>-92.1737</t>
  </si>
  <si>
    <t>Willowbend Capital LLC</t>
  </si>
  <si>
    <t>$1 billion</t>
  </si>
  <si>
    <t>$1B 300k sq ft data center proposed at Port of Little Rock; MoU approved with Willowbend Capital. End user reported as Google but not officially confirmed.</t>
  </si>
  <si>
    <t>https://www.datacenterdynamics.com/en/news/mystery-developer-plans-1bn-data-center-in-little-rock-arkansas/</t>
  </si>
  <si>
    <t>https://www.kark.com/news/local-news/pulaski-county-sends-five-data-center-measures-to-planning-board-after-heated-debate-over-google-and-avaio-projects</t>
  </si>
  <si>
    <t>07/01/2026</t>
  </si>
  <si>
    <t>Project Leo</t>
  </si>
  <si>
    <t>near I-530 and 145th St</t>
  </si>
  <si>
    <t>34.618</t>
  </si>
  <si>
    <t>-92.26808</t>
  </si>
  <si>
    <t>Avaio Digital</t>
  </si>
  <si>
    <t>150-1,000</t>
  </si>
  <si>
    <t>760</t>
  </si>
  <si>
    <t>2027</t>
  </si>
  <si>
    <t>https://www.facebook.com/groups/881057251172141/</t>
  </si>
  <si>
    <t>https://www.facebook.com/groups/4339680782970126</t>
  </si>
  <si>
    <t>https://www.change.org/p/halt-construction-of-ai-data-center-in-little-rock-ar</t>
  </si>
  <si>
    <t>Avaio is contracted with Entergy Arkansas and said the site features “substantial” on-site natural gas infrastructure.</t>
  </si>
  <si>
    <t>https://www.datacenterdynamics.com/en/news/avaio-to-develop-6bn-data-center-campus-in-little-rock-arkansas/</t>
  </si>
  <si>
    <t>https://www.arkansasonline.com/news/2026/jan/12/6b-data-center-announced-for-pulaski-county/</t>
  </si>
  <si>
    <t>01/13/2026</t>
  </si>
  <si>
    <t>ForgeLight Ventures Data Center</t>
  </si>
  <si>
    <t>Lollie Rd</t>
  </si>
  <si>
    <t>Mayflower/ Conway</t>
  </si>
  <si>
    <t>72106</t>
  </si>
  <si>
    <t>Faulkner</t>
  </si>
  <si>
    <t>35.01258</t>
  </si>
  <si>
    <t>-92.55369</t>
  </si>
  <si>
    <t>ForgeLight Ventures, LLC</t>
  </si>
  <si>
    <t>300000</t>
  </si>
  <si>
    <t>336</t>
  </si>
  <si>
    <t>https://katv.com/news/local/conway-residents-protest-proposed-1b-data-center-citing-tax-water-and-power-concerns-ai-lollie-road-city-citizens-fortune-100-investment-drain-resources</t>
  </si>
  <si>
    <t>https://armoneyandpolitics.com/conway-1-billion-data-center-fortune-100/</t>
  </si>
  <si>
    <t>https://katv.com/news/local/conway-meeting-draws-crowd-demanding-answers-on-proposed-ai-data-center-near-lollie-road-billion-dollar-center-campus-facility-development-major-investment-benefits-cooling-operations-design-phase</t>
  </si>
  <si>
    <t>https://www.datacenterdynamics.com/en/news/plans-for-300000-sq-ft-data-center-put-forward-in-conway-arkansas/</t>
  </si>
  <si>
    <t>05/28/2026</t>
  </si>
  <si>
    <t>Brightspeed Data Center</t>
  </si>
  <si>
    <t>214 S Denver Ave</t>
  </si>
  <si>
    <t>Russellville</t>
  </si>
  <si>
    <t>72801</t>
  </si>
  <si>
    <t>Pope</t>
  </si>
  <si>
    <t>35.27746</t>
  </si>
  <si>
    <t>-93.1372</t>
  </si>
  <si>
    <t>44,650</t>
  </si>
  <si>
    <t>Existing telecom / central-office data center (former CenturyLink facility) operated by Brightspeed; identified in DatacenterDynamics sale-leaseback listing for Arkansas telecom data centers.</t>
  </si>
  <si>
    <t>https://www.datacenterdynamics.com/en/news/brightspeed-data-center-up-for-sale-leaseback-in-arkansas/</t>
  </si>
  <si>
    <t>Google Project Pyramid</t>
  </si>
  <si>
    <t>Bollinger Rd</t>
  </si>
  <si>
    <t>West Memphis/Proctor</t>
  </si>
  <si>
    <t>72376</t>
  </si>
  <si>
    <t>Crittenden</t>
  </si>
  <si>
    <t>35.11835</t>
  </si>
  <si>
    <t>-90.2123</t>
  </si>
  <si>
    <t>AI/cloud-computing</t>
  </si>
  <si>
    <t>Google/Groot LLC</t>
  </si>
  <si>
    <t>920</t>
  </si>
  <si>
    <t>$10 billion</t>
  </si>
  <si>
    <t>https://wreg.com/news/local/data-center-deal-comes-as-area-emerges-as-tech-hub/</t>
  </si>
  <si>
    <t>https://rbnenergy.com/i-know-places-tech-giants-may-be-the-surest-bets-for-data-center-power-demand</t>
  </si>
  <si>
    <t>https://www.arkansasedc.com/news-events/newsroom/detail/2025/10/02/google-locating-new-data-center-in-west-memphis--arkansas-with-multi-billion-dollar-investment</t>
  </si>
  <si>
    <t>05/23/2025</t>
  </si>
  <si>
    <t>11/03/2025</t>
  </si>
  <si>
    <t>Maricopa Data Center</t>
  </si>
  <si>
    <t>2833rd Ave and W Patterson Rd</t>
  </si>
  <si>
    <t>Buckeye</t>
  </si>
  <si>
    <t>AZ</t>
  </si>
  <si>
    <t>85326</t>
  </si>
  <si>
    <t>Maricopa</t>
  </si>
  <si>
    <t>33.192265</t>
  </si>
  <si>
    <t>-112.67318</t>
  </si>
  <si>
    <t>Fortescue</t>
  </si>
  <si>
    <t>158</t>
  </si>
  <si>
    <t>https://www.change.org/p/stop-the-building-of-a-data-center-in-our-community</t>
  </si>
  <si>
    <t>On a site that Fortescue formerly planned to build a hydrogen production plant on, it is unclear whether the proposed data center plan would include a hydrogen plant. On February 10 2026, the Buckeye Area and Planning Commission voted to recommend the approval of a request to modify the zoning of a 158 acre land parcel, now awaiting Buckeye City Council approval.</t>
  </si>
  <si>
    <t>https://www.datacenterdynamics.com/en/news/australias-fortescue-could-get-zoning-permission-for-potential-data-center-near-phoenix-arizona/</t>
  </si>
  <si>
    <t>02/16/2026</t>
  </si>
  <si>
    <t>03/14/2026</t>
  </si>
  <si>
    <t>H5 Data Center</t>
  </si>
  <si>
    <t>2600 W Germann Rd</t>
  </si>
  <si>
    <t>Chandler</t>
  </si>
  <si>
    <t>85286</t>
  </si>
  <si>
    <t>33.27716</t>
  </si>
  <si>
    <t>-111.886</t>
  </si>
  <si>
    <t>H5 Data Centers</t>
  </si>
  <si>
    <t>Multiple colocation tenants</t>
  </si>
  <si>
    <t>32</t>
  </si>
  <si>
    <t>Medium (11-50 MW)</t>
  </si>
  <si>
    <t>210,000</t>
  </si>
  <si>
    <t>https://www.datacenterdynamics.com/en/news/h5-data-centers-expanding-phoenix-data-center-by-30000-sq-ft/</t>
  </si>
  <si>
    <t>05/28/2025</t>
  </si>
  <si>
    <t>02/17/2026</t>
  </si>
  <si>
    <t>Compass Data Center</t>
  </si>
  <si>
    <t>850 S Bullard Ave</t>
  </si>
  <si>
    <t>Goodyear</t>
  </si>
  <si>
    <t>85338</t>
  </si>
  <si>
    <t>33.44123</t>
  </si>
  <si>
    <t>-112.377</t>
  </si>
  <si>
    <t>Compass Data Centers</t>
  </si>
  <si>
    <t>https://www.datacenterdynamics.com/en/news/compass-datacenters-starts-build-hyperscale-arizona-campus/</t>
  </si>
  <si>
    <t>https://azbigmedia.com/real-estate/phoenix-data-center-market-displays-remarkable-momentum/</t>
  </si>
  <si>
    <t>Microsoft Data Center</t>
  </si>
  <si>
    <t>14250 W Broadway Rd</t>
  </si>
  <si>
    <t>33.410748</t>
  </si>
  <si>
    <t>-112.36683</t>
  </si>
  <si>
    <t>Expanding</t>
  </si>
  <si>
    <t>Microsoft</t>
  </si>
  <si>
    <t>250</t>
  </si>
  <si>
    <t>https://www.levelset.com/property-owners/microsoft-corporation/project-history/</t>
  </si>
  <si>
    <t>https://www.datacenterdynamics.com/en/news/owners-of-indoor-cannabis-farm-in-michigan-offer-site-up-for-data-center-use/</t>
  </si>
  <si>
    <t>06/12/2026</t>
  </si>
  <si>
    <t>Stream Data Center</t>
  </si>
  <si>
    <t>2950 S Litchfield Rd</t>
  </si>
  <si>
    <t>33.41965</t>
  </si>
  <si>
    <t>-112.35942</t>
  </si>
  <si>
    <t>Stream Data Centers</t>
  </si>
  <si>
    <t>200</t>
  </si>
  <si>
    <t>2,000,000</t>
  </si>
  <si>
    <t>https://www.datacenterdynamics.com/en/news/stream-dc-files-to-expand-phoenix-campus-to-200mw/</t>
  </si>
  <si>
    <t>Vantage Data Center</t>
  </si>
  <si>
    <t>45 S Bullard Ave</t>
  </si>
  <si>
    <t>33.44718</t>
  </si>
  <si>
    <t>-112.373</t>
  </si>
  <si>
    <t>Vantage Data Centers</t>
  </si>
  <si>
    <t>176</t>
  </si>
  <si>
    <t>https://www.datacenterdynamics.com/en/news/vantage-completes-construction-on-first-data-center-in-goodyear-arizona/</t>
  </si>
  <si>
    <t>https://vantage-dc.com/news/vantage-data-centers-and-mccarthy-building-companies-celebrate-topping-out-of-construction-on-phase-ii-of-major-data-center-project-in-goodyear-ariz/?utm_source=chatgpt.com</t>
  </si>
  <si>
    <t xml:space="preserve">Vintage Partners </t>
  </si>
  <si>
    <t xml:space="preserve"> Lower Buckeye Road and the Loop 202</t>
  </si>
  <si>
    <t>Laveen, Phoenix</t>
  </si>
  <si>
    <t>85043</t>
  </si>
  <si>
    <t>33.421955</t>
  </si>
  <si>
    <t>-112.19218</t>
  </si>
  <si>
    <t>Cancelled</t>
  </si>
  <si>
    <t>63</t>
  </si>
  <si>
    <t>Will be a mixed-use project instead</t>
  </si>
  <si>
    <t>https://www.datacenterdynamics.com/en/news/vintage-partners-scraps-phoenix-arizona-data-center-plans/</t>
  </si>
  <si>
    <t>Project Blue Marana</t>
  </si>
  <si>
    <t>14990 W Hardin Rd</t>
  </si>
  <si>
    <t>Marana</t>
  </si>
  <si>
    <t>85653</t>
  </si>
  <si>
    <t>Pima</t>
  </si>
  <si>
    <t>32.4929</t>
  </si>
  <si>
    <t>-111.28652</t>
  </si>
  <si>
    <t>Beale Infrastructure</t>
  </si>
  <si>
    <t>250-600</t>
  </si>
  <si>
    <t>610</t>
  </si>
  <si>
    <t>https://www.facebook.com/groups/1247158236748842/</t>
  </si>
  <si>
    <t>https://tucson.com/news/local/environment/article_52f0d4ba-aa9e-4c17-b290-ca3c2ad8d011.html</t>
  </si>
  <si>
    <t>https://tucson.com/news/local/government-politics/article_b7e0a874-021f-406b-9722-7c8ef05bf476.html</t>
  </si>
  <si>
    <t>https://news.azpm.org/s/102447-marana-town-council-approves-rezoning-for-luckett-road-project-600-acre-hyperscale-data-center/</t>
  </si>
  <si>
    <t>https://www.maranaaz.gov/files/assets/cityofmarana/v/2/development-services/documents/data-centers/luckett-data-center.pdf</t>
  </si>
  <si>
    <t>https://www.tucsonaz.gov/files/sharedassets/public/v/1/government/city-manager-office/documents/project-blue_faq-responses_final.pdf</t>
  </si>
  <si>
    <t>01/11/2026</t>
  </si>
  <si>
    <t>05/17/2026</t>
  </si>
  <si>
    <t>Apple Data Center</t>
  </si>
  <si>
    <t>3740 S Signal Butte Rd</t>
  </si>
  <si>
    <t>Mesa</t>
  </si>
  <si>
    <t>85212</t>
  </si>
  <si>
    <t>33.3471</t>
  </si>
  <si>
    <t>-111.604</t>
  </si>
  <si>
    <t>https://www.datacenterdynamics.com/en/news/aws-plots-four-data-centers-in-mesa-arizona/</t>
  </si>
  <si>
    <t>08/14/2025</t>
  </si>
  <si>
    <t>Edged Mesa Data Center</t>
  </si>
  <si>
    <t>8811 E Warner Rd</t>
  </si>
  <si>
    <t>33.335514</t>
  </si>
  <si>
    <t>-111.64406</t>
  </si>
  <si>
    <t>Edged</t>
  </si>
  <si>
    <t>36</t>
  </si>
  <si>
    <t>12</t>
  </si>
  <si>
    <t>https://www.datacenterdynamics.com/en/news/edged-launches-36mw-data-center-in-phoenix-arizona/</t>
  </si>
  <si>
    <t>04/15/2026</t>
  </si>
  <si>
    <t>Mesa Amazon Data Center 1</t>
  </si>
  <si>
    <t>10464 E Pecos Rd</t>
  </si>
  <si>
    <t>33.29757</t>
  </si>
  <si>
    <t>-111.607</t>
  </si>
  <si>
    <t>Amazon</t>
  </si>
  <si>
    <t>1</t>
  </si>
  <si>
    <t>71</t>
  </si>
  <si>
    <t>$18 million</t>
  </si>
  <si>
    <t>https://azbex.com/planning-development/amazon-submits-docs-for-2-mesa-data-centers/</t>
  </si>
  <si>
    <t>Mesa Amazon Data Center 2</t>
  </si>
  <si>
    <t>near Apple Data Center at Elliot/Signal Butte Rds</t>
  </si>
  <si>
    <t>33.34263</t>
  </si>
  <si>
    <t>43</t>
  </si>
  <si>
    <t>$16.9 million</t>
  </si>
  <si>
    <t>7610 E Elliot Rd</t>
  </si>
  <si>
    <t>33.35076</t>
  </si>
  <si>
    <t>-111.67</t>
  </si>
  <si>
    <t>750,000</t>
  </si>
  <si>
    <t>187</t>
  </si>
  <si>
    <t>https://www.datacenterdynamics.com/en/news/google-files-to-build-second-data-center-at-mesa-campus-in-arizona/</t>
  </si>
  <si>
    <t>NTT Data Center</t>
  </si>
  <si>
    <t>10256 Elliot Road</t>
  </si>
  <si>
    <t>33.35061</t>
  </si>
  <si>
    <t>-111.61</t>
  </si>
  <si>
    <t>240</t>
  </si>
  <si>
    <t>102</t>
  </si>
  <si>
    <t>Secondary Project (500 - 700 MW) planned</t>
  </si>
  <si>
    <t>https://www.datacenterdynamics.com/en/news/ntt-acquires-173-acre-planned-data-center-park-in-mesa-arizona-for-300m/</t>
  </si>
  <si>
    <t>https://www.datacenterdynamics.com/en/news/two-data-center-projects-proposed-near-phoenix-arizona/</t>
  </si>
  <si>
    <t>https://www.yourvalley.net/mesa-independent/stories/6th-building-planned-at-mesa-data-center,652356</t>
  </si>
  <si>
    <t>04/16/2026</t>
  </si>
  <si>
    <t>22000-21794 E Pecos Rd</t>
  </si>
  <si>
    <t>33.29556</t>
  </si>
  <si>
    <t>-111.614</t>
  </si>
  <si>
    <t>NTT Global Data Centers</t>
  </si>
  <si>
    <t>173</t>
  </si>
  <si>
    <t>$300 million</t>
  </si>
  <si>
    <t>Page Data Center</t>
  </si>
  <si>
    <t>Near Horseshoe Bend</t>
  </si>
  <si>
    <t>Page</t>
  </si>
  <si>
    <t>86046</t>
  </si>
  <si>
    <t>Coconino</t>
  </si>
  <si>
    <t>36.898376</t>
  </si>
  <si>
    <t>-111.483154</t>
  </si>
  <si>
    <t>Huntley LLC</t>
  </si>
  <si>
    <t>Hydroelectric</t>
  </si>
  <si>
    <t>In December 2026 a referendum was filed by citizens to veto the city council’s vote to sell 500 acres for a data center.</t>
  </si>
  <si>
    <t>https://www.facebook.com/groups/641796558723863/</t>
  </si>
  <si>
    <t>https://www.facebook.com/groups/1117995533656453</t>
  </si>
  <si>
    <t>https://www.change.org/p/no-data-center-in-page-az</t>
  </si>
  <si>
    <t>Plans to draw power from Glen Canyon Dam. October, the Page City Council voted 5-2 to approve a contract and rezoning of the site from recreational use, allowing a feasibility study on the data center project.</t>
  </si>
  <si>
    <t>https://www.datacenterdynamics.com/en/news/data-center-proposed-for-500-acre-site-in-page-arizona/</t>
  </si>
  <si>
    <t>https://www.fox10phoenix.com/news/10b-data-center-plan-page-area-faces-pushback-from-residents</t>
  </si>
  <si>
    <t>https://lakepowellchronicle.com/stories/international-development-company-proposes-10-billion-data-center-for-page,78901</t>
  </si>
  <si>
    <t>Aligned</t>
  </si>
  <si>
    <t>2500 W Union Hills Dr</t>
  </si>
  <si>
    <t>Phoenix</t>
  </si>
  <si>
    <t>85027</t>
  </si>
  <si>
    <t>33.65898</t>
  </si>
  <si>
    <t>-112.111</t>
  </si>
  <si>
    <t>180</t>
  </si>
  <si>
    <t>550,000</t>
  </si>
  <si>
    <t>https://www.datacenterdynamics.com/en/news/aligned-acquires-two-plots-in-phoenix-plans-two-campuses-totaling-400mw/</t>
  </si>
  <si>
    <t>Expedient Data Center</t>
  </si>
  <si>
    <t>2475 West Townley Avenue</t>
  </si>
  <si>
    <t>85021</t>
  </si>
  <si>
    <t>33.56452</t>
  </si>
  <si>
    <t>-112.112</t>
  </si>
  <si>
    <t>Expedient</t>
  </si>
  <si>
    <t>45,000</t>
  </si>
  <si>
    <t>https://www.datacenterdynamics.com/en/news/expedient-opens-data-center-in-phoenix-arizona/</t>
  </si>
  <si>
    <t>PHX1</t>
  </si>
  <si>
    <t>2475 W Townley Ave</t>
  </si>
  <si>
    <t>33.56456</t>
  </si>
  <si>
    <t>46,000</t>
  </si>
  <si>
    <t>https://www.expedient.com/data-centers/phoenix/</t>
  </si>
  <si>
    <t>09/01/2025</t>
  </si>
  <si>
    <t>QTS</t>
  </si>
  <si>
    <t>120 E Van Buren St</t>
  </si>
  <si>
    <t>85004</t>
  </si>
  <si>
    <t>33.45193</t>
  </si>
  <si>
    <t>-112.072</t>
  </si>
  <si>
    <t>QTS Data Centers</t>
  </si>
  <si>
    <t>288,000</t>
  </si>
  <si>
    <t>https://www.datacenterdynamics.com/en/news/qts-breaks-ground-on-data-center-in-phoenix-arizona/</t>
  </si>
  <si>
    <t>1200 N 40th St</t>
  </si>
  <si>
    <t>85008</t>
  </si>
  <si>
    <t>33.46237</t>
  </si>
  <si>
    <t>-111.996</t>
  </si>
  <si>
    <t>42</t>
  </si>
  <si>
    <t>337,330</t>
  </si>
  <si>
    <t>Tract Phoenix Data Center</t>
  </si>
  <si>
    <t>S. Johnson Rd and W. Southern Ave</t>
  </si>
  <si>
    <t>33.41019</t>
  </si>
  <si>
    <t>-112.713</t>
  </si>
  <si>
    <t>Tract Data Centers</t>
  </si>
  <si>
    <t>2069</t>
  </si>
  <si>
    <t>https://www.datacenterwatch.org/report</t>
  </si>
  <si>
    <t>https://www.tract.com/news/tract-closes-acquisition-of-2069-acres-in-buckeye-arizona/</t>
  </si>
  <si>
    <t>MD-PHX1 Data Center</t>
  </si>
  <si>
    <t>4801–4811 East Thistle Landing Drive</t>
  </si>
  <si>
    <t xml:space="preserve">Phoeniz </t>
  </si>
  <si>
    <t>85044</t>
  </si>
  <si>
    <t>33.31197</t>
  </si>
  <si>
    <t>-111.97816</t>
  </si>
  <si>
    <t xml:space="preserve">Menlo Digital </t>
  </si>
  <si>
    <t>Salt River Project (SRP) substation</t>
  </si>
  <si>
    <t>5</t>
  </si>
  <si>
    <t>38</t>
  </si>
  <si>
    <t xml:space="preserve">51.25 million </t>
  </si>
  <si>
    <t>https://www.facebook.com/groups/1757504565223476/</t>
  </si>
  <si>
    <t>https://www.datacenterdynamics.com/en/news/menlo-equities-plans-five-building-data-center-campus-in-phoenix-arizona/</t>
  </si>
  <si>
    <t>https://menlo-digital.com/portfolio/md-phx1-phoenix/</t>
  </si>
  <si>
    <t>05/10/2026</t>
  </si>
  <si>
    <t>Vermaland Data Center</t>
  </si>
  <si>
    <t>near Hwy 10</t>
  </si>
  <si>
    <t>Red Rock</t>
  </si>
  <si>
    <t>85658</t>
  </si>
  <si>
    <t>Pinal</t>
  </si>
  <si>
    <t>32.55145</t>
  </si>
  <si>
    <t>-111.452</t>
  </si>
  <si>
    <t>Vermaland LLC</t>
  </si>
  <si>
    <t>3300</t>
  </si>
  <si>
    <t>$33 billion</t>
  </si>
  <si>
    <t>https://www.bizjournals.com/phoenix/news/2025/08/01/vermaland-proposed-pinal-county-data-center.html</t>
  </si>
  <si>
    <t>https://www.azcentral.com/story/news/local/pinal/2025/07/30/developer-plans-33-billion-data-center-in-pinal-county/85381868007/</t>
  </si>
  <si>
    <t>https://azbigmedia.com/business/33-billion-data-center-industrial-park-coming-to-pinal-county/</t>
  </si>
  <si>
    <t>https://www.datacenterdynamics.com/en/news/land-developer-vermaland-plans-33bn-data-center-in-arizona/</t>
  </si>
  <si>
    <t>08/01/2025</t>
  </si>
  <si>
    <t>Prime Data Center</t>
  </si>
  <si>
    <t>3700 S Avondale Blvd</t>
  </si>
  <si>
    <t>Tolleson</t>
  </si>
  <si>
    <t>85353</t>
  </si>
  <si>
    <t>33.41237</t>
  </si>
  <si>
    <t>-112.30683</t>
  </si>
  <si>
    <t>Prime Data Centers</t>
  </si>
  <si>
    <t>1,300,000</t>
  </si>
  <si>
    <t>66</t>
  </si>
  <si>
    <t>$29 million</t>
  </si>
  <si>
    <t>https://www.datacenterdynamics.com/en/news/prime-and-vantage-buy-land-phoenix-arizona/</t>
  </si>
  <si>
    <t>https://www.datacenterdynamics.com/en/news/prime-data-centers-breaks-ground-on-three-out-of-five-buildings-at-its-240mw-campus-in-phoenix-arizona/</t>
  </si>
  <si>
    <t>Arizona Land Consulting Co.</t>
  </si>
  <si>
    <t>near 33511 Indian School Rd</t>
  </si>
  <si>
    <t>Tonopah</t>
  </si>
  <si>
    <t>85354</t>
  </si>
  <si>
    <t>33.49648</t>
  </si>
  <si>
    <t>-112.775</t>
  </si>
  <si>
    <t>1500</t>
  </si>
  <si>
    <t>2100</t>
  </si>
  <si>
    <t>$25 billion</t>
  </si>
  <si>
    <t>https://www.bloomberg.com/news/articles/2025-05-27/palihapitiya-buys-stake-in-arizona-property-for-data-center-bet</t>
  </si>
  <si>
    <t>https://www.datacenterdynamics.com/en/news/arizona-land-consulting-buys-land-for-potential-15gw-data-center/</t>
  </si>
  <si>
    <t>06/05/2025</t>
  </si>
  <si>
    <t>Data center: Davis-Monthan Air Force Base</t>
  </si>
  <si>
    <t>Tucson</t>
  </si>
  <si>
    <t>85707</t>
  </si>
  <si>
    <t>32.164318</t>
  </si>
  <si>
    <t>-110.86484</t>
  </si>
  <si>
    <t>May use jet engines from retired military planes</t>
  </si>
  <si>
    <t>https://www.datacenterdynamics.com/en/news/us-department-of-the-air-force-accepting-proposals-for-ai-data-centers-in-military-bases/</t>
  </si>
  <si>
    <t>https://www.datacenterdynamics.com/en/news/eia-retired-military-jet-engines-could-be-repurposed-to-power-data-centers/</t>
  </si>
  <si>
    <t>10/21/2025</t>
  </si>
  <si>
    <t>Project Blue Tucson</t>
  </si>
  <si>
    <t>10098 E Brekke Rd</t>
  </si>
  <si>
    <t>85747</t>
  </si>
  <si>
    <t>32.05091</t>
  </si>
  <si>
    <t>-110.783</t>
  </si>
  <si>
    <t>290</t>
  </si>
  <si>
    <t>$3.6 billion</t>
  </si>
  <si>
    <t>Formerly connected to Amazon. Voted down by the Tucson City Council, but in Decemebr 2025 the Arizona Corporation Commission approved a plan to let Tucson Electric Power power the project. Water wells supplying the project have been approved and it could use up to 31 million gallons of water annually</t>
  </si>
  <si>
    <t>https://www.datacenterdynamics.com/en/news/arizona-land-parcel-rezoned-and-sold-to-develop-project-blue-data-center/</t>
  </si>
  <si>
    <t>https://www.datacenterdynamics.com/en/news/amazon-named-as-company-behind-290-acre-data-center-campus-in-tuscson-arizona/</t>
  </si>
  <si>
    <t>https://www.foxbusiness.com/economy/arizona-city-defeats-massive-data-center-project-over-water-energy-concerns</t>
  </si>
  <si>
    <t>https://apnews.com/article/tucson-data-management-and-storage-arizona-general-news-environmental-conservation-42c1e554b02b4293685a08a4574db9f0</t>
  </si>
  <si>
    <t>https://www.kgun9.com/news/local-news/project-blue-moves-to-build-despite-opposition</t>
  </si>
  <si>
    <t>https://news.azpm.org/p/azpmnews/2026/5/28/229919-arizona-water-officials-approve-wells-tied-to-project-blue-data-center/</t>
  </si>
  <si>
    <t>08/09/2025</t>
  </si>
  <si>
    <t>06/23/2026</t>
  </si>
  <si>
    <t>Aligned Data Centers Waddell Campus</t>
  </si>
  <si>
    <t>8785-8907 N. Reems Road</t>
  </si>
  <si>
    <t>Waddell</t>
  </si>
  <si>
    <t>85355</t>
  </si>
  <si>
    <t>33.57577</t>
  </si>
  <si>
    <t>-112.45042</t>
  </si>
  <si>
    <t>Aligned Data Centers</t>
  </si>
  <si>
    <t>https://www.datacenterdynamics.com/en/news/aligned-breaks-ground-on-data-center-in-phoenix-arizona/</t>
  </si>
  <si>
    <t>06/19/2025</t>
  </si>
  <si>
    <t>Takanock Data Center/Project Baccara</t>
  </si>
  <si>
    <t>14707 W Olive Ave</t>
  </si>
  <si>
    <t>33.56755</t>
  </si>
  <si>
    <t>-112.37177</t>
  </si>
  <si>
    <t>DigitalBridge</t>
  </si>
  <si>
    <t>700</t>
  </si>
  <si>
    <t>160</t>
  </si>
  <si>
    <t>https://www.facebook.com/groups/1067323452056728/</t>
  </si>
  <si>
    <t>https://www.datacenterdynamics.com/en/news/160-acre-project-baccara-is-recommended-for-approval-in-maricopa-county-arizona/</t>
  </si>
  <si>
    <t>01/19/2026</t>
  </si>
  <si>
    <t>Guadalupe Quarry Redevelopment Project Data Center</t>
  </si>
  <si>
    <t>near Quarry Rd</t>
  </si>
  <si>
    <t>Brisbane</t>
  </si>
  <si>
    <t>CA</t>
  </si>
  <si>
    <t>94005</t>
  </si>
  <si>
    <t>San Mateo</t>
  </si>
  <si>
    <t>37.68586</t>
  </si>
  <si>
    <t>-122.416</t>
  </si>
  <si>
    <t>180,000</t>
  </si>
  <si>
    <t>62</t>
  </si>
  <si>
    <t>https://www.datacenterdynamics.com/en/news/proposed-data-center-scaled-down-amid-environmental-concerns-near-san-francisco-california/</t>
  </si>
  <si>
    <t>07/25/2025</t>
  </si>
  <si>
    <t>Coachella Valley Technology Campus</t>
  </si>
  <si>
    <t>52nd Ave &amp; Fillmore St</t>
  </si>
  <si>
    <t>Coachella</t>
  </si>
  <si>
    <t>92274</t>
  </si>
  <si>
    <t>Riverside</t>
  </si>
  <si>
    <t>33.6714</t>
  </si>
  <si>
    <t>-116.129</t>
  </si>
  <si>
    <t>270-600</t>
  </si>
  <si>
    <t>https://www.change.org/p/stop-the-proposed-coachella-data-center-project</t>
  </si>
  <si>
    <t>https://www.datacenterdynamics.com/en/news/600mw-data-center-could-be-built-in-coachella-california/</t>
  </si>
  <si>
    <t>https://www.businessinsider.com/coachella-considers-halting-a-major-data-center-project-amid-protests-2026-5?utm_campaign=inventions-link-post&amp;utm_medium=social&amp;utm_source=facebook</t>
  </si>
  <si>
    <t>06/04/2026</t>
  </si>
  <si>
    <t>Edwards AFB Data Center</t>
  </si>
  <si>
    <t>Edwards</t>
  </si>
  <si>
    <t>93524</t>
  </si>
  <si>
    <t>Kern</t>
  </si>
  <si>
    <t>34.912052</t>
  </si>
  <si>
    <t>-117.93109</t>
  </si>
  <si>
    <t>Eight Form Data Center</t>
  </si>
  <si>
    <t>750 N. Nash St</t>
  </si>
  <si>
    <t>El Segundo</t>
  </si>
  <si>
    <t>90245</t>
  </si>
  <si>
    <t>Los Angeles</t>
  </si>
  <si>
    <t>33.92638</t>
  </si>
  <si>
    <t>-118.38692</t>
  </si>
  <si>
    <t>50</t>
  </si>
  <si>
    <t>230,780</t>
  </si>
  <si>
    <t>https://www.datacenterdynamics.com/en/news/developer-withdraws-plan-to-replace-hotel-with-data-center-in-el-segundo-california/</t>
  </si>
  <si>
    <t>07/16/2026</t>
  </si>
  <si>
    <t>AWS Gilroy</t>
  </si>
  <si>
    <t>8050 Camino Arroyo Dr</t>
  </si>
  <si>
    <t>Gilroy</t>
  </si>
  <si>
    <t>95020</t>
  </si>
  <si>
    <t>Santa Clara</t>
  </si>
  <si>
    <t>37.018684</t>
  </si>
  <si>
    <t>-121.56053</t>
  </si>
  <si>
    <t>cloud services</t>
  </si>
  <si>
    <t>49-98</t>
  </si>
  <si>
    <t>Large (51-99 MW)</t>
  </si>
  <si>
    <t>25 2.5MW emergency generators for redundancy purposes</t>
  </si>
  <si>
    <t>Hybrid air/water</t>
  </si>
  <si>
    <t>438,500</t>
  </si>
  <si>
    <t>56</t>
  </si>
  <si>
    <t>2026</t>
  </si>
  <si>
    <t>Stop Gilroy Data Center group meets weekly, calls to approval of the data center to be rescinded</t>
  </si>
  <si>
    <t>https://www.instagram.com/stopgilroydatacenternow/?hl=en</t>
  </si>
  <si>
    <t>https://www.facebook.com/profile.php?id=61585975718358</t>
  </si>
  <si>
    <t>https://www.change.org/p/banning-regulating-data-centers-in-gilroy?recruiter=938425783&amp;recruited_by_id=33993410-37fe-11e9-999d-091836f5a8c4&amp;utm_source=share_petition&amp;utm_campaign=petition_dashboard&amp;utm_medium=copylink&amp;share_id=RTdL9LSmrc</t>
  </si>
  <si>
    <t>Two phases of construction planned, the first of which will require a power connection of 49MW from Pacific Gas and Electric and will include a dedicated sub-station and BESS on the site with up to 50MW of storage capacity. Approval was granted by Gilroy community development director on July 3, 2025 and grading permit and underground utilities permit issued on December 11, 2025</t>
  </si>
  <si>
    <t>https://www.datacenterdynamics.com/en/news/amazon-data-services-gains-approval-for-data-center-on-56-acres-in-gilroy-california/</t>
  </si>
  <si>
    <t>https://www.cityofgilroy.org/1019/15010/Gilroy-Data-Center-by-AWS</t>
  </si>
  <si>
    <t>https://www.kron4.com/news/technology-ai/gilroy-community-fights-against-amazon-from-constructing-data-center/</t>
  </si>
  <si>
    <t>11/28/2025</t>
  </si>
  <si>
    <t>Imperial Data Center Project</t>
  </si>
  <si>
    <t>N. 8th St and Clark Rd</t>
  </si>
  <si>
    <t>Imperial</t>
  </si>
  <si>
    <t>92243</t>
  </si>
  <si>
    <t>32.81923</t>
  </si>
  <si>
    <t>-115.56083</t>
  </si>
  <si>
    <t>AI</t>
  </si>
  <si>
    <t>Imperial Valley Computer Manufacturing, LLC/ Google (unconfirmed)</t>
  </si>
  <si>
    <t>330</t>
  </si>
  <si>
    <t>100 natural gas-powered backup emergency generators connected to Southern California Gas Company’s high-pressure gas line</t>
  </si>
  <si>
    <t>950,000</t>
  </si>
  <si>
    <t>74</t>
  </si>
  <si>
    <t>Not In My Back Yard Imperial organized a protest in January 2026. The City of Imperial has filed a lawsuit against the county (permitting authority for the data center), saying the project is not in compliance with the California Environmental Act. The county has set up a comment page for the project: https://imperialcounty.org/dc-comments/</t>
  </si>
  <si>
    <t>https://www.facebook.com/profile.php?id=61585227101244</t>
  </si>
  <si>
    <t>https://www.change.org/p/stop-the-construction-of-the-data-center-at-aten-rd-and-clark-rd</t>
  </si>
  <si>
    <t xml:space="preserve">Includes emergency backup generator building (330MW), on-site substation, and Battery Energy Storage System (BESS, 862MWh) </t>
  </si>
  <si>
    <t>https://www.datacenterdynamics.com/en/news/330mw-google-linked-data-center-proposed-in-southern-california/</t>
  </si>
  <si>
    <t>https://www.imperialdatacenter.com/</t>
  </si>
  <si>
    <t>https://www.kpbs.org/news/environment/2026/01/21/the-plan-to-build-a-massive-data-center-in-imperial-county-without-environmental-review</t>
  </si>
  <si>
    <t>https://www.kpbs.org/news/environment/2026/04/07/imperial-county-supervisors-clear-path-for-massive-data-center-complex-amid-fierce-opposition?utm_source=substack&amp;utm_medium=email</t>
  </si>
  <si>
    <t>04/12/2026</t>
  </si>
  <si>
    <t>Inyokern Data Center</t>
  </si>
  <si>
    <t>Hwy 395 and Hwy 178</t>
  </si>
  <si>
    <t>Inyokern</t>
  </si>
  <si>
    <t>93527</t>
  </si>
  <si>
    <t>35.651802</t>
  </si>
  <si>
    <t>-117.8052</t>
  </si>
  <si>
    <t>99</t>
  </si>
  <si>
    <t>238,000</t>
  </si>
  <si>
    <t>https://www.change.org/p/sign-the-petition-to-stop-the-rb-inyokern-data-center</t>
  </si>
  <si>
    <t>Project includes on-site substation</t>
  </si>
  <si>
    <t>https://www.datacenterdynamics.com/en/news/99mw-data-center-proposed-in-kern-county-california/</t>
  </si>
  <si>
    <t>Buena Vista Biomass Power site Data Center</t>
  </si>
  <si>
    <t>4655 Coal Mine Rd</t>
  </si>
  <si>
    <t>Ione</t>
  </si>
  <si>
    <t>95640</t>
  </si>
  <si>
    <t>Amador</t>
  </si>
  <si>
    <t>38.277733</t>
  </si>
  <si>
    <t>-120.91554</t>
  </si>
  <si>
    <t>41</t>
  </si>
  <si>
    <t>Biomass</t>
  </si>
  <si>
    <t>Behind-the-meter</t>
  </si>
  <si>
    <t>https://www.datacenterdynamics.com/en/news/newyork-greencloud-acquires-californian-biomass-facility-for-carbon-negative-ai-data-center/</t>
  </si>
  <si>
    <t>Monterey Park Data Center</t>
  </si>
  <si>
    <t>1977 Saturn St</t>
  </si>
  <si>
    <t>Monterey Park</t>
  </si>
  <si>
    <t>91755</t>
  </si>
  <si>
    <t>34.04039</t>
  </si>
  <si>
    <t>-118.11365</t>
  </si>
  <si>
    <t>HMC StratCorp and subsidiary DigiCo REIT</t>
  </si>
  <si>
    <t>14 on-site diesel generators</t>
  </si>
  <si>
    <t>247,000</t>
  </si>
  <si>
    <t>16</t>
  </si>
  <si>
    <t>No Data Center Monterey Park, San Gabriel Valley (SGV) Progressive Action</t>
  </si>
  <si>
    <t>https://www.facebook.com/groups/1373626604509288/</t>
  </si>
  <si>
    <t>https://www.nodatacentermpk.org/</t>
  </si>
  <si>
    <t>https://actionnetwork.org/petitions/no-data-centers-in-monterey-park?source=direct_link&amp;</t>
  </si>
  <si>
    <t>https://www.theguardian.com/us-news/2026/feb/07/california-monterey-park-stop-datacenter-construction</t>
  </si>
  <si>
    <t>https://www.datacenterdynamics.com/en/news/proposal-for-250000-sq-ft-data-center-in-monterey-park-california-facing-opposition/</t>
  </si>
  <si>
    <t>https://www.montereypark.ca.gov/1710/Data-Center-Information</t>
  </si>
  <si>
    <t>https://www.sfgate.com/tech/article/monterey-park-data-center-21958037.php</t>
  </si>
  <si>
    <t>https://www.pasadenastarnews.com/2026/04/01/developer-withdraws-monterey-park-data-center-project-after-community-pushback/</t>
  </si>
  <si>
    <t>02/24/2026</t>
  </si>
  <si>
    <t>ECL</t>
  </si>
  <si>
    <t>411 Clyde Ave</t>
  </si>
  <si>
    <t>Mountain View</t>
  </si>
  <si>
    <t>94043</t>
  </si>
  <si>
    <t>37.39589</t>
  </si>
  <si>
    <t>-122.047</t>
  </si>
  <si>
    <t>Running on hydrogen fuel</t>
  </si>
  <si>
    <t>08/06/2025</t>
  </si>
  <si>
    <t>Crystal Geyser location Data Center</t>
  </si>
  <si>
    <t>210 Ski Village Dr</t>
  </si>
  <si>
    <t>Mount Shasta</t>
  </si>
  <si>
    <t>96067</t>
  </si>
  <si>
    <t xml:space="preserve">Siskiyou </t>
  </si>
  <si>
    <t>41.32638</t>
  </si>
  <si>
    <t>-122.31744</t>
  </si>
  <si>
    <t>Project rejected before full plan even proposed</t>
  </si>
  <si>
    <t>https://www.ijpr.org/environment-energy-and-transportation/2026-06-26/mount-shasta-ai-data-center-proposal-water-concerns</t>
  </si>
  <si>
    <t>https://www.activenorcal.com/mount-shasta-rejects-a-proposed-ai-data-center-drinking-its-famous-water/</t>
  </si>
  <si>
    <t>https://www.datacenterdynamics.com/en/news/unnamed-data-center-developer-eyeing-former-crystal-geyser-bottling-site-in-mount-shasta-california/</t>
  </si>
  <si>
    <t>AWS</t>
  </si>
  <si>
    <t>2964 Bradley St</t>
  </si>
  <si>
    <t>Pasadena</t>
  </si>
  <si>
    <t>91107</t>
  </si>
  <si>
    <t>34.166836</t>
  </si>
  <si>
    <t>-118.08752</t>
  </si>
  <si>
    <t>168,000</t>
  </si>
  <si>
    <t>$78 million</t>
  </si>
  <si>
    <t>https://www.datacenterdynamics.com/en/news/aws-plans-another-quantum-research-center-in-pasadena-california/</t>
  </si>
  <si>
    <t>AVAIO Perseus Data Center</t>
  </si>
  <si>
    <t>Golf Club Rd</t>
  </si>
  <si>
    <t>Pittsburg</t>
  </si>
  <si>
    <t>94565</t>
  </si>
  <si>
    <t>Contra Costa</t>
  </si>
  <si>
    <t>38.012596</t>
  </si>
  <si>
    <t>-121.90993</t>
  </si>
  <si>
    <t>3</t>
  </si>
  <si>
    <t>300,000</t>
  </si>
  <si>
    <t>76</t>
  </si>
  <si>
    <t>https://www.change.org/NoDataCenterPittsburgCA</t>
  </si>
  <si>
    <t>Has secured commitments for 100% renewable energy and recycled water for cooling, with backup generators using biodiesel</t>
  </si>
  <si>
    <t>Crowdsourced</t>
  </si>
  <si>
    <t>https://www.pittsburgca.gov/services/community-development/planning/advanced-planning-special-projects/pittsburg-technology-park-specific-plan-project</t>
  </si>
  <si>
    <t>https://www.avaiodigital.com/developments/pittsburg-california</t>
  </si>
  <si>
    <t>https://contracosta.news/2024/12/03/avaio-digital-partners-achieves-major-milestone-for-pittsburg-technology-park-perseus-data-center-project/</t>
  </si>
  <si>
    <t>EdgeConneX Edge Data Center</t>
  </si>
  <si>
    <t>10980 Gold Center Dr.</t>
  </si>
  <si>
    <t>Rancho Cordoba</t>
  </si>
  <si>
    <t>95670</t>
  </si>
  <si>
    <t>Sacramento</t>
  </si>
  <si>
    <t>38.59231</t>
  </si>
  <si>
    <t>-121.277</t>
  </si>
  <si>
    <t>2-3</t>
  </si>
  <si>
    <t>28,500</t>
  </si>
  <si>
    <t>https://www.edgeconnex.com/locations/americas/sacramento-ca/</t>
  </si>
  <si>
    <t>08/04/2025</t>
  </si>
  <si>
    <t>Equinix</t>
  </si>
  <si>
    <t>123 Great Oaks Blvd</t>
  </si>
  <si>
    <t>San Jose</t>
  </si>
  <si>
    <t>95119</t>
  </si>
  <si>
    <t>37.23319</t>
  </si>
  <si>
    <t>-121.78072</t>
  </si>
  <si>
    <t>40</t>
  </si>
  <si>
    <t>150,000</t>
  </si>
  <si>
    <t>https://www.datacenterdynamics.com/en/news/equinix-launches-data-center-in-san-jose-california/</t>
  </si>
  <si>
    <t>01/22/2026</t>
  </si>
  <si>
    <t>LBA Realty Data Center</t>
  </si>
  <si>
    <t>350 W Trimble Rd</t>
  </si>
  <si>
    <t>95131</t>
  </si>
  <si>
    <t>37.381</t>
  </si>
  <si>
    <t>-121.935</t>
  </si>
  <si>
    <t>415,000</t>
  </si>
  <si>
    <t>28</t>
  </si>
  <si>
    <t>https://www.mercurynews.com/2025/07/08/san-jose-tech-build-data-internet-property-real-estate-develop-economy/</t>
  </si>
  <si>
    <t>https://www.datacenterdynamics.com/en/news/two-data-centers-proposed-for-vacant-lot-in-san-jose-california/</t>
  </si>
  <si>
    <t>Microsoft Alviso Data Center</t>
  </si>
  <si>
    <t xml:space="preserve"> 1657 Alviso-Milpitas Rd</t>
  </si>
  <si>
    <t>95134</t>
  </si>
  <si>
    <t>37.42374</t>
  </si>
  <si>
    <t>-121.926254</t>
  </si>
  <si>
    <t>48</t>
  </si>
  <si>
    <t>64</t>
  </si>
  <si>
    <t>https://www.datacenterdynamics.com/en/news/microsoft-breaks-ground-on-alviso-data-center-campus-in-san-jose-california/</t>
  </si>
  <si>
    <t>Prologis</t>
  </si>
  <si>
    <t>Zanker Rd and Hwy 237</t>
  </si>
  <si>
    <t>37.423885</t>
  </si>
  <si>
    <t>-121.94313</t>
  </si>
  <si>
    <t>396</t>
  </si>
  <si>
    <t>1,684,000</t>
  </si>
  <si>
    <t>159</t>
  </si>
  <si>
    <t>https://www.datacenterdynamics.com/en/news/400mw-prologis-data-center-campus-chosen-as-preferred-project-on-city-owned-land-in-san-jose-california/</t>
  </si>
  <si>
    <t>Prologis Data Center</t>
  </si>
  <si>
    <t>5977 Silver Creek Valley Rd</t>
  </si>
  <si>
    <t>95138</t>
  </si>
  <si>
    <t>37.258656</t>
  </si>
  <si>
    <t>-121.7877</t>
  </si>
  <si>
    <t>516,000</t>
  </si>
  <si>
    <t>$23 billion</t>
  </si>
  <si>
    <t>https://www.datacenterdynamics.com/en/news/prologis-files-to-build-99mw-data-center-in-san-jose-california/</t>
  </si>
  <si>
    <t>07/11/2026</t>
  </si>
  <si>
    <t>Colovore</t>
  </si>
  <si>
    <t>1101 Space Park Drive</t>
  </si>
  <si>
    <t>95054</t>
  </si>
  <si>
    <t>37.37668</t>
  </si>
  <si>
    <t>-121.953</t>
  </si>
  <si>
    <t>24,000</t>
  </si>
  <si>
    <t>Liquid cooled</t>
  </si>
  <si>
    <t>https://www.datacenterdynamics.com/en/news/colovore-plans-data-center-in-austin-texas/</t>
  </si>
  <si>
    <t>08/03/2025</t>
  </si>
  <si>
    <t>3060 Raymond Street</t>
  </si>
  <si>
    <t>37.37739</t>
  </si>
  <si>
    <t>CoreSite SV9</t>
  </si>
  <si>
    <t>2915 Stender Way</t>
  </si>
  <si>
    <t>37.37492</t>
  </si>
  <si>
    <t>-121.969</t>
  </si>
  <si>
    <t>34</t>
  </si>
  <si>
    <t>228,000</t>
  </si>
  <si>
    <t>https://www.datacenterdynamics.com/en/news/coresite-launches-santa-clara-data-center-california/</t>
  </si>
  <si>
    <t>Digital Realty SJC14</t>
  </si>
  <si>
    <t>1500 Space Park Dr</t>
  </si>
  <si>
    <t>37.37578</t>
  </si>
  <si>
    <t>-121.95516</t>
  </si>
  <si>
    <t>Digital Realty</t>
  </si>
  <si>
    <t>9</t>
  </si>
  <si>
    <t>52,000</t>
  </si>
  <si>
    <t>https://www.datacenters.com/digital-realty-silicon-valley-sjc37</t>
  </si>
  <si>
    <t>01/28/2026</t>
  </si>
  <si>
    <t>Digital Realty SJC37 Data Center</t>
  </si>
  <si>
    <t>641 Walsh St</t>
  </si>
  <si>
    <t>95050</t>
  </si>
  <si>
    <t>37.371067</t>
  </si>
  <si>
    <t>-121.94693</t>
  </si>
  <si>
    <t>430,000</t>
  </si>
  <si>
    <t>https://www.digitalrealty.com/data-centers/americas/silicon-valley/sjc37</t>
  </si>
  <si>
    <t>01/27/2026</t>
  </si>
  <si>
    <t>EdgeConneX Edge Data Center Santa Clara</t>
  </si>
  <si>
    <t>1700 Richard Ave</t>
  </si>
  <si>
    <t>37.36431</t>
  </si>
  <si>
    <t>-121.959</t>
  </si>
  <si>
    <t>19,800</t>
  </si>
  <si>
    <t>https://www.edgeconnex.com/locations/americas/santa-clara-ca/</t>
  </si>
  <si>
    <t>EdgeCore Data Center</t>
  </si>
  <si>
    <t>3580 Juliette Ln</t>
  </si>
  <si>
    <t>37.38413</t>
  </si>
  <si>
    <t>-121.965744</t>
  </si>
  <si>
    <t>EdgeCore</t>
  </si>
  <si>
    <t>72</t>
  </si>
  <si>
    <t>540,000</t>
  </si>
  <si>
    <t>https://www.datacenterdynamics.com/en/news/edgecore-opens-silicon-valley-data-center/</t>
  </si>
  <si>
    <t>01/23/2026</t>
  </si>
  <si>
    <t>Walsh Bowers Technology Center: CoreSite</t>
  </si>
  <si>
    <t>2805 and 2855 Bowers Ave and 2710 Walsh Ave</t>
  </si>
  <si>
    <t>95051</t>
  </si>
  <si>
    <t>37.37316</t>
  </si>
  <si>
    <t>-121.976166</t>
  </si>
  <si>
    <t>CoreSite</t>
  </si>
  <si>
    <t>244,070</t>
  </si>
  <si>
    <t>11</t>
  </si>
  <si>
    <t>2030</t>
  </si>
  <si>
    <t>3 separate buildings could be re-developed. Currently only plans for 2805 Bowers.</t>
  </si>
  <si>
    <t>https://www.datacenterdynamics.com/en/news/coresite-acquires-silicon-valley-office-property-zoned-for-data-center-redevelopment/</t>
  </si>
  <si>
    <t>Nautilus Data Technology</t>
  </si>
  <si>
    <t>1002 Embarcadero</t>
  </si>
  <si>
    <t>Stockton</t>
  </si>
  <si>
    <t>95203</t>
  </si>
  <si>
    <t>San Joaquin</t>
  </si>
  <si>
    <t>37.96411</t>
  </si>
  <si>
    <t>-121.369</t>
  </si>
  <si>
    <t>https://www.cerebras.ai/press-release/cerebras-announces-six-new-ai-datacenters-across-north-america-and-europe-to-deliver-industry-s</t>
  </si>
  <si>
    <t>09/25/2025</t>
  </si>
  <si>
    <t>Cerebras Systems Data Center</t>
  </si>
  <si>
    <t>1237 E Arques Ave</t>
  </si>
  <si>
    <t>Sunnyvale</t>
  </si>
  <si>
    <t>94085</t>
  </si>
  <si>
    <t>37.38112</t>
  </si>
  <si>
    <t>-121.993</t>
  </si>
  <si>
    <t>https://www.datacenterdynamics.com/en/news/cerebras-plans-six-new-ai-data-centers-in-north-america-and-europe/</t>
  </si>
  <si>
    <t>Menlo Equities Data Centere</t>
  </si>
  <si>
    <t>894 Ross Dr</t>
  </si>
  <si>
    <t>94089</t>
  </si>
  <si>
    <t>37.400707</t>
  </si>
  <si>
    <t>-122.03299</t>
  </si>
  <si>
    <t>49</t>
  </si>
  <si>
    <t>244,215</t>
  </si>
  <si>
    <t>https://www.datacenterdynamics.com/en/news/menlo-equities-pivots-office-site-in-silicon-valley-to-data-center-development/</t>
  </si>
  <si>
    <t>Elk Hills Oil Field</t>
  </si>
  <si>
    <t>Tupman</t>
  </si>
  <si>
    <t>93276</t>
  </si>
  <si>
    <t>35.273212</t>
  </si>
  <si>
    <t>-119.3995</t>
  </si>
  <si>
    <t>275</t>
  </si>
  <si>
    <t>400,000</t>
  </si>
  <si>
    <t>https://www.datacenterdynamics.com/en/news/canadas-beacon-dc-targets-275mw-data-center-campus-on-california-oil-field/</t>
  </si>
  <si>
    <t>Digital Data Center</t>
  </si>
  <si>
    <t>4400 Pacific Blvd</t>
  </si>
  <si>
    <t>Vernon</t>
  </si>
  <si>
    <t>90058</t>
  </si>
  <si>
    <t>34.00368</t>
  </si>
  <si>
    <t>-118.22968</t>
  </si>
  <si>
    <t>California Digital Realty</t>
  </si>
  <si>
    <t>253,200</t>
  </si>
  <si>
    <t>https://www.datacenterdynamics.com/en/news/digital-realty-buys-land-in-los-angeles-for-32mw-data-center/</t>
  </si>
  <si>
    <t>11/09/2025</t>
  </si>
  <si>
    <t>"Denver 1" QTS Data Center</t>
  </si>
  <si>
    <t>1160 N Gun Club Rd</t>
  </si>
  <si>
    <t>Aurora</t>
  </si>
  <si>
    <t>CO</t>
  </si>
  <si>
    <t>80018</t>
  </si>
  <si>
    <t>Arapahoe</t>
  </si>
  <si>
    <t>39.734226</t>
  </si>
  <si>
    <t>-104.708</t>
  </si>
  <si>
    <t>Oil/Diesel, Grid (unspecified mix)</t>
  </si>
  <si>
    <t>40-138</t>
  </si>
  <si>
    <t>65</t>
  </si>
  <si>
    <t>https://q.com/data-centers/denver/</t>
  </si>
  <si>
    <t>https://www.ocolo.io/colocation/qts-data-centers/aurora-denver-campus/</t>
  </si>
  <si>
    <t>https://www.cpr.org/2026/07/08/qts-aurora-data-center-diesel-generators/</t>
  </si>
  <si>
    <t>07/14/2026</t>
  </si>
  <si>
    <t>DEN1</t>
  </si>
  <si>
    <t>7347 S. Revere Parkway Building C</t>
  </si>
  <si>
    <t>Centennial</t>
  </si>
  <si>
    <t>80112</t>
  </si>
  <si>
    <t>39.58275</t>
  </si>
  <si>
    <t>-104.841</t>
  </si>
  <si>
    <t>32,000</t>
  </si>
  <si>
    <t>https://www.expedient.com/data-centers/denver/</t>
  </si>
  <si>
    <t>Colorado Springs Data Center</t>
  </si>
  <si>
    <t>1780 Jet Stream Drive</t>
  </si>
  <si>
    <t>Colorado Springs</t>
  </si>
  <si>
    <t>80921</t>
  </si>
  <si>
    <t>El Paso</t>
  </si>
  <si>
    <t>38.99734</t>
  </si>
  <si>
    <t>-104.792</t>
  </si>
  <si>
    <t>Colocation / enterprise data center</t>
  </si>
  <si>
    <t>Flexential</t>
  </si>
  <si>
    <t>14,613</t>
  </si>
  <si>
    <t>https://inflect.com/building/1780-jet-stream-drive-colorado-springs/uniti/datacenter/colorado-springs</t>
  </si>
  <si>
    <t>Project Taurus</t>
  </si>
  <si>
    <t>1565 High Tech Way</t>
  </si>
  <si>
    <t>80907</t>
  </si>
  <si>
    <t>38.893997</t>
  </si>
  <si>
    <t>-104.85778</t>
  </si>
  <si>
    <t>Raeden</t>
  </si>
  <si>
    <t>451,217</t>
  </si>
  <si>
    <t>22</t>
  </si>
  <si>
    <t>https://www.youtube.com/watch?v=T-UnB0MIz3g</t>
  </si>
  <si>
    <t>https://www.nodatacentercos.com</t>
  </si>
  <si>
    <t>https://www.facebook.com/groups/942876081944302/</t>
  </si>
  <si>
    <t>https://www.datacenterdynamics.com/en/news/50mw-data-center-could-be-built-in-colorado-springs/</t>
  </si>
  <si>
    <t>https://www.datacenterdynamics.com/en/news/50mw-project-taurus-data-center-gets-go-ahead-in-colorado/</t>
  </si>
  <si>
    <t>04/09/2026</t>
  </si>
  <si>
    <t>06/22/2026</t>
  </si>
  <si>
    <t>CoreSite DE1 Data Center</t>
  </si>
  <si>
    <t>910 15th Street</t>
  </si>
  <si>
    <t>Denver</t>
  </si>
  <si>
    <t>80202</t>
  </si>
  <si>
    <t>39.74566</t>
  </si>
  <si>
    <t>-104.99561</t>
  </si>
  <si>
    <t>152,000</t>
  </si>
  <si>
    <t>https://www.coresite.com/news/coresite-achieves-key-construction-milestone-for-new-de3-data-center-in-denver</t>
  </si>
  <si>
    <t>11/24/2025</t>
  </si>
  <si>
    <t>CoreSite DE2 Data Center</t>
  </si>
  <si>
    <t>639 E 18th Ave</t>
  </si>
  <si>
    <t>80203</t>
  </si>
  <si>
    <t>39.745472</t>
  </si>
  <si>
    <t>-104.97931</t>
  </si>
  <si>
    <t>5,100</t>
  </si>
  <si>
    <t>CoreSite DE3 Data Center</t>
  </si>
  <si>
    <t>4900 Race St</t>
  </si>
  <si>
    <t>Elyria-Swansea (Denver)</t>
  </si>
  <si>
    <t>80216</t>
  </si>
  <si>
    <t>39.785824</t>
  </si>
  <si>
    <t>-104.962845</t>
  </si>
  <si>
    <t>75</t>
  </si>
  <si>
    <t>https://www.ges-coalition.org/</t>
  </si>
  <si>
    <t>https://www.denver7.com/money/science-and-tech/ai-data-center-could-use-more-power-than-dia-leaving-neighbors-worried-about-power-and-water-bills</t>
  </si>
  <si>
    <t>https://www.cpr.org/2025/10/14/ai-air-quality-impact/</t>
  </si>
  <si>
    <t>https://www.coloradopolitics.com/2026/02/25/denvers-elyria-swansea-residents-fight-new-data-center/</t>
  </si>
  <si>
    <t>Cielo Digital Infrastructure</t>
  </si>
  <si>
    <t>Hudson</t>
  </si>
  <si>
    <t>80642</t>
  </si>
  <si>
    <t>Weld</t>
  </si>
  <si>
    <t>40.09549</t>
  </si>
  <si>
    <t>-104.609</t>
  </si>
  <si>
    <t>750</t>
  </si>
  <si>
    <t>https://www.datacenterdynamics.com/en/news/cielo-digital-infrastructure-plans-300mw-data-center-campus-in-south-carolina/</t>
  </si>
  <si>
    <t>06/24/2025</t>
  </si>
  <si>
    <t>Sterling Data Center</t>
  </si>
  <si>
    <t>west of C.R. 9, roughly 21 miles northwest of Sterling</t>
  </si>
  <si>
    <t>Sterling</t>
  </si>
  <si>
    <t>80747</t>
  </si>
  <si>
    <t>Logan</t>
  </si>
  <si>
    <t>40.85</t>
  </si>
  <si>
    <t>-103.45</t>
  </si>
  <si>
    <t>Granite Renewables</t>
  </si>
  <si>
    <t>2000</t>
  </si>
  <si>
    <t>Hybrid (onsite and grid)</t>
  </si>
  <si>
    <t>4198</t>
  </si>
  <si>
    <t xml:space="preserve">$15 billion </t>
  </si>
  <si>
    <t xml:space="preserve">Yes </t>
  </si>
  <si>
    <t>https://www.facebook.com/groups/1216403050609399/</t>
  </si>
  <si>
    <t>https://www.thefencepost.com/news/growing-microprocessors-instead-of-wheat/</t>
  </si>
  <si>
    <t>https://www.journal-advocate.com/2026/02/18/logan-county-commissioners-approve-data-center-regulations/</t>
  </si>
  <si>
    <t>05/19/2026</t>
  </si>
  <si>
    <t>Global AI</t>
  </si>
  <si>
    <t>2000 Howard Smith Avenue West</t>
  </si>
  <si>
    <t>Windsor</t>
  </si>
  <si>
    <t>80550</t>
  </si>
  <si>
    <t>40.458607</t>
  </si>
  <si>
    <t>-104.87199</t>
  </si>
  <si>
    <t>18-24</t>
  </si>
  <si>
    <t>438</t>
  </si>
  <si>
    <t>$2-20 billion</t>
  </si>
  <si>
    <t>https://www.datacenterdynamics.com/en/news/global-ai-set-to-develop-data-center-outside-denver-colorado/</t>
  </si>
  <si>
    <t>03/04/2026</t>
  </si>
  <si>
    <t>04/27/2026</t>
  </si>
  <si>
    <t>Atlas Capital Group</t>
  </si>
  <si>
    <t>132 Griffin Rd N</t>
  </si>
  <si>
    <t>Bloomfield</t>
  </si>
  <si>
    <t>CT</t>
  </si>
  <si>
    <t>06002</t>
  </si>
  <si>
    <t>Hartford</t>
  </si>
  <si>
    <t>41.88474</t>
  </si>
  <si>
    <t>-72.7435</t>
  </si>
  <si>
    <t>https://www.ctinsider.com/business/article/ct-bloomfield-data-center-proposal-20758986.php</t>
  </si>
  <si>
    <t>GotSpace Data Center</t>
  </si>
  <si>
    <t>Bozrah St</t>
  </si>
  <si>
    <t>Bozrah</t>
  </si>
  <si>
    <t>06334</t>
  </si>
  <si>
    <t>New London</t>
  </si>
  <si>
    <t>41.5586</t>
  </si>
  <si>
    <t>-72.1706</t>
  </si>
  <si>
    <t>980,000</t>
  </si>
  <si>
    <t>https://www.datacenterdynamics.com/en/news/15gw-data-center-campus-proposed-in-pennsylvania/</t>
  </si>
  <si>
    <t>https://ctexaminer.com/2022/08/11/facing-budget-squeeze-bozrah-to-decide-on-approving-a-hyperscale-data-center/</t>
  </si>
  <si>
    <t>07/24/2025</t>
  </si>
  <si>
    <t>Bristol Technology Center</t>
  </si>
  <si>
    <t>234 Riverside Ave</t>
  </si>
  <si>
    <t>Bristol</t>
  </si>
  <si>
    <t>06010</t>
  </si>
  <si>
    <t>41.669926</t>
  </si>
  <si>
    <t>-72.93476</t>
  </si>
  <si>
    <t>Fuel Cells</t>
  </si>
  <si>
    <t>15,000</t>
  </si>
  <si>
    <t>https://www.change.org/p/bristol-ct-say-no-to-the-data-center</t>
  </si>
  <si>
    <t>https://bristoledition.org/blog/2026/04/20/mayors-column-lets-talk-about-data-center/</t>
  </si>
  <si>
    <t>https://morethanjustparks.com/data-center-tracker/fbca6793-3b59-4b84-bda7-294be0a814d1</t>
  </si>
  <si>
    <t>NE Edge Groton Data Center</t>
  </si>
  <si>
    <t>adjacent to Millstone Nuclear Power Station</t>
  </si>
  <si>
    <t>Waterford</t>
  </si>
  <si>
    <t>06385</t>
  </si>
  <si>
    <t>41.31387</t>
  </si>
  <si>
    <t>-72.1673</t>
  </si>
  <si>
    <t>1,500,000</t>
  </si>
  <si>
    <t>25</t>
  </si>
  <si>
    <t>Groton approved a ban on data centers larger than 12,500 ft, blocking the project</t>
  </si>
  <si>
    <t>https://www.datacenterdynamics.com/en/news/groton-ct-blocks-large-scale-data-center-projects-thwarting-ne-edge/</t>
  </si>
  <si>
    <t>Starwood Digital Ventures</t>
  </si>
  <si>
    <t>Governor Lea Rd</t>
  </si>
  <si>
    <t>New Castle</t>
  </si>
  <si>
    <t>DE</t>
  </si>
  <si>
    <t>19720</t>
  </si>
  <si>
    <t>39.60745</t>
  </si>
  <si>
    <t>-75.6397</t>
  </si>
  <si>
    <t>Oil/Diesel</t>
  </si>
  <si>
    <t>516</t>
  </si>
  <si>
    <t>6,000,000</t>
  </si>
  <si>
    <t>570</t>
  </si>
  <si>
    <t xml:space="preserve">Environmental denial upheld in court </t>
  </si>
  <si>
    <t>https://www.datacenterdynamics.com/en/news/starwood-files-to-develop-12gw-11-building-data-center-campus-in-delaware/</t>
  </si>
  <si>
    <t>https://www.delawareonline.com/story/money/business/2025/07/17/data-center-new-castle-county-delaware/85239325007/</t>
  </si>
  <si>
    <t>https://www.datacenterdynamics.com/en/news/applicant-appeals-data-center-rejection-in-delaware/</t>
  </si>
  <si>
    <t>https://whyy.org/articles/delaware-city-data-center-setback-environment</t>
  </si>
  <si>
    <t>https://spotlightdelaware.org/2026/03/26/delaware-city-data-center-environmental-denial-upheld-by-state-board/</t>
  </si>
  <si>
    <t>03/31/2026</t>
  </si>
  <si>
    <t>Fort Meade Data Center</t>
  </si>
  <si>
    <t>Co Rd 700</t>
  </si>
  <si>
    <t>Fort Meade</t>
  </si>
  <si>
    <t>FL</t>
  </si>
  <si>
    <t>33841</t>
  </si>
  <si>
    <t>Polk</t>
  </si>
  <si>
    <t>27.79178</t>
  </si>
  <si>
    <t>-81.8185</t>
  </si>
  <si>
    <t>4,400,000</t>
  </si>
  <si>
    <t>1163</t>
  </si>
  <si>
    <t>https://watchdogsoffortmeade.com/</t>
  </si>
  <si>
    <t>https://www.facebook.com/groups/1397482882419331/</t>
  </si>
  <si>
    <t>https://www.datacenterdynamics.com/en/news/44-million-sq-ft-data-center-campus-gets-zoning-approval-in-fort-meade-florida/</t>
  </si>
  <si>
    <t>https://www.datacenterdynamics.com/en/news/plans-to-build-1300-acre-data-center-in-fort-meade-florida-gets-go-ahead-from-officials/</t>
  </si>
  <si>
    <t>06/21/2025</t>
  </si>
  <si>
    <t>Sentinel Grove Technology Park/ Project Jarvis</t>
  </si>
  <si>
    <t>Minute Maid Rd &amp; Orange Ave</t>
  </si>
  <si>
    <t>Fort Pierce</t>
  </si>
  <si>
    <t>34945</t>
  </si>
  <si>
    <t>St Lucie</t>
  </si>
  <si>
    <t>27.45444</t>
  </si>
  <si>
    <t>-80.55799</t>
  </si>
  <si>
    <t>1000</t>
  </si>
  <si>
    <t>15,000,000</t>
  </si>
  <si>
    <t>1218</t>
  </si>
  <si>
    <t>Voted down by planning and zoning commission, 4-2. dThe land is still owned by the same investor, so a revised proposal in the future remains possible. July 2026, project held back due to lack of water.</t>
  </si>
  <si>
    <t>https://www.datacenterdynamics.com/en/news/officials-fail-to-back-plans-for-1gw-data-center-campus-in-florida/</t>
  </si>
  <si>
    <t>https://www.tcpalm.com/story/news/local/st-lucie-county/2025/10/23/13-billion-data-center-largest-in-florida-planned-on-treasure-coast/86770609007</t>
  </si>
  <si>
    <t>https://www.datacenterdynamics.com/en/news/data-center-developer-withdraws-application-in-florida-in-response-to-proposed-regulations/</t>
  </si>
  <si>
    <t>11/16/2025</t>
  </si>
  <si>
    <t>Marion Rd</t>
  </si>
  <si>
    <t>Haines City</t>
  </si>
  <si>
    <t>33844</t>
  </si>
  <si>
    <t>28.077297</t>
  </si>
  <si>
    <t>-81.57323</t>
  </si>
  <si>
    <t>https://www.datacenterdynamics.com/en/news/planned-data-center-in-florida-held-back-by-lack-of-available-water-from-city/</t>
  </si>
  <si>
    <t>07/18/2026</t>
  </si>
  <si>
    <t>Hernando Deltona Data Center</t>
  </si>
  <si>
    <t>between N Lecanto Hwy and N Florida Ave</t>
  </si>
  <si>
    <t>Hernando</t>
  </si>
  <si>
    <t>34442</t>
  </si>
  <si>
    <t>Citrus</t>
  </si>
  <si>
    <t>28.954117</t>
  </si>
  <si>
    <t>-82.405014</t>
  </si>
  <si>
    <t>Deltona Corp.</t>
  </si>
  <si>
    <t>1400</t>
  </si>
  <si>
    <t>https://www.datacenterdynamics.com/en/news/data-center-proposal-in-citrus-county-florida-withdrawn-by-developer/</t>
  </si>
  <si>
    <t>Project Swan</t>
  </si>
  <si>
    <t>923 Wilkinson Rd</t>
  </si>
  <si>
    <t>Lakeland</t>
  </si>
  <si>
    <t>33803</t>
  </si>
  <si>
    <t>28.03012</t>
  </si>
  <si>
    <t>-82.00534</t>
  </si>
  <si>
    <t>600,000</t>
  </si>
  <si>
    <t>60</t>
  </si>
  <si>
    <t>https://www.datacenterdynamics.com/en/news/600000-sq-ft-project-swan-data-center-could-be-built-in-lakeland-florida/</t>
  </si>
  <si>
    <t>06/07/2026</t>
  </si>
  <si>
    <t>Project Tango</t>
  </si>
  <si>
    <t>near 20125 Southern Blvd</t>
  </si>
  <si>
    <t>Loxahatchee</t>
  </si>
  <si>
    <t>33470</t>
  </si>
  <si>
    <t>Palm Beach</t>
  </si>
  <si>
    <t>26.694838</t>
  </si>
  <si>
    <t>-80.37178</t>
  </si>
  <si>
    <t>3,700,000</t>
  </si>
  <si>
    <t>202</t>
  </si>
  <si>
    <t>$2.6 Billion</t>
  </si>
  <si>
    <t>Palm Beach County commissioners are expected to revisit the Project Tango proposal at a meeting scheduled for April 23, where potential zoning changes tied to the project will be considered</t>
  </si>
  <si>
    <t>https://www.notoprojecttango.com/</t>
  </si>
  <si>
    <t>https://www.facebook.com/groups/1359906715176907/</t>
  </si>
  <si>
    <t>https://www.change.org/p/say-no-to-the-construction-of-project-tango-ai-data-center-in-palm-beach-county</t>
  </si>
  <si>
    <t>Palm Beach County zoning commission recommended approval of the plans in December 2025. Plans include a dedicated substation. At full build-out, estimated water use is about 5,000 gallons per day. Power will be provided by Florida Power &amp; Light.</t>
  </si>
  <si>
    <t>https://www.datacenterdynamics.com/en/news/37-million-sq-ft-data-center-campus-gets-initial-ok-from-officials-in-florida/</t>
  </si>
  <si>
    <t>https://www.centralparkcommercecenter.com/?gad_source=1&amp;gad_campaignid=23618902760&amp;gbraid=0AAAABDBJa97eBuMRlkuHAKrIbasfiOwuK&amp;gclid=CjwKCAjwjtTNBhB0EiwAuswYhj3-_K3T9s7db44QwVV6j0ZsEQnNwx_-C4jOldThZx7BgnJzaq_PSRoC62EQAvD_BwE</t>
  </si>
  <si>
    <t>https://cbs12.com/news/local/what-is-an-ai-data-center-palm-beach-county-debate-over-project-tango-explained</t>
  </si>
  <si>
    <t>12/11/2025</t>
  </si>
  <si>
    <t>06/08/2026</t>
  </si>
  <si>
    <t>HostDime Data Center</t>
  </si>
  <si>
    <t>1 Innovative Pl</t>
  </si>
  <si>
    <t>Maitland</t>
  </si>
  <si>
    <t>32751</t>
  </si>
  <si>
    <t>Orange</t>
  </si>
  <si>
    <t>28.6146</t>
  </si>
  <si>
    <t>-81.3857</t>
  </si>
  <si>
    <t>100,000</t>
  </si>
  <si>
    <t>https://www.datacenterdynamics.com/en/news/hostdime-seeks-deadline-extension-for-data-center-in-eatonville-orlando/</t>
  </si>
  <si>
    <t>09/03/2025</t>
  </si>
  <si>
    <t>Iron Mountain Data Center</t>
  </si>
  <si>
    <t>12300 NW 32nd Ave</t>
  </si>
  <si>
    <t>Miami</t>
  </si>
  <si>
    <t>33167</t>
  </si>
  <si>
    <t>Miami-Dade</t>
  </si>
  <si>
    <t>25.88661</t>
  </si>
  <si>
    <t>-80.2539</t>
  </si>
  <si>
    <t>Former records center</t>
  </si>
  <si>
    <t>https://www.datacenterdynamics.com/en/news/iron-mountain-tops-outs-miami-data-center/</t>
  </si>
  <si>
    <t>08/12/2025</t>
  </si>
  <si>
    <t xml:space="preserve">Okee-One </t>
  </si>
  <si>
    <t>7200 US-441</t>
  </si>
  <si>
    <t>Okeechobee</t>
  </si>
  <si>
    <t>34972</t>
  </si>
  <si>
    <t>27.307442</t>
  </si>
  <si>
    <t>-80.82401</t>
  </si>
  <si>
    <t>https://www.wptv.com/news/treasure-coast/region-okeechobee-county/vote-by-okeechobee-county-commissioners-kills-controversial-okee-one-data-center-project</t>
  </si>
  <si>
    <t>https://www.wgcu.org/section/science/2026-04-24/okeechobeeokee-onedoa</t>
  </si>
  <si>
    <t>https://cbs12.com/news/local/-florida-news-public-outcry-wins-okeechobee-scraps-data-center-project-special-technology-opportunity-centers-comprehensive-plan-future-land-use-transportation-housing-infrastructure-recreation-intergovernmental-coordination-capital-improve</t>
  </si>
  <si>
    <t xml:space="preserve">H5 Data Center </t>
  </si>
  <si>
    <t>655 North Franklin St</t>
  </si>
  <si>
    <t>Tampa</t>
  </si>
  <si>
    <t>33602</t>
  </si>
  <si>
    <t>Hillsborough</t>
  </si>
  <si>
    <t>27.949583</t>
  </si>
  <si>
    <t>-82.45849</t>
  </si>
  <si>
    <t>30,400</t>
  </si>
  <si>
    <t>https://www.datacenterdynamics.com/en/news/h5-and-novacap-launch-new-data-center-platform-acquire-three-carrier-hotels-from-365/</t>
  </si>
  <si>
    <t>Eagle Rock Jones County</t>
  </si>
  <si>
    <t>approximately 3 miles southwest of the intersection of Highway 49 and Highway 18</t>
  </si>
  <si>
    <t>GA</t>
  </si>
  <si>
    <t>Jones</t>
  </si>
  <si>
    <t>32.91274</t>
  </si>
  <si>
    <t>-83.472046</t>
  </si>
  <si>
    <t>Eagle Rock Partners LLC and Thomas &amp; Hutton Engineering</t>
  </si>
  <si>
    <t>900</t>
  </si>
  <si>
    <t>https://www.facebook.com/groups/1699215814102745/</t>
  </si>
  <si>
    <t>Sci4GA</t>
  </si>
  <si>
    <t>https://www.13wmaz.com/article/news/local/600-acre-data-center-proposed-for-jones-county-faces-early-opposition/93-25e72bf8-9eed-47ae-a351-8b7a05ee723f#</t>
  </si>
  <si>
    <t>10/16/2025</t>
  </si>
  <si>
    <t>Dixon Data Center/Project Sassy</t>
  </si>
  <si>
    <t>Plainville Road and Ga-53</t>
  </si>
  <si>
    <t>Adairsville</t>
  </si>
  <si>
    <t>30103</t>
  </si>
  <si>
    <t>Floyd</t>
  </si>
  <si>
    <t>34.37998</t>
  </si>
  <si>
    <t>-85.034</t>
  </si>
  <si>
    <t>Atlas Development</t>
  </si>
  <si>
    <t>https://www.datacenterdynamics.com/en/news/atlas-named-as-developer-on-project-sassy-in-rome-georgia/</t>
  </si>
  <si>
    <t>Project Springbank</t>
  </si>
  <si>
    <t>Perkins Mountain Rd</t>
  </si>
  <si>
    <t>30145</t>
  </si>
  <si>
    <t>Bartow</t>
  </si>
  <si>
    <t>34.30926</t>
  </si>
  <si>
    <t>-84.9633</t>
  </si>
  <si>
    <t>78</t>
  </si>
  <si>
    <t>2,270,000</t>
  </si>
  <si>
    <t>$4.5 billion</t>
  </si>
  <si>
    <t>Advocacy regarding Project Springbank in Adairsville, GA, centers on a successful community-led campaign that resulted in the developer, Atlas Development, withdrawing its rezoning application in May 2025. Despite the project being formally cancelled, local and statewide advocacy remains high to prevent similar developments from resurfacing.</t>
  </si>
  <si>
    <t>https://www.facebook.com/groups/1072832508191794/</t>
  </si>
  <si>
    <t>Project withdrawn</t>
  </si>
  <si>
    <t>https://www.datacenterdynamics.com/en/news/two-million-sq-ft-data-center-campus-planned-outside-atlanta-georgia/</t>
  </si>
  <si>
    <t>https://www.ajc.com/news/business/45b-project-springbank-joins-metro-atlantas-data-center-pipeline/2ZNPEXHMIZBXNPKIPWHJZ4FLH4/</t>
  </si>
  <si>
    <t>https://www.ajc.com/news/2025/06/as-data-centers-grow-larger-so-does-pushback-across-georgia/</t>
  </si>
  <si>
    <t>05/25/2025</t>
  </si>
  <si>
    <t>Alpharetta GA1</t>
  </si>
  <si>
    <t>11650 Great Oaks Way</t>
  </si>
  <si>
    <t>Alpharetta</t>
  </si>
  <si>
    <t>30022</t>
  </si>
  <si>
    <t>Fulton</t>
  </si>
  <si>
    <t>34.063183</t>
  </si>
  <si>
    <t>-84.272896</t>
  </si>
  <si>
    <t>365 Data Centers</t>
  </si>
  <si>
    <t>77,300</t>
  </si>
  <si>
    <t>https://baxtel.com/data-center/sungard-atlanta-alpharetta</t>
  </si>
  <si>
    <t>ATL2</t>
  </si>
  <si>
    <t>4905 North Point Pkwy</t>
  </si>
  <si>
    <t>30009</t>
  </si>
  <si>
    <t>34.057144</t>
  </si>
  <si>
    <t>-84.273</t>
  </si>
  <si>
    <t>Lincoln Rackhouse</t>
  </si>
  <si>
    <t>185,000</t>
  </si>
  <si>
    <t>https://baxtel.com/data-center/ascent-atlanta-atl1</t>
  </si>
  <si>
    <t>Atlanta-Alpharetta</t>
  </si>
  <si>
    <t>12655 Edison Dr</t>
  </si>
  <si>
    <t>30005</t>
  </si>
  <si>
    <t>34.086994</t>
  </si>
  <si>
    <t>-84.25179</t>
  </si>
  <si>
    <t>139,474</t>
  </si>
  <si>
    <t>https://baxtel.com/data-center/flexential-atlanta-alpharetta</t>
  </si>
  <si>
    <t>AT&amp;T Data Center</t>
  </si>
  <si>
    <t>21515 Innovation Way</t>
  </si>
  <si>
    <t>30004</t>
  </si>
  <si>
    <t>34.086502</t>
  </si>
  <si>
    <t>-84.27612</t>
  </si>
  <si>
    <t>88,110</t>
  </si>
  <si>
    <t>https://www.datacenterdynamics.com/en/news/att-occupied-data-center-up-for-sale-in-alpharetta-georgia/</t>
  </si>
  <si>
    <t>Project JGK</t>
  </si>
  <si>
    <t>White Oak Technology Park, Appling-Harlem Rd</t>
  </si>
  <si>
    <t>Appling</t>
  </si>
  <si>
    <t>30814</t>
  </si>
  <si>
    <t>Columbia</t>
  </si>
  <si>
    <t>33.49546</t>
  </si>
  <si>
    <t>-82.337</t>
  </si>
  <si>
    <t>8,000,000</t>
  </si>
  <si>
    <t>$11.6 billion</t>
  </si>
  <si>
    <t>https://www.augustachronicle.com/story/business/2025/05/01/columbia-county-technology-park-project-valued-at-11-billion-data-centers-economic-development/83375427007/</t>
  </si>
  <si>
    <t>White Oak Technology Park</t>
  </si>
  <si>
    <t>Off Morris Callaway Road &amp; Innovation Parkway</t>
  </si>
  <si>
    <t>30802</t>
  </si>
  <si>
    <t>33.51421</t>
  </si>
  <si>
    <t>-82.34112</t>
  </si>
  <si>
    <t>Trammell Crow Company</t>
  </si>
  <si>
    <t>8,076,687</t>
  </si>
  <si>
    <t>https://apps.dca.ga.gov/DRI/AppSummary.aspx?driid=4443</t>
  </si>
  <si>
    <t xml:space="preserve">Athens Studio Data Center </t>
  </si>
  <si>
    <t>900 Athena Dr</t>
  </si>
  <si>
    <t>Athens</t>
  </si>
  <si>
    <t>30601</t>
  </si>
  <si>
    <t>Clarke</t>
  </si>
  <si>
    <t>33.970966</t>
  </si>
  <si>
    <t>-83.31563</t>
  </si>
  <si>
    <t>https://www.change.org/p/say-no-to-the-proposed-data-center-at-athena-studios</t>
  </si>
  <si>
    <t>Potential conversion of film production studio to data center</t>
  </si>
  <si>
    <t>https://www.datacenterdynamics.com/en/news/georgia-based-film-studio-considers-converting-to-data-center/</t>
  </si>
  <si>
    <t>12/18/2025</t>
  </si>
  <si>
    <t>03/23/2026</t>
  </si>
  <si>
    <t>Adair Park / West End Data Center</t>
  </si>
  <si>
    <t>713 Ralph David Abernathy Blvd</t>
  </si>
  <si>
    <t>Atlanta</t>
  </si>
  <si>
    <t>30310</t>
  </si>
  <si>
    <t>33.739025</t>
  </si>
  <si>
    <t>-84.41105</t>
  </si>
  <si>
    <t>Southwest Atlanta Residents Mobilize (SWARM Community Coalition)</t>
  </si>
  <si>
    <t>https://www.swarmatl.org/</t>
  </si>
  <si>
    <t>https://www.swarmatl.org/#h.yivmfousiz5i</t>
  </si>
  <si>
    <t>https://www.yahoo.com/news/articles/data-center-atlanta-thought-dead-203000461.html</t>
  </si>
  <si>
    <t>04/08/2026</t>
  </si>
  <si>
    <t>American Tower EDC Atlanta</t>
  </si>
  <si>
    <t>2374 Fairburn Road Southwest</t>
  </si>
  <si>
    <t>30331</t>
  </si>
  <si>
    <t>33.68953</t>
  </si>
  <si>
    <t>-84.51075</t>
  </si>
  <si>
    <t>American Tower Corporation</t>
  </si>
  <si>
    <t>ATL1</t>
  </si>
  <si>
    <t>40 Perimeter Center E</t>
  </si>
  <si>
    <t>30346</t>
  </si>
  <si>
    <t>DeKalb</t>
  </si>
  <si>
    <t>33.926537</t>
  </si>
  <si>
    <t>-84.32673</t>
  </si>
  <si>
    <t>77,322</t>
  </si>
  <si>
    <t>https://baxtel.com/data-center/40-perimeter-center-lincoln-rackhouse</t>
  </si>
  <si>
    <t>ATL2 Colo Data Center</t>
  </si>
  <si>
    <t>250 Williams Street NW (E-100)</t>
  </si>
  <si>
    <t>30303</t>
  </si>
  <si>
    <t>33.761627</t>
  </si>
  <si>
    <t>-84.39127</t>
  </si>
  <si>
    <t>Hivelocity</t>
  </si>
  <si>
    <t>https://www.hivelocity.net/wp-content/uploads/2024/04/Hivelocity_Atlanta.pdf</t>
  </si>
  <si>
    <t>56 Marietta Street NW</t>
  </si>
  <si>
    <t>33.75543</t>
  </si>
  <si>
    <t>-84.39146</t>
  </si>
  <si>
    <t>Corespace</t>
  </si>
  <si>
    <t>https://inflect.com/building/56-marietta-street-northwest-atlanta</t>
  </si>
  <si>
    <t>Atlanta AT1</t>
  </si>
  <si>
    <t>55 Marietta Street</t>
  </si>
  <si>
    <t>33.75585</t>
  </si>
  <si>
    <t>-84.39107</t>
  </si>
  <si>
    <t>https://baxtel.com/data-center/55-marietta</t>
  </si>
  <si>
    <t>Atlanta ATL12</t>
  </si>
  <si>
    <t>760 Doug Davis Dr</t>
  </si>
  <si>
    <t>30354</t>
  </si>
  <si>
    <t>33.657166</t>
  </si>
  <si>
    <t>-84.41514</t>
  </si>
  <si>
    <t>334,400</t>
  </si>
  <si>
    <t>https://baxtel.com/data-center/760-doug-davis-digital-realty</t>
  </si>
  <si>
    <t>Atlanta ATL13</t>
  </si>
  <si>
    <t>160,000</t>
  </si>
  <si>
    <t>https://baxtel.com/data-center/56-marietta-carrier-hotel-digital-realty</t>
  </si>
  <si>
    <t>https://www.hivelocity.net/wp-content/uploads/2024/08/Hivelocity_Atlanta.pdf</t>
  </si>
  <si>
    <t>https://www.datacenterdynamics.com/en/news/digital-realty-files-to-develop-two-building-campus-outside-atlanta-georgia/</t>
  </si>
  <si>
    <t>Atlanta ATL14</t>
  </si>
  <si>
    <t>250 Williams St NW</t>
  </si>
  <si>
    <t>33.76157</t>
  </si>
  <si>
    <t>-84.3915</t>
  </si>
  <si>
    <t>33,000</t>
  </si>
  <si>
    <t>https://baxtel.com/data-center/digital-realty-atl14</t>
  </si>
  <si>
    <t>Atlanta Metro DC1</t>
  </si>
  <si>
    <t>1033 Jefferson Street NW</t>
  </si>
  <si>
    <t>30318</t>
  </si>
  <si>
    <t>33.775944</t>
  </si>
  <si>
    <t>-84.421074</t>
  </si>
  <si>
    <t>990,000</t>
  </si>
  <si>
    <t>Part of a campus (Project Granite): https://baxtel.com/data-center/qts-atlanta-metro</t>
  </si>
  <si>
    <t>https://qtsdatacenters.com/wp-content/uploads/2024/07/QTS_DataSheet_ATL1-DC1.pdf</t>
  </si>
  <si>
    <t>https://qtsdatacenters.com/data-centers/atlanta-1/</t>
  </si>
  <si>
    <t>Atlanta Metro DC2</t>
  </si>
  <si>
    <t>1025 Jefferson Street NW</t>
  </si>
  <si>
    <t>33.77647</t>
  </si>
  <si>
    <t>-84.41955</t>
  </si>
  <si>
    <t>495,000</t>
  </si>
  <si>
    <t>https://qtsdatacenters.com/-/media/resources/data-sheets/qts_data-sheet_atl1-dc2.pdf</t>
  </si>
  <si>
    <t>Atlanta Metro DC3</t>
  </si>
  <si>
    <t>953 Herndon Street</t>
  </si>
  <si>
    <t>33.78121</t>
  </si>
  <si>
    <t>-84.42252</t>
  </si>
  <si>
    <t>https://www.datacenters.com/qts-atlanta-3-dc1</t>
  </si>
  <si>
    <t>Atlanta Metro DC4</t>
  </si>
  <si>
    <t>1103 Herndon Street</t>
  </si>
  <si>
    <t>33.784534</t>
  </si>
  <si>
    <t>-84.42251</t>
  </si>
  <si>
    <t>https://www.datacenters.com/qts-atlanta-4-dc1</t>
  </si>
  <si>
    <t>ATLDC 55 Marietta</t>
  </si>
  <si>
    <t>55 Marietta Street (Suite 1740)</t>
  </si>
  <si>
    <t>ATLDC</t>
  </si>
  <si>
    <t>9,000</t>
  </si>
  <si>
    <t>https://baxtel.com/data-center/atldc-55-marietta</t>
  </si>
  <si>
    <t>AT&amp;T Southern Bell Telephone Company Building</t>
  </si>
  <si>
    <t>51 Peachtree Center Ave NE</t>
  </si>
  <si>
    <t>33.7558</t>
  </si>
  <si>
    <t>-84.3857</t>
  </si>
  <si>
    <t>AT&amp;T</t>
  </si>
  <si>
    <t>https://baxtel.com/data-center/at-t-southern-bell-telephone-company-building</t>
  </si>
  <si>
    <t>Cogent Data Center Atlanta 1</t>
  </si>
  <si>
    <t>55 Marietta Street NW (Suite 950)</t>
  </si>
  <si>
    <t>Cogent Communications</t>
  </si>
  <si>
    <t>https://baxtel.com/data-center/cogent-atlanta-55-marietta</t>
  </si>
  <si>
    <t>04/24/2026</t>
  </si>
  <si>
    <t>Cogent Data Center Atlanta 2</t>
  </si>
  <si>
    <t>1190 Allene Ave SW</t>
  </si>
  <si>
    <t>33.722496</t>
  </si>
  <si>
    <t>-84.412796</t>
  </si>
  <si>
    <t>36,172</t>
  </si>
  <si>
    <t>Colo@ Atlanta Data Center #3</t>
  </si>
  <si>
    <t>470 East Paces Ferry Rd</t>
  </si>
  <si>
    <t>30327</t>
  </si>
  <si>
    <t>33.83952</t>
  </si>
  <si>
    <t>-84.37284</t>
  </si>
  <si>
    <t>Facility Gateway Corporation</t>
  </si>
  <si>
    <t>17,000</t>
  </si>
  <si>
    <t>Coloblox SMY1 Data Center</t>
  </si>
  <si>
    <t>1100 Circle 75 Pkwy</t>
  </si>
  <si>
    <t>30339</t>
  </si>
  <si>
    <t>Cobb</t>
  </si>
  <si>
    <t>33.88972</t>
  </si>
  <si>
    <t>-84.465515</t>
  </si>
  <si>
    <t>Coloblox</t>
  </si>
  <si>
    <t>https://baxtel.com/data-center/coloblox</t>
  </si>
  <si>
    <t>ColoCrossing GA1</t>
  </si>
  <si>
    <t>34 Peachtree St</t>
  </si>
  <si>
    <t>33.755016</t>
  </si>
  <si>
    <t>-84.389626</t>
  </si>
  <si>
    <t>ColoCrossing</t>
  </si>
  <si>
    <t>10,000</t>
  </si>
  <si>
    <t>https://www.colocrossing.com/wp-content/uploads/2017/01/CC-one-pagers-11.pdf</t>
  </si>
  <si>
    <t>DataBank ATL1 Data Center</t>
  </si>
  <si>
    <t>760 W Peachtree St NW</t>
  </si>
  <si>
    <t>30308</t>
  </si>
  <si>
    <t>33.775368</t>
  </si>
  <si>
    <t>-84.387764</t>
  </si>
  <si>
    <t>DataBank</t>
  </si>
  <si>
    <t>38,260</t>
  </si>
  <si>
    <t>https://baxtel.com/data-center/databank-atlanta-atl1</t>
  </si>
  <si>
    <t>DataBank ATL1 Midtown Atlanta Data Center</t>
  </si>
  <si>
    <t>771 Spring Street</t>
  </si>
  <si>
    <t>33.77551</t>
  </si>
  <si>
    <t>-84.38868</t>
  </si>
  <si>
    <t>Georgia Tech Foundation</t>
  </si>
  <si>
    <t>93,000</t>
  </si>
  <si>
    <t>https://apps.dca.ga.gov/DRI/AppSummary.aspx?driid=2569</t>
  </si>
  <si>
    <t>DataBank ATL2 Data Center</t>
  </si>
  <si>
    <t>1100 White St SW</t>
  </si>
  <si>
    <t>33.733864</t>
  </si>
  <si>
    <t>-84.425735</t>
  </si>
  <si>
    <t>98,300</t>
  </si>
  <si>
    <t>https://baxtel.com/data-center/zcolo-atlanta</t>
  </si>
  <si>
    <t>DataBank ATL3 Data Center</t>
  </si>
  <si>
    <t>1150 White St SW</t>
  </si>
  <si>
    <t>33.73448</t>
  </si>
  <si>
    <t>-84.4265</t>
  </si>
  <si>
    <t>https://www.datacenterdynamics.com/en/news/databank-to-expand-atlanta-data-center/</t>
  </si>
  <si>
    <t>DataBank ATL4 Data Center</t>
  </si>
  <si>
    <t>200 Selig Drive SW</t>
  </si>
  <si>
    <t>30336</t>
  </si>
  <si>
    <t>33.750492</t>
  </si>
  <si>
    <t>-84.54815</t>
  </si>
  <si>
    <t>212,710</t>
  </si>
  <si>
    <t>https://www.datacenterhawk.com/colo/databank/200-selig-drive-sw/atl4</t>
  </si>
  <si>
    <t>Digital Realty 10 Forsyth Street NW Data Center</t>
  </si>
  <si>
    <t>10 Forsyth St NW</t>
  </si>
  <si>
    <t>33.755455</t>
  </si>
  <si>
    <t>-84.39201</t>
  </si>
  <si>
    <t>45</t>
  </si>
  <si>
    <t>https://www.datacenterdynamics.com/en/news/digital-realty-plans-10-story-300000-sq-ft-data-center-in-atlanta/</t>
  </si>
  <si>
    <t>EDC ATL01</t>
  </si>
  <si>
    <t>1003 Donnelly Avenue SW</t>
  </si>
  <si>
    <t>33.72936</t>
  </si>
  <si>
    <t>-84.42015</t>
  </si>
  <si>
    <t>EdgeConnex</t>
  </si>
  <si>
    <t>29,527</t>
  </si>
  <si>
    <t>Part of a campus: https://baxtel.com/data-center/edgeconnex-atlanta-campus</t>
  </si>
  <si>
    <t>https://baxtel.com/data-center/edgeconnex-atl01</t>
  </si>
  <si>
    <t>EDC ATL02</t>
  </si>
  <si>
    <t>1101 Donnelly Avenue</t>
  </si>
  <si>
    <t>33.731815</t>
  </si>
  <si>
    <t>-84.42362</t>
  </si>
  <si>
    <t>91,980</t>
  </si>
  <si>
    <t>https://baxtel.com/data-center/edgeconnex-atl02</t>
  </si>
  <si>
    <t>EdgeConneX</t>
  </si>
  <si>
    <t>Stonewall Tell Rd</t>
  </si>
  <si>
    <t>30349</t>
  </si>
  <si>
    <t>33.635</t>
  </si>
  <si>
    <t>-84.5819</t>
  </si>
  <si>
    <t>324</t>
  </si>
  <si>
    <t>https://www.datacenterdynamics.com/en/news/ta-realty-files-for-1-million-sq-ft-data-center-campus-outside-atlanta-georgia/</t>
  </si>
  <si>
    <t>Edged ATL01-1</t>
  </si>
  <si>
    <t>1800 Thomas Street NW</t>
  </si>
  <si>
    <t>33.8084</t>
  </si>
  <si>
    <t>-84.45469</t>
  </si>
  <si>
    <t>27</t>
  </si>
  <si>
    <t>https://cdn.prod.website-files.com/62f4046c4606ae485a2c58ec/66c39e92b470df059c06bccf_ATL01-1_Spec%20Sheet_240814_Digital.pdf</t>
  </si>
  <si>
    <t>https://www.edged.us/atlanta</t>
  </si>
  <si>
    <t>Edged ATL01-2</t>
  </si>
  <si>
    <t>1760 Thomas Street NW</t>
  </si>
  <si>
    <t>Edged ATL01-3</t>
  </si>
  <si>
    <t>1740 Thomas Street NW</t>
  </si>
  <si>
    <t>https://www.edged.us/news/edged-atlanta-begins-construction-on-180-mw-ultra-efficient-mega-project</t>
  </si>
  <si>
    <t>https://www.datacenterdynamics.com/en/news/edged-tops-out-42mw-data-center-in-atlanta-georgia/</t>
  </si>
  <si>
    <t>05/05/2026</t>
  </si>
  <si>
    <t>Equinix Atlanta AT1</t>
  </si>
  <si>
    <t>180 Peachtree Street NW (2nd &amp; 6th floors)</t>
  </si>
  <si>
    <t>33.758602</t>
  </si>
  <si>
    <t>-84.387856</t>
  </si>
  <si>
    <t>https://baxtel.com/data-center/equinix-atlanta-at1</t>
  </si>
  <si>
    <t>Equinix Atlanta AT2 AT3</t>
  </si>
  <si>
    <t>56 Marietta Street NW (5th and 6th Floors)</t>
  </si>
  <si>
    <t>https://baxtel.com/data-center/equinix-atlanta-at2-at3</t>
  </si>
  <si>
    <t>Equinix Atlanta AT4</t>
  </si>
  <si>
    <t>450 Interstate Parkway North</t>
  </si>
  <si>
    <t>33.895363</t>
  </si>
  <si>
    <t>-84.453636</t>
  </si>
  <si>
    <t>FOGO Atlanta</t>
  </si>
  <si>
    <t>56 Marietta Street</t>
  </si>
  <si>
    <t>FOGO Solutions</t>
  </si>
  <si>
    <t>https://baxtel.com/data-center/fogo-atlanta</t>
  </si>
  <si>
    <t>H5 Atlanta</t>
  </si>
  <si>
    <t>345 Courtland Street NE</t>
  </si>
  <si>
    <t>33.76513</t>
  </si>
  <si>
    <t>-84.38366</t>
  </si>
  <si>
    <t>8</t>
  </si>
  <si>
    <t>110,000</t>
  </si>
  <si>
    <t>leases to Lumen Atlanta 1</t>
  </si>
  <si>
    <t>https://baxtel.com/data-center/h5-atlanta</t>
  </si>
  <si>
    <t>Intero Systems</t>
  </si>
  <si>
    <t>1800 Phoenix Blvd (Suite 201)</t>
  </si>
  <si>
    <t>33.61318</t>
  </si>
  <si>
    <t>-84.44704</t>
  </si>
  <si>
    <t>Lumen Atlanta 2</t>
  </si>
  <si>
    <t>180 Peachtree Street NW (Third and Fourth Floors)</t>
  </si>
  <si>
    <t>Lumen</t>
  </si>
  <si>
    <t>https://baxtel.com/data-center/level3-atlanta-180-peachtree</t>
  </si>
  <si>
    <t>Lumen Atlanta 5</t>
  </si>
  <si>
    <t>953 Donnelly Avenue SW</t>
  </si>
  <si>
    <t>33.728493</t>
  </si>
  <si>
    <t>-84.41872</t>
  </si>
  <si>
    <t>0-.4</t>
  </si>
  <si>
    <t>2,400</t>
  </si>
  <si>
    <t>https://baxtel.com/data-center/level3-atlanta-953-donnelly</t>
  </si>
  <si>
    <t>Lumen Atlanta 6</t>
  </si>
  <si>
    <t>874 Dekalb Avenue NE</t>
  </si>
  <si>
    <t>30307</t>
  </si>
  <si>
    <t>33.75479</t>
  </si>
  <si>
    <t>-84.358734</t>
  </si>
  <si>
    <t>https://baxtel.com/data-center/level3-atlanta-874-dekalb</t>
  </si>
  <si>
    <t>Lumen Doraville 1</t>
  </si>
  <si>
    <t>6855 Crescent Dr</t>
  </si>
  <si>
    <t>30340</t>
  </si>
  <si>
    <t>Gwinnett</t>
  </si>
  <si>
    <t>33.90809</t>
  </si>
  <si>
    <t>-84.236206</t>
  </si>
  <si>
    <t>https://baxtel.com/data-center/level3-atlanta-doraville</t>
  </si>
  <si>
    <t>Marrietta Data Center</t>
  </si>
  <si>
    <t>2812 Spring Road SE (Suite 210)</t>
  </si>
  <si>
    <t>33.884117</t>
  </si>
  <si>
    <t>-84.47229</t>
  </si>
  <si>
    <t>Microsoft: Project Fulton</t>
  </si>
  <si>
    <t>Ben Hill Rd</t>
  </si>
  <si>
    <t>33.64121</t>
  </si>
  <si>
    <t>-84.5167</t>
  </si>
  <si>
    <t>250,000</t>
  </si>
  <si>
    <t>125</t>
  </si>
  <si>
    <t>$30 million</t>
  </si>
  <si>
    <t>https://www.datacenterdynamics.com/en/news/microsoft-buys-125-acre-site-in-fulton-county-georgia/</t>
  </si>
  <si>
    <t>06/25/2025</t>
  </si>
  <si>
    <t>33.77595</t>
  </si>
  <si>
    <t>0-275</t>
  </si>
  <si>
    <t>https://www.datacenterdynamics.com/en/news/qts-targets-two-data-center-campuses-in-georgia/</t>
  </si>
  <si>
    <t>Southern Telecom Atlanta</t>
  </si>
  <si>
    <t>270 Peachtree Street NE</t>
  </si>
  <si>
    <t>33.762527</t>
  </si>
  <si>
    <t>-84.387886</t>
  </si>
  <si>
    <t>Southern Telecom</t>
  </si>
  <si>
    <t>0-1</t>
  </si>
  <si>
    <t>https://baxtel.com/data-center/southern-telecom-atlanta</t>
  </si>
  <si>
    <t>Stonewall Tell Data Center</t>
  </si>
  <si>
    <t>South of South Fulton Parkway and east of Stonewall Tell Road</t>
  </si>
  <si>
    <t>33.615124</t>
  </si>
  <si>
    <t>-84.55222</t>
  </si>
  <si>
    <t>RSC Investment Management LLC</t>
  </si>
  <si>
    <t>1,902,000</t>
  </si>
  <si>
    <t>DRI Application Summary</t>
  </si>
  <si>
    <t>Sungard Availability Services Atlanta Data Center</t>
  </si>
  <si>
    <t>1055 Spring Street NW</t>
  </si>
  <si>
    <t>30309</t>
  </si>
  <si>
    <t>33.78344</t>
  </si>
  <si>
    <t>-84.38862</t>
  </si>
  <si>
    <t>Sunguard</t>
  </si>
  <si>
    <t>https://baxtel.com/data-center/sungard-atlanta-1055</t>
  </si>
  <si>
    <t>Vantage Data Centers Stacks Road Campus</t>
  </si>
  <si>
    <t>5531 Mallory Rd</t>
  </si>
  <si>
    <t>33.60657</t>
  </si>
  <si>
    <t>-84.5304</t>
  </si>
  <si>
    <t>696,980</t>
  </si>
  <si>
    <t>https://www.datacenterdynamics.com/en/news/vantage-files-for-two-data-center-campuses-outside-atlanta-georgia/</t>
  </si>
  <si>
    <t>Vantage: Westlake Project</t>
  </si>
  <si>
    <t>6605 Plummer Rd SW</t>
  </si>
  <si>
    <t>33.70682</t>
  </si>
  <si>
    <t>-84.5833</t>
  </si>
  <si>
    <t>Windstream Atlanta</t>
  </si>
  <si>
    <t>1593 NE Expressway</t>
  </si>
  <si>
    <t>30329</t>
  </si>
  <si>
    <t>Dekalb</t>
  </si>
  <si>
    <t>33.835022</t>
  </si>
  <si>
    <t>-84.32718</t>
  </si>
  <si>
    <t>1,300</t>
  </si>
  <si>
    <t>T5: Project Eisenhower</t>
  </si>
  <si>
    <t>2111 Powell Rd</t>
  </si>
  <si>
    <t>Augusta</t>
  </si>
  <si>
    <t>30909</t>
  </si>
  <si>
    <t>Richmond</t>
  </si>
  <si>
    <t>33.43883</t>
  </si>
  <si>
    <t>-82.1557</t>
  </si>
  <si>
    <t>2,150,000</t>
  </si>
  <si>
    <t>https://www.datacenterdynamics.com/en/news/plans-filed-to-expand-former-t5-campus-site-in-augusta-georgia/</t>
  </si>
  <si>
    <t>Barnesville Amazon Data Center</t>
  </si>
  <si>
    <t>unknown location</t>
  </si>
  <si>
    <t>Barnesville</t>
  </si>
  <si>
    <t>30204</t>
  </si>
  <si>
    <t>Lamar</t>
  </si>
  <si>
    <t>33.05563</t>
  </si>
  <si>
    <t>-84.1222</t>
  </si>
  <si>
    <t>985</t>
  </si>
  <si>
    <t>$270 million</t>
  </si>
  <si>
    <t>https://www.blackenterprise.com/amazon-land-development-georgia-da</t>
  </si>
  <si>
    <t>https://www.wabe.org/amazon-purchases-270-million-land-development-for-data-center-use-outside-of-atlanta/</t>
  </si>
  <si>
    <t>Trammell Crow Company Data Center</t>
  </si>
  <si>
    <t>near 1530 US-41</t>
  </si>
  <si>
    <t>Monroe</t>
  </si>
  <si>
    <t>33.104168</t>
  </si>
  <si>
    <t>-84.009544</t>
  </si>
  <si>
    <t>CBRE</t>
  </si>
  <si>
    <t>12,000,000</t>
  </si>
  <si>
    <t>1630</t>
  </si>
  <si>
    <t>$8.4 billion</t>
  </si>
  <si>
    <t>Full buildout by 2037</t>
  </si>
  <si>
    <t>https://www.datacenterdynamics.com/en/news/cbres-trammell-crow-files-to-develop-12-million-sq-ft-data-center-campus-outside-atlanta-georgia/</t>
  </si>
  <si>
    <t>https://www.datacenterdynamics.com/en/news/1600-acre-data-center-approved-by-local-authorities-in-forsyth-georgia/</t>
  </si>
  <si>
    <t>12/08/2025</t>
  </si>
  <si>
    <t>02/15/2026</t>
  </si>
  <si>
    <t>Project Blue Hole</t>
  </si>
  <si>
    <t>Martha Berry Hwy</t>
  </si>
  <si>
    <t>Blakely</t>
  </si>
  <si>
    <t>39823</t>
  </si>
  <si>
    <t>Early</t>
  </si>
  <si>
    <t>31.406675</t>
  </si>
  <si>
    <t>-84.912994</t>
  </si>
  <si>
    <t>0</t>
  </si>
  <si>
    <t>Full buildout by 2035</t>
  </si>
  <si>
    <t>https://www.developearly.com/post/top-10-most-faq-about-qts-blakely</t>
  </si>
  <si>
    <t>https://qtsdatacenters.com/data-centers/blakely/</t>
  </si>
  <si>
    <t>https://www.earlycountynews.com/articles/qts-data-centers-considers-a-location-in-blakely/</t>
  </si>
  <si>
    <t>12/24/2025</t>
  </si>
  <si>
    <t>Project Ruby</t>
  </si>
  <si>
    <t>Just west of Talbot Energy Facility</t>
  </si>
  <si>
    <t>Box Springs</t>
  </si>
  <si>
    <t>31801</t>
  </si>
  <si>
    <t>Muscogee</t>
  </si>
  <si>
    <t>32.581497</t>
  </si>
  <si>
    <t>-84.71003</t>
  </si>
  <si>
    <t>875</t>
  </si>
  <si>
    <t>$5.18 billion</t>
  </si>
  <si>
    <t>https://www.ledger-enquirer.com/news/business/article314817948.html</t>
  </si>
  <si>
    <t>https://www.wrbl.com/top-stories/columbus-city-council-discusses-proposed-5-18-billion-data-center-residents-voice-concern/</t>
  </si>
  <si>
    <t>02/26/2026</t>
  </si>
  <si>
    <t>Data Center</t>
  </si>
  <si>
    <t>GA-53 Spur, adj to Fair's Auto Services</t>
  </si>
  <si>
    <t>Calhoun</t>
  </si>
  <si>
    <t>30701</t>
  </si>
  <si>
    <t>Gordon</t>
  </si>
  <si>
    <t>34.482914</t>
  </si>
  <si>
    <t>-84.97241</t>
  </si>
  <si>
    <t>500000</t>
  </si>
  <si>
    <t>57</t>
  </si>
  <si>
    <t>Trying to pass this despite moratorium</t>
  </si>
  <si>
    <t>https://www.timesfreepress.com/news/2026/jun/27/calhoun-georgia-looks-to-understand-what-a-500k</t>
  </si>
  <si>
    <t>https://coosavalleynews.com/2026/04/calhoun-approves-90-day-moratorium-on-data-centers/</t>
  </si>
  <si>
    <t>06/30/2026</t>
  </si>
  <si>
    <t>FOGO Carrollton</t>
  </si>
  <si>
    <t>340 Tom Reeve Drive</t>
  </si>
  <si>
    <t>Carrollton</t>
  </si>
  <si>
    <t>30177</t>
  </si>
  <si>
    <t>Carroll</t>
  </si>
  <si>
    <t>33.558292</t>
  </si>
  <si>
    <t>-85.09067</t>
  </si>
  <si>
    <t>Project Bunkhouse</t>
  </si>
  <si>
    <t>14 Taff Rd</t>
  </si>
  <si>
    <t>Cartersville</t>
  </si>
  <si>
    <t>30120</t>
  </si>
  <si>
    <t>34.0998</t>
  </si>
  <si>
    <t>-84.9167</t>
  </si>
  <si>
    <t>Gaines Family Land LLC</t>
  </si>
  <si>
    <t>1830</t>
  </si>
  <si>
    <t>8,600,000</t>
  </si>
  <si>
    <t>$19 billion</t>
  </si>
  <si>
    <t>complete by 2035?</t>
  </si>
  <si>
    <t>https://www.datacenterdynamics.com/en/news/application-filed-for-86-million-sq-ft-data-center-project-outside-atlanta-georgia/</t>
  </si>
  <si>
    <t>https://apps.dca.ga.gov/DRI/InitialForm.aspx?driid=4433</t>
  </si>
  <si>
    <t>https://www.ajc.com/news/business/19b-data-center-campus-proposed-northwest-of-atlanta/FPMRPJCYERGXLLAND6IZACSVEM/</t>
  </si>
  <si>
    <t>11/19/2025</t>
  </si>
  <si>
    <t>"Project Indo"</t>
  </si>
  <si>
    <t>218 Industrial Park Rd</t>
  </si>
  <si>
    <t>30121</t>
  </si>
  <si>
    <t>34.23581</t>
  </si>
  <si>
    <t>-84.7963</t>
  </si>
  <si>
    <t>69</t>
  </si>
  <si>
    <t>$2.4 billion</t>
  </si>
  <si>
    <t>https://www.datacenterdynamics.com/en/news/databank-files-for-200mw-data-center-campus-outside-atlanta-georgia/</t>
  </si>
  <si>
    <t>Switch</t>
  </si>
  <si>
    <t>40 Bates Rd</t>
  </si>
  <si>
    <t>34.11429</t>
  </si>
  <si>
    <t>-84.7938</t>
  </si>
  <si>
    <t>126</t>
  </si>
  <si>
    <t>$772 million</t>
  </si>
  <si>
    <t xml:space="preserve">complete 2026, full build-out 2046. </t>
  </si>
  <si>
    <t>https://www.datacenterdynamics.com/en/news/switch-to-invest-772-million-in-second-georgia-campus-outside-atlanta/</t>
  </si>
  <si>
    <t>https://wbhfradio.org/126-acre-commercial-project-proposed-in-carter-grove/</t>
  </si>
  <si>
    <t>https://locationofchoice.com/index.php/news/article/1046</t>
  </si>
  <si>
    <t>ATL Data Center</t>
  </si>
  <si>
    <t>2380 Godby Park</t>
  </si>
  <si>
    <t>College Park</t>
  </si>
  <si>
    <t>33.614918</t>
  </si>
  <si>
    <t>-84.467186</t>
  </si>
  <si>
    <t>ATL Data Centers LLC</t>
  </si>
  <si>
    <t>40,000</t>
  </si>
  <si>
    <t>Lumen College Park</t>
  </si>
  <si>
    <t>4311 Best Rd</t>
  </si>
  <si>
    <t>33.63764</t>
  </si>
  <si>
    <t>-84.458496</t>
  </si>
  <si>
    <t>Microsoft Union City Data Center Campus</t>
  </si>
  <si>
    <t>4810 Stonewall Tell Rd</t>
  </si>
  <si>
    <t>33.62499</t>
  </si>
  <si>
    <t>-84.56204</t>
  </si>
  <si>
    <t>2,100,000</t>
  </si>
  <si>
    <t>Developed by Burr Computer Environments</t>
  </si>
  <si>
    <t>https://www.datacenterdynamics.com/en/news/21-million-sq-ft-data-center-campus-proposed-outside-atlanta-georgia/</t>
  </si>
  <si>
    <t>https://apps.dca.ga.gov/DRI/AppSummary.aspx?driid=4235</t>
  </si>
  <si>
    <t>https://www.datacenterfrontier.com/hyperscale/article/55126626/details-emerge-on-microsofts-18-billion-investment-in-atlanta-data-centers-amid-tax-development-wrangles</t>
  </si>
  <si>
    <t>07/05/2025</t>
  </si>
  <si>
    <t>Stacks/College Park</t>
  </si>
  <si>
    <t>4380 Stacks Road</t>
  </si>
  <si>
    <t>33.708233</t>
  </si>
  <si>
    <t>-84.52996</t>
  </si>
  <si>
    <t>105</t>
  </si>
  <si>
    <t>696,981</t>
  </si>
  <si>
    <t>https://apps.dca.ga.gov/DRI/AppSummary.aspx?driid=4257</t>
  </si>
  <si>
    <t>JMF IXP Farm Colombus</t>
  </si>
  <si>
    <t>8 Corporate Ridge Pkwy</t>
  </si>
  <si>
    <t>Columbus</t>
  </si>
  <si>
    <t>31907</t>
  </si>
  <si>
    <t>32.498444</t>
  </si>
  <si>
    <t>-84.883575</t>
  </si>
  <si>
    <t>JMF Solutions</t>
  </si>
  <si>
    <t>13</t>
  </si>
  <si>
    <t>50,000</t>
  </si>
  <si>
    <t>DC BLOX Atlanta East Campus</t>
  </si>
  <si>
    <t>1726 Farmer Road</t>
  </si>
  <si>
    <t>Conyers</t>
  </si>
  <si>
    <t>30012</t>
  </si>
  <si>
    <t>Rockdale</t>
  </si>
  <si>
    <t>33.68936</t>
  </si>
  <si>
    <t>-84.04566</t>
  </si>
  <si>
    <t>DC BLOX</t>
  </si>
  <si>
    <t>216</t>
  </si>
  <si>
    <t>1,016,828</t>
  </si>
  <si>
    <t>68</t>
  </si>
  <si>
    <t>https://www.dcblox.com/data-centers/rockdale-county-ga-hyperscale-data-center-campus/</t>
  </si>
  <si>
    <t>https://www.datacenterdynamics.com/en/news/dc-blox-secures-115bn-green-loan-for-atlanta-data-center-development/</t>
  </si>
  <si>
    <t>Rockdale Technology Park</t>
  </si>
  <si>
    <t>1975 Sigman Rd</t>
  </si>
  <si>
    <t>33.68682</t>
  </si>
  <si>
    <t>-84.05222</t>
  </si>
  <si>
    <t>SDP Aquisitions LLC</t>
  </si>
  <si>
    <t>837,500</t>
  </si>
  <si>
    <t>https://www.11alive.com/article/tech/metro-atlanta-data-center-proposed-53-acre-site/85-ac4c267f-95ad-4670-85c6-bdae1b9a337a</t>
  </si>
  <si>
    <t>Project Splice</t>
  </si>
  <si>
    <t>Old Nesbitt Rd</t>
  </si>
  <si>
    <t>Cordele</t>
  </si>
  <si>
    <t>Crisp</t>
  </si>
  <si>
    <t>31.97113</t>
  </si>
  <si>
    <t>-83.7316</t>
  </si>
  <si>
    <t>Red Wolf DCD</t>
  </si>
  <si>
    <t>7</t>
  </si>
  <si>
    <t>7 buildings plus substation</t>
  </si>
  <si>
    <t>https://www.datacenterdynamics.com/en/news/21-million-sq-ft-technology-campus-proposed-in-southern-georgia/</t>
  </si>
  <si>
    <t>Amazon Covington Data Center</t>
  </si>
  <si>
    <t>Alcovy Rd near Hwy 142</t>
  </si>
  <si>
    <t>Covington</t>
  </si>
  <si>
    <t>30014</t>
  </si>
  <si>
    <t>Newton</t>
  </si>
  <si>
    <t>33.63342</t>
  </si>
  <si>
    <t>-83.833015</t>
  </si>
  <si>
    <t>Hyperscale cloud data-center campus</t>
  </si>
  <si>
    <t>$11 billion</t>
  </si>
  <si>
    <t>https://www.datacenterdynamics.com/en/news/aws-plans-data-center-in-covington-georgia/</t>
  </si>
  <si>
    <t>https://www.aboutamazon.com/news/aws/aws-investment-georgia-ai-cloud-infrastructure</t>
  </si>
  <si>
    <t>https://w.media/aws-plans-new-data-center-in-georgia-usa/</t>
  </si>
  <si>
    <t>Project Lighthouse</t>
  </si>
  <si>
    <t>Off of Gregory Rd, near Flat Rock Rd</t>
  </si>
  <si>
    <t>33.653538</t>
  </si>
  <si>
    <t>-83.81398</t>
  </si>
  <si>
    <t>Universal Planning and Development LLC, JBW Investments, LLC data center</t>
  </si>
  <si>
    <t>1,410,000</t>
  </si>
  <si>
    <t>213</t>
  </si>
  <si>
    <t>$5.7 billion</t>
  </si>
  <si>
    <t>https://www.ajc.com/news/business/sprawling-data-center-campuses-proposed-south-and-east-of-atlanta/5QKZEN5W45GU5NCHUHGVYX4UUM/</t>
  </si>
  <si>
    <t>https://www.datacenterdynamics.com/en/news/plans-filed-for-14-million-sq-ft-data-center-campus-outside-atlanta-georgia/</t>
  </si>
  <si>
    <t>Serverfarm ATL2</t>
  </si>
  <si>
    <t>10835 Hazelbrand Rd NE</t>
  </si>
  <si>
    <t>33.61121</t>
  </si>
  <si>
    <t>-83.83438</t>
  </si>
  <si>
    <t>Severfarm</t>
  </si>
  <si>
    <t>498,960</t>
  </si>
  <si>
    <t>As of Dec 2025 VoltaGrid has applied to install 33 reciprocating internal combustion engines, or RICE generator units, meant to function 24/7 as the primary power source for this data center</t>
  </si>
  <si>
    <t>https://www.datacenterdynamics.com/en/news/serverfarm-plans-natural-gas-powered-data-center-in-georgia/</t>
  </si>
  <si>
    <t>https://www.timesfreepress.com/news/2025/dec/22/a-new-georgia-data-center-could-be-powered-by/</t>
  </si>
  <si>
    <t>01/04/2025</t>
  </si>
  <si>
    <t>CORE DALTON 4</t>
  </si>
  <si>
    <t>2768 Old Tilton Rd</t>
  </si>
  <si>
    <t>Dalton</t>
  </si>
  <si>
    <t>Whitfield</t>
  </si>
  <si>
    <t>34.68098</t>
  </si>
  <si>
    <t>-84.94408</t>
  </si>
  <si>
    <t>Core Scientific</t>
  </si>
  <si>
    <t>435,600</t>
  </si>
  <si>
    <t>https://newschannel9.com/news/local/ai-data-center-to-occupy-10-acres-in-dalton-residents-worry-about-noise-and-disruption?fbclid=IwZXh0bgNhZW0CMTEAAR0qBKoGaPqCaC-SeXxvrxOiIw21X6S2k_Xwys5N4RXZP9MubzNyzEE1q9A_aem_GychPh4WLqAOKhyPihISPQ#</t>
  </si>
  <si>
    <t>Old Tilton Rd</t>
  </si>
  <si>
    <t>30721</t>
  </si>
  <si>
    <t>34.6883</t>
  </si>
  <si>
    <t>-84.9408</t>
  </si>
  <si>
    <t>Cryptocurrency mining data center</t>
  </si>
  <si>
    <t>195</t>
  </si>
  <si>
    <t>https://www.facebook.com/groups/931942845924036/about</t>
  </si>
  <si>
    <t>Rumored to be crypto, but Core says just AI</t>
  </si>
  <si>
    <t>https://daltoncitizen.com/2025/03/11/whitfield-county-commissioners-approve-rezoning-for-data-center-despite-opposition/</t>
  </si>
  <si>
    <t>04/18/2025</t>
  </si>
  <si>
    <t>2205 Industrial South Rd</t>
  </si>
  <si>
    <t>34.71316</t>
  </si>
  <si>
    <t>-84.95143</t>
  </si>
  <si>
    <t>https://www.gem.wiki/Core_Scientific_Whitfield_County_facility</t>
  </si>
  <si>
    <t>Dalton 3</t>
  </si>
  <si>
    <t>206 Boring Dr</t>
  </si>
  <si>
    <t>34.701214</t>
  </si>
  <si>
    <t>-84.95039</t>
  </si>
  <si>
    <t>142</t>
  </si>
  <si>
    <t>87,000</t>
  </si>
  <si>
    <t>https://daltoncitizen.com/2025/09/27/dalton-whitfield-joint-development-authority-moves-forward-on-deal-for-data-center/</t>
  </si>
  <si>
    <t>Data center</t>
  </si>
  <si>
    <t>615 South Thornton Avenue</t>
  </si>
  <si>
    <t>30720</t>
  </si>
  <si>
    <t>34.76418</t>
  </si>
  <si>
    <t>-84.9711</t>
  </si>
  <si>
    <t>57,320</t>
  </si>
  <si>
    <t>03/11/2026</t>
  </si>
  <si>
    <t>Atlanta-Douglasville 1</t>
  </si>
  <si>
    <t>1700 North River Road</t>
  </si>
  <si>
    <t>Douglasville</t>
  </si>
  <si>
    <t>30122</t>
  </si>
  <si>
    <t>Douglas</t>
  </si>
  <si>
    <t>33.73072</t>
  </si>
  <si>
    <t>-84.61699</t>
  </si>
  <si>
    <t>23</t>
  </si>
  <si>
    <t>205,000</t>
  </si>
  <si>
    <t>Atlanta-Douglasville 2</t>
  </si>
  <si>
    <t>1750 North River Road</t>
  </si>
  <si>
    <t>33.730686</t>
  </si>
  <si>
    <t>-84.61119</t>
  </si>
  <si>
    <t>358,000</t>
  </si>
  <si>
    <t>Douglasville Campus</t>
  </si>
  <si>
    <t>1601 North River Road</t>
  </si>
  <si>
    <t>33.73178</t>
  </si>
  <si>
    <t>-84.61917</t>
  </si>
  <si>
    <t>150</t>
  </si>
  <si>
    <t>https://baxtel.com/data-center/microsoft-douglasville</t>
  </si>
  <si>
    <t>Roberts Rd</t>
  </si>
  <si>
    <t>30135</t>
  </si>
  <si>
    <t>33.71054</t>
  </si>
  <si>
    <t>-84.6269</t>
  </si>
  <si>
    <t>1,700,000</t>
  </si>
  <si>
    <t>https://www.datacenterdynamics.com/en/news/vantage-plots-data-center-campus-in-atlanta-georgia/</t>
  </si>
  <si>
    <t>Project Eagle</t>
  </si>
  <si>
    <t>7015 Adams Park Rd</t>
  </si>
  <si>
    <t>Dry Branch</t>
  </si>
  <si>
    <t>31020</t>
  </si>
  <si>
    <t>Twiggs</t>
  </si>
  <si>
    <t>32.63236</t>
  </si>
  <si>
    <t>-83.5072</t>
  </si>
  <si>
    <t>$5 billion</t>
  </si>
  <si>
    <t>Forested land owned by Weyerhaeuser NR Company. Would use 11,250 gal water/day. Strong community opposition.Twiggs County commissioners approved plans to rezone property on Adams Park Road for the data center. Area historically inhabited by the Muscogee Creek Nation</t>
  </si>
  <si>
    <t>https://www.13wmaz.com/article/news/local/twiggs/5-billion-data-center-proposed-for-rural-twiggs-county-mixed-reactions/93-8c88256d-72bf-47d8-83b7-992aa21475a1</t>
  </si>
  <si>
    <t>https://www.13wmaz.com/article/news/local/twiggs-neighbors-fear-5b-proposed-data-center-will-drain-wells-endanger-wilderness/93-32db438f-a736-46b8-a899-d97f891206b4</t>
  </si>
  <si>
    <t>https://wgxa.tv/news/local/local-farmer-has-growing-concern-over-rezoning-request-for-data-center-in-twiggs-county</t>
  </si>
  <si>
    <t>https://www.datacenterdynamics.com/en/news/data-center-proposed-in-twiggs-county-georgia/</t>
  </si>
  <si>
    <t>https://www.twiggscounty.us/wp-content/uploads/2025/08/Pine-Ridge-Data-Center-Facts-Sheet.pdf</t>
  </si>
  <si>
    <t>https://wgxa.tv/news/local/environmental-advocate-urges-twiggs-county-to-reject-data-center-plans-near-ocmulgee-river</t>
  </si>
  <si>
    <t>https://www.41nbc.com/twiggs-county-data-center-rezoning-approval/</t>
  </si>
  <si>
    <t>East Point Campus</t>
  </si>
  <si>
    <t>4165 Ben Hill Road</t>
  </si>
  <si>
    <t>East Point</t>
  </si>
  <si>
    <t>33.642456</t>
  </si>
  <si>
    <t>-84.514824</t>
  </si>
  <si>
    <t>https://local.microsoft.com/blog/east-point-datacenter-project-overview/</t>
  </si>
  <si>
    <t>Clayton Commerce III</t>
  </si>
  <si>
    <t>4350 E Tanners Church Rd</t>
  </si>
  <si>
    <t>Ellenwood</t>
  </si>
  <si>
    <t>30294</t>
  </si>
  <si>
    <t>Clayton</t>
  </si>
  <si>
    <t>33.6353</t>
  </si>
  <si>
    <t>-84.30396</t>
  </si>
  <si>
    <t>TA Realty/ EdgeconneX</t>
  </si>
  <si>
    <t>https://www.datacenterdynamics.com/en/news/ta-realty-gets-green-light-for-data-center-outside-atlanta-georgia/</t>
  </si>
  <si>
    <t>https://www.ajc.com/news/2025/06/clayton-county-agency-approves-tax-break-for-1b-data-center/</t>
  </si>
  <si>
    <t>Conley Creek Data Center</t>
  </si>
  <si>
    <t>4280 Loveless Pl</t>
  </si>
  <si>
    <t>33.64961</t>
  </si>
  <si>
    <t>-84.294815</t>
  </si>
  <si>
    <t>Telecad Wireless</t>
  </si>
  <si>
    <t>https://www.change.org/p/no-data-centers-in-our-communities-georgia-fights-back</t>
  </si>
  <si>
    <t>https://www.decaturish.com/business/1-million-square-foot-data-center-proposed-in-south-dekalb/article_360e16a7-a411-4af9-91ed-1d8661aa37a5.html</t>
  </si>
  <si>
    <t>https://www.datacenterdynamics.com/en/news/rezoning-proposal-for-95-acre-data-center-in-dekalb-county-georgia-deferred/</t>
  </si>
  <si>
    <t>https://www.decaturish.com/news/dekalb/tensions-flare-at-dekalb-zoning-meeting-about-data-centers/article_46a3dba1-11dd-4b2a-846f-543e3400b51d.html</t>
  </si>
  <si>
    <t>Fairburn Technology Center</t>
  </si>
  <si>
    <t>8125 Bohannon Drive</t>
  </si>
  <si>
    <t>Fairburn</t>
  </si>
  <si>
    <t>30213</t>
  </si>
  <si>
    <t>33.532734</t>
  </si>
  <si>
    <t>-84.58926</t>
  </si>
  <si>
    <t>Bohannon Road Venture, LLC.</t>
  </si>
  <si>
    <t>1,190,000</t>
  </si>
  <si>
    <t>https://www.datacenterdynamics.com/en/news/large-data-center-campus-planned-outside-atlanta-georgia/</t>
  </si>
  <si>
    <t>T5 ATL IV</t>
  </si>
  <si>
    <t>Gullatt Road</t>
  </si>
  <si>
    <t>30268</t>
  </si>
  <si>
    <t>33.52815</t>
  </si>
  <si>
    <t>-84.6147</t>
  </si>
  <si>
    <t>1,320,000</t>
  </si>
  <si>
    <t>https://www.datacenterdynamics.com/en/news/t5-files-to-develop-data-center-campus-outside-atlanta-georgia/</t>
  </si>
  <si>
    <t xml:space="preserve">Crow Holdings Development </t>
  </si>
  <si>
    <t>south of Roberts Rd and west of Hwy 85</t>
  </si>
  <si>
    <t>Fayetteville</t>
  </si>
  <si>
    <t>30214</t>
  </si>
  <si>
    <t>Fayette</t>
  </si>
  <si>
    <t>33.484707</t>
  </si>
  <si>
    <t>-84.43693</t>
  </si>
  <si>
    <t>37</t>
  </si>
  <si>
    <t>Data center had been rejected by the Fayetteville planning and zoning commission earlier in late January</t>
  </si>
  <si>
    <t>https://www.datacenterdynamics.com/en/news/developer-effectively-withdraws-application-for-data-center-in-fayetteville-georgia/</t>
  </si>
  <si>
    <t>04/02/2026</t>
  </si>
  <si>
    <t>Fairwater 2</t>
  </si>
  <si>
    <t>north of GA-54</t>
  </si>
  <si>
    <t>33.46006</t>
  </si>
  <si>
    <t>-84.523994</t>
  </si>
  <si>
    <t>AI "superfactory"</t>
  </si>
  <si>
    <t>615-1100</t>
  </si>
  <si>
    <t>1,200,000</t>
  </si>
  <si>
    <t>315</t>
  </si>
  <si>
    <t>Directly connected to WI Fairwater data center. Uses nearly no water for cooling</t>
  </si>
  <si>
    <t>https://tech.yahoo.com/ai/copilot/articles/microsoft-reveals-datacenter-atlanta-help-182309564.html</t>
  </si>
  <si>
    <t>https://www.datacenterdynamics.com/en/news/microsoft-launches-atlanta-fairwater-data-center-two-stories-no-ups-or-gen-sets/</t>
  </si>
  <si>
    <t>https://roughdraftatlanta.com/2025/11/12/atlanta-fairwater-ai-data-center/</t>
  </si>
  <si>
    <t>https://epoch.ai/data/data-centers/satellite-explorer/MicrosoftFairwaterFayettevilleGeorgia?ref=404media.co</t>
  </si>
  <si>
    <t>https://cleanview.co/public/data-centers/georgia/1896/fairwater-2---atlanta</t>
  </si>
  <si>
    <t>11/26/2025</t>
  </si>
  <si>
    <t>01/01/2026</t>
  </si>
  <si>
    <t>QTS Atlanta Fayetteville Campus/ Project Excalibur</t>
  </si>
  <si>
    <t>1435 Hwy 54 West</t>
  </si>
  <si>
    <t>33.447083</t>
  </si>
  <si>
    <t>-84.52227</t>
  </si>
  <si>
    <t>6,200,000</t>
  </si>
  <si>
    <t>615</t>
  </si>
  <si>
    <t>Drew significant local backlash after it was revealed that QTS had secretly consumed 29 mil gallons of water over 9–15 months during construction, discovered when residents began complaining about low pressure. The use far exceeded the max agreed to during planning. Tom's Hardware. In response, Fayetteville's city council passed Ordinance 26-0-12, banning new data centers in every zoning district in the city. Construction began in 2023 and is not expected to be completed for 3 to 5 years.</t>
  </si>
  <si>
    <t>https://apps.dca.ga.gov/DRI/AppSummary.aspx?driid=3813</t>
  </si>
  <si>
    <t>https://www.datacenterdynamics.com/en/news/project-excalibur-qts-planning-16-building-66-million-sq-ft-development-in-fayetteville-georgia/</t>
  </si>
  <si>
    <t>https://www.ledger-enquirer.com/news/environment/article312215145.html</t>
  </si>
  <si>
    <t>https://www.tomshardware.com/tech-industry/georgia-data-center-used-29-million-gallons-of-water</t>
  </si>
  <si>
    <t>06/05/2026</t>
  </si>
  <si>
    <t>QTS ATL2 East</t>
  </si>
  <si>
    <t>west of Veterans Parkway</t>
  </si>
  <si>
    <t xml:space="preserve">Fayetteville </t>
  </si>
  <si>
    <t>33.454353</t>
  </si>
  <si>
    <t>-84.51676</t>
  </si>
  <si>
    <t>313</t>
  </si>
  <si>
    <t>$153.8 million</t>
  </si>
  <si>
    <t>2029</t>
  </si>
  <si>
    <t>https://www.datacenterdynamics.com/en/news/qts-files-to-expand-fayetteville-data-center-campus-in-georgia/</t>
  </si>
  <si>
    <t>https://apps.dca.ga.gov/DRI/InitialForm.aspx?driid=4603</t>
  </si>
  <si>
    <t>Digital Realty Fort Gillem Campus</t>
  </si>
  <si>
    <t>Fort Gillem</t>
  </si>
  <si>
    <t>Forest Park</t>
  </si>
  <si>
    <t>33.61974</t>
  </si>
  <si>
    <t>-84.329025</t>
  </si>
  <si>
    <t>1,900,000</t>
  </si>
  <si>
    <t>Large data center pitched for site of shuttered Forest Park Army depot</t>
  </si>
  <si>
    <t>Rumble Technology Campus</t>
  </si>
  <si>
    <t>Rumble Rd</t>
  </si>
  <si>
    <t>Forsyth</t>
  </si>
  <si>
    <t>31029</t>
  </si>
  <si>
    <t>32.99113</t>
  </si>
  <si>
    <t>-83.8368</t>
  </si>
  <si>
    <t>Google/Cloverleaf Infrastructure</t>
  </si>
  <si>
    <t>4,200,000</t>
  </si>
  <si>
    <t>$1.2 billion</t>
  </si>
  <si>
    <t>originally proposed in September 2024 by Data Core Innovations</t>
  </si>
  <si>
    <t>https://www.datacenterdynamics.com/en/news/12-building-42-million-sq-ft-data-center-campus-proposed-in-georgia/</t>
  </si>
  <si>
    <t>https://www.datacenterdynamics.com/en/news/google-purchases-950-acres-for-potential-data-center-in-monroe-county-georgia/</t>
  </si>
  <si>
    <t>https://apps.dca.ga.gov/DRI/AppSummary.aspx?driid=4308</t>
  </si>
  <si>
    <t>10/15/2025</t>
  </si>
  <si>
    <t>Project Turbo</t>
  </si>
  <si>
    <t>24000 O’Kelly Rd</t>
  </si>
  <si>
    <t>Gainesville</t>
  </si>
  <si>
    <t>30507</t>
  </si>
  <si>
    <t>Hall</t>
  </si>
  <si>
    <t>34.226425</t>
  </si>
  <si>
    <t>-83.78167</t>
  </si>
  <si>
    <t>Project Turbo, Inc</t>
  </si>
  <si>
    <t>900,000</t>
  </si>
  <si>
    <t>145</t>
  </si>
  <si>
    <t>2027-28</t>
  </si>
  <si>
    <t>Hall County transitioned from intense local resistance to a broader legislative debate after the developer formally withdrew their data center application in December 2025. [Recent] While the original hyperscale proposal for 2400 O’Kelly Road is currently "abandoned," advocates remain on high alert due to the developer's stated interest in pursuing the project through other avenues, such as annexation into the City of Gainesville.</t>
  </si>
  <si>
    <t>https://lakelanier.org/project-turbo-data-center/#:~:text=A%20company%20called%20Project%20Turbo,relied%20substantially%20on%20evaporative%20cooling.</t>
  </si>
  <si>
    <t>Includes new substation. Near high voltage transmission lines. Environmental studies have not been conducted; zoned area does not have adequate water supply (aquaphor), electrical supply, is a partial wetland, and houses historical burial grounds.</t>
  </si>
  <si>
    <t>https://www.datacenterdynamics.com/en/news/company-files-for-project-turbo-data-center-campus-outside-atlanta-georgia/</t>
  </si>
  <si>
    <t>https://www.fox5atlanta.com/news/hall-county-tables-vote-massive-data-center-project-after-residents-raise-concerns</t>
  </si>
  <si>
    <t>https://www.datacenterdynamics.com/en/news/plans-filed-for-six-building-data-center-campus-outside-augusta-georgia/</t>
  </si>
  <si>
    <t>10/06/2025</t>
  </si>
  <si>
    <t>Eagle Rock Partners LLC and Thomas &amp; Hutton Engineering Data Center</t>
  </si>
  <si>
    <t>near 2349 GA-18</t>
  </si>
  <si>
    <t>31031</t>
  </si>
  <si>
    <t>32.91623</t>
  </si>
  <si>
    <t>-83.382996</t>
  </si>
  <si>
    <t>1,800,000</t>
  </si>
  <si>
    <t>634</t>
  </si>
  <si>
    <t>https://www.13wmaz.com/article/news/local/600-acre-data-center-proposed-for-jones-county-faces-early-opposition/93-25e72bf8-9eed-47ae-a351-8b7a05ee723f</t>
  </si>
  <si>
    <t>Crooked Creek Data Center</t>
  </si>
  <si>
    <t>near Highway 18 and Highway 49</t>
  </si>
  <si>
    <t>Gray</t>
  </si>
  <si>
    <t>31032</t>
  </si>
  <si>
    <t>32.937828</t>
  </si>
  <si>
    <t>-83.396965</t>
  </si>
  <si>
    <t>$5-7 billion</t>
  </si>
  <si>
    <t>Proposed rezoning of residential to neighborhood commercial (C-1); acreage is in a very rural area (farmland) with residential land and farms adjoined to the proposed rezoned location. Environmental studies were not conducted; zoned area is a partial wetland and houses historical burial grounds. Thomas &amp; Hutton withdrew their application from the Jones County Planning and Zoning meeting in Oct 2025.</t>
  </si>
  <si>
    <t>https://www.13wmaz.com/article/news/local/gray-jones/proposed-jones-county-data-center-axed-zoning-board-agenda-developers-withdraw/93-1cb42aca-7025-4d9c-b843-b1ada7cd7465</t>
  </si>
  <si>
    <t>https://www.datacenterdynamics.com/en/news/data-center-developers-withdraw-plans-to-rezone-more-than-600-acres-in-jones-county-georgia-after-local-pushback/</t>
  </si>
  <si>
    <t>75 South Data Center Campus</t>
  </si>
  <si>
    <t>~1201 Tomochichi Rd</t>
  </si>
  <si>
    <t>Griffin</t>
  </si>
  <si>
    <t>30223</t>
  </si>
  <si>
    <t>Spalding</t>
  </si>
  <si>
    <t>33.256115</t>
  </si>
  <si>
    <t>-84.14383</t>
  </si>
  <si>
    <t>2,200,000</t>
  </si>
  <si>
    <t>291</t>
  </si>
  <si>
    <t>GA Power substation adjacent to data center site</t>
  </si>
  <si>
    <t>https://www.datacenterdynamics.com/en/news/hillwood-affiliate-files-to-develop-22-million-sq-ft-data-center-campus-outside-atlanta-georgia/</t>
  </si>
  <si>
    <t>https://www.facebook.com/groups/saveruralspalding/posts/1424956929359534/</t>
  </si>
  <si>
    <t>https://apps.dca.ga.gov/DRI/InitialForm.aspx?driid=4607</t>
  </si>
  <si>
    <t>Project Spalding</t>
  </si>
  <si>
    <t>High Falls Rd</t>
  </si>
  <si>
    <t>30224</t>
  </si>
  <si>
    <t>33.24653</t>
  </si>
  <si>
    <t>-84.2326</t>
  </si>
  <si>
    <t>Montana Property Group LLC</t>
  </si>
  <si>
    <t>2,550,000</t>
  </si>
  <si>
    <t>https://www.datacenterdynamics.com/en/news/plans-filed-for-255-million-sq-ft-data-center-campus-outside-atlanta/</t>
  </si>
  <si>
    <t>https://www.griffindailynews.com/news/spalding-county-resident-raises-alarm-about-a-proposed-data-center-on-high-falls-road/article_ec6873d9-ad5a-5327-b940-fbec3e36b16c.html</t>
  </si>
  <si>
    <t>https://www.datacenterdynamics.com/en/news/application-filed-for-5-million-sq-ft-data-center-campus-outside-atlanta-georgia/</t>
  </si>
  <si>
    <t>01/09/2026</t>
  </si>
  <si>
    <t>Spalding Investments LLC Data Center</t>
  </si>
  <si>
    <t>~2038 High Falls Rd</t>
  </si>
  <si>
    <t>Spaulding</t>
  </si>
  <si>
    <t>33.24212</t>
  </si>
  <si>
    <t>-84.19505</t>
  </si>
  <si>
    <t>1,420,000</t>
  </si>
  <si>
    <t>127</t>
  </si>
  <si>
    <t>$1.5 billion</t>
  </si>
  <si>
    <t>https://www.datacenterdynamics.com/en/news/land-rezoning-for-georgia-data-center-recommended-for-approval/</t>
  </si>
  <si>
    <t>Wallace Jackson Data Center Campus</t>
  </si>
  <si>
    <t>5745 Jackson Rd</t>
  </si>
  <si>
    <t>33.273514</t>
  </si>
  <si>
    <t>-84.12198</t>
  </si>
  <si>
    <t>4,986,000</t>
  </si>
  <si>
    <t>190</t>
  </si>
  <si>
    <t>https://apps.dca.ga.gov/DRI/InitialForm.aspx?driid=4599</t>
  </si>
  <si>
    <t>0 Rocky Creek Data Center Campus</t>
  </si>
  <si>
    <t>GA-20 &amp; Rocky Creek Rd</t>
  </si>
  <si>
    <t>Hampton</t>
  </si>
  <si>
    <t>30228</t>
  </si>
  <si>
    <t>Henry</t>
  </si>
  <si>
    <t>33.40101</t>
  </si>
  <si>
    <t>-84.2243</t>
  </si>
  <si>
    <t>1,250,000</t>
  </si>
  <si>
    <t>launch 2028</t>
  </si>
  <si>
    <t>https://www.datacenterdynamics.com/en/news/125-million-sq-ft-data-center-proposed-outside-atlanta-georgia</t>
  </si>
  <si>
    <t>Hampton Data Center</t>
  </si>
  <si>
    <t>North of I-20 at McDonough St</t>
  </si>
  <si>
    <t>33.384445</t>
  </si>
  <si>
    <t>-84.26329</t>
  </si>
  <si>
    <t>Southeast Property Holdings LLC</t>
  </si>
  <si>
    <t>585,000</t>
  </si>
  <si>
    <t>https://www.change.org/p/citizens-opposed-to-data-centers-in-henry-county-ga</t>
  </si>
  <si>
    <t>https://henryga.news/2025/03/28/data-center-approved-to-locate-off-georgia-20-in-hampton/</t>
  </si>
  <si>
    <t>Rocky Creek</t>
  </si>
  <si>
    <t>SE intersection of Rocky Creek Road and GA Highway 20 W</t>
  </si>
  <si>
    <t>33.40127</t>
  </si>
  <si>
    <t>-84.22438</t>
  </si>
  <si>
    <t>Red Wolf DCD Properties, LLC</t>
  </si>
  <si>
    <t>1,253,752</t>
  </si>
  <si>
    <t>3036-03-23</t>
  </si>
  <si>
    <t>Pumpkin Tech Campus</t>
  </si>
  <si>
    <t>White Oak Road / Greenpoint Area</t>
  </si>
  <si>
    <t>Harlem</t>
  </si>
  <si>
    <t>33.418</t>
  </si>
  <si>
    <t>-82.316</t>
  </si>
  <si>
    <t>Hyperscale Cloud &amp; AI Workloads</t>
  </si>
  <si>
    <t>Cloverleaf Infrastructure</t>
  </si>
  <si>
    <t>Georgia Power</t>
  </si>
  <si>
    <t>2,870,400</t>
  </si>
  <si>
    <t>420</t>
  </si>
  <si>
    <t>Local Greenpoint neighborhood opposition</t>
  </si>
  <si>
    <t>Active (Tenant identity legally shielded)</t>
  </si>
  <si>
    <t>https://www.facebook.com/groups/1345806563919459/</t>
  </si>
  <si>
    <t>https://www.facebook.com/groups/1469043077373264/</t>
  </si>
  <si>
    <t>https://www.wrdw.com/2026/02/16/columbia-co-data-center-plans-3-construction-exits-420-acre-site/</t>
  </si>
  <si>
    <t>tps://nationaltoday.com/us/ga/evans/news/2026/02/17/bulldozing-approved-for-columbia-county-data-center</t>
  </si>
  <si>
    <t>06/10/2026</t>
  </si>
  <si>
    <t>Hogansville Data Center</t>
  </si>
  <si>
    <t>Hightower Rd</t>
  </si>
  <si>
    <t>Hogansville</t>
  </si>
  <si>
    <t>30230</t>
  </si>
  <si>
    <t>Troup</t>
  </si>
  <si>
    <t>33.14624</t>
  </si>
  <si>
    <t>-84.94037</t>
  </si>
  <si>
    <t>600</t>
  </si>
  <si>
    <t>437</t>
  </si>
  <si>
    <t>The Troup County Anti-Data Center Coalition remains the primary hub for opposition. Recent discussions focus on "infrasound"—vibrations from cooling fans that residents believe cause health issues—and potential property loss due to the massive new substations and transmission lines required for a 600 MW facility.</t>
  </si>
  <si>
    <t>https://www.facebook.com/groups/24200940622890970/</t>
  </si>
  <si>
    <t>Property sale is contingent upon the land being rezoned from residential to industrial property. Troup County Board of Commissioners enacted a 90-day moratorium to address new data center projects following public concerns. n March 2026, the Hogansville City Council reportedly agreed to extend the purchase option contract with the developer, FGI, through March 9, 2027. This gives the developer another year to attempt to move the project forward on the Hightower Road site.</t>
  </si>
  <si>
    <t>https://www.gpb.org/news/2025/11/26/why-are-troup-county-residents-saying-no-600-mw-data-center-in-hogansville</t>
  </si>
  <si>
    <t>https://www.nytimes.com/2025/11/30/us/politics/data-centers-electric-bills-georgia.html</t>
  </si>
  <si>
    <t>https://www.lagrangenews.com/news/hogansville-residents-protest-against-proposed-data-center-c8f47f93</t>
  </si>
  <si>
    <t>12/01/2025</t>
  </si>
  <si>
    <t>03/24/2026</t>
  </si>
  <si>
    <t>River Park</t>
  </si>
  <si>
    <t>Logistics Pkwy</t>
  </si>
  <si>
    <t>30233</t>
  </si>
  <si>
    <t>Butts</t>
  </si>
  <si>
    <t>33.276512</t>
  </si>
  <si>
    <t>-84.09031</t>
  </si>
  <si>
    <t>Interstate Health Systems, LLC</t>
  </si>
  <si>
    <t>11,000,000</t>
  </si>
  <si>
    <t>https://www.ajc.com/business/2025/10/10b-hospital-project-backed-by-burt-jones-includes-sea-of-data-centers/</t>
  </si>
  <si>
    <t>Project Pegasus</t>
  </si>
  <si>
    <t>411 Pegasus Parkway</t>
  </si>
  <si>
    <t>LaGrange</t>
  </si>
  <si>
    <t>30240</t>
  </si>
  <si>
    <t>32.98697</t>
  </si>
  <si>
    <t>-85.05588</t>
  </si>
  <si>
    <t>Form8tion (Thor Equities), Google</t>
  </si>
  <si>
    <t>271</t>
  </si>
  <si>
    <t>https://www.form8tion.net/wp-content/uploads/2024/12/Form8tion-LGA1.pdf</t>
  </si>
  <si>
    <t>https://www.datacenterdynamics.com/en/news/thor-equities-buys-270-acres-in-georgia-for-data-center/</t>
  </si>
  <si>
    <t>https://www.datacenterdynamics.com/en/news/google-confirms-plans-for-data-center-in-lagrange-georgia/</t>
  </si>
  <si>
    <t>04/23/2026</t>
  </si>
  <si>
    <t>Project West</t>
  </si>
  <si>
    <t>Interstate 85 and Hamilton Rd</t>
  </si>
  <si>
    <t>32.96313</t>
  </si>
  <si>
    <t>-85.0219</t>
  </si>
  <si>
    <t>Economic Impact Group LLC</t>
  </si>
  <si>
    <t>https://www.fox5atlanta.com/news/data-center-campus-proposed-troup-county-jobs</t>
  </si>
  <si>
    <t>Lamar County Amazon Data Center</t>
  </si>
  <si>
    <t>near Van Mar Blvd and High Falls Road</t>
  </si>
  <si>
    <t>Lamar County</t>
  </si>
  <si>
    <t>33.1795</t>
  </si>
  <si>
    <t>-84.0563</t>
  </si>
  <si>
    <t>19,000,000</t>
  </si>
  <si>
    <t>Industrial zoning, likely data center</t>
  </si>
  <si>
    <t>https://www.datacenterdynamics.com/en/news/amazon-acquires-1000-acres-of-land-outside-atlanta-georgia/</t>
  </si>
  <si>
    <t>Data Bank ATL5 Data Center</t>
  </si>
  <si>
    <t>4764 Bakers Ferry Rd SW</t>
  </si>
  <si>
    <t>Litha Springs</t>
  </si>
  <si>
    <t>33.7474</t>
  </si>
  <si>
    <t>-84.5403</t>
  </si>
  <si>
    <t>240,000</t>
  </si>
  <si>
    <t>https://www.databank.com/data-centers/atlanta/lithia-springs/atl5/</t>
  </si>
  <si>
    <t>Switch Atlanta - The KEEP Campus</t>
  </si>
  <si>
    <t>1 Switch Way</t>
  </si>
  <si>
    <t>Lithia</t>
  </si>
  <si>
    <t>33.770504</t>
  </si>
  <si>
    <t>-84.590355</t>
  </si>
  <si>
    <t>110</t>
  </si>
  <si>
    <t>Atlanta ATL1a</t>
  </si>
  <si>
    <t>375 Riverside Parkway Suite 100</t>
  </si>
  <si>
    <t>Lithia Springs</t>
  </si>
  <si>
    <t>33.74414</t>
  </si>
  <si>
    <t>-84.581215</t>
  </si>
  <si>
    <t>Centersquare</t>
  </si>
  <si>
    <t>137,203</t>
  </si>
  <si>
    <t>https://www.dcblox.com/data-centers/atlanta-data-centers/douglas-county-ga-hyperscale-data-center-campus/</t>
  </si>
  <si>
    <t>Atlanta ATL1b</t>
  </si>
  <si>
    <t>375 Riverside Parkway Suite 200</t>
  </si>
  <si>
    <t>DC BLOX Atlanta West Campus</t>
  </si>
  <si>
    <t>1701 North River Road</t>
  </si>
  <si>
    <t>33.733944</t>
  </si>
  <si>
    <t>-84.615234</t>
  </si>
  <si>
    <t>Digital Realty Atlanta ATL11 Data Center</t>
  </si>
  <si>
    <t>101 Aquila Way</t>
  </si>
  <si>
    <t>33.74681</t>
  </si>
  <si>
    <t>-84.5797</t>
  </si>
  <si>
    <t>313,000</t>
  </si>
  <si>
    <t>https://go2.digitalrealty.com/rs/087-YZJ-646/images/DS_Digital_Realty_2401_ATL11_Property_Factsheet_EN.pdf?_ga=2.250737478.1597358513.1726764384-1666570387.1726591142</t>
  </si>
  <si>
    <t>Lithia Springs Google Data Center</t>
  </si>
  <si>
    <t>300 Riverside Parkway</t>
  </si>
  <si>
    <t>33.749466</t>
  </si>
  <si>
    <t>-84.584785</t>
  </si>
  <si>
    <t>https://baxtel.com/data-center/google-douglas-county-georgia</t>
  </si>
  <si>
    <t>Microsoft: FTY101</t>
  </si>
  <si>
    <t>1601 N River Rd</t>
  </si>
  <si>
    <t>33.7318</t>
  </si>
  <si>
    <t>-84.6192</t>
  </si>
  <si>
    <t>https://www.datacenterdynamics.com/en/news/microsoft-aiming-to-build-1-million-sq-ft-data-center-in-douglasville-ga-for-east-us-3/</t>
  </si>
  <si>
    <t>PWC Lithia Springs</t>
  </si>
  <si>
    <t>2480 Rock House Rd</t>
  </si>
  <si>
    <t>33.74222</t>
  </si>
  <si>
    <t>-84.59638</t>
  </si>
  <si>
    <t>PricewaterhouseCoopers</t>
  </si>
  <si>
    <t>https://baxtel.com/data-center/pwc-lithia-springs</t>
  </si>
  <si>
    <t>Rock House Road Data Center</t>
  </si>
  <si>
    <t>1971 Rock House Rd</t>
  </si>
  <si>
    <t>33.749</t>
  </si>
  <si>
    <t>-84.6093</t>
  </si>
  <si>
    <t>1,465,000</t>
  </si>
  <si>
    <t>https://www.datacenterdynamics.com/en/news/t5-requests-permission-for-3-million-sq-ft-campus-outside-atlanta-georgia/</t>
  </si>
  <si>
    <t>https://apps.dca.ga.gov/DRI/AppSummary.aspx?driid=4078</t>
  </si>
  <si>
    <t>STACK Atlanta ATL02</t>
  </si>
  <si>
    <t>808 Factory Shoals Rd</t>
  </si>
  <si>
    <t>33.76018</t>
  </si>
  <si>
    <t>-84.6017</t>
  </si>
  <si>
    <t>STACK Infrastructure</t>
  </si>
  <si>
    <t>https://www.datacenterdynamics.com/en/news/stack-files-to-build-two-more-data-centers-outside-atlanta-georgia/</t>
  </si>
  <si>
    <t>https://baxtel.com/data-center/stack-atlanta-atl02</t>
  </si>
  <si>
    <t>https://www.stackinfra.com/locations/americas/atlanta/atl02/</t>
  </si>
  <si>
    <t>Switch Atlanta: The Keep Campus</t>
  </si>
  <si>
    <t>580 Douglas Hills Rd</t>
  </si>
  <si>
    <t>33.756165</t>
  </si>
  <si>
    <t>-84.59596</t>
  </si>
  <si>
    <t>Switch SUPERNAP</t>
  </si>
  <si>
    <t>https://www.switch.com/atlanta/?utm_source=google&amp;utm_medium=Yext</t>
  </si>
  <si>
    <t>T5 @ Atlanta III</t>
  </si>
  <si>
    <t>1456 Trae Lane</t>
  </si>
  <si>
    <t>33.763447</t>
  </si>
  <si>
    <t>-84.604774</t>
  </si>
  <si>
    <t>T5</t>
  </si>
  <si>
    <t>1,600,000</t>
  </si>
  <si>
    <t>https://apps.dca.ga.gov/DRI/AppSummary.aspx?driid=3747</t>
  </si>
  <si>
    <t>Bolingbroke Technology Campus</t>
  </si>
  <si>
    <t>Macon</t>
  </si>
  <si>
    <t>31220</t>
  </si>
  <si>
    <t>32.94087</t>
  </si>
  <si>
    <t>-83.8188</t>
  </si>
  <si>
    <t>5,400,000</t>
  </si>
  <si>
    <t>https://www.datacenterdynamics.com/en/news/900mw-data-center-campus-proposed-outside-macon-georgia/</t>
  </si>
  <si>
    <t>https://www.datacenterdynamics.com/en/news/rezoning-proposal-for-12gw-data-center-campus-outside-macon-georgia-denied-recommendation-for-approval/</t>
  </si>
  <si>
    <t>https://www.macon.com/news/politics-government/article311600981.html</t>
  </si>
  <si>
    <t>08/02/2025</t>
  </si>
  <si>
    <t>Access is proposed to be from Jason Industrial Pkwy and N Baggett Rd</t>
  </si>
  <si>
    <t>31217</t>
  </si>
  <si>
    <t>33.738323</t>
  </si>
  <si>
    <t>-84.80737</t>
  </si>
  <si>
    <t>SDC ATLA, LLC</t>
  </si>
  <si>
    <t>2,687,400</t>
  </si>
  <si>
    <t>Atlanta AT2</t>
  </si>
  <si>
    <t>1130 Powers Ferry Place</t>
  </si>
  <si>
    <t>Marietta</t>
  </si>
  <si>
    <t>30067</t>
  </si>
  <si>
    <t>33.925495</t>
  </si>
  <si>
    <t>-84.48163</t>
  </si>
  <si>
    <t>https://baxtel.com/data-center/datasite-atlanta</t>
  </si>
  <si>
    <t>Grindcap</t>
  </si>
  <si>
    <t>Bells Ferry Rd</t>
  </si>
  <si>
    <t>30066</t>
  </si>
  <si>
    <t>33.99401</t>
  </si>
  <si>
    <t>-84.5527</t>
  </si>
  <si>
    <t>108</t>
  </si>
  <si>
    <t>31</t>
  </si>
  <si>
    <t>https://www.datacenterdynamics.com/en/news/108mw-data-center-campus-granted-zoning-approval-outside-atlanta-georgia/</t>
  </si>
  <si>
    <t>Marietta Data Center</t>
  </si>
  <si>
    <t>1751 Bells Ferry Rd</t>
  </si>
  <si>
    <t>Marrietta</t>
  </si>
  <si>
    <t>33.994106</t>
  </si>
  <si>
    <t>-84.552986</t>
  </si>
  <si>
    <t>MMM Acquisitions LLC/Grindcap</t>
  </si>
  <si>
    <t>347,200</t>
  </si>
  <si>
    <t>Marietta City Council approves plan for 31-acre data center</t>
  </si>
  <si>
    <t>Prime Storage Data Center</t>
  </si>
  <si>
    <t>1155 Powers Ferry Place</t>
  </si>
  <si>
    <t>33.926487</t>
  </si>
  <si>
    <t>-84.48636</t>
  </si>
  <si>
    <t>37,000</t>
  </si>
  <si>
    <t>https://www.datacenterdynamics.com/en/news/self-storage-facility-in-marietta-georgia-targeted-for-18mw-data-center/</t>
  </si>
  <si>
    <t>Northern Data</t>
  </si>
  <si>
    <t>121 Industrial Dr</t>
  </si>
  <si>
    <t>Maysville</t>
  </si>
  <si>
    <t>30558</t>
  </si>
  <si>
    <t>34.24332</t>
  </si>
  <si>
    <t>-83.54896</t>
  </si>
  <si>
    <t>Rumble</t>
  </si>
  <si>
    <t>120-180</t>
  </si>
  <si>
    <t>https://maysvilleneighbor.com/</t>
  </si>
  <si>
    <t>https://www.facebook.com/groups/2372799773209620/posts/2397059260783671/</t>
  </si>
  <si>
    <t>https://www.datacenterdynamics.com/en/news/northern-data-to-develop-120mw-hpc-data-center-in-georgia/</t>
  </si>
  <si>
    <t>https://youtu.be/dGPgLtTRUC4?si=SoRMfJP1pCCPNLMm</t>
  </si>
  <si>
    <t>https://accessnorthga.com/news/citizens-fight-back-as-maysville-cancels-special-meeting-regarding-data-center</t>
  </si>
  <si>
    <t>06/09/2025</t>
  </si>
  <si>
    <t>Central Coweta Industrial Phase II</t>
  </si>
  <si>
    <t>between Amlajack Boulevard and Coweta Industrial Parkway</t>
  </si>
  <si>
    <t>Newnan</t>
  </si>
  <si>
    <t>30265</t>
  </si>
  <si>
    <t>Coweta</t>
  </si>
  <si>
    <t>33.42518</t>
  </si>
  <si>
    <t>-84.72857</t>
  </si>
  <si>
    <t>Central Coweta Industrial LLC, Brent Holdings</t>
  </si>
  <si>
    <t>24,000,000</t>
  </si>
  <si>
    <t>https://www.times-herald.com/news/new-proposed-4-billion-data-center-development-under-review-in-coweta/article_2fad1ded-9f1c-4b67-9be1-29a4f027a3d3.html</t>
  </si>
  <si>
    <t>Project Sail</t>
  </si>
  <si>
    <t>1534 Welcome Sargent Rd</t>
  </si>
  <si>
    <t>30263</t>
  </si>
  <si>
    <t>33.43413</t>
  </si>
  <si>
    <t>-84.8768</t>
  </si>
  <si>
    <t>936</t>
  </si>
  <si>
    <t>4,900,000</t>
  </si>
  <si>
    <t>832</t>
  </si>
  <si>
    <t>$17 billion</t>
  </si>
  <si>
    <t>https://stopsail.com/</t>
  </si>
  <si>
    <t>Project on hold because of moratorium</t>
  </si>
  <si>
    <t>https://www.datacenterdynamics.com/en/news/project-sail-data-center-newnan-atlanta-georgia/</t>
  </si>
  <si>
    <t>https://www.ajc.com/news/business/project-sail-a-17b-data-center-project-pitched-south-of-atlanta/D33GKROJBJEEPATVVCT3OVZR2Q/</t>
  </si>
  <si>
    <t>https://www.datacenterdynamics.com/en/news/prologis-900mw-project-sail-gets-the-go-ahead-in-coweta-county-georgia/</t>
  </si>
  <si>
    <t>T5 @ Atlanta IV</t>
  </si>
  <si>
    <t>299 Palmetto Tyrone Road</t>
  </si>
  <si>
    <t>33.49088</t>
  </si>
  <si>
    <t>-84.66487</t>
  </si>
  <si>
    <t>2,950,000</t>
  </si>
  <si>
    <t>https://apps.dca.ga.gov/DRI/AppSummary.aspx?driid=4079</t>
  </si>
  <si>
    <t>Atlanta-Norcross</t>
  </si>
  <si>
    <t>2775 Northwoods Parkway NW</t>
  </si>
  <si>
    <t>Norcross</t>
  </si>
  <si>
    <t>30071</t>
  </si>
  <si>
    <t>33.95475</t>
  </si>
  <si>
    <t>-84.198616</t>
  </si>
  <si>
    <t>32,740</t>
  </si>
  <si>
    <t>https://baxtel.com/data-center/flexential-atlanta-norcross</t>
  </si>
  <si>
    <t>Equinix Atlanta AT5</t>
  </si>
  <si>
    <t>2836 Peterson Place NW</t>
  </si>
  <si>
    <t>33.938904</t>
  </si>
  <si>
    <t>-84.2272</t>
  </si>
  <si>
    <t>21,334</t>
  </si>
  <si>
    <t>Project Arrowhead</t>
  </si>
  <si>
    <t>Between Ponderosa and Pinetta Rd</t>
  </si>
  <si>
    <t>Ocilla</t>
  </si>
  <si>
    <t>31774</t>
  </si>
  <si>
    <t>Irwin</t>
  </si>
  <si>
    <t>31.59873</t>
  </si>
  <si>
    <t>-83.37431</t>
  </si>
  <si>
    <t>1250</t>
  </si>
  <si>
    <t>4,220,000</t>
  </si>
  <si>
    <t>1066</t>
  </si>
  <si>
    <t>https://www.change.org/p/protect-irwin-county-from-data-centers</t>
  </si>
  <si>
    <t>https://apps.dca.ga.gov/DRI/AppSummary.aspx?driid=4689</t>
  </si>
  <si>
    <t>https://cleanview.co/public/data-centers/georgia/2231/project-arrowhead</t>
  </si>
  <si>
    <t>04/22/2026</t>
  </si>
  <si>
    <t>Gregory Road Data Center</t>
  </si>
  <si>
    <t>Gregory Rd and Flat Rock Rd</t>
  </si>
  <si>
    <t>Oxford</t>
  </si>
  <si>
    <t>30054</t>
  </si>
  <si>
    <t>33.65342</t>
  </si>
  <si>
    <t>-83.8231</t>
  </si>
  <si>
    <t>1,400,000</t>
  </si>
  <si>
    <t>Palmetto Campus</t>
  </si>
  <si>
    <t>8600 Tatum Rd</t>
  </si>
  <si>
    <t>Palmetto</t>
  </si>
  <si>
    <t>33.52662</t>
  </si>
  <si>
    <t>-84.636375</t>
  </si>
  <si>
    <t>https://apps.dca.ga.gov/DRI/AppSummary.aspx?driid=3576</t>
  </si>
  <si>
    <t>Project Peach</t>
  </si>
  <si>
    <t>300 Johnston Circle</t>
  </si>
  <si>
    <t>33.50277</t>
  </si>
  <si>
    <t>-84.6692</t>
  </si>
  <si>
    <t>North Coweta Investors, LLC</t>
  </si>
  <si>
    <t>https://www.datacenterdynamics.com/en/news/strategic-files-for-21m-sq-ft-data-center-campus-outside-atlanta-georgia/</t>
  </si>
  <si>
    <t>https://apps.dca.ga.gov/DRI/AppSummary.aspx?driid=4301</t>
  </si>
  <si>
    <t>Palmetto Tyrone Rd</t>
  </si>
  <si>
    <t>33.49292</t>
  </si>
  <si>
    <t>-84.6615</t>
  </si>
  <si>
    <t>Atlas Battey Business Complex</t>
  </si>
  <si>
    <t>Floyd County</t>
  </si>
  <si>
    <t>Rome</t>
  </si>
  <si>
    <t>30161</t>
  </si>
  <si>
    <t>34.2664</t>
  </si>
  <si>
    <t>-85.3029</t>
  </si>
  <si>
    <t>500-900</t>
  </si>
  <si>
    <t>114</t>
  </si>
  <si>
    <t>5.7 million</t>
  </si>
  <si>
    <t>A citizens' group ("We say NO! to Atlas Development's data center") has organized against the project, citing concerns over power and water usage, as well as an open meetings complaint filed in November 2025 regarding the sale process.</t>
  </si>
  <si>
    <t>https://www.facebook.com/groups/wesayno/</t>
  </si>
  <si>
    <t>https://www.datacenterdynamics.com/en/news/data-center-planned-on-114-acre-plot-in-rome-georgia/</t>
  </si>
  <si>
    <t>https://www.northwestgeorgianews.com/rome/news/local/battey-business-complex-demolition-to-start-next-summer/article_4916b177-51d6-4d8e-98e4-8e312609878b.html</t>
  </si>
  <si>
    <t>https://www.facebook.com/bartowcountygeorgiamediagroup/posts/things-are-heating-up-in-floyd-county-over-data-centers-and-open-meeting-complai/871398232192995/</t>
  </si>
  <si>
    <t>Project Firecracker (Microsoft)</t>
  </si>
  <si>
    <t>Huffaker Rd</t>
  </si>
  <si>
    <t>34.30175</t>
  </si>
  <si>
    <t>-85.3087</t>
  </si>
  <si>
    <t>350</t>
  </si>
  <si>
    <t>https://www.datacenterdynamics.com/en/news/microsoft-to-develop-350-acre-data-center-campus-in-rome-georgia/</t>
  </si>
  <si>
    <t>Project Gracie (Atlas Development)</t>
  </si>
  <si>
    <t>Vann Rd NW</t>
  </si>
  <si>
    <t>34.26722</t>
  </si>
  <si>
    <t>-85.2995</t>
  </si>
  <si>
    <t>2,400,000</t>
  </si>
  <si>
    <t>https://www.datacenterdynamics.com/en/news/atlas-plans-24-million-sq-ft-data-center-campus-outside-rome-georgia/</t>
  </si>
  <si>
    <t>05/26/2025</t>
  </si>
  <si>
    <t>Project Sassy</t>
  </si>
  <si>
    <t>Plainville Rd NE &amp; Hwy 53</t>
  </si>
  <si>
    <t>34.36917</t>
  </si>
  <si>
    <t>-85.0482</t>
  </si>
  <si>
    <t>504</t>
  </si>
  <si>
    <t>2,490,000</t>
  </si>
  <si>
    <t>Rome Campus</t>
  </si>
  <si>
    <t>Huffaker Road NW</t>
  </si>
  <si>
    <t>30165</t>
  </si>
  <si>
    <t>34.300987</t>
  </si>
  <si>
    <t>-85.30927</t>
  </si>
  <si>
    <t>Cleanspark Sandersville</t>
  </si>
  <si>
    <t>2015 George J Lyons Pkwy</t>
  </si>
  <si>
    <t>Sandersville</t>
  </si>
  <si>
    <t>31082</t>
  </si>
  <si>
    <t>Washington</t>
  </si>
  <si>
    <t>33.003277</t>
  </si>
  <si>
    <t>-82.837395</t>
  </si>
  <si>
    <t>CleanSpark</t>
  </si>
  <si>
    <t>175</t>
  </si>
  <si>
    <t>Had been crypto</t>
  </si>
  <si>
    <t>https://www.datacenterdynamics.com/en/news/cleanspark-secures-tenant-with-20-year-lease-for-data-center-in-sandersville-georgia/</t>
  </si>
  <si>
    <t>Athens Shoals Crossing Data Center</t>
  </si>
  <si>
    <t>0 Voyles Rd / 105 Old Elberton Rd</t>
  </si>
  <si>
    <t>Shoals Crossing</t>
  </si>
  <si>
    <t>Athens-Clark</t>
  </si>
  <si>
    <t>33.988262</t>
  </si>
  <si>
    <t>-83.30194</t>
  </si>
  <si>
    <t>Brasfield &amp; Gorrie</t>
  </si>
  <si>
    <t>75,000</t>
  </si>
  <si>
    <t>https://www.accgov.com/CivicSend/ViewMessage/message/206304</t>
  </si>
  <si>
    <t>Smyrna GA2</t>
  </si>
  <si>
    <t>5600 United Drive</t>
  </si>
  <si>
    <t>Smyrna</t>
  </si>
  <si>
    <t>30082</t>
  </si>
  <si>
    <t>33.841206</t>
  </si>
  <si>
    <t>-84.522415</t>
  </si>
  <si>
    <t>https://365datacenters.com/wp-content/uploads/2023/05/365_CUTSHEET_FINAL_SMYRNA_V3.pdf</t>
  </si>
  <si>
    <t>Verizon Atlanta</t>
  </si>
  <si>
    <t>4000 Highland Parkway SE</t>
  </si>
  <si>
    <t>33.8291</t>
  </si>
  <si>
    <t>-84.503174</t>
  </si>
  <si>
    <t>Verizon Communications Inc.</t>
  </si>
  <si>
    <t>0 Social Circle Parkway Data Center</t>
  </si>
  <si>
    <t>0 Social Circle Pkwy</t>
  </si>
  <si>
    <t>Social Circle</t>
  </si>
  <si>
    <t>30025</t>
  </si>
  <si>
    <t>Walton</t>
  </si>
  <si>
    <t>33.664944</t>
  </si>
  <si>
    <t>-83.68987</t>
  </si>
  <si>
    <t>Sailfish Investors Acquisitions, LLC</t>
  </si>
  <si>
    <t xml:space="preserve">Stanton Springs Data Center </t>
  </si>
  <si>
    <t>100 Move Fast Way</t>
  </si>
  <si>
    <t>33.60278</t>
  </si>
  <si>
    <t>-83.698616</t>
  </si>
  <si>
    <t>2,500,000</t>
  </si>
  <si>
    <t>285</t>
  </si>
  <si>
    <t>local water supply complaints, 2 campuses</t>
  </si>
  <si>
    <t>https://plateauexcavation.com/projects/newton-data-center/</t>
  </si>
  <si>
    <t>https://www.bgr.com/1990532/meta-new-aid-data-center-size-70-football-fields-residents-scared-water/</t>
  </si>
  <si>
    <t>Westlake</t>
  </si>
  <si>
    <t>Plumber Road SW &amp; Riverside Dr SW</t>
  </si>
  <si>
    <t>South Fulton</t>
  </si>
  <si>
    <t>33.708332</t>
  </si>
  <si>
    <t>-84.584564</t>
  </si>
  <si>
    <t>113</t>
  </si>
  <si>
    <t>754,221</t>
  </si>
  <si>
    <t>https://apps.dca.ga.gov/DRI/AppSummary.aspx?driid=4256</t>
  </si>
  <si>
    <t>Edge Presence</t>
  </si>
  <si>
    <t>695 Brannen St</t>
  </si>
  <si>
    <t>Statesboro</t>
  </si>
  <si>
    <t>30461</t>
  </si>
  <si>
    <t>Bulloch</t>
  </si>
  <si>
    <t>32.43269</t>
  </si>
  <si>
    <t>-81.76039</t>
  </si>
  <si>
    <t>Ubiquity</t>
  </si>
  <si>
    <t>0.1</t>
  </si>
  <si>
    <t>ATL1 - Atlanta Data Center</t>
  </si>
  <si>
    <t>305 Satellite Blvd</t>
  </si>
  <si>
    <t>Suwanee</t>
  </si>
  <si>
    <t>30024</t>
  </si>
  <si>
    <t>34.03615</t>
  </si>
  <si>
    <t>-84.06378</t>
  </si>
  <si>
    <t>Server Farm Realty</t>
  </si>
  <si>
    <t>153,000</t>
  </si>
  <si>
    <t>https://baxtel.com/data-center/server-farm-atlanta</t>
  </si>
  <si>
    <t>Atlanta Suwanee DC1</t>
  </si>
  <si>
    <t>300 Satellite Boulevard NW</t>
  </si>
  <si>
    <t>34.035347</t>
  </si>
  <si>
    <t>-84.06126</t>
  </si>
  <si>
    <t>26</t>
  </si>
  <si>
    <t>385,000</t>
  </si>
  <si>
    <t>https://baxtel.com/data-center/qts-atlanta-suwanee</t>
  </si>
  <si>
    <t>https://qtsdatacenters.com/data-centers/suwanee-1/</t>
  </si>
  <si>
    <t>Atlanta Suwanee DC2</t>
  </si>
  <si>
    <t>120 Satellite Boulevard NW</t>
  </si>
  <si>
    <t>34.03704</t>
  </si>
  <si>
    <t>-84.05765</t>
  </si>
  <si>
    <t>30</t>
  </si>
  <si>
    <t>376,900</t>
  </si>
  <si>
    <t>QTS Suwanee</t>
  </si>
  <si>
    <t>120-300 Satellite Blvd NW</t>
  </si>
  <si>
    <t>34.03671</t>
  </si>
  <si>
    <t>-84.06008</t>
  </si>
  <si>
    <t>Project Bus</t>
  </si>
  <si>
    <t>near Center Point Rd and Vaughn Rd</t>
  </si>
  <si>
    <t>Temple</t>
  </si>
  <si>
    <t>30179</t>
  </si>
  <si>
    <t>Carroll and Haralson</t>
  </si>
  <si>
    <t>33.709145</t>
  </si>
  <si>
    <t>-85.06483</t>
  </si>
  <si>
    <t>2036</t>
  </si>
  <si>
    <t>The Carroll County Anti-Data Center Coalition consists of local residents and officials opposing large-scale data center developments. Focused on protecting rural land, they argue these projects strain water/energy resources and threaten farmland preservation, with commissioners actively opposing new developments</t>
  </si>
  <si>
    <t>https://www.facebook.com/groups/cclandnlegacy/</t>
  </si>
  <si>
    <t>https://www.facebook.com/groups/882581394736535/</t>
  </si>
  <si>
    <t>https://www.change.org/p/stop-data-center-from-being-built-in-carroll-county-georgia</t>
  </si>
  <si>
    <t>Rezoning application withdrawn Feb 2026</t>
  </si>
  <si>
    <t>https://www.datacenterdynamics.com/en/news/atlas-development-files-for-12-building-data-center-campus-in-temple-georgia/</t>
  </si>
  <si>
    <t>https://apps.dca.ga.gov/DRI/InitialForm.aspx?driid=4606</t>
  </si>
  <si>
    <t>https://www.paxtonmedia.com/news/the_times_georgian/temple-data-center-proposal-pulled/article_ca408658-2271-5b4e-b2ff-94efbf252d54.html</t>
  </si>
  <si>
    <t>02/06/2026</t>
  </si>
  <si>
    <t>Upson County Megasite</t>
  </si>
  <si>
    <t>795 Windsweep Farm Road</t>
  </si>
  <si>
    <t>Thomaston</t>
  </si>
  <si>
    <t>30286</t>
  </si>
  <si>
    <t>Upson</t>
  </si>
  <si>
    <t>32.885147</t>
  </si>
  <si>
    <t>-84.24026</t>
  </si>
  <si>
    <t>Dominion Capital</t>
  </si>
  <si>
    <t>3,250,000</t>
  </si>
  <si>
    <t>https://share.google/8BEoDdGqZgnG90m4o</t>
  </si>
  <si>
    <t>Project Azalea</t>
  </si>
  <si>
    <t>2660-2358 Randall Hunt Rd</t>
  </si>
  <si>
    <t>Thomson</t>
  </si>
  <si>
    <t>30824</t>
  </si>
  <si>
    <t>McDuffie</t>
  </si>
  <si>
    <t>33.453014</t>
  </si>
  <si>
    <t>-82.39851</t>
  </si>
  <si>
    <t>https://www.datacenterdynamics.com/en/news/200-acre-project-azalea-data-center-approved/</t>
  </si>
  <si>
    <t>03/19/2026</t>
  </si>
  <si>
    <t xml:space="preserve">Microsoft </t>
  </si>
  <si>
    <t>GA-74</t>
  </si>
  <si>
    <t>Tyrone</t>
  </si>
  <si>
    <t>30290</t>
  </si>
  <si>
    <t>33.518105</t>
  </si>
  <si>
    <t>-84.578316</t>
  </si>
  <si>
    <t>500,000</t>
  </si>
  <si>
    <t>147</t>
  </si>
  <si>
    <t>Project includes substation on site</t>
  </si>
  <si>
    <t>https://www.datacenterdynamics.com/en/news/microsoft-confirms-plans-for-data-center-in-tyrone-georgia/</t>
  </si>
  <si>
    <t>Project Rita Campus</t>
  </si>
  <si>
    <t>2008 Joel Cowan Parkway</t>
  </si>
  <si>
    <t>33.517883</t>
  </si>
  <si>
    <t>-84.57948</t>
  </si>
  <si>
    <t>Fayette County Development Authority</t>
  </si>
  <si>
    <t>96</t>
  </si>
  <si>
    <t>https://apps.dca.ga.gov/DRI/AppSummary.aspx?driid=4094</t>
  </si>
  <si>
    <t>ATL03/Red Oak</t>
  </si>
  <si>
    <t>7170 Red Oak Rd</t>
  </si>
  <si>
    <t>Union City</t>
  </si>
  <si>
    <t>30291</t>
  </si>
  <si>
    <t>33.56321</t>
  </si>
  <si>
    <t>-84.5129</t>
  </si>
  <si>
    <t>TA Realty LLC, Brightstar Commercial Properties LLC</t>
  </si>
  <si>
    <t>https://apps.dca.ga.gov/DRI/AppSummary.aspx?driid=4315</t>
  </si>
  <si>
    <t>Union City Data Center</t>
  </si>
  <si>
    <t>State Route 138 and Buffington Road</t>
  </si>
  <si>
    <t>33.562943</t>
  </si>
  <si>
    <t>-84.5134</t>
  </si>
  <si>
    <t>https://share.newsbreak.com/f5k7f69n?s=i3</t>
  </si>
  <si>
    <t>Valdosta Data Center</t>
  </si>
  <si>
    <t>Near 4107 Quail Hollow cir</t>
  </si>
  <si>
    <t>Valdosta</t>
  </si>
  <si>
    <t>31602</t>
  </si>
  <si>
    <t>Lowndes</t>
  </si>
  <si>
    <t>30.885855</t>
  </si>
  <si>
    <t>-83.32822</t>
  </si>
  <si>
    <t>Langdale Capital Assets</t>
  </si>
  <si>
    <t xml:space="preserve">Atlas </t>
  </si>
  <si>
    <t>S. Van Wert Rd and NE Hickory Level Rd</t>
  </si>
  <si>
    <t>Villa Rica</t>
  </si>
  <si>
    <t>30180</t>
  </si>
  <si>
    <t>33.70841</t>
  </si>
  <si>
    <t>-84.9497</t>
  </si>
  <si>
    <t>https://www.datacenterdynamics.com/en/news/atlas-files-for-428-acre-technology-and-data-park-outside-atlanta-georgia/</t>
  </si>
  <si>
    <t>Avemore GA LLC Data Center</t>
  </si>
  <si>
    <t>55 Goldworth Rd</t>
  </si>
  <si>
    <t>33.70459</t>
  </si>
  <si>
    <t>-84.94</t>
  </si>
  <si>
    <t>Atlanta Development</t>
  </si>
  <si>
    <t>350,000</t>
  </si>
  <si>
    <t>428</t>
  </si>
  <si>
    <t>https://cms2.revize.com/revize/villaricaga/Documents/Government/Boards%20and%20Committees/Planning%20and%20Zoning/2024/Agenda/PlanningandZoningCommissionPacket08-20-24031218092024PM1371.pdf</t>
  </si>
  <si>
    <t>EdgeConneX Data Center/ Hickman Property</t>
  </si>
  <si>
    <t>I-20 and Clinton Rd</t>
  </si>
  <si>
    <t>33.707703</t>
  </si>
  <si>
    <t>-84.86278</t>
  </si>
  <si>
    <t>East Village Donthan LLC</t>
  </si>
  <si>
    <t>Application denied, July 2026</t>
  </si>
  <si>
    <t>https://www.govtech.com/artificial-intelligence/atlanta-data-center-would-be-larger-than-mall-of-georgia</t>
  </si>
  <si>
    <t>https://www.datacenterdynamics.com/en/news/county-officials-deny-data-center-zoning-request-in-georgia/</t>
  </si>
  <si>
    <t>Robins Air Force Base Data Center</t>
  </si>
  <si>
    <t>Warner Robins</t>
  </si>
  <si>
    <t>31098</t>
  </si>
  <si>
    <t>Houston</t>
  </si>
  <si>
    <t>32.6389</t>
  </si>
  <si>
    <t>-83.592094</t>
  </si>
  <si>
    <t>Stream Atlanta West Data Center</t>
  </si>
  <si>
    <t>Jason Industrial Parkway and N Baggett Road</t>
  </si>
  <si>
    <t>Winston</t>
  </si>
  <si>
    <t>30187</t>
  </si>
  <si>
    <t>33.739944</t>
  </si>
  <si>
    <t>-84.80678</t>
  </si>
  <si>
    <t>1,343,700</t>
  </si>
  <si>
    <t>https://apps.dca.ga.gov/DRI/AppSummary.aspx?driid=4334</t>
  </si>
  <si>
    <t>Between N. Baggett Rd and Jason Industrial Pkwy</t>
  </si>
  <si>
    <t>33.73446</t>
  </si>
  <si>
    <t>-84.8097</t>
  </si>
  <si>
    <t>2 substations</t>
  </si>
  <si>
    <t>https://www.datacenterdynamics.com/en/news/stream-files-for-13-million-sq-ft-data-center-campus-outside-atlanta-georgia/</t>
  </si>
  <si>
    <t>Mililani Technology Park</t>
  </si>
  <si>
    <t>100 Kahelu Ave</t>
  </si>
  <si>
    <t>Mililani</t>
  </si>
  <si>
    <t>HI</t>
  </si>
  <si>
    <t>96789</t>
  </si>
  <si>
    <t>Honolulu</t>
  </si>
  <si>
    <t>21.480452</t>
  </si>
  <si>
    <t>-158.02138</t>
  </si>
  <si>
    <t>30,000</t>
  </si>
  <si>
    <t>https://www.datacenterdynamics.com/en/news/hawaii-based-cloud-provider-servpac-expands-data-center/</t>
  </si>
  <si>
    <t>Applied Digital</t>
  </si>
  <si>
    <t>~1260 Fallow Ave</t>
  </si>
  <si>
    <t>Adair</t>
  </si>
  <si>
    <t>IA</t>
  </si>
  <si>
    <t>50002</t>
  </si>
  <si>
    <t>41.46419</t>
  </si>
  <si>
    <t>-94.6051</t>
  </si>
  <si>
    <t>https://www.datacenterdynamics.com/en/news/applied-digital-faces-opposition-to-planned-data-center-in-adair-county-iowa/</t>
  </si>
  <si>
    <t>Edged DSM01-1 Data Center</t>
  </si>
  <si>
    <t>9100 SE Four Mile Dr</t>
  </si>
  <si>
    <t>Ankeny</t>
  </si>
  <si>
    <t>50021</t>
  </si>
  <si>
    <t>41.65646</t>
  </si>
  <si>
    <t>-93.5616</t>
  </si>
  <si>
    <t>17</t>
  </si>
  <si>
    <t>$187 million</t>
  </si>
  <si>
    <t>https://www.datacenterdynamics.com/en/news/edged-announces-13mw-data-center-outside-des-moines-iowa/</t>
  </si>
  <si>
    <t>https://www.edged.us/des-moines</t>
  </si>
  <si>
    <t>06/14/2025</t>
  </si>
  <si>
    <t>11/30/2025</t>
  </si>
  <si>
    <t>Simple Mining</t>
  </si>
  <si>
    <t>Cascade Industrial Park</t>
  </si>
  <si>
    <t>Cascade</t>
  </si>
  <si>
    <t>Dubuque</t>
  </si>
  <si>
    <t>42.2922</t>
  </si>
  <si>
    <t>-91.0185</t>
  </si>
  <si>
    <t>Bitcoin</t>
  </si>
  <si>
    <t>6,400</t>
  </si>
  <si>
    <t>Separate mining containers, each 160 sq ft</t>
  </si>
  <si>
    <t>https://www.datacenterdynamics.com/en/news/simple-mining-plans-bitcoin-mining-expansion-in-dubuque-county-iowa/</t>
  </si>
  <si>
    <t>Viking Rd and S. Union Rd</t>
  </si>
  <si>
    <t>Cedar Falls</t>
  </si>
  <si>
    <t>50613</t>
  </si>
  <si>
    <t>Black Hawk</t>
  </si>
  <si>
    <t>42.480602</t>
  </si>
  <si>
    <t>-92.48979</t>
  </si>
  <si>
    <t>https://www.datacenterdynamics.com/en/news/officials-in-cedar-falls-iowa-delay-hearing-on-simple-minings-cryptomine-rezoning/</t>
  </si>
  <si>
    <t>Cedar Rapids Google Data Center</t>
  </si>
  <si>
    <t>5420 Edgewood Rd SW</t>
  </si>
  <si>
    <t>Cedar Rapids</t>
  </si>
  <si>
    <t>52404</t>
  </si>
  <si>
    <t>Linn</t>
  </si>
  <si>
    <t>41.90651</t>
  </si>
  <si>
    <t>-91.7155</t>
  </si>
  <si>
    <t>$576 million</t>
  </si>
  <si>
    <t>https://corridorbusiness.com/google-plans-special-investment-announcement-in-cedar-rapids-may-30/</t>
  </si>
  <si>
    <t>https://www.datacenterdynamics.com/en/news/560-acre-data-center-campus-proposed-in-cedar-rapids-iowa/</t>
  </si>
  <si>
    <t>05/24/2025</t>
  </si>
  <si>
    <t>Council Bluffs Google Data Center</t>
  </si>
  <si>
    <t>1430 Veterans Memorial Hwy</t>
  </si>
  <si>
    <t>Council Bluffs</t>
  </si>
  <si>
    <t>51501</t>
  </si>
  <si>
    <t>Pottawattamie</t>
  </si>
  <si>
    <t>41.22147</t>
  </si>
  <si>
    <t>-95.864914</t>
  </si>
  <si>
    <t>2,890,000</t>
  </si>
  <si>
    <t>https://datacenters.google/locations/iowa/</t>
  </si>
  <si>
    <t>Edged Data Center</t>
  </si>
  <si>
    <t>2130 E Kanesville Blvd</t>
  </si>
  <si>
    <t>51503</t>
  </si>
  <si>
    <t>41.27521</t>
  </si>
  <si>
    <t>-95.8246</t>
  </si>
  <si>
    <t>570,000</t>
  </si>
  <si>
    <t>https://www.datacenterdynamics.com/en/news/edged-reduces-scope-of-planned-data-center-campus-in-council-bluffs-iowa/</t>
  </si>
  <si>
    <t>Project Osmium</t>
  </si>
  <si>
    <t>5855 SW Kerry St</t>
  </si>
  <si>
    <t>Cumming</t>
  </si>
  <si>
    <t>50061</t>
  </si>
  <si>
    <t>Warren</t>
  </si>
  <si>
    <t>41.49686</t>
  </si>
  <si>
    <t>-93.7887</t>
  </si>
  <si>
    <t>08/13/2025</t>
  </si>
  <si>
    <t xml:space="preserve">Project Ruthenium </t>
  </si>
  <si>
    <t>near 3320 110th St</t>
  </si>
  <si>
    <t>50062</t>
  </si>
  <si>
    <t>41.49467</t>
  </si>
  <si>
    <t>-93.8046</t>
  </si>
  <si>
    <t>245,000</t>
  </si>
  <si>
    <t>103</t>
  </si>
  <si>
    <t>$210 million</t>
  </si>
  <si>
    <t>https://www.datacenterdynamics.com/en/news/microsoft-files-for-new-data-center-campus-in-des-moines-iowa/</t>
  </si>
  <si>
    <t>off Hwy 61</t>
  </si>
  <si>
    <t>Delmar</t>
  </si>
  <si>
    <t>52037</t>
  </si>
  <si>
    <t>42.02969</t>
  </si>
  <si>
    <t>-90.659424</t>
  </si>
  <si>
    <t>46</t>
  </si>
  <si>
    <t>https://www.datacenterdynamics.com/en/news/data-center-campus-eyed-for-46-acre-site-in-maquoketa-iowa/</t>
  </si>
  <si>
    <t>https://www.yahoo.com/news/us/articles/small-data-center-proposed-industrial-024543749.html?guccounter=1</t>
  </si>
  <si>
    <t>Des Moines</t>
  </si>
  <si>
    <t>41.57011</t>
  </si>
  <si>
    <t>-93.5839</t>
  </si>
  <si>
    <t>166</t>
  </si>
  <si>
    <t>Dubuque Data Center</t>
  </si>
  <si>
    <t>3501 Digital Dr</t>
  </si>
  <si>
    <t>52003</t>
  </si>
  <si>
    <t>42.44434</t>
  </si>
  <si>
    <t>-90.679</t>
  </si>
  <si>
    <t>Telecommunication routing</t>
  </si>
  <si>
    <t>14,612</t>
  </si>
  <si>
    <t>https://www.datacenters.com/windstream-dubuque-ia</t>
  </si>
  <si>
    <t>Karis Data Center</t>
  </si>
  <si>
    <t>Near Dubuque Regional Airport</t>
  </si>
  <si>
    <t>42.401558</t>
  </si>
  <si>
    <t>-90.72211</t>
  </si>
  <si>
    <t>Karis</t>
  </si>
  <si>
    <t>https://www.datacenterdynamics.com/en/news/karis-named-as-firm-behind-proposed-data-center-project-in-dubuque-county-iowa/</t>
  </si>
  <si>
    <t>https://www.kcrg.com/2026/06/24/data-center-concerns-draw-hundreds-dubuque-county-town-hall/</t>
  </si>
  <si>
    <t>QTS Fairfax Data Center</t>
  </si>
  <si>
    <t>~3400 76th Ave SW</t>
  </si>
  <si>
    <t>Fairfax</t>
  </si>
  <si>
    <t>52228</t>
  </si>
  <si>
    <t>41.89881</t>
  </si>
  <si>
    <t>-91.7211</t>
  </si>
  <si>
    <t>612</t>
  </si>
  <si>
    <t>$750 million</t>
  </si>
  <si>
    <t>https://www.datacenterdynamics.com/en/news/city-of-cedar-rapids-officially-confirms-qts-behind-iowa-data-center-campus/</t>
  </si>
  <si>
    <t>https://www.thegazette.com/local-government/unnamed-company-looks-to-build-576-million-data-center-in-cedar-rapids/</t>
  </si>
  <si>
    <t>https://www.kcrg.com/2025/07/29/officials-cancel-groundbreaking-ceremony-cedar-rapids-data-center/</t>
  </si>
  <si>
    <t>07/30/2025</t>
  </si>
  <si>
    <t xml:space="preserve">Project West </t>
  </si>
  <si>
    <t>South of Delaware St, west of Rt 28</t>
  </si>
  <si>
    <t>Norwalk</t>
  </si>
  <si>
    <t>50211</t>
  </si>
  <si>
    <t>41.458225</t>
  </si>
  <si>
    <t>-93.70044</t>
  </si>
  <si>
    <t>282</t>
  </si>
  <si>
    <t>$12 billion</t>
  </si>
  <si>
    <t>https://www.datacenterdynamics.com/en/news/city-council-in-norwalk-iowa-approves-potential-data-center-development-agreement-despite-public-concerns/</t>
  </si>
  <si>
    <t>https://norwalkiaswdevelopment.com/projectwest</t>
  </si>
  <si>
    <t>03/20/2026</t>
  </si>
  <si>
    <t>MidAmerican Data Center</t>
  </si>
  <si>
    <t>260th Street, between Charles Ave and Old Highway 75</t>
  </si>
  <si>
    <t>Salix</t>
  </si>
  <si>
    <t>51052</t>
  </si>
  <si>
    <t>Woodbury</t>
  </si>
  <si>
    <t>42.330082</t>
  </si>
  <si>
    <t>-96.272316</t>
  </si>
  <si>
    <t>https://www.change.org/p/stop-proposed-hyper-data-center-in-salix-iowa</t>
  </si>
  <si>
    <t>https://www.datacenterdynamics.com/en/news/900-acre-data-center-could-be-built-in-salix-iowa/</t>
  </si>
  <si>
    <t>IA01 Data Center</t>
  </si>
  <si>
    <t>390 N Alice's Road</t>
  </si>
  <si>
    <t>Waukee</t>
  </si>
  <si>
    <t>50263</t>
  </si>
  <si>
    <t>Dallas</t>
  </si>
  <si>
    <t>41.6204</t>
  </si>
  <si>
    <t>-93.854</t>
  </si>
  <si>
    <t>US Signal</t>
  </si>
  <si>
    <t>20,000</t>
  </si>
  <si>
    <t>https://www.datacenterdynamics.com/en/news/us-signal-to-expand-capacity-at-data-centers-in-michigan-detroit/</t>
  </si>
  <si>
    <t>https://www.dbusiness.com/daily-news/us-signal-adding-3mw-of-commercial-computing-power-to-belleville-data-center/</t>
  </si>
  <si>
    <t>https://ground.news/article/us-signal-expands-national-infrastructure-footprint-with-major-data-center-and-fiber-investments?utm_source=chatgpt.com</t>
  </si>
  <si>
    <t xml:space="preserve">DSM14 </t>
  </si>
  <si>
    <t>3655 SE Soteria Ave</t>
  </si>
  <si>
    <t>West Des Moines</t>
  </si>
  <si>
    <t>50265</t>
  </si>
  <si>
    <t>41.51406</t>
  </si>
  <si>
    <t>-93.7142</t>
  </si>
  <si>
    <t>184,600</t>
  </si>
  <si>
    <t>https://www.datacenterdynamics.com/en/news/microsoft-granted-permit-for-new-data-center-in-des-moines-iowa/</t>
  </si>
  <si>
    <t xml:space="preserve">Project Alluvion </t>
  </si>
  <si>
    <t>550 White Crane Rd</t>
  </si>
  <si>
    <t>41.51533</t>
  </si>
  <si>
    <t>-93.7107</t>
  </si>
  <si>
    <t>Project Ginger East (Microsoft)</t>
  </si>
  <si>
    <t>near 1475 Maffitt Lake Rd</t>
  </si>
  <si>
    <t>41.51475</t>
  </si>
  <si>
    <t>-93.7212</t>
  </si>
  <si>
    <t>130</t>
  </si>
  <si>
    <t>Project Ginger West</t>
  </si>
  <si>
    <t>11100 Booneville Rd</t>
  </si>
  <si>
    <t>50266</t>
  </si>
  <si>
    <t>41.5346</t>
  </si>
  <si>
    <t>-93.8656</t>
  </si>
  <si>
    <t>Project Mountain</t>
  </si>
  <si>
    <t>8855 Grand Ave</t>
  </si>
  <si>
    <t>41.53982</t>
  </si>
  <si>
    <t>-93.8242</t>
  </si>
  <si>
    <t>Deep Atomic Data Center</t>
  </si>
  <si>
    <t>Idaho National Laboratory</t>
  </si>
  <si>
    <t>Idaho Falls</t>
  </si>
  <si>
    <t>ID</t>
  </si>
  <si>
    <t>83415</t>
  </si>
  <si>
    <t>Bonneville</t>
  </si>
  <si>
    <t>43.51967</t>
  </si>
  <si>
    <t>-112.04594</t>
  </si>
  <si>
    <t>Nuclear</t>
  </si>
  <si>
    <t>https://www.change.org/p/say-no-to-nuclear-powered-ai-in-idaho-without-strong-climate-and-safety-protections</t>
  </si>
  <si>
    <t>https://www.datacenterdynamics.com/en/news/smr-developer-deep-atomic-proposes-nuclear-powered-ai-data-center-at-idaho-national-lab/</t>
  </si>
  <si>
    <t>02/27/2026</t>
  </si>
  <si>
    <t>Lex Developments Data Center</t>
  </si>
  <si>
    <t>Hoku Way</t>
  </si>
  <si>
    <t>Pocatello</t>
  </si>
  <si>
    <t>83204</t>
  </si>
  <si>
    <t>Bannock</t>
  </si>
  <si>
    <t>42.89649</t>
  </si>
  <si>
    <t>-112.49562</t>
  </si>
  <si>
    <t>700,000</t>
  </si>
  <si>
    <t>Opposition by Shoshone-Bannock First Nations</t>
  </si>
  <si>
    <t>https://www.datacenterdynamics.com/en/news/first-nation-opposes-plan-for-ai-data-center-in-pocatello-idaho/</t>
  </si>
  <si>
    <t>2835 Bilter Road</t>
  </si>
  <si>
    <t>IL</t>
  </si>
  <si>
    <t>60502</t>
  </si>
  <si>
    <t>DuPage</t>
  </si>
  <si>
    <t>41.80707</t>
  </si>
  <si>
    <t>-88.24102</t>
  </si>
  <si>
    <t>Will employ ThermalWorks closed-loop, waterless cooling technologies and aims to deliver liquid-to-chip cooling</t>
  </si>
  <si>
    <t>https://datacenter.news/story/edged-expands-aurora-campus-with-waterless-ai-data-centre</t>
  </si>
  <si>
    <t>US Signal Data Center</t>
  </si>
  <si>
    <t>4267 Meridian Pkwy</t>
  </si>
  <si>
    <t>60504</t>
  </si>
  <si>
    <t>Kane</t>
  </si>
  <si>
    <t>41.772236</t>
  </si>
  <si>
    <t>-88.21706</t>
  </si>
  <si>
    <t>1.35-6</t>
  </si>
  <si>
    <t>https://www.datacenterdynamics.com/en/news/us-signal-acquires-data-center-in-aurora-illinois/</t>
  </si>
  <si>
    <t>Barrington Hills Data Center</t>
  </si>
  <si>
    <t>Pond Gate Dr &amp; Penny Rd</t>
  </si>
  <si>
    <t>Barrington Hills</t>
  </si>
  <si>
    <t>60010</t>
  </si>
  <si>
    <t>Cook</t>
  </si>
  <si>
    <t>42.102898</t>
  </si>
  <si>
    <t>-88.228096</t>
  </si>
  <si>
    <t>$2 billion</t>
  </si>
  <si>
    <t>Current advocacy regarding the Brennan Investment Group data center proposal in Barrington Hills focuses on maintaining a permanent rejection of the project, even after its formal withdrawal in late January 2026. While village officials consider the matter "closed," local advocates remain active to ensure the developer does not attempt to revive the plan or bypass local authority through annexation.</t>
  </si>
  <si>
    <t>https://barringtonhills-il.gov/special-plan-commission-meeting-to-welcome-resident-input/</t>
  </si>
  <si>
    <t>https://www.change.org/p/deny-data-centers-in-barrington-hills</t>
  </si>
  <si>
    <t>https://www.shawlocal.com/northwest-herald/news/2026/01/29/2-billion-data-center-proposal-in-barrington-hills-withdrawn/</t>
  </si>
  <si>
    <t>https://www.datacenterdynamics.com/en/news/brennan-investment-group-withdraws-plans-for-2bn-data-center-outside-chicago-illinois/</t>
  </si>
  <si>
    <t>near Interstate 55 and Reed Rd</t>
  </si>
  <si>
    <t>Braidwood/ Braceville</t>
  </si>
  <si>
    <t>60407</t>
  </si>
  <si>
    <t>Will</t>
  </si>
  <si>
    <t>41.256397</t>
  </si>
  <si>
    <t>-88.2417</t>
  </si>
  <si>
    <t>Includes on-site substation</t>
  </si>
  <si>
    <t>HydraVault Data Center</t>
  </si>
  <si>
    <t>2538 S Wabash Ave</t>
  </si>
  <si>
    <t>Chicago</t>
  </si>
  <si>
    <t>60616</t>
  </si>
  <si>
    <t>41.84624</t>
  </si>
  <si>
    <t>-87.6257</t>
  </si>
  <si>
    <t>20</t>
  </si>
  <si>
    <t>Advocacy surrounding data centers in Illinois has intensified in early 2026, shifting from isolated local protests to a coordinated statewide legislative push.</t>
  </si>
  <si>
    <t>https://www.change.org/p/regulate-ai-data-centers-in-chicago</t>
  </si>
  <si>
    <t>liquid cooled chip technology</t>
  </si>
  <si>
    <t>https://www.datacenterdynamics.com/en/news/new-firm-announces-plans-for-20mw-liquid-cooled-data-center-in-chicago/</t>
  </si>
  <si>
    <t>09/17/2025</t>
  </si>
  <si>
    <t>02/11/2026</t>
  </si>
  <si>
    <t>Karis Critical Data Center</t>
  </si>
  <si>
    <t>E Gurler and S Peace Rds</t>
  </si>
  <si>
    <t>60115</t>
  </si>
  <si>
    <t>41.894</t>
  </si>
  <si>
    <t>-88.7222</t>
  </si>
  <si>
    <t>1,750,000</t>
  </si>
  <si>
    <t>132</t>
  </si>
  <si>
    <t>20-acre substation possibly being constructed on site</t>
  </si>
  <si>
    <t>https://www.datacenterdynamics.com/en/news/seven-building-data-center-campus-gets-preliminary-ok-from-illinois-planning-commission/</t>
  </si>
  <si>
    <t>DKL Meta Data Center</t>
  </si>
  <si>
    <t>2002 E Gurler Rd</t>
  </si>
  <si>
    <t>41.89183</t>
  </si>
  <si>
    <t>-88.7238</t>
  </si>
  <si>
    <t>https://datacenters.atmeta.com/2023/11/dekalb-we-are-online/</t>
  </si>
  <si>
    <t>06/15/2026</t>
  </si>
  <si>
    <t>Meta DeKalb Data Center</t>
  </si>
  <si>
    <t>near Devonaire Pkwy and S. Malta Rd</t>
  </si>
  <si>
    <t>41.92591</t>
  </si>
  <si>
    <t>-88.79564</t>
  </si>
  <si>
    <t>https://poweredbywho.com/projects/meta-dekalb-data-center-fc313cee</t>
  </si>
  <si>
    <t>https://usdatamap.com/facility/meta-dekalb-il-il-meta-8</t>
  </si>
  <si>
    <t>4800 W Higgins Rd</t>
  </si>
  <si>
    <t>Dundee</t>
  </si>
  <si>
    <t>60118</t>
  </si>
  <si>
    <t>42.07725</t>
  </si>
  <si>
    <t>-88.19533</t>
  </si>
  <si>
    <t>186</t>
  </si>
  <si>
    <t xml:space="preserve"> 3,250 signatures on petition</t>
  </si>
  <si>
    <t>https://www.datacenterdynamics.com/en/news/karis-withdraws-rezoning-request-for-data-center-in-hoffman-estates-illinois/</t>
  </si>
  <si>
    <t>Gail Technology Data Center</t>
  </si>
  <si>
    <t>15244 E. 1700th Avenue</t>
  </si>
  <si>
    <t>Effingham</t>
  </si>
  <si>
    <t>62401</t>
  </si>
  <si>
    <t>39.16273</t>
  </si>
  <si>
    <t>-88.518654</t>
  </si>
  <si>
    <t>Gail Technology</t>
  </si>
  <si>
    <t>Solar</t>
  </si>
  <si>
    <t>"environmentally friendly" solar powered</t>
  </si>
  <si>
    <t>https://www.effinghamdailynews.com/news/environmentally-friendly-data-center-coming-to-effingham/article_7f38e269-f40d-49d8-b607-55f26c7d4bf3.html</t>
  </si>
  <si>
    <t>https://www.idcnova.com/html/1/59/153/4755.html</t>
  </si>
  <si>
    <t>https://www.yahoo.com/news/articles/environmentally-friendly-data-center-coming-045900554.html</t>
  </si>
  <si>
    <t>101 Northwest Point Blvd</t>
  </si>
  <si>
    <t>Elk Grove Village</t>
  </si>
  <si>
    <t>60007</t>
  </si>
  <si>
    <t>42.03573</t>
  </si>
  <si>
    <t>-87.9766</t>
  </si>
  <si>
    <t>https://www.datacenterdynamics.com/en/news/aligned-stream-and-nexstar-planning-data-center-campuses-in-elk-grove-area-of-chicago/</t>
  </si>
  <si>
    <t>https://therealdeal.com/chicago/2023/05/09/data-center-developer-aligned-assembles-26-acres-near-ohare/</t>
  </si>
  <si>
    <t>50 Northwest Point Blvd</t>
  </si>
  <si>
    <t>42.03374</t>
  </si>
  <si>
    <t>-87.9824</t>
  </si>
  <si>
    <t>177,000</t>
  </si>
  <si>
    <t>141 Northwest Point Blvd</t>
  </si>
  <si>
    <t>42.03674</t>
  </si>
  <si>
    <t>-87.9827</t>
  </si>
  <si>
    <t>115,000</t>
  </si>
  <si>
    <t>Nexstar Media Group Data Center</t>
  </si>
  <si>
    <t>720 Rohlwing Rd</t>
  </si>
  <si>
    <t>42.01142</t>
  </si>
  <si>
    <t>-88.0317</t>
  </si>
  <si>
    <t>700 Roppolo Dr</t>
  </si>
  <si>
    <t>42.01401</t>
  </si>
  <si>
    <t>-87.95375</t>
  </si>
  <si>
    <t>Demolition of 57 residential properties</t>
  </si>
  <si>
    <t>Stream Data Center: Chicago 1</t>
  </si>
  <si>
    <t>2080 Lunt Ave</t>
  </si>
  <si>
    <t>42.00269</t>
  </si>
  <si>
    <t>-87.9518</t>
  </si>
  <si>
    <t>126,689</t>
  </si>
  <si>
    <t>Stream Data Center: Chicago 2</t>
  </si>
  <si>
    <t>1925 Busse Road</t>
  </si>
  <si>
    <t>41.99923</t>
  </si>
  <si>
    <t>-87.9578</t>
  </si>
  <si>
    <t>226,000</t>
  </si>
  <si>
    <t>T5 Data Center</t>
  </si>
  <si>
    <t>200 Innovation Dr</t>
  </si>
  <si>
    <t>42.02308</t>
  </si>
  <si>
    <t>-87.9757</t>
  </si>
  <si>
    <t>https://www.datacenterdynamics.com/en/news/t5-data-center-in-illinois-topped-out/</t>
  </si>
  <si>
    <t>Lutticken Farm,  between IL Hwy 98 and Sheridan Rd</t>
  </si>
  <si>
    <t>Groveland Twp</t>
  </si>
  <si>
    <t>61554</t>
  </si>
  <si>
    <t>Tazewell</t>
  </si>
  <si>
    <t>40.59457</t>
  </si>
  <si>
    <t>-89.590225</t>
  </si>
  <si>
    <t>320</t>
  </si>
  <si>
    <t>https://www.datacenterdynamics.com/en/news/western-hospitality-partners-eyes-320-acre-data-center-campus-outside-peoria-illinois/</t>
  </si>
  <si>
    <t>https://www.datacenterdynamics.com/en/news/data-center-proposal-rejected-in-pekin-illinois/</t>
  </si>
  <si>
    <t>https://www.datacenterdynamics.com/en/news/developer-withdraws-data-center-proposal-in-pekin-illinois/</t>
  </si>
  <si>
    <t>PowerHouse Data Centers</t>
  </si>
  <si>
    <t>S Rowell Rd &amp; W Bernhard Rd</t>
  </si>
  <si>
    <t>Jackson Twp/ Joliet</t>
  </si>
  <si>
    <t>60421</t>
  </si>
  <si>
    <t>41.465225</t>
  </si>
  <si>
    <t>-88.06284</t>
  </si>
  <si>
    <t>1800</t>
  </si>
  <si>
    <t>24</t>
  </si>
  <si>
    <t>3,468,000</t>
  </si>
  <si>
    <t>795</t>
  </si>
  <si>
    <t>$20 billion</t>
  </si>
  <si>
    <t>https://www.datacenterdynamics.com/en/news/proposal-for-20bn-data-center-outside-chicago-recommended-for-approval-by-local-planning-commission/</t>
  </si>
  <si>
    <t xml:space="preserve">PowerHouse Hillwood Holding </t>
  </si>
  <si>
    <t>Schweitzer Rd and S Ridge Rd</t>
  </si>
  <si>
    <t>Joliet</t>
  </si>
  <si>
    <t>41.46266</t>
  </si>
  <si>
    <t>-88.05086</t>
  </si>
  <si>
    <t>PowerHouse Hillwood Holding</t>
  </si>
  <si>
    <t>https://www.datacenterdynamics.com/en/news/approval-given-to-20bn-data-center-near-chicago-illinois/</t>
  </si>
  <si>
    <t>Hut8 Data Center</t>
  </si>
  <si>
    <t>Hwy 121</t>
  </si>
  <si>
    <t>Latham/ Laenna Twp</t>
  </si>
  <si>
    <t>62548</t>
  </si>
  <si>
    <t>39.97475</t>
  </si>
  <si>
    <t>-89.19171</t>
  </si>
  <si>
    <t xml:space="preserve">Hut 8 </t>
  </si>
  <si>
    <t>1-3</t>
  </si>
  <si>
    <t>https://www.wandtv.com/news/logan-co-residents-question-risks-of-proposed-hut-8-data-center-in-latham/article_5c7e3cb4-111d-4dcd-9c21-a261825314e4.html</t>
  </si>
  <si>
    <t>https://www.illinoistimes.com/news/logan-county-data-center-plans-delayed/</t>
  </si>
  <si>
    <t>https://www.illinoistimes.com/news/data-center-opposition/</t>
  </si>
  <si>
    <t>02/03/2026</t>
  </si>
  <si>
    <t>Cloud Centers Data Center</t>
  </si>
  <si>
    <t>711 Ogden Avenue</t>
  </si>
  <si>
    <t>Lisle</t>
  </si>
  <si>
    <t>60532</t>
  </si>
  <si>
    <t>41.801693</t>
  </si>
  <si>
    <t>-88.06276</t>
  </si>
  <si>
    <t>Cloud Centers</t>
  </si>
  <si>
    <t>256,000</t>
  </si>
  <si>
    <t>https://www.datacenterdynamics.com/en/news/public-meeting-over-planned-data-center-project-in-lisle-illinois-postponed-due-to-large-number-of-attendees/</t>
  </si>
  <si>
    <t>https://villageoflisle.civicweb.net/document/220244/25-1801.pdf?handle=E0E9A4C503DD44D3B92E78DB4DBED085</t>
  </si>
  <si>
    <t>CyrusOne Data Center</t>
  </si>
  <si>
    <t>1850 Springer Dr</t>
  </si>
  <si>
    <t>Lombard</t>
  </si>
  <si>
    <t>60148</t>
  </si>
  <si>
    <t>41.84915</t>
  </si>
  <si>
    <t>-88.0291</t>
  </si>
  <si>
    <t>Minooka</t>
  </si>
  <si>
    <t>60447</t>
  </si>
  <si>
    <t>Grundy</t>
  </si>
  <si>
    <t>41.45592</t>
  </si>
  <si>
    <t>-88.2842</t>
  </si>
  <si>
    <t>Tract Morris Data Center</t>
  </si>
  <si>
    <t>Morris Technology Park, 7659-7471 County Rd 2000 E</t>
  </si>
  <si>
    <t>Morris</t>
  </si>
  <si>
    <t>60450</t>
  </si>
  <si>
    <t>41.39786</t>
  </si>
  <si>
    <t>-88.37636</t>
  </si>
  <si>
    <t>1,000</t>
  </si>
  <si>
    <t>2,900,000</t>
  </si>
  <si>
    <t>343</t>
  </si>
  <si>
    <t>https://www.datacenterdynamics.com/en/news/tract-expands-into-illinois-with-plans-for-1gw-data-center-park-outside-chicago/</t>
  </si>
  <si>
    <t>https://www.datacenterdynamics.com/en/news/ferc-approves-transmission-agreement-for-planned-1gw-tract-data-center-in-morris-illinois/</t>
  </si>
  <si>
    <t>1960 Lucent Lane</t>
  </si>
  <si>
    <t>Naperville</t>
  </si>
  <si>
    <t>60563</t>
  </si>
  <si>
    <t>41.81113</t>
  </si>
  <si>
    <t>-88.1191</t>
  </si>
  <si>
    <t>12-24</t>
  </si>
  <si>
    <t>145,000</t>
  </si>
  <si>
    <t>https://www.change.org/p/naperville-planning-comission-stop-mega-housing-development-on-the-border-of-herrick-lake-and-danada-forest-preserves/u/34146049</t>
  </si>
  <si>
    <t>https://www.dailyherald.com/20250901/news/backbone-of-the-digital-world-karis-details-plans-for-naperville-data-center-development/</t>
  </si>
  <si>
    <t>https://abc7chicago.com/amp/post/naperville-illinois-city-council-denies-plan-karis-critical-data-center-vacant-lucent-campus-off-warrenville-road/18442413/</t>
  </si>
  <si>
    <t>https://www.datacenterdynamics.com/en/news/karis-critical-plans-36mw-data-center-in-naperville-illinois/</t>
  </si>
  <si>
    <t>https://www.datacenterdynamics.com/en/news/36mw-data-center-denied-near-chicago-illinois/</t>
  </si>
  <si>
    <t>02/13/2026</t>
  </si>
  <si>
    <t>150 W. Warrenville Rd</t>
  </si>
  <si>
    <t>41.8113</t>
  </si>
  <si>
    <t>-88.15195</t>
  </si>
  <si>
    <t>168</t>
  </si>
  <si>
    <t>https://www.datacenterdynamics.com/en/news/karis-eyes-potential-data-center-development-outside-chicago-illinois/</t>
  </si>
  <si>
    <t>New Lenox</t>
  </si>
  <si>
    <t>60541</t>
  </si>
  <si>
    <t>41.51055</t>
  </si>
  <si>
    <t>-87.969</t>
  </si>
  <si>
    <t>141</t>
  </si>
  <si>
    <t>ORD-01 Data Center</t>
  </si>
  <si>
    <t>505 Northwest Ave</t>
  </si>
  <si>
    <t>Northlake</t>
  </si>
  <si>
    <t>60164</t>
  </si>
  <si>
    <t>41.91402</t>
  </si>
  <si>
    <t>-87.9177</t>
  </si>
  <si>
    <t>220,000</t>
  </si>
  <si>
    <t>https://www.datacenterdynamics.com/en/news/aligned-completes-first-chicago-data-center-breaks-ground-on-second/</t>
  </si>
  <si>
    <t>ORD-02 Data Center</t>
  </si>
  <si>
    <t>501 Northwest Ave</t>
  </si>
  <si>
    <t>41.91273</t>
  </si>
  <si>
    <t>-87.9172</t>
  </si>
  <si>
    <t>North Pekin Data Center</t>
  </si>
  <si>
    <t>1224 Edgewater Dr</t>
  </si>
  <si>
    <t>North Pekin</t>
  </si>
  <si>
    <t>40.602745</t>
  </si>
  <si>
    <t>-89.629776</t>
  </si>
  <si>
    <t>North 52</t>
  </si>
  <si>
    <t>https://www.datacenterdynamics.com/en/news/head-of-north-pekin-illinois-says-that-former-amc-theater-will-not-be-turned-into-data-center/</t>
  </si>
  <si>
    <t>06/11/2026</t>
  </si>
  <si>
    <t>Eagle Rock Data Center</t>
  </si>
  <si>
    <t xml:space="preserve"> E 1100 North Road, west of N 900 East Road, north of County Road 1000 North, and east of N 800 East Road</t>
  </si>
  <si>
    <t>Palmer</t>
  </si>
  <si>
    <t>62556</t>
  </si>
  <si>
    <t>Christian</t>
  </si>
  <si>
    <t>39.504627</t>
  </si>
  <si>
    <t>-89.37614</t>
  </si>
  <si>
    <t>Eagle Rock</t>
  </si>
  <si>
    <t>475</t>
  </si>
  <si>
    <t>$8.8 billion</t>
  </si>
  <si>
    <t>https://www.datacenterdynamics.com/en/news/property-developer-eagle-rock-proposes-1gw-data-center-in-christian-county-illinois/</t>
  </si>
  <si>
    <t>13400 S Kedzie Ave</t>
  </si>
  <si>
    <t>Robbins</t>
  </si>
  <si>
    <t>60472</t>
  </si>
  <si>
    <t>41.649864</t>
  </si>
  <si>
    <t>-87.70105</t>
  </si>
  <si>
    <t>Former incinerator site for sale</t>
  </si>
  <si>
    <t>https://www.datacenterdynamics.com/en/news/closed-incinerator-near-chicago-eyed-for-potential-data-center-development/</t>
  </si>
  <si>
    <t>Troy Cloverleaf Data Center</t>
  </si>
  <si>
    <t>between Collinsville and Formosa Rds</t>
  </si>
  <si>
    <t>Troy</t>
  </si>
  <si>
    <t>62294</t>
  </si>
  <si>
    <t>38.725338</t>
  </si>
  <si>
    <t>-89.909645</t>
  </si>
  <si>
    <t>Cloverleaf</t>
  </si>
  <si>
    <t>1,584,000</t>
  </si>
  <si>
    <t>https://www.change.org/p/reject-data-center-proposals-in-troy-illinois</t>
  </si>
  <si>
    <t>https://www.datacenterdynamics.com/en/news/cloverleaf-infrastructure-proposes-data-center-campus-near-st-louis-missouri/</t>
  </si>
  <si>
    <t>https://www.datacenterdynamics.com/en/news/illinois-man-arrested-after-threatening-local-authorities-to-stop-data-center-development/</t>
  </si>
  <si>
    <t>CyrusOne</t>
  </si>
  <si>
    <t>13251-13627 Thayer Rd</t>
  </si>
  <si>
    <t>Waverly/ Talkington Twp</t>
  </si>
  <si>
    <t>62692</t>
  </si>
  <si>
    <t>Sangamon</t>
  </si>
  <si>
    <t>39.54828</t>
  </si>
  <si>
    <t>-89.89837</t>
  </si>
  <si>
    <t>632</t>
  </si>
  <si>
    <t>280</t>
  </si>
  <si>
    <t>$500 million</t>
  </si>
  <si>
    <t>Double Black Diamond Solar Farm</t>
  </si>
  <si>
    <t>https://www.illinoistimes.com/news/first-data-center-in-sangamon-county/</t>
  </si>
  <si>
    <t>https://www.datacenterdynamics.com/en/news/cyrusone-gets-go-ahead-for-data-center-in-sangamon-illinois/</t>
  </si>
  <si>
    <t>~11709 Faxon Rd</t>
  </si>
  <si>
    <t>Yorkville</t>
  </si>
  <si>
    <t>60545</t>
  </si>
  <si>
    <t>Kendall</t>
  </si>
  <si>
    <t>41.6759</t>
  </si>
  <si>
    <t>-88.4834</t>
  </si>
  <si>
    <t>https://www.wspynews.com/news/local/cyrusone-proposes-second-yorkville-data-center-campus/article_2bc2768f-42c9-469f-80cf-f057a490fa1b.html</t>
  </si>
  <si>
    <t>09/23/2025</t>
  </si>
  <si>
    <t>Off Faxon and Beecher Rds</t>
  </si>
  <si>
    <t>60560</t>
  </si>
  <si>
    <t>41.68361</t>
  </si>
  <si>
    <t>-88.4681</t>
  </si>
  <si>
    <t>740,000</t>
  </si>
  <si>
    <t>128</t>
  </si>
  <si>
    <t>https://www.shawlocal.com/kendall-county-now/2025/09/19/new-data-center-proposal-in-yorkville-more-than-4-times-the-size-of-niu-football-complex/</t>
  </si>
  <si>
    <t>IND1</t>
  </si>
  <si>
    <t>701 Congressional Blvd</t>
  </si>
  <si>
    <t>Carmell</t>
  </si>
  <si>
    <t>IN</t>
  </si>
  <si>
    <t>46032</t>
  </si>
  <si>
    <t>Hamilton</t>
  </si>
  <si>
    <t>39.96264</t>
  </si>
  <si>
    <t>-86.1456</t>
  </si>
  <si>
    <t>4.4</t>
  </si>
  <si>
    <t>53,000</t>
  </si>
  <si>
    <t>https://www.expedient.com/data-centers/indianapolis/</t>
  </si>
  <si>
    <t>09/02/2025</t>
  </si>
  <si>
    <t>QLevr Data Center</t>
  </si>
  <si>
    <t>1800 Cristiani Parkway</t>
  </si>
  <si>
    <t>Charlestown</t>
  </si>
  <si>
    <t>47111</t>
  </si>
  <si>
    <t>Clark</t>
  </si>
  <si>
    <t>38.4303</t>
  </si>
  <si>
    <t>-85.67671</t>
  </si>
  <si>
    <t>60,000</t>
  </si>
  <si>
    <t>$105 million</t>
  </si>
  <si>
    <t>https://www.wdrb.com/news/neighbors-warn-proposed-105m-charlestown-data-center-could-bring-increased-noise-traffic/article_98004a9f-df7b-4cc5-a18c-d44584c5bc7f.html</t>
  </si>
  <si>
    <t>https://www.datacenterdynamics.com/en/news/105m-data-center-could-be-built-in-charlestown-indiana/</t>
  </si>
  <si>
    <t>Provident Realty Advisors</t>
  </si>
  <si>
    <t>1110 Pearson Rd</t>
  </si>
  <si>
    <t>Chesteron</t>
  </si>
  <si>
    <t>46304</t>
  </si>
  <si>
    <t>Porter</t>
  </si>
  <si>
    <t>41.59884</t>
  </si>
  <si>
    <t>-87.094</t>
  </si>
  <si>
    <t>Blocked after community opposition, withdrawn by developer</t>
  </si>
  <si>
    <t>https://www.datacenterdynamics.com/en/news/application-for-13bn-data-center-in-chesterton-indiana-withdrawn/</t>
  </si>
  <si>
    <t>DartPoints Data Center</t>
  </si>
  <si>
    <t>2425 Technology Blvd</t>
  </si>
  <si>
    <t>47201</t>
  </si>
  <si>
    <t>Bartholomew</t>
  </si>
  <si>
    <t>39.18256</t>
  </si>
  <si>
    <t>-85.8968</t>
  </si>
  <si>
    <t>86,400</t>
  </si>
  <si>
    <t>09/18/2025</t>
  </si>
  <si>
    <t>E 101st Ave</t>
  </si>
  <si>
    <t>Crown Point</t>
  </si>
  <si>
    <t>46307</t>
  </si>
  <si>
    <t>Lake</t>
  </si>
  <si>
    <t>41.43521</t>
  </si>
  <si>
    <t>-87.3099</t>
  </si>
  <si>
    <t>181</t>
  </si>
  <si>
    <t>$900 million</t>
  </si>
  <si>
    <t>https://nwindianabusiness.com/community/business-news/merrillville-committee-endorses-data-center/67103/</t>
  </si>
  <si>
    <t>https://www.govtech.com/artificial-intelligence/2b-in-data-center-projects-planned-for-merrillville-ind</t>
  </si>
  <si>
    <t>Wylie Capital Data Center</t>
  </si>
  <si>
    <t>Broadway and E 93rd Ave</t>
  </si>
  <si>
    <t>41.44693</t>
  </si>
  <si>
    <t>-87.3319</t>
  </si>
  <si>
    <t>Sabey Data Center</t>
  </si>
  <si>
    <t>Kentucky Ave and Camby Rd</t>
  </si>
  <si>
    <t>Decatur</t>
  </si>
  <si>
    <t>46221</t>
  </si>
  <si>
    <t>Marion</t>
  </si>
  <si>
    <t>39.666195</t>
  </si>
  <si>
    <t>-86.30182</t>
  </si>
  <si>
    <t>138</t>
  </si>
  <si>
    <t>$4 billion</t>
  </si>
  <si>
    <t>Additional substation</t>
  </si>
  <si>
    <t>https://www.datacenterdynamics.com/en/news/4bn-data-center-in-indianapolis-indiana-gets-go-ahead/</t>
  </si>
  <si>
    <t>Project Zodiac</t>
  </si>
  <si>
    <t>near E Paulding Rd &amp; Adams Ctr Rd</t>
  </si>
  <si>
    <t>Fort Waye</t>
  </si>
  <si>
    <t>46816</t>
  </si>
  <si>
    <t>Allen</t>
  </si>
  <si>
    <t>41.03761</t>
  </si>
  <si>
    <t>-85.0481</t>
  </si>
  <si>
    <t>200-400</t>
  </si>
  <si>
    <t>https://www.datacenterdynamics.com/en/news/google-announces-2bn-campus-in-fort-wayne-indiana/</t>
  </si>
  <si>
    <t>https://www.21alivenews.com/2025/09/19/googles-plan-build-protected-wetlands-fort-wayne-data-center-greenlit/</t>
  </si>
  <si>
    <t>https://www.datacenterdynamics.com/en/news/indiana-approves-expanding-googles-fort-wayne-data-center-campus-onto-protected-wetlands-despite-local-opposition/</t>
  </si>
  <si>
    <t>Logistix Data Center</t>
  </si>
  <si>
    <t>Frankfort</t>
  </si>
  <si>
    <t>46041</t>
  </si>
  <si>
    <t>Clinton</t>
  </si>
  <si>
    <t>40.3066</t>
  </si>
  <si>
    <t>-86.5855</t>
  </si>
  <si>
    <t>833</t>
  </si>
  <si>
    <t>Much public dissent</t>
  </si>
  <si>
    <t>https://www.datacenterdynamics.com/en/news/land-rezoning-proposal-for-300mw-data-center-in-frankfort-indiana-rescinded-by-developer/</t>
  </si>
  <si>
    <t>Granger Data Center Expansion</t>
  </si>
  <si>
    <t>Granger area (near New Carlisle)</t>
  </si>
  <si>
    <t>Granger</t>
  </si>
  <si>
    <t>46530</t>
  </si>
  <si>
    <t>St. Joseph</t>
  </si>
  <si>
    <t>41.72418</t>
  </si>
  <si>
    <t>-86.1341</t>
  </si>
  <si>
    <t>Expansion of existing</t>
  </si>
  <si>
    <t>https://www.insideindianabusiness.com/articles/new-data-center-project-being-proposed-for-new-carlisle</t>
  </si>
  <si>
    <t>05/14/2025</t>
  </si>
  <si>
    <t>Jumping Bison LLC Data Center</t>
  </si>
  <si>
    <t>near 2620 N County Rd 250 W</t>
  </si>
  <si>
    <t>Greensburg</t>
  </si>
  <si>
    <t>47240</t>
  </si>
  <si>
    <t>39.37664</t>
  </si>
  <si>
    <t>-85.5201</t>
  </si>
  <si>
    <t>Multiple</t>
  </si>
  <si>
    <t>550</t>
  </si>
  <si>
    <t>https://www.facebook.com/p/Coalition-to-Protect-Decatur-County-Against-AI-Data-Center-61580212506454/</t>
  </si>
  <si>
    <t>https://www.change.org/p/say-no-to-ai-data-centers-in-decatur-county</t>
  </si>
  <si>
    <t>https://wrbiradio.com/greensburg-council-approves-era-establishment-data-center-abatement/</t>
  </si>
  <si>
    <t>https://www.yahoo.com/news/development-coming-greensburg-011600861.html</t>
  </si>
  <si>
    <t>https://baxtel.com/data-center/jumping-bison-greensburg-in?lat=39.37234142555886&amp;lng=-85.51474217656732&amp;distance=4286.716935410502</t>
  </si>
  <si>
    <t>09/09/2025</t>
  </si>
  <si>
    <t>02/12/2026</t>
  </si>
  <si>
    <t>CoreWeave</t>
  </si>
  <si>
    <t>301 Digital Crossroads Dr</t>
  </si>
  <si>
    <t>Hammond</t>
  </si>
  <si>
    <t>46320</t>
  </si>
  <si>
    <t>41.70514</t>
  </si>
  <si>
    <t>-87.5191</t>
  </si>
  <si>
    <t>450,000</t>
  </si>
  <si>
    <t>https://www.datacenterdynamics.com/en/news/coreweave-to-develop-180mw-data-center-at-digital-crossroads-campus-in-hammond-indiana/</t>
  </si>
  <si>
    <t>Digital Crossroad Data Center</t>
  </si>
  <si>
    <t>100 Digital Crossroad Drive</t>
  </si>
  <si>
    <t>41.70743</t>
  </si>
  <si>
    <t>-87.5205</t>
  </si>
  <si>
    <t>Able to support large expansion up to 100 MW</t>
  </si>
  <si>
    <t>https://www.datacenterdynamics.com/en/news/digital-crossroad-plans-expansion-of-hammond-data-center-campus-outside-chicago/</t>
  </si>
  <si>
    <t>Project Redline</t>
  </si>
  <si>
    <t>Hancock County</t>
  </si>
  <si>
    <t>Hancock</t>
  </si>
  <si>
    <t>39.82814</t>
  </si>
  <si>
    <t>-85.7803</t>
  </si>
  <si>
    <t>https://dailyjournal.net/2025/06/26/iedc-board-approves-incentives-for-four-planned-data-center-projects/</t>
  </si>
  <si>
    <t>06/28/2025</t>
  </si>
  <si>
    <t>Sentinel Data Center: Project Shirley</t>
  </si>
  <si>
    <t>Clay St and Hwy 2</t>
  </si>
  <si>
    <t>Hebron</t>
  </si>
  <si>
    <t>46341</t>
  </si>
  <si>
    <t>41.28743</t>
  </si>
  <si>
    <t>-87.2737</t>
  </si>
  <si>
    <t xml:space="preserve">Sentinel </t>
  </si>
  <si>
    <t>https://web.archive.org/web/20260419222133/https://www.chicagotribune.com/2026/04/17/developers-answer-questions-about-potential-lowell-area-data-center/</t>
  </si>
  <si>
    <t>https://www.latitudemedia.com/news/in-indiana-an-anatomy-of-data-center-opposition/</t>
  </si>
  <si>
    <t>https://projectshirleylakecounty.com/</t>
  </si>
  <si>
    <t>05/12/2026</t>
  </si>
  <si>
    <t>Hobart Data Center</t>
  </si>
  <si>
    <t>E 61st Ave and Colorado St</t>
  </si>
  <si>
    <t>Hobart</t>
  </si>
  <si>
    <t>46342</t>
  </si>
  <si>
    <t>41.50489</t>
  </si>
  <si>
    <t>-87.28408</t>
  </si>
  <si>
    <t>2400</t>
  </si>
  <si>
    <t>$15 billion</t>
  </si>
  <si>
    <t>https://www.facebook.com/groups/2637079693295650</t>
  </si>
  <si>
    <t>https://www.gofundme.com/f/defend-hobarts-future-no-data-centers</t>
  </si>
  <si>
    <t>https://www.change.org/p/protect-hobart-from-unwanted-rezoning-for-data-center</t>
  </si>
  <si>
    <t>If not approved, would revert to residential zoning</t>
  </si>
  <si>
    <t>https://www.datacenterdynamics.com/en/news/data-center-in-hobart-indiana-gets-green-light-for-rezoning/</t>
  </si>
  <si>
    <t>https://www.datacenterdynamics.com/en/news/aws-data-center-coming-to-hobart-indiana/</t>
  </si>
  <si>
    <t>https://www.inkfreenews.com/2025/11/28/amazon-plans-15b-data-center-investment-in-hobart-northern-indiana/</t>
  </si>
  <si>
    <t>https://bloximages.chicago2.vip.townnews.com/nwitimes.com/content/tncms/assets/v3/editorial/8/de/8dee9730-d423-11ef-849c-47d4ba7a57ea/67892ef12e340.image.png</t>
  </si>
  <si>
    <t>American Tower/ ATC Watertown LLC/ Edge Data Center</t>
  </si>
  <si>
    <t>7701 Walnut Dr</t>
  </si>
  <si>
    <t>Indianapolis</t>
  </si>
  <si>
    <t>46268</t>
  </si>
  <si>
    <t>39.894096</t>
  </si>
  <si>
    <t>-86.20275</t>
  </si>
  <si>
    <t>https://www.facebook.com/profile.php?id=61583877714923</t>
  </si>
  <si>
    <t>https://www.datacenterdynamics.com/en/news/american-tower-pauses-plans-for-edge-data-center-in-indianapolis-indiana/</t>
  </si>
  <si>
    <t>Brightwood Data Center</t>
  </si>
  <si>
    <t>2505 N Sherman Dr</t>
  </si>
  <si>
    <t>46218</t>
  </si>
  <si>
    <t>39.80434</t>
  </si>
  <si>
    <t>-86.1023</t>
  </si>
  <si>
    <t>Metrobloks</t>
  </si>
  <si>
    <t>https://www.onevoicemb.org/</t>
  </si>
  <si>
    <t>Re-zoning petition filed by developer 10/19/25</t>
  </si>
  <si>
    <t>https://www.wthr.com/article/news/local/data-center-could-move-into-site-of-former-indy-drive-in/531-46d3f8ac-1c6d-4f7c-a6e1-04a2c704c33a</t>
  </si>
  <si>
    <t>https://cinematreasures.org/theaters/34206</t>
  </si>
  <si>
    <t>https://mirrorindy.org/metrobloks-files-re-zoning-proposal-for-martindale-brightwood-data-center/</t>
  </si>
  <si>
    <t>https://www.datacenterdynamics.com/en/news/500m-data-center-approved-for-construction-outside-indianapolis/</t>
  </si>
  <si>
    <t>09/19/2025</t>
  </si>
  <si>
    <t>Lifeline Data Center</t>
  </si>
  <si>
    <t>401 Shadeland Ave</t>
  </si>
  <si>
    <t>46219</t>
  </si>
  <si>
    <t>39.77702</t>
  </si>
  <si>
    <t>-86.0434</t>
  </si>
  <si>
    <t>https://www.datacenterdynamics.com/en/news/netrality-acquires-lifeline-facility-at-indy-telcom-center-campus-in-indianapolis/</t>
  </si>
  <si>
    <t>Netrality Data Center</t>
  </si>
  <si>
    <t>733 W Henry St # 100</t>
  </si>
  <si>
    <t>46225</t>
  </si>
  <si>
    <t>39.75977</t>
  </si>
  <si>
    <t>-86.1723</t>
  </si>
  <si>
    <t>Thunderbird Commerce Center Project</t>
  </si>
  <si>
    <t>305 Fintail Dr</t>
  </si>
  <si>
    <t>39.76848</t>
  </si>
  <si>
    <t>-86.05339</t>
  </si>
  <si>
    <t>410,000</t>
  </si>
  <si>
    <t>$2.2 billion</t>
  </si>
  <si>
    <t>https://www.change.org/p/reject-the-dc-blox-data-center-and-protect-irvington-s-future</t>
  </si>
  <si>
    <t>https://www.datacenterdynamics.com/en/news/dc-blox-to-expand-into-indiana-targets-data-center-campus-in-indianapolis/</t>
  </si>
  <si>
    <t>https://www.datacenterdynamics.com/en/news/dc-blox-data-center-in-eastern-indianapolis-receives-recommendation-for-approval/</t>
  </si>
  <si>
    <t>6325 Morenci Trail</t>
  </si>
  <si>
    <t>39.87038</t>
  </si>
  <si>
    <t>-86.2369</t>
  </si>
  <si>
    <t>9,600</t>
  </si>
  <si>
    <t>https://www.datacenterdynamics.com/en/news/us-signal-acquires-data-center-in-indianapolis-indiana/</t>
  </si>
  <si>
    <t>03/26/2025</t>
  </si>
  <si>
    <t>behind 300 Corporate Dr Suite 300</t>
  </si>
  <si>
    <t>Jeffersonville</t>
  </si>
  <si>
    <t>47130</t>
  </si>
  <si>
    <t>38.36471</t>
  </si>
  <si>
    <t>-85.66</t>
  </si>
  <si>
    <t>619</t>
  </si>
  <si>
    <t>https://www.datacenterdynamics.com/en/news/meta-to-develop-data-center-campus-in-jeffersonville-indiana/</t>
  </si>
  <si>
    <t>https://www.datacenterdynamics.com/en/news/meta-announces-1gw-data-center-campus-in-indiana/</t>
  </si>
  <si>
    <t>Microsoft LaPorte Data Center</t>
  </si>
  <si>
    <t>Radius Industrial Park, 300 Boyd Blvd</t>
  </si>
  <si>
    <t>LaPorte</t>
  </si>
  <si>
    <t>46350</t>
  </si>
  <si>
    <t>41.58093</t>
  </si>
  <si>
    <t>-86.6924</t>
  </si>
  <si>
    <t>489</t>
  </si>
  <si>
    <t>https://www.wndu.com/2024/06/04/1-billion-microsoft-data-center-coming-laporte/</t>
  </si>
  <si>
    <t>https://www.datacenterdynamics.com/en/news/microsoft-expands-plans-for-la-porte-indiana-data-center-campus/</t>
  </si>
  <si>
    <t>https://www.datacenterdynamics.com/en/news/microsoft-breaks-ground-on-data-center-campus-in-la-porte-indiana/</t>
  </si>
  <si>
    <t>Project Domino</t>
  </si>
  <si>
    <t>Lebanon</t>
  </si>
  <si>
    <t>46052</t>
  </si>
  <si>
    <t>40.05408</t>
  </si>
  <si>
    <t>-86.538</t>
  </si>
  <si>
    <t>https://www.datacenterdynamics.com/en/news/meta-set-to-develop-1500-acre-data-center-campus-outside-indianapolis-indiana/</t>
  </si>
  <si>
    <t>https://fox59.com/indiana-news/metas-1500-acre-data-center-marches-forward-in-lebanon/</t>
  </si>
  <si>
    <t>3375-3001 W 700 N</t>
  </si>
  <si>
    <t>Leesburg</t>
  </si>
  <si>
    <t>46538</t>
  </si>
  <si>
    <t>Kosciusko</t>
  </si>
  <si>
    <t>41.334984</t>
  </si>
  <si>
    <t>-85.90404</t>
  </si>
  <si>
    <t>Rejected by county’s planning commission</t>
  </si>
  <si>
    <t>https://www.datacenterdynamics.com/en/news/prologis-data-center-proposal-in-kosciusko-county-indiana-denied/</t>
  </si>
  <si>
    <t>https://wsbt.com/news/local/proposed-data-center-kosciusko-county-denied-planning-commission-rezone-550-acres-farmland-mystery-company-project-property-facility-people-crowd-signatures-petitioner-transmission-power-bolt-lines-indiana</t>
  </si>
  <si>
    <t>Jefferson Proving Ground Data Center</t>
  </si>
  <si>
    <t>1661 W JPG Niblo Rd</t>
  </si>
  <si>
    <t>47250</t>
  </si>
  <si>
    <t>38.83886</t>
  </si>
  <si>
    <t>-85.413666</t>
  </si>
  <si>
    <t>Owner has sold an old army munitions site that he is working to develop as a data center site. Dependent on reclassification of the land into an economic revitalization area - voted on May 19 2026.</t>
  </si>
  <si>
    <t>https://www.whas11.com/article/news/local/southern-indiana-data-center-farm-selling-land/417-474f70f2-c68b-42b3-ac69-e28680fb66d3</t>
  </si>
  <si>
    <t>https://www.jeffersoncounty.in.gov/m/newsflash/home/detail/170</t>
  </si>
  <si>
    <t>Surge Development LLC</t>
  </si>
  <si>
    <t>N 400 W and W 500 N County Rds</t>
  </si>
  <si>
    <t>McCordsville</t>
  </si>
  <si>
    <t>46055</t>
  </si>
  <si>
    <t>39.8564</t>
  </si>
  <si>
    <t>-85.8785</t>
  </si>
  <si>
    <t>https://www.wthr.com/article/news/local/public-meeting-set-for-proposed-data-center-campus-in-rural-hancock-county-tuttle-orchards/531-83634bf4-6c95-4d7a-994c-ea114fa0de2c</t>
  </si>
  <si>
    <t>https://www.wthr.com/article/money/business/application-withdrawn-surge-development-hancock-county-greenfield-data-center-tuttle-orchards/531-48204cbc-eba5-4666-bd66-6e88cb6d2412</t>
  </si>
  <si>
    <t>Province Group Data Center</t>
  </si>
  <si>
    <t>Merrillville Technology Park (Harms Rd and Colorado St)</t>
  </si>
  <si>
    <t>Merrillville</t>
  </si>
  <si>
    <t>46410</t>
  </si>
  <si>
    <t>41.45333</t>
  </si>
  <si>
    <t>-87.3033</t>
  </si>
  <si>
    <t>https://www.datacenterdynamics.com/en/news/nine-building-data-center-campus-proposed-in-northwest-indiana/</t>
  </si>
  <si>
    <t>Project Maize</t>
  </si>
  <si>
    <t>402 Royal Rd</t>
  </si>
  <si>
    <t>Michigan City</t>
  </si>
  <si>
    <t>46360</t>
  </si>
  <si>
    <t>41.57408</t>
  </si>
  <si>
    <t>-86.7276</t>
  </si>
  <si>
    <t>$832 million</t>
  </si>
  <si>
    <t>Cancelled project taken over by Google, April 2026</t>
  </si>
  <si>
    <t>https://indianaeconomicdigest.net/Content/Default/Major-Indiana-News/Article/-832-million-data-center-proposed-for-LaPorte-County/-3/5308/119418</t>
  </si>
  <si>
    <t>https://www.insideindianabusiness.com/articles/michigan-city-mayor-shuts-down-talk-of-data-center-project</t>
  </si>
  <si>
    <t>https://www.datacenterdynamics.com/en/news/no-plans-to-pursue-832m-project-maize-data-center-says-michigan-city-mayor/</t>
  </si>
  <si>
    <t>https://www.datacenterdynamics.com/en/news/google-takes-over-project-maize-data-center-campus-in-michigan-city-indiana/</t>
  </si>
  <si>
    <t>Project Louie</t>
  </si>
  <si>
    <t>between Keller Hill Road, North Antioch Road, Indiana 42, and West Union Church Rds</t>
  </si>
  <si>
    <t>Monroe Township</t>
  </si>
  <si>
    <t>46158</t>
  </si>
  <si>
    <t>39.59592</t>
  </si>
  <si>
    <t>-86.4602</t>
  </si>
  <si>
    <t>391</t>
  </si>
  <si>
    <t>https://www.datacenterdynamics.com/en/news/391-acre-data-center-campus-proposed-in-morgan-county-indiana/</t>
  </si>
  <si>
    <t>Project Flo</t>
  </si>
  <si>
    <t>South Post Road, East Troy Avenue, Davis Road and Vandergriff Rds</t>
  </si>
  <si>
    <t>New Bethel/ Indianapolis</t>
  </si>
  <si>
    <t>46239</t>
  </si>
  <si>
    <t>39.72007</t>
  </si>
  <si>
    <t>-85.9992</t>
  </si>
  <si>
    <t>Deep Meadow Ventures, LLC/Google</t>
  </si>
  <si>
    <t>467</t>
  </si>
  <si>
    <t>Large project also includes light manufacturing, research and development, utilities, agricultural uses and office space.</t>
  </si>
  <si>
    <t>https://www.wthr.com/article/news/local/franklin-township-data-center-plan-rezoning/531-790888f0-3aca-4dec-baa0-f47fc350f2c0</t>
  </si>
  <si>
    <t>https://www.wthr.com/article/news/local/how-franklin-township-residents-can-learn-more-about-a-proposed-data-center-indianapolis/531-09357d99-247e-46e7-b9a4-b43d01cef1da</t>
  </si>
  <si>
    <t>https://www.wthr.com/article/news/local/indiana-growing-data-center-industry-sparks-concerns-over-environmental-and-economic-impact/531-b8d36bba-91f7-446d-af05-ed79fee1dad8</t>
  </si>
  <si>
    <t>https://www.datacenterdynamics.com/en/news/google-gets-approval-for-data-center-campus-in-franklin-township-indiana/</t>
  </si>
  <si>
    <t>https://www.wishtv.com/news/i-team-8/google-data-center-franklin-township/</t>
  </si>
  <si>
    <t>https://www.indystar.com/story/news/local/marion-county/2025/09/22/google-withdraws-controversial-data-center-in-franklin-township-indianapolis-city-county-council/86165695007/</t>
  </si>
  <si>
    <t>Mall-O-Manor LLC Data Center</t>
  </si>
  <si>
    <t>South of Chicago Trail, east of Timothy rd, west of Spruce Rd</t>
  </si>
  <si>
    <t>New Carlisle</t>
  </si>
  <si>
    <t>46553</t>
  </si>
  <si>
    <t>41.72029</t>
  </si>
  <si>
    <t>-86.4905</t>
  </si>
  <si>
    <t>999</t>
  </si>
  <si>
    <t>Discussion may be brought back in May 2026</t>
  </si>
  <si>
    <t>https://wsbt.com/news/local/new-data-center-receives-unfavorable-recommendation-st-joseph-county-area-plan-commission-farm-land-12-billion-dollar-project-indiana</t>
  </si>
  <si>
    <t>https://www.wndu.com/2025/09/16/proposed-12-billion-data-center-st-joseph-county-gets-unfavorable-recommendation/</t>
  </si>
  <si>
    <t>https://indianaeconomicdigest.net/Content/Default/Major-Indiana-News/Article/-12-billion-data-center-proposed-in-New-Carlisle-in-St-Joseph-County/-3/5308/119966</t>
  </si>
  <si>
    <t>https://www.wndu.com/2025/10/29/proposed-12-billion-data-center-gets-unfavorable-recommendation-st-joe-county-committee/</t>
  </si>
  <si>
    <t>https://www.wndu.com/2025/10/23/new-carlisle-town-council-opposes-proposed-12-billion-data-center/</t>
  </si>
  <si>
    <t>https://wsbt.com/news/local/st-joseph-county-council-denies-rezoning-of-land-for-data-center-votes-7-2-marathon-meeting-hours-long-public-opinion-13-billion-dollar-project-amazon-new-carlisle-approval-process-plan-commission-st-joseph-county-indiana</t>
  </si>
  <si>
    <t>12/10/2025</t>
  </si>
  <si>
    <t>New Carlisle Data Center</t>
  </si>
  <si>
    <t>Early and Walnut Rds</t>
  </si>
  <si>
    <t>46552</t>
  </si>
  <si>
    <t>41.68848</t>
  </si>
  <si>
    <t>-86.4736</t>
  </si>
  <si>
    <t>2200</t>
  </si>
  <si>
    <t>https://baxtel.com/data-center/amazon-new-carlisle-in?lat=41.68406491925343&amp;lng=-86.47056731272178&amp;distance=1750.2145393378237</t>
  </si>
  <si>
    <t>https://wsbt.com/news/local/st-joseph-county-council-members-discuss-rezoning-1000-acres-land-plot-north-new-carlisle-agricultural-industrial-change-pave-way-new-data-center-amazon-proposal-project-petitioners-public-request-rezoning-timothy-spruce-road-indiana#</t>
  </si>
  <si>
    <t>https://www.aboutamazon.com/news/aws/aws-project-rainier-ai-trainium-chips-compute-cluster</t>
  </si>
  <si>
    <t>https://epoch.ai/data/data-centers/satellite-explorer/AnthropicAmazonProjectRainierNewCarlisleIndiana?ref=404media.co</t>
  </si>
  <si>
    <t>Radius Data Center</t>
  </si>
  <si>
    <t>AllPoints Pkwy</t>
  </si>
  <si>
    <t>Plainfield</t>
  </si>
  <si>
    <t>46123</t>
  </si>
  <si>
    <t>Hendricks</t>
  </si>
  <si>
    <t>39.741596</t>
  </si>
  <si>
    <t>-86.36464</t>
  </si>
  <si>
    <t>201,000</t>
  </si>
  <si>
    <t>https://www.change.org/p/stop-the-construction-of-a-data-center-in-plainfield-indiana</t>
  </si>
  <si>
    <t>https://www.datacenterdynamics.com/en/news/radiusdc-looks-to-build-two-data-centers-outside-indianapolis-indiana/</t>
  </si>
  <si>
    <t>https://www.datacenterdynamics.com/en/news/radiusdc-announces-24mw-data-center-campus-outside-indianapolis-indiana/</t>
  </si>
  <si>
    <t>01/06/2026</t>
  </si>
  <si>
    <t>Provident Realty Advisors Data Center</t>
  </si>
  <si>
    <t>100 Worthington Dr</t>
  </si>
  <si>
    <t>41.61319</t>
  </si>
  <si>
    <t>-87.1014</t>
  </si>
  <si>
    <t>https://www.datacenterdynamics.com/en/news/provident-realty-proposes-seven-building-campus-in-burns-harbor-indiana/</t>
  </si>
  <si>
    <t>South of 3878 IN-44</t>
  </si>
  <si>
    <t>Shelby</t>
  </si>
  <si>
    <t>46176</t>
  </si>
  <si>
    <t>39.529045</t>
  </si>
  <si>
    <t>-85.71126</t>
  </si>
  <si>
    <t>5,200-10,000</t>
  </si>
  <si>
    <t>576</t>
  </si>
  <si>
    <t>https://www.change.org/p/halt-the-annexation-and-rezoning-of-429-acres-in-shelbyville-in</t>
  </si>
  <si>
    <t>https://www.datacenterdynamics.com/en/news/industrial-real-estate-giant-prologis-is-planning-a-large-data-center-development-in-illinois-first-reported-by-local-news-including-shelbyville-news-and-fox-prologis-is-filing-to-develop-a-campus-in-the-city-of-shelbyville-in-central-illinois-lorm/</t>
  </si>
  <si>
    <t>Jeremiah A QTS Data Center</t>
  </si>
  <si>
    <t>Along W 450 N</t>
  </si>
  <si>
    <t>Union Township</t>
  </si>
  <si>
    <t>43642</t>
  </si>
  <si>
    <t>41.50386</t>
  </si>
  <si>
    <t>-87.2014</t>
  </si>
  <si>
    <t>400</t>
  </si>
  <si>
    <t>Blackstone-owned firm has withdrawn its rezoning request for the land after local people voiced concerns about the scheme</t>
  </si>
  <si>
    <t>https://www.portercountyin.gov/DocumentCenter/View/51340/Neighborhood-Meeting-County-Presentation-Post</t>
  </si>
  <si>
    <t>https://www.datacenterdynamics.com/en/news/qts-cans-data-center-scheme-in-porter-county-indiana-after-protests/</t>
  </si>
  <si>
    <t>Jeremiah B QTS Data Center</t>
  </si>
  <si>
    <t>41.49809</t>
  </si>
  <si>
    <t>-87.1875</t>
  </si>
  <si>
    <t>Agincourt</t>
  </si>
  <si>
    <t>Between County Road 400 North and County Road 500 North</t>
  </si>
  <si>
    <t>Valparaiso</t>
  </si>
  <si>
    <t>46383</t>
  </si>
  <si>
    <t>41.50217</t>
  </si>
  <si>
    <t>-87.01344</t>
  </si>
  <si>
    <t>248</t>
  </si>
  <si>
    <t>https://www.datacenterdynamics.com/en/news/indianas-city-of-valparaiso-pulls-the-plug-on-agincourt-data-center-project/</t>
  </si>
  <si>
    <t>https://www.chicagotribune.com/2025/03/11/citizens-outcry-for-transparency-impact-of-potential-data-center-development-in-valparaiso/</t>
  </si>
  <si>
    <t>Amazon Data Center</t>
  </si>
  <si>
    <t>2723 E 1500 N</t>
  </si>
  <si>
    <t>Wheatfield</t>
  </si>
  <si>
    <t>46392</t>
  </si>
  <si>
    <t>Jasper</t>
  </si>
  <si>
    <t>41.22792</t>
  </si>
  <si>
    <t>-87.00762</t>
  </si>
  <si>
    <t>Coal</t>
  </si>
  <si>
    <t>Fans</t>
  </si>
  <si>
    <t>304</t>
  </si>
  <si>
    <t>$7 billion</t>
  </si>
  <si>
    <t>https://www.datacenterdynamics.com/en/news/amazon-plans-nine-building-data-center-campus-in-wheatfield-indiana/</t>
  </si>
  <si>
    <t>Blue Ladder Data Center "Project Wolcott"</t>
  </si>
  <si>
    <t>South of Hwy 24</t>
  </si>
  <si>
    <t>Wolcott</t>
  </si>
  <si>
    <t>47995</t>
  </si>
  <si>
    <t>White</t>
  </si>
  <si>
    <t>40.76224</t>
  </si>
  <si>
    <t>-87.089355</t>
  </si>
  <si>
    <t>Blue Ladder</t>
  </si>
  <si>
    <t>1,310,448</t>
  </si>
  <si>
    <t>322</t>
  </si>
  <si>
    <t>https://www.datacenterdynamics.com/en/news/322-acre-data-center-could-be-built-in-white-county-indiana/</t>
  </si>
  <si>
    <t>https://www.wolcottdatacenter.com/</t>
  </si>
  <si>
    <t>https://www.jconline.com/story/news/local/indiana/2026/07/01/white-county-residents-question-developer-of-planned-data-center/90751134007</t>
  </si>
  <si>
    <t>07/12/2026</t>
  </si>
  <si>
    <t>Digital Realty Data Center</t>
  </si>
  <si>
    <t>W 103rd St &amp; Lexington Ave</t>
  </si>
  <si>
    <t>DeSoto</t>
  </si>
  <si>
    <t>KS</t>
  </si>
  <si>
    <t>66018</t>
  </si>
  <si>
    <t>38.945038</t>
  </si>
  <si>
    <t>-94.99129</t>
  </si>
  <si>
    <t>1140</t>
  </si>
  <si>
    <t>https://www.datacenterdynamics.com/en/news/digital-realty-plans-600mw-campus-in-kansas-acquires-investment-firm-columbia-capital/</t>
  </si>
  <si>
    <t>Mount Sunflower Properties LLC Data Center</t>
  </si>
  <si>
    <t>~38362 W 103rd St</t>
  </si>
  <si>
    <t>38.94522</t>
  </si>
  <si>
    <t>-95.0297</t>
  </si>
  <si>
    <t>$700 million</t>
  </si>
  <si>
    <t>https://www2.ljworld.com/weblogs/town_talk/2025/aug/21/a-big-data-center-may-be-douglas-countys-newest-neighbor-plans-call-for-700m-center-along-k-10/</t>
  </si>
  <si>
    <t>https://www.kctv5.com/2025/08/19/de-soto-city-council-consider-50-billion-incentives-data-center-project/</t>
  </si>
  <si>
    <t>https://www.bizjournals.com/kansascity/news/2025/08/20/de-soto-data-center-bonds-flint-commerce-panasonic.html</t>
  </si>
  <si>
    <t>https://www.datacenterdynamics.com/en/news/de-soto-kansas-approves-700m-data-center/</t>
  </si>
  <si>
    <t>08/30/2025</t>
  </si>
  <si>
    <t>Project Pilot</t>
  </si>
  <si>
    <t>Edgerton Rd, south of Hwy 10</t>
  </si>
  <si>
    <t>38.94633</t>
  </si>
  <si>
    <t>-95.02935</t>
  </si>
  <si>
    <t>https://www.datacenterdynamics.com/en/news/beale-infrastructure-buys-land-parcel-for-project-pilot-in-de-soto-kansas/</t>
  </si>
  <si>
    <t>https://www.datacenterdynamics.com/en/news/beale-targets-two-campuses-outside-kansas-city-kansas/</t>
  </si>
  <si>
    <t>Flint Hills Digital Campus</t>
  </si>
  <si>
    <t>Hwy 150</t>
  </si>
  <si>
    <t>Emporia</t>
  </si>
  <si>
    <t>66801</t>
  </si>
  <si>
    <t>Lyon</t>
  </si>
  <si>
    <t>38.411648</t>
  </si>
  <si>
    <t>-96.250404</t>
  </si>
  <si>
    <t>https://www.datacenterdynamics.com/en/news/gigawatt-scale-data-center-campus-proposed-in-kansas/</t>
  </si>
  <si>
    <t>Red Wolf Properties</t>
  </si>
  <si>
    <t>13037 Parallel Pkwy</t>
  </si>
  <si>
    <t>Kansas City</t>
  </si>
  <si>
    <t>66109</t>
  </si>
  <si>
    <t>Wyandotte</t>
  </si>
  <si>
    <t>39.12852</t>
  </si>
  <si>
    <t>-94.8801</t>
  </si>
  <si>
    <t>1,980,000</t>
  </si>
  <si>
    <t>540</t>
  </si>
  <si>
    <t>https://www.sierraclub.org/kansas</t>
  </si>
  <si>
    <t>https://www.kshb.com/news/local-news/multibillion-dollar-data-center-proposal-makes-its-way-to-kansas-city-kansas</t>
  </si>
  <si>
    <t>https://www.datacenterdynamics.com/en/news/600mw-data-center-campus-proposed-outside-kansas-city-kansas/</t>
  </si>
  <si>
    <t>https://www.kcur.org/environment-agriculture/2025-11-09/data-center-kansas-city-wyandotte-county</t>
  </si>
  <si>
    <t>11/15/2025</t>
  </si>
  <si>
    <t>Alcove Development Data Center</t>
  </si>
  <si>
    <t>Betw Hwy 169, 335th St., and Osawatomie Rd</t>
  </si>
  <si>
    <t>Osawatomie</t>
  </si>
  <si>
    <t>66064</t>
  </si>
  <si>
    <t>38.516045</t>
  </si>
  <si>
    <t>-94.931076</t>
  </si>
  <si>
    <t>115</t>
  </si>
  <si>
    <t>$1.1 billion</t>
  </si>
  <si>
    <t>https://www.datacenterdynamics.com/en/news/115-acre-data-center-could-come-to-osawatomie-kansas-says-local-government/</t>
  </si>
  <si>
    <t>03/05/2026</t>
  </si>
  <si>
    <t>HyperDataGrid Data Center</t>
  </si>
  <si>
    <t>East of Hwy 59</t>
  </si>
  <si>
    <t>Parsons</t>
  </si>
  <si>
    <t>67357</t>
  </si>
  <si>
    <t>Labette</t>
  </si>
  <si>
    <t>37.382133</t>
  </si>
  <si>
    <t>-95.25672</t>
  </si>
  <si>
    <t>HyperDataGrid</t>
  </si>
  <si>
    <t>https://www.datacenterdynamics.com/en/news/20mw-data-center-eyed-in-parsons-kansas/</t>
  </si>
  <si>
    <t>https://mapcarta.com/W153632025</t>
  </si>
  <si>
    <t xml:space="preserve">LFF Industrial </t>
  </si>
  <si>
    <t>S Steward Rd</t>
  </si>
  <si>
    <t>Rochelle</t>
  </si>
  <si>
    <t>61068</t>
  </si>
  <si>
    <t>Ogle</t>
  </si>
  <si>
    <t>41.899555</t>
  </si>
  <si>
    <t>-89.04816</t>
  </si>
  <si>
    <t>"more time needed to discuss proposal"</t>
  </si>
  <si>
    <t>https://www.datacenterdynamics.com/en/news/planning-decision-on-rochelle-illinois-data-center-postponed/</t>
  </si>
  <si>
    <t>04/01/2026</t>
  </si>
  <si>
    <t>Colossus Data Center</t>
  </si>
  <si>
    <t>191st St. and Renner Rd</t>
  </si>
  <si>
    <t>Spring Hill</t>
  </si>
  <si>
    <t>66062</t>
  </si>
  <si>
    <t>38.781784</t>
  </si>
  <si>
    <t>-94.77902</t>
  </si>
  <si>
    <t>316</t>
  </si>
  <si>
    <t>https://www.datacenterdynamics.com/en/news/developer-withdraws-plan-to-build-316-acre-data-center-in-spring-hill-kansas/</t>
  </si>
  <si>
    <t>"Project Bluestem"</t>
  </si>
  <si>
    <t>15258 222nd St</t>
  </si>
  <si>
    <t>Tonganoxie</t>
  </si>
  <si>
    <t>66086</t>
  </si>
  <si>
    <t>Leavenworth</t>
  </si>
  <si>
    <t>39.07509</t>
  </si>
  <si>
    <t>-95.0887</t>
  </si>
  <si>
    <t>Pre-proposal</t>
  </si>
  <si>
    <t>8-16</t>
  </si>
  <si>
    <t xml:space="preserve">Would violate zoning and long-term county development plan. There is an elementary school within one mile of site. </t>
  </si>
  <si>
    <t>https://bluestemdatacenter.com/</t>
  </si>
  <si>
    <t>https://www.kshb.com/news/local-news/kansas/leavenworth-county/hyperscale-data-center-proposed-in-tonganoxie-county-commissioners-discuss-project-with-developer</t>
  </si>
  <si>
    <t>https://cleanview.co/data-centers/kansas/2295/project-bluestem</t>
  </si>
  <si>
    <t>Muskie Data Campus Data Center</t>
  </si>
  <si>
    <t>Technology Dr</t>
  </si>
  <si>
    <t>Ashland</t>
  </si>
  <si>
    <t>KY</t>
  </si>
  <si>
    <t>41102</t>
  </si>
  <si>
    <t>Boyd and Greenup</t>
  </si>
  <si>
    <t>38.399708</t>
  </si>
  <si>
    <t>-82.79701</t>
  </si>
  <si>
    <t>TeraWulf</t>
  </si>
  <si>
    <t>Kentucky Power, an AEP Company, is constructing a 345 kV substation connected to the existing 765 kV transmission network</t>
  </si>
  <si>
    <t>https://investors.terawulf.com/news-events/press-releases/detail/141/terawulf-expands-infrastructure-platform-with-acquisition-of-1-gw-eastern-kentucky-hpc-campus</t>
  </si>
  <si>
    <t>https://fivco.org/economic-development/eastpark-industrial-park/</t>
  </si>
  <si>
    <t>https://fivco.org/wp-content/uploads/2016/10/eastpark-SITE_B-102516.pdf</t>
  </si>
  <si>
    <t>05/26/2026</t>
  </si>
  <si>
    <t>Kentucky Industrial Alliance LLC Data Center</t>
  </si>
  <si>
    <t>2001 Doyle Ave</t>
  </si>
  <si>
    <t>Cave City</t>
  </si>
  <si>
    <t>42127</t>
  </si>
  <si>
    <t>Barren</t>
  </si>
  <si>
    <t>37.131542</t>
  </si>
  <si>
    <t>-85.97648</t>
  </si>
  <si>
    <t>Kentucky Industrial Alliance LLC</t>
  </si>
  <si>
    <t>380</t>
  </si>
  <si>
    <t>On hold due to 12-month moratorium. Being challenged</t>
  </si>
  <si>
    <t>https://www.datacenterdynamics.com/en/news/data-center-moratorium-blocking-gigawatt-campus-challenged-in-cave-city-kentucky/</t>
  </si>
  <si>
    <t>Ekron Data Center</t>
  </si>
  <si>
    <t>25025 Joe Prather Hwy</t>
  </si>
  <si>
    <t>Ekron</t>
  </si>
  <si>
    <t>40117</t>
  </si>
  <si>
    <t>Meade</t>
  </si>
  <si>
    <t>37.90755</t>
  </si>
  <si>
    <t>-86.10922</t>
  </si>
  <si>
    <t>https://www.change.org/p/stop-the-ai-data-center-construction-in-ekron-ky</t>
  </si>
  <si>
    <t>3000+ petition signatures</t>
  </si>
  <si>
    <t>https://www.datacenterdynamics.com/en/news/officials-in-meade-county-kentucky-reject-data-center-rezoning-plan/</t>
  </si>
  <si>
    <t xml:space="preserve">TenKey LandCo </t>
  </si>
  <si>
    <t>Steele Rd, Gateway 65 Industrial Park</t>
  </si>
  <si>
    <t>Franklin</t>
  </si>
  <si>
    <t>24134</t>
  </si>
  <si>
    <t>Simpson</t>
  </si>
  <si>
    <t>36.66604</t>
  </si>
  <si>
    <t>-86.57219</t>
  </si>
  <si>
    <t>https://www.datacenterdynamics.com/en/news/data-center-proposal-in-franklin-kentucky-gets-approval-from-planning-and-zoning-commission/</t>
  </si>
  <si>
    <t>https://tenkeydatacenter.com/</t>
  </si>
  <si>
    <t>https://www.franklinfavorite.com/news/article_a847db4f-a029-58aa-baee-cb01774ca008.html</t>
  </si>
  <si>
    <t>Mercer County Data Center</t>
  </si>
  <si>
    <t>Bailey Pike and Handy Pike</t>
  </si>
  <si>
    <t>Harrodsburg</t>
  </si>
  <si>
    <t>40330</t>
  </si>
  <si>
    <t>Mercer</t>
  </si>
  <si>
    <t>37.769886</t>
  </si>
  <si>
    <t>-84.77884</t>
  </si>
  <si>
    <t>Jones Lang Sallee (Gray Construction?)</t>
  </si>
  <si>
    <t>645</t>
  </si>
  <si>
    <t>EW Brown Generation Station</t>
  </si>
  <si>
    <t>555</t>
  </si>
  <si>
    <t>WeAreMercerCountyKY.org</t>
  </si>
  <si>
    <t>https://www.change.org/p/stop-the-construction-of-data-centers-in-rural-mercer-co-ky</t>
  </si>
  <si>
    <t>https://www.yahoo.com/news/articles/mercer-county-residents-speak-proposed-115252446.html</t>
  </si>
  <si>
    <t>https://fox56news.com/news/local/proposal-to-build-data-center-in-mercer-county-sparks-debate-among-community-members/</t>
  </si>
  <si>
    <t>https://www.linkedin.com/posts/chicagodatacenterbroker_exciting-opportunity-in-mercer-county-kentucky-activity-7359582503759745025-9DPs</t>
  </si>
  <si>
    <t>https://spectrumnews1.com/ky/louisville/news/2026/02/22/mercer-county-residents-petition-against-data-center</t>
  </si>
  <si>
    <t>02/25/2026</t>
  </si>
  <si>
    <t>TeraWulf Data Center</t>
  </si>
  <si>
    <t>1627 State Rte 3543</t>
  </si>
  <si>
    <t>Hawesville</t>
  </si>
  <si>
    <t>42348</t>
  </si>
  <si>
    <t>37.941345</t>
  </si>
  <si>
    <t>-86.78807</t>
  </si>
  <si>
    <t>Anthropic</t>
  </si>
  <si>
    <t>480</t>
  </si>
  <si>
    <t>https://investors.terawulf.com/news-events/press-releases/detail/129/terawulf-expands-digital-and-power-infrastructure-portfolio</t>
  </si>
  <si>
    <t>https://seekingalpha.com/news/4545877-terawulf-to-develop-former-century-aluminum-plant-into-digital-infrastructure-campus</t>
  </si>
  <si>
    <t>https://www.cnbc.com/2026/07/06/anthropic-terawulf-data-center-ai.html</t>
  </si>
  <si>
    <t xml:space="preserve">Project Lincoln: OC Data Center </t>
  </si>
  <si>
    <t>3557 KY-53</t>
  </si>
  <si>
    <t>La Grange</t>
  </si>
  <si>
    <t>40031</t>
  </si>
  <si>
    <t>Oldham</t>
  </si>
  <si>
    <t>38.444557</t>
  </si>
  <si>
    <t>-85.397995</t>
  </si>
  <si>
    <t>267</t>
  </si>
  <si>
    <t>https://www.weareoldhamcounty.com/</t>
  </si>
  <si>
    <t>Reimagined as smaller site, slightly south</t>
  </si>
  <si>
    <t>https://www.datacenterdynamics.com/en/news/kentuckys-oldham-county-passes-150-day-data-center-moratorium/</t>
  </si>
  <si>
    <t>Project Lincoln: OC Data Center (second version)</t>
  </si>
  <si>
    <t>3210 D W. Griffith Ln</t>
  </si>
  <si>
    <t>38.39444</t>
  </si>
  <si>
    <t>-85.4094</t>
  </si>
  <si>
    <t>WHP</t>
  </si>
  <si>
    <t>267 acres originally on Hwy 53, then at smaller site. Plans scrapped July 2025.</t>
  </si>
  <si>
    <t>https://www.wlky.com/article/zoning-dispute-erupts-over-proposed-data-center-oldham-county/64844247</t>
  </si>
  <si>
    <t>https://www.whas11.com/article/news/local/oldham-county-data-center-proposal-opposition/417-793370d3-51be-451a-847c-efcc84c2b48c</t>
  </si>
  <si>
    <t>https://www.whas11.com/article/money/business/sauerbeck-family-drive-in-relocate-oldham-county-data-center-kentucky/417-3b414238-07a3-4aa2-a181-b3d0a3fd003b</t>
  </si>
  <si>
    <t>https://www.bizjournals.com/louisville/news/2025/07/03/whp-oldham-county-data-stalled.html</t>
  </si>
  <si>
    <t>https://www.lpm.org/news/2025-06-03/oldham-county-data-center-switches-sites-reduces-size-amid-local-resistance</t>
  </si>
  <si>
    <t>07/06/2025</t>
  </si>
  <si>
    <t>Lexington Data center</t>
  </si>
  <si>
    <t>151 Martin Luther King Blvd</t>
  </si>
  <si>
    <t>Lexington</t>
  </si>
  <si>
    <t>40508</t>
  </si>
  <si>
    <t>38.04255</t>
  </si>
  <si>
    <t>-84.4997</t>
  </si>
  <si>
    <t>108,912</t>
  </si>
  <si>
    <t>6001 Camp Ground Rd</t>
  </si>
  <si>
    <t>Louisville</t>
  </si>
  <si>
    <t>40216</t>
  </si>
  <si>
    <t>38.19817</t>
  </si>
  <si>
    <t>-85.8509</t>
  </si>
  <si>
    <t>https://www.datacenterdynamics.com/en/news/powerhouse-plans-400mw-data-center-campus-in-louisville-kentucky/</t>
  </si>
  <si>
    <t>https://www.wdrb.com/in-depth/louisville-data-center-plan-advances-after-unanimous-vote/article_23d6a67c-2e0c-4b28-88d5-75aec98cd1ff.html</t>
  </si>
  <si>
    <t>https://www.datacenterdynamics.com/en/news/planning-commission-recommends-approval-for-16m-sq-ft-planned-data-center-in-louisville-kentucky/</t>
  </si>
  <si>
    <t>06/20/2025</t>
  </si>
  <si>
    <t xml:space="preserve">Steve Poe's Campground </t>
  </si>
  <si>
    <t>38.196014</t>
  </si>
  <si>
    <t>-85.859985</t>
  </si>
  <si>
    <t>No Data Center 502</t>
  </si>
  <si>
    <t>https://www.americanrepartners.com/news/lets-go-build-some-data-centers-powerhouse-drives-hyperscale-and-ai-infrastructure-across-north-america</t>
  </si>
  <si>
    <t>https://www.powerhousedata.com/news/developers-unveil-plans-for-large-tech-data-center-in-louisville</t>
  </si>
  <si>
    <t>https://www.lpm.org/news/2026-03-05/west-louisville-data-center-approved-despite-opposition</t>
  </si>
  <si>
    <t>04/21/2026</t>
  </si>
  <si>
    <t xml:space="preserve">Fortune 500 </t>
  </si>
  <si>
    <t>Big Pond Rd, Valley Pike, Germantown Rd</t>
  </si>
  <si>
    <t>41056</t>
  </si>
  <si>
    <t>Mason</t>
  </si>
  <si>
    <t>38.663574</t>
  </si>
  <si>
    <t>-83.86959</t>
  </si>
  <si>
    <t>https://local12.com/news/local/nky-officials-hear-plan-2000-acre-hyperscale-data-center-complex-tech-technology-special-meeting-maysville-kentucky-fortune-50-company-contracts-property-owners-selling-land-rights-job-jobs-cost-consturction-renderings-nda-corporations</t>
  </si>
  <si>
    <t>https://www.cityofmaysvilleky.gov/departments/codes_department/data_center.php</t>
  </si>
  <si>
    <t>https://cms5.revize.com/revize/maysville/Document%20Center/Forms/New%20node/Planning%20&amp;%20Zoning/Mason%20County%20Data%20Center%20Site%20Maps.pdf?t=202603161623080&amp;t=202603161623080</t>
  </si>
  <si>
    <t>https://local12.com/news/local/northern-kentucky-family-declines-26-million-bid-data-center-plans-advance-maysville-ai-tech-technology-construction-farm-farmland-property-deal-purchase-sell-google-meta-amazon-mason-county-market-value-cincinnati</t>
  </si>
  <si>
    <t>03/28/2026</t>
  </si>
  <si>
    <t xml:space="preserve">Project Sophie </t>
  </si>
  <si>
    <t>Murray</t>
  </si>
  <si>
    <t>Calloway</t>
  </si>
  <si>
    <t>36.61113</t>
  </si>
  <si>
    <t>-88.3167</t>
  </si>
  <si>
    <t>https://baxtel.com/data-center/soluna-project-sophie?lat=36.54308464821985&amp;lng=-88.36226063424738&amp;distance=27294.14912016671</t>
  </si>
  <si>
    <t>https://www.datacenterdynamics.com/en/news/soluna-to-develop-two-new-data-centers-in-texas-with-a-combined-capacity-of-350mw/</t>
  </si>
  <si>
    <t>Riot 1</t>
  </si>
  <si>
    <t>5600 Commerce Dr</t>
  </si>
  <si>
    <t>Paducah</t>
  </si>
  <si>
    <t>42001</t>
  </si>
  <si>
    <t>McCracken</t>
  </si>
  <si>
    <t>37.08831</t>
  </si>
  <si>
    <t>-88.70305</t>
  </si>
  <si>
    <t>Riot</t>
  </si>
  <si>
    <t>Hyperscale (101-999 MW)</t>
  </si>
  <si>
    <t>Crypto pivoting to HPC</t>
  </si>
  <si>
    <t>https://www.datacenterdynamics.com/en/news/riot-to-convert-cryptomine-site-in-texas-to-hpc-signs-25mw-lease-with-amd/</t>
  </si>
  <si>
    <t>https://www.wpsdlocal6.com/newsletter_stories/city-leaders-hope-to-fill-space-after-cryptocurrency-company-leaves-amerisourcebergen-building-in-paducah/article_6d9aefce-e236-11ec-b493-2ba86b7b6a5b.html</t>
  </si>
  <si>
    <t>Riot 2</t>
  </si>
  <si>
    <t>Coleman Rd</t>
  </si>
  <si>
    <t>37.088593</t>
  </si>
  <si>
    <t>-88.676155</t>
  </si>
  <si>
    <t>Crypto moving towards HPC</t>
  </si>
  <si>
    <t>State Line Project Data Center campus</t>
  </si>
  <si>
    <t>North of Blanchard, near Hwy 1</t>
  </si>
  <si>
    <t>Blanchard</t>
  </si>
  <si>
    <t>LA</t>
  </si>
  <si>
    <t>71107</t>
  </si>
  <si>
    <t>Caddo</t>
  </si>
  <si>
    <t>32.656498</t>
  </si>
  <si>
    <t>-93.904144</t>
  </si>
  <si>
    <t>TXLAAR LLC</t>
  </si>
  <si>
    <t>810</t>
  </si>
  <si>
    <t>5 million gals/day water</t>
  </si>
  <si>
    <t>https://www.datacenterdynamics.com/en/news/data-center-planned-near-shreveport-louisiana-report/</t>
  </si>
  <si>
    <t>TXLAAR LLC Data Center</t>
  </si>
  <si>
    <t>Hwy 3</t>
  </si>
  <si>
    <t>Bossier Parish</t>
  </si>
  <si>
    <t>Bossier</t>
  </si>
  <si>
    <t>32.725018</t>
  </si>
  <si>
    <t>-93.72789</t>
  </si>
  <si>
    <t>1080</t>
  </si>
  <si>
    <t>MS Solar Grid Data</t>
  </si>
  <si>
    <t>Interstate 10 and Read Blvd</t>
  </si>
  <si>
    <t>New Orleans East</t>
  </si>
  <si>
    <t>70127</t>
  </si>
  <si>
    <t>Orleans</t>
  </si>
  <si>
    <t>30.037401</t>
  </si>
  <si>
    <t>-89.97886</t>
  </si>
  <si>
    <t>https://www.all4energy.org/watchdog/statement-on-data-centers-in-nola/</t>
  </si>
  <si>
    <t>New Orleans has banned data centers</t>
  </si>
  <si>
    <t>https://veritenews.org/2026/01/28/data-centers-ban-new-orleans-council/</t>
  </si>
  <si>
    <t>https://wgno.com/news/louisiana/orleans-parish/new-orleans-city-council-pauses-proposed-data-center-in-new-orleans-east/</t>
  </si>
  <si>
    <t>https://www.wwltv.com/article/news/local/its-very-concerning-to-the-community-neighbors-push-back-against-proposed-new-orleans-east-data-center/289-6872cdeb-ea95-4eef-b5e0-f83193ecfe00</t>
  </si>
  <si>
    <t>Meta RPL-10X Hyperion/Project Sucre</t>
  </si>
  <si>
    <t>Burn Rd</t>
  </si>
  <si>
    <t>Rayville</t>
  </si>
  <si>
    <t>71269</t>
  </si>
  <si>
    <t>Richland</t>
  </si>
  <si>
    <t>32.50788</t>
  </si>
  <si>
    <t>-91.6349</t>
  </si>
  <si>
    <t>1,500-2,200</t>
  </si>
  <si>
    <t>4,000,000</t>
  </si>
  <si>
    <t>3650</t>
  </si>
  <si>
    <t>NC</t>
  </si>
  <si>
    <t>https://capitalbnews.org/meta-richland-parish-ai-data-center/</t>
  </si>
  <si>
    <t>Run on gas turbines from 3 dedicated power plants able to generate 2200 MW, also 1.5 GW solar approved. "Size of 70 football fields." Set to be the world’s largest data center</t>
  </si>
  <si>
    <t>https://www.datacenterdynamics.com/en/news/meta-announces-4-million-sq-ft-louisiana-data-center-campus/</t>
  </si>
  <si>
    <t>https://louisianasiteselection.com/api/Upload/FileDownload?guid=56ec41afe38d458282a61cebe1b47c3e</t>
  </si>
  <si>
    <t>https://www.opportunitylouisiana.gov/news/meta-selects-northeast-louisiana-as-site-of-10-billion-artificial-intelligence-optimized-data-center-governor-jeff-landry-calls-investment-a-new-chapter-for-state</t>
  </si>
  <si>
    <t>https://www.datacenterdynamics.com/en/news/entergy-to-build-12bn-500kv-transmission-line-to-serve-meta-mega-data-center-in-louisiana/</t>
  </si>
  <si>
    <t>https://www.datacenterdynamics.com/en/news/entergy-obtains-approval-to-construct-three-gas-facilities-to-serve-metas-2gw-data-center-in-louisiana/</t>
  </si>
  <si>
    <t>https://lailluminator.com/briefs/entergy-builds-power-plant-for-data-center/</t>
  </si>
  <si>
    <t>https://www.datacenterdynamics.com/en/news/meta-purchases-additional-1400-acres-for-hyperion-mega-data-center-expansion/</t>
  </si>
  <si>
    <t>08/27/2025</t>
  </si>
  <si>
    <t>601 Milam St</t>
  </si>
  <si>
    <t>Shreveport</t>
  </si>
  <si>
    <t>71101</t>
  </si>
  <si>
    <t>32.51101</t>
  </si>
  <si>
    <t>-93.7498</t>
  </si>
  <si>
    <t>8,700</t>
  </si>
  <si>
    <t>https://dartpoints.com/locations/louisiana3/</t>
  </si>
  <si>
    <t>Shreveport Data Center</t>
  </si>
  <si>
    <t>7340 Greenwood Rd</t>
  </si>
  <si>
    <t>71119</t>
  </si>
  <si>
    <t>32.45425</t>
  </si>
  <si>
    <t>-93.9052</t>
  </si>
  <si>
    <t>https://web.archive.org/web/20250912021859/https://www.shreveportbossieradvocate.com/business/west-shreveport-tapped-for-one-million-square-foot-data-center/article_f58624b7-a568-433b-8943-9200c28cde51.html</t>
  </si>
  <si>
    <t>09/15/2025</t>
  </si>
  <si>
    <t>River Bend Campus</t>
  </si>
  <si>
    <t>off Louisiana Highway 964</t>
  </si>
  <si>
    <t>St. Francisville</t>
  </si>
  <si>
    <t>70748</t>
  </si>
  <si>
    <t>East Feliciana</t>
  </si>
  <si>
    <t>30.751701</t>
  </si>
  <si>
    <t>-91.27455</t>
  </si>
  <si>
    <t>AI and Bitcoin</t>
  </si>
  <si>
    <t>Hut 8</t>
  </si>
  <si>
    <t>592</t>
  </si>
  <si>
    <t>$2.5 billion</t>
  </si>
  <si>
    <t>Unique revenue agreement will allows West Feliciana Parish to collect payments in lieu of traditional property taxes, a plan known as Payment in Lieu of Taxes or PILOT. Parish officials say it will generate more revenue than Louisiana’s standard tax incentive programs, up to $90 million a year for 30 years. Located near the River Bend Nuclear Power Plant, has easy access to both natural gas and transmission lines</t>
  </si>
  <si>
    <t>https://www.datacenterdynamics.com/en/news/hut-8-secures-592-acres-for-300mw-bitcoin-and-ai-data-center/</t>
  </si>
  <si>
    <t>https://www.govtech.com/products/data-center-deal-could-net-louisiana-parish-90m-a-year</t>
  </si>
  <si>
    <t>https://www.datacenterdynamics.com/en/news/hut-8-selling-325bn-in-bonds-to-finance-google-and-anthropic-backed-river-bend-ai-data-center-campus/</t>
  </si>
  <si>
    <t>River Bend Data Center Campus</t>
  </si>
  <si>
    <t>near River Bend Rd, West Feliciana Parish</t>
  </si>
  <si>
    <t>70775</t>
  </si>
  <si>
    <t>West Feliciana</t>
  </si>
  <si>
    <t>30.764305</t>
  </si>
  <si>
    <t>-91.337296</t>
  </si>
  <si>
    <t>Fluidstack, Anthropic, Google</t>
  </si>
  <si>
    <t>245</t>
  </si>
  <si>
    <t>627</t>
  </si>
  <si>
    <t>$7-17.7 billion</t>
  </si>
  <si>
    <t>https://www.datacenterdynamics.com/en/news/hut-8-signs-245mw-capacity-deal-with-fluidstack-as-part-of-multi-gigawatt-partnership-with-anthropic/</t>
  </si>
  <si>
    <t>Markely Data Center</t>
  </si>
  <si>
    <t>1 Summer St</t>
  </si>
  <si>
    <t>Boston</t>
  </si>
  <si>
    <t>MA</t>
  </si>
  <si>
    <t>02110</t>
  </si>
  <si>
    <t>Suffolk</t>
  </si>
  <si>
    <t>42.354603</t>
  </si>
  <si>
    <t>-71.05991</t>
  </si>
  <si>
    <t>920,000</t>
  </si>
  <si>
    <t>https://www.markleygroup.com/data-center</t>
  </si>
  <si>
    <t>https://www.datacenters.com/markley-group-boston</t>
  </si>
  <si>
    <t>01/20/2026</t>
  </si>
  <si>
    <t>Everett Data Center</t>
  </si>
  <si>
    <t>Everett Docklands Innovation District</t>
  </si>
  <si>
    <t>Everett</t>
  </si>
  <si>
    <t>02149</t>
  </si>
  <si>
    <t>Middlesex</t>
  </si>
  <si>
    <t>42.39638</t>
  </si>
  <si>
    <t>-71.05932</t>
  </si>
  <si>
    <t>https://advocatenews.net/everett/news/city-councillors-question-plan-for-data-center-in-docklands-innovation-district/</t>
  </si>
  <si>
    <t>1 Markley Way</t>
  </si>
  <si>
    <t>Lowell</t>
  </si>
  <si>
    <t>01852</t>
  </si>
  <si>
    <t>42.6302</t>
  </si>
  <si>
    <t>-71.304825</t>
  </si>
  <si>
    <t>352,000</t>
  </si>
  <si>
    <t>Honest Future for Lowell</t>
  </si>
  <si>
    <t>https://www.govtech.com/analytics/massachusetts-residents-protest-data-farm-expansion</t>
  </si>
  <si>
    <t>https://www.lowellsun.com/2025/06/25/lowell-city-council-approves-markley-groups-diesel-fueled-expansion/</t>
  </si>
  <si>
    <t>https://www.yahoo.com/news/articles/25-investigates-raised-concerns-mass-230539627.html</t>
  </si>
  <si>
    <t>https://www.cbsnews.com/boston/news/inside-lowell-markley-data-center</t>
  </si>
  <si>
    <t>Medford Data Center</t>
  </si>
  <si>
    <t>1 Cabot Rd</t>
  </si>
  <si>
    <t>Medford</t>
  </si>
  <si>
    <t>02155</t>
  </si>
  <si>
    <t>42.40601</t>
  </si>
  <si>
    <t>-71.0752</t>
  </si>
  <si>
    <t>3.2</t>
  </si>
  <si>
    <t>https://www.expedient.com/data-centers/boston/</t>
  </si>
  <si>
    <t>Servistar Data Center</t>
  </si>
  <si>
    <t>199 Servistar Industrial Way</t>
  </si>
  <si>
    <t>Westfield</t>
  </si>
  <si>
    <t>01085</t>
  </si>
  <si>
    <t>Hampden</t>
  </si>
  <si>
    <t>42.15831</t>
  </si>
  <si>
    <t>-72.74108</t>
  </si>
  <si>
    <t>2,700,000</t>
  </si>
  <si>
    <t>156</t>
  </si>
  <si>
    <t>https://theshoestring.org/2025/12/30/ai-hallucination-proposed-westfield-data-center-appears-abandoned-by-developers/</t>
  </si>
  <si>
    <t>https://www.nbcboston.com/news/local/massive-multi-billion-dollar-data-center-campus-planned-in-western-massachusetts/3795016/</t>
  </si>
  <si>
    <t>Tidepoint</t>
  </si>
  <si>
    <t>1050 Hull Street, Suite 150</t>
  </si>
  <si>
    <t>Baltimore</t>
  </si>
  <si>
    <t>MD</t>
  </si>
  <si>
    <t>21230</t>
  </si>
  <si>
    <t>39.27421</t>
  </si>
  <si>
    <t>-76.5911</t>
  </si>
  <si>
    <t>1.5</t>
  </si>
  <si>
    <t>23,000</t>
  </si>
  <si>
    <t>https://www.expedient.com/data-centers/baltimore/</t>
  </si>
  <si>
    <t>Mag Partners Data Centers</t>
  </si>
  <si>
    <t>Baltimore Peninsula/ Port Covington</t>
  </si>
  <si>
    <t>39.26509</t>
  </si>
  <si>
    <t>-76.6127</t>
  </si>
  <si>
    <t>235</t>
  </si>
  <si>
    <t>https://www.datacenterdynamics.com/en/news/new-york-based-mag-partners-may-build-data-centers-on-235-acre-site-in-baltimore/</t>
  </si>
  <si>
    <t>Dickerson Data Centers</t>
  </si>
  <si>
    <t>21200 Martinsburg Rd</t>
  </si>
  <si>
    <t>Dickerson</t>
  </si>
  <si>
    <t>20842</t>
  </si>
  <si>
    <t>39.209373</t>
  </si>
  <si>
    <t>-77.46454</t>
  </si>
  <si>
    <t>1.2 GW diesel</t>
  </si>
  <si>
    <t>https://www.mocoalliance.org/news/dickerson-data-centers-how-much-water-how-much-power-how-much-diesel</t>
  </si>
  <si>
    <t>https://www.facebook.com/groups/283244782323144/</t>
  </si>
  <si>
    <t>Site of former Dickerson Generating Station</t>
  </si>
  <si>
    <t>https://www.thebanner.com/economy/growth-development/data-centers-agricultural-reserve-development-dickerson-battery-storage-potomac-river-IENOJKGJKJGDLL7DU53KSKMQ2U/</t>
  </si>
  <si>
    <t>https://wtop.com/montgomery-county/2026/02/coming-at-us-way-too-fast-public-comment-on-data-centers-in-montgomery-county/</t>
  </si>
  <si>
    <t xml:space="preserve">Aligned IAD-06 </t>
  </si>
  <si>
    <t>Near 5601 Manor Woods Rd</t>
  </si>
  <si>
    <t>Frederick</t>
  </si>
  <si>
    <t>21703</t>
  </si>
  <si>
    <t>39.33511</t>
  </si>
  <si>
    <t>-77.46484</t>
  </si>
  <si>
    <t>Within same area as Quantum Frederick</t>
  </si>
  <si>
    <t>https://www.datacenterdynamics.com/en/news/aligned-tops-out-maryland-data-center/</t>
  </si>
  <si>
    <t>Quantum Frederick</t>
  </si>
  <si>
    <t>5601 Manor Woods Rd</t>
  </si>
  <si>
    <t>39.3343</t>
  </si>
  <si>
    <t>-77.4679</t>
  </si>
  <si>
    <t>264-2,400</t>
  </si>
  <si>
    <t>1,100,000</t>
  </si>
  <si>
    <t>https://www.sugarloaf-alliance.com/</t>
  </si>
  <si>
    <t>https://www.change.org/p/prohibit-data-centers-in-the-sugarloaf-plan-area/u/33486187</t>
  </si>
  <si>
    <t>Former site of Alcoa Eastalco Works</t>
  </si>
  <si>
    <t>https://www.datacenterdynamics.com/en/news/aligned-looks-to-develop-three-more-data-centers-at-quantum-frederick-park-in-maryland/</t>
  </si>
  <si>
    <t>https://news.alcoa.com/press-releases/press-release-details/2021/Alcoa-Sells-Former-Eastalco-Site-for-100-Million-Buyer-to-Use-Repurposed-Land-for-Next-Generation-Data-Centers/default.aspx</t>
  </si>
  <si>
    <t>https://www.wypr.org/wypr-news/2025-09-19/maryland-organizations-put-spotlight-on-data-center-industry</t>
  </si>
  <si>
    <t>Brightseat Tech Park Data Center</t>
  </si>
  <si>
    <t>site of former Landover Mall</t>
  </si>
  <si>
    <t>Hyattsville</t>
  </si>
  <si>
    <t>20785</t>
  </si>
  <si>
    <t>Prince George's</t>
  </si>
  <si>
    <t>38.91977</t>
  </si>
  <si>
    <t>-76.8565</t>
  </si>
  <si>
    <t>820</t>
  </si>
  <si>
    <t>4,100,000</t>
  </si>
  <si>
    <t xml:space="preserve"> https://www.change.org/p/stop-data-center-at-former-landover-mall-site</t>
  </si>
  <si>
    <t>https://www.nbcwashington.com/news/local/prince-georges-county-to-pause-data-center-development/3988847/</t>
  </si>
  <si>
    <t>https://www.washingtoninformer.com/landover-data-center-protest/</t>
  </si>
  <si>
    <t>https://web.archive.org/web/20250401004408/https://www.pgcedc.com/latest-pgcedc-news/2024/10/29/5b-data-center-campus-on-former-landover-mall-footprint-could-break-ground-by-2026</t>
  </si>
  <si>
    <t>Eternal Rings Data Center</t>
  </si>
  <si>
    <t>9800 S Eternal Rings Dr</t>
  </si>
  <si>
    <t>Laurel</t>
  </si>
  <si>
    <t>20723</t>
  </si>
  <si>
    <t>39.133514</t>
  </si>
  <si>
    <t>-76.85197</t>
  </si>
  <si>
    <t>https://www.datacenterdynamics.com/en/news/harrison-street-sells-two-powered-shell-data-center-sites-in-maryland/</t>
  </si>
  <si>
    <t>Amazon Lusby Data Center</t>
  </si>
  <si>
    <t>Adjacent to Calvert Cliffs Nuclear Power Plant. 1650 Calvert Cliffs Pkwy</t>
  </si>
  <si>
    <t>Lusby</t>
  </si>
  <si>
    <t>20657</t>
  </si>
  <si>
    <t>Calvert</t>
  </si>
  <si>
    <t>38.42979</t>
  </si>
  <si>
    <t>-76.45836</t>
  </si>
  <si>
    <t>https://www.datacenterdynamics.com/en/news/aws-proposes-data-center-campus-next-to-nuclear-plant-in-calvert-county-maryland/</t>
  </si>
  <si>
    <t>Morgantown Data Center</t>
  </si>
  <si>
    <t xml:space="preserve">12620 Crain Highway </t>
  </si>
  <si>
    <t>Newburg</t>
  </si>
  <si>
    <t>20664</t>
  </si>
  <si>
    <t>Charles</t>
  </si>
  <si>
    <t>38.3596</t>
  </si>
  <si>
    <t>-76.9757</t>
  </si>
  <si>
    <t xml:space="preserve">High </t>
  </si>
  <si>
    <t>data centers, high-performance computing (HPC), and bitcoin mining</t>
  </si>
  <si>
    <t xml:space="preserve">TeraWulf, Inc. </t>
  </si>
  <si>
    <t>210-500</t>
  </si>
  <si>
    <t>https://actionnetwork.org/groups/charles-county-against-data-centers</t>
  </si>
  <si>
    <t>https://www.change.org/p/reject-zta-25-187-data-centers-we-want-more-transparency-and-community-involvement</t>
  </si>
  <si>
    <t>Large former coal plant on ~334-acre industrial riverfront parcel</t>
  </si>
  <si>
    <t>https://thebaynet.com/charles-countys-morgantown-plant-being-bought-by-data-infrastructure-company/</t>
  </si>
  <si>
    <t>12620 Crain Hwy</t>
  </si>
  <si>
    <t>38.365482</t>
  </si>
  <si>
    <t>-76.96935</t>
  </si>
  <si>
    <t>500-1,000</t>
  </si>
  <si>
    <t>BWI1</t>
  </si>
  <si>
    <t>11155 Red Run Blvd #200</t>
  </si>
  <si>
    <t>Owings Mills</t>
  </si>
  <si>
    <t>21117</t>
  </si>
  <si>
    <t>39.42716</t>
  </si>
  <si>
    <t>-76.8118</t>
  </si>
  <si>
    <t>0.8</t>
  </si>
  <si>
    <t>22,000</t>
  </si>
  <si>
    <t>Sandy Farms Data Center</t>
  </si>
  <si>
    <t>7665 Sandy Farm Rd</t>
  </si>
  <si>
    <t>Severn</t>
  </si>
  <si>
    <t>21144</t>
  </si>
  <si>
    <t>Anne Arundel</t>
  </si>
  <si>
    <t>39.14969</t>
  </si>
  <si>
    <t>-76.679955</t>
  </si>
  <si>
    <t>Prosperity Drive Data Center</t>
  </si>
  <si>
    <t>12401 Prosperity Dr</t>
  </si>
  <si>
    <t>Silver Spring</t>
  </si>
  <si>
    <t>20904</t>
  </si>
  <si>
    <t>39.05859</t>
  </si>
  <si>
    <t>-76.9644</t>
  </si>
  <si>
    <t>5-100</t>
  </si>
  <si>
    <t>214,000</t>
  </si>
  <si>
    <t>https://www.datacenterdynamics.com/en/news/data-center-in-maryland-sold-to-local-real-estate-group/</t>
  </si>
  <si>
    <t>08/19/2025</t>
  </si>
  <si>
    <t>Security Land and Development LLC Data Center</t>
  </si>
  <si>
    <t>Woodlawn</t>
  </si>
  <si>
    <t>39.319317</t>
  </si>
  <si>
    <t>-76.74747</t>
  </si>
  <si>
    <t>https://www.datacenterdynamics.com/en/news/150mw-data-center-proposed-for-baltimore-county-maryland/</t>
  </si>
  <si>
    <t>DeepGreen Western Passage SPV LLC  Data Center</t>
  </si>
  <si>
    <t>Western Passage</t>
  </si>
  <si>
    <t>Eastport</t>
  </si>
  <si>
    <t>ME</t>
  </si>
  <si>
    <t>04631</t>
  </si>
  <si>
    <t>44.94704</t>
  </si>
  <si>
    <t>-67.01703</t>
  </si>
  <si>
    <t xml:space="preserve">DeepGreen Western Passage SPV LLC </t>
  </si>
  <si>
    <t>51</t>
  </si>
  <si>
    <t>$415 million</t>
  </si>
  <si>
    <t>https://www.facebook.com/groups/286077786303933/posts/1307011727543862/</t>
  </si>
  <si>
    <t>Underwater site, powered by tides, 70 turbines and 34 data center pods</t>
  </si>
  <si>
    <t>https://www.datacenterdynamics.com/en/news/underwater-data-center-powered-by-tidal-energy-proposed-off-the-coast-of-maine/</t>
  </si>
  <si>
    <t>Tier III AI Data Center</t>
  </si>
  <si>
    <t>140 Mill Street</t>
  </si>
  <si>
    <t>Lewiston</t>
  </si>
  <si>
    <t>04240</t>
  </si>
  <si>
    <t>Androscoggin</t>
  </si>
  <si>
    <t>44.094273</t>
  </si>
  <si>
    <t>-70.21859</t>
  </si>
  <si>
    <t>MillCompute LLC</t>
  </si>
  <si>
    <t>85,000</t>
  </si>
  <si>
    <t>https://www.facebook.com/groups/881401921000636/</t>
  </si>
  <si>
    <t>The proposed data center would have taken up the first two floors of Bates Mill No.3. On 12/16/25, Lewiston city councilors unanimously rejected the proposal</t>
  </si>
  <si>
    <t>https://www.datacenterdynamics.com/en/news/tier-iii-ai-data-center-proposed-for-lewiston-bates-mill-in-maine/</t>
  </si>
  <si>
    <t>https://www.mainepublic.org/business-and-economy/2025-12-17/lewiston-city-council-shoots-down-data-center-proposal</t>
  </si>
  <si>
    <t>https://www.newscentermaine.com/article/news/local/lewiston-auburn/lewiston-city-councilors-unanimously-vote-down-ai-data-center-proposal/97-392ae679-b55b-430c-b1b3-8dd641dd3489</t>
  </si>
  <si>
    <t>12/19/2025</t>
  </si>
  <si>
    <t>Loring Commerce Center Data center</t>
  </si>
  <si>
    <t>near Georgia Rd</t>
  </si>
  <si>
    <t>Limestone</t>
  </si>
  <si>
    <t>04750</t>
  </si>
  <si>
    <t>Aroostook</t>
  </si>
  <si>
    <t>46.94933</t>
  </si>
  <si>
    <t>-67.8927</t>
  </si>
  <si>
    <t>Hydroelectric, Grid (unspecified mix)</t>
  </si>
  <si>
    <t>https://insideclimatenews.org/news/26112025/maine-data-center-green-innovation</t>
  </si>
  <si>
    <t>Yankee Nuclear Power Plant Data Center</t>
  </si>
  <si>
    <t>321 Old Ferry Rd</t>
  </si>
  <si>
    <t>Wicasset</t>
  </si>
  <si>
    <t>04578</t>
  </si>
  <si>
    <t>Lincoln</t>
  </si>
  <si>
    <t>43.95572</t>
  </si>
  <si>
    <t>-69.69428</t>
  </si>
  <si>
    <t>https://www.datacenterdynamics.com/en/news/vampire-data-center-scheme-irks-residents-in-wiscasset-maine/</t>
  </si>
  <si>
    <t>Solstice Data Center</t>
  </si>
  <si>
    <t>Enterprise Drive</t>
  </si>
  <si>
    <t>Allen Park</t>
  </si>
  <si>
    <t>MI</t>
  </si>
  <si>
    <t>Wayne</t>
  </si>
  <si>
    <t>42.268654</t>
  </si>
  <si>
    <t>-83.208176</t>
  </si>
  <si>
    <t>Solstice</t>
  </si>
  <si>
    <t>45,400</t>
  </si>
  <si>
    <t>https://tockify.com/miresistevents/detail/1285/1767913200000</t>
  </si>
  <si>
    <t>https://www.change.org/p/non-allen-park-mi-residents-help-keep-ai-data-centers-out-of-wayne-county-cities-listed</t>
  </si>
  <si>
    <t>https://www.thenewsherald.com/2025/12/08/data-center-proposed-in-allen-park-to-be-considered-by-planners/</t>
  </si>
  <si>
    <t>https://cityofallenpark.org/departments/building_and_engineering/faq.php#collapse23880b2</t>
  </si>
  <si>
    <t>https://cms3.revize.com/revize/allenparkmi/Documents/Departments/Building%20and%20Engineering/Development%20Projects%20&amp;%20Public%20Hearings/2026/2026.01.08%20Data%20Center/SD-SPBG01-ZZ-Z-BGT-RP-Z-80412%20Report%20for%20PC.pdf?t=202601051514460&amp;t=202601051514460</t>
  </si>
  <si>
    <t>https://planetdetroit.org/2026/01/allen-park-data-center-proposal/</t>
  </si>
  <si>
    <t>https://planetdetroit.org/2026/01/allen-park-postpones-data-center-decision/</t>
  </si>
  <si>
    <t>01/08/2026</t>
  </si>
  <si>
    <t>Oppidan Data Center</t>
  </si>
  <si>
    <t>Btwn Pilot Knob Rd, 150th St, and Flagstaff Ave</t>
  </si>
  <si>
    <t>Apple Valley</t>
  </si>
  <si>
    <t>55124</t>
  </si>
  <si>
    <t>Dakota</t>
  </si>
  <si>
    <t>44.72743</t>
  </si>
  <si>
    <t>-93.18794</t>
  </si>
  <si>
    <t>250-300</t>
  </si>
  <si>
    <t>1,050,000</t>
  </si>
  <si>
    <t>134</t>
  </si>
  <si>
    <t>Rejected by city council</t>
  </si>
  <si>
    <t>https://www.datacenterdynamics.com/en/news/oppidan-data-center-outside-minneapolis-rejected/</t>
  </si>
  <si>
    <t>Thor Equities Data Center</t>
  </si>
  <si>
    <t>Between Milan-Oakville Rd and Arkona Rds</t>
  </si>
  <si>
    <t>Augusta Township</t>
  </si>
  <si>
    <t>48160</t>
  </si>
  <si>
    <t>Washtenaw</t>
  </si>
  <si>
    <t>42.091705</t>
  </si>
  <si>
    <t>-83.63743</t>
  </si>
  <si>
    <t>5+</t>
  </si>
  <si>
    <t>822</t>
  </si>
  <si>
    <t>https://www.mlive.com/news/ann-arbor/2025/07/farmland-rezoned-for-proposed-1b-data-center-in-southeast-washtenaw-county.html</t>
  </si>
  <si>
    <t>https://www.datacenterdynamics.com/en/news/local-officials-recommend-denial-of-thor-equities-data-center-in-michigan/</t>
  </si>
  <si>
    <t>https://augustatownship.org/wp-content/uploads/2025/05/Data_Center_Review.pdf</t>
  </si>
  <si>
    <t>https://bridgemi.com/michigan-environment-watch/tiny-michigan-town-hopes-to-stop-data-center-with-ballot-initiative/</t>
  </si>
  <si>
    <t>9275 Haggerty Road</t>
  </si>
  <si>
    <t>Belleville</t>
  </si>
  <si>
    <t>48111</t>
  </si>
  <si>
    <t>42.23536</t>
  </si>
  <si>
    <t>-83.4441</t>
  </si>
  <si>
    <t>87,100</t>
  </si>
  <si>
    <t>Purported to add 3MW of commercial power</t>
  </si>
  <si>
    <t>https://ussignal.com/data-centers/mi03-detroit/</t>
  </si>
  <si>
    <t>https://www.datacenterdynamics.com/en/news/panattoni-looks-to-develop-1gw-data-center-campus-outside-detroit-michigan/</t>
  </si>
  <si>
    <t>Microsoft Caledonia Data Center</t>
  </si>
  <si>
    <t>4100 68th St SE</t>
  </si>
  <si>
    <t>Caledonia</t>
  </si>
  <si>
    <t>49316</t>
  </si>
  <si>
    <t>Kent</t>
  </si>
  <si>
    <t>42.839203</t>
  </si>
  <si>
    <t>-85.56194</t>
  </si>
  <si>
    <t>414</t>
  </si>
  <si>
    <t>https://www.datacenterdynamics.com/en/news/microsoft-looks-to-buy-578-additional-acres-in-gaines-township-michigan/</t>
  </si>
  <si>
    <t>Switch Pyramid Data Center</t>
  </si>
  <si>
    <t>6100 E Paris Ave SE</t>
  </si>
  <si>
    <t>42.852547</t>
  </si>
  <si>
    <t>-85.560104</t>
  </si>
  <si>
    <t>Expanding; adding third building</t>
  </si>
  <si>
    <t>https://www.datacenterdynamics.com/en/news/switch-plans-second-expansion-of-pyramid-data-center-campus-in-grand-rapids-michigan/</t>
  </si>
  <si>
    <t>"Project Peninsula" Data Center</t>
  </si>
  <si>
    <t>near US-131 and 17 Mile Rd</t>
  </si>
  <si>
    <t>Cedar Springs</t>
  </si>
  <si>
    <t>49319</t>
  </si>
  <si>
    <t>43.207657</t>
  </si>
  <si>
    <t>-85.595345</t>
  </si>
  <si>
    <t>Venerly LLC?</t>
  </si>
  <si>
    <t>800,000</t>
  </si>
  <si>
    <t>800</t>
  </si>
  <si>
    <t>https://www.datacenterdynamics.com/en/news/mystery-tech-firm-looks-to-build-800-acre-data-center-campus-outside-grand-rapids-michigan/</t>
  </si>
  <si>
    <t>Charlevoix Big Rock Data Center and Small Modular Nuclear Reactors</t>
  </si>
  <si>
    <t>Big Rock Point, west of Rt 31</t>
  </si>
  <si>
    <t>Charlevoix</t>
  </si>
  <si>
    <t>49720</t>
  </si>
  <si>
    <t>45.359146</t>
  </si>
  <si>
    <t>-85.19614</t>
  </si>
  <si>
    <t>Holtec</t>
  </si>
  <si>
    <t>https://nocharlevoixdatacenter.org/</t>
  </si>
  <si>
    <t>https://www.mlive.com/environment/2026/02/former-nuclear-plant-site-draws-data-center-concerns-in-northern-michigan.html</t>
  </si>
  <si>
    <t>https://www.mlive.com/environment/2026/03/northern-michigan-township-extends-data-center-pause-amid-concerns-over-big-rock-point.html</t>
  </si>
  <si>
    <t>https://docs.google.com/viewerng/viewer?url=https://www.hayestownshipmi.gov/wp-content/uploads/2026/06/PSA-and-E-mail-Response_Hayes-Twp_FINAL-1.pdf&amp;hl=en_US</t>
  </si>
  <si>
    <t>06/26/2026</t>
  </si>
  <si>
    <t>Microsoft Dorr Data Center</t>
  </si>
  <si>
    <t>near 144th Ave and Hwy 131</t>
  </si>
  <si>
    <t>Dorr</t>
  </si>
  <si>
    <t>49323</t>
  </si>
  <si>
    <t>Allegan</t>
  </si>
  <si>
    <t>42.737343</t>
  </si>
  <si>
    <t>-85.68578</t>
  </si>
  <si>
    <t>272</t>
  </si>
  <si>
    <t>https://www.datacenterdynamics.com/en/news/microsoft-plans-data-centers-in-dorr-and-lowell-townships-applies-for-property-rezoning-in-gaines-townships/</t>
  </si>
  <si>
    <t>Hyperscale Data Michigan Data Center</t>
  </si>
  <si>
    <t>415 East Prairie Ronde Street</t>
  </si>
  <si>
    <t>Dowagiac</t>
  </si>
  <si>
    <t>49047</t>
  </si>
  <si>
    <t>Cass</t>
  </si>
  <si>
    <t>41.992455</t>
  </si>
  <si>
    <t>-86.098976</t>
  </si>
  <si>
    <t>617,000</t>
  </si>
  <si>
    <t>Currently used mostly for cryptomining, but moving towards AI</t>
  </si>
  <si>
    <t>https://www.dbusiness.com/daily-news/hyperscale-data-planning-major-expansion-of-michigan-ai-data-center-by-2029/</t>
  </si>
  <si>
    <t>https://www.datacenterdynamics.com/en/news/hyperscale-data-purchases-485-acres-in-southwest-michigan-to-expand-data-center-campus/</t>
  </si>
  <si>
    <t>https://www.mlive.com/news/kalamazoo/2026/06/a-prison-in-our-own-yard-life-next-to-a-data-center-and-its-never-ending-noise.html</t>
  </si>
  <si>
    <t>https://www.datacenterdynamics.com/en/news/hyperscale-data-signs-20mw-capacity-agreement-with-neocloud-customer-at-its-michigan-data-center/</t>
  </si>
  <si>
    <t>https://www.datacenterdynamics.com/en/news/hyperscale-data-completes-land-acquisition-to-expand-michigan-campus/</t>
  </si>
  <si>
    <t>Cloverleaf Infrastructure Data Center</t>
  </si>
  <si>
    <t>~15398 Day Rd</t>
  </si>
  <si>
    <t>48131</t>
  </si>
  <si>
    <t>41.997276</t>
  </si>
  <si>
    <t>-83.66742</t>
  </si>
  <si>
    <t>https://www.change.org/p/prevent-the-construction-of-a-data-center-in-dundee-mi</t>
  </si>
  <si>
    <t>https://www.datacenterdynamics.com/en/news/cloverleaf-drops-initial-plans-for-michigan-data-center-council-votes-to-block-water-supply/</t>
  </si>
  <si>
    <t>Southfield Data Center</t>
  </si>
  <si>
    <t>Inkster Road between 11 Mile and 696</t>
  </si>
  <si>
    <t>Farmington Hills</t>
  </si>
  <si>
    <t>48334</t>
  </si>
  <si>
    <t>Oakland</t>
  </si>
  <si>
    <t>42.488056</t>
  </si>
  <si>
    <t>-83.31892</t>
  </si>
  <si>
    <t>https://www.fox2detroit.com/news/new-ai-data-center-proposed-southfield-amid-others-across-metro-detroit</t>
  </si>
  <si>
    <t>https://www.cbsnews.com/detroit/news/southfield-data-center-proposal-city-council-vote/</t>
  </si>
  <si>
    <t>https://planetdetroit.org/2025/12/southfield-data-center-approval/</t>
  </si>
  <si>
    <t>https://www.wxyz.com/news/southfield-residents-voice-concerns-over-proposed-data-center-at-packed-council-meeting</t>
  </si>
  <si>
    <t>01/04/2026</t>
  </si>
  <si>
    <t>Howell Data Center</t>
  </si>
  <si>
    <t>5781 Grand River Ave</t>
  </si>
  <si>
    <t>Fowlerville</t>
  </si>
  <si>
    <t>48836</t>
  </si>
  <si>
    <t>Livingston</t>
  </si>
  <si>
    <t>42.655422</t>
  </si>
  <si>
    <t>-84.02875</t>
  </si>
  <si>
    <t>Santec Consulting/Meta</t>
  </si>
  <si>
    <t>1077</t>
  </si>
  <si>
    <t>https://www.facebook.com/groups/1890995838502334/</t>
  </si>
  <si>
    <t>https://www.change.org/p/stop-the-construction-of-michigan-s-largest-data-center-in-howell</t>
  </si>
  <si>
    <t>https://www.change.org/p/demand-the-howell-township-board-enact-a-6-month-moratorium-on-rezoning</t>
  </si>
  <si>
    <t>6 month Howell Township moratorium on data centers proposals does not apply to this facility</t>
  </si>
  <si>
    <t>https://www.datacenterdynamics.com/en/news/1000-acre-data-center-campus-planned-outside-detroit-michigan-set-to-be-blocked/</t>
  </si>
  <si>
    <t>https://planetdetroit.org/2025/09/data-center-rezoning-howell/</t>
  </si>
  <si>
    <t>https://www.cbsnews.com/detroit/news/howell-township-data-center-developer-withdraws-project-application/</t>
  </si>
  <si>
    <t>https://michiganadvance.com/2025/11/21/local-michigan-township-trustee-says-meta-is-behind-data-center-project-planned-near-howell/</t>
  </si>
  <si>
    <t>https://www.mlive.com/news/ann-arbor/2025/11/meta-behind-1b-data-center-project-near-howell-trustee-confirms.html</t>
  </si>
  <si>
    <t>https://www.whmi.com/news/article/developers-withdraw-re-zoning-application-for-proposed-data-center-in-howell-twp?fbclid=IwY2xjawOjxD5leHRuA2FlbQIxMABicmlkETFGTWdNTnFwVzhHUFAxcXRrc3J0YwZhcHBfaWQQMjIyMDM5MTc4ODIwMDg5MgABHqbt42SjPESM_B2BmdYNZGnBkWqqW2rX4bXuiVk3lYnyLj84qbo_n3pDm2Yp_aem_SOH2yzjxxo5bOquwuYeBEw</t>
  </si>
  <si>
    <t>https://www.whmi.com/news/article/vangilder-family-farm-data-center</t>
  </si>
  <si>
    <t>https://planetdetroit.org/2025/12/billion-dollar-data-center-paused/</t>
  </si>
  <si>
    <t>Microsoft Grand Rapids Data Center</t>
  </si>
  <si>
    <t>7174 Patterson Ave SE</t>
  </si>
  <si>
    <t>Grand Rapids</t>
  </si>
  <si>
    <t>49512</t>
  </si>
  <si>
    <t>42.85125</t>
  </si>
  <si>
    <t>-85.54604</t>
  </si>
  <si>
    <t>https://www.datacenterdynamics.com/en/news/microsoft-confirms-plans-for-data-center-in-grand-rapids-michigan/</t>
  </si>
  <si>
    <t>Harbor Farmz Data Center</t>
  </si>
  <si>
    <t>2839 Full Circle Dr</t>
  </si>
  <si>
    <t>Kalamazoo</t>
  </si>
  <si>
    <t>49001</t>
  </si>
  <si>
    <t>42.262714</t>
  </si>
  <si>
    <t>-85.54166</t>
  </si>
  <si>
    <t>Kalamazoo County Data Center</t>
  </si>
  <si>
    <t>S 26th Street and E N Avenue</t>
  </si>
  <si>
    <t>49048</t>
  </si>
  <si>
    <t>42.243793</t>
  </si>
  <si>
    <t>-85.51012</t>
  </si>
  <si>
    <t>Advocacy against the Franklin Partners LLC data center in Pavilion Township was primarily driven by a rapid grassroots movement of local residents. Concerned neighbors quickly organized to challenge the proposed zoning changes, leading to packed town hall meetings and an eventual project withdrawal in late 2025.</t>
  </si>
  <si>
    <t>https://www.facebook.com/groups/1291506282276814/</t>
  </si>
  <si>
    <t>Developer Don Shoemaker: "Public displeasure is not our way of doing business. We want to be sure our interests are aligned with the community."</t>
  </si>
  <si>
    <t>https://www.youtube.com/watch?v=7TLuvv42Hjo</t>
  </si>
  <si>
    <t>https://wwmt.com/news/local/data-center-indistrial-hub-pavilion-township-community-concerns-halt-project-kalamazoo-county-franklin-partners-llc</t>
  </si>
  <si>
    <t>Kalkaska Data Center</t>
  </si>
  <si>
    <t>Island Lake and South River Rds</t>
  </si>
  <si>
    <t>Kalkaska Township</t>
  </si>
  <si>
    <t>49646</t>
  </si>
  <si>
    <t>Kalkaska</t>
  </si>
  <si>
    <t>44.728703</t>
  </si>
  <si>
    <t>-85.216324</t>
  </si>
  <si>
    <t>1440</t>
  </si>
  <si>
    <t>https://www.datacenterdynamics.com/en/news/opposition-leads-developer-to-withdraw-data-center-proposal-in-kalkaska-county-michigan/</t>
  </si>
  <si>
    <t>https://www.interlochenpublicradio.org/2025-11-19/yall-should-stop-crowd-gives-cold-response-to-kalkaska-data-center-idea</t>
  </si>
  <si>
    <t>https://www.9and10news.com/2025/11/17/residents-voice-concerns-over-proposed-data-center-in-kalkaska-county</t>
  </si>
  <si>
    <t>07/19/2026</t>
  </si>
  <si>
    <t>Deep Green Data Center</t>
  </si>
  <si>
    <t>229 S Cedar St</t>
  </si>
  <si>
    <t>Lansing</t>
  </si>
  <si>
    <t>48912</t>
  </si>
  <si>
    <t>Ingham</t>
  </si>
  <si>
    <t>42.731003</t>
  </si>
  <si>
    <t>-84.545654</t>
  </si>
  <si>
    <t>Deep Green</t>
  </si>
  <si>
    <t>25,000</t>
  </si>
  <si>
    <t>$120 million</t>
  </si>
  <si>
    <t>https://www.lansingstatejournal.com/story/money/business/2025/11/05/lansing-data-center-deep-green-bwl/87051236007/</t>
  </si>
  <si>
    <t>https://www.wilx.com/2025/11/19/citizens-call-data-center-contract-transparency-lansing/</t>
  </si>
  <si>
    <t>https://www.datacenterdynamics.com/en/news/lansing-michigan-sends-mixed-messages-regarding-120m-data-center/</t>
  </si>
  <si>
    <t>https://www.datacenterdynamics.com/en/news/uks-deep-green-withdraws-proposals-for-data-center-project-in-michigan/</t>
  </si>
  <si>
    <t xml:space="preserve">Lowell Covenant Business Park Data Center </t>
  </si>
  <si>
    <t>4714-4400 Bancroft Ave SE</t>
  </si>
  <si>
    <t>49331</t>
  </si>
  <si>
    <t>42.880783</t>
  </si>
  <si>
    <t>-85.376175</t>
  </si>
  <si>
    <t>Franklin Partners/Microsoft</t>
  </si>
  <si>
    <t>237</t>
  </si>
  <si>
    <t>https://www.facebook.com/residentsunitedlowell</t>
  </si>
  <si>
    <t>https://linktr.ee/residentsunitedlowell</t>
  </si>
  <si>
    <t xml:space="preserve"> https://www.change.org/p/no-lowell-data-center</t>
  </si>
  <si>
    <t>https://www.mlive.com/news/grand-rapids/2025/12/why-a-top-10-company-is-eyeing-a-data-center-in-this-west-michigan-town.html</t>
  </si>
  <si>
    <t>https://www.change.org/p/big-tech-wants-our-community-lowell-mi-and-great-lakes-allies-say-no</t>
  </si>
  <si>
    <t>https://www.datacenterdynamics.com/en/news/developer-in-lowell-township-michigan-withdraws-data-center-application-following-opposition/</t>
  </si>
  <si>
    <t>https://www.wzzm13.com/article/news/local/microsoft-proposed-lowell-data-center/69-7cdddbc3-6793-4fbc-bd27-1d99f2a76e8e</t>
  </si>
  <si>
    <t>Lower Peninsula Data Center</t>
  </si>
  <si>
    <t>Lower Peninsula</t>
  </si>
  <si>
    <t>Isabella</t>
  </si>
  <si>
    <t>43.66056</t>
  </si>
  <si>
    <t>-84.6665</t>
  </si>
  <si>
    <t>Consumers Energy (CMS) is set to provide the energy for this data center</t>
  </si>
  <si>
    <t>https://www.datacenterdynamics.com/en/news/michigan-utility-consumers-energy-to-provide-1gw-of-power-to-new-hyperscale-data-center/</t>
  </si>
  <si>
    <t>08/07/2025</t>
  </si>
  <si>
    <t>Alterra Development Corporation Data Center</t>
  </si>
  <si>
    <t>Brooks Industrial Park</t>
  </si>
  <si>
    <t>Marshall</t>
  </si>
  <si>
    <t>49068</t>
  </si>
  <si>
    <t>42.239025</t>
  </si>
  <si>
    <t>-84.955826</t>
  </si>
  <si>
    <t>Alterra Development</t>
  </si>
  <si>
    <t>112</t>
  </si>
  <si>
    <t>$1.12 million</t>
  </si>
  <si>
    <t>Also includes gas plant</t>
  </si>
  <si>
    <t>https://www.mlive.com/news/jackson/2025/12/marshall-approves-112m-land-sale-for-data-center-gas-plant-project.html</t>
  </si>
  <si>
    <t>https://choose-marshall.s3.amazonaws.com/images/economic-development-images/BrooksIndParkINFASTRUCTURE.jpg?v=1757959619</t>
  </si>
  <si>
    <t>12/20/2025</t>
  </si>
  <si>
    <t>Lyon Township Data Center/ Project Flex</t>
  </si>
  <si>
    <t>29134-29282 Milford Rd</t>
  </si>
  <si>
    <t>New Hudson</t>
  </si>
  <si>
    <t>48165</t>
  </si>
  <si>
    <t>42.50185</t>
  </si>
  <si>
    <t>-83.61119</t>
  </si>
  <si>
    <t>AI and Cloud Computing</t>
  </si>
  <si>
    <t>Verrus/Anthropic</t>
  </si>
  <si>
    <t>200-525</t>
  </si>
  <si>
    <t>172</t>
  </si>
  <si>
    <t>No</t>
  </si>
  <si>
    <t>https://www.facebook.com/groups/nodatacenterinlyontownship/?sorting_setting=CHRONOLOGICAL</t>
  </si>
  <si>
    <t>Purporting to utilize BESS instead of diesel backup generators; local engineers reviewing the site plan believe generators could be added later</t>
  </si>
  <si>
    <t>https://www.wxyz.com/news/region/oakland-county/lyon-township-residents-blindsided-by-ai-data-center-approval-near-homes</t>
  </si>
  <si>
    <t>https://www.hometownlife.com/story/news/2025/12/12/lyon-township-data-center-business-park/87734299007/</t>
  </si>
  <si>
    <t>https://planetdetroit.org/2025/12/michigan-data-center-news-roundup/</t>
  </si>
  <si>
    <t>https://planetdetroit.org/2026/01/lyon-township-data-center-plan/</t>
  </si>
  <si>
    <t>https://www.datacenterdynamics.com/en/news/180-acre-data-center-set-to-be-built-in-lyon-township-michigan/</t>
  </si>
  <si>
    <t>https://www.crainsdetroit.com/technology/cdb-anthropic-projectflex-datacenter-20260414/?utm_id=gfta-ur-260414&amp;share-code=F4JNH5GIING7NDXCBOJBJ5QVZM&amp;user_id=9885400&amp;customer_secondary_source=cdb_articleGifting&amp;fbclid=IwdGRjcARLdD9jbGNrBEt0NmV4dG4DYWVtAjExAHNydGMGYXBwX2lkDDM1MDY4NTUzMTcyOAABHuy4NDQbhkRm0MqYKNA8xHVyzE_IEbw7Q63iYC4OtY7wS2VOuDb-HW1V_hun_aem_aeBEd6Vy6DKHXUxdtutdIw</t>
  </si>
  <si>
    <t>https://www.datacenterdynamics.com/en/news/alphabet-spin-out-verrus-plans-three-building-data-center-campus-outside-portland-oregon/</t>
  </si>
  <si>
    <t>12/15/2025</t>
  </si>
  <si>
    <t>Oakland University Data Center</t>
  </si>
  <si>
    <t xml:space="preserve"> 253 Pioneer Dr</t>
  </si>
  <si>
    <t>Rochester</t>
  </si>
  <si>
    <t>48309</t>
  </si>
  <si>
    <t>42.67439</t>
  </si>
  <si>
    <t>-83.20664</t>
  </si>
  <si>
    <t>https://www.datacenterdynamics.com/en/news/michigans-oakland-university-puts-out-call-for-data-center-proposals/</t>
  </si>
  <si>
    <t>https://www.datacenterdynamics.com/en/news/michigans-oakland-university-board-votes-to-move-ahead-with-data-center-project/</t>
  </si>
  <si>
    <t>Related Digital/The Barn</t>
  </si>
  <si>
    <t>NW side of US-12, near Willow Rd</t>
  </si>
  <si>
    <t>Saline</t>
  </si>
  <si>
    <t>48176</t>
  </si>
  <si>
    <t>42.112755</t>
  </si>
  <si>
    <t>-83.88956</t>
  </si>
  <si>
    <t>Related Digital/Open AI/Oracle</t>
  </si>
  <si>
    <t>3 large, 1 small</t>
  </si>
  <si>
    <t>575</t>
  </si>
  <si>
    <t>$7-10 billion</t>
  </si>
  <si>
    <t>https://thesalinepost.com/g/saline-mi/n/358617/city-saline-institutes-temporary-moratorium-data-centers</t>
  </si>
  <si>
    <t>https://www.datacenterdynamics.com/en/news/oracle-and-openai-start-construction-on-stargate-data-center-campus-in-saline-township-michigan/</t>
  </si>
  <si>
    <t>DTE is set to provide the energy for this data center. Proposal to rezone from ag to industrial.</t>
  </si>
  <si>
    <t>https://www.datacenterdynamics.com/en/news/related-pitches-575-acre-data-center-campus-outside-detroit-michigan/</t>
  </si>
  <si>
    <t>https://www.msn.com/en-us/money/realestate/proposal-to-build-computer-data-center-near-saline-sparks-debate/ar-AA1KqiDZ?apiversion=v2&amp;noservercache=1&amp;domshim=1&amp;renderwebcomponents=1&amp;wcseo=1&amp;batchservertelemetry=1&amp;noservertelemetry=1</t>
  </si>
  <si>
    <t>https://www.mlive.com/news/ann-arbor/2025/09/data-center-for-ai-computing-rejected-in-farming-community-near-ann-arbor.html</t>
  </si>
  <si>
    <t>https://www.mlive.com/news/ann-arbor/2025/10/rural-residents-in-an-uproar-over-openais-massive-data-center-project-in-saline-township.html</t>
  </si>
  <si>
    <t>https://www.mlive.com/news/2025/11/dte-asks-to-rush-approval-of-massive-data-center-deal-avoiding-hearings.html</t>
  </si>
  <si>
    <t>https://planetdetroit.org/2026/02/saline-data-center-air-wetlands-permits/</t>
  </si>
  <si>
    <t>https://www.datacenterdynamics.com/en/news/or/</t>
  </si>
  <si>
    <t>09/14/2025</t>
  </si>
  <si>
    <t>Panattoni Project Cannoli</t>
  </si>
  <si>
    <t>along I-94 from Haggerty to Hannan Roads</t>
  </si>
  <si>
    <t>Van Buren Township</t>
  </si>
  <si>
    <t>42.22704</t>
  </si>
  <si>
    <t>-83.43421</t>
  </si>
  <si>
    <t>https://www.change.org/p/stop-the-massive-data-center-in-van-buren-township-michigan</t>
  </si>
  <si>
    <t>2-3.6 million gal/day for cooling, diesel backup generators</t>
  </si>
  <si>
    <t>https://www.wemu.org/wemu-news/2025-12-12/big-crowd-in-van-buren-township-looks-for-answers-on-proposed-data-center</t>
  </si>
  <si>
    <t>https://planetdetroit.org/2025/12/van-buren-data-center-pitch/</t>
  </si>
  <si>
    <t>https://planetdetroit.org/2026/01/van-buren-data-center-protest/</t>
  </si>
  <si>
    <t>https://planetdetroit.org/2026/02/project-cannoli-preliminary-site-plan/</t>
  </si>
  <si>
    <t>https://planetdetroit.org/2026/03/google-dte-data-center-van-buren/</t>
  </si>
  <si>
    <t>https://www.datacenterdynamics.com/en/news/google-confirms-1gw-data-center-campus-near-detroit-michigan-partners-with-dte-energy-on-27gw-power-generation/</t>
  </si>
  <si>
    <t>Washington Township Data Center</t>
  </si>
  <si>
    <t>on the south side of 32 Mile Road, between M-53 and Powell Road</t>
  </si>
  <si>
    <t>Washington Township</t>
  </si>
  <si>
    <t>48095</t>
  </si>
  <si>
    <t>Macomb</t>
  </si>
  <si>
    <t>42.80183</t>
  </si>
  <si>
    <t>-82.99235</t>
  </si>
  <si>
    <t>https://www.facebook.com/groups/1507890697089577/</t>
  </si>
  <si>
    <t>Rezoning application pending</t>
  </si>
  <si>
    <t>https://planetdetroit.org/2025/12/washington-township-data-center-hearing/</t>
  </si>
  <si>
    <t>University of Michigan Los Alamos Data Center</t>
  </si>
  <si>
    <t>10221 Textile Road</t>
  </si>
  <si>
    <t>Ypsilanti</t>
  </si>
  <si>
    <t>48197</t>
  </si>
  <si>
    <t>42.20446</t>
  </si>
  <si>
    <t>-83.5551</t>
  </si>
  <si>
    <t>AI for Nuclear Research</t>
  </si>
  <si>
    <t>Los Alamos National Laboratory</t>
  </si>
  <si>
    <t>Being pressured to relocate</t>
  </si>
  <si>
    <t>https://www.mlive.com/news/2025/05/protesters-disrupt-talk-on-university-of-michigans-proposed-12b-data-center.html</t>
  </si>
  <si>
    <t>https://www.mlive.com/news/ann-arbor/2024/12/price-tag-is-12b-for-university-of-michigan-los-alamos-project-to-build-fastest-computer.html</t>
  </si>
  <si>
    <t>https://www.datacenterdynamics.com/en/news/opposition-calls-to-relocate-12bn-university-of-michigan-data-centers/</t>
  </si>
  <si>
    <t>https://planetdetroit.org/2025/12/university-of-michigan-data-center-funding/</t>
  </si>
  <si>
    <t>https://www.michigandaily.com/news/news-briefs/los-alamos-confirms-umich-data-center-to-be-used-for-nuclear-weapons-research/</t>
  </si>
  <si>
    <t>08/22/2025</t>
  </si>
  <si>
    <t>Amazon Becker Data Center</t>
  </si>
  <si>
    <t>Becker</t>
  </si>
  <si>
    <t>MN</t>
  </si>
  <si>
    <t>55308</t>
  </si>
  <si>
    <t>Sherburne</t>
  </si>
  <si>
    <t>45.38527</t>
  </si>
  <si>
    <t>-93.8805</t>
  </si>
  <si>
    <t>https://www.msn.com/en-us/money/companies/amazon-suspends-minnesota-data-center-as-lawmakers-plan-to-reduce-big-tech-tax-breaks/ar-AA1Fj3re</t>
  </si>
  <si>
    <t>https://www.fox9.com/news/amazon-becker-data-center</t>
  </si>
  <si>
    <t>https://www.datacenterdynamics.com/en/news/amazon-web-services-suspends-plans-for-minnesota-data-center/</t>
  </si>
  <si>
    <t>TRACT Data Center</t>
  </si>
  <si>
    <t>betw Rochester Blvd and Hwy 52</t>
  </si>
  <si>
    <t>Cannon Falls</t>
  </si>
  <si>
    <t>55065</t>
  </si>
  <si>
    <t>44.53196</t>
  </si>
  <si>
    <t>-92.9268</t>
  </si>
  <si>
    <t>253</t>
  </si>
  <si>
    <t>https://www.kttc.com/2025/08/27/cannon-falls-explores-major-data-center-project-following-land-annexation/</t>
  </si>
  <si>
    <t>https://finance-commerce.com/2025/07/cannon-falls-data-center-tract-auar-review/</t>
  </si>
  <si>
    <t>Chisago</t>
  </si>
  <si>
    <t>55013</t>
  </si>
  <si>
    <t>45.3618</t>
  </si>
  <si>
    <t>-92.9186</t>
  </si>
  <si>
    <t>157</t>
  </si>
  <si>
    <t>MSP1 Data Center</t>
  </si>
  <si>
    <t>610 Opperman Dr</t>
  </si>
  <si>
    <t>Eagan</t>
  </si>
  <si>
    <t>55123</t>
  </si>
  <si>
    <t>44.82953</t>
  </si>
  <si>
    <t>-93.1176</t>
  </si>
  <si>
    <t>https://www.datacenterdynamics.com/en/news/centra-breaks-ground-on-data-center-redevelopment-in-minneapolis-minnesota/</t>
  </si>
  <si>
    <t>Irongate Data Center (Swervo)</t>
  </si>
  <si>
    <t>19178 Industrial Blvd NW</t>
  </si>
  <si>
    <t>Elk River</t>
  </si>
  <si>
    <t>55330</t>
  </si>
  <si>
    <t>45.318893</t>
  </si>
  <si>
    <t>-93.58708</t>
  </si>
  <si>
    <t>33</t>
  </si>
  <si>
    <t>https://www.datacenterdynamics.com/en/news/officials-in-elk-river-minnesota-deny-data-center-application-consider-moratorium/</t>
  </si>
  <si>
    <t>near 2800 220th St W</t>
  </si>
  <si>
    <t>Farmington</t>
  </si>
  <si>
    <t>55024</t>
  </si>
  <si>
    <t>44.62754</t>
  </si>
  <si>
    <t>-93.1229</t>
  </si>
  <si>
    <t>2,600,000</t>
  </si>
  <si>
    <t>342</t>
  </si>
  <si>
    <t>2 campuses</t>
  </si>
  <si>
    <t>Project Loon</t>
  </si>
  <si>
    <t>~3688 Co Hwy 13</t>
  </si>
  <si>
    <t>Hermantown</t>
  </si>
  <si>
    <t>55810</t>
  </si>
  <si>
    <t>St. Louis</t>
  </si>
  <si>
    <t>46.77741</t>
  </si>
  <si>
    <t>-92.28186</t>
  </si>
  <si>
    <t>Open loop</t>
  </si>
  <si>
    <t>403</t>
  </si>
  <si>
    <t>$650 million</t>
  </si>
  <si>
    <t>https://stopthehermantowndatacenter.org/</t>
  </si>
  <si>
    <t>https://www.change.org/p/stop-the-hermantown-data-center-protect-our-community-and-environment</t>
  </si>
  <si>
    <t>Developer has put project on hold in order to hold an open house to address community concerns, while city officials decide whether an additional environmental review is warranted. Minnesota Center for Environmental Advocacy filed a lawsuit with the citizen group "Stop the Hermantown Data Center" against the city of Hermantown, challenging their environmental review</t>
  </si>
  <si>
    <t>https://web.archive.org/web/20250923222004/https://www.startribune.com/northern-minnesota-mystery-project-identified-as-data-center-in-communications-to-city/601477059</t>
  </si>
  <si>
    <t>https://hermantownmn.com/project/#1760042903195-d604f6bd-60cc</t>
  </si>
  <si>
    <t>https://www.fox9.com/news/hermantown-city-council-data-center</t>
  </si>
  <si>
    <t>https://www.duluthnewstribune.com/news/local/charged-debate-over-hermantown-data-center-draws-crowd</t>
  </si>
  <si>
    <t>https://www.mprnews.org/story/2025/10/21/hermantown-data-center-moves-forward-despite-opposition</t>
  </si>
  <si>
    <t>https://www.mprnews.org/story/2025/10/22/hermantown-delays-permits-for-disputed-data-center</t>
  </si>
  <si>
    <t>https://www.mprnews.org/story/2025/11/14/hermantown-data-center-developer-plans-public-meeting</t>
  </si>
  <si>
    <t>https://www.datacenterdynamics.com/en/news/google-confirms-it-is-behind-403-acre-data-center-campus-in-hermantown-minnesota/</t>
  </si>
  <si>
    <t>US Internet Data Center</t>
  </si>
  <si>
    <t>3819 W Broadway</t>
  </si>
  <si>
    <t>Minneapolis</t>
  </si>
  <si>
    <t>55422</t>
  </si>
  <si>
    <t>Hennepin</t>
  </si>
  <si>
    <t>45.02485</t>
  </si>
  <si>
    <t>-93.3328</t>
  </si>
  <si>
    <t>4,000</t>
  </si>
  <si>
    <t>former abortion clinic</t>
  </si>
  <si>
    <t>https://www.datacenterdynamics.com/en/news/minnesota-abortion-clinic-site-set-to-be-turned-into-data-center-pro-life-memorial-held/</t>
  </si>
  <si>
    <t>Monitcello Data Center/Project Groundhog</t>
  </si>
  <si>
    <t>south of 85th Street and east of Highway 25</t>
  </si>
  <si>
    <t>Monticello</t>
  </si>
  <si>
    <t>55362</t>
  </si>
  <si>
    <t>Wright</t>
  </si>
  <si>
    <t>45.275093</t>
  </si>
  <si>
    <t>-93.81535</t>
  </si>
  <si>
    <t xml:space="preserve">Medium </t>
  </si>
  <si>
    <t>Monticello Tech, LLC, Frattalone</t>
  </si>
  <si>
    <t>https://www.change.org/p/no-data-center-monticello-mn</t>
  </si>
  <si>
    <t>https://www.datacenterdynamics.com/en/news/two-data-center-projects-planned-for-monticello-minnesota/</t>
  </si>
  <si>
    <t>https://www.hometownsource.com/monticello_times/data-center-proposal-still-in-discovery-phase-as-key-decisions-loom/article_376c5bca-1104-47c5-8204-32de45982728.html</t>
  </si>
  <si>
    <t>Project Skyway</t>
  </si>
  <si>
    <t>49199-49821 195th Ave</t>
  </si>
  <si>
    <t>Pine Island</t>
  </si>
  <si>
    <t>55963</t>
  </si>
  <si>
    <t>Goodhue</t>
  </si>
  <si>
    <t>44.22483</t>
  </si>
  <si>
    <t>-92.6442</t>
  </si>
  <si>
    <t>Ryan Companies US, Inc/Google</t>
  </si>
  <si>
    <t>1200-19600</t>
  </si>
  <si>
    <t>482</t>
  </si>
  <si>
    <t xml:space="preserve">Local opposition has emerged regarding Project Skyway. Community members have raised concerns about environmental impacts and scale. A lawsuit was filed seeking to pause the project pending further review. See KTTC coverage (DEC 2025) and the City of Pine Island AUAR materials. </t>
  </si>
  <si>
    <t>https://www.facebook.com/groups/1117176807284432/about/</t>
  </si>
  <si>
    <t>https://www.change.org/decision-makers/colton-wright-pine-island-city-council</t>
  </si>
  <si>
    <t>Technology center to include data center. Facility size could be 600,000-3,000,000 sq feet. Will include 1,400 MW of wind, 200 MW of solar, and 300 MW of battery storage</t>
  </si>
  <si>
    <t>https://finance-commerce.com/2025/03/ryan-cos-tech-industrial-hub-pine-island/</t>
  </si>
  <si>
    <t>https://pineislandmn.gov/vertical/sites/%7B52A5D060-3422-4069-8E86-A961C2752B7F%7D/uploads/Project_Skyway_Scoping_EAW-Appendices_2025.02.27.pdf</t>
  </si>
  <si>
    <t>https://www.kttc.com/2026/02/05/pine-island-city-council-approves-financial-incentives-data-center-project/</t>
  </si>
  <si>
    <t>https://www.datacenterdynamics.com/en/news/google-announces-first-data-center-in-minnesota/</t>
  </si>
  <si>
    <t>07/28/2025</t>
  </si>
  <si>
    <t>05/21/2026</t>
  </si>
  <si>
    <t>Geronimo Power Data Center</t>
  </si>
  <si>
    <t>Between 190th and 200th St</t>
  </si>
  <si>
    <t>Reading</t>
  </si>
  <si>
    <t>56165</t>
  </si>
  <si>
    <t>Nobles</t>
  </si>
  <si>
    <t>43.711044</t>
  </si>
  <si>
    <t>-95.6839</t>
  </si>
  <si>
    <t>400-500</t>
  </si>
  <si>
    <t>https://www.datacenterdynamics.com/en/news/geronimo-power-proposes-data-center-in-nobles-county-minnesota/</t>
  </si>
  <si>
    <t>https://www.datacenterdynamics.com/en/news/4bn-data-center-rejected-by-nobles-county-minnesota/</t>
  </si>
  <si>
    <t>Columbia Data Center</t>
  </si>
  <si>
    <t>3815 N Hinkson Creek Rd</t>
  </si>
  <si>
    <t>MO</t>
  </si>
  <si>
    <t>65202</t>
  </si>
  <si>
    <t>38.989983</t>
  </si>
  <si>
    <t>-92.2809</t>
  </si>
  <si>
    <t>https://gocolumbiamo.legistar.com/View.ashx?M=F&amp;ID=14838831&amp;GUID=CD9D24B9-05B4-4203-B9BA-8DC02DA95B03</t>
  </si>
  <si>
    <t>https://www.komu.com/news/midmissourinews/columbia-residents-speak-against-rezoning-farm-land-for-possible-data-center/article_c4429655-ed89-51d3-a5df-6e57681b2548.html</t>
  </si>
  <si>
    <t>Festus Data Center</t>
  </si>
  <si>
    <t>Old England Rd &amp; US-67</t>
  </si>
  <si>
    <t>Festus</t>
  </si>
  <si>
    <t>63028</t>
  </si>
  <si>
    <t>38.19273</t>
  </si>
  <si>
    <t>-90.41881</t>
  </si>
  <si>
    <t>CRG</t>
  </si>
  <si>
    <t xml:space="preserve">Wake Up JeffCo </t>
  </si>
  <si>
    <t>Pushback from public resulted in overturning entire city council in election.  Citizen group lawsuit</t>
  </si>
  <si>
    <t>https://www.stlpr.org/government-politics-issues/2026-02-27/festus-leaders-next-step-approving-proposed-data-center</t>
  </si>
  <si>
    <t>https://www.stlpr.org/government-politics-issues/2026-04-10/data-center-opposition-group-sues-city-festus-proposed-developer</t>
  </si>
  <si>
    <t>Nebius Data Center</t>
  </si>
  <si>
    <t>2501 E Necessary Rd</t>
  </si>
  <si>
    <t>Independence</t>
  </si>
  <si>
    <t>64057</t>
  </si>
  <si>
    <t>39.073467</t>
  </si>
  <si>
    <t>-94.332855</t>
  </si>
  <si>
    <t>cloud, high-density compute, software and data center solutions.</t>
  </si>
  <si>
    <t>Patmos</t>
  </si>
  <si>
    <t>880</t>
  </si>
  <si>
    <t>$150 billion</t>
  </si>
  <si>
    <t>https://www.change.org/p/stop-the-ai-datacenter-in-independence-missouri</t>
  </si>
  <si>
    <t>98% property tax abatement</t>
  </si>
  <si>
    <t>https://www.datacenterdynamics.com/en/news/nebius-plans-800mw-data-center-campus-in-kansas-city-missouri/</t>
  </si>
  <si>
    <t>https://www.kmbc.com/article/independence-nebius-data-center-construction-electricity-approval-resident-concerns/70082962</t>
  </si>
  <si>
    <t>https://nebius.com/blog/posts/nebius-opens-first-availability-zone-in-us</t>
  </si>
  <si>
    <t>https://www.datacenterdynamics.com/en/news/150bn-in-industrial-development-revenue-bonds-tax-breaks-approved-for-800mw-nebius-data-center-in-missouri/</t>
  </si>
  <si>
    <t>https://www.datacenterdynamics.com/en/news/nebius-breaks-ground-on-400-acre-data-center-campus-in-independence-missouri/</t>
  </si>
  <si>
    <t>Patmos Data Center</t>
  </si>
  <si>
    <t>2500 Little Blue Parkway</t>
  </si>
  <si>
    <t>39.07151</t>
  </si>
  <si>
    <t>-94.32874</t>
  </si>
  <si>
    <t>$107 million</t>
  </si>
  <si>
    <t>https://www.datacenterdynamics.com/en/news/patmos-to-build-new-data-center-in-independence-missouri-as-city-moratorium-discussed/</t>
  </si>
  <si>
    <t>Wildwood Ranch Data Center</t>
  </si>
  <si>
    <t>W 20th St</t>
  </si>
  <si>
    <t>Joplin</t>
  </si>
  <si>
    <t>64804</t>
  </si>
  <si>
    <t>37.06882</t>
  </si>
  <si>
    <t>-94.60008</t>
  </si>
  <si>
    <t>https://www.change.org/p/stop-the-wildwood-ranch-data-center-project-in-joplin-mo</t>
  </si>
  <si>
    <t>https://www.datacenterdynamics.com/en/news/officials-in-joplin-missouri-greenlight-rezoning-request-for-potential-data-center/</t>
  </si>
  <si>
    <t>39.01764</t>
  </si>
  <si>
    <t>-94.5668</t>
  </si>
  <si>
    <t>146</t>
  </si>
  <si>
    <t>Meta Data Kansas City Center</t>
  </si>
  <si>
    <t>1800 NW 128 St</t>
  </si>
  <si>
    <t>64165</t>
  </si>
  <si>
    <t>Platte</t>
  </si>
  <si>
    <t>39.32488</t>
  </si>
  <si>
    <t>-94.6011</t>
  </si>
  <si>
    <t>LEED gold certified, 100% "green" energy</t>
  </si>
  <si>
    <t>https://about.fb.com/news/2025/08/metas-kansas-city-data-center/</t>
  </si>
  <si>
    <t>https://baxtel.com/data-center/meta-kansas-city</t>
  </si>
  <si>
    <t>https://www.datacenterdynamics.com/en/news/meta-acquires-500-more-acres-in-diodes-golden-plains-park-in-kansas-city-missouri/</t>
  </si>
  <si>
    <t>08/21/2025</t>
  </si>
  <si>
    <t xml:space="preserve">Project Kestrel </t>
  </si>
  <si>
    <t>State Rte 92 &amp; N Winan Rd</t>
  </si>
  <si>
    <t>64079</t>
  </si>
  <si>
    <t>39.35368</t>
  </si>
  <si>
    <t>-94.6967</t>
  </si>
  <si>
    <t>$100 billion</t>
  </si>
  <si>
    <t>On-site substation</t>
  </si>
  <si>
    <t>https://www.kshb.com/news/local-news/tech-firm-eyes-development-for-6-data-centers-north-of-kansas-city-international-airport</t>
  </si>
  <si>
    <t>https://fox4kc.com/news/100-billion-data-center-coming-to-kansas-citys-northland/</t>
  </si>
  <si>
    <t>https://www.datacenterdynamics.com/en/news/google-affiliated-company-buys-430-acres-of-land-in-kansas-city-missouri/</t>
  </si>
  <si>
    <t xml:space="preserve">Project Micah </t>
  </si>
  <si>
    <t>NE corner I-435 and Hwy 169/ Rocky Branch Creek Technology Park</t>
  </si>
  <si>
    <t>Clay</t>
  </si>
  <si>
    <t>39.31801</t>
  </si>
  <si>
    <t>-94.5773</t>
  </si>
  <si>
    <t>1,560,000</t>
  </si>
  <si>
    <t>$10 billion in tax breaks</t>
  </si>
  <si>
    <t>https://www.datacenterdynamics.com/en/news/google-files-final-plans-for-rocky-branch-creek-technology-park-in-kansas-city-missouri/</t>
  </si>
  <si>
    <t>https://baxtel.com/data-center/google-project-mica</t>
  </si>
  <si>
    <t>https://www.datacenterdynamics.com/en/news/construction-begins-at-googles-second-data-center-campus-in-kansas-city-missouri/</t>
  </si>
  <si>
    <t>https://www.datacenterdynamics.com/en/news/officials-grant-data-center-project-in-kansas-city-tax-breaks/</t>
  </si>
  <si>
    <t>Revitalization Unlimited Data Center</t>
  </si>
  <si>
    <t>304 W. 10th Street</t>
  </si>
  <si>
    <t>64105</t>
  </si>
  <si>
    <t>39.102562</t>
  </si>
  <si>
    <t>-94.58718</t>
  </si>
  <si>
    <t>142,085</t>
  </si>
  <si>
    <t>https://www.datacenterdynamics.com/en/news/former-newspaper-building-in-kansas-city-eyed-for-20-story-data-center-development/</t>
  </si>
  <si>
    <t>Shenandoah Computing Data Center</t>
  </si>
  <si>
    <t>NE of Parvin Rd and Arlington Ave</t>
  </si>
  <si>
    <t>64161</t>
  </si>
  <si>
    <t>39.17474</t>
  </si>
  <si>
    <t>-94.46181</t>
  </si>
  <si>
    <t>1,435,000</t>
  </si>
  <si>
    <t>Metrobloks data center</t>
  </si>
  <si>
    <t>2515 Old Hughes Rd</t>
  </si>
  <si>
    <t>Liberty</t>
  </si>
  <si>
    <t>64068</t>
  </si>
  <si>
    <t>39.207073</t>
  </si>
  <si>
    <t>-94.45517</t>
  </si>
  <si>
    <t>568,800</t>
  </si>
  <si>
    <t>29</t>
  </si>
  <si>
    <t>$1.4 billion</t>
  </si>
  <si>
    <t>https://www.datacenterdynamics.com/en/news/metrobloks-announces-plans-for-three-building-data-center-campus-in-kansas-city-missouri/</t>
  </si>
  <si>
    <t>Metrobloks/ Lincoln Data Center</t>
  </si>
  <si>
    <t>39.207115</t>
  </si>
  <si>
    <t>-94.45515</t>
  </si>
  <si>
    <t>568,000</t>
  </si>
  <si>
    <t>https://www.datacenterdynamics.com/en/news/lincoln-property-partners-with-data-center-firm-metrobloks-for-kansas-city-data-center/</t>
  </si>
  <si>
    <t>Lumon Solutions Data Center</t>
  </si>
  <si>
    <t>Rifle Range Rd</t>
  </si>
  <si>
    <t>Marshfield</t>
  </si>
  <si>
    <t>65706</t>
  </si>
  <si>
    <t>Webster</t>
  </si>
  <si>
    <t>37.366604</t>
  </si>
  <si>
    <t>-92.883446</t>
  </si>
  <si>
    <t>4800</t>
  </si>
  <si>
    <t>Modular units, 10 by 60 feet</t>
  </si>
  <si>
    <t>https://www.datacenterdynamics.com/en/news/developer-lumon-solutions-backing-data-center-project-in-marshfield-missouri/</t>
  </si>
  <si>
    <t>https://sbj.net/stories/webster-county-data-center,104328</t>
  </si>
  <si>
    <t>Swarm Systems Data Center</t>
  </si>
  <si>
    <t>630 George Rd</t>
  </si>
  <si>
    <t>37.331158</t>
  </si>
  <si>
    <t>-92.921234</t>
  </si>
  <si>
    <t>ReLoad Data Center</t>
  </si>
  <si>
    <t>Southern Nodaway County, possibly off Galaxy Rd</t>
  </si>
  <si>
    <t>Maryville</t>
  </si>
  <si>
    <t>Nodaway</t>
  </si>
  <si>
    <t>40.255207</t>
  </si>
  <si>
    <t>-94.97283</t>
  </si>
  <si>
    <t>ReLoad</t>
  </si>
  <si>
    <t>https://www.change.org/p/stop-the-ai-data-center-from-being-built-in-nodaway-county-and-other-missouri-counties</t>
  </si>
  <si>
    <t>Possbly near White Cloud wind farm. Very vague detail.</t>
  </si>
  <si>
    <t>https://www.maryvilleforum.com/news/commission-4-billion-ai-data-center-likely-to-go-forward/article_cbbfd4f8-aaad-43b8-8f8a-a3a4e6a6d990.html</t>
  </si>
  <si>
    <t>https://www.kxcv.org/news/2026-03-11/with-little-public-notice-data-center-developers-consider-nodaway-county</t>
  </si>
  <si>
    <t>Project Tiger Zou</t>
  </si>
  <si>
    <t>5223 State Hwy AA</t>
  </si>
  <si>
    <t>Moberly</t>
  </si>
  <si>
    <t>65270</t>
  </si>
  <si>
    <t>Randolph</t>
  </si>
  <si>
    <t>39.345898</t>
  </si>
  <si>
    <t>-92.44693</t>
  </si>
  <si>
    <t>Very vague details available</t>
  </si>
  <si>
    <t>https://jeremyhasnoplan.com/notes/missouri-data-center-gold-rush/</t>
  </si>
  <si>
    <t>https://mccmeetingspublic.blob.core.usgovcloudapi.net/moberly-meet-b1f2d06cb1df41dea662239e37259894/ITEM-Attachment-001-129fe376fd124959923d817f5399c4e1.pdf</t>
  </si>
  <si>
    <t xml:space="preserve">Project Green </t>
  </si>
  <si>
    <t>Lands west of Fairview and Ellis Rds</t>
  </si>
  <si>
    <t>New Florence</t>
  </si>
  <si>
    <t>63363</t>
  </si>
  <si>
    <t>38.905663</t>
  </si>
  <si>
    <t>-91.41777</t>
  </si>
  <si>
    <t>NorthPoint Development/Amazon</t>
  </si>
  <si>
    <t>8-24</t>
  </si>
  <si>
    <t>3,740,000</t>
  </si>
  <si>
    <t>Preserve Montgomery County, LLC files law suit</t>
  </si>
  <si>
    <t>https://www.change.org/p/halt-the-construction-of-server-data-farms-threatening-our-rural-landscape/u/33097052</t>
  </si>
  <si>
    <t>Facility size could be 880,000-3,740,000 sq feet</t>
  </si>
  <si>
    <t>https://krcgtv.com/news/local/residents-resist-proposed-amazon-development-data-center-projects-in-montgomery-county</t>
  </si>
  <si>
    <t>https://www.datacenterdynamics.com/en/news/1000-acre-aws-data-center-campus-under-consideration-in-montgomery-county-missouri/</t>
  </si>
  <si>
    <t>https://abc17news.com/news/top-stories/2026/02/17/lawsuit-filed-to-stop-montgomery-county-data-center/</t>
  </si>
  <si>
    <t>https://abc17news.com/news/montgomery/2025/12/03/montgomery-county-approves-land-for-two-large-scale-projects-on-amazon-data-center-campus/</t>
  </si>
  <si>
    <t>https://www.datacenterdynamics.com/en/news/amazon-commits-10bn-to-data-center-campus-in-montgomery-city-missouri/</t>
  </si>
  <si>
    <t>12/13/2025</t>
  </si>
  <si>
    <t xml:space="preserve">Project Spade </t>
  </si>
  <si>
    <t>Old Hwy 19</t>
  </si>
  <si>
    <t>38.8889</t>
  </si>
  <si>
    <t>-91.440025</t>
  </si>
  <si>
    <t>Related Digital/Google</t>
  </si>
  <si>
    <t>3,242,760</t>
  </si>
  <si>
    <t>910</t>
  </si>
  <si>
    <t>https://www.mystandardnews.com/stories/google-named-as-end-user-for-second-montgomery-county-data-center-site,146028</t>
  </si>
  <si>
    <t>BLE Landholdings Data Center</t>
  </si>
  <si>
    <t>684 Phelan Rd</t>
  </si>
  <si>
    <t>Pacific</t>
  </si>
  <si>
    <t>63069</t>
  </si>
  <si>
    <t>38.434536</t>
  </si>
  <si>
    <t>-90.75512</t>
  </si>
  <si>
    <t>490</t>
  </si>
  <si>
    <t>By a 5-4 vote, the commission voted against rezoning the site (also called Crooked Creek) in April 2026</t>
  </si>
  <si>
    <t>https://www.facebook.com/groups/883134924331985/</t>
  </si>
  <si>
    <t>https://www.datacenterdynamics.com/en/news/two-data-center-projects-debated-for-11-hours-at-planning-meeting-in-franklin-county-missouri/</t>
  </si>
  <si>
    <t>https://fox2now.com/news/missouri/split-vote-on-data-center-re-zoning-from-franklin-county-pz/</t>
  </si>
  <si>
    <t>04/03/2026</t>
  </si>
  <si>
    <t>Project Harper</t>
  </si>
  <si>
    <t>Harper Road Technology Park, 203rd St and Harper St</t>
  </si>
  <si>
    <t>Peculiar</t>
  </si>
  <si>
    <t>64012</t>
  </si>
  <si>
    <t>38.74797</t>
  </si>
  <si>
    <t>-94.4821</t>
  </si>
  <si>
    <t>Diode Ventures</t>
  </si>
  <si>
    <t>https://www.datacenterdynamics.com/en/news/peculiar-officials-in-missouri-remove-data-centers-from-ordinance-blocking-15bn-diode-project/</t>
  </si>
  <si>
    <t>Sarcoxie Data Center</t>
  </si>
  <si>
    <t>County Rd 20, near the Liberty Energy Park near Fir Road and County Road 30</t>
  </si>
  <si>
    <t>Sarcoxie</t>
  </si>
  <si>
    <t>64862</t>
  </si>
  <si>
    <t>37.13561</t>
  </si>
  <si>
    <t>-94.09406</t>
  </si>
  <si>
    <t>Say No to Data Centers: Keep Jasper and Lawrence Counties Rural</t>
  </si>
  <si>
    <t>https://www.facebook.com/groups/2348446672336530</t>
  </si>
  <si>
    <t>https://www.koamnewsnow.com/news/top-stories/jasper-county-residents-voice-concerns-over-proposed-data-center-development/article_6faf3e40-f7dd-40d1-ad5e-215025dbd4b5.html</t>
  </si>
  <si>
    <t>https://www.fourstateshomepage.com/news/local/rural-jasper-county-data-center-proposal-sparks-controversy/amp/</t>
  </si>
  <si>
    <t>https://www.yahoo.com/news/articles/minnesota-company-plans-data-center-223100174.html</t>
  </si>
  <si>
    <t>03/26/2026</t>
  </si>
  <si>
    <t>Project Cumulus</t>
  </si>
  <si>
    <t>Elm Point Ave</t>
  </si>
  <si>
    <t>St Charles</t>
  </si>
  <si>
    <t>63301</t>
  </si>
  <si>
    <t>St. Charles</t>
  </si>
  <si>
    <t>38.81535</t>
  </si>
  <si>
    <t>-90.5454</t>
  </si>
  <si>
    <t>440</t>
  </si>
  <si>
    <t>Aug 2025: 1 year moratorium</t>
  </si>
  <si>
    <t>https://www.ksdk.com/article/money/economy/energy/missouri-massive-data-center-st-charles-secretive-power-water-worries-polluted-groundwater-protected-wetland/63-cdae3e73-efab-4c0c-9215-938d064188e3</t>
  </si>
  <si>
    <t>https://www.datacenterdynamics.com/en/news/data-center-in-st-charles-missouri-receives-partial-recommendation-for-approval/</t>
  </si>
  <si>
    <t>https://www.ksdk.com/article/news/local/st-charles-ai-data-center-ban-first-in-nation/63-2c50fbcf-fcad-4b8d-bbcb-3711f6c2d29d</t>
  </si>
  <si>
    <t>St Charles Data Center</t>
  </si>
  <si>
    <t>Hwy 370</t>
  </si>
  <si>
    <t>38.82242</t>
  </si>
  <si>
    <t>-90.5378</t>
  </si>
  <si>
    <t>https://fox2now.com/news/missouri/st-charles-proposed-data-center-sparks-environmental-concerns/</t>
  </si>
  <si>
    <t>STJ Data Center</t>
  </si>
  <si>
    <t>6321 Pickett Rd</t>
  </si>
  <si>
    <t>St Joseph</t>
  </si>
  <si>
    <t>64507</t>
  </si>
  <si>
    <t>Buchanan</t>
  </si>
  <si>
    <t>39.74402</t>
  </si>
  <si>
    <t>-94.75865</t>
  </si>
  <si>
    <t>Includes substation</t>
  </si>
  <si>
    <t>https://www.datacenterdynamics.com/en/news/local-businessman-withdraws-application-for-data-center-in-st-joseph-missouri/</t>
  </si>
  <si>
    <t>https://www.stjosephmo.gov/DocumentCenter/View/21960/Developer-Fact-Sheet</t>
  </si>
  <si>
    <t>1831 Chestnut Condominium Data Center</t>
  </si>
  <si>
    <t>1831 Chestnut St</t>
  </si>
  <si>
    <t>St Louis</t>
  </si>
  <si>
    <t>63103</t>
  </si>
  <si>
    <t>38.630444</t>
  </si>
  <si>
    <t>-90.20682</t>
  </si>
  <si>
    <t>Building for sale, June 2026</t>
  </si>
  <si>
    <t>https://www.datacenterdynamics.com/en/news/340000-sq-ft-data-center-and-office-for-sale-in-downtown-st-louis-missouri/</t>
  </si>
  <si>
    <t xml:space="preserve">Netrality Data Centers St. Louis- 210 North Tucker </t>
  </si>
  <si>
    <t>210 N Tucker Blvd Suite 1030</t>
  </si>
  <si>
    <t>63101</t>
  </si>
  <si>
    <t>38.62937</t>
  </si>
  <si>
    <t>-90.1973</t>
  </si>
  <si>
    <t>https://www.firstalert4.com/2025/09/15/after-st-charles-pressed-pause-city-st-louis-considering-data-center-moratorium/</t>
  </si>
  <si>
    <t>Netrality Data Centers St. Louis - 900 Walnut</t>
  </si>
  <si>
    <t>900 Walnut St</t>
  </si>
  <si>
    <t>63102</t>
  </si>
  <si>
    <t>38.62554</t>
  </si>
  <si>
    <t>-90.1953</t>
  </si>
  <si>
    <t>Tierpoint Data Center</t>
  </si>
  <si>
    <t>3660 Market St</t>
  </si>
  <si>
    <t>63110</t>
  </si>
  <si>
    <t>St Charles County</t>
  </si>
  <si>
    <t>38.63161</t>
  </si>
  <si>
    <t>-90.2377</t>
  </si>
  <si>
    <t>$25 million</t>
  </si>
  <si>
    <t>Adjacent to substation, second data center to be built in Armory parking lot. County moratorium had been in place until recently.</t>
  </si>
  <si>
    <t>https://www.youtube.com/watch?v=wYBBZEKJWlk&amp;ab_channel=FOX2St.Louis</t>
  </si>
  <si>
    <t>TierPoint - St Louis Olive Data Center</t>
  </si>
  <si>
    <t>1111 Olive St</t>
  </si>
  <si>
    <t>38.62968</t>
  </si>
  <si>
    <t>-90.1963</t>
  </si>
  <si>
    <t>Crusoe Data Center</t>
  </si>
  <si>
    <t>unknown</t>
  </si>
  <si>
    <t>Unknown (Northern Callaway Co)</t>
  </si>
  <si>
    <t>Callaway</t>
  </si>
  <si>
    <t>39.012173</t>
  </si>
  <si>
    <t>-91.884415</t>
  </si>
  <si>
    <t>Crusoe</t>
  </si>
  <si>
    <t>https://www.datacenterdynamics.com/en/news/crusoe-could-build-14-acre-data-center-in-unincorporated-missouri-land/</t>
  </si>
  <si>
    <t>Provident Data Center/Gateway Digital Campus</t>
  </si>
  <si>
    <t>near 409 Nova Pl and Robertsville Rd</t>
  </si>
  <si>
    <t>Villa Ridge</t>
  </si>
  <si>
    <t>63089</t>
  </si>
  <si>
    <t>38.480186</t>
  </si>
  <si>
    <t>-90.8453</t>
  </si>
  <si>
    <t>Provident</t>
  </si>
  <si>
    <t>By a 5-4 vote, the commission voted in favor of rezoning the site in April 2026</t>
  </si>
  <si>
    <t>Part of Diamond Farm property</t>
  </si>
  <si>
    <t>https://www.stltoday.com/news/local/government-politics/article_250be47c-fd85-4340-966a-fcfa6c513609.html</t>
  </si>
  <si>
    <t>22151 NW Service Rd</t>
  </si>
  <si>
    <t>Warrenton</t>
  </si>
  <si>
    <t>63383</t>
  </si>
  <si>
    <t>38.82724</t>
  </si>
  <si>
    <t>-91.1765</t>
  </si>
  <si>
    <t>1,610,000</t>
  </si>
  <si>
    <t>340</t>
  </si>
  <si>
    <t>https://www.datacenterdynamics.com/en/news/crusoe-data-center-could-be-built-west-of-st-louis-missouri/</t>
  </si>
  <si>
    <t>AVAIO Digital</t>
  </si>
  <si>
    <t>East Metropolitan Center Business and Industrial Park</t>
  </si>
  <si>
    <t>Brandon</t>
  </si>
  <si>
    <t>MS</t>
  </si>
  <si>
    <t>39042</t>
  </si>
  <si>
    <t>Rankin</t>
  </si>
  <si>
    <t>32.26581</t>
  </si>
  <si>
    <t>-90.015</t>
  </si>
  <si>
    <t>116</t>
  </si>
  <si>
    <t>329</t>
  </si>
  <si>
    <t>https://www.change.org/p/petition-regarding-the-rankin-county-data-center-s-risks-to-the-community</t>
  </si>
  <si>
    <t>https://www.clarionledger.com/story/business/2025/08/19/6-billion-dollar-avaio-digital-data-center-coming-to-brandon-mississippi/85722542007/</t>
  </si>
  <si>
    <t>https://buildingsandsites.com/rankinfirst/Property/Detail/13093/East-Metropolitan-Center</t>
  </si>
  <si>
    <t>https://www.datacenterdynamics.com/en/news/avaio-digital-partners-breaks-ground-on-6bn-data-center-in-mississippi/</t>
  </si>
  <si>
    <t>Amazon Madison Mega Site</t>
  </si>
  <si>
    <t>1600 West Peace St</t>
  </si>
  <si>
    <t>Canton</t>
  </si>
  <si>
    <t>39046</t>
  </si>
  <si>
    <t>32.595337</t>
  </si>
  <si>
    <t>-90.09618</t>
  </si>
  <si>
    <t>341-819</t>
  </si>
  <si>
    <t>https://epoch.ai/data/data-centers/satellite-explorer/AmazonCantonMississippi?ref=404media.co</t>
  </si>
  <si>
    <t>Between E. Tallahachie St and Sunflower River</t>
  </si>
  <si>
    <t>38614</t>
  </si>
  <si>
    <t>Coahoma</t>
  </si>
  <si>
    <t>34.148582</t>
  </si>
  <si>
    <t>-90.541466</t>
  </si>
  <si>
    <t>648</t>
  </si>
  <si>
    <t>https://www.datacenterdynamics.com/en/news/648-acre-data-center-could-be-built-in-clarksdale-mississippi/</t>
  </si>
  <si>
    <t>Amazon Clinton Data Center</t>
  </si>
  <si>
    <t>1001 Industrial Park Dr</t>
  </si>
  <si>
    <t>39056</t>
  </si>
  <si>
    <t>Hinds</t>
  </si>
  <si>
    <t>32.34915</t>
  </si>
  <si>
    <t>-90.36636</t>
  </si>
  <si>
    <t>730,000</t>
  </si>
  <si>
    <t>https://www.datacenterdynamics.com/en/news/aws-likely-behind-plans-for-750m-data-center-in-clinton-mississippi/</t>
  </si>
  <si>
    <t>Project Atlas</t>
  </si>
  <si>
    <t>39110</t>
  </si>
  <si>
    <t>32.49415</t>
  </si>
  <si>
    <t>-90.1675</t>
  </si>
  <si>
    <t>1,000+</t>
  </si>
  <si>
    <t>1700</t>
  </si>
  <si>
    <t>$10-16 billion</t>
  </si>
  <si>
    <t>https://baxtel.com/data-center/aws-madison-county-mega-site-campus</t>
  </si>
  <si>
    <t>https://www.clarionledger.com/story/business/2025/03/07/amazon-web-services-expanding-madison-county-ms-data-center-campus/81914950007/</t>
  </si>
  <si>
    <t>https://www.datacenterdynamics.com/en/news/aws-confirmed-as-company-behind-10bn-mississippi-data-center-development/</t>
  </si>
  <si>
    <t>Amazon Ridgeland</t>
  </si>
  <si>
    <t>west of Highland Colony Pkwy</t>
  </si>
  <si>
    <t>Ridgeland</t>
  </si>
  <si>
    <t>39157</t>
  </si>
  <si>
    <t>32.41277</t>
  </si>
  <si>
    <t>-90.190216</t>
  </si>
  <si>
    <t>https://epoch.ai/data/data-centers/satellite-explorer/AmazonRidgelandMississippi?ref=404media.co</t>
  </si>
  <si>
    <t>https://birdsongconst.com/portfolio/continental-tire/</t>
  </si>
  <si>
    <t xml:space="preserve">xAI </t>
  </si>
  <si>
    <t>2400 Stateline Rd</t>
  </si>
  <si>
    <t>Southaven</t>
  </si>
  <si>
    <t>34.992947</t>
  </si>
  <si>
    <t>-90.03358</t>
  </si>
  <si>
    <t>Safe and Sound Coalition</t>
  </si>
  <si>
    <t>https://actionnetwork.org/groups/safe-and-sound-coalition</t>
  </si>
  <si>
    <t>https://mississippitoday.org/2025/12/31/elon-musk-mississippi-data-center-southaven-memphis/</t>
  </si>
  <si>
    <t>https://mississippitoday.org/2025/11/24/southaven-residents-fear-pollution-complain-of-noise-from-elon-musks-xai-data-center-turbines/</t>
  </si>
  <si>
    <t>04/04/2026</t>
  </si>
  <si>
    <t>Starkville Crypto Mine</t>
  </si>
  <si>
    <t>near 498 Industrial Park Rd</t>
  </si>
  <si>
    <t>Starkville</t>
  </si>
  <si>
    <t>39759</t>
  </si>
  <si>
    <t>Oktibbeha</t>
  </si>
  <si>
    <t>33.43533</t>
  </si>
  <si>
    <t>-88.83601</t>
  </si>
  <si>
    <t>https://www.change.org/p/block-spruill-s-crypto-center</t>
  </si>
  <si>
    <t>https://www.datacenterdynamics.com/en/news/30mw-cryptomine-proposed-in-starkville-mississippi/</t>
  </si>
  <si>
    <t>Project Steamboat</t>
  </si>
  <si>
    <t>Vicksburg</t>
  </si>
  <si>
    <t>32.256226</t>
  </si>
  <si>
    <t>-90.9371</t>
  </si>
  <si>
    <t>$3 billion</t>
  </si>
  <si>
    <t>https://www.datacenterdynamics.com/en/news/amazon-to-build-3bn-data-center-campus-in-vicksburg-mississippi/</t>
  </si>
  <si>
    <t>https://www.vicksburgpost.com/news/community-discussion-on-data-centers-cd545011</t>
  </si>
  <si>
    <t xml:space="preserve"> Krambu Data Center</t>
  </si>
  <si>
    <t>9314 Bonner Mill Rd</t>
  </si>
  <si>
    <t>Bonner</t>
  </si>
  <si>
    <t>MT</t>
  </si>
  <si>
    <t>59823</t>
  </si>
  <si>
    <t>Missoula</t>
  </si>
  <si>
    <t>46.872654</t>
  </si>
  <si>
    <t>-113.86785</t>
  </si>
  <si>
    <t>https://www.change.org/p/reject-permits-for-the-ai-data-center-in-bonner-mt</t>
  </si>
  <si>
    <t>https://www.datacenterdynamics.com/en/news/plans-for-29mw-data-center-in-bonner-montana-dropped/</t>
  </si>
  <si>
    <t>Quantica LLC Big Sky Campus</t>
  </si>
  <si>
    <t xml:space="preserve">Buffalo Trail Rd </t>
  </si>
  <si>
    <t>Broadview</t>
  </si>
  <si>
    <t>59015</t>
  </si>
  <si>
    <t>Yellowstone</t>
  </si>
  <si>
    <t>45.89389</t>
  </si>
  <si>
    <t>-108.88078</t>
  </si>
  <si>
    <t>Meta, Google, Amazon</t>
  </si>
  <si>
    <t>Wind, Solar</t>
  </si>
  <si>
    <t>Northwestern Energy</t>
  </si>
  <si>
    <t>5000</t>
  </si>
  <si>
    <t>Every elected official is under an NDA including the Montana Public Service Commission</t>
  </si>
  <si>
    <t>https://bigskyeconomicdevelopment.org/quantica-infrastructure-introduces-big-sky-digital-infrastructure-as-its-flagship-development-platform-in-montana/</t>
  </si>
  <si>
    <t>https://bigskydigitalinfra.com/</t>
  </si>
  <si>
    <t>https://www.datacenterdynamics.com/en/news/encap-backed-quantica-details-plans-for-1gw-campus-in-montana/</t>
  </si>
  <si>
    <t>Butte Data Center</t>
  </si>
  <si>
    <t>155 W Granite St</t>
  </si>
  <si>
    <t>Butte</t>
  </si>
  <si>
    <t>59701</t>
  </si>
  <si>
    <t>Silver Bow</t>
  </si>
  <si>
    <t>45.99697</t>
  </si>
  <si>
    <t>-112.66617</t>
  </si>
  <si>
    <t>Sabey Data Centers</t>
  </si>
  <si>
    <t>50-250</t>
  </si>
  <si>
    <t>https://meic.org/</t>
  </si>
  <si>
    <t>https://www.change.org/topic/mega-data-centers-en-us, https://www.change.org/p/stop-the-building-of-a-data-center-in-butte-montana</t>
  </si>
  <si>
    <t>Plan to use 30 million gallons of water a year from Silver Lake</t>
  </si>
  <si>
    <t>https://nbcmontana.com/news/local/proposed-butte-data-center-stirs-debate</t>
  </si>
  <si>
    <t>https://www.datacenterdynamics.com/en/news/sabey-backs-out-of-proposal-to-build-data-center-in-butte-montana/</t>
  </si>
  <si>
    <t>12/09/2025</t>
  </si>
  <si>
    <t>TAC Data Centers: Project Cardinal</t>
  </si>
  <si>
    <t>North of Perimeter Rd</t>
  </si>
  <si>
    <t>Great Falls</t>
  </si>
  <si>
    <t>59401</t>
  </si>
  <si>
    <t>47.52962</t>
  </si>
  <si>
    <t>-111.179</t>
  </si>
  <si>
    <t>500-600</t>
  </si>
  <si>
    <t>569</t>
  </si>
  <si>
    <t>$1-1.5 billion</t>
  </si>
  <si>
    <t>https://www.datacenterdynamics.com/en/news/600mw-data-center-campus-proposed-in-montana/</t>
  </si>
  <si>
    <t xml:space="preserve">Krambu </t>
  </si>
  <si>
    <t>59808</t>
  </si>
  <si>
    <t>46.872646</t>
  </si>
  <si>
    <t>-113.86772</t>
  </si>
  <si>
    <t>https://www.datacenterdynamics.com/en/news/developer-krambu-looks-to-build-ai-data-center-in-missoula-county-montana/</t>
  </si>
  <si>
    <t>https://missoulacountyvoice.com/bonner-data-center</t>
  </si>
  <si>
    <t>https://www.kpax.com/news/missoula-county/small-ai-data-center-proposed-for-bonner-mill-industrial-park</t>
  </si>
  <si>
    <t>Quantica Data Center</t>
  </si>
  <si>
    <t>Buffalo Trail Road and Hwy 3</t>
  </si>
  <si>
    <t>Yellowstone County</t>
  </si>
  <si>
    <t>46.04485</t>
  </si>
  <si>
    <t>-108.273</t>
  </si>
  <si>
    <t>https://finance.yahoo.com/news/northwestern-energy-signs-letter-intent-230000474.html</t>
  </si>
  <si>
    <t>https://montanafreepress.org/2025/07/31/northwestern-energy-inks-power-agreement-with-an-ai-data-center-planned-for-yellowstone-county/</t>
  </si>
  <si>
    <t>https://www.datacenterdynamics.com/en/news/encap-backed-quantica-launches-to-offer-powered-land-to-data-centers-in-the-us/</t>
  </si>
  <si>
    <t>100 Technology Dr, STE C</t>
  </si>
  <si>
    <t>Asheville</t>
  </si>
  <si>
    <t>28803</t>
  </si>
  <si>
    <t>Buncombe</t>
  </si>
  <si>
    <t>35.48821</t>
  </si>
  <si>
    <t>-82.5582</t>
  </si>
  <si>
    <t>https://dartpoints.com/locations/north-carolina/</t>
  </si>
  <si>
    <t>CLT10 Data Center</t>
  </si>
  <si>
    <t>113 N Myers St</t>
  </si>
  <si>
    <t>Charlotte</t>
  </si>
  <si>
    <t>28202</t>
  </si>
  <si>
    <t>Mecklenburg</t>
  </si>
  <si>
    <t>35.2219</t>
  </si>
  <si>
    <t>-80.8356</t>
  </si>
  <si>
    <t>29,200</t>
  </si>
  <si>
    <t>https://www.datacenterdynamics.com/en/news/digital-realty-files-to-develop-400mw-data-center-campus-in-charlotte-north-carolina/</t>
  </si>
  <si>
    <t>Digital Reality Charlotte Data Center</t>
  </si>
  <si>
    <t>12899 Moores Chapel Road</t>
  </si>
  <si>
    <t>28214</t>
  </si>
  <si>
    <t>35.255707</t>
  </si>
  <si>
    <t>-80.99796</t>
  </si>
  <si>
    <t>Rezoning approved in May 2025</t>
  </si>
  <si>
    <t>https://www.charlotteobserver.com/news/business/article304542696.html</t>
  </si>
  <si>
    <t>12/02/2025</t>
  </si>
  <si>
    <t>Project Agate</t>
  </si>
  <si>
    <t>100 Northern Dr NW</t>
  </si>
  <si>
    <t>Conover</t>
  </si>
  <si>
    <t>28613</t>
  </si>
  <si>
    <t>Catawba</t>
  </si>
  <si>
    <t>35.73274</t>
  </si>
  <si>
    <t>-81.2088</t>
  </si>
  <si>
    <t>$7.5 million</t>
  </si>
  <si>
    <t>https://www.datacenterdynamics.com/en/news/microsoft-breaks-ground-on-second-data-center-campus-in-north-carolina/</t>
  </si>
  <si>
    <t>Facebook Forest City Data Center</t>
  </si>
  <si>
    <t>480 Social Circle</t>
  </si>
  <si>
    <t>Forest City</t>
  </si>
  <si>
    <t>28043</t>
  </si>
  <si>
    <t>Rutherford</t>
  </si>
  <si>
    <t>35.31632</t>
  </si>
  <si>
    <t>-81.8251</t>
  </si>
  <si>
    <t>Fort Bragg Data Center</t>
  </si>
  <si>
    <t>Fort Bragg</t>
  </si>
  <si>
    <t>28310</t>
  </si>
  <si>
    <t>Cumberland and Harnett</t>
  </si>
  <si>
    <t>35.155334</t>
  </si>
  <si>
    <t>-79.022064</t>
  </si>
  <si>
    <t>https://www.datacenterdynamics.com/en/news/us-dod-details-military-bases-available-for-ai-data-center-build-out/</t>
  </si>
  <si>
    <t>DC Blox: High Point</t>
  </si>
  <si>
    <t>~4156 Sheraton Ct</t>
  </si>
  <si>
    <t>Greensboro</t>
  </si>
  <si>
    <t>27409</t>
  </si>
  <si>
    <t>Guilford</t>
  </si>
  <si>
    <t>36.05276</t>
  </si>
  <si>
    <t>-79.9516</t>
  </si>
  <si>
    <t>54,000</t>
  </si>
  <si>
    <t>https://www.dcblox.com/data-centers/high-point/</t>
  </si>
  <si>
    <t>Amazon Hamlet Data Center</t>
  </si>
  <si>
    <t>1761 Airport Road</t>
  </si>
  <si>
    <t>Hamlet</t>
  </si>
  <si>
    <t>28345</t>
  </si>
  <si>
    <t>34.82899</t>
  </si>
  <si>
    <t>-79.72932</t>
  </si>
  <si>
    <t>672</t>
  </si>
  <si>
    <t xml:space="preserve">672-acre industrial park, includes other facilities. Title V AQ permit currently in process. </t>
  </si>
  <si>
    <t>https://sites.ncrr.com/index.php/property/energy-way-industry-complex/</t>
  </si>
  <si>
    <t>https://www.datacenterdynamics.com/en/news/amazon-breaks-ground-on-10bn-data-center-complex-in-richmond-county-north-carolina/</t>
  </si>
  <si>
    <t>05/11/2026</t>
  </si>
  <si>
    <t>Natelli Investments Data Center</t>
  </si>
  <si>
    <t>US-158 Business, between Pine Meadow Trail and Horseshoe Bend Rd</t>
  </si>
  <si>
    <t>Henderson</t>
  </si>
  <si>
    <t>27537</t>
  </si>
  <si>
    <t>Vance</t>
  </si>
  <si>
    <t>36.30721</t>
  </si>
  <si>
    <t>-78.47415</t>
  </si>
  <si>
    <t>https://www.change.org/p/stop-construction-of-data-center-in-henderson-nc</t>
  </si>
  <si>
    <t>https://www.datacenterdynamics.com/en/news/officials-in-north-carolina-county-give-ok-for-rezoning-potential-data-center-incoming/</t>
  </si>
  <si>
    <t>335 Countryside Rd</t>
  </si>
  <si>
    <t>Kings Mountain</t>
  </si>
  <si>
    <t>28086</t>
  </si>
  <si>
    <t>Cleveland</t>
  </si>
  <si>
    <t>35.25142</t>
  </si>
  <si>
    <t>-81.397</t>
  </si>
  <si>
    <t>Google Lenoir Data Center</t>
  </si>
  <si>
    <t>708 Lynhaven Dr</t>
  </si>
  <si>
    <t>Lenoir</t>
  </si>
  <si>
    <t>28645</t>
  </si>
  <si>
    <t>Caldwell</t>
  </si>
  <si>
    <t>35.89313</t>
  </si>
  <si>
    <t>-81.5461</t>
  </si>
  <si>
    <t>https://www.charlotteobserver.com/news/business/article315041493.html</t>
  </si>
  <si>
    <t>06/01/2026</t>
  </si>
  <si>
    <t>Enovum Data Center</t>
  </si>
  <si>
    <t>805 Island Dr</t>
  </si>
  <si>
    <t>27025</t>
  </si>
  <si>
    <t>Rockingham</t>
  </si>
  <si>
    <t>36.40271</t>
  </si>
  <si>
    <t>-79.9882</t>
  </si>
  <si>
    <t>99-200</t>
  </si>
  <si>
    <t>$45 million</t>
  </si>
  <si>
    <t>https://www.wfmynews2.com/article/news/local/whitefiber-ai-data-center-madison-north-carolina/83-42852391-6c1e-4f7e-bc4d-4cc2173b9edf</t>
  </si>
  <si>
    <t>https://www.datacenterdynamics.com/en/news/bit-digital-acquires-manufacturing-site-in-north-carolina-plans-99mw-data-center/</t>
  </si>
  <si>
    <t>Apple Maiden Data Center</t>
  </si>
  <si>
    <t>5977 Startown Rd</t>
  </si>
  <si>
    <t>Maiden</t>
  </si>
  <si>
    <t>28650</t>
  </si>
  <si>
    <t>35.58726</t>
  </si>
  <si>
    <t>-81.2595</t>
  </si>
  <si>
    <t>Project Yoga</t>
  </si>
  <si>
    <t>1400 Zeb Haynes Rd</t>
  </si>
  <si>
    <t>35.58554</t>
  </si>
  <si>
    <t>-81.2315</t>
  </si>
  <si>
    <t>$3.7 million</t>
  </si>
  <si>
    <t>https://www.datacenterdynamics.com/en/news/microsoft-begins-acquiring-land-in-north-carolina-for-data-centers/</t>
  </si>
  <si>
    <t>Project Accelerate</t>
  </si>
  <si>
    <t>East John St</t>
  </si>
  <si>
    <t>Matthews</t>
  </si>
  <si>
    <t>28105</t>
  </si>
  <si>
    <t>35.10738</t>
  </si>
  <si>
    <t>-80.71056</t>
  </si>
  <si>
    <t>123</t>
  </si>
  <si>
    <t>https://www.datacenterdynamics.com/en/news/project-accelerate-data-center-proposal-withdrawn/</t>
  </si>
  <si>
    <t>Tract Data Center</t>
  </si>
  <si>
    <t>Mooresville Technology Park, Patterson Farm Rd</t>
  </si>
  <si>
    <t>Mooresville</t>
  </si>
  <si>
    <t>28115</t>
  </si>
  <si>
    <t>Iredell</t>
  </si>
  <si>
    <t>35.51575</t>
  </si>
  <si>
    <t>-80.7532</t>
  </si>
  <si>
    <t>$30 billion</t>
  </si>
  <si>
    <t>https://www.datacenterdynamics.com/en/news/tract-plans-400-acre-data-center-park-outside-charlotte-north-carolina/</t>
  </si>
  <si>
    <t>https://www.charlotteobserver.com/sports/nascar-auto-racing/thatsracin/article311633422.html</t>
  </si>
  <si>
    <t>https://www.datacenterdynamics.com/en/news/compass-datacenters-proposes-333-acre-campus-in-statesville-north-carolina/</t>
  </si>
  <si>
    <t>https://www.charlotteobserver.com/sports/nascar-auto-racing/thatsracin/article311691503.html</t>
  </si>
  <si>
    <t xml:space="preserve">Project Pine </t>
  </si>
  <si>
    <t>Tate Blvd</t>
  </si>
  <si>
    <t>near Pringle</t>
  </si>
  <si>
    <t>28602</t>
  </si>
  <si>
    <t>35.71945</t>
  </si>
  <si>
    <t>-81.2758</t>
  </si>
  <si>
    <t>https://www.datacenterdynamics.com/en/news/microsoft-breaks-ground-on-another-north-carolina-data-center/</t>
  </si>
  <si>
    <t>New Hill Digital Campus</t>
  </si>
  <si>
    <t>4308 Shearon Harris Rd</t>
  </si>
  <si>
    <t>New Hill</t>
  </si>
  <si>
    <t>27562</t>
  </si>
  <si>
    <t>Wake</t>
  </si>
  <si>
    <t>35.66446</t>
  </si>
  <si>
    <t>-78.9558</t>
  </si>
  <si>
    <t>Opposed by Protect Wake County Coalition</t>
  </si>
  <si>
    <t>https://indyweek.com/news/wake/developer-files-plans-for-digital-campus-in-western-wake/</t>
  </si>
  <si>
    <t>https://www.newsobserver.com/news/local/counties/wake-county/article311959511.html</t>
  </si>
  <si>
    <t>https://www.newsobserver.com/news/local/counties/wake-county/article311972258.html</t>
  </si>
  <si>
    <t>09/06/2025</t>
  </si>
  <si>
    <t>Old US Hwy 1, adjacent to the Shearon Harris Nuclear Plant</t>
  </si>
  <si>
    <t>35.667305</t>
  </si>
  <si>
    <t>-78.95606</t>
  </si>
  <si>
    <t>89</t>
  </si>
  <si>
    <t>Protect Wake County Coalition</t>
  </si>
  <si>
    <t>https://www.facebook.com/groups/protectwakecountycoalition</t>
  </si>
  <si>
    <t>County moving towards Moratorium, March 2025</t>
  </si>
  <si>
    <t>https://www.datacenterdynamics.com/en/news/developer-withdraws-proposal-for-250mw-data-center-in-apex-north-carolina/</t>
  </si>
  <si>
    <t>Newton Data Center</t>
  </si>
  <si>
    <t>Hickory Lincolnton Hwy</t>
  </si>
  <si>
    <t>28658</t>
  </si>
  <si>
    <t>35.60278</t>
  </si>
  <si>
    <t>-81.3073</t>
  </si>
  <si>
    <t>$6.5 million</t>
  </si>
  <si>
    <t xml:space="preserve">Project Rockforge </t>
  </si>
  <si>
    <t>Stover Court</t>
  </si>
  <si>
    <t>35.62656</t>
  </si>
  <si>
    <t>-81.3118</t>
  </si>
  <si>
    <t>American Tower Edge Data Center</t>
  </si>
  <si>
    <t>6011 Chapel Hill Rd</t>
  </si>
  <si>
    <t>Raleigh</t>
  </si>
  <si>
    <t>27607</t>
  </si>
  <si>
    <t>35.78814</t>
  </si>
  <si>
    <t>-78.7265</t>
  </si>
  <si>
    <t>https://www.americantower.com/us/raleigh-data-center-opening</t>
  </si>
  <si>
    <t>https://www.newsobserver.com/news/business/article306929621.html</t>
  </si>
  <si>
    <t>Apple Reserch Triangle Park Data Center</t>
  </si>
  <si>
    <t>along Little Drive</t>
  </si>
  <si>
    <t>Research Triangle Park</t>
  </si>
  <si>
    <t>27519</t>
  </si>
  <si>
    <t>35.850254</t>
  </si>
  <si>
    <t>-78.87698</t>
  </si>
  <si>
    <t>Apple</t>
  </si>
  <si>
    <t>In June 2024, Apple confirmed it was pausing the project for four years while it negotiated with state officials. Apple granted a 4 year extension on its 2021 grant from the Economic Investment Committee to delay the hiring and investment targets required for its planned corporate campus in Nov 2025</t>
  </si>
  <si>
    <t>https://abc11.com/post/apple-research-triangle-park-north-carolina/10547896/?userab=abc_web_player-460*variant_a_abc_control-1900%2Cotv_web_player-461*variant_a_otv_control-1902&amp;userab=abc_web_player-460*variant_a_abc_control-1900%2Cotv_web_player-461*variant_a_otv_control-1902</t>
  </si>
  <si>
    <t>https://abc11.com/post/apple-given-4-more-years-hiring-investment-goals-east-coast-hub-nc-research-triangle-park/18208496/</t>
  </si>
  <si>
    <t>https://www.iclarified.com/99151/north-carolina-grants-apple-4year-extension-for-delayed-rtp-campus-project</t>
  </si>
  <si>
    <t>Person County Mega Site</t>
  </si>
  <si>
    <t>Edwin Robertson Rd</t>
  </si>
  <si>
    <t>Roxboro</t>
  </si>
  <si>
    <t>27574</t>
  </si>
  <si>
    <t>Person</t>
  </si>
  <si>
    <t>36.479218</t>
  </si>
  <si>
    <t>-78.9898</t>
  </si>
  <si>
    <t>1350</t>
  </si>
  <si>
    <t>https://www.datacenterdynamics.com/en/news/microsoft-to-start-permitting-for-1385-acre-data-center-campus-in-north-carolina/</t>
  </si>
  <si>
    <t>Drox Group Data Center</t>
  </si>
  <si>
    <t>8084 Glade St</t>
  </si>
  <si>
    <t>Rural Hall</t>
  </si>
  <si>
    <t xml:space="preserve">Forsyth </t>
  </si>
  <si>
    <t>36.24073</t>
  </si>
  <si>
    <t>-80.30469</t>
  </si>
  <si>
    <t>129</t>
  </si>
  <si>
    <t>https://www.change.org/p/oppose-the-proposed-data-center-rezoning-in-rural-hall-nc?utm_source=share_petition&amp;utm_medium=mobileNativeShare&amp;utm_campaign=share_petition&amp;recruited_by_id=c47b8510-a5e3-11ea-9eb5-55d5249e13d4&amp;recruiter=1106290968&amp;share_id=mxKTw5fPpr</t>
  </si>
  <si>
    <t>https://www.datacenterdynamics.com/en/news/property-developer-drox-looking-to-build-129-acre-data-center-near-greensboro-north-carolina/</t>
  </si>
  <si>
    <t>Deep River Data AI Data Center</t>
  </si>
  <si>
    <t>Near Lee/ Chatham County Line, south of Rt 421</t>
  </si>
  <si>
    <t>Sanford</t>
  </si>
  <si>
    <t>27330</t>
  </si>
  <si>
    <t>Lee</t>
  </si>
  <si>
    <t>35.53914</t>
  </si>
  <si>
    <t>-79.25537</t>
  </si>
  <si>
    <t>Deep River Data</t>
  </si>
  <si>
    <t>To be powered directly off gas well</t>
  </si>
  <si>
    <t>https://insideclimatenews.org/news/01112025/north-carolina-natural-gas-well-data-center/</t>
  </si>
  <si>
    <t>https://cwfnc.org/nofracklee/</t>
  </si>
  <si>
    <t>Stamey Farm Rd</t>
  </si>
  <si>
    <t>Statesville</t>
  </si>
  <si>
    <t>28677</t>
  </si>
  <si>
    <t>35.77436</t>
  </si>
  <si>
    <t>-80.9749</t>
  </si>
  <si>
    <t>1,340,000</t>
  </si>
  <si>
    <t>333</t>
  </si>
  <si>
    <t>https://www.change.org/p/prevent-data-center-construction-in-iredell-county-residential-agricultural-area</t>
  </si>
  <si>
    <t>40 backup generators per building</t>
  </si>
  <si>
    <t>https://www.iredellfreenews.com/news-features/2025/statesville-planning-department-recommends-approval-of-rezoning-request-for-compass-data-centers-project/</t>
  </si>
  <si>
    <t>https://www.iredellfreenews.com/news-features/2025/breaking-news-statesville-council-unanimously-approves-rezoning-request-for-massive-data-center/</t>
  </si>
  <si>
    <t>https://www.charlotteobserver.com/news/business/development/article311792813.html</t>
  </si>
  <si>
    <t>Kingsboro Data Center Project</t>
  </si>
  <si>
    <t>Kingsboro Business Park between Rocky Mount and Tarboro</t>
  </si>
  <si>
    <t>Tarboro</t>
  </si>
  <si>
    <t>27886</t>
  </si>
  <si>
    <t>Edgecombe</t>
  </si>
  <si>
    <t>35.905323</t>
  </si>
  <si>
    <t>-77.58731</t>
  </si>
  <si>
    <t>AI data center / hyperscale campus</t>
  </si>
  <si>
    <t>Energy Storage Solutions</t>
  </si>
  <si>
    <t>155</t>
  </si>
  <si>
    <t xml:space="preserve">$19.2 billion </t>
  </si>
  <si>
    <t>Buildout by 2028</t>
  </si>
  <si>
    <t>Community meeting held Nov 2025 regarding proposed 900 MW, $19 B Kingsboro AI data center by Energy Storage Solutions. Environmental and utility-rate concerns raised by residents and NC Environmental Justice Network. Local organizing ongoing; county considering sale of Kingsboro Business Park land for project.</t>
  </si>
  <si>
    <t>https://soundrivers.org/ai-data-center-community-meeting-kingsboro/</t>
  </si>
  <si>
    <t>https://www.facebook.com/groups/4550854725145782/</t>
  </si>
  <si>
    <t>https://ncejn.org/updates-on-the-fight-against-data-centers-edgecombe-county/</t>
  </si>
  <si>
    <t>https://www.datacenterknowledge.com/build-design/developer-forges-ahead-with-38b-in-nc-data-center-builds?utm_source=chatgpt.com</t>
  </si>
  <si>
    <t>https://www.wfae.org/energy-environment/2025-12-02/proposed-edgecombe-county-data-center-draws-criticism-during-county-meeting</t>
  </si>
  <si>
    <t>https://www.wunc.org/2025-11-25/opposition-mounts-to-proposed-large-data-center-in-edgecombe-county?utm_source=chatgpt.com</t>
  </si>
  <si>
    <t>https://www.datacenterdynamics.com/en/news/north-carolina-ai-data-center-proposal-withdrawn-as-county-officials-mull-moratorium/</t>
  </si>
  <si>
    <t>Project Delta</t>
  </si>
  <si>
    <t>North and south of Hwy 311</t>
  </si>
  <si>
    <t>Walnut Cove</t>
  </si>
  <si>
    <t>27052</t>
  </si>
  <si>
    <t>Stokes</t>
  </si>
  <si>
    <t>36.324413</t>
  </si>
  <si>
    <t>-80.09938</t>
  </si>
  <si>
    <t>Engineered Land Solutions</t>
  </si>
  <si>
    <t>10-15</t>
  </si>
  <si>
    <t>https://southerncoalition.org/wp-content/uploads/2026/03/2026-03-12-Complaint-and-Exhibits-Hairston-Clan-et-al-v-Stokes-Co.pdf</t>
  </si>
  <si>
    <t>https://cwfnc.org/stokes/</t>
  </si>
  <si>
    <t>https://actionnetwork.org/petitions/no-data-center-in-stokes-county/</t>
  </si>
  <si>
    <t>Rezoning decision voided</t>
  </si>
  <si>
    <t>https://www.datacenterdynamics.com/en/news/officials-in-north-carolina-county-void-data-center-rezoning-amid-legal-challenge/</t>
  </si>
  <si>
    <t>https://www.yahoo.com/news/articles/stokes-county-votes-start-proposed-193733203.html</t>
  </si>
  <si>
    <t>Aurum Capital Ventures</t>
  </si>
  <si>
    <t>E. Main Ave</t>
  </si>
  <si>
    <t>Bismark</t>
  </si>
  <si>
    <t>ND</t>
  </si>
  <si>
    <t>58501</t>
  </si>
  <si>
    <t>Burleigh</t>
  </si>
  <si>
    <t>46.81102</t>
  </si>
  <si>
    <t>-100.721</t>
  </si>
  <si>
    <t>https://www.datacenterdynamics.com/en/news/company-eyes-300-acre-data-center-development-in-bismarck-north-dakota/</t>
  </si>
  <si>
    <t>Applied Digital: Polaris Forge 1</t>
  </si>
  <si>
    <t>9685 87th Ave SE</t>
  </si>
  <si>
    <t>Ellendale</t>
  </si>
  <si>
    <t>58436</t>
  </si>
  <si>
    <t>Dickey</t>
  </si>
  <si>
    <t>46.01259</t>
  </si>
  <si>
    <t>-98.5707</t>
  </si>
  <si>
    <t>400-1,000</t>
  </si>
  <si>
    <t>First of several buildings completed Nov 2025</t>
  </si>
  <si>
    <t>https://www.datacenterdynamics.com/en/news/applied-digital-signs-250mw-agreement-with-coreweave-for-capacity-at-ellendale-campus-north-dakota/</t>
  </si>
  <si>
    <t>https://www.datacenterdynamics.com/en/news/applied-digital-plans-280mw-ai-data-center-campus-in-north-dakota/</t>
  </si>
  <si>
    <t>https://fargoinc.com/applied-digitals-high-performance-compute-expansion-in-north-dakota/</t>
  </si>
  <si>
    <t>https://www.datacenterdynamics.com/en/news/applied-digital-completes-first-data-center-building-at-north-dakota-campus/</t>
  </si>
  <si>
    <t>https://www.datacenterdynamics.com/en/news/applied-digital-completes-second-building-at-north-dakota-data-center-campus/</t>
  </si>
  <si>
    <t>Nixxy-Tachyon 9 Data Center</t>
  </si>
  <si>
    <t>Williams County within the Williston Basin</t>
  </si>
  <si>
    <t>Epping</t>
  </si>
  <si>
    <t>58843</t>
  </si>
  <si>
    <t>48.25607</t>
  </si>
  <si>
    <t>-103.31802</t>
  </si>
  <si>
    <t>Natural gas, Hybrid (onsite and grid)</t>
  </si>
  <si>
    <t>620</t>
  </si>
  <si>
    <t>https://www.datacenterdynamics.com/en/news/nixxy-and-tachyon-9-plan-up-to-1gw-data-center-campus-in-north-dakota/</t>
  </si>
  <si>
    <t>Applied Digital: Polaris Forge 2</t>
  </si>
  <si>
    <t>Cass County, outside Fargo</t>
  </si>
  <si>
    <t>Harwood</t>
  </si>
  <si>
    <t>58102</t>
  </si>
  <si>
    <t>46.97181</t>
  </si>
  <si>
    <t>-96.8542</t>
  </si>
  <si>
    <t>No public comment allowed at public meeting on this project. Fargo announced it planned to stop it's plan to annex the data center in Dec 2025</t>
  </si>
  <si>
    <t>https://www.inforum.com/news/fargo/despite-calls-to-postpone-decision-harwood-greenlights-3-billion-ai-center</t>
  </si>
  <si>
    <t>https://www.inforum.com/news/fargo/construction-begins-on-3-billion-ai-data-center-near-fargo</t>
  </si>
  <si>
    <t>https://www.inforum.com/news/fargo/fargo-withdraws-annexation-attempts-of-3-billion-ai-data-center-near-harwood</t>
  </si>
  <si>
    <t>CoreWeave/ Applied Digital</t>
  </si>
  <si>
    <t>2671 HWY 20 SE</t>
  </si>
  <si>
    <t>Jamestown</t>
  </si>
  <si>
    <t>58401</t>
  </si>
  <si>
    <t>Stutsman</t>
  </si>
  <si>
    <t>47.02708</t>
  </si>
  <si>
    <t>-98.6796</t>
  </si>
  <si>
    <t>01/15/2026</t>
  </si>
  <si>
    <t xml:space="preserve">Atlas Power </t>
  </si>
  <si>
    <t>near 5000-5068 143rd Ave NW</t>
  </si>
  <si>
    <t>Williston</t>
  </si>
  <si>
    <t>58801</t>
  </si>
  <si>
    <t>Williams</t>
  </si>
  <si>
    <t>48.1455</t>
  </si>
  <si>
    <t>-103.77432</t>
  </si>
  <si>
    <t>240-700</t>
  </si>
  <si>
    <t>$1.9 billion</t>
  </si>
  <si>
    <t>Twenty-two residents sued over excessive noise from the facility's cooling fans. The lawsuit seeks damages for the diminution of property value and a court order to force the county to enforce its noise ordinances requiring noise to be contained within the industrial zone. A settlement was reached in June 2025</t>
  </si>
  <si>
    <t>https://www.inforum.com/business/large-scale-crypto-mining-data-center-planned-for-western-north-dakota-oil-patch</t>
  </si>
  <si>
    <t>https://cryptosaurus.tech/williams-co-residents-frustrated-by-no-crackdown-on-crypto-mine-state-says-its-a-local-issue/</t>
  </si>
  <si>
    <t>https://www.kfyrtv.com/2024/03/20/court-hears-arguments-over-atlas-power-data-center-civil-lawsuit/?tbref=hp</t>
  </si>
  <si>
    <t>https://www.kfyrtv.com/2025/06/17/settlement-reached-atlas-power-data-center-civil-lawsuit/</t>
  </si>
  <si>
    <t>04/20/2026</t>
  </si>
  <si>
    <t>Project Fighting Pike</t>
  </si>
  <si>
    <t>56th Street NW and US Highway 2</t>
  </si>
  <si>
    <t>48.221992</t>
  </si>
  <si>
    <t>-103.62824</t>
  </si>
  <si>
    <t>Critical Data House</t>
  </si>
  <si>
    <t>455</t>
  </si>
  <si>
    <t>3,500,000</t>
  </si>
  <si>
    <t>Full build-out by 2035, facility size estimated between 1,900,000 to 3,500,000 sq feet</t>
  </si>
  <si>
    <t>https://www.datacenterdynamics.com/en/news/455mw-data-center-campus-proposed-in-north-dakota/</t>
  </si>
  <si>
    <t>Bellevue Data Center</t>
  </si>
  <si>
    <t>1001 Fort Crook Rd N</t>
  </si>
  <si>
    <t>Bellevue</t>
  </si>
  <si>
    <t>NE</t>
  </si>
  <si>
    <t>68005</t>
  </si>
  <si>
    <t>Sarpy</t>
  </si>
  <si>
    <t>41.17724</t>
  </si>
  <si>
    <t>-95.9248</t>
  </si>
  <si>
    <t>Monolith-Olive Creek Data Center</t>
  </si>
  <si>
    <t>27077 SW 42nd St</t>
  </si>
  <si>
    <t>Hallam</t>
  </si>
  <si>
    <t>68368</t>
  </si>
  <si>
    <t>Lancaster</t>
  </si>
  <si>
    <t>40.547928</t>
  </si>
  <si>
    <t>-96.782265</t>
  </si>
  <si>
    <t>Crusoe?</t>
  </si>
  <si>
    <t>Coal, Grid (unspecified mix)</t>
  </si>
  <si>
    <t>https://www.datacenterdynamics.com/en/news/nebraska-carbon-black-plant-set-to-host-data-center/</t>
  </si>
  <si>
    <t>Sequitor Edge Data Center</t>
  </si>
  <si>
    <t>TechoNE Crossing Technology Park</t>
  </si>
  <si>
    <t>Kearney</t>
  </si>
  <si>
    <t>68847</t>
  </si>
  <si>
    <t>Buffalo</t>
  </si>
  <si>
    <t>40.726894</t>
  </si>
  <si>
    <t>-99.042984</t>
  </si>
  <si>
    <t>https://www.datacenterdynamics.com/en/news/sequitor-edge-to-build-data-center-on-16-acre-land-parcel-in-kearney-nebraska/</t>
  </si>
  <si>
    <t>https://docs.google.com/spreadsheets/d/1v7zjT-c1Az7rPHQkQqd9kSZTf5wcMAKg7NFz317_l6s/edit?pli=1&amp;gid=1159825851#gid=1159825851</t>
  </si>
  <si>
    <t>10917 Harry Watanabe Parkway</t>
  </si>
  <si>
    <t>La Vista</t>
  </si>
  <si>
    <t>68128</t>
  </si>
  <si>
    <t>41.180862</t>
  </si>
  <si>
    <t>-96.08503</t>
  </si>
  <si>
    <t>234,500</t>
  </si>
  <si>
    <t>https://www.datacenterdynamics.com/en/news/h5-acquires-new-york-data-centers-from-yahoo-in-sale-leaseback-deal/</t>
  </si>
  <si>
    <t>11/14/2025</t>
  </si>
  <si>
    <t>Google Lincoln Data Center</t>
  </si>
  <si>
    <t>Near intersection of I-80 and Hwy 77</t>
  </si>
  <si>
    <t>68528</t>
  </si>
  <si>
    <t>40.82278</t>
  </si>
  <si>
    <t>-96.7574</t>
  </si>
  <si>
    <t>https://www.1011now.com/2025/05/05/lincoln-google-data-center-expected-be-service-by-fall/</t>
  </si>
  <si>
    <t>Lincoln Data Centers</t>
  </si>
  <si>
    <t>206 S 13th St Ste 605</t>
  </si>
  <si>
    <t>68508</t>
  </si>
  <si>
    <t>40.81206</t>
  </si>
  <si>
    <t>-96.7024</t>
  </si>
  <si>
    <t>Omaha Data Center</t>
  </si>
  <si>
    <t>West of Hwy 133</t>
  </si>
  <si>
    <t>Omaha</t>
  </si>
  <si>
    <t>68142</t>
  </si>
  <si>
    <t>41.344105</t>
  </si>
  <si>
    <t>-96.09118</t>
  </si>
  <si>
    <t>198-474</t>
  </si>
  <si>
    <t>https://epoch.ai/data/data-centers/satellite-explorer/GoogleOmahaNebraska?ref=404media.co</t>
  </si>
  <si>
    <t>TierPoint Midlands Data Center</t>
  </si>
  <si>
    <t>11425 S 84th St</t>
  </si>
  <si>
    <t>Papillion</t>
  </si>
  <si>
    <t>68046</t>
  </si>
  <si>
    <t>41.13467</t>
  </si>
  <si>
    <t>-96.0391</t>
  </si>
  <si>
    <t>14734 Friend Plz</t>
  </si>
  <si>
    <t>Springfield</t>
  </si>
  <si>
    <t>68059</t>
  </si>
  <si>
    <t>41.11734</t>
  </si>
  <si>
    <t>-96.1425</t>
  </si>
  <si>
    <t>First Light Data Center</t>
  </si>
  <si>
    <t>8 Commerce Dr</t>
  </si>
  <si>
    <t>Bedford</t>
  </si>
  <si>
    <t>NH</t>
  </si>
  <si>
    <t>03110</t>
  </si>
  <si>
    <t>42.928246</t>
  </si>
  <si>
    <t>-71.46393</t>
  </si>
  <si>
    <t>7,250</t>
  </si>
  <si>
    <t>https://www.datacenterdynamics.com/en/news/firstlight-expands-new-hampshire-data-center/</t>
  </si>
  <si>
    <t>Nottingham Data Center</t>
  </si>
  <si>
    <t>145 Old Turnpike Rd</t>
  </si>
  <si>
    <t>Nottingham</t>
  </si>
  <si>
    <t>03290</t>
  </si>
  <si>
    <t>43.17961</t>
  </si>
  <si>
    <t>-71.10022</t>
  </si>
  <si>
    <t>https://www.change.org/p/stop-the-proposed-nottingham-nh-data-center</t>
  </si>
  <si>
    <t>https://www.datacenterdynamics.com/en/news/proposal-for-data-center-in-nottingham-new-hampshire-withdrawn-after-facing-intense-opposition/</t>
  </si>
  <si>
    <t>Comcast Data Center</t>
  </si>
  <si>
    <t>92 W Main St</t>
  </si>
  <si>
    <t>NJ</t>
  </si>
  <si>
    <t>08809</t>
  </si>
  <si>
    <t>Hunterdon</t>
  </si>
  <si>
    <t>40.63284</t>
  </si>
  <si>
    <t>-74.9191</t>
  </si>
  <si>
    <t>2,170</t>
  </si>
  <si>
    <t>https://www.datacenterdynamics.com/en/news/comcast-to-convert-former-bank-into-data-center-in-new-jersey/</t>
  </si>
  <si>
    <t>159 Princeton-Hightstown Rd</t>
  </si>
  <si>
    <t>East Windsor</t>
  </si>
  <si>
    <t>08520</t>
  </si>
  <si>
    <t>40.275524</t>
  </si>
  <si>
    <t>-74.5491</t>
  </si>
  <si>
    <t>Solar, Grid (unspecified mix)</t>
  </si>
  <si>
    <t>553,930</t>
  </si>
  <si>
    <t>194</t>
  </si>
  <si>
    <t>https://www.mobilize.us/fwa/event/928996/</t>
  </si>
  <si>
    <t>https://www.foodandwaterwatch.org/wp-content/uploads/2026/03/RPT2_2602_DataCenterMoratorium.pdf#:~:text=company%20Blackstone%20had%20plans%20to,CMBSs%20deals%20combined%20in%202024.</t>
  </si>
  <si>
    <t>Solar (14.4 MW) and onsite generators, expansion on hold</t>
  </si>
  <si>
    <t>https://q.com/data-centers/east-windsor/</t>
  </si>
  <si>
    <t>https://www.east-windsor.nj.us/news/post/20342/</t>
  </si>
  <si>
    <t>https://www.datacentermap.com/usa/new-jersey/princeton/qts-princeton/</t>
  </si>
  <si>
    <t>https://www.datacenterdynamics.com/en/news/decision-on-qts-planned-expansion-of-data-center-in-east-windsor-new-jersey-postponed/</t>
  </si>
  <si>
    <t>Joint Base McGuire-Dix-Lakehurst</t>
  </si>
  <si>
    <t>3021 McGuire Blvd</t>
  </si>
  <si>
    <t>Fort Dix</t>
  </si>
  <si>
    <t>08641</t>
  </si>
  <si>
    <t>Burlington</t>
  </si>
  <si>
    <t>40.01661</t>
  </si>
  <si>
    <t>-74.608765</t>
  </si>
  <si>
    <t>193</t>
  </si>
  <si>
    <t>2 sites</t>
  </si>
  <si>
    <t>DataVerge</t>
  </si>
  <si>
    <t>111 Town Square Place</t>
  </si>
  <si>
    <t>Jersey City</t>
  </si>
  <si>
    <t>07310</t>
  </si>
  <si>
    <t>40.726536</t>
  </si>
  <si>
    <t>-74.03348</t>
  </si>
  <si>
    <t>https://dataverge.com/interconnected-colocation-new-york/#</t>
  </si>
  <si>
    <t>Tower Gate Project</t>
  </si>
  <si>
    <t>Route 130 and Kinkora Rd</t>
  </si>
  <si>
    <t>Mansfield Twp</t>
  </si>
  <si>
    <t>08505</t>
  </si>
  <si>
    <t>40.118675</t>
  </si>
  <si>
    <t>-74.751205</t>
  </si>
  <si>
    <t>https://www.mansfieldtwp.com/sites/g/files/vyhlif8026/f/news/mayor_statement-3-16-26.pdf</t>
  </si>
  <si>
    <t>650 Centerton Rd</t>
  </si>
  <si>
    <t>Moorestown</t>
  </si>
  <si>
    <t>08057</t>
  </si>
  <si>
    <t>39.98939</t>
  </si>
  <si>
    <t>-74.8896</t>
  </si>
  <si>
    <t>American Tower Data Center</t>
  </si>
  <si>
    <t>114 Mantua Rd</t>
  </si>
  <si>
    <t>Mount Royal</t>
  </si>
  <si>
    <t>8061</t>
  </si>
  <si>
    <t>39.799442</t>
  </si>
  <si>
    <t>-75.19943</t>
  </si>
  <si>
    <t>15,895</t>
  </si>
  <si>
    <t>https://actionnetwork.org/petitions/stop-east-greenwich-data-center</t>
  </si>
  <si>
    <t>https://www.datacenterdynamics.com/en/news/american-tower-withdraws-plans-for-data-center-in-new-jersey/</t>
  </si>
  <si>
    <t>New Brunswick Data Center</t>
  </si>
  <si>
    <t>~100 Jersey Ave</t>
  </si>
  <si>
    <t>New Brunswick</t>
  </si>
  <si>
    <t>08901</t>
  </si>
  <si>
    <t>40.48662</t>
  </si>
  <si>
    <t>-74.45843</t>
  </si>
  <si>
    <t>27,000</t>
  </si>
  <si>
    <t>Climate Revolution NJ</t>
  </si>
  <si>
    <t>https://www.instagram.com/climaterevolutionnj/?utm_source=ig_embed&amp;ig_rid=2c789900-56ad-411d-b731-4bf9a380550f</t>
  </si>
  <si>
    <t>https://www.datacenterdynamics.com/en/news/proposed-data-center-in-new-brunswick-new-jersey-denied-by-local-authorities/</t>
  </si>
  <si>
    <t>248 Stickles Pond Rd</t>
  </si>
  <si>
    <t>07860</t>
  </si>
  <si>
    <t>Sussex</t>
  </si>
  <si>
    <t>41.02557</t>
  </si>
  <si>
    <t>-74.758255</t>
  </si>
  <si>
    <t>650000</t>
  </si>
  <si>
    <t>97</t>
  </si>
  <si>
    <t>Significant local push-back resulted in ban</t>
  </si>
  <si>
    <t>https://www.nj.com/news/2026/05/a-huge-ai-data-center-could-be-coming-to-an-old-nj-airport-but-some-residents-are-fighting-back.html</t>
  </si>
  <si>
    <t>https://www.msn.com/en-us/news/us/town-hall-meeting-erupts-in-cheers-as-plans-for-new-jersey-data-center-are-scrapped/ar-AA24oqHL</t>
  </si>
  <si>
    <t>https://nj1015.com/andover-township-data-center-ban/</t>
  </si>
  <si>
    <t>GI Partners Data Center</t>
  </si>
  <si>
    <t>492 River Rd</t>
  </si>
  <si>
    <t>Nutley</t>
  </si>
  <si>
    <t>07110</t>
  </si>
  <si>
    <t>Essex</t>
  </si>
  <si>
    <t>40.82151</t>
  </si>
  <si>
    <t>-74.1342</t>
  </si>
  <si>
    <t>130,000</t>
  </si>
  <si>
    <t>https://www.datacenterdynamics.com/en/news/gi-partners-acquires-130000-sq-ft-data-center-in-nutley-new-jersey/</t>
  </si>
  <si>
    <t>Prism Capital Partners Data Center</t>
  </si>
  <si>
    <t>Cathedral Ave &amp; Kingsland St</t>
  </si>
  <si>
    <t>40.8294</t>
  </si>
  <si>
    <t>-74.1536</t>
  </si>
  <si>
    <t>https://www.datacenterdynamics.com/en/news/approval-for-major-data-center-development-granted-to-prism-capital-partners-in-nutley-new-jersey/</t>
  </si>
  <si>
    <t>Lincoln and Sheridan Aves</t>
  </si>
  <si>
    <t>Vineland</t>
  </si>
  <si>
    <t>08361</t>
  </si>
  <si>
    <t>Cumberland</t>
  </si>
  <si>
    <t>39.43012</t>
  </si>
  <si>
    <t>-75.0131</t>
  </si>
  <si>
    <t>300-2,000</t>
  </si>
  <si>
    <t>https://www.change.org/p/stop-the-release-of-6-million-loan-for-ai-data-center-in-vineland-nj</t>
  </si>
  <si>
    <t>https://www.msn.com/en-us/money/companies/massive-ai-data-center-with-major-energy-needs-under-construction-in-south-jersey/ar-AA1JwW6r</t>
  </si>
  <si>
    <t>https://www.nj.com/news/2025/07/massive-ai-data-center-with-major-energy-needs-under-construction-in-south-jersey.html</t>
  </si>
  <si>
    <t>https://www.silive.com/nation/2025/07/gigantic-artificial-intelligence-data-site-coming-to-northeast.html</t>
  </si>
  <si>
    <t>https://www.fox29.com/news/residents-say-humming-from-new-ai-data-center-vineland-is-disrupting-daily-life</t>
  </si>
  <si>
    <t>NJFX</t>
  </si>
  <si>
    <t>1410 Wall Church Rd</t>
  </si>
  <si>
    <t>Wall</t>
  </si>
  <si>
    <t>07719</t>
  </si>
  <si>
    <t>Monmouth</t>
  </si>
  <si>
    <t>40.161446</t>
  </si>
  <si>
    <t>-74.05334</t>
  </si>
  <si>
    <t>64,800</t>
  </si>
  <si>
    <t>https://www.datacenterdynamics.com/en/news/njfx-plans-10mw-liquid-cooled-data-hall-in-new-jersey/</t>
  </si>
  <si>
    <t>bigbyte.cc Corp. Data Center</t>
  </si>
  <si>
    <t>123 Central Ave NW</t>
  </si>
  <si>
    <t>Albuquerque</t>
  </si>
  <si>
    <t>NM</t>
  </si>
  <si>
    <t>87102</t>
  </si>
  <si>
    <t>Bernalillo</t>
  </si>
  <si>
    <t>35.08452</t>
  </si>
  <si>
    <t>-106.649</t>
  </si>
  <si>
    <t>08/31/2025</t>
  </si>
  <si>
    <t>Centersquare Albuquerque Data Center</t>
  </si>
  <si>
    <t>400 Tijeras Ave NW</t>
  </si>
  <si>
    <t>35.0862</t>
  </si>
  <si>
    <t>-106.652</t>
  </si>
  <si>
    <t>505 Marquette Ave NW</t>
  </si>
  <si>
    <t>35.08857</t>
  </si>
  <si>
    <t>Hobbs Data Center</t>
  </si>
  <si>
    <t>320 N Shipp St</t>
  </si>
  <si>
    <t>Hobbs</t>
  </si>
  <si>
    <t>88240</t>
  </si>
  <si>
    <t>Lea</t>
  </si>
  <si>
    <t>32.70361</t>
  </si>
  <si>
    <t>-103.137</t>
  </si>
  <si>
    <t>43,000</t>
  </si>
  <si>
    <t>Aerospace Data Facility Southwest</t>
  </si>
  <si>
    <t>12400 NASA Rd</t>
  </si>
  <si>
    <t>Las Cruces</t>
  </si>
  <si>
    <t>88012</t>
  </si>
  <si>
    <t>Doña Ana</t>
  </si>
  <si>
    <t>32.49551</t>
  </si>
  <si>
    <t>-106.614</t>
  </si>
  <si>
    <t>New Era Energy &amp; Digital Data Center</t>
  </si>
  <si>
    <t>Near powerlines and energy sources</t>
  </si>
  <si>
    <t>Lea County</t>
  </si>
  <si>
    <t>32.882626</t>
  </si>
  <si>
    <t>-103.42699</t>
  </si>
  <si>
    <t>7000</t>
  </si>
  <si>
    <t>3500</t>
  </si>
  <si>
    <t>Nuclear power component, land near powerlines and energy sources</t>
  </si>
  <si>
    <t>https://www.datacenterdynamics.com/en/news/new-era-plans-7gw-ai-data-center-in-lea-county-new-mexico-powered-by-gas-and-nuclear/</t>
  </si>
  <si>
    <t>Zenith Volts Data Center</t>
  </si>
  <si>
    <t>Roswell</t>
  </si>
  <si>
    <t>Chaves</t>
  </si>
  <si>
    <t>33.38971</t>
  </si>
  <si>
    <t>-104.536</t>
  </si>
  <si>
    <t>1240</t>
  </si>
  <si>
    <t>https://www.datacenterdynamics.com/en/news/zenith-obtains-planning-approval-for-124gw-data-center-project-in-roswell-new-mexico/</t>
  </si>
  <si>
    <t>Project Jupiter</t>
  </si>
  <si>
    <t>adj to Pete V Domenici Hwy</t>
  </si>
  <si>
    <t>Santa Teresa</t>
  </si>
  <si>
    <t>88008</t>
  </si>
  <si>
    <t>Doña Ana County</t>
  </si>
  <si>
    <t>31.81646</t>
  </si>
  <si>
    <t>-106.678</t>
  </si>
  <si>
    <t>Open AI/Oracle</t>
  </si>
  <si>
    <t>4 - 20</t>
  </si>
  <si>
    <t>$165 billion</t>
  </si>
  <si>
    <t>As of March 2026, Project Jupiter, a proposed $165 billion AI data center complex in Santa Teresa, NM, is facing intense pushback from a coalition of 16 environmental and civil rights organizations. Advocacy centers on the project's potential to strain finite natural resources and its bypassing of state environmental regulations.</t>
  </si>
  <si>
    <t>https://empowernm.org/</t>
  </si>
  <si>
    <t>https://www.facebook.com/groups/IndivisibleLASCRUCES/</t>
  </si>
  <si>
    <t>https://nmelc.org/2026/01/20/nm-orgs-demand-public-transparency-and-access-concerning-project-jupiter-air-quality-permits/</t>
  </si>
  <si>
    <t>10 million gallons of water/ year to cool. Final vote in late September 2025. Residents demand transparency, project passes anyway.</t>
  </si>
  <si>
    <t>https://elpasomatters.org/2025/08/27/dona-ana-billion-dollar-data-center-santa-teresa-el-paso-water-meta/</t>
  </si>
  <si>
    <t>https://elpasomatters.org/2025/09/10/project-jupiter-data-center-santa-teresa-new-mexico-el-paso-texas-water-electricity/</t>
  </si>
  <si>
    <t>https://kfoxtv.com/newsletter-daily/residents-demands-transparency-for-165-billion-santa-teresa-data-center-new-mexico-nm-dona-ana-county-project-jupiter-borderplex-digital</t>
  </si>
  <si>
    <t>https://elpasomatters.org/2025/09/19/project-jupiter-data-center-santa-teresa-approved-dona-ana-commissioners/</t>
  </si>
  <si>
    <t>https://www.bloomberg.com/news/articles/2025-09-19/ai-data-center-gets-approval-for-165-billion-phantom-debt-deal</t>
  </si>
  <si>
    <t>https://elpasomatters.org/2025/09/25/stargate-open-ai-oracle-project-jupiter-data-center-dona-ana-new-mexico-el-paso-texas/</t>
  </si>
  <si>
    <t>https://www.datacenterdynamics.com/en/news/groups-sue-to-stall-data-center-project-in-do%C3%B1a-ana-county-new-mexico/</t>
  </si>
  <si>
    <t>https://www.datacenterdynamics.com/en/news/oracle-revealed-as-tenant-of-project-jupiter-data-center-campus-in-new-mexico/</t>
  </si>
  <si>
    <t>09/26/2025</t>
  </si>
  <si>
    <t>Green Data Center</t>
  </si>
  <si>
    <t>West of Socorro Peak, north of Hwy 60</t>
  </si>
  <si>
    <t>Socorro</t>
  </si>
  <si>
    <t>34.077454</t>
  </si>
  <si>
    <t>-107.02448</t>
  </si>
  <si>
    <t>10000</t>
  </si>
  <si>
    <t>No Data Center in Socorro</t>
  </si>
  <si>
    <t>https://www.facebook.com/groups/467857417314430/posts/2172515400181948/</t>
  </si>
  <si>
    <t>https://www.change.org/p/no-data-center-in-socorro-nm-behind-m-mountain</t>
  </si>
  <si>
    <t>Proposed 10 GW solar to power this</t>
  </si>
  <si>
    <t>https://www.datacenterdynamics.com/en/news/2gw-data-center-could-come-to-socorro-new-mexico/</t>
  </si>
  <si>
    <t>https://www.datacenterdynamics.com/en/news/plans-for-10000-acre-data-center-scrapped-in-socorro-new-mexico//</t>
  </si>
  <si>
    <t xml:space="preserve">Townsite Solar 2 LLC </t>
  </si>
  <si>
    <t>West of US-95, south of I-11</t>
  </si>
  <si>
    <t>Boulder City</t>
  </si>
  <si>
    <t>NV</t>
  </si>
  <si>
    <t>89005</t>
  </si>
  <si>
    <t>35.94159</t>
  </si>
  <si>
    <t>-114.913795</t>
  </si>
  <si>
    <t>Townsite Solar 2 LLC</t>
  </si>
  <si>
    <t>170</t>
  </si>
  <si>
    <t>Solar, Hybrid (onsite and grid)</t>
  </si>
  <si>
    <t>88</t>
  </si>
  <si>
    <t>https://www.change.org/p/no-data-centers-in-boulder-city</t>
  </si>
  <si>
    <t>Moving from municipal site to adjacent BLM land</t>
  </si>
  <si>
    <t>https://www.datacenterdynamics.com/en/news/170mw-data-center-campus-proposed-in-boulder-nevada/</t>
  </si>
  <si>
    <t>https://www.datacenterdynamics.com/en/news/170mw-data-center-project-outside-las-vegas-set-to-move-from-city-owned-to-federal-land/</t>
  </si>
  <si>
    <t>Novva Data Center</t>
  </si>
  <si>
    <t>6115 Nicco Way</t>
  </si>
  <si>
    <t>Las Vegas</t>
  </si>
  <si>
    <t>89115</t>
  </si>
  <si>
    <t>36.2705</t>
  </si>
  <si>
    <t>-115.048</t>
  </si>
  <si>
    <t>275,000</t>
  </si>
  <si>
    <t>https://www.datacenterdynamics.com/en/news/novva-data-centers-buys-205-acres-of-land-in-las-vegas-nevada/</t>
  </si>
  <si>
    <t>Novva Data Center (site 2)</t>
  </si>
  <si>
    <t>I-15 (Apex Industrial Park, North Los Vegas)</t>
  </si>
  <si>
    <t>36.33975</t>
  </si>
  <si>
    <t>-114.943</t>
  </si>
  <si>
    <t>205</t>
  </si>
  <si>
    <t>$181 million</t>
  </si>
  <si>
    <t>Known as the premiere carrier hotel in the world, 60 Hudson Street provides an easy interconnection via undersea cable to the UK, and to the cables from Manasquan and Tuckerton, NY to the EU</t>
  </si>
  <si>
    <t>https://www.cityofnorthlasvegas.com/business/economic-development/apex-industrial-park</t>
  </si>
  <si>
    <t>Switch Data Center</t>
  </si>
  <si>
    <t>near 4746 W Richmar Ave</t>
  </si>
  <si>
    <t>89139</t>
  </si>
  <si>
    <t>36.017166</t>
  </si>
  <si>
    <t>-115.20498</t>
  </si>
  <si>
    <t>54</t>
  </si>
  <si>
    <t>https://www.datacenterdynamics.com/en/news/switch-buys-another-site-outside-las-vegas/</t>
  </si>
  <si>
    <t>Apex Industrial Park, 10020 W Cheyenne Ave</t>
  </si>
  <si>
    <t>89129</t>
  </si>
  <si>
    <t>36.219105</t>
  </si>
  <si>
    <t>-115.3135</t>
  </si>
  <si>
    <t xml:space="preserve">$85.5 million </t>
  </si>
  <si>
    <t>County moving towards Moratorium, March 2026</t>
  </si>
  <si>
    <t>Switch Las Vegas CORE campus</t>
  </si>
  <si>
    <t>7135 S Decatur Blvd</t>
  </si>
  <si>
    <t>89118</t>
  </si>
  <si>
    <t>36.0603</t>
  </si>
  <si>
    <t>-115.21189</t>
  </si>
  <si>
    <t>495</t>
  </si>
  <si>
    <t>https://www.datacenterdynamics.com/en/news/switch-buys-176-acres-at-apex-industrial-park-las-vegas/</t>
  </si>
  <si>
    <t>Jet.AI</t>
  </si>
  <si>
    <t>Curocee Rd</t>
  </si>
  <si>
    <t>Moapa</t>
  </si>
  <si>
    <t>89025</t>
  </si>
  <si>
    <t>36.688816</t>
  </si>
  <si>
    <t>-114.62739</t>
  </si>
  <si>
    <t>Nearby 200 MW battery storage</t>
  </si>
  <si>
    <t>https://www.datacenterdynamics.com/en/news/jetai-cce-form-jv-to-develop-50mw-data-center-in-clark-county-nevada/</t>
  </si>
  <si>
    <t>Centra</t>
  </si>
  <si>
    <t>265 Keystone Ave</t>
  </si>
  <si>
    <t>Reno</t>
  </si>
  <si>
    <t>89503</t>
  </si>
  <si>
    <t>Washoe</t>
  </si>
  <si>
    <t>39.525772</t>
  </si>
  <si>
    <t>-119.82659</t>
  </si>
  <si>
    <t>https://www.datacenterdynamics.com/en/news/centra-breaks-ground-on-second-reno-data-center/</t>
  </si>
  <si>
    <t>Lumen Technologies mini Data Center</t>
  </si>
  <si>
    <t>148 Gardner St</t>
  </si>
  <si>
    <t>39.52402</t>
  </si>
  <si>
    <t>-119.827</t>
  </si>
  <si>
    <t>Very small data center capacity</t>
  </si>
  <si>
    <t>https://www.rgj.com/story/news/government/2025/09/22/reno-planning-commission-approves-existing-minor-data-center/86250213007/</t>
  </si>
  <si>
    <t>9745 N Virginia St</t>
  </si>
  <si>
    <t>89507</t>
  </si>
  <si>
    <t>39.61418</t>
  </si>
  <si>
    <t>-119.877</t>
  </si>
  <si>
    <t>https://www.rgj.com/story/news/government/2025/03/14/north-valleys-data-center-approved-reno-nevada/82372711007/</t>
  </si>
  <si>
    <t>Webb Data Center</t>
  </si>
  <si>
    <t>9805 N Virginia St</t>
  </si>
  <si>
    <t>89506</t>
  </si>
  <si>
    <t>39.61473</t>
  </si>
  <si>
    <t>-119.879</t>
  </si>
  <si>
    <t>82,000</t>
  </si>
  <si>
    <t>https://www.rgj.com/story/news/2025/01/29/reno-council-allows-data-center-despite-environmental-groupblocks/77939893007/</t>
  </si>
  <si>
    <t>USA Parkway</t>
  </si>
  <si>
    <t>Silver Springs</t>
  </si>
  <si>
    <t>89429</t>
  </si>
  <si>
    <t>Storey County</t>
  </si>
  <si>
    <t>39.47083</t>
  </si>
  <si>
    <t>-119.40618</t>
  </si>
  <si>
    <t>Fleet</t>
  </si>
  <si>
    <t>https://www.datacenterdynamics.com/en/news/tract-acquires-8590-acres-in-reno-nevada-for-data-center-park/</t>
  </si>
  <si>
    <t>https://www.tract.com/project/south-valley/</t>
  </si>
  <si>
    <t>https://www.datacenterdynamics.com/en/news/fleet-breaks-ground-on-data-center-outside-reno-nevada/</t>
  </si>
  <si>
    <t>off Alt-95</t>
  </si>
  <si>
    <t>Lyon County</t>
  </si>
  <si>
    <t>39.42805</t>
  </si>
  <si>
    <t>-119.232</t>
  </si>
  <si>
    <t>1060</t>
  </si>
  <si>
    <t>https://www.datacenterdynamics.com/en/news/tract-acquires-1000-acres-in-nevada-for-16gw-data-center-park/</t>
  </si>
  <si>
    <t>09/20/2025</t>
  </si>
  <si>
    <t>21905 Reno Technology Pkwy E</t>
  </si>
  <si>
    <t>Sparks</t>
  </si>
  <si>
    <t>89434</t>
  </si>
  <si>
    <t>39.56298</t>
  </si>
  <si>
    <t>-119.551</t>
  </si>
  <si>
    <t>NV11–NV14 Data Center Campus</t>
  </si>
  <si>
    <t>100 Electric Ave</t>
  </si>
  <si>
    <t>89437</t>
  </si>
  <si>
    <t>Storey</t>
  </si>
  <si>
    <t>39.55287</t>
  </si>
  <si>
    <t>-119.474</t>
  </si>
  <si>
    <t>224</t>
  </si>
  <si>
    <t>137</t>
  </si>
  <si>
    <t>https://www.datacenterdynamics.com/en/news/vantage-announces-224mw-data-center-campus-in-reno-nevada/</t>
  </si>
  <si>
    <t>07/22/2025</t>
  </si>
  <si>
    <t>Peru Ridge/ Peru Shelf Data Centers</t>
  </si>
  <si>
    <t>1995 Peru Dr</t>
  </si>
  <si>
    <t>39.540768</t>
  </si>
  <si>
    <t>-119.49811</t>
  </si>
  <si>
    <t>Tract/ Fleet</t>
  </si>
  <si>
    <t>517</t>
  </si>
  <si>
    <t>https://www.tract.com/project/peru-ridge/</t>
  </si>
  <si>
    <t>06/14/2026</t>
  </si>
  <si>
    <t>South Valley Technology Park Data Center</t>
  </si>
  <si>
    <t>9000 USA Pkwy</t>
  </si>
  <si>
    <t>39.51259</t>
  </si>
  <si>
    <t>-119.435585</t>
  </si>
  <si>
    <t>Tract</t>
  </si>
  <si>
    <t>STAMP Data Center</t>
  </si>
  <si>
    <t>1249 Stamp Dr</t>
  </si>
  <si>
    <t>Alabama</t>
  </si>
  <si>
    <t>NY</t>
  </si>
  <si>
    <t>14013</t>
  </si>
  <si>
    <t>Genesee County</t>
  </si>
  <si>
    <t>43.08677</t>
  </si>
  <si>
    <t>-78.3978</t>
  </si>
  <si>
    <t>Genesee County Economic Development Corporation (GCEDC)/Plug Power/Edwards Vaccum</t>
  </si>
  <si>
    <t>1263</t>
  </si>
  <si>
    <t xml:space="preserve">410 million </t>
  </si>
  <si>
    <t>A public hearing is being held March 19 at 7:00 PM in the town of Alabama on Judge Rd. Public comments being accepted through March 31: https://docs.google.com/document/d/1V9JcpmERQ7EZ5vxm9KiaX6AqYO6XUkpuCELwxKIxHKs/edit?usp=drivesdk</t>
  </si>
  <si>
    <t>https://alliesoftsn.weebly.com/no-data-centers-at-stamp.html</t>
  </si>
  <si>
    <t>https://www.change.org/p/prevent-stamp-from-destroying-vital-wetlands-in-iroquois-nwr-no-data-centers?source_location=topics_page</t>
  </si>
  <si>
    <t>The site plan includes 775 acres of impervious surface cover (ISC) in the form of roads, parking lots, roofs, and other infrastructure acres dedicated to data center)</t>
  </si>
  <si>
    <t>https://www.wxxinews.org/local-news/2025-03-03/stamp-board-to-consider-proposal-for-regions-largest-data-center</t>
  </si>
  <si>
    <t>https://www.datacenterdynamics.com/en/news/jll-to-develop-data-center-on-stamp-site-in-genesee-county-new-york/</t>
  </si>
  <si>
    <t>https://act.nyrenews.org/tell-nysdec-to-take-lead-agency-status-for-project-double-reed</t>
  </si>
  <si>
    <t>https://www.democratandchronicle.com/story/news/2025/09/20/proposed-data-center-in-genesee-county-could-grow-after-approvals-rescinded/86245696007/</t>
  </si>
  <si>
    <t>https://www.thebatavian.com/howard-owens/dozens-of-speakers-tell-gcedc-proposed-data-centers-pose-big-environmental-threat-for</t>
  </si>
  <si>
    <t>https://www.thedailynewsonline.com/news/stream-u-s-submits-seqr-application-for-2-2-million-square-foot-data-center-at/article_c1dc5183-19aa-42ba-ab8b-8808b354bcf7.html</t>
  </si>
  <si>
    <t>https://truthout.org/articles/new-york-residents-are-fighting-a-data-center-backed-by-a-billionaire-trump-ally/</t>
  </si>
  <si>
    <t>https://www.nytimes.com/2026/03/17/nyregion/ai-data-center-new-york.html</t>
  </si>
  <si>
    <t xml:space="preserve">Kenwood Commons </t>
  </si>
  <si>
    <t>100 Kenwood Rd</t>
  </si>
  <si>
    <t>Albany</t>
  </si>
  <si>
    <t>12202</t>
  </si>
  <si>
    <t>42.628124</t>
  </si>
  <si>
    <t>-73.77215</t>
  </si>
  <si>
    <t>Edge</t>
  </si>
  <si>
    <t>https://drive.google.com/file/d/1vVzC512mN4V8rhcgZoehh_pgZ-5OZIwx/view</t>
  </si>
  <si>
    <t>Lake Mariner Data Center</t>
  </si>
  <si>
    <t>7725 Lake Rd</t>
  </si>
  <si>
    <t>Barker</t>
  </si>
  <si>
    <t>14012</t>
  </si>
  <si>
    <t>Niagara</t>
  </si>
  <si>
    <t>43.35908</t>
  </si>
  <si>
    <t>-78.6068</t>
  </si>
  <si>
    <t>TeraWulf/Fluidstack/Google/Core42</t>
  </si>
  <si>
    <t>Includes bitcoin</t>
  </si>
  <si>
    <t>https://investors.terawulf.com/news-events/press-releases/detail/100/terawulf-announces-december-2024-production-and-operations</t>
  </si>
  <si>
    <t>https://www.globenewswire.com/news-release/2025/08/14/3133308/0/en/TeraWulf-Signs-200-MW-10-Year-AI-Hosting-Agreements-with-Fluidstack.html</t>
  </si>
  <si>
    <t>https://www.morningstar.com/news/dow-jones/202508182652/google-lifting-stake-in-terawulf-with-additional-14-billion-backstop</t>
  </si>
  <si>
    <t>https://www.datacenterdynamics.com/en/news/fluidstack-to-lease-another-160mw-of-capacity-from-terawulf-at-new-york-campus-google-to-increase-stake-in-cryptominer/</t>
  </si>
  <si>
    <t>https://www.datacenterdynamics.com/en/news/terawulf-tops-out-latest-data-center-at-lake-mariner-campus-in-new-york/</t>
  </si>
  <si>
    <t>https://www.datacenterdynamics.com/en/news/core42-expands-ai-cluster-by-42mw-in-buffalo-new-york/</t>
  </si>
  <si>
    <t>08/18/2025</t>
  </si>
  <si>
    <t>Camp Monterey Data Center</t>
  </si>
  <si>
    <t>2150 Evergreen Hill Rd</t>
  </si>
  <si>
    <t>Beaver Dams</t>
  </si>
  <si>
    <t>14812</t>
  </si>
  <si>
    <t>Schuyler</t>
  </si>
  <si>
    <t>42.337475</t>
  </si>
  <si>
    <t>-77.019035</t>
  </si>
  <si>
    <t>FLX Gateway</t>
  </si>
  <si>
    <t>Discussed in FOIL'd emails. No actual proposal on the table. Site also discussed as location for small nuclear reactor.</t>
  </si>
  <si>
    <t>https://www.fingerlakes1.com/2026/05/27/foild-emails-fuel-concern-over-possible-data-center-interest-at-former-camp-monterey-site/</t>
  </si>
  <si>
    <t>DataVerge/ Industry City Data Center</t>
  </si>
  <si>
    <t>882 3rd Avenue</t>
  </si>
  <si>
    <t>Brooklyn</t>
  </si>
  <si>
    <t>11232</t>
  </si>
  <si>
    <t>Kings</t>
  </si>
  <si>
    <t>40.65775</t>
  </si>
  <si>
    <t>-74.004974</t>
  </si>
  <si>
    <t>Holtec Decommissioning International Data Center</t>
  </si>
  <si>
    <t>450 Broadway</t>
  </si>
  <si>
    <t>10511</t>
  </si>
  <si>
    <t>Westchester</t>
  </si>
  <si>
    <t>41.265106</t>
  </si>
  <si>
    <t>-73.9493</t>
  </si>
  <si>
    <t>42.86061168</t>
  </si>
  <si>
    <t>https://www.nyiso.com/documents/20142/2226333/2025-Gold-Book-Public.pdf/088438e1-02f1-5316-211b-dbca17c01b4b</t>
  </si>
  <si>
    <t>https://holtecinternational.com/2025/07/31/hh-40-16/</t>
  </si>
  <si>
    <t>H5 Data Centers Buffalo</t>
  </si>
  <si>
    <t xml:space="preserve"> 350 Main Street, 18th/19th Floors, Suite 102</t>
  </si>
  <si>
    <t>14202</t>
  </si>
  <si>
    <t>Erie</t>
  </si>
  <si>
    <t>42.88409</t>
  </si>
  <si>
    <t>-78.875725</t>
  </si>
  <si>
    <t>341,000</t>
  </si>
  <si>
    <t>https://www.datacenters.com/365-bu1-buffalo</t>
  </si>
  <si>
    <t>https://h5datacenters.com/buffalo-III-data-center.html</t>
  </si>
  <si>
    <t>Tesla Dojo Supercomputer</t>
  </si>
  <si>
    <t>1339 South Park Ave</t>
  </si>
  <si>
    <t>14220</t>
  </si>
  <si>
    <t>42.86061</t>
  </si>
  <si>
    <t>-78.84132</t>
  </si>
  <si>
    <t>Would have been for training self-driving cars.</t>
  </si>
  <si>
    <t>https://www.wgrz.com/article/money/business/tesla-halts-dojo-project-buffalo-supercomputing-plans/71-76c01060-0511-4fbd-aac7-284d0d7795aa</t>
  </si>
  <si>
    <t>https://techcrunch.com/2025/09/02/tesla-dojo-the-rise-and-fall-of-elon-musks-ai-supercomputer/</t>
  </si>
  <si>
    <t>Greenidge Generation Yates County facility</t>
  </si>
  <si>
    <t>590 Plant Rd</t>
  </si>
  <si>
    <t>Dresden</t>
  </si>
  <si>
    <t>14441</t>
  </si>
  <si>
    <t>Yates</t>
  </si>
  <si>
    <t>42.67687</t>
  </si>
  <si>
    <t>-76.94491</t>
  </si>
  <si>
    <t>Bitcoin transitioning to AI</t>
  </si>
  <si>
    <t>55</t>
  </si>
  <si>
    <t>https://senecalakeguardian.org/</t>
  </si>
  <si>
    <t>Bitcoin transitioning to AI, with expansion designs to 260 MW</t>
  </si>
  <si>
    <t>https://insideclimatenews.org/news/10052025/new-york-bitcoin-mines-buying-up-power-plants/</t>
  </si>
  <si>
    <t>https://www.nytimes.com/2023/04/09/business/bitcoin-mining-electricity-pollution.html</t>
  </si>
  <si>
    <t>https://www.mytwintiers.com/news-cat/local-news/locals-say-a-dresden-bitcoin-mining-operation-is-ruining-seneca-lake/</t>
  </si>
  <si>
    <t>1701 North St</t>
  </si>
  <si>
    <t>Endicott</t>
  </si>
  <si>
    <t>13760</t>
  </si>
  <si>
    <t>Broome</t>
  </si>
  <si>
    <t>42.104294</t>
  </si>
  <si>
    <t>-76.04444</t>
  </si>
  <si>
    <t>Treetop Development Project</t>
  </si>
  <si>
    <t>near 7 Donovan Dr</t>
  </si>
  <si>
    <t>Hopewell Junction</t>
  </si>
  <si>
    <t>12533</t>
  </si>
  <si>
    <t>Dutchess</t>
  </si>
  <si>
    <t>41.523403</t>
  </si>
  <si>
    <t>-73.81024</t>
  </si>
  <si>
    <t>onovan Drive Holdings LLC</t>
  </si>
  <si>
    <t>https://www.nyiso.com/documents/20142/1407078/NYISO-Interconnection-Queue.xlsx</t>
  </si>
  <si>
    <t>https://www.lohud.com/story/news/local/2026/05/07/this-new-dutchess-county-ny-data-center-project-would-use-as-much-power-as-a-city/89935200007/</t>
  </si>
  <si>
    <t>https://www.timesunion.com/hudsonvalley/news/article/east-fishkill-data-center-plan-sparks-backlash-22270553.php</t>
  </si>
  <si>
    <t>https://www.datacenterdynamics.com/en/news/three-year-data-center-moratorium-passed-in-town-of-east-fishkill-new-york-state-blocking-planned-campus/</t>
  </si>
  <si>
    <t>Former Remington Gun Factory Data Center</t>
  </si>
  <si>
    <t>14 Hoefler Ave</t>
  </si>
  <si>
    <t>Ilion</t>
  </si>
  <si>
    <t>13357</t>
  </si>
  <si>
    <t>Herkimer</t>
  </si>
  <si>
    <t>43.01354</t>
  </si>
  <si>
    <t>-75.033745</t>
  </si>
  <si>
    <t>$2-3 billion</t>
  </si>
  <si>
    <t>https://www.change.org/p/oppose-large-scale-ai-data-center-development-in-the-mohawk-valley</t>
  </si>
  <si>
    <t>Brownfield site</t>
  </si>
  <si>
    <t>https://www.datacenterdynamics.com/en/news/former-remington-gun-factory-in-new-york-set-to-become-200mw-data-center/</t>
  </si>
  <si>
    <t>Lake Hawkeye Data Center</t>
  </si>
  <si>
    <t>Miliken Station Rd</t>
  </si>
  <si>
    <t>14882</t>
  </si>
  <si>
    <t>Tompkins County</t>
  </si>
  <si>
    <t>42.60211</t>
  </si>
  <si>
    <t>-76.635</t>
  </si>
  <si>
    <t>1,360,000</t>
  </si>
  <si>
    <t>183</t>
  </si>
  <si>
    <t>https://www.nodatacenterflx.com/</t>
  </si>
  <si>
    <t>https://actionnetwork.org/petitions/reject-the-development-of-an-ai-data-center-on-cayuga-lake</t>
  </si>
  <si>
    <t>Data center and battery storage, former coal power plant. Up to 1 million plus sq feet. Phase 1 is western 3 buildings, followed by Phase 2, a single larger building east of those 3.</t>
  </si>
  <si>
    <t>https://www.globenewswire.com/news-release/2025/08/14/3133326/0/en/TeraWulf-Secures-Long-Term-Ground-Lease-at-Cayuga-Site-to-Expand-High-Performance-Computing-Infrastructure.html</t>
  </si>
  <si>
    <t>https://www.lansingtownny.gov/sites/default/files/fileattachments/town_board/meeting/3576/m121824.pdf#page=25</t>
  </si>
  <si>
    <t>https://waterfrontonline.blog/2019/05/17/cayuga-power-plant-wants-to-shut-down-convert-to-power-hungry-data-center/</t>
  </si>
  <si>
    <t>https://ithacavoice.org/2025/09/environmentalists-sound-alarm-as-plan-to-convert-cayuga-power-plant-to-data-center-advances/</t>
  </si>
  <si>
    <t>https://tompkinsweekly.com/articles/cayuga-data-campus-lansing/</t>
  </si>
  <si>
    <t>https://ithacavoice.org/2026/01/local-groups-file-suit-against-terawulf-lansing-zoning-board-over-data-center/</t>
  </si>
  <si>
    <t>https://www.ithaca.com/news/lansing/flx-strong-clean-file-lawsuit-against-lansing-zba-terawulf-to-block-data-center/article_97b45f0f-c849-497c-9daa-6040f1f1710b.html</t>
  </si>
  <si>
    <t>5365 Crown Dr and 5319 Enterprise Dr</t>
  </si>
  <si>
    <t>Lockport</t>
  </si>
  <si>
    <t>14094</t>
  </si>
  <si>
    <t>43.169827</t>
  </si>
  <si>
    <t>-78.74797</t>
  </si>
  <si>
    <t>44</t>
  </si>
  <si>
    <t>409,200</t>
  </si>
  <si>
    <t>2 data centers</t>
  </si>
  <si>
    <t>Ranalli Super DC, LLC Data Center</t>
  </si>
  <si>
    <t>Hencle Blvd and Rt 48</t>
  </si>
  <si>
    <t>Lysander</t>
  </si>
  <si>
    <t>13027</t>
  </si>
  <si>
    <t>Onondaga</t>
  </si>
  <si>
    <t>43.18687</t>
  </si>
  <si>
    <t>-76.35703</t>
  </si>
  <si>
    <t>124</t>
  </si>
  <si>
    <t>$4-8 billion</t>
  </si>
  <si>
    <t>https://www.petitions.com/data_center_moratorium_in_lysander_ny</t>
  </si>
  <si>
    <t>energy draw equivalent to 200,000 households. Adjacent to Three Rivers Wildlife Area</t>
  </si>
  <si>
    <t>https://www.syracuse.com/news/2025/11/prominent-syracuse-developer-plans-for-data-center-at-suburban-site-of-scuttled-warehouse.html</t>
  </si>
  <si>
    <t>https://cnycentral.com/news/local/lysander-residents-challenge-potential-data-cen</t>
  </si>
  <si>
    <t>https://www.syracuse.com/news/2026/04/lysander-town-board-moves-forward-on-data-center-moratorium-as-massive-project-looms.html</t>
  </si>
  <si>
    <t>04/26/2026</t>
  </si>
  <si>
    <t>Former Sears Data Center</t>
  </si>
  <si>
    <t>6100 St Lawrence Centre SR 37</t>
  </si>
  <si>
    <t>Massena</t>
  </si>
  <si>
    <t>13662</t>
  </si>
  <si>
    <t>St. Lawrence</t>
  </si>
  <si>
    <t>44.948536</t>
  </si>
  <si>
    <t>-74.84243</t>
  </si>
  <si>
    <t>Potential bitcoin or data center in 2020</t>
  </si>
  <si>
    <t>https://www.datacenterdynamics.com/en/news/st-lawrence-county-planning-board-approves-conversion-sears-store-data-center/</t>
  </si>
  <si>
    <t>https://www.govtech.com/policy/upstate-new-york-planning-board-converts-sears-to-data-center.html</t>
  </si>
  <si>
    <t>https://finance.yahoo.com/news/former-massena-mall-now-industrial-035900751.html</t>
  </si>
  <si>
    <t>New York State Artificial Intelligence Data Center</t>
  </si>
  <si>
    <t>Rt 42 and Horton Rd</t>
  </si>
  <si>
    <t>44.95557</t>
  </si>
  <si>
    <t>-74.853615</t>
  </si>
  <si>
    <t>https://www.interconnection.fyi/project/nyiso-1719</t>
  </si>
  <si>
    <t>North Country Data Center</t>
  </si>
  <si>
    <t>1814 State Hwy 131</t>
  </si>
  <si>
    <t>44.961773</t>
  </si>
  <si>
    <t>-74.8913</t>
  </si>
  <si>
    <t>400,000 - 1.5 million</t>
  </si>
  <si>
    <t>former Alcoa plant</t>
  </si>
  <si>
    <t>https://northcountrynow.com/stories/north-country-data-centers-future-thwarted-by-proposed-regulations,236005</t>
  </si>
  <si>
    <t>https://www.datacenterdynamics.com/en/news/nydig-looks-to-expand-data-center-at-massena-site-new-york/</t>
  </si>
  <si>
    <t>St Lawrence Data and Agricultural Center</t>
  </si>
  <si>
    <t>417 County Route 42</t>
  </si>
  <si>
    <t>44.954838</t>
  </si>
  <si>
    <t>-74.84906</t>
  </si>
  <si>
    <t>Petawatt Holdings</t>
  </si>
  <si>
    <t>https://www.yahoo.com/news/land-clearing-underway-massena-data-045900706.html</t>
  </si>
  <si>
    <t>LGA1</t>
  </si>
  <si>
    <t>60 Hudson Street Suite #1903</t>
  </si>
  <si>
    <t>New York</t>
  </si>
  <si>
    <t>10013</t>
  </si>
  <si>
    <t>40.717728</t>
  </si>
  <si>
    <t>-74.00832</t>
  </si>
  <si>
    <t>0.74</t>
  </si>
  <si>
    <t>23,940</t>
  </si>
  <si>
    <t>2024</t>
  </si>
  <si>
    <t>https://www.databank.com/data-centers/new-york-city/</t>
  </si>
  <si>
    <t>LGA2</t>
  </si>
  <si>
    <t>111 8th Avenue</t>
  </si>
  <si>
    <t>10011</t>
  </si>
  <si>
    <t>40.740993</t>
  </si>
  <si>
    <t>-74.00215</t>
  </si>
  <si>
    <t>0.68</t>
  </si>
  <si>
    <t>Oxford Quantum Circuits Data Center</t>
  </si>
  <si>
    <t>40.74102</t>
  </si>
  <si>
    <t>-74.0021</t>
  </si>
  <si>
    <t>https://www.datacenterdynamics.com/en/news/oxford-quantum-circuits-deploys-quantum-computer-at-quantum-ai-data-center-in-new-york-city/</t>
  </si>
  <si>
    <t>Telehouse: Chelsea</t>
  </si>
  <si>
    <t>85 10th Ave</t>
  </si>
  <si>
    <t>40.743084</t>
  </si>
  <si>
    <t>-74.007866</t>
  </si>
  <si>
    <t>63,500</t>
  </si>
  <si>
    <t>9Lives Data Center</t>
  </si>
  <si>
    <t>3807 Highland Ave</t>
  </si>
  <si>
    <t>Niagara Falls</t>
  </si>
  <si>
    <t>14305</t>
  </si>
  <si>
    <t>43.12389</t>
  </si>
  <si>
    <t>-79.04118</t>
  </si>
  <si>
    <t>https://www.datacenterdynamics.com/en/news/9ldg-plans-ai-data-center-at-niagara-falls</t>
  </si>
  <si>
    <t>01/14/2026</t>
  </si>
  <si>
    <t>BlockFusion aka North East Data Center LLC</t>
  </si>
  <si>
    <t>5380 Frontier Ave.</t>
  </si>
  <si>
    <t>14304</t>
  </si>
  <si>
    <t>43.083187</t>
  </si>
  <si>
    <t>-79.00317</t>
  </si>
  <si>
    <t>50+</t>
  </si>
  <si>
    <t>https://finance.yahoo.com/news/blockfusion-wins-approval-reopen-bitcoin-035900770.html</t>
  </si>
  <si>
    <t>https://cms3.revize.com/revize/repository/niagarafallsny/Documents/Government/Department/Planning%20And%20Environmental/Block%20Fusion%20FEIS/Final%20Environmental%20Impact%20Statement_7.17.25(12819203.1).pdf?908</t>
  </si>
  <si>
    <t>11/17/2025</t>
  </si>
  <si>
    <t>Niagara Digital Campus</t>
  </si>
  <si>
    <t>Rainbow Blvd &amp; John B Daly Blvds</t>
  </si>
  <si>
    <t>14303</t>
  </si>
  <si>
    <t>43.084515</t>
  </si>
  <si>
    <t>-79.05135</t>
  </si>
  <si>
    <t>140</t>
  </si>
  <si>
    <t>53</t>
  </si>
  <si>
    <t>https://cms3.revize.com/revize/niagarafallsny/Documents/Government/Department/Planning%20And%20Environmental/PUD%20PETITION_FULL_5.14.2025.pdf</t>
  </si>
  <si>
    <t>https://finance.yahoo.com/news/nfr-submits-proposed-plans-data-035900195.html</t>
  </si>
  <si>
    <t>https://www.datacentermap.com/usa/new-york/buffalo/niagara-digital-campus/</t>
  </si>
  <si>
    <t>https://www.wgrz.com/article/news/local/niagara-falls-city-council-approves-settlement-with-nfr-new-data-center-to-move-forward/71-6ea0cd08-f43a-4ebc-9628-2700cef83f6c</t>
  </si>
  <si>
    <t>North Tonawanda Data Center</t>
  </si>
  <si>
    <t>1070 Erie Ave</t>
  </si>
  <si>
    <t>North Tonawanda</t>
  </si>
  <si>
    <t>14120</t>
  </si>
  <si>
    <t>43.06086</t>
  </si>
  <si>
    <t>-78.85376</t>
  </si>
  <si>
    <t>https://www.cacwny.org/campaigns/north-tonawanda/</t>
  </si>
  <si>
    <t>https://actionnetwork.org/petitions/north-tonawanda-common-council-regulate-cryptocurrency-mining?nowrapper=true&amp;referrer=&amp;source=</t>
  </si>
  <si>
    <t>Bitcoin, currently local moratorium against expansion</t>
  </si>
  <si>
    <t>https://www.wgrz.com/article/news/local/digihost-crypto-mining-facility-fortistar-power-plant-money-business/71-9fbc4c21-8f47-4cf4-951e-32513d3090a9</t>
  </si>
  <si>
    <t>https://buffalonews.com/news/local/article_6fb79889-7e52-49e3-9016-7b91fed9b05b.html</t>
  </si>
  <si>
    <t>Oneonta Data Center</t>
  </si>
  <si>
    <t>357 County Highway 9</t>
  </si>
  <si>
    <t>Oneonta</t>
  </si>
  <si>
    <t>13820</t>
  </si>
  <si>
    <t>Otsego</t>
  </si>
  <si>
    <t>42.45303</t>
  </si>
  <si>
    <t>-75.1168</t>
  </si>
  <si>
    <t>Residents have organized through town hall attendance and social media, citing concerns that the "green" branding is a "Trojan horse" for high-noise industrial operations.</t>
  </si>
  <si>
    <t>https://www.facebook.com/groups/143492322411081/posts/25299508549716111/</t>
  </si>
  <si>
    <t>https://www.facebook.com/otsego2000/posts/the-eco-yotta-proposal-for-the-town-of-oneonta-was-never-about-farming-and-hydro/1149697390645539/</t>
  </si>
  <si>
    <t>Excess heat to warm a greenhouse on-site</t>
  </si>
  <si>
    <t>https://www.allotsego.com/residents-oppose-data-center-proposal-in-heated-board-meeting/</t>
  </si>
  <si>
    <t>Bloomberg-RDC 8/ Sentinel NY-1</t>
  </si>
  <si>
    <t>155 Corporate Dr</t>
  </si>
  <si>
    <t>Orangeburg</t>
  </si>
  <si>
    <t>10962</t>
  </si>
  <si>
    <t>Rockland</t>
  </si>
  <si>
    <t>41.03556</t>
  </si>
  <si>
    <t>-73.9866</t>
  </si>
  <si>
    <t>https://russodevelopment.com/property/rdc-purpose-built-data-center/</t>
  </si>
  <si>
    <t>https://baxtel.com/data-center/bloomberg-orangetown</t>
  </si>
  <si>
    <t>DataBank LGA3 and LGA4</t>
  </si>
  <si>
    <t>2000 Corporate Dr</t>
  </si>
  <si>
    <t>41.03986</t>
  </si>
  <si>
    <t>-73.9899</t>
  </si>
  <si>
    <t>2025</t>
  </si>
  <si>
    <t>https://www.databank.com/data-centers/new-york-city/orangeburg-campus/lga3/</t>
  </si>
  <si>
    <t>https://www.datacenterdynamics.com/en/news/databank-launches-20mw-data-center-in-orangeburg-new-york/</t>
  </si>
  <si>
    <t>Orangeburg Data Center</t>
  </si>
  <si>
    <t>1 Ramland Rd</t>
  </si>
  <si>
    <t>41.0345</t>
  </si>
  <si>
    <t>-73.9758</t>
  </si>
  <si>
    <t>232,000</t>
  </si>
  <si>
    <t>IBM Data Center</t>
  </si>
  <si>
    <t>2455 South Road (Route 9)</t>
  </si>
  <si>
    <t>Poughkeepsie</t>
  </si>
  <si>
    <t>12601</t>
  </si>
  <si>
    <t>41.660404</t>
  </si>
  <si>
    <t>-73.93994</t>
  </si>
  <si>
    <t>3,600,000</t>
  </si>
  <si>
    <t>https://newsroom.ibm.com/2024-09-26-ibm-expands-quantum-data-center-in-poughkeepsie,-new-york-to-advance-algorithm-discovery-globally</t>
  </si>
  <si>
    <t>Telehouse: Teleport</t>
  </si>
  <si>
    <t>7 Teleport Dr</t>
  </si>
  <si>
    <t>Staten Island</t>
  </si>
  <si>
    <t>10311</t>
  </si>
  <si>
    <t>40.60713</t>
  </si>
  <si>
    <t>-74.174934</t>
  </si>
  <si>
    <t>162,000</t>
  </si>
  <si>
    <t>Riverview Innovation &amp; Technology Campus</t>
  </si>
  <si>
    <t>3800-3875 River Rd</t>
  </si>
  <si>
    <t>Tonawanda</t>
  </si>
  <si>
    <t>14150</t>
  </si>
  <si>
    <t>42.978775</t>
  </si>
  <si>
    <t>-78.93396</t>
  </si>
  <si>
    <t>https://www.cacwny.org/2024/10/we-want-renewable-power-generation-not-data-centers-at-tonawanda-coke/</t>
  </si>
  <si>
    <t>https://www.wgrz.com/article/news/local/data-center-proposed-for-tonawanda-coke-site-now-on-hold/71-eea5beb5-20cd-41e8-ab68-af42f7507770</t>
  </si>
  <si>
    <t>Site developer is a subsidiary of Ontario Speciality Consulting, a WNY-centric brownfield developer with a mixed portfolio of commercial and industrial projects. Owner, Jon Williams, has very close ties to cryptomining companies, including US Bitcon and Digihost Technologies</t>
  </si>
  <si>
    <t>http://www.riverviewtechcampus.com/</t>
  </si>
  <si>
    <t>https://www.datacenterdynamics.com/en/news/developer-buys-new-york-coal-plant-data-center-project/</t>
  </si>
  <si>
    <t>https://archive.ph/Y2kcW</t>
  </si>
  <si>
    <t>03/27/2026</t>
  </si>
  <si>
    <t>Brookhaven Logistics Center</t>
  </si>
  <si>
    <t>1001 Expressway Dr N</t>
  </si>
  <si>
    <t>Yaphank</t>
  </si>
  <si>
    <t>11980</t>
  </si>
  <si>
    <t>40.82991</t>
  </si>
  <si>
    <t>-72.94618</t>
  </si>
  <si>
    <t>https://www.newsday.com/long-island/computer-data-center-warehouse-yaphank-hfdnl8i8</t>
  </si>
  <si>
    <t>Aberdeen Data Center</t>
  </si>
  <si>
    <t>Former Dayton Power and Light Stuart landfill, 745 US-52</t>
  </si>
  <si>
    <t>Aberdeen</t>
  </si>
  <si>
    <t>OH</t>
  </si>
  <si>
    <t>45101</t>
  </si>
  <si>
    <t>Adams</t>
  </si>
  <si>
    <t>38.638145</t>
  </si>
  <si>
    <t>-83.69277</t>
  </si>
  <si>
    <t>400-1100</t>
  </si>
  <si>
    <t>Could reach 11.4 million megawatt hours annually by 2032, 31 times Adams County’s 2025 consumption of 366</t>
  </si>
  <si>
    <t>https://www.datacenterdynamics.com/en/news/new-data-center-construction-confirmed-in-adams-county-ohio/</t>
  </si>
  <si>
    <t>https://www.pjm.com/-/media/DotCom/committees-groups/committees/teac/2026/20260203/20260203-item-06---dayton-supplemental-projects.pdf</t>
  </si>
  <si>
    <t>Viking Data Centers</t>
  </si>
  <si>
    <t>428 Seiberling St</t>
  </si>
  <si>
    <t xml:space="preserve">Akron </t>
  </si>
  <si>
    <t>44306</t>
  </si>
  <si>
    <t>Summit</t>
  </si>
  <si>
    <t>41.050426</t>
  </si>
  <si>
    <t>-81.4743</t>
  </si>
  <si>
    <t>Crypto and AI</t>
  </si>
  <si>
    <t>150-400</t>
  </si>
  <si>
    <t>380,000</t>
  </si>
  <si>
    <t>Substation on property</t>
  </si>
  <si>
    <t>https://www.vikingdata.io/</t>
  </si>
  <si>
    <t>03/25/2026</t>
  </si>
  <si>
    <t>EdgeConneX Ashville Data Center</t>
  </si>
  <si>
    <t>Btwn Rt 752 and Weigand Rd</t>
  </si>
  <si>
    <t>Ashville</t>
  </si>
  <si>
    <t>43103</t>
  </si>
  <si>
    <t>Pickaway</t>
  </si>
  <si>
    <t>39.733818</t>
  </si>
  <si>
    <t>-82.97449</t>
  </si>
  <si>
    <t>https://abc6onyourside.com/news/local/ashville-ohio-residents-push-back-against-proposed-edgeconnex-project-data-center-at-packed-council-meeting</t>
  </si>
  <si>
    <t>Land annexation voted down, 4-2, site restricted to 200 acres. Site plan included 1.8GW substation and dedicated gas plant</t>
  </si>
  <si>
    <t>https://www.datacenterdynamics.com/en/news/proposed-edgeconnex-data-center-in-pickaway-county-ohio-facing-criticism/</t>
  </si>
  <si>
    <t>https://www.datacenterdynamics.com/en/news/local-authorities-in-ashville-ohio-deny-annexation-request-for-data-center-project/</t>
  </si>
  <si>
    <t>https://www.sciotopost.com/ashville-council-rejects-data-center-annexation-emphasizes-regional-cooperation-and-updated-ceda-agreement/</t>
  </si>
  <si>
    <t>Project Triton</t>
  </si>
  <si>
    <t>3700 Limestone Dr</t>
  </si>
  <si>
    <t>Barberton</t>
  </si>
  <si>
    <t>44203</t>
  </si>
  <si>
    <t>41.014168</t>
  </si>
  <si>
    <t>-81.6502</t>
  </si>
  <si>
    <t>485,000</t>
  </si>
  <si>
    <t>90</t>
  </si>
  <si>
    <t>https://www.change.org/p/stop-construction-of-project-triton-in-norton-and-barberton-residential-areas</t>
  </si>
  <si>
    <t>6 on-site natural gas turbines proposed</t>
  </si>
  <si>
    <t>https://www.wkyc.com/article/news/local/summit-county/norton-residents-push-back-proposed-data-center-quantum-hpc/95-bded910f-b3ba-496f-8a62-f41b5a0506c0</t>
  </si>
  <si>
    <t>https://www.qhpcnorton.com/</t>
  </si>
  <si>
    <t>https://www.beaconjournal.com/story/news/2025/10/13/norton-to-host-meeting-to-discuss-proposed-data-center-at-mine-site/86585723007/</t>
  </si>
  <si>
    <t>https://cityofnorton.org/DocumentCenter/View/4031/Data-Center-Background-Information23985548_1</t>
  </si>
  <si>
    <t>https://www.cityofnorton.org/DocumentCenter/View/4025/Triton-400132701-Site-Plan-2025-10-0923967014_1</t>
  </si>
  <si>
    <t>Meta Bowling Green Data Center/ Project Accordion</t>
  </si>
  <si>
    <t>20750 Midstar Dr</t>
  </si>
  <si>
    <t>Bowling Green</t>
  </si>
  <si>
    <t>43402</t>
  </si>
  <si>
    <t>Wood</t>
  </si>
  <si>
    <t>41.45447</t>
  </si>
  <si>
    <t>-83.6489</t>
  </si>
  <si>
    <t>514</t>
  </si>
  <si>
    <t>Yes - Apollo Generating Station</t>
  </si>
  <si>
    <t>Officials knew of the Meta plan as “Project Accordion” for more than a year before it was officially announced</t>
  </si>
  <si>
    <t xml:space="preserve">Apollo Generating Station being built to supply this data center, which is a 350 megawatt (MW) natural gas fired electric generation facility. Two 16 inch gas pipelines will feed plant. Nearby land rezoning of 112 acres canceled (possible additional data center?) but rest of Meta project still on track. </t>
  </si>
  <si>
    <t>https://datacenters.atmeta.com/2025/04/hello-bowling-green/</t>
  </si>
  <si>
    <t>https://www.datacenterdynamics.com/en/news/meta-to-develop-data-center-campus-outside-toledo-ohio/</t>
  </si>
  <si>
    <t>https://web.archive.org/web/20250910163909/https://www.toledoblade.com/local/suburbs/2025/09/09/rezoning-request-around-middleton-twp-data-center-withdrawn/stories/20250909109</t>
  </si>
  <si>
    <t>https://bgindependentmedia.org/power-plant-for-meta-data-center-in-wood-county-fast-tracked-approved-with-no-public-hearings/</t>
  </si>
  <si>
    <t>https://opsb.ohio.gov/news/opsb-authorizes-construction-of-wood-county-power-plant</t>
  </si>
  <si>
    <t>https://www.constructionowners.com/news/ohio-data-center-gas-plant-sparks-backlash</t>
  </si>
  <si>
    <t>https://oilandgaswatch.org/facility/rec_d5eiru1uih89upkga2qg</t>
  </si>
  <si>
    <t>https://bgindependentmedia.org/meta-data-center-how-it-went-from-economic-development-coup-to-project-local-residents-rue/</t>
  </si>
  <si>
    <t>09/10/2025</t>
  </si>
  <si>
    <t>Canton Data Center</t>
  </si>
  <si>
    <t>4726 Hills and Dales Rd NW</t>
  </si>
  <si>
    <t>44708</t>
  </si>
  <si>
    <t>Stark</t>
  </si>
  <si>
    <t>40.8489</t>
  </si>
  <si>
    <t>-81.4408</t>
  </si>
  <si>
    <t>Colocation data center</t>
  </si>
  <si>
    <t>Ark Data Centers</t>
  </si>
  <si>
    <t>29,960</t>
  </si>
  <si>
    <t>https://www.change.org/p/abolish-the-data-center-in-fulton-county-illinois</t>
  </si>
  <si>
    <t>https://www.datacenterdynamics.com/en/news/carter-validus-mission-critical-reit-ii-acquires-canton-data-center-94-million/?utm_source=chatgpt.com</t>
  </si>
  <si>
    <t>https://www.datacenterdynamics.com/en/news/involta-acquires-securedata-365-takes-over-data-center-in-canton-ohio/</t>
  </si>
  <si>
    <t>302 W. Third St.</t>
  </si>
  <si>
    <t>Cincinnati</t>
  </si>
  <si>
    <t>45202</t>
  </si>
  <si>
    <t>39.09831</t>
  </si>
  <si>
    <t>-84.5179</t>
  </si>
  <si>
    <t>https://local12.com/news/local/texas-company-expand-downtown-cincinnati-data-center-following-250-million-dollars-infusion-dartpoints-hpc-megawatts</t>
  </si>
  <si>
    <t>925 Dalton Avenue</t>
  </si>
  <si>
    <t>45203</t>
  </si>
  <si>
    <t>39.10586</t>
  </si>
  <si>
    <t>-84.5366</t>
  </si>
  <si>
    <t>2-6</t>
  </si>
  <si>
    <t>107,000</t>
  </si>
  <si>
    <t>https://www.datacenterdynamics.com/en/news/h5-data-centers-acquires-data-center-in-cincinnati-ohio/</t>
  </si>
  <si>
    <t>CLE1</t>
  </si>
  <si>
    <t>15166 Neo Pkwy</t>
  </si>
  <si>
    <t>44128</t>
  </si>
  <si>
    <t>Cuyahoga</t>
  </si>
  <si>
    <t>41.42835</t>
  </si>
  <si>
    <t>-81.574</t>
  </si>
  <si>
    <t>4.7</t>
  </si>
  <si>
    <t>66,800</t>
  </si>
  <si>
    <t>https://www.expedient.com/data-centers/cleveland/</t>
  </si>
  <si>
    <t>CLE2</t>
  </si>
  <si>
    <t>15248 NEO Parkway</t>
  </si>
  <si>
    <t>41.42939</t>
  </si>
  <si>
    <t>-81.5739</t>
  </si>
  <si>
    <t>24,850</t>
  </si>
  <si>
    <t>Lakeland Equity Group Data Center</t>
  </si>
  <si>
    <t>3560 E 55th St</t>
  </si>
  <si>
    <t>44105</t>
  </si>
  <si>
    <t>41.461937</t>
  </si>
  <si>
    <t>-81.65161</t>
  </si>
  <si>
    <t>35</t>
  </si>
  <si>
    <t>$1.6 billion</t>
  </si>
  <si>
    <t>Moratorium being considered</t>
  </si>
  <si>
    <t>https://www.datacenterdynamics.com/en/news/developers-file-application-for-16bn-data-center-in-cleveland-ohio/</t>
  </si>
  <si>
    <t>https://www.datacenterdynamics.com/en/news/16bn-data-center-plan-rejected-in-cleveland-ohio/</t>
  </si>
  <si>
    <t>Slavic Village Data Center</t>
  </si>
  <si>
    <t>3560 E. 55th St.</t>
  </si>
  <si>
    <t>41.4646</t>
  </si>
  <si>
    <t>-81.6521</t>
  </si>
  <si>
    <t xml:space="preserve">Lakeland Equity Group </t>
  </si>
  <si>
    <t>1.6 billion</t>
  </si>
  <si>
    <t>https://neo-trans.blog/2026/05/06/1-6b-data-center-planned-in-cleveland/</t>
  </si>
  <si>
    <t>https://www.cleveland19.com/2026/05/07/neighbors-raise-concerns-about-proposed-cleveland-data-center/</t>
  </si>
  <si>
    <t>05/08/2026</t>
  </si>
  <si>
    <t>COL 1 (Cologix) Data Center</t>
  </si>
  <si>
    <t>535 Scherers Ct</t>
  </si>
  <si>
    <t>43085</t>
  </si>
  <si>
    <t>40.11592</t>
  </si>
  <si>
    <t>-83.0025</t>
  </si>
  <si>
    <t>44,000</t>
  </si>
  <si>
    <t>https://marcellusdrilling.com/2025/04/microsoft-hits-pause-button-on-1b-data-centers-near-columbus-oh/</t>
  </si>
  <si>
    <t>https://www.dispatch.com/story/business/2025/04/07/microsoft-backs-out-of-plans-to-build-data-centers-in-licking-county/82973097007/</t>
  </si>
  <si>
    <t>https://cologix.com/data-centers/columbus/</t>
  </si>
  <si>
    <t>COL 2 (Cologix) Data Center</t>
  </si>
  <si>
    <t>555 Scherers Ct</t>
  </si>
  <si>
    <t>40.11582</t>
  </si>
  <si>
    <t>COL 3 (Cologix) Data Center</t>
  </si>
  <si>
    <t>585 Scherers Ct</t>
  </si>
  <si>
    <t>40.11585</t>
  </si>
  <si>
    <t>-83.0023</t>
  </si>
  <si>
    <t>18+</t>
  </si>
  <si>
    <t>COL 4 (Cologix) Data Center</t>
  </si>
  <si>
    <t>7500 Alta View Blvd</t>
  </si>
  <si>
    <t>40.11852</t>
  </si>
  <si>
    <t>-82.9993</t>
  </si>
  <si>
    <t>Columbus Data Center</t>
  </si>
  <si>
    <t>5076 S High St</t>
  </si>
  <si>
    <t>43207</t>
  </si>
  <si>
    <t>39.85241</t>
  </si>
  <si>
    <t>-82.9974</t>
  </si>
  <si>
    <t>https://www.datacenterdynamics.com/en/news/aligned-acquires-third-site-in-ohio-for-data-center-development-report/</t>
  </si>
  <si>
    <t>Microsoft Columbus Data Center</t>
  </si>
  <si>
    <t>39.96418</t>
  </si>
  <si>
    <t>-83.0171</t>
  </si>
  <si>
    <t>Microsoft Licking County Data Center</t>
  </si>
  <si>
    <t>3 campuses were planned</t>
  </si>
  <si>
    <t>Aligned Data Center</t>
  </si>
  <si>
    <t>Conesville Industrial Park, 47201 Co Rd 273</t>
  </si>
  <si>
    <t>Conesville</t>
  </si>
  <si>
    <t>43811</t>
  </si>
  <si>
    <t>Coshocton</t>
  </si>
  <si>
    <t>40.18911</t>
  </si>
  <si>
    <t>-81.8728</t>
  </si>
  <si>
    <t>197</t>
  </si>
  <si>
    <t>adjacent to the former AEP Conesville Power Plant</t>
  </si>
  <si>
    <t>https://www.datacenterdynamics.com/en/news/aligned-to-develop-200-acre-data-center-campus-in-coshocton-ohio/</t>
  </si>
  <si>
    <t>CMH2</t>
  </si>
  <si>
    <t>5700 Innovation Dr</t>
  </si>
  <si>
    <t>Dublin</t>
  </si>
  <si>
    <t>43016</t>
  </si>
  <si>
    <t>40.09205</t>
  </si>
  <si>
    <t>-83.1436</t>
  </si>
  <si>
    <t>4.8</t>
  </si>
  <si>
    <t>29,208</t>
  </si>
  <si>
    <t>https://www.expedient.com/data-centers/columbus/</t>
  </si>
  <si>
    <t>565 Metro Pl S #300</t>
  </si>
  <si>
    <t>43017</t>
  </si>
  <si>
    <t>40.09327</t>
  </si>
  <si>
    <t>-83.1337</t>
  </si>
  <si>
    <t>https://dartpoints.com/locations/ohio2/</t>
  </si>
  <si>
    <t>PRSM Data Center</t>
  </si>
  <si>
    <t>Off Orphans Rd</t>
  </si>
  <si>
    <t>Eaton</t>
  </si>
  <si>
    <t>45320</t>
  </si>
  <si>
    <t>Preble</t>
  </si>
  <si>
    <t>39.8307</t>
  </si>
  <si>
    <t>-84.7197</t>
  </si>
  <si>
    <t>Community pushback</t>
  </si>
  <si>
    <t>https://www.datacenterdynamics.com/en/news/300-acres-of-land-in-preble-county-ohio-could-host-data-center-campus/</t>
  </si>
  <si>
    <t>https://www.wdtn.com/news/300-acres-of-farmland-could-be-rezoned-for-new-data-center-near-i-70/</t>
  </si>
  <si>
    <t>09/08/2025</t>
  </si>
  <si>
    <t>Franklin Furnace Data Center</t>
  </si>
  <si>
    <t>Franklin Furnace Area</t>
  </si>
  <si>
    <t>Franklin Furnace</t>
  </si>
  <si>
    <t>Scioto</t>
  </si>
  <si>
    <t>38.59737</t>
  </si>
  <si>
    <t>-82.84261</t>
  </si>
  <si>
    <t>https://www.change.org/p/no-tax-incentives-for-data-center</t>
  </si>
  <si>
    <t>https://www.datacenterdynamics.com/en/news/google-confirmed-as-company-behind-500000-sq-ft-data-center-in-scioto-county-ohio/</t>
  </si>
  <si>
    <t>Amazon Sunbury Data Center</t>
  </si>
  <si>
    <t>11793 Vans Valley Rd</t>
  </si>
  <si>
    <t>Galena</t>
  </si>
  <si>
    <t>43021</t>
  </si>
  <si>
    <t>Delaware</t>
  </si>
  <si>
    <t>40.21813</t>
  </si>
  <si>
    <t>-82.8478</t>
  </si>
  <si>
    <t>https://www.datacenterdynamics.com/en/news/aws-plans-2bn-data-center-campus-in-sunbury-ohio/</t>
  </si>
  <si>
    <t>1380 University Blvd</t>
  </si>
  <si>
    <t>45011</t>
  </si>
  <si>
    <t>Butler</t>
  </si>
  <si>
    <t>39.38385</t>
  </si>
  <si>
    <t>-84.56061</t>
  </si>
  <si>
    <t>Logistix Property Group</t>
  </si>
  <si>
    <t>https://www.journal-news.com/news/residents-say-no-on-1b-data-center-project-wants-hamilton-to-do-the-same/L3YUSLLR2VHMDFXVBXKPBTOHCA/</t>
  </si>
  <si>
    <t>Scheduled for 2026</t>
  </si>
  <si>
    <t>https://www.bizjournals.com/cincinnati/news/2025/09/08/hyperscale-ai-data-center-hamilton-logistix.html</t>
  </si>
  <si>
    <t>https://local12.com/news/local/plans-1-billion-cincinnati-hamilton-ohio-data-center-advance-despite-environmental-energy-concerns-bills-usage-cost-customers-residents-logistix-property-group-consumption-natural-gas-hydroelectric-solar-wind-generators-technology-hub-tech-computers</t>
  </si>
  <si>
    <t>https://www.thebcfa.org/ignitebutler/featured-news-articles/p/item/64490/1b-hyperscale-data-center-could-break-ground-in-city-of-hamilton-in-2026</t>
  </si>
  <si>
    <t>https://www.wvxu.org/environment/2025-12-03/developers-data-center-butler-county</t>
  </si>
  <si>
    <t xml:space="preserve">Mara Holdings </t>
  </si>
  <si>
    <t>Long Ridge Energy Station, 43840 OH-7</t>
  </si>
  <si>
    <t>Hannibal</t>
  </si>
  <si>
    <t>43931</t>
  </si>
  <si>
    <t>39.704994</t>
  </si>
  <si>
    <t>-80.8452</t>
  </si>
  <si>
    <t>Taking over existing power plant</t>
  </si>
  <si>
    <t>https://www.datacenterdynamics.com/en/news/mara-acquires-505mw-gas-plant-in-ohio-intends-to-construct-200mw-data-center-at-site/</t>
  </si>
  <si>
    <t xml:space="preserve">Amazon Hilliard Data Center </t>
  </si>
  <si>
    <t>5109 Hayden Run Rd</t>
  </si>
  <si>
    <t>Hilliard</t>
  </si>
  <si>
    <t>43026</t>
  </si>
  <si>
    <t>40.06241</t>
  </si>
  <si>
    <t>-83.1344</t>
  </si>
  <si>
    <t>73</t>
  </si>
  <si>
    <t>Yes - fuel cell system</t>
  </si>
  <si>
    <t>158 diesel backup generators</t>
  </si>
  <si>
    <t>https://hilliardcleanair.org/</t>
  </si>
  <si>
    <t>BTM power fuel cell project was fast-tracked and approved by the Ohio Power Siting Board (OPSB), overriding local law. City of Hilliard has challenged Amazon's plan to install 73 MW from 228 natural gas fuel cells</t>
  </si>
  <si>
    <t>https://www.dispatch.com/story/news/local/communities/hilliard/2022/05/27/amazon-plans-build-third-data-center-scioto-darby-road-and-270/9962923002/</t>
  </si>
  <si>
    <t>https://hilliardohio.gov/state-law-overrides-local-review-for-aws-fuel-cell-system-in-hilliard/</t>
  </si>
  <si>
    <t>https://www.10tv.com/article/news/local/hilliard-residents-concerns-amazon-data-center-diesel-generators/530-ccb1ea66-fad0-403b-9baf-76110d65f2fd</t>
  </si>
  <si>
    <t>https://www.datacenterdynamics.com/en/news/city-of-hilliard-challenges-amazon-fuel-cell-project-at-ohio-data-center-report/</t>
  </si>
  <si>
    <t>Ravel Data Center</t>
  </si>
  <si>
    <t>1476 County Rd 1A</t>
  </si>
  <si>
    <t>Ironton</t>
  </si>
  <si>
    <t>45638</t>
  </si>
  <si>
    <t>Lawrence</t>
  </si>
  <si>
    <t>38.56767</t>
  </si>
  <si>
    <t>-82.782684</t>
  </si>
  <si>
    <t>Strata</t>
  </si>
  <si>
    <t>https://www.change.org/p/stop-the-ai-data-centers-in-lawrence-county-ohio</t>
  </si>
  <si>
    <t>https://www.datacenterdynamics.com/en/news/data-center-project-in-lawrence-county-ohio-sparks-calls-for-moratorium-in-neighboring-city/</t>
  </si>
  <si>
    <t>Amazon Jeffersonville Data Center</t>
  </si>
  <si>
    <t>along Interstate 71 between State Route 729 and U.S. 35</t>
  </si>
  <si>
    <t>43128</t>
  </si>
  <si>
    <t>39.62815</t>
  </si>
  <si>
    <t>-83.57187</t>
  </si>
  <si>
    <t>1184</t>
  </si>
  <si>
    <t>Yes - Bluegrass Power Station</t>
  </si>
  <si>
    <t>590</t>
  </si>
  <si>
    <t>$102.4 million</t>
  </si>
  <si>
    <t xml:space="preserve">Behind the meter Bluegrass Power Generation Facility (proposed fracked gas power plant) likely supplying this data center </t>
  </si>
  <si>
    <t>https://www.datacenterdynamics.com/en/news/aws-weighing-up-data-center-project-in-fayette-county-ohio/</t>
  </si>
  <si>
    <t>https://www.nbc4i.com/intel-in-ohio/amazon-purchases-nearly-600-acres-in-fayette-county-for-new-data-center/</t>
  </si>
  <si>
    <t>https://oilandgaswatch.org/facility/rec_d4f1u58q7easr8ra1eeg</t>
  </si>
  <si>
    <t>CyrusOne COL-1</t>
  </si>
  <si>
    <t>12181 Jug St</t>
  </si>
  <si>
    <t>Johnstown</t>
  </si>
  <si>
    <t>43031</t>
  </si>
  <si>
    <t>Licking</t>
  </si>
  <si>
    <t>40.09545</t>
  </si>
  <si>
    <t>-82.7181</t>
  </si>
  <si>
    <t>https://www.datacenterdynamics.com/en/news/cyrusone-breaks-ground-on-new-albany-ohio-data-center/</t>
  </si>
  <si>
    <t>EdgeConneX New Albany Data Center</t>
  </si>
  <si>
    <t>9850 Innovation Campus Way W</t>
  </si>
  <si>
    <t>40.08851</t>
  </si>
  <si>
    <t>-82.7583</t>
  </si>
  <si>
    <t>120-766</t>
  </si>
  <si>
    <t>Yes - PowerConneX I, II, and III New Albany Energy Center</t>
  </si>
  <si>
    <t>4+</t>
  </si>
  <si>
    <t>1,225,000</t>
  </si>
  <si>
    <t>270</t>
  </si>
  <si>
    <t>Phase 1 - 120 MW gas plant and a 524,525 sq ft building, Phase II - 216 MW gas plant and two-story 700,000 sq ft building, as well as a separate 80,000 sq ft (7,430 sqm) energy center building housing gas-fired generators, Phase III - 430 MW gas plant.</t>
  </si>
  <si>
    <t>https://www.datacenterdynamics.com/en/news/edgeconnex-files-to-convert-warehouse-and-build-new-700000-sq-ft-data-center-in-new-albany-ohio/</t>
  </si>
  <si>
    <t>https://www.datacenterdynamics.com/en/news/edgeconnex-affiliate-proposes-430mw-natural-gas-plant-to-power-data-center-campus-in-new-albany-ohio/</t>
  </si>
  <si>
    <t xml:space="preserve">Johnstown Data Center (Beech Rd.) </t>
  </si>
  <si>
    <t>4200 Beech Rd NW</t>
  </si>
  <si>
    <t>40.11718</t>
  </si>
  <si>
    <t>-82.7506</t>
  </si>
  <si>
    <t>439</t>
  </si>
  <si>
    <t>https://www.datacenterdynamics.com/en/news/amazon-plans-five-building-data-center-campus-in-new-albany-ohio/</t>
  </si>
  <si>
    <t>Johnstown Data Center (Beech Rd)</t>
  </si>
  <si>
    <t>2801 Beech Rd NW</t>
  </si>
  <si>
    <t>40.09769</t>
  </si>
  <si>
    <t>-82.7533</t>
  </si>
  <si>
    <t>https://www.datacenterdynamics.com/en/news/amazon-buys-112-acre-plot-new-data-center-new-albany-ohio/</t>
  </si>
  <si>
    <t>Johnstown Data Center (Beech Rd NW)</t>
  </si>
  <si>
    <t>2570 Beech Rd NW</t>
  </si>
  <si>
    <t>40.09421</t>
  </si>
  <si>
    <t>-82.7514</t>
  </si>
  <si>
    <t>459,000</t>
  </si>
  <si>
    <t>Johnstown Data Center (Harrison Rd)</t>
  </si>
  <si>
    <t>2186 Harrison Rd NW</t>
  </si>
  <si>
    <t>40.08953</t>
  </si>
  <si>
    <t>-82.7346</t>
  </si>
  <si>
    <t>170,000</t>
  </si>
  <si>
    <t>4500 Beech Rd NW</t>
  </si>
  <si>
    <t>40.12115</t>
  </si>
  <si>
    <t>-82.7517</t>
  </si>
  <si>
    <t>211,000</t>
  </si>
  <si>
    <t>https://www.datacenterdynamics.com/en/news/karis-critical-purchases-115-acres-for-data-center-in-new-albany-ohio/</t>
  </si>
  <si>
    <t>Lancaster Data Center</t>
  </si>
  <si>
    <t>104 Whiley Rd.</t>
  </si>
  <si>
    <t>43130</t>
  </si>
  <si>
    <t>Fairfield</t>
  </si>
  <si>
    <t>39.72647</t>
  </si>
  <si>
    <t>-82.6823</t>
  </si>
  <si>
    <t>https://www.datacenterdynamics.com/en/news/google-to-build-two-more-data-centers-in-columbus-ohio/</t>
  </si>
  <si>
    <t>CMH3</t>
  </si>
  <si>
    <t>281 E. Powell Rd</t>
  </si>
  <si>
    <t>Lewis Center</t>
  </si>
  <si>
    <t>40.15455</t>
  </si>
  <si>
    <t>-83.0143</t>
  </si>
  <si>
    <t>102,000</t>
  </si>
  <si>
    <t>COL 5 (Cologix) Data Center</t>
  </si>
  <si>
    <t>6787 Green Meadows Drive</t>
  </si>
  <si>
    <t>40.19086</t>
  </si>
  <si>
    <t>-83.0113</t>
  </si>
  <si>
    <t>Bistrozzi LLC Data Center</t>
  </si>
  <si>
    <t>950 W Bluelick Rd</t>
  </si>
  <si>
    <t>Lima</t>
  </si>
  <si>
    <t>45801</t>
  </si>
  <si>
    <t>40.7965</t>
  </si>
  <si>
    <t>-84.121</t>
  </si>
  <si>
    <t>$14.4 million</t>
  </si>
  <si>
    <t>3 adjacent properties</t>
  </si>
  <si>
    <t>https://www.limaohio.com/top-stories/2025/08/14/company-behind-data-center-completes-land-purchases/</t>
  </si>
  <si>
    <t>08/16/2025</t>
  </si>
  <si>
    <t>Project BOSC</t>
  </si>
  <si>
    <t>W Bluelick and N Cole Rd</t>
  </si>
  <si>
    <t>40.80032</t>
  </si>
  <si>
    <t>-84.11909</t>
  </si>
  <si>
    <t>115 diesel-fueled generators</t>
  </si>
  <si>
    <t>15-year tax abatement offset agreement, $250,000 in annual funding to Elida Local Schools</t>
  </si>
  <si>
    <t>https://www.datacenterdynamics.com/en/news/google-confirmed-as-company-behind-500m-data-center-in-lima-ohio/</t>
  </si>
  <si>
    <t>Guernsey County Data Center</t>
  </si>
  <si>
    <t>near Cadiz Rd, likely</t>
  </si>
  <si>
    <t>Lore City</t>
  </si>
  <si>
    <t>43755</t>
  </si>
  <si>
    <t>Guernsey</t>
  </si>
  <si>
    <t>40.11321</t>
  </si>
  <si>
    <t>-81.391945</t>
  </si>
  <si>
    <t>Smart Energy Partners</t>
  </si>
  <si>
    <t>425</t>
  </si>
  <si>
    <t>https://www.datacenterdynamics.com/en/news/proposed-data-center-in-guernsey-county-ohio-could-go-ahead-despite-local-government-opposition/</t>
  </si>
  <si>
    <t>https://auditor.guernseycounty.gov/SearchResults?SortColumn=Owner&amp;ResultsPerPage=8&amp;pageNumber=1</t>
  </si>
  <si>
    <t>https://woub.org/2026/06/23/guernsey-county-proposal-data-center/</t>
  </si>
  <si>
    <t>Bitdeer Technologies Data Center</t>
  </si>
  <si>
    <t>3960-4350 Township Hwy 213,</t>
  </si>
  <si>
    <t>Mantua</t>
  </si>
  <si>
    <t>44255</t>
  </si>
  <si>
    <t>Portage</t>
  </si>
  <si>
    <t>41.250813</t>
  </si>
  <si>
    <t>-81.24765</t>
  </si>
  <si>
    <t>Bitdeer</t>
  </si>
  <si>
    <t>720,000</t>
  </si>
  <si>
    <t>https://www.datacenterdynamics.com/en/news/bitdeer-looks-to-develop-750mw-data-center-campus-in-ohio/</t>
  </si>
  <si>
    <t>https://www.neohioprojectinfo.com/</t>
  </si>
  <si>
    <t>Project Cosmos</t>
  </si>
  <si>
    <t>14684 Industrial Pkwy</t>
  </si>
  <si>
    <t>Marysville</t>
  </si>
  <si>
    <t>43040</t>
  </si>
  <si>
    <t>Union</t>
  </si>
  <si>
    <t>40.2203</t>
  </si>
  <si>
    <t>-83.3259</t>
  </si>
  <si>
    <t>https://actionnetwork.org/petitions/petition-to-stop-the-data-center-from-being-built-in-p-35</t>
  </si>
  <si>
    <t>Limited public details are available. See documents obtained in a public records request on this data center here (https://drive.google.com/drive/folders/1s1AB_OOk8qaIOg1in3wVHz91X-kYbTUt?usp=drive_link)</t>
  </si>
  <si>
    <t>https://www.datacenterdynamics.com/en/news/amazon-eyes-another-data-center-campus-outside-columbus-ohio/</t>
  </si>
  <si>
    <t>Bitdeer Crypto Mine</t>
  </si>
  <si>
    <t>1115 Industrial Ave SW</t>
  </si>
  <si>
    <t>Massillon</t>
  </si>
  <si>
    <t>44647</t>
  </si>
  <si>
    <t>40.772533</t>
  </si>
  <si>
    <t>-81.53784</t>
  </si>
  <si>
    <t>221</t>
  </si>
  <si>
    <t>19</t>
  </si>
  <si>
    <t>https://www.datacenterdynamics.com/en/news/fire-damages-two-building-at-bitdeers-ohio-bitcoin-mine-construction-site/</t>
  </si>
  <si>
    <t>State Routes 204 and 37/ 11894-11998 Lancaster-Newark Rd NE</t>
  </si>
  <si>
    <t>Millersport</t>
  </si>
  <si>
    <t>43046</t>
  </si>
  <si>
    <t>39.89945</t>
  </si>
  <si>
    <t>-82.5619</t>
  </si>
  <si>
    <t>Vantage</t>
  </si>
  <si>
    <t>Behind the meter 800 MW Millersport Energy Center was withdrawn, making it unclear how this data center will be powered (https://opsb.ohio.gov/cases/25-0584-el-bgn)</t>
  </si>
  <si>
    <t>https://www.dispatch.com/story/news/2025/05/30/vantage-data-center-campus-millersport-ohio-tech/83921180007/</t>
  </si>
  <si>
    <t>https://www.nbc4i.com/news/local-news/fairfield-county/some-residents-hesitant-about-new-1-billion-data-center-headed-for-central-ohio/</t>
  </si>
  <si>
    <t>https://cleanview.co/public/data-centers/ohio/1895/j5-piqua-data-center</t>
  </si>
  <si>
    <t>https://www.nbc4i.com/news/local-news/fairfield-county/2-1-billion-vantage-data-center-announced-for-fairfield-county/</t>
  </si>
  <si>
    <t>Monclova Data Center</t>
  </si>
  <si>
    <t>Monclova Township</t>
  </si>
  <si>
    <t>43537</t>
  </si>
  <si>
    <t>Lucas</t>
  </si>
  <si>
    <t>41.546165</t>
  </si>
  <si>
    <t>-83.71574</t>
  </si>
  <si>
    <t>https://www.noawdatacenters.org/</t>
  </si>
  <si>
    <t>FOIA/ public records request</t>
  </si>
  <si>
    <t>https://www.toledoblade.com/local/suburbs/2026/03/16/monclova-township-residents-wary-prospective-data-centers-backyard/stories/20260316097#:~:text=Monclova%20Township%20residents%20wary%20of,data%20centers%20in%20their%20backyard&amp;text=To%20continue%20reading%2C%20try%20unlimited</t>
  </si>
  <si>
    <t>05/06/2026</t>
  </si>
  <si>
    <t>Pacifico Data Center</t>
  </si>
  <si>
    <t>London Rd</t>
  </si>
  <si>
    <t>Muhlenburg</t>
  </si>
  <si>
    <t>39.697655</t>
  </si>
  <si>
    <t>-83.11986</t>
  </si>
  <si>
    <t>12-month moratorium</t>
  </si>
  <si>
    <t>https://www.change.org/p/muhlenberg-twp-and-community-against-data-center-and-or-power-distribution-build</t>
  </si>
  <si>
    <t>https://www.datacenterdynamics.com/en/news/muhlenberg-ohio-introduces-year-long-moratorium-on-new-data-centers/</t>
  </si>
  <si>
    <t>Google New Albany Data Center</t>
  </si>
  <si>
    <t>~4632 Babbitt Rd</t>
  </si>
  <si>
    <t>New Albany</t>
  </si>
  <si>
    <t>43054</t>
  </si>
  <si>
    <t>40.058273</t>
  </si>
  <si>
    <t>-82.766945</t>
  </si>
  <si>
    <t>543-679</t>
  </si>
  <si>
    <t>https://epoch.ai/data/data-centers/satellite-explorer/GoogleNewAlbanyOhio?ref=404media.co</t>
  </si>
  <si>
    <t>New Albany Meta Data Center/Prometheus</t>
  </si>
  <si>
    <t>1 Community Cir</t>
  </si>
  <si>
    <t>Darke</t>
  </si>
  <si>
    <t>40.06873</t>
  </si>
  <si>
    <t>-82.75027</t>
  </si>
  <si>
    <t>691-1,400</t>
  </si>
  <si>
    <t>Yes - Socrates North Power Generation Project</t>
  </si>
  <si>
    <t>27,878,400</t>
  </si>
  <si>
    <t>345</t>
  </si>
  <si>
    <t>The Socrates North Power Generation Facility, also known as the Plato North Plant, will be located in the New Albany International Business Park. Socrates South Power Generation Facility, also known as the Plato South plant, is a natural gas power plant planned in New Albany, Ohio. Permit documents show the facilities could each generate up to 307 MW.</t>
  </si>
  <si>
    <t>https://www.datacenterdynamics.com/en/news/facebook-launches-ohio-data-center/</t>
  </si>
  <si>
    <t>https://engineering.fb.com/2025/09/29/data-infrastructure/metas-infrastructure-evolution-and-the-advent-of-ai/</t>
  </si>
  <si>
    <t>https://www.bbc.com/news/articles/c1e02vx55wpo</t>
  </si>
  <si>
    <t>https://epoch.ai/data/data-centers/satellite-explorer/MetaPrometheusNewAlbanyOhio?ref=404media.co</t>
  </si>
  <si>
    <t>https://oilandgaswatch.org/facility/rec_d4f1u60q7easr8ra1g3g</t>
  </si>
  <si>
    <t>https://oilandgaswatch.org/facility/rec_d4f1u60q7easr8ra1g30</t>
  </si>
  <si>
    <t>Oregon Data Center</t>
  </si>
  <si>
    <t>Corduroy and N. Wynn Rds</t>
  </si>
  <si>
    <t>Oregon</t>
  </si>
  <si>
    <t>43616</t>
  </si>
  <si>
    <t>41.66384</t>
  </si>
  <si>
    <t>-83.4237</t>
  </si>
  <si>
    <t>https://www.datacenterdynamics.com/en/news/rezoning-requests-approved-for-data-center-outside-toledo-ohio/</t>
  </si>
  <si>
    <t>corner OH-16 and Mink St SW</t>
  </si>
  <si>
    <t>Pataskala</t>
  </si>
  <si>
    <t>43062</t>
  </si>
  <si>
    <t>39.99121</t>
  </si>
  <si>
    <t>-82.726845</t>
  </si>
  <si>
    <t>From specific documents, appears to be a separate facility from Mink East Data Center</t>
  </si>
  <si>
    <t>https://abc6onyourside.com/news/local/pataskala-residents-rally-at-city-hall-to-fight-aligned-data-center-seek-petition-drive-ohio</t>
  </si>
  <si>
    <t>Mink East Data Center</t>
  </si>
  <si>
    <t>South of Hwy 20/ Jug St Rd NW</t>
  </si>
  <si>
    <t>40.09228</t>
  </si>
  <si>
    <t>-82.69978</t>
  </si>
  <si>
    <t>1,660,000</t>
  </si>
  <si>
    <t>323</t>
  </si>
  <si>
    <t>https://edocpub.epa.ohio.gov/publicportal/ViewDocument.aspx?docid=4170748</t>
  </si>
  <si>
    <t>SoftBank Data Center/PORTS Technology Campus</t>
  </si>
  <si>
    <t>Former Portsmouth Gaseous Diffusion Site</t>
  </si>
  <si>
    <t>Piketon</t>
  </si>
  <si>
    <t>45661</t>
  </si>
  <si>
    <t>Pike</t>
  </si>
  <si>
    <t>39.01315</t>
  </si>
  <si>
    <t>-83.00055</t>
  </si>
  <si>
    <t>Softbank/Open AI (unconfirmed)</t>
  </si>
  <si>
    <t>9200</t>
  </si>
  <si>
    <t>640</t>
  </si>
  <si>
    <t>DOE plant that previously produced enriched uranium, including highly enriched weapons-grade uranium, for the United States Atomic Energy Commission, the US nuclear weapons program, and Navy submarines. In later years, it produced low-enriched uranium for fuel for commercial nuclear power reactors. Part of $550 billion trade deal between the Trump administrtaion and the Japanese government. Would be largest fracked gas power plant in the world</t>
  </si>
  <si>
    <t>https://www.datacenterdynamics.com/en/news/softbank-eyes-10gw-data-center-at-former-doe-nuclear-enrichment-site-in-ohio/</t>
  </si>
  <si>
    <t>https://www.cleveland.com/news/2026/03/massive-33-billion-natural-gas-power-plant-breaks-ground-in-southern-ohio.html?fbclid=IwY2xjawRUs1VleHRuA2FlbQIxMABicmlkETFGSG1JY25kVUlQZHlHWFJKc3J0YwZhcHBfaWQQMjIyMDM5MTc4ODIwMDg5MgABHnJASD_NlMNAc-EUiBtXvr0UR3FsZjhpgBo9Xk-7n5zBDmVytNajtNK229Nu_aem_r3hbtXqGcji4DTrUmS2wTQ</t>
  </si>
  <si>
    <t>https://www.wowktv.com/news/ohio/japan-trade-deal-to-bring-billion-dollar-natural-gas-project-to-southeast-ohio/</t>
  </si>
  <si>
    <t>https://www.commerce.gov/news/fact-sheets/2026/02/fact-sheet-us-japan-trade-deal</t>
  </si>
  <si>
    <t>https://www.datacenterdynamics.com/en/news/openai-in-talks-to-lease-10gw-data-center-from-sb-energy-in-ohio/</t>
  </si>
  <si>
    <t>J5 LLC Data Center</t>
  </si>
  <si>
    <t>Farrington and Washington Rds</t>
  </si>
  <si>
    <t>Piqua</t>
  </si>
  <si>
    <t>45356</t>
  </si>
  <si>
    <t>40.10546</t>
  </si>
  <si>
    <t>-84.259926</t>
  </si>
  <si>
    <t>Cleanview</t>
  </si>
  <si>
    <t>607</t>
  </si>
  <si>
    <t>Would use 2 million gallons per day. Entire municipality of Piqua uses 2.2 million gal/day</t>
  </si>
  <si>
    <t>https://miamivalleytoday.com/piqua-commission-hears-plans-for-new-data-center/</t>
  </si>
  <si>
    <t xml:space="preserve">https://www.datacenterdynamics.com/en/news/data-center-project-coming-to-piqua-ohio/ </t>
  </si>
  <si>
    <t>Aligned NEO-01</t>
  </si>
  <si>
    <t>2509 Hayes Avenue</t>
  </si>
  <si>
    <t>Sandusky</t>
  </si>
  <si>
    <t>44870</t>
  </si>
  <si>
    <t>41.43093</t>
  </si>
  <si>
    <t>-82.7172</t>
  </si>
  <si>
    <t>https://www.datacenterdynamics.com/en/news/aligned-acquires-130-acres-in-ohio-for-data-center-campus/</t>
  </si>
  <si>
    <t>Amazon Project Galaxy</t>
  </si>
  <si>
    <t>North side of West Millcreek Rd</t>
  </si>
  <si>
    <t>Sidney</t>
  </si>
  <si>
    <t>45365</t>
  </si>
  <si>
    <t>40.26942</t>
  </si>
  <si>
    <t>-84.19626</t>
  </si>
  <si>
    <t>Payments in Lieu of Taxes (PILOT) totaling $50 million over 15 years</t>
  </si>
  <si>
    <t>https://www.whio.com/news/local/city-approves-30-year-tax-break-amazon-data-center/IXCXV6ZWABADDFZ3XYHMYB7YUQ/</t>
  </si>
  <si>
    <t>https://www.datacenterdynamics.com/en/news/amazon-secures-tax-break-for-3bn-data-center-campus-in-sidney-ohio/</t>
  </si>
  <si>
    <t>Project Mila</t>
  </si>
  <si>
    <t>Kennel Rd Corridor</t>
  </si>
  <si>
    <t>Trenton</t>
  </si>
  <si>
    <t>45067</t>
  </si>
  <si>
    <t>39.455215</t>
  </si>
  <si>
    <t>-84.45998</t>
  </si>
  <si>
    <t>https://www.facebook.com/groups/816721210681323</t>
  </si>
  <si>
    <t>https://www.datacenterdynamics.com/en/news/prologis-acquires-land-outside-cincinnati-ohio-for-potential-data-center/</t>
  </si>
  <si>
    <t>https://www.wlwt.com/article/trenton-ohio-butler-county-data-center-reaction/69267723</t>
  </si>
  <si>
    <t>https://www.journal-news.com/news/1-million-square-foot-data-center-proposed-for-141-acres-in-trenton/B5H4QD67PZGVRJY7HAVVSTJJBI/</t>
  </si>
  <si>
    <t>https://www.datacenterdynamics.com/en/news/prologis-details-plans-for-data-center-campus-outside-cincinnati-ohio/</t>
  </si>
  <si>
    <t>12/29/2025</t>
  </si>
  <si>
    <t>CMH1</t>
  </si>
  <si>
    <t>5000 Arlington Centre Blvd Building One, Arlington Centre Blvd</t>
  </si>
  <si>
    <t>Upper Arlington</t>
  </si>
  <si>
    <t>43220</t>
  </si>
  <si>
    <t>40.05789</t>
  </si>
  <si>
    <t>-83.0785</t>
  </si>
  <si>
    <t>1.6</t>
  </si>
  <si>
    <t>21,591</t>
  </si>
  <si>
    <t>Urbana Technology Hub</t>
  </si>
  <si>
    <t>Lewis B Moore Dr</t>
  </si>
  <si>
    <t>Urbana</t>
  </si>
  <si>
    <t>43078</t>
  </si>
  <si>
    <t>Champaign</t>
  </si>
  <si>
    <t>40.08692</t>
  </si>
  <si>
    <t>-83.77341</t>
  </si>
  <si>
    <t>Thor Equities</t>
  </si>
  <si>
    <t>460,000</t>
  </si>
  <si>
    <t>https://www.change.org/p/stop-the-data-center-from-opening-in-urbana</t>
  </si>
  <si>
    <t>https://www.datacenterdynamics.com/en/news/thor-equities-looks-to-build-460000-sq-ft-data-center-campus-near-urbana-ohio/</t>
  </si>
  <si>
    <t>https://www.urbanaohiodatacenter.com/#fact-vs-fiction</t>
  </si>
  <si>
    <t>Stargate Data Center</t>
  </si>
  <si>
    <t>2369 Ellsworth Bailey Rd</t>
  </si>
  <si>
    <t>44481</t>
  </si>
  <si>
    <t>Trumbull</t>
  </si>
  <si>
    <t>41.15324</t>
  </si>
  <si>
    <t>-80.8803</t>
  </si>
  <si>
    <t>Bristolville 25 Developer LLC</t>
  </si>
  <si>
    <t>Grid (unspecified mix), Biomass</t>
  </si>
  <si>
    <t>https://www.wkbn.com/news/local-news/lordstown-news/hearing-could-determine-data-center-future-in-lordstown/</t>
  </si>
  <si>
    <t>Former General Motors plant outside Lordstown</t>
  </si>
  <si>
    <t>https://www.chron.com/business/article/openai-texas-stargate-ai-hub-21065041.php</t>
  </si>
  <si>
    <t>https://www.wfmj.com/story/53109325/lordstown-part-of-mammoth-dollar500-billion-artificial-intelligence-data-center-project</t>
  </si>
  <si>
    <t>https://www.wfmj.com/story/53113377/data-center-to-occupy-small-part-of-lordstown-ai-hub-feature-advanced-design</t>
  </si>
  <si>
    <t>https://www.wfmj.com/story/53208675/lordstown-leaders-consider-ban-tonight-on-planned-dollar36b-ai-data-center</t>
  </si>
  <si>
    <t>Wilmington Data Center</t>
  </si>
  <si>
    <t>1488 US-68</t>
  </si>
  <si>
    <t>Wilmington</t>
  </si>
  <si>
    <t>45177</t>
  </si>
  <si>
    <t>39.42304</t>
  </si>
  <si>
    <t>-83.845474</t>
  </si>
  <si>
    <t>AI / hyperscale data center</t>
  </si>
  <si>
    <t>400-600</t>
  </si>
  <si>
    <t>471</t>
  </si>
  <si>
    <t xml:space="preserve">Project tabled pending more information before planning commission. </t>
  </si>
  <si>
    <t>https://www.facebook.com/groups/wilmingtondatacenter</t>
  </si>
  <si>
    <t>https://wilmingtondatacenter.org/</t>
  </si>
  <si>
    <t>https://www.datacenterdynamics.com/en/news/wilmington-city-council-postpones-vote-on-aws-data-center-in-southwest-ohio/</t>
  </si>
  <si>
    <t>https://www.stayinspirednews.com/she-refuses-to-stay-quiet-about-a-4-billion-ai-data-center-coming-to-her-small-town-in-wilmington-ohio/</t>
  </si>
  <si>
    <t>https://www.stayinspirednews.com/content/files/2025/12/Wilmington-Ohio-Open-Letter-Dec-15-2025-FINAL.pdf</t>
  </si>
  <si>
    <t>https://www.datacenterdynamics.com/en/news/aws-data-center-project-tabled-in-wilmington-ohio/</t>
  </si>
  <si>
    <t>Sammis Power Plant Data Center</t>
  </si>
  <si>
    <t>OH-7</t>
  </si>
  <si>
    <t>Stratton</t>
  </si>
  <si>
    <t xml:space="preserve">OH </t>
  </si>
  <si>
    <t>43961</t>
  </si>
  <si>
    <t>40.528168</t>
  </si>
  <si>
    <t>-80.62949</t>
  </si>
  <si>
    <t>The current owners of the former Sammis Power Plant property are hoping to bring a data center to Jefferson County by making sure it is one of Ohio’s priority investment areas.</t>
  </si>
  <si>
    <t>https://www.theintelligencer.net/news/community/2025/06/opportunities-eyed-for-former-w-h-sammis-plant-site-in-stratton/</t>
  </si>
  <si>
    <t>Waterville Data Center</t>
  </si>
  <si>
    <t>Waterville</t>
  </si>
  <si>
    <t>43566</t>
  </si>
  <si>
    <t>41.498295</t>
  </si>
  <si>
    <t>-83.75243</t>
  </si>
  <si>
    <t>Limited public details are available. See documents obtained in a public records request on this data center here (https://drive.google.com/drive/folders/156QHBWS2dY3AQQeMY_COWCzk8NsozaPI?usp=drive_link)</t>
  </si>
  <si>
    <t>https://www.toledoblade.com/local/suburbs/2026/04/23/data-center-discussion-company-is-interested-waterville-township/stories/20260423024</t>
  </si>
  <si>
    <t>Broken Arrow Data Center</t>
  </si>
  <si>
    <t>Creek Tpke and Hwy 51</t>
  </si>
  <si>
    <t>Broken Arrow</t>
  </si>
  <si>
    <t>OK</t>
  </si>
  <si>
    <t>Wagoner</t>
  </si>
  <si>
    <t>36.03942</t>
  </si>
  <si>
    <t>-95.74154</t>
  </si>
  <si>
    <t>https://www.datacenterdynamics.com/en/news/developer-eyes-broken-arrow-oklahoma-for-new-data-center-development/</t>
  </si>
  <si>
    <t>Project Anthem</t>
  </si>
  <si>
    <t>E 11th St</t>
  </si>
  <si>
    <t>Cartoosa</t>
  </si>
  <si>
    <t>74015</t>
  </si>
  <si>
    <t>36.14817</t>
  </si>
  <si>
    <t>-95.7338</t>
  </si>
  <si>
    <t>Phase 2 expansion plans scrapped</t>
  </si>
  <si>
    <t>https://www.datacenterdynamics.com/en/news/340-acre-data-center-campus-planned-in-tulsa-oklahoma/</t>
  </si>
  <si>
    <t>https://nationaltoday.com/us/ok/tulsa/news/2026/03/30/project-anthem-withdraws-tulsa-data-center-rezoning/</t>
  </si>
  <si>
    <t>https://www.fox23.com/news/company-behind-project-anthem-data-center-withdraws-phase-2-rezoning-request/article_5c3efda4-19ec-4f59-b668-261f04f8e88c.html</t>
  </si>
  <si>
    <t>https://www.datacenterdynamics.com/en/news/developer-withdraws-plans-to-build-second-phase-of-500-acre-data-center-in-tulsa-oklahoma/</t>
  </si>
  <si>
    <t>Project Mustang</t>
  </si>
  <si>
    <t>Claremore Industrial Park</t>
  </si>
  <si>
    <t>Claremore</t>
  </si>
  <si>
    <t>74017</t>
  </si>
  <si>
    <t>Rogers</t>
  </si>
  <si>
    <t>36.343464</t>
  </si>
  <si>
    <t>-95.60581</t>
  </si>
  <si>
    <t>https://ktul.com/news/local/claremore-residents-speak-out-against-project-mustang-data-center</t>
  </si>
  <si>
    <t>https://www.change.org/p/ban-ai-data-centers-in-rogers-county-permanently</t>
  </si>
  <si>
    <t>https://www.datacenterdynamics.com/en/news/beale-infrastructure-in-talks-to-build-data-center-campus-outside-tulsa-oklahoma/</t>
  </si>
  <si>
    <t>https://morestartshere.com/site-selection/claremore-industrial-park/</t>
  </si>
  <si>
    <t>https://constructionreviewonline.com/beale-infrastructure-in-talks-to-build-project-mustang-data-center-campus-outside-tulsa-oklahoma/</t>
  </si>
  <si>
    <t>Google Pryor Data Center</t>
  </si>
  <si>
    <t>4581 Webb St</t>
  </si>
  <si>
    <t>Lusta</t>
  </si>
  <si>
    <t>74361</t>
  </si>
  <si>
    <t>Mayes</t>
  </si>
  <si>
    <t>36.240967</t>
  </si>
  <si>
    <t>-95.33059</t>
  </si>
  <si>
    <t>195-584</t>
  </si>
  <si>
    <t>https://epoch.ai/data/data-centers/satellite-explorer/GooglePryorOklahoma?ref=404media.co</t>
  </si>
  <si>
    <t>https://docs.google.com/spreadsheets/d/1t7cRs2OukCKSz88qEnyF7vlGWdgY5MpVOLcd79nFdnQ/edit?gid=2132985834#gid=2132985834</t>
  </si>
  <si>
    <t>Luther Data Center</t>
  </si>
  <si>
    <t>NE 206th St corridor</t>
  </si>
  <si>
    <t>Luther</t>
  </si>
  <si>
    <t>73054</t>
  </si>
  <si>
    <t>Oklahoma</t>
  </si>
  <si>
    <t>35.684746</t>
  </si>
  <si>
    <t>-97.21583</t>
  </si>
  <si>
    <t>https://www.okenergytoday.com/2026/01/luther-residents-rally-against-a-proposed-data-center/</t>
  </si>
  <si>
    <t>https://www.datacenterdynamics.com/en/news/data-center-proposal-in-luther-oklahoma-faces-opposition-prior-to-official-filing/</t>
  </si>
  <si>
    <t>https://okcfox.com/news/local/an-enormous-concern-luther-residents-concerned-over-potential-data-center-in-their-town-ai</t>
  </si>
  <si>
    <t>https://www.news9.com/oklahoma-city-news/luther-residents-oppose-data-center</t>
  </si>
  <si>
    <t>600 NW 62nd St</t>
  </si>
  <si>
    <t>Oklahoma City</t>
  </si>
  <si>
    <t>73118</t>
  </si>
  <si>
    <t>35.53575</t>
  </si>
  <si>
    <t>-97.5223</t>
  </si>
  <si>
    <t>https://www.datacenterdynamics.com/en/news/cerebras-opens-10mw-data-center-in-oklahoma-city/</t>
  </si>
  <si>
    <t>Valor C3 Data Center</t>
  </si>
  <si>
    <t>4442 Newcastle Rd</t>
  </si>
  <si>
    <t>73119</t>
  </si>
  <si>
    <t>35.42508</t>
  </si>
  <si>
    <t>-97.5998</t>
  </si>
  <si>
    <t>Tornado-proof</t>
  </si>
  <si>
    <t>https://kfor.com/news/local/new-tornado-proof-data-center-in-okc/</t>
  </si>
  <si>
    <t>https://www.youtube.com/watch?v=0-sxYsKe6co&amp;ab_channel=KOKH-FOX25</t>
  </si>
  <si>
    <t>6192 State Highway 51B</t>
  </si>
  <si>
    <t>74454</t>
  </si>
  <si>
    <t>35.89665</t>
  </si>
  <si>
    <t>-95.60666</t>
  </si>
  <si>
    <t>https://tulsaflyer.org/2026/01/06/government/post/dozens-coweta-residents-speak-out-against-data-center/</t>
  </si>
  <si>
    <t>https://www.facebook.com/groups/831852505867215/posts/938898438495954/</t>
  </si>
  <si>
    <t>https://www.change.org/p/stop-the-data-center-from-coming-to-coweta-ok</t>
  </si>
  <si>
    <t>https://www.datacenterdynamics.com/en/news/beale-infrastructure-plans-second-data-center-campus-outside-tucson-arizona-and-two-outside-tulsa-oklahoma/</t>
  </si>
  <si>
    <t>https://www.datacenterdynamics.com/en/news/project-atlas-data-center-application-withdrawn-in-coweta-oklahoma/</t>
  </si>
  <si>
    <t>Project Spring</t>
  </si>
  <si>
    <t xml:space="preserve"> 5615 OK-97</t>
  </si>
  <si>
    <t>Sand Springs</t>
  </si>
  <si>
    <t>74063</t>
  </si>
  <si>
    <t>Osage</t>
  </si>
  <si>
    <t>36.24621</t>
  </si>
  <si>
    <t>-96.10993</t>
  </si>
  <si>
    <t>565,000</t>
  </si>
  <si>
    <t>827</t>
  </si>
  <si>
    <t>https://www.gofundme.com/f/Protect-sand-springs-alliance</t>
  </si>
  <si>
    <t>https://www.change.org/p/stop-the-data-center-f340a791-4f7e-4da8-a997-b0b2ce26319a</t>
  </si>
  <si>
    <t>6-1 vote in favor of proceeding</t>
  </si>
  <si>
    <t>https://www.datacenterdynamics.com/en/news/sand-springs-oklahoma-to-consider-project-spring-data-center-proposal/</t>
  </si>
  <si>
    <t>https://protectss.org/home</t>
  </si>
  <si>
    <t>https://www.fox23.com/news/sand-springs-city-leaders-postpone-action-on-proposed-data-center-project/article_73ae54df-1dc1-4440-8511-87e2064374a8.html#:~:text=SAND%20SPRINGS%2C%20Okla.,showing%20up%20made%20a%20difference.</t>
  </si>
  <si>
    <t>https://www.fox23.com/news/special-meetings-set-for-proposed-data-center-in-sand-springs/article_e36b744c-371c-4d41-9476-dbdeb04b1a9c.html</t>
  </si>
  <si>
    <t>https://www.datacenterdynamics.com/en/news/google-gets-greenlight-for-data-center-in-tulsa-oklahoma/</t>
  </si>
  <si>
    <t>Project Clydesdale</t>
  </si>
  <si>
    <t>SW of E 86th St N and Sheridan Ave</t>
  </si>
  <si>
    <t>Sperry</t>
  </si>
  <si>
    <t>74073</t>
  </si>
  <si>
    <t>Tulsa</t>
  </si>
  <si>
    <t>36.26513</t>
  </si>
  <si>
    <t>-95.9034</t>
  </si>
  <si>
    <t>506</t>
  </si>
  <si>
    <t>https://www.datacenterdynamics.com/en/news/500-acre-data-center-campus-planned-in-tulsa-oklahoma/</t>
  </si>
  <si>
    <t>https://www.kjrh.com/news/local-news/tulsa-county-residents-concerned-about-plans-for-data-center</t>
  </si>
  <si>
    <t>https://tulsaplanning.org/tmapc/TAC/Project%20Clydesdale%20submittal.pdf</t>
  </si>
  <si>
    <t>05/21/2025</t>
  </si>
  <si>
    <t>Cherokee Data Center</t>
  </si>
  <si>
    <t>7400 N Lakewood Ave</t>
  </si>
  <si>
    <t>74117</t>
  </si>
  <si>
    <t>36.26277</t>
  </si>
  <si>
    <t>-95.9097</t>
  </si>
  <si>
    <t>12151 E. State Farm Blvd</t>
  </si>
  <si>
    <t>74146</t>
  </si>
  <si>
    <t>36.09664</t>
  </si>
  <si>
    <t>-95.8402</t>
  </si>
  <si>
    <t>16,000</t>
  </si>
  <si>
    <t>$20 million</t>
  </si>
  <si>
    <t>https://www.datacenterdynamics.com/en/news/tierpoint-completes-fourth-data-center-in-oklahoma/</t>
  </si>
  <si>
    <t>Arlington Data Center</t>
  </si>
  <si>
    <t>mesa above Arlington</t>
  </si>
  <si>
    <t>Arlington</t>
  </si>
  <si>
    <t>OR</t>
  </si>
  <si>
    <t>Gilliam</t>
  </si>
  <si>
    <t>45.72153</t>
  </si>
  <si>
    <t>-120.189</t>
  </si>
  <si>
    <t>$13 million</t>
  </si>
  <si>
    <t>https://www.datacenterdynamics.com/en/news/amazon-expanding-data-center-presence-in-oregon-buys-400-acres/</t>
  </si>
  <si>
    <t>Amazon Boardman Data Center</t>
  </si>
  <si>
    <t>79388 Olson Rd</t>
  </si>
  <si>
    <t>Boardman</t>
  </si>
  <si>
    <t>97818</t>
  </si>
  <si>
    <t>Morrow</t>
  </si>
  <si>
    <t>45.836727</t>
  </si>
  <si>
    <t>-119.689735</t>
  </si>
  <si>
    <t>1300</t>
  </si>
  <si>
    <t>Likely near Project Sunstone solar installation</t>
  </si>
  <si>
    <t>https://www.geekwire.com/2026/report-amazon-buys-1300-acres-near-columbia-river-that-could-become-a-giant-data-center/</t>
  </si>
  <si>
    <t>https://www.datacenterdynamics.com/en/news/amazon-purchases-1300-acres-in-morrow-county-oregon/</t>
  </si>
  <si>
    <t>Roundhouse Data Center</t>
  </si>
  <si>
    <t>Cascade Locks area</t>
  </si>
  <si>
    <t>Cascade Locks</t>
  </si>
  <si>
    <t>97014</t>
  </si>
  <si>
    <t>Hood River</t>
  </si>
  <si>
    <t>45.67192</t>
  </si>
  <si>
    <t>-121.886</t>
  </si>
  <si>
    <t>https://www.oregonlive.com/silicon-forest/2023/07/cascade-locks-rejects-plan-for-100-million-data-center-in-the-columbia-river-gorge.html</t>
  </si>
  <si>
    <t>https://www.oregonlive.com/silicon-forest/2023/03/startup-pitches-100-million-data-center-in-cascade-locks.html</t>
  </si>
  <si>
    <t>https://protectpwc.org/2023/07/24/bisnow-local-opposition-kills-100m-data-center-project-in-hot-oregon-market/</t>
  </si>
  <si>
    <t>Crane Data Centers</t>
  </si>
  <si>
    <t>2975 Heather St</t>
  </si>
  <si>
    <t>Forest Grove</t>
  </si>
  <si>
    <t>97113</t>
  </si>
  <si>
    <t>45.51555</t>
  </si>
  <si>
    <t>-123.07915</t>
  </si>
  <si>
    <t>357,500</t>
  </si>
  <si>
    <t>https://www.oregonlive.com/news/2025/07/it-blocks-out-the-sky-data-centers-big-plans-rile-neighbors-in-small-town-forest-grove.html</t>
  </si>
  <si>
    <t>https://www.datacenterdynamics.com/en/news/planning-commission-greenlights-crane-dcs-forest-grove-data-center-in-northwest-oregon-again/</t>
  </si>
  <si>
    <t>07/16/2025</t>
  </si>
  <si>
    <t>OR-207</t>
  </si>
  <si>
    <t>Heppner</t>
  </si>
  <si>
    <t>97836</t>
  </si>
  <si>
    <t>45.604702</t>
  </si>
  <si>
    <t>-119.573364</t>
  </si>
  <si>
    <t>1,200</t>
  </si>
  <si>
    <t>Solar farm and battery storage site</t>
  </si>
  <si>
    <t>https://www.datacenterdynamics.com/en/news/amazon-acquires-shovel-ready-12gw-solar-and-storage-facility-in-oregon-report/</t>
  </si>
  <si>
    <t>https://www.oregon.gov/energy/facilities-safety/facilities/Facilities%20library/2024-05-15-ESP-ASC-Location.pdf</t>
  </si>
  <si>
    <t>Adobe Data Center</t>
  </si>
  <si>
    <t>4455 NE Dawson Creek Dr</t>
  </si>
  <si>
    <t>Hillsboro</t>
  </si>
  <si>
    <t>97124</t>
  </si>
  <si>
    <t>45.550182</t>
  </si>
  <si>
    <t>-122.93266</t>
  </si>
  <si>
    <t>Flexential Hillsboro 1</t>
  </si>
  <si>
    <t>7273, 3935 NE NW Aloclek Pl</t>
  </si>
  <si>
    <t>45.55948</t>
  </si>
  <si>
    <t>-122.938</t>
  </si>
  <si>
    <t>120,000</t>
  </si>
  <si>
    <t>https://hillsboroherald.com/flexentials-new-hillsboro-6-data-center-marks-a-shift-from-jobs-to-joules/</t>
  </si>
  <si>
    <t>Flexential Hillsboro 2</t>
  </si>
  <si>
    <t>5737 NE Huffman St</t>
  </si>
  <si>
    <t>45.54989</t>
  </si>
  <si>
    <t>-122.891</t>
  </si>
  <si>
    <t>12–20</t>
  </si>
  <si>
    <t>Flexential Hillsboro 3</t>
  </si>
  <si>
    <t>5419 NE Starr Blvd</t>
  </si>
  <si>
    <t>45.55947</t>
  </si>
  <si>
    <t>Flexential Hillsboro 4</t>
  </si>
  <si>
    <t>4915 NE Starr Blvd</t>
  </si>
  <si>
    <t>45.55543</t>
  </si>
  <si>
    <t>-122.939</t>
  </si>
  <si>
    <t>Flexential Hillsboro 5</t>
  </si>
  <si>
    <t>4975 NE Starr Blvd</t>
  </si>
  <si>
    <t>45.55651</t>
  </si>
  <si>
    <t>Flexential Hillsboro 6</t>
  </si>
  <si>
    <t>45.54841</t>
  </si>
  <si>
    <t>-122.89</t>
  </si>
  <si>
    <t xml:space="preserve">Portland Edge Data Center (EDC) campus </t>
  </si>
  <si>
    <t>6327 NE Evergreen Pkwy, Bldg C, Suite C-300</t>
  </si>
  <si>
    <t>45.55167</t>
  </si>
  <si>
    <t>-122.915</t>
  </si>
  <si>
    <t>9+</t>
  </si>
  <si>
    <t>35,550</t>
  </si>
  <si>
    <t>https://www.edgeconnex.com/locations/americas/portland-or/</t>
  </si>
  <si>
    <t>Stack Infrastructure POR01A</t>
  </si>
  <si>
    <t>3145 NE Brookwood Pkwy</t>
  </si>
  <si>
    <t>45.54944</t>
  </si>
  <si>
    <t>-122.92765</t>
  </si>
  <si>
    <t>Stack</t>
  </si>
  <si>
    <t>https://www.datacenterdynamics.com/en/news/data-center-developer-stack-to-expand-hillsboro-campus-by-121mw/</t>
  </si>
  <si>
    <t>Stack Infrastructure POR03A Flagship Campus</t>
  </si>
  <si>
    <t>~25300 NE Evergreen Rd</t>
  </si>
  <si>
    <t>45.5502</t>
  </si>
  <si>
    <t>-122.941696</t>
  </si>
  <si>
    <t>https://www.stackinfra.com/locations/americas/portland/por03/</t>
  </si>
  <si>
    <t>La Pine Data Center</t>
  </si>
  <si>
    <t>William Foss Rd/ Reed Rd</t>
  </si>
  <si>
    <t>La Pine</t>
  </si>
  <si>
    <t>97739</t>
  </si>
  <si>
    <t>Deschutes</t>
  </si>
  <si>
    <t>43.66909</t>
  </si>
  <si>
    <t>-121.4879</t>
  </si>
  <si>
    <t>Box Miner</t>
  </si>
  <si>
    <t>$288 million</t>
  </si>
  <si>
    <t>https://www.bendsource.com/news/localnews/after-pushback-to-la-pine-data-center-community-developers-await-next-steps/</t>
  </si>
  <si>
    <t>https://www.youtube.com/watch?v=X1y2Cqedtmk</t>
  </si>
  <si>
    <t>https://www.lapineoregon.gov/community/page/city-release-proposed-data-center</t>
  </si>
  <si>
    <t>05/23/2026</t>
  </si>
  <si>
    <t>Apple Prineville Data Center</t>
  </si>
  <si>
    <t>Prineville</t>
  </si>
  <si>
    <t>Crook</t>
  </si>
  <si>
    <t>44.28842</t>
  </si>
  <si>
    <t>-120.876</t>
  </si>
  <si>
    <t>Meta Prineville Data Center</t>
  </si>
  <si>
    <t>735 SW Connect Way</t>
  </si>
  <si>
    <t>97754</t>
  </si>
  <si>
    <t>44.295624</t>
  </si>
  <si>
    <t>-120.88721</t>
  </si>
  <si>
    <t>3,200,000</t>
  </si>
  <si>
    <t>https://www.datacenters.com/facebook-prineville</t>
  </si>
  <si>
    <t>Verrus Data Center</t>
  </si>
  <si>
    <t>Deer Park Dr SE and Turner Rd SE</t>
  </si>
  <si>
    <t>Salem</t>
  </si>
  <si>
    <t>97317</t>
  </si>
  <si>
    <t>44.87692</t>
  </si>
  <si>
    <t>-122.97173</t>
  </si>
  <si>
    <t>Sidewalk Infrastructure Partners</t>
  </si>
  <si>
    <t>Grid (unspecified mix), Batteries</t>
  </si>
  <si>
    <t>Google Dalles Data Center</t>
  </si>
  <si>
    <t>4200 Columbia Road</t>
  </si>
  <si>
    <t>The Dalles</t>
  </si>
  <si>
    <t>97058</t>
  </si>
  <si>
    <t>Wasco</t>
  </si>
  <si>
    <t>45.63318</t>
  </si>
  <si>
    <t>-121.2</t>
  </si>
  <si>
    <t>https://www.datacenterdynamics.com/en/news/google-to-upgrade-its-original-data-center-in-oregon/</t>
  </si>
  <si>
    <t>07/01/2025</t>
  </si>
  <si>
    <t>Aliquippa Data Center Campus</t>
  </si>
  <si>
    <t>81 Franklin Avenue</t>
  </si>
  <si>
    <t>Aliquippa</t>
  </si>
  <si>
    <t>PA</t>
  </si>
  <si>
    <t>15001</t>
  </si>
  <si>
    <t>Beaver</t>
  </si>
  <si>
    <t>40.630177</t>
  </si>
  <si>
    <t>-80.23629</t>
  </si>
  <si>
    <t>Five 9s Digital</t>
  </si>
  <si>
    <t>496</t>
  </si>
  <si>
    <t xml:space="preserve">Approved at the municipal level. </t>
  </si>
  <si>
    <t>Could be sized up to 500,000 sq feet. Site of former steel mill. Investement by Blackstone and PPL Corp</t>
  </si>
  <si>
    <t>Other</t>
  </si>
  <si>
    <t>https://aliquippapa.gov/wp-content/uploads/2025/02/doc07611720250225144324.pdf</t>
  </si>
  <si>
    <t>https://www.datacenterknowledge.com/energy-power-supply/pennsylvania-s-70-billion-race-for-america-s-data-centers</t>
  </si>
  <si>
    <t>01/29/2026</t>
  </si>
  <si>
    <t>Atlas Industrial Data Center</t>
  </si>
  <si>
    <t>2493 N Cedar Crest Blvd</t>
  </si>
  <si>
    <t>Allentown</t>
  </si>
  <si>
    <t>18104</t>
  </si>
  <si>
    <t>Lehigh</t>
  </si>
  <si>
    <t>40.643616</t>
  </si>
  <si>
    <t>-75.53651</t>
  </si>
  <si>
    <t>410</t>
  </si>
  <si>
    <t>https://www.facebook.com/groups/whitehallwhiners/posts/2314717255718484/</t>
  </si>
  <si>
    <t>https://www.change.org/p/oppose-the-atlas-data-center-south-whitehall-township-pa</t>
  </si>
  <si>
    <t>https://www.wfmz.com/news/area/lehighvalley/lehigh-county/western-lehigh-county/plans-for-massive-new-data-center-campus-near-parkland-high-school-emerge/article_813c3592-8181-423a-a089-699018952712.html?utm_source=SND&amp;utm_medium=social&amp;utm_campaign=WFMZ-Facebook</t>
  </si>
  <si>
    <t>https://www.msn.com/en-us/money/news/lehigh-valley-planners-get-a-look-at-another-massive-data-center-project/ar-AA1UvwCJ</t>
  </si>
  <si>
    <t>https://www.mcall.com/2026/01/20/i-do-not-want-this-in-my-backyard-south-whitehall-residents-push-back-against-proposed-data-center-at-lehigh-valley-planners-meeting/</t>
  </si>
  <si>
    <t>"Project Atlas" Edged Data Center</t>
  </si>
  <si>
    <t>2493 N. Cedar Crest Blvd</t>
  </si>
  <si>
    <t>40.643463</t>
  </si>
  <si>
    <t>-75.53656</t>
  </si>
  <si>
    <t>725</t>
  </si>
  <si>
    <t>$9 billion</t>
  </si>
  <si>
    <t>https://www.datacenterdynamics.com/en/news/edged-eyes-725mw-data-center-campus-in-pennsylvania/</t>
  </si>
  <si>
    <t>https://projectatlaspa.com/</t>
  </si>
  <si>
    <t>Data Centric LLC Data Center</t>
  </si>
  <si>
    <t>18000 Russell Rd</t>
  </si>
  <si>
    <t>Allenwood</t>
  </si>
  <si>
    <t>17810</t>
  </si>
  <si>
    <t>41.13256</t>
  </si>
  <si>
    <t>-76.9053</t>
  </si>
  <si>
    <t>$2.7 million</t>
  </si>
  <si>
    <t>Project scrapped 8/2025, uncertain whether or not the property will be developed as a data center by another company</t>
  </si>
  <si>
    <t>https://www.datacenterdynamics.com/en/news/plans-for-pennsylvania-data-center-scrapped/</t>
  </si>
  <si>
    <t>08/17/2025</t>
  </si>
  <si>
    <t>Project Gravity Data Center</t>
  </si>
  <si>
    <t>near Scranton-Carbondale Hwy</t>
  </si>
  <si>
    <t>Archbald</t>
  </si>
  <si>
    <t>18403</t>
  </si>
  <si>
    <t>Lackawanna</t>
  </si>
  <si>
    <t>41.52497</t>
  </si>
  <si>
    <t>-75.561554</t>
  </si>
  <si>
    <t>Archbald 25 Developer LLC</t>
  </si>
  <si>
    <t>6+</t>
  </si>
  <si>
    <t>https://www.thetimes-tribune.com/2025/08/19/data-center-developer-to-buy-mobile-home-park-in-archbald/</t>
  </si>
  <si>
    <t>Archbold data center overlay district proposal failed. This facility has been controversial due to the potential displacement of residents at the adjacent Valley View Estates (Jermyn Mobile Home Village). PA DEP currently reviewing a Water Obstruction and Encroachment Joint Permit Application No. E3502225-006, public hearing to be held 1/6/26. Removed from PA DEP's fast track program as of 5/1/26.</t>
  </si>
  <si>
    <t>https://www.datacenterdynamics.com/en/news/plans-filed-for-16-million-sq-ft-data-center-campus-in-northeast-pennsylvania/</t>
  </si>
  <si>
    <t>https://www.thetimes-tribune.com/2025/05/18/data-centers-could-reshape-landscape-in-nepa/</t>
  </si>
  <si>
    <t>https://www.msn.com/en-us/news/us/archbald-votes-no-to-new-data-center-ordinance/ar-AA1NQbGM</t>
  </si>
  <si>
    <t>https://www.thetimes-tribune.com/2025/10/31/developer-applies-for-22-more-data-center-buildings-in-archbald/</t>
  </si>
  <si>
    <t>https://fox56.com/news/local/archbald-residents-unite-against-unanswered-questions-on-data-centers</t>
  </si>
  <si>
    <t>https://paenvironmentdaily.blogspot.com/2025/12/dep-to-host-jan-6-public-information.html</t>
  </si>
  <si>
    <t>https://www.wvia.org/news/local/2026-05-01/fast-track-no-more-pa-kicks-archbald-data-center-campus-off-permit-program</t>
  </si>
  <si>
    <t>05/18/2026</t>
  </si>
  <si>
    <t>Project Green Mountain Data Center</t>
  </si>
  <si>
    <t>North of Salem Rd, east of Casey Hwy</t>
  </si>
  <si>
    <t>41.51297</t>
  </si>
  <si>
    <t>-75.52613</t>
  </si>
  <si>
    <t>966,000</t>
  </si>
  <si>
    <t>Back-up generator yards, a PP&amp;L-owned switchyard, a customer substation, and extended detention basins</t>
  </si>
  <si>
    <t>https://trackdatacenters.com/state/pennsylvania</t>
  </si>
  <si>
    <t>https://www.thetimes-tribune.com/2026/03/20/archbald-hearing-reveals-project-green-mountains-ties-to-other-data-center/</t>
  </si>
  <si>
    <t>Project North</t>
  </si>
  <si>
    <t>South of Gibson St</t>
  </si>
  <si>
    <t>41.524982</t>
  </si>
  <si>
    <t>-75.554184</t>
  </si>
  <si>
    <t>https://www.spotlightpa.org/news/2026/03/pennsylvania-data-centers-archbald-ai-evictions-environment</t>
  </si>
  <si>
    <t>https://grist.org/energy/the-ai-boom-has-plunged-a-small-pennsylvania-town-into-chaos/</t>
  </si>
  <si>
    <t>Project Scott</t>
  </si>
  <si>
    <t>Btwn Eynon-Jermyn Rd and Scranton-Carbondale Hwy</t>
  </si>
  <si>
    <t>41.516857</t>
  </si>
  <si>
    <t>-75.564445</t>
  </si>
  <si>
    <t>16-18</t>
  </si>
  <si>
    <t>2,592,000</t>
  </si>
  <si>
    <t>474</t>
  </si>
  <si>
    <t>Wildcat Ridge Data Center</t>
  </si>
  <si>
    <t>Scranton-Carbondale Hwy corridor</t>
  </si>
  <si>
    <t>41.50318</t>
  </si>
  <si>
    <t>-75.58995</t>
  </si>
  <si>
    <t>17,200,000</t>
  </si>
  <si>
    <t>574</t>
  </si>
  <si>
    <t>$2.1 billion</t>
  </si>
  <si>
    <t>https://www.thetimes-tribune.com/2026/03/11/wildcat-ridge-data-center-campus-faces-major-opposition-in-archbald/</t>
  </si>
  <si>
    <t>14 data centers on site. Archbold data center overlay district proposal failed.</t>
  </si>
  <si>
    <t>https://www.datacenterdynamics.com/en/news/21bn-data-center-campus-proposed-in-archbald-pennsylvania/</t>
  </si>
  <si>
    <t>https://www.spotlightpa.org/news/2026/03/pennsylvania-data-centers-archbald-ai-evictions-environment/?utm_source=ActiveCampaign&amp;utm_medium=email&amp;utm_content=6%20data%20centers%20%20One%20PA%20borough&amp;utm_campaign=PA%20Post%2003%2019%2026%20%28Copy%29</t>
  </si>
  <si>
    <t>Nautilus crypto mine</t>
  </si>
  <si>
    <t>1375 Electron Ave</t>
  </si>
  <si>
    <t>Berwick</t>
  </si>
  <si>
    <t>18603</t>
  </si>
  <si>
    <t>Luzerne</t>
  </si>
  <si>
    <t>41.08303</t>
  </si>
  <si>
    <t>-76.1527</t>
  </si>
  <si>
    <t>https://investors.terawulf.com/news-events/press-releases/detail/85/terawulf-announces-august-2024-production-and-operations</t>
  </si>
  <si>
    <t>05/19/2025</t>
  </si>
  <si>
    <t>QTS Salem</t>
  </si>
  <si>
    <t>West of Susquehanna Nuclear Power Plant</t>
  </si>
  <si>
    <t>41.092793</t>
  </si>
  <si>
    <t>-76.16732</t>
  </si>
  <si>
    <t>12-17</t>
  </si>
  <si>
    <t>https://www.datacenterdynamics.com/en/news/qts-acquires-1700-acres-of-land-in-pennsylvania-for-data-center-development/</t>
  </si>
  <si>
    <t>Tierpoint Bethlehem Data Center</t>
  </si>
  <si>
    <t>3864 Courtney Street, Ste 130</t>
  </si>
  <si>
    <t>Bethlehem</t>
  </si>
  <si>
    <t>18017</t>
  </si>
  <si>
    <t>Northampton</t>
  </si>
  <si>
    <t>40.67062</t>
  </si>
  <si>
    <t>-75.37491</t>
  </si>
  <si>
    <t>Tierpoint</t>
  </si>
  <si>
    <t>https://www.tierpoint.com/data-centers/pennsylvania/bethlehem/#BET</t>
  </si>
  <si>
    <t>Tierpoint Lehigh Valley Data Center</t>
  </si>
  <si>
    <t>3949 Schelden Circle</t>
  </si>
  <si>
    <t>18107</t>
  </si>
  <si>
    <t>40.675163</t>
  </si>
  <si>
    <t>-75.37803</t>
  </si>
  <si>
    <t>https://www.tierpoint.com/data-centers/pennsylvania/lehigh-valley/</t>
  </si>
  <si>
    <t>Blakely Data Center</t>
  </si>
  <si>
    <t>Terrace Dr corridor</t>
  </si>
  <si>
    <t>18447</t>
  </si>
  <si>
    <t>41.48713</t>
  </si>
  <si>
    <t>-75.59684</t>
  </si>
  <si>
    <t>121</t>
  </si>
  <si>
    <t>Local residents / grassroots opposition (large public meetings + zoning reform)</t>
  </si>
  <si>
    <t>Blakely passed a zoning amendment that confines data centers to a specific overlay district</t>
  </si>
  <si>
    <t>https://www.yahoo.com/news/articles/convenience-store-developer-proposes-ai-000500338.html</t>
  </si>
  <si>
    <t>https://www.thetimes-tribune.com/2025/08/13/blakely-data-center-meeting-draws-large-crowd-opposition/</t>
  </si>
  <si>
    <t>https://www.wnep.com/article/news/local/lackawanna-county/data-center-developer-withdraws-proposal-for-blakely-construction/523-976b3357-7ae2-4da0-b0f5-55eb44fb7afa</t>
  </si>
  <si>
    <t>https://blakelydata.com/</t>
  </si>
  <si>
    <t>https://www.wnep.com/article/news/local/lackawanna-county/data-center-lackawanna-county-archbald-blakely-jessup-council-votes/523-627d1d15-f8e2-436e-be39-732ec3ee3b26</t>
  </si>
  <si>
    <t>1137 Branchton Rd</t>
  </si>
  <si>
    <t>Boyers</t>
  </si>
  <si>
    <t>16020</t>
  </si>
  <si>
    <t>41.09156</t>
  </si>
  <si>
    <t>-79.913376</t>
  </si>
  <si>
    <t>15.5</t>
  </si>
  <si>
    <t>330,000</t>
  </si>
  <si>
    <t>Iron Mountain’s WPA-1 data center is located 220 feet underground, using a natural cooling lake to optimize energy efficiency and offer security and protection</t>
  </si>
  <si>
    <t>https://www.ironmountain.com/data-centers/locations/pennsylvania-data-center</t>
  </si>
  <si>
    <t>https://www.ironmountain.com/data-centers/about/news-and-events/news/2024/december/data-centers-inside-the-underground-iron-mountain-in-butler-county</t>
  </si>
  <si>
    <t>11/21/2025</t>
  </si>
  <si>
    <t>Tierpoint Allentown TekPark Data Center</t>
  </si>
  <si>
    <t>9999 Hamilton Blvd</t>
  </si>
  <si>
    <t>Breinigsville</t>
  </si>
  <si>
    <t>18031</t>
  </si>
  <si>
    <t>40.543934</t>
  </si>
  <si>
    <t>-75.649666</t>
  </si>
  <si>
    <t>122,000</t>
  </si>
  <si>
    <t>https://www.tierpoint.com/data-centers/pennsylvania/allentown-tekpark/</t>
  </si>
  <si>
    <t>Starpointe Industrial Park Data Center</t>
  </si>
  <si>
    <t>Starpointe Blvd</t>
  </si>
  <si>
    <t>Burgettstown</t>
  </si>
  <si>
    <t>15021</t>
  </si>
  <si>
    <t>40.431973</t>
  </si>
  <si>
    <t>-80.42476</t>
  </si>
  <si>
    <t>Hypothetical site for data center</t>
  </si>
  <si>
    <t>https://www.weirtondailytimes.com/news/business/2024/12/starpointe-industrial-park-sale-is-finalized/</t>
  </si>
  <si>
    <t>https://www.msn.com/en-us/news/us/hanover-township-passes-ordinance-to-regulate-potential-data-centers/ar-AA1ZM2Fc</t>
  </si>
  <si>
    <t>https://www.bizjournals.com/pittsburgh/news/2026/03/27/heres-where-the-big-data-project-centers-are.html</t>
  </si>
  <si>
    <t>04/07/2026</t>
  </si>
  <si>
    <t>PAX-1 Data Center</t>
  </si>
  <si>
    <t>Country Club Rd corridor</t>
  </si>
  <si>
    <t>Carlisle</t>
  </si>
  <si>
    <t>17015</t>
  </si>
  <si>
    <t>40.2481</t>
  </si>
  <si>
    <t>-77.1092</t>
  </si>
  <si>
    <t>PowerHouse Data Centers / Pennsylvania Data Center Partners</t>
  </si>
  <si>
    <t>1350-1800</t>
  </si>
  <si>
    <t>3-18</t>
  </si>
  <si>
    <t>5,000,000</t>
  </si>
  <si>
    <t>$26-$44 billion</t>
  </si>
  <si>
    <t>Plans for 3 hyperscale data centers. Includes construction of 450 MW substation</t>
  </si>
  <si>
    <t>https://www.pennlive.com/news/2025/06/another-central-pa-community-creates-space-for-a-data-center.html</t>
  </si>
  <si>
    <t>https://www.pennlive.com/business/2025/07/26-billion-in-data-center-projects-coming-to-central-pa.html</t>
  </si>
  <si>
    <t>https://www.datacenterdynamics.com/en/news/powerhouse-eyes-700-acre-data-center-campus-in-south-central-pennsylvania-report/</t>
  </si>
  <si>
    <t>https://www.wgal.com/article/pennsylvania-digital-1-project-details/65629251</t>
  </si>
  <si>
    <t>https://local21news.com/news/local/a-new-data-center-might-be-build-in-cumberland-county-and-its-700-acres-ai-carlisle-artificial-intelligence-pennsylvania-data-center-partners-powerhouse-pa</t>
  </si>
  <si>
    <t>https://www.datacenterdynamics.com/en/news/data-center-and-energy-firms-plan-90bn-investment-in-pennsylvania/</t>
  </si>
  <si>
    <t>https://www.fox43.com/article/news/local/cumberland-county/pennsylvania-data-centers-cumberland-county-middlesex-township/521-e1751c89-dc9c-4727-8ddd-45a27e7a0556</t>
  </si>
  <si>
    <t>04/29/2026</t>
  </si>
  <si>
    <t>Clarks Summit Data Center</t>
  </si>
  <si>
    <t>near 980 Newton Rd</t>
  </si>
  <si>
    <t>Clarks Summit</t>
  </si>
  <si>
    <t>18411</t>
  </si>
  <si>
    <t>41.450073</t>
  </si>
  <si>
    <t>-75.7125</t>
  </si>
  <si>
    <t>290,400</t>
  </si>
  <si>
    <t>https://www.datacenterdynamics.com/en/news/two-building-data-center-campus-proposed-in-northeast-pennsylvania/</t>
  </si>
  <si>
    <t>https://www.wvia.org/news/local/2026-04-10/proposed-newton-data-center-campus-is-10th-planned-for-lackawanna-county</t>
  </si>
  <si>
    <t>Project Gold Data Center</t>
  </si>
  <si>
    <t>along Rt 380 between Covington and Clifton</t>
  </si>
  <si>
    <t>Clifton Twship</t>
  </si>
  <si>
    <t>18424</t>
  </si>
  <si>
    <t>41.24829</t>
  </si>
  <si>
    <t>-75.5166</t>
  </si>
  <si>
    <t>9,400,000</t>
  </si>
  <si>
    <t>https://nodatacenter.net/</t>
  </si>
  <si>
    <t>Facility size could be 4,400,000-9,400,000 sq feet</t>
  </si>
  <si>
    <t>https://www.citizensvoice.com/2025/08/11/senate-data-center-hearing-at-valley-view-largely-touts-benefits/</t>
  </si>
  <si>
    <t>07/18/2025</t>
  </si>
  <si>
    <t>Flexential Collegeville Data Center</t>
  </si>
  <si>
    <t>101 Troutman Rd</t>
  </si>
  <si>
    <t>Collegeville</t>
  </si>
  <si>
    <t>19426</t>
  </si>
  <si>
    <t>40.152084</t>
  </si>
  <si>
    <t>-75.476875</t>
  </si>
  <si>
    <t>7.2</t>
  </si>
  <si>
    <t>203,703</t>
  </si>
  <si>
    <t>https://www.flexential.com/data-centers/pa/philadelphia/collegeville-data-center</t>
  </si>
  <si>
    <t>Plymouth Township Data Center</t>
  </si>
  <si>
    <t>900 Conshohocken Rd</t>
  </si>
  <si>
    <t>Conshohocken (Plymouth Township)</t>
  </si>
  <si>
    <t>19428</t>
  </si>
  <si>
    <t>40.087204</t>
  </si>
  <si>
    <t>-75.31887</t>
  </si>
  <si>
    <t>https://www.change.org/p/no-conshy-or-plymouth-data-centers</t>
  </si>
  <si>
    <t>Rezoning proposal rejected. Proposed at the site of the recently closed Cleveland-Cliffs steel mill</t>
  </si>
  <si>
    <t>https://www.datacenterdynamics.com/en/news/planning-agency-of-plymouth-township-pennsylvania-votes-not-to-recommend-data-center-proposal/</t>
  </si>
  <si>
    <t>https://whyy.org/articles/conshohocken-pennsylvania-residents-pushback-data-center-proposal/</t>
  </si>
  <si>
    <t>https://vista.today/2025/11/fight-against-conshohocken-data-center/</t>
  </si>
  <si>
    <t>https://www.inquirer.com/news/pennsylvania/ai-data-center-construction-conshohocken-proposal-withdrawn-20251118.html</t>
  </si>
  <si>
    <t>https://datacenterwatch.substack.com/p/briefing-11212025</t>
  </si>
  <si>
    <t>03/22/2026</t>
  </si>
  <si>
    <t>Energy Capital Partners</t>
  </si>
  <si>
    <t>near 1055 Pikes Peak Rd</t>
  </si>
  <si>
    <t>Delta</t>
  </si>
  <si>
    <t>17314</t>
  </si>
  <si>
    <t>York</t>
  </si>
  <si>
    <t>39.75768</t>
  </si>
  <si>
    <t>-76.2754</t>
  </si>
  <si>
    <t>Calpine (Energy Capital Parners)</t>
  </si>
  <si>
    <t>828</t>
  </si>
  <si>
    <t>Will be housed at the site of the York 2 Energy Center owned by Calpine Corporation</t>
  </si>
  <si>
    <t>https://www.datacenterdynamics.com/en/news/energy-capital-partners-announces-plans-for-5bn-pennsylvania-data-center/</t>
  </si>
  <si>
    <t>https://www.yorkdispatch.com/story/news/local/2025/07/18/york-county-to-host-5-billion-data-center-in-peach-bottom/85270282007/</t>
  </si>
  <si>
    <t xml:space="preserve">MRP </t>
  </si>
  <si>
    <t>Betw Amity Rd, Susquehanna Trail, and Hwy 322/22</t>
  </si>
  <si>
    <t>Duncannon</t>
  </si>
  <si>
    <t>17020</t>
  </si>
  <si>
    <t>Perry</t>
  </si>
  <si>
    <t>40.432003</t>
  </si>
  <si>
    <t>-77.006775</t>
  </si>
  <si>
    <t>1,380,000</t>
  </si>
  <si>
    <t>Originally proposed as "warehouse"</t>
  </si>
  <si>
    <t>https://www.datacenterdynamics.com/en/news/developer-may-build-data-center-instead-of-warehouse-in-perry-county-pennsylvania/</t>
  </si>
  <si>
    <t>Smithfield Gateway Data Center</t>
  </si>
  <si>
    <t>Mosier Farm Dr corridor, Smithfield Township</t>
  </si>
  <si>
    <t>East Stroudsburg</t>
  </si>
  <si>
    <t>18301</t>
  </si>
  <si>
    <t>41.00482</t>
  </si>
  <si>
    <t>-75.14695</t>
  </si>
  <si>
    <t>Gateway Development</t>
  </si>
  <si>
    <t>https://www.change.org/p/stop-the-massive-data-center-in-east-stroudsburg-pa</t>
  </si>
  <si>
    <t>https://www.datacenterdynamics.com/en/news/data-center-could-come-to-stroudsburg-pennsylvania/</t>
  </si>
  <si>
    <t>https://smithfieldtownship.com/odp/gatewaysketch/</t>
  </si>
  <si>
    <t>viLogics Ebensburg</t>
  </si>
  <si>
    <t>378 Industrial Park Rd</t>
  </si>
  <si>
    <t>Ebensburg</t>
  </si>
  <si>
    <t>15931</t>
  </si>
  <si>
    <t>Cambria</t>
  </si>
  <si>
    <t>40.45876</t>
  </si>
  <si>
    <t>-78.758766</t>
  </si>
  <si>
    <t>viLogics</t>
  </si>
  <si>
    <t>Fully Built-Out Whitespace: 2,500 sq.f.</t>
  </si>
  <si>
    <t>https://vilogics.com/</t>
  </si>
  <si>
    <t>Sentinel Data Center</t>
  </si>
  <si>
    <t>Swedesford Rd, east of Valley Creek Blvd</t>
  </si>
  <si>
    <t>Exton</t>
  </si>
  <si>
    <t>19341</t>
  </si>
  <si>
    <t>Chester</t>
  </si>
  <si>
    <t>40.039886</t>
  </si>
  <si>
    <t>-75.5847</t>
  </si>
  <si>
    <t>Sentinel</t>
  </si>
  <si>
    <t>887,000</t>
  </si>
  <si>
    <t>Brownfield, former Foote Mineral Co. Superfund Site</t>
  </si>
  <si>
    <t>https://www.datacenterdynamics.com/en/news/developer-says-it-will-build-larger-data-center-if-plans-for-smaller-facility-near-philadelphia-go-unapproved/</t>
  </si>
  <si>
    <t xml:space="preserve">Archbald Data Center </t>
  </si>
  <si>
    <t>Former Highway Auto Parts site</t>
  </si>
  <si>
    <t>Eynon</t>
  </si>
  <si>
    <t>41.51232</t>
  </si>
  <si>
    <t>-75.5583</t>
  </si>
  <si>
    <t>PDC Realty LLC</t>
  </si>
  <si>
    <t>620,000</t>
  </si>
  <si>
    <t>84</t>
  </si>
  <si>
    <t>$1.6 million</t>
  </si>
  <si>
    <t>https://www.spotlightpa.org/news/2026/03/pennsylvania-data-centers-archbald-ai-evictions-environment/</t>
  </si>
  <si>
    <t>3 data centers total. Proposed at the site of former Highway Auto Parts junkyard</t>
  </si>
  <si>
    <t>https://www.thetimes-tribune.com/2025/05/14/developer-seeks-to-convert-archbald-junkyard-to-data-centers/</t>
  </si>
  <si>
    <t>https://www.datacenterdynamics.com/en/news/junkyard-in-pennsylvania-acquired-developer-files-to-develop-data-center-campus/</t>
  </si>
  <si>
    <t>Fairview Crossroads Data Center</t>
  </si>
  <si>
    <t>I-83 &amp; Lewisberry Rd</t>
  </si>
  <si>
    <t>Fairview Township</t>
  </si>
  <si>
    <t>17070</t>
  </si>
  <si>
    <t>40.206436</t>
  </si>
  <si>
    <t>-76.871</t>
  </si>
  <si>
    <t>Fairview Crossroads LLC</t>
  </si>
  <si>
    <t>82</t>
  </si>
  <si>
    <t>~$500 million</t>
  </si>
  <si>
    <t>On June 28 2025, the Board of Supervisors approved a zoning ordinance change to allow data centers as a conditional use.</t>
  </si>
  <si>
    <t>https://www.pennlive.com/business/2025/07/750000-square-foot-data-center-planned-along-interstate-83.html</t>
  </si>
  <si>
    <t>https://www.datacenterdynamics.com/en/news/750000-sq-ft-data-center-could-be-built-in-fairview-township-pennsylvania/</t>
  </si>
  <si>
    <t>https://www.fox43.com/article/news/local/york-county/500-million-data-center-fairview-township-york-county/521-81526e0c-e19d-4211-adaf-d2cee8ecda8f</t>
  </si>
  <si>
    <t>https://twp.fairview.pa.us/Portals/0/Documents/Ordinances/Ord_%202025-03%20Zoning%20Text%20Amendment-Data%20Centers.pdf?ver=lnIE88kB2GVscYisHhcOOA%3d%3d</t>
  </si>
  <si>
    <t>Ark Pittsburgh Data Center</t>
  </si>
  <si>
    <t>161 Armstrong Drive</t>
  </si>
  <si>
    <t>Freeport</t>
  </si>
  <si>
    <t>16229</t>
  </si>
  <si>
    <t>Armstrong</t>
  </si>
  <si>
    <t>40.752384</t>
  </si>
  <si>
    <t>-79.63733</t>
  </si>
  <si>
    <t>11,200</t>
  </si>
  <si>
    <t>https://www.arkdna.com/data-centers/pennsylvania/</t>
  </si>
  <si>
    <t>CloudHQ Berks 61 Hyperscale Campus</t>
  </si>
  <si>
    <t>Berks 61 Industrial Park (near PA-61/I-78)</t>
  </si>
  <si>
    <t>Hamburg</t>
  </si>
  <si>
    <t>19526</t>
  </si>
  <si>
    <t>Berks</t>
  </si>
  <si>
    <t>40.57368</t>
  </si>
  <si>
    <t>-76.01037</t>
  </si>
  <si>
    <t>CloudHQ</t>
  </si>
  <si>
    <t>https://www.datacenterfrontier.com/site-selection/article/55281341/pennsylvanias-homer-city-energy-campus-a-brownfield-transformed-for-data-center-innovation</t>
  </si>
  <si>
    <t xml:space="preserve">Harrisburg Data Center </t>
  </si>
  <si>
    <t>650 S Harrisburg St</t>
  </si>
  <si>
    <t>Harrisburg</t>
  </si>
  <si>
    <t>17113</t>
  </si>
  <si>
    <t>Dauphin</t>
  </si>
  <si>
    <t>40.22755</t>
  </si>
  <si>
    <t>-76.8093</t>
  </si>
  <si>
    <t>Provident Realty (Harrisburg I, LLC)</t>
  </si>
  <si>
    <t>$45.6 million</t>
  </si>
  <si>
    <t>Dauphin Highlands Golf Course will remain open until the tentative sale closing date of December 31, 2027</t>
  </si>
  <si>
    <t>https://www.datacenterdynamics.com/en/news/golf-course-set-to-become-data-center-in-dauphin-county-pennsylvania/</t>
  </si>
  <si>
    <t>https://www.fox43.com/article/news/local/dauphin-county/dauphin-highlands-golf-course-to-be-sold-456-million-to-build-new-data-center/521-0b9bf4e4-3d23-438f-a74f-4d373640f428</t>
  </si>
  <si>
    <t>Project Hazelnut</t>
  </si>
  <si>
    <t>Humboldt North Industrial Park, N Park Dr</t>
  </si>
  <si>
    <t>Hazelton</t>
  </si>
  <si>
    <t>18202</t>
  </si>
  <si>
    <t>40.9272</t>
  </si>
  <si>
    <t>-76.0426</t>
  </si>
  <si>
    <t>NorthPoint Development</t>
  </si>
  <si>
    <t>1280</t>
  </si>
  <si>
    <t>https://fox56.com/news/local/crowd-of-100-gathers-in-hazle-twp-as-supervisor-board-votes-down-proposed-data-center</t>
  </si>
  <si>
    <t>https://www.foodandwaterwatch.org/</t>
  </si>
  <si>
    <t>https://www.facebook.com/share/g/1MmD3egK9Z/</t>
  </si>
  <si>
    <t>https://www.timesleader.com/news/1685632/luzerne-county-real-estate-tax-break-requested-for-15-building-data-center-in-hazle-township</t>
  </si>
  <si>
    <t>https://www.foodandwaterwatch.org/2025/11/18/hazle-township-pa-unanimously-rejects-data-center-campus/</t>
  </si>
  <si>
    <t>https://www.2822news.com/news/local-news/outcry-grows-over-proposed-data-center-campus/</t>
  </si>
  <si>
    <t>Homer City Energy Campus</t>
  </si>
  <si>
    <t>1750 Power Plant Rd</t>
  </si>
  <si>
    <t>Homer City</t>
  </si>
  <si>
    <t>15748</t>
  </si>
  <si>
    <t>Indiana</t>
  </si>
  <si>
    <t>40.51395</t>
  </si>
  <si>
    <t>-79.1967</t>
  </si>
  <si>
    <t>Homer City Redevelopment (with Kiewit as contractor/partner)</t>
  </si>
  <si>
    <t>4500</t>
  </si>
  <si>
    <t>Yes - Homer City Generating Station</t>
  </si>
  <si>
    <t>3200</t>
  </si>
  <si>
    <t xml:space="preserve">In December 2025, Clean Air Council, PennFuture, and Sierra Club filed an appeal of the development's permit with the PA Environmental Hearing Board. Learn more at: https://cleanair.org/homer-city-air-permit-appeal/ </t>
  </si>
  <si>
    <t>https://www.concernedresidentsofwesternpa.com/</t>
  </si>
  <si>
    <t>https://www.protectpt.org/data-center</t>
  </si>
  <si>
    <t>Site of Homer City Generating Station (former coal plant)</t>
  </si>
  <si>
    <t>https://triblive.com/local/regional/developers-offer-details-on-planned-natural-gas-fueled-power-generating-plant-in-homer-city/</t>
  </si>
  <si>
    <t>https://www.datacenterdynamics.com/en/news/homer-city-and-kiewit-unveil-plans-for-45gw-natural-gas-powered-ai-data-center-in-pennsylvania/</t>
  </si>
  <si>
    <t>https://triblive.com/local/regional/dep-gives-preliminary-nod-to-homer-city-plant-but-enviromental-group-sounds-alarm-regarding-pollution/</t>
  </si>
  <si>
    <t>https://www.homercityredevelopment.com/project-overview</t>
  </si>
  <si>
    <t>https://www.indianagazette.com/news/environmental-advocates-pa-youths-appeal-permit-for-homer-city-energy-campus/article_7a34ee2f-e81a-41e0-9138-a25f5cbd9de4.html?fbclid=IwY2xjawPp60BleHRuA2FlbQIxMQBzcnRjBmFwcF9pZBAyMjIwMzkxNzg4MjAwODkyAAEeRuDRB7oOPRZeqxrV5GLOlv4YEkleEG7D6Ml3jQPSw4r0bhIaswlYqUZ15sg_aem_7zjyQqhwcx_teLrh61aVDA</t>
  </si>
  <si>
    <t>https://www.businesswire.com/news/home/20260401716982/en/Homer-City-Redevelopment-Crosses-the-First-Steel-Threshold</t>
  </si>
  <si>
    <t xml:space="preserve"> HCI DP Land Acquisition Data Center</t>
  </si>
  <si>
    <t>off Wagner St</t>
  </si>
  <si>
    <t>Hummelstown</t>
  </si>
  <si>
    <t>17036</t>
  </si>
  <si>
    <t>40.278946</t>
  </si>
  <si>
    <t>-76.70091</t>
  </si>
  <si>
    <t>596,800</t>
  </si>
  <si>
    <t>former quarry</t>
  </si>
  <si>
    <t>https://www.datacenterdynamics.com/en/news/data-centers-planned-at-former-quarry-in-dauphin-county-pennsylvania/</t>
  </si>
  <si>
    <t>Breaker Street Associates LLC Data Center</t>
  </si>
  <si>
    <t>off Breaker St</t>
  </si>
  <si>
    <t>Jessup</t>
  </si>
  <si>
    <t>18434</t>
  </si>
  <si>
    <t>41.47588</t>
  </si>
  <si>
    <t>-75.5564</t>
  </si>
  <si>
    <t>Breaker Street Associates LLC</t>
  </si>
  <si>
    <t>131</t>
  </si>
  <si>
    <t>The application was filed before Jessup adopted its new data center zoning so the project is grandfathered under the older rules. A zoning appeal is underway concerning infrastructure planned in a residential zone.</t>
  </si>
  <si>
    <t>Catalyst Commercial Development LLC</t>
  </si>
  <si>
    <t>Sunnyside Rd and Alberigi Dr</t>
  </si>
  <si>
    <t>18435</t>
  </si>
  <si>
    <t>41.46812</t>
  </si>
  <si>
    <t>-75.5516</t>
  </si>
  <si>
    <t>487,000</t>
  </si>
  <si>
    <t>https://web.archive.org/web/20250917231914/https://www.thetimes-tribune.com/2025/09/16/developer-shifts-from-warehouse-to-data-center-by-power-plant-in-jessup/</t>
  </si>
  <si>
    <t>Jim Thorpe Data Center</t>
  </si>
  <si>
    <t>460 Maury Rd</t>
  </si>
  <si>
    <t>Jim Thorpe</t>
  </si>
  <si>
    <t>8229</t>
  </si>
  <si>
    <t>Carbon</t>
  </si>
  <si>
    <t>40.895737</t>
  </si>
  <si>
    <t>-75.68105</t>
  </si>
  <si>
    <t>https://www.facebook.com/p/Penn-Forest-Residents-Against-Data-Center-61580305181244/</t>
  </si>
  <si>
    <t>https://www.wfmz.com/news/area/poconos-coal/carbon-county/penn-forest-community-discusses-potential-data-center/article_266fe14e-2bc7-474d-88a1-f309707f90af.html</t>
  </si>
  <si>
    <t>https://www.tnonline.com/20250911/data-center-on-rt-903-discussed/</t>
  </si>
  <si>
    <t>02/05/2026</t>
  </si>
  <si>
    <t>Bitfarm Scrubgrass</t>
  </si>
  <si>
    <t>2151 Lisbon Road</t>
  </si>
  <si>
    <t>Kennerdell</t>
  </si>
  <si>
    <t>16374</t>
  </si>
  <si>
    <t>Venango</t>
  </si>
  <si>
    <t>41.26942</t>
  </si>
  <si>
    <t>-79.81057</t>
  </si>
  <si>
    <t>https://www.tomshardware.com/tech-industry/cryptomining/major-bitcoin-mining-firm-pivoting-to-ai-plans-to-fully-abandon-crypto-mining-by-2027-bitfarm-to-leverage-341-megawatt-capacity-for-ai-following-usd46-million-q3-loss</t>
  </si>
  <si>
    <t>https://bitfarms.com/our-portfolio/data-centers/north-america/</t>
  </si>
  <si>
    <t>DaSTOR Data Center</t>
  </si>
  <si>
    <t>3400 Horizon Drive</t>
  </si>
  <si>
    <t>King of Prussia</t>
  </si>
  <si>
    <t>19406</t>
  </si>
  <si>
    <t>40.08822</t>
  </si>
  <si>
    <t>-75.339264</t>
  </si>
  <si>
    <t>DaSTOR</t>
  </si>
  <si>
    <t>https://dastorllc.com/locations/#horizon</t>
  </si>
  <si>
    <t>CoreWeave Lancaster 1</t>
  </si>
  <si>
    <t>216 Greenfield Rd</t>
  </si>
  <si>
    <t>17601</t>
  </si>
  <si>
    <t>40.0485</t>
  </si>
  <si>
    <t>-76.2598</t>
  </si>
  <si>
    <t>Chirisa Technology Parks and Machine Investment Group/CoreWeave</t>
  </si>
  <si>
    <t>100-300</t>
  </si>
  <si>
    <t>Cost and MW for both sites, 72 backup diesel generators, former printing press building. Despite public pressure to reject the data centers, Lancaster entered into a CBA with Chirisa Technology Parks for two data center campuses. The deal requires the developer to use 100% clean energy for the first 10 years (with a minimum of 60% thereafter), limits water usage to 20,000 gallons per day per campus, enforces strict noise standards, and contributes $20 million to city economic development and sustainability funds</t>
  </si>
  <si>
    <t>https://www.datacenterdynamics.com/en/news/coreweave-plans-6bn-data-center-in-lancaster-pennsylvania/</t>
  </si>
  <si>
    <t>https://web.archive.org/web/20250727192710/https://lancasteronline.com/opinion/editorials/we-have-numerous-questions-about-the-new-data-center-planned-for-lancaster-city-editorial/article_c2cf2479-33f1-4425-921f-1fac8b46f7df.html</t>
  </si>
  <si>
    <t>https://www.fox43.com/article/news/local/lancaster-outlines-new-community-agreement-with-data-centers-communty-lancaster-county/521-ff141d3b-7896-472f-9351-6c74a4c85bd1</t>
  </si>
  <si>
    <t>CoreWeave Lancaster 2</t>
  </si>
  <si>
    <t>1375 Harrisburg Pike</t>
  </si>
  <si>
    <t>40.05947</t>
  </si>
  <si>
    <t>-76.33</t>
  </si>
  <si>
    <t>825,000</t>
  </si>
  <si>
    <t>Lumen: Lancaster 1 Data Center</t>
  </si>
  <si>
    <t>1720 Hempstead Rd</t>
  </si>
  <si>
    <t>40.049385</t>
  </si>
  <si>
    <t>-76.25195</t>
  </si>
  <si>
    <t>5,000</t>
  </si>
  <si>
    <t>PA Data Center Partners</t>
  </si>
  <si>
    <t>Miflin County Industrial Park, Loop Rd</t>
  </si>
  <si>
    <t>Lewistown</t>
  </si>
  <si>
    <t>17044</t>
  </si>
  <si>
    <t>Miflin</t>
  </si>
  <si>
    <t>40.568882</t>
  </si>
  <si>
    <t>-77.61606</t>
  </si>
  <si>
    <t>https://www.datacenterdynamics.com/en/news/plans-for-data-center-submitted-in-mifflin-county-pennsylvania-just-two-days-before-local-moratorium-vote/</t>
  </si>
  <si>
    <t>AWS Data Center</t>
  </si>
  <si>
    <t>Lofty Rd</t>
  </si>
  <si>
    <t>McAdoo/ Kline Twp</t>
  </si>
  <si>
    <t>18237</t>
  </si>
  <si>
    <t>Schuylkill</t>
  </si>
  <si>
    <t>40.86813</t>
  </si>
  <si>
    <t>-76.024254</t>
  </si>
  <si>
    <t>346</t>
  </si>
  <si>
    <t>https://www.datacenterdynamics.com/en/news/aws-plans-25-million-sq-ft-data-center-campus-in-kline-township-pennsylvania/</t>
  </si>
  <si>
    <t>Fort Cherry Data Center</t>
  </si>
  <si>
    <t>Fort Cherry Road</t>
  </si>
  <si>
    <t>McDonald</t>
  </si>
  <si>
    <t>15057</t>
  </si>
  <si>
    <t>40.35888</t>
  </si>
  <si>
    <t>-80.26809</t>
  </si>
  <si>
    <t xml:space="preserve"> Multi-tenant industrial park, flex logistics space, and high-density data center facilities</t>
  </si>
  <si>
    <t>Liberty Energy</t>
  </si>
  <si>
    <t xml:space="preserve">750 million </t>
  </si>
  <si>
    <t>https://www.robinsonwater.com/</t>
  </si>
  <si>
    <t>https://centerforcoalfieldjustice.org/</t>
  </si>
  <si>
    <t>https://imperialland.com/fort-cherry-development-district/</t>
  </si>
  <si>
    <t>https://www.datacenterdynamics.com/en/news/liberty-energy-range-resources-ilc-to-build-gas-plant-for-data-centers-in-pennsylvania/</t>
  </si>
  <si>
    <t>Northern Data/ Ardent Data Center</t>
  </si>
  <si>
    <t>615 McMichael Rd</t>
  </si>
  <si>
    <t>McKees Rock</t>
  </si>
  <si>
    <t>15136</t>
  </si>
  <si>
    <t>Allegheny</t>
  </si>
  <si>
    <t>40.43956</t>
  </si>
  <si>
    <t>-80.1421</t>
  </si>
  <si>
    <t>41,000</t>
  </si>
  <si>
    <t>$7.12 million</t>
  </si>
  <si>
    <t>https://www.datacenterdynamics.com/en/news/northern-data-launches-data-center-in-pittsburgh-pennsylvania/</t>
  </si>
  <si>
    <t>Mawson Midland Data Center</t>
  </si>
  <si>
    <t>950 10th St</t>
  </si>
  <si>
    <t>Midland</t>
  </si>
  <si>
    <t>15059</t>
  </si>
  <si>
    <t>40.632298</t>
  </si>
  <si>
    <t>-80.45189</t>
  </si>
  <si>
    <t>Mawson Infrastructure Group</t>
  </si>
  <si>
    <t>Bitcoin and data mining operation converting to data centers, former steel mill site</t>
  </si>
  <si>
    <t>https://www.gem.wiki/Mawson_Infrastructure_Group_Beaver_County_facility</t>
  </si>
  <si>
    <t>https://www.post-gazette.com/business/tech-news/2026/02/08/beaver-valley-data-centers-shippingport-aligned/stories/202602080033</t>
  </si>
  <si>
    <t>https://www.cbsnews.com/pittsburgh/news/ai-infrastructure-beaver-valley/</t>
  </si>
  <si>
    <t>Robena Mine Data Center/ Project Hummingbird</t>
  </si>
  <si>
    <t>Former Robena Mine site</t>
  </si>
  <si>
    <t>Monongahela Township</t>
  </si>
  <si>
    <t>15338</t>
  </si>
  <si>
    <t>Greene</t>
  </si>
  <si>
    <t>39.83526</t>
  </si>
  <si>
    <t>-79.942505</t>
  </si>
  <si>
    <t>Essential Utilities/ International Electric Power of Pittsburgh</t>
  </si>
  <si>
    <t>Yes - Greene County Power Station</t>
  </si>
  <si>
    <t>The first phase of work approved by Greene County Planning Commission. Could use up to 17 mil gallons of water/day</t>
  </si>
  <si>
    <t>https://www.heraldstandard.com/gcm/2025/oct/16/data-center-project-announced-for-greene-county/</t>
  </si>
  <si>
    <t>https://www.observer-reporter.com/uncategorized/2025/oct/16/data-center-project-announced-for-greene-county/</t>
  </si>
  <si>
    <t>https://www.observer-reporter.com/uncategorized/2025/dec/19/greene-county-planners-ok-early-work-on-proposed-data-center-site/</t>
  </si>
  <si>
    <t>11/10/2025</t>
  </si>
  <si>
    <t>Amazon Falls Township Data Center</t>
  </si>
  <si>
    <t>1000 S Pennsylvania Ave</t>
  </si>
  <si>
    <t>Morrisville</t>
  </si>
  <si>
    <t>19067</t>
  </si>
  <si>
    <t>Bucks</t>
  </si>
  <si>
    <t>40.15494</t>
  </si>
  <si>
    <t>-74.744415</t>
  </si>
  <si>
    <t>Labeled as a"digital infrastructure campus" planned at the Keystone Trade Center in Fairless Hills (formerly owned by US Steel) as part of a statewide investment. Project being fast tracked by the PA DEP (https://www.pa.gov/agencies/oto/fasttrack/fallstownshipdatacenterdevelopment)</t>
  </si>
  <si>
    <t>https://www.datacenterdynamics.com/en/news/falls-township-approves-nda-for-data-center-project-outside-philadelphia-in-pennsylvania/</t>
  </si>
  <si>
    <t>https://technical.ly/civics/amazon-20b-pennsylvania-cloud-ai/</t>
  </si>
  <si>
    <t>https://www.fallstwp.com/resources/news/article/?id=10070</t>
  </si>
  <si>
    <t>Dorrance Township Data Center</t>
  </si>
  <si>
    <t>S Main Rd corridor</t>
  </si>
  <si>
    <t>Mountain Top</t>
  </si>
  <si>
    <t>18707</t>
  </si>
  <si>
    <t>41.080692</t>
  </si>
  <si>
    <t>-75.95785</t>
  </si>
  <si>
    <t>Brewster Land Company, LLC</t>
  </si>
  <si>
    <t>918,000</t>
  </si>
  <si>
    <t>https://www.gofundme.com/f/support-our-fight-against-data-center-development</t>
  </si>
  <si>
    <t>https://www.datacenterdynamics.com/en/news/municipal-leaders-debate-data-center-zoning-ordinance-in-dorrance-township-pennsylvania/</t>
  </si>
  <si>
    <t>https://web.archive.org/web/20251010033215/https://www.citizensvoice.com/2025/10/08/developer-challenges-dorrance-twp-zoning-ordinance-arguing-it-unlawfully-excluded-data-centers/</t>
  </si>
  <si>
    <t>Muncy Data Center</t>
  </si>
  <si>
    <t>572-824 John Brady Dr</t>
  </si>
  <si>
    <t>Muncy</t>
  </si>
  <si>
    <t>17756</t>
  </si>
  <si>
    <t>Lycoming</t>
  </si>
  <si>
    <t>41.22825</t>
  </si>
  <si>
    <t>-76.81257</t>
  </si>
  <si>
    <t>Danko Holdings II LP and Fishlips LLC</t>
  </si>
  <si>
    <t>Approved only hours before Muncy data center moratorium implemented. Also includes six water tanks, two stormwater basins, water and sewage treatment facilities, a substation, and a security building.</t>
  </si>
  <si>
    <t>https://www.northcentralpa.com/business/williamsport-company-proposes-data-center-in-muncy-township/article_003d97a3-bddd-4d12-ba00-8efb4ba98fa4.html#google_vignette</t>
  </si>
  <si>
    <t>https://www.sungazette.com/uncategorized/2026/06/data-center-proposed-in-muncy-township/</t>
  </si>
  <si>
    <t>https://www.sungazette.com/news/top-news/2026/07/muncy-township-solicitor-data-center-filings-are-inconsistent/</t>
  </si>
  <si>
    <t>06/09/2026</t>
  </si>
  <si>
    <t>Bitfarm Bitcoin Panther Creek</t>
  </si>
  <si>
    <t>4 Dennison Rd</t>
  </si>
  <si>
    <t>Nesquehoning</t>
  </si>
  <si>
    <t>18240</t>
  </si>
  <si>
    <t>40.8556</t>
  </si>
  <si>
    <t>-75.8781</t>
  </si>
  <si>
    <t>BitFarms/T5</t>
  </si>
  <si>
    <t>60-80</t>
  </si>
  <si>
    <t>Bitcoin facility that is transitioning to AI. Located on site of closed Panther Creek Waste Coal-fired Power Plant in Carbon County</t>
  </si>
  <si>
    <t>https://paenvironmentdaily.blogspot.com/2025/08/bitfarms-announces-partnership-to.html</t>
  </si>
  <si>
    <t>https://investor.bitfarms.com/news-releases/news-release-details/bitfarms-announces-partnership-t5-data-centers-advance-hpcai</t>
  </si>
  <si>
    <t>Bitfarms AI</t>
  </si>
  <si>
    <t>Industrial Rd</t>
  </si>
  <si>
    <t>40.85592</t>
  </si>
  <si>
    <t>-75.87033</t>
  </si>
  <si>
    <t>Bitfarms</t>
  </si>
  <si>
    <t>1,260,000</t>
  </si>
  <si>
    <t>$315 million</t>
  </si>
  <si>
    <t>Claim to use 3000 gal/ day of water</t>
  </si>
  <si>
    <t>https://www.tnonline.com/20251120/bitfarms-details-data-center-plan-job-potential/</t>
  </si>
  <si>
    <t>Powder Mills Site Data Center</t>
  </si>
  <si>
    <t>3478 Howard Dr</t>
  </si>
  <si>
    <t>16102</t>
  </si>
  <si>
    <t>40.989223</t>
  </si>
  <si>
    <t>-80.42953</t>
  </si>
  <si>
    <t>https://www.change.org/p/preserve-the-rural-character-of-mahoning-township-and-surrounding-area-in-lawrence-county</t>
  </si>
  <si>
    <t>Former dynamite plant</t>
  </si>
  <si>
    <t>https://www.datacenterdynamics.com/en/news/data-center-campus-proposed-at-former-dynamite-factory-site-in-lawrence-county-pennsylvania/</t>
  </si>
  <si>
    <t>KRNL Data Center</t>
  </si>
  <si>
    <t>Constellation Energy</t>
  </si>
  <si>
    <t>New Castle Twp</t>
  </si>
  <si>
    <t>17931</t>
  </si>
  <si>
    <t>40.7742</t>
  </si>
  <si>
    <t>-76.235</t>
  </si>
  <si>
    <t>850,000</t>
  </si>
  <si>
    <t>8 stories high, land negotiations currently</t>
  </si>
  <si>
    <t>https://www.facebook.com/photo?fbid=10237319121305210&amp;set=gm.1273615847314795&amp;idorvanity=400148284661560</t>
  </si>
  <si>
    <t>Upper Burrell Data Center/TECfusions Keystone Connect</t>
  </si>
  <si>
    <t>100 Technical Ln</t>
  </si>
  <si>
    <t>New Kensington (Upper Burrell)</t>
  </si>
  <si>
    <t>15068</t>
  </si>
  <si>
    <t>Westmoreland</t>
  </si>
  <si>
    <t>40.5489</t>
  </si>
  <si>
    <t>-79.6466</t>
  </si>
  <si>
    <t>TECfusions/TensorWave</t>
  </si>
  <si>
    <t>12-3,000</t>
  </si>
  <si>
    <t>1395</t>
  </si>
  <si>
    <t>In former Alcoa plant site, onsite gas generation and microgrid</t>
  </si>
  <si>
    <t>https://www.prnewswire.com/news-releases/tecfusions-unveils-massive-1400-acre-data-center-project-in-pennsylvania-revitalizing-former-industrial-plant-302350041.html</t>
  </si>
  <si>
    <t>https://triblive.com/local/valley-news-dispatch/upper-burrell-data-center-to-use-natural-gas-for-more-than-2-gigawatts-of-power-generation/</t>
  </si>
  <si>
    <t>https://www.spotlightpa.org/news/2025/10/pennsylvania-data-centers-community-opposition-ai-development-environment/</t>
  </si>
  <si>
    <t>https://www.datacenterdynamics.com/en/news/tecfusions-acquires-former-manufacturing-site-outside-pittsburgh-pennsylvania-for-3gw-data-center-site/</t>
  </si>
  <si>
    <t>https://tecfusions.com/?clarksville#solutions-newkensington</t>
  </si>
  <si>
    <t>https://triblive.com/local/valley-news-dispatch/upper-burrell-data-center-nets-first-tenant-at-former-alcoa-research-site/</t>
  </si>
  <si>
    <t>Tierpoint Valley Forge Data Center</t>
  </si>
  <si>
    <t>1000 Adams Ave</t>
  </si>
  <si>
    <t>Norristown</t>
  </si>
  <si>
    <t>19403</t>
  </si>
  <si>
    <t>40.1223</t>
  </si>
  <si>
    <t>-75.42087</t>
  </si>
  <si>
    <t>137,000</t>
  </si>
  <si>
    <t>https://www.tierpoint.com/data-centers/pennsylvania/valley-forge/</t>
  </si>
  <si>
    <t>365 Data Centers Philadelphia Data Center</t>
  </si>
  <si>
    <t>1500 Spring Garden Street</t>
  </si>
  <si>
    <t>Philadelphia</t>
  </si>
  <si>
    <t>19103</t>
  </si>
  <si>
    <t>39.962574</t>
  </si>
  <si>
    <t>-75.16374</t>
  </si>
  <si>
    <t>135,100</t>
  </si>
  <si>
    <t>https://365datacenters.com/philadelphia-data-center-2/</t>
  </si>
  <si>
    <t>H5 Philadelphia Data Center</t>
  </si>
  <si>
    <t>1500 Spring Garden St., Suite 520</t>
  </si>
  <si>
    <t>39.96254</t>
  </si>
  <si>
    <t>-75.16369</t>
  </si>
  <si>
    <t>72,000</t>
  </si>
  <si>
    <t>https://h5datacenters.com/philadelphia-data-center.html</t>
  </si>
  <si>
    <t>https://h5datacenters.com/slick_philadelphia.pdf</t>
  </si>
  <si>
    <t>Lumen Philadelphia 1</t>
  </si>
  <si>
    <t>401 N Broad Street</t>
  </si>
  <si>
    <t>19108</t>
  </si>
  <si>
    <t>39.959843</t>
  </si>
  <si>
    <t>-75.160965</t>
  </si>
  <si>
    <t>https://www.lumen.com/en-us/resources/network-maps.html</t>
  </si>
  <si>
    <t>Lumen Philadelphia 2</t>
  </si>
  <si>
    <t>701 Market Street</t>
  </si>
  <si>
    <t>19106</t>
  </si>
  <si>
    <t>39.951508</t>
  </si>
  <si>
    <t>-75.15258</t>
  </si>
  <si>
    <t>Lumen Philadelphia 3</t>
  </si>
  <si>
    <t>3020 Market Street</t>
  </si>
  <si>
    <t>19104</t>
  </si>
  <si>
    <t>39.95495</t>
  </si>
  <si>
    <t>-75.1846</t>
  </si>
  <si>
    <t>Lumen Philadelphia 4</t>
  </si>
  <si>
    <t>2401 Locust St</t>
  </si>
  <si>
    <t>39.95055</t>
  </si>
  <si>
    <t>-75.18009</t>
  </si>
  <si>
    <t>Netrality Philadelphia Data Center</t>
  </si>
  <si>
    <t>401 N Broad Street Suite 990</t>
  </si>
  <si>
    <t>39.960106</t>
  </si>
  <si>
    <t>-75.161545</t>
  </si>
  <si>
    <t>Netrality</t>
  </si>
  <si>
    <t>https://netrality.com/data-center/401-north-broad-philadelphia/</t>
  </si>
  <si>
    <t xml:space="preserve">Philadelphia IBX Data Center </t>
  </si>
  <si>
    <t>401 N Broad Street, Suite 990</t>
  </si>
  <si>
    <t>39.959885</t>
  </si>
  <si>
    <t>-75.16155</t>
  </si>
  <si>
    <t>https://www.equinix.com/data-centers/americas-colocation/united-states-colocation/philadelphia-data-centers/ph1</t>
  </si>
  <si>
    <t>Philadelphia Vanguard Data Center</t>
  </si>
  <si>
    <t>2000 Kubach Rd</t>
  </si>
  <si>
    <t>19116</t>
  </si>
  <si>
    <t>40.116432</t>
  </si>
  <si>
    <t>-75.00086</t>
  </si>
  <si>
    <t>The Vanguard Group</t>
  </si>
  <si>
    <t>121,000</t>
  </si>
  <si>
    <t>http://property.compstak.com/2000-Kubach-Road-Philadelphia/p/72300</t>
  </si>
  <si>
    <t>Tierpoint Philadelphia Navy Yard Data Center</t>
  </si>
  <si>
    <t>4775 League Island Blvd</t>
  </si>
  <si>
    <t>19112</t>
  </si>
  <si>
    <t>39.892517</t>
  </si>
  <si>
    <t>-75.166374</t>
  </si>
  <si>
    <t>http://tierpoint.com/data-centers/pennsylvania/philadelphia/#PHI</t>
  </si>
  <si>
    <t>3701 Market Street</t>
  </si>
  <si>
    <t>Philadephia</t>
  </si>
  <si>
    <t>39.956966</t>
  </si>
  <si>
    <t>-75.19623</t>
  </si>
  <si>
    <t>20,500</t>
  </si>
  <si>
    <t>https://365datacenters.com/philadelphia-data-center/</t>
  </si>
  <si>
    <t>Ascent Data</t>
  </si>
  <si>
    <t>90 Beta Dr</t>
  </si>
  <si>
    <t>Pittsburgh</t>
  </si>
  <si>
    <t>15238</t>
  </si>
  <si>
    <t>40.49623</t>
  </si>
  <si>
    <t>-79.866455</t>
  </si>
  <si>
    <t>Consolidated Communications Pittsburgh Data Center</t>
  </si>
  <si>
    <t>115 Evergreen Heights Dr</t>
  </si>
  <si>
    <t>15229</t>
  </si>
  <si>
    <t>40.5186</t>
  </si>
  <si>
    <t>-80.0152</t>
  </si>
  <si>
    <t>65000</t>
  </si>
  <si>
    <t>https://www.consolidated.com/business/medium-enterprise/data-center-services/locations/pennsylvania</t>
  </si>
  <si>
    <t xml:space="preserve">DataBank Downtown Pittsburgh Campus </t>
  </si>
  <si>
    <t>100 S Commons #126</t>
  </si>
  <si>
    <t>15212</t>
  </si>
  <si>
    <t>40.451286</t>
  </si>
  <si>
    <t>-80.00508</t>
  </si>
  <si>
    <t>1.9</t>
  </si>
  <si>
    <t>30,760</t>
  </si>
  <si>
    <t>Located inside NOVA Place, the renovated Allegheny Technology Center Mall</t>
  </si>
  <si>
    <t>https://www.databank.com/data-centers/pittsburgh/100-south-commons/</t>
  </si>
  <si>
    <t xml:space="preserve">DataBank Summit Park Campus </t>
  </si>
  <si>
    <t>35 Summit Park Dr</t>
  </si>
  <si>
    <t>15275</t>
  </si>
  <si>
    <t>40.45133</t>
  </si>
  <si>
    <t>-80.1902</t>
  </si>
  <si>
    <t>47,100</t>
  </si>
  <si>
    <t>https://www.databank.com/data-centers/pittsburgh/summit-park-campus/</t>
  </si>
  <si>
    <t>Expedient PIT1</t>
  </si>
  <si>
    <t>810 Parish St</t>
  </si>
  <si>
    <t>15220</t>
  </si>
  <si>
    <t>40.42745</t>
  </si>
  <si>
    <t>-80.0425</t>
  </si>
  <si>
    <t>1.8</t>
  </si>
  <si>
    <t>26,000</t>
  </si>
  <si>
    <t>https://www.expedient.com/data-centers/pittsburgh/</t>
  </si>
  <si>
    <t>Expedient PIT2</t>
  </si>
  <si>
    <t>100 S Commons Suite 001</t>
  </si>
  <si>
    <t>40.45128</t>
  </si>
  <si>
    <t>-80.0056</t>
  </si>
  <si>
    <t>4.2</t>
  </si>
  <si>
    <t>50,700</t>
  </si>
  <si>
    <t>H5 Pittsburgh</t>
  </si>
  <si>
    <t>2202 Liberty Ave</t>
  </si>
  <si>
    <t>15222</t>
  </si>
  <si>
    <t>40.451946</t>
  </si>
  <si>
    <t>-79.980896</t>
  </si>
  <si>
    <t>https://h5datacenters.com/pittsburgh-data-center.html</t>
  </si>
  <si>
    <t>Lumen: Pittsburgh Data Center 1</t>
  </si>
  <si>
    <t>143 25th Street</t>
  </si>
  <si>
    <t>15023</t>
  </si>
  <si>
    <t>40.45482</t>
  </si>
  <si>
    <t>-79.98007</t>
  </si>
  <si>
    <t>3,661</t>
  </si>
  <si>
    <t>Lumen: Pittsurgh Data Center 2</t>
  </si>
  <si>
    <t>200 Technology Drive</t>
  </si>
  <si>
    <t>15219</t>
  </si>
  <si>
    <t>40.430367</t>
  </si>
  <si>
    <t>-79.95969</t>
  </si>
  <si>
    <t>30,966</t>
  </si>
  <si>
    <t>Pottstown Data Center</t>
  </si>
  <si>
    <t>2345 New Schuylkill Rd and Sanatoga Rds</t>
  </si>
  <si>
    <t>Pottstown</t>
  </si>
  <si>
    <t>19465</t>
  </si>
  <si>
    <t>40.21353</t>
  </si>
  <si>
    <t>-75.596565</t>
  </si>
  <si>
    <t>5-20</t>
  </si>
  <si>
    <t>2,250,000</t>
  </si>
  <si>
    <t>Facility size estimated between 450,000 - 2,250,000 sq feet</t>
  </si>
  <si>
    <t>https://www.datacenterdynamics.com/en/news/14-million-sq-ft-data-center-campus-planned-outside-philadelphia-pennsylvania/</t>
  </si>
  <si>
    <t>https://eastcoventry-pa.gov/vertical/sites/%7BA2FA46C5-686F-4B16-8376-0BDF39FCC483%7D/uploads/Constellation_Application_BOS-25-002.pdf</t>
  </si>
  <si>
    <t>Project Laurel</t>
  </si>
  <si>
    <t>Sanatoga Rd, Possum Hollow Rd, Evergreen Rd</t>
  </si>
  <si>
    <t>19464</t>
  </si>
  <si>
    <t>40.234047</t>
  </si>
  <si>
    <t>-75.5769</t>
  </si>
  <si>
    <t>MCD 7 LLC</t>
  </si>
  <si>
    <t>https://www.change.org/p/oppose-data-centers-in-linfield-and-limerick</t>
  </si>
  <si>
    <t>https://www.limerickpa.org/AgendaCenter/ViewFile/Agenda/_01082026-612?fbclid=IwZXh0bgNhZW0CMTAAYnJpZBExb3RUV2s2NlBnWW1GUU0xZXNydGMGYXBwX2lkEDIyMjAzOTE3ODgyMDA4OTIAAR4x3Vge5famrtF2lACHuKQJONinPG2f-bbYqqqmsfBMaiRHM4_ImgqrazahkQ_aem_wmrdy1BZYJs01DybQZ5gYA</t>
  </si>
  <si>
    <t>Ransom Township Data Center</t>
  </si>
  <si>
    <t>819 Newton Rd</t>
  </si>
  <si>
    <t>Ransom Twp</t>
  </si>
  <si>
    <t>18504</t>
  </si>
  <si>
    <t>41.44154</t>
  </si>
  <si>
    <t>-75.704315</t>
  </si>
  <si>
    <t>251</t>
  </si>
  <si>
    <t>https://www.facebook.com/groups/2297149624011296</t>
  </si>
  <si>
    <t>https://www.datacenterdynamics.com/en/news/zoning-amendment-rejected-for-data-center-in-ransom-township-pennsylvania/</t>
  </si>
  <si>
    <t>DaSTOR (Reading) Data Center</t>
  </si>
  <si>
    <t>2561 Bernville Road</t>
  </si>
  <si>
    <t>19605</t>
  </si>
  <si>
    <t>40.380787</t>
  </si>
  <si>
    <t>-75.98114</t>
  </si>
  <si>
    <t>https://dastorllc.com/locations/</t>
  </si>
  <si>
    <t>Direct LTx Cloud Data Center</t>
  </si>
  <si>
    <t>2561 Bernville Rd</t>
  </si>
  <si>
    <t>40.381546</t>
  </si>
  <si>
    <t>-75.98202</t>
  </si>
  <si>
    <t>Directlink Technologies</t>
  </si>
  <si>
    <t>https://www.directltx.com/facility-information</t>
  </si>
  <si>
    <t>Omega Systems Reading Data Center</t>
  </si>
  <si>
    <t>1121 Snyder Road</t>
  </si>
  <si>
    <t>19609</t>
  </si>
  <si>
    <t>40.34144</t>
  </si>
  <si>
    <t>-76.00547</t>
  </si>
  <si>
    <t>Omega</t>
  </si>
  <si>
    <t>https://omegasystemscorp.com/company/locations/</t>
  </si>
  <si>
    <t>Champion Data Center Project</t>
  </si>
  <si>
    <t>Champion Drive</t>
  </si>
  <si>
    <t xml:space="preserve">Robinson Township </t>
  </si>
  <si>
    <t>40.49</t>
  </si>
  <si>
    <t>-80.23</t>
  </si>
  <si>
    <t>Hyperscale AI/Data Center Campus</t>
  </si>
  <si>
    <t>Marketed as a hyperscale-ready development in Robinson Township. Listed in preliminary activity/land advertisement stage.</t>
  </si>
  <si>
    <t>https://www.linkedin.com/posts/brian-patten-land_datacenter-hyperscaleinfrastructure-aiinfrastructure-activity-7437127674243792896-b8tM</t>
  </si>
  <si>
    <t>https://www.instagram.com/p/DVs-cYRDQwE/</t>
  </si>
  <si>
    <t>Dickson City Development LLC s</t>
  </si>
  <si>
    <t>Above Business Rte 6</t>
  </si>
  <si>
    <t>Scranton/ Dickson City</t>
  </si>
  <si>
    <t>18508</t>
  </si>
  <si>
    <t>41.47686</t>
  </si>
  <si>
    <t>-75.638275</t>
  </si>
  <si>
    <t>588,000</t>
  </si>
  <si>
    <t>4 buildings spread out above highway over 1.5 miles</t>
  </si>
  <si>
    <t>https://web.archive.org/web/20260122015716/https://www.thetimes-tribune.com/2025/12/12/data-center-developer-tied-to-projects-in-archbald-blakely-moves-to-dickson-city/</t>
  </si>
  <si>
    <t>https://www.yahoo.com/news/articles/data-center-developer-tied-projects-010500418.html?guccounter=1&amp;guce_referrer=aHR0cHM6Ly93d3cuZ29vZ2xlLmNvbS8&amp;guce_referrer_sig=AQAAAGAfMKpS12TP6ZDloqn1sMuj2eDrOqFfWscZMBNm2rDp5hWip__GoHpNdhSqv5t3ApCn-ybzAaKm1iljvQAp8zHHZuk1aw_ypw6l-33IXEIL6uBs8IThHSEX_54eaWzlhSZ0aMc5p_T9oLqEil8ZpnExPyKQjBeLow6C-3jXK3Vd</t>
  </si>
  <si>
    <t>https://web.archive.org/web/20260522005447/https://www.thetimes-tribune.com/2026/05/21/dickson-city-denies-data-center-developers-zoning-challenge/</t>
  </si>
  <si>
    <t>Bitfarm Bitcoin mine</t>
  </si>
  <si>
    <t>Sharon</t>
  </si>
  <si>
    <t>16146</t>
  </si>
  <si>
    <t>41.234673</t>
  </si>
  <si>
    <t>-80.493576</t>
  </si>
  <si>
    <t>30-110</t>
  </si>
  <si>
    <t>201 Clark St</t>
  </si>
  <si>
    <t>41.24472</t>
  </si>
  <si>
    <t>-80.50655</t>
  </si>
  <si>
    <t>Bitcoin facility to be demolished and converted to AI</t>
  </si>
  <si>
    <t>https://www.datacenterdynamics.com/en/news/bitfarms-to-convert-washington-cryptomine-to-hpcai-hosting/</t>
  </si>
  <si>
    <t>https://www.datacenterdynamics.com/en/news/zoning-board-of-sharon-pa-approves-planned-expansion-of-keel-infrastructures-existing-data-center-development/</t>
  </si>
  <si>
    <t>Shippingport Bruce Mansfield Data Center/Project Phoenix</t>
  </si>
  <si>
    <t>1312 Church St</t>
  </si>
  <si>
    <t>Shippingport</t>
  </si>
  <si>
    <t>40.63213</t>
  </si>
  <si>
    <t>-80.4145</t>
  </si>
  <si>
    <t>3600</t>
  </si>
  <si>
    <t>650</t>
  </si>
  <si>
    <t>$3.2 billion</t>
  </si>
  <si>
    <t>https://www.marcellusawareness.org/</t>
  </si>
  <si>
    <t>Former Bruce Mansfield Coal Plant. Will use a new natural gas power plant that has stated it will employ more than 300 people. Land is owned by Frontier Group of Companies. Nvidia, Microsoft, BlackRock, and xAI are part of a consortium of investors own Aligned Data Centers. Plans include three data centers, each larger than 600,000 square feet, as well as a warehouse, natural gas power generation pad, stormwater management facilities and 250 parking spots. Meta signed deal to purchase power from the Beaver Valley Nuclear Plant nearby. The council of the Borough of Shippingport held a public hearing in late February 2026 and approved a conditional use permit request from Aligned</t>
  </si>
  <si>
    <t>https://www.post-gazette.com/business/powersource/2025/08/03/shippingport-mansfield-data-center/stories/202508030081</t>
  </si>
  <si>
    <t>https://frontier-companies.com/the-frontier-group-of-companies-to-transform-bruce-mansfield-power-plant-into-state-of-the-art-natural-gas-power-plant-supporting-americas-energy-goals-and-pennsylvanias-economic-gr/</t>
  </si>
  <si>
    <t>https://www.businesswire.com/news/home/20250715103342/en/The-Frontier-Group-of-Companies-to-Transform-Bruce-Mansfield-Power-Plant-into-State-of-the-Art-Natural-Gas-Power-Plant-Supporting-Americas-Energy-Goals-and-Pennsylvanias-Economic-Growth</t>
  </si>
  <si>
    <t>https://pioga.org/bruce-mansfield-plant-in-beaver-county-to-undergo-3-2-billion-transformation-into-natural-gas-power-plant/</t>
  </si>
  <si>
    <t>https://triblive.com/local/regional/sprawling-data-center-campus-proposed-next-to-old-bruce-mansfield-power-plant-in-shippingport/</t>
  </si>
  <si>
    <t>https://www.alleghenyfront.org/meta-beaver-valley-nuclear-power-plant-ai-data-centers/</t>
  </si>
  <si>
    <t>https://www.datacenterdynamics.com/en/news/shippingport-industrial-park/</t>
  </si>
  <si>
    <t>South Annville Data Center</t>
  </si>
  <si>
    <t>Mt Pleasant Rd</t>
  </si>
  <si>
    <t>South Annville Twp</t>
  </si>
  <si>
    <t>17003</t>
  </si>
  <si>
    <t>40.32545</t>
  </si>
  <si>
    <t>-76.526855</t>
  </si>
  <si>
    <t>Inch &amp; Company</t>
  </si>
  <si>
    <t>640,000</t>
  </si>
  <si>
    <t>$1.7 billion</t>
  </si>
  <si>
    <t>https://www.datacenterdynamics.com/en/news/17bn-data-center-could-be-built-in-lebanon-county-pennsylvania/</t>
  </si>
  <si>
    <t>https://www.datacenterdynamics.com/en/news/plan-for-17bn-data-center-in-lebanon-county-pennsylvania-withdrawn-by-developer/</t>
  </si>
  <si>
    <t>Zediker Station Data Center</t>
  </si>
  <si>
    <t>off Zediker Station Rd</t>
  </si>
  <si>
    <t>South Strabane Township</t>
  </si>
  <si>
    <t>15330</t>
  </si>
  <si>
    <t>40.17106</t>
  </si>
  <si>
    <t>-80.16807</t>
  </si>
  <si>
    <t>CNX Resources/Jones Lang LaSalle (JLL)</t>
  </si>
  <si>
    <t>500-700</t>
  </si>
  <si>
    <t xml:space="preserve"> Remediated Mine Gas</t>
  </si>
  <si>
    <t>https://www.wesa.fm/environment-energy/2025-10-21/washington-county-carbon-neutral-data-center-development</t>
  </si>
  <si>
    <t>https://www.cbsnews.com/pittsburgh/news/south-strabane-township-zediker-station-data-center/</t>
  </si>
  <si>
    <t>https://www.observer-reporter.com/news/local-news/2025/dec/18/potential-data-center-dominates-conversation-in-south-strabane/?fbclid=IwY2xjawPp655leHRuA2FlbQIxMQBzcnRjBmFwcF9pZBAyMjIwMzkxNzg4MjAwODkyAAEeq1A8M0BwHyZlR_UBi_EQSCtxI3rupAP_Q32J3uclg7hvRecKWd_feP_nGMw_aem_fXhl6mY5DVAi72rRjvgz2Q</t>
  </si>
  <si>
    <t>https://www.alleghenyfront.org/washington-county-data-center-development/</t>
  </si>
  <si>
    <t>Pennhurst Data Center</t>
  </si>
  <si>
    <t>1205 Commonwealth Dr</t>
  </si>
  <si>
    <t>Spring City (East Vincent Township)</t>
  </si>
  <si>
    <t>19475</t>
  </si>
  <si>
    <t>40.194553</t>
  </si>
  <si>
    <t>-75.56007</t>
  </si>
  <si>
    <t>Pennhurst Holdings LLC</t>
  </si>
  <si>
    <t>https://www.change.org/p/protect-pennhurst-from-data-center-development</t>
  </si>
  <si>
    <t>Site of former psychiatric hospital near Philadelphia</t>
  </si>
  <si>
    <t>https://www.datacenterdynamics.com/en/news/new-regulations-could-stall-plan-to-convert-former-psychiatric-hospital-near-philadelphia-into-data-center/</t>
  </si>
  <si>
    <t>https://www.eastvincent.org/vertical/sites/%7B5B8F1E55-6CA8-450E-BB40-12A8385B1313%7D/uploads/Latest_Revised_Version_of_Data_Center_Ordinance_-10.5.25.pdf</t>
  </si>
  <si>
    <t>https://www.eastvincent.org/index.asp?SEC=015E8651-3650-4039-87BA-9B4C74591337&amp;DE=66A36F14-8175-4B3D-8A4D-23727AFD8324</t>
  </si>
  <si>
    <t>https://6abc.com/post/east-vincent-township-pa-debates-data-center-ordinance-amid-community-concerns/18149953/</t>
  </si>
  <si>
    <t>Springdale/ Dynamo Data Center</t>
  </si>
  <si>
    <t>151 Porter St</t>
  </si>
  <si>
    <t>Springdale</t>
  </si>
  <si>
    <t>15144</t>
  </si>
  <si>
    <t>40.53866</t>
  </si>
  <si>
    <t>-79.7906</t>
  </si>
  <si>
    <t>Allegheny DC Property Co</t>
  </si>
  <si>
    <t>Still needs Subdivision and Land Development Ordinance (SALDO) approval</t>
  </si>
  <si>
    <t>Proposed on the site of the former Cheswick Generating Station, a 565 MW coal-fired power plant.  On 11/17/25 Springdale Planning Commission OKs data center project. On 12/16/25 Springdale borough council voted 5-2 to grant a conditional use permit to Allegheny DC Property Company. New design released by developer in June for a two-story, 565,000-square-foot building that will hold the energy and data infrastructure, diesel generators and a closed-loop cooling system.</t>
  </si>
  <si>
    <t>https://triblive.com/local/valley-news-dispatch/site-of-former-springdale-power-plant-to-be-sold-to-data-center-developer/</t>
  </si>
  <si>
    <t>https://www.post-gazette.com/business/powersource/2025/05/13/nrg-data-center-gas-energy/stories/202505130085</t>
  </si>
  <si>
    <t>https://triblive.com/local/valley-news-dispatch/springdale-planning-commission-to-review-plans-for-proposed-massive-data-center/</t>
  </si>
  <si>
    <t>https://www.cbsnews.com/pittsburgh/news/proposed-ai-data-center-springdale/</t>
  </si>
  <si>
    <t>https://triblive.com/local/valley-news-dispatch/springdale-planning-commission-oks-data-center-project-proposal-moves-to-council/</t>
  </si>
  <si>
    <t>https://www.wesa.fm/environment-energy/2025-12-16/pittsburgh-area-hyperscale-data-center-gets-green-light</t>
  </si>
  <si>
    <t>https://www.wpxi.com/news/local/developers-unveil-changes-springdale-data-center-plan/QWE2YJ2H4NAKLGV6MQUDMTOXYE/</t>
  </si>
  <si>
    <t>12/17/2025</t>
  </si>
  <si>
    <t>Centre WISP SCDC1</t>
  </si>
  <si>
    <t>2038 Sandy Dr</t>
  </si>
  <si>
    <t>State College</t>
  </si>
  <si>
    <t>16803</t>
  </si>
  <si>
    <t>Centre</t>
  </si>
  <si>
    <t>40.785908</t>
  </si>
  <si>
    <t>-77.90064</t>
  </si>
  <si>
    <t>Centre WISP Venture Company, LLC</t>
  </si>
  <si>
    <t>McKees Rocks Rock Point Industrial Site Data Center</t>
  </si>
  <si>
    <t>Nichol Avenue</t>
  </si>
  <si>
    <t>Stowe Township</t>
  </si>
  <si>
    <t>40.480453</t>
  </si>
  <si>
    <t>-80.06048</t>
  </si>
  <si>
    <t>SunCap Property Group</t>
  </si>
  <si>
    <t>Proposed at the retired Rock Point Industrial site</t>
  </si>
  <si>
    <t>https://www.cbsnews.com/pittsburgh/news/proposed-data-center-stowe-township/</t>
  </si>
  <si>
    <t>LBT Investment Group LLC Data Center</t>
  </si>
  <si>
    <t>near 42 Tomhicken Rd</t>
  </si>
  <si>
    <t>Sugarloaf</t>
  </si>
  <si>
    <t>18249</t>
  </si>
  <si>
    <t>40.97039</t>
  </si>
  <si>
    <t>-76.0435</t>
  </si>
  <si>
    <t>185</t>
  </si>
  <si>
    <t>$4.8 billion</t>
  </si>
  <si>
    <t>Possibly for Amazon? Plan includes 10 acres for substations</t>
  </si>
  <si>
    <t>https://www.standardspeaker.com/2025/07/16/this-is-a-real-onslaught/</t>
  </si>
  <si>
    <t>Tarentum (Rockpointe) Data Center</t>
  </si>
  <si>
    <t>400 MSA Dr</t>
  </si>
  <si>
    <t>Tarentum</t>
  </si>
  <si>
    <t>15084</t>
  </si>
  <si>
    <t>40.60163</t>
  </si>
  <si>
    <t>-79.8196</t>
  </si>
  <si>
    <t>Soltier Cryptomine</t>
  </si>
  <si>
    <t>133 Sullivan St</t>
  </si>
  <si>
    <t>Towanda</t>
  </si>
  <si>
    <t>18848</t>
  </si>
  <si>
    <t>Bradford</t>
  </si>
  <si>
    <t>41.76507</t>
  </si>
  <si>
    <t>-76.42684</t>
  </si>
  <si>
    <t>Soltier</t>
  </si>
  <si>
    <t>https://www.datacenterdynamics.com/en/news/soltier-cryptomine-proposal-delayed-in-bradford-county-pennsylvania/</t>
  </si>
  <si>
    <t>Upper Macungie Data Center</t>
  </si>
  <si>
    <t>7300 Cetronia Road</t>
  </si>
  <si>
    <t>Upper Macungie</t>
  </si>
  <si>
    <t>18106</t>
  </si>
  <si>
    <t>40.55624</t>
  </si>
  <si>
    <t>-75.59831</t>
  </si>
  <si>
    <t>Deal not finished yet, Air Products still owns land</t>
  </si>
  <si>
    <t>https://www.mcall.com/2025/11/12/large-data-center-in-the-works-for-former-air-products-site-in-upper-macungie/</t>
  </si>
  <si>
    <t>https://www.mcall.com/2025/11/09/talking-business-with-becky-bradley-the-rise-of-data-centers-crypto-mines-and-smart-manufacturing-and-how-the-lehigh-valley-is-planning-for-it/</t>
  </si>
  <si>
    <t>https://www.wfmz.com/news/area/lehighvalley/lehigh-county/western-lehigh-county/like-spaghetti-on-the-wall-lvpc-finds-air-products-data-center-plans-lacking/article_6ef5e836-0002-445b-9e52-67f272b8c393.html</t>
  </si>
  <si>
    <t>03/18/2026</t>
  </si>
  <si>
    <t>Switch Pitt Race Data Center</t>
  </si>
  <si>
    <t>201 Penndale Road</t>
  </si>
  <si>
    <t>Wampum</t>
  </si>
  <si>
    <t>16157</t>
  </si>
  <si>
    <t>40.851284</t>
  </si>
  <si>
    <t>-80.34748</t>
  </si>
  <si>
    <t>382</t>
  </si>
  <si>
    <t>$80-200 million</t>
  </si>
  <si>
    <t>https://www.change.org/p/save-pitt-race-from-closure/u/33957563</t>
  </si>
  <si>
    <t>Former site of Pitt Race, previous owners confirmed that they sold to a developer and the developer plans to build a gas-fired power plant + data center</t>
  </si>
  <si>
    <t>https://www.theautopian.com/one-of-the-east-coasts-best-race-tracks-is-reportedly-closing-for-good/</t>
  </si>
  <si>
    <t>https://www.post-gazette.com/business/tech-news/2026/06/03/data-center-beaver-county-pitt-race/stories/202606030047</t>
  </si>
  <si>
    <t>https://www.wtae.com/article/community-pushes-back-proposed-data-center-campus-big-beaver-borough/71477091</t>
  </si>
  <si>
    <t xml:space="preserve">Salem Township Amazon Data Center </t>
  </si>
  <si>
    <t>off US-11</t>
  </si>
  <si>
    <t>Wapwallopen</t>
  </si>
  <si>
    <t>41.109283</t>
  </si>
  <si>
    <t>-76.14361</t>
  </si>
  <si>
    <t>960</t>
  </si>
  <si>
    <t>Yes - Susquehanna Nuclear Plant</t>
  </si>
  <si>
    <t>1582</t>
  </si>
  <si>
    <t>https://www.facebook.com/p/Concerned-Citizens-of-Montour-County-100064748140999/</t>
  </si>
  <si>
    <t>Next to Susquehanna Nuclear Plant, which it will draw power from. AWS successfully rezoned 1,600 acres in the area to “Special Data Center Overlay District" in May 2024. It represents one of the largest private investments in Pennsylvania. This project is being fast tracked by the PA DEP (https://www.pa.gov/agencies/oto/fasttrack/salemtownshipdatacenterdevelopment)</t>
  </si>
  <si>
    <t>https://spectrum.ieee.org/amazon-data-center-nuclear-power</t>
  </si>
  <si>
    <t>https://www.facebook.com/TheDailyItem/posts/danville-a-group-calling-itself-the-concerned-citizens-of-montour-county-has-for/1369932341805122/</t>
  </si>
  <si>
    <t>https://www.thewellnews.com/energy/amazon-to-spend-20b-on-data-centers-including-one-next-to-a-nuclear-power-plant/</t>
  </si>
  <si>
    <t>https://www.citizensvoice.com/2024/05/29/salem-twp-rezones-1582-acres-for-multibillion-dollar-amazon-data-center-campus-near-power-plants/</t>
  </si>
  <si>
    <t>https://www.datacenterdynamics.com/en/news/amazon-to-invest-20bn-in-data-centers-in-pennsylvania/</t>
  </si>
  <si>
    <t>Montour County Amazon Data Center</t>
  </si>
  <si>
    <t>18 McMicheal Rd</t>
  </si>
  <si>
    <t>Washingtonville</t>
  </si>
  <si>
    <t>17884</t>
  </si>
  <si>
    <t>Montour</t>
  </si>
  <si>
    <t>41.071083</t>
  </si>
  <si>
    <t>-76.67566</t>
  </si>
  <si>
    <t>Talen Energy/Amazon</t>
  </si>
  <si>
    <t>https://paenvironmentdaily.blogspot.com/2026/02/montour-county-commissioners-vote-to.html?utm_source=chatgpt.com</t>
  </si>
  <si>
    <t>https://www.datacenterdynamics.com/en/news/proposal-for-800-acre-data-center-in-central-pennsylvania-has-been-denied/?utm_source=chatgpt.com</t>
  </si>
  <si>
    <t>https://www.reuters.com/sustainability/boards-policy-regulation/local-regulators-deny-rezoning-request-pennsylvania-data-center-development-2026-02-10/</t>
  </si>
  <si>
    <t>Comcast West Chester Data Center</t>
  </si>
  <si>
    <t>1354 Boot Rd</t>
  </si>
  <si>
    <t>West Chester</t>
  </si>
  <si>
    <t>19380</t>
  </si>
  <si>
    <t>39.9987</t>
  </si>
  <si>
    <t>-75.5737</t>
  </si>
  <si>
    <t>Comcast</t>
  </si>
  <si>
    <t>12/04/2025</t>
  </si>
  <si>
    <t>Wyalusing Data Center</t>
  </si>
  <si>
    <t>near 44170 US-6</t>
  </si>
  <si>
    <t>Wyalusing</t>
  </si>
  <si>
    <t>18853</t>
  </si>
  <si>
    <t>41.653572</t>
  </si>
  <si>
    <t>-76.23531</t>
  </si>
  <si>
    <t>New Fortress Energy</t>
  </si>
  <si>
    <t>Yes - Klondike Energy Center (New Fortress Energy)</t>
  </si>
  <si>
    <t>Previous New Fortress Energy plan for LNG plant, failed.</t>
  </si>
  <si>
    <t>https://www.newfortressenergy.com/klondike</t>
  </si>
  <si>
    <t>https://paenvironmentdaily.blogspot.com/2025/10/dep-issues-air-quality-permit-for-248.html</t>
  </si>
  <si>
    <t>11/12/2025</t>
  </si>
  <si>
    <t>Contegix Wyomissing Data Center</t>
  </si>
  <si>
    <t>One Meridian Blvd</t>
  </si>
  <si>
    <t>Wyomissing</t>
  </si>
  <si>
    <t>19610</t>
  </si>
  <si>
    <t>40.354046</t>
  </si>
  <si>
    <t>-75.98731</t>
  </si>
  <si>
    <t>Contegix</t>
  </si>
  <si>
    <t>14,780</t>
  </si>
  <si>
    <t>Fairview Crossroads LLC Data Center</t>
  </si>
  <si>
    <t>Intersection I-83 and Lewisberry Rd</t>
  </si>
  <si>
    <t>17404</t>
  </si>
  <si>
    <t>40.00698</t>
  </si>
  <si>
    <t>-76.7439</t>
  </si>
  <si>
    <t>Terra Nexus Ventures Data Center</t>
  </si>
  <si>
    <t>771 State Rd S-28-331</t>
  </si>
  <si>
    <t>Camden</t>
  </si>
  <si>
    <t>SC</t>
  </si>
  <si>
    <t>29020</t>
  </si>
  <si>
    <t>Kershaw</t>
  </si>
  <si>
    <t>34.29839</t>
  </si>
  <si>
    <t>-80.534</t>
  </si>
  <si>
    <t>162</t>
  </si>
  <si>
    <t>https://www.datacenterdynamics.com/en/news/plans-filed-for-data-center-site-outside-columbia-south-carolina/</t>
  </si>
  <si>
    <t>000 Ford Rd</t>
  </si>
  <si>
    <t>Gaffney</t>
  </si>
  <si>
    <t>29340</t>
  </si>
  <si>
    <t>Cherokee</t>
  </si>
  <si>
    <t>35.07913</t>
  </si>
  <si>
    <t>-81.5961</t>
  </si>
  <si>
    <t>Sage Mill Industrial Park</t>
  </si>
  <si>
    <t>Graniteville</t>
  </si>
  <si>
    <t>29829</t>
  </si>
  <si>
    <t>Aiken</t>
  </si>
  <si>
    <t>33.62525</t>
  </si>
  <si>
    <t>-81.83863</t>
  </si>
  <si>
    <t>Industrial park</t>
  </si>
  <si>
    <t>https://www.datacenterdynamics.com/en/news/meta-plans-800m-data-center-campus-in-aiken-county-south-carolina/</t>
  </si>
  <si>
    <t>https://www.datacenterdynamics.com/en/news/meta-signs-100mw-solar-supply-deal-with-silicon-ranch-to-power-first-data-center-in-south-carolina/</t>
  </si>
  <si>
    <t>33 Global Dr</t>
  </si>
  <si>
    <t>Greenville</t>
  </si>
  <si>
    <t>29607</t>
  </si>
  <si>
    <t>34.8071</t>
  </si>
  <si>
    <t>-82.3455</t>
  </si>
  <si>
    <t>Project Liberty</t>
  </si>
  <si>
    <t>Industrial Park Rd</t>
  </si>
  <si>
    <t>29571</t>
  </si>
  <si>
    <t>34.197998</t>
  </si>
  <si>
    <t>-79.352036</t>
  </si>
  <si>
    <t>Stream</t>
  </si>
  <si>
    <t>Marion County officials confirmed that the council signed a nondisclosure agreement</t>
  </si>
  <si>
    <t>www.Theunitedpeopleproject.com</t>
  </si>
  <si>
    <t>Two phases of constrution planned, after phase two build is planned to total six buildings and around four million square feet. Would use 7,175 gallons of water a day</t>
  </si>
  <si>
    <t>https://www.streamdatacenters.com/project-liberty/</t>
  </si>
  <si>
    <t>https://www.postandcourier.com/pee-dee/news/marion-county-stream-data-center/article_fce64b6c-7e65-4d99-ba9a-4d1dc70d28e5.html</t>
  </si>
  <si>
    <t>https://www.wmbfnews.com/2026/02/25/marion-county-data-center-qa-draws-concerns-over-energy-costs-local-hiring/</t>
  </si>
  <si>
    <t>https://capitalbnews.org/secret-data-center-deal-marion-county-south-carolina/</t>
  </si>
  <si>
    <t>https://www.datacenterdynamics.com/en/news/stream-data-centers-pulls-out-of-800m-south-carolina-data-center-says-utility-power-would-take-too-long/</t>
  </si>
  <si>
    <t>Project Spero</t>
  </si>
  <si>
    <t>389 Tyger River Industrial Dr/ Tyger River Industrial Park-North</t>
  </si>
  <si>
    <t>Moore</t>
  </si>
  <si>
    <t>29369</t>
  </si>
  <si>
    <t>Spartanburg</t>
  </si>
  <si>
    <t>34.85631</t>
  </si>
  <si>
    <t>-82.00952</t>
  </si>
  <si>
    <t>TigerDC</t>
  </si>
  <si>
    <t>100-500</t>
  </si>
  <si>
    <t>https://www.facebook.com/groups/1354334266189772/</t>
  </si>
  <si>
    <t>https://www.change.org/p/stop-data-centers-coming-to-upstate-sc</t>
  </si>
  <si>
    <t>https://www.wyff4.com/article/ai-data-center-to-be-built-in-spartanburg-county/70180127</t>
  </si>
  <si>
    <t>https://www.postandcourier.com/spartanburg/business/tigerdc-data-center-spartanburg-county-project-spero/article_08f63d91-4108-4439-92c9-51b51c081232.html</t>
  </si>
  <si>
    <t>https://www.datacenterdynamics.com/en/news/proposal-for-3bn-data-center-faces-opposition-in-spartanburg-county-south-carolina/</t>
  </si>
  <si>
    <t>https://www.wyff4.com/article/data-center-project-proposal-advances-spartanburg-county/70386777</t>
  </si>
  <si>
    <t>https://www.datacenterdynamics.com/en/news/tigerdc-pulls-planned-data-center-project-from-south-carolina-county-after-officials-deny-tax-deal/</t>
  </si>
  <si>
    <t>DC Blox: Camp Hall</t>
  </si>
  <si>
    <t>114 Three Point Dr</t>
  </si>
  <si>
    <t>Ridgeville</t>
  </si>
  <si>
    <t>29472</t>
  </si>
  <si>
    <t>Berkeley</t>
  </si>
  <si>
    <t>33.13228</t>
  </si>
  <si>
    <t>-80.2672</t>
  </si>
  <si>
    <t>200,000</t>
  </si>
  <si>
    <t>https://www.datacenterdynamics.com/en/news/dc-blox-acquires-27-acres-in-south-carolina-for-45mw-data-center-campus/</t>
  </si>
  <si>
    <t>York 1 Data Center</t>
  </si>
  <si>
    <t>2107 Hands Mill Hwy</t>
  </si>
  <si>
    <t>Rock Hill</t>
  </si>
  <si>
    <t>29732</t>
  </si>
  <si>
    <t>35.03438</t>
  </si>
  <si>
    <t>-81.1071</t>
  </si>
  <si>
    <t>Project Alpaca</t>
  </si>
  <si>
    <t>Midway Green Industrial Park, 265 Midway Drive</t>
  </si>
  <si>
    <t>29379</t>
  </si>
  <si>
    <t>34.709877</t>
  </si>
  <si>
    <t>-81.664665</t>
  </si>
  <si>
    <t>Volt Edge Energy</t>
  </si>
  <si>
    <t>$410 million</t>
  </si>
  <si>
    <t>https://www.change.org/p/halt-new-data-center-approvals-in-union-sc</t>
  </si>
  <si>
    <t>https://cleanview.co/news/data-centers/volt-edge-energy-announces-49-mw-volt-edge-energy-project-alpaca-in-sc-20260417</t>
  </si>
  <si>
    <t>https://www.wspa.com/news/residents-officials-react-to-proposed-data-center-in-union-county/</t>
  </si>
  <si>
    <t>https://uniondevelopmentboard.com/union-midway-industrial-park/</t>
  </si>
  <si>
    <t>Walterboro Data Center</t>
  </si>
  <si>
    <t>Near Cooks Hill Rd</t>
  </si>
  <si>
    <t>Walterboro</t>
  </si>
  <si>
    <t>29488</t>
  </si>
  <si>
    <t>Colleton</t>
  </si>
  <si>
    <t>32.84068</t>
  </si>
  <si>
    <t>-80.60291</t>
  </si>
  <si>
    <t>Eagle Rock Partners</t>
  </si>
  <si>
    <t>859</t>
  </si>
  <si>
    <t xml:space="preserve">https://scdailygazette.com/2025/12/19/gigawatt-data-center-proposal-draws-opposition-from-sc-lowcountry-residents-politicians/
https://abcnews4.com/news/local/proposed-data-center-in-colleton-county-faces-environmental-pushback
https://www.live5news.com/2025/12/15/9-new-data-centers-proposed-colleton-county/
</t>
  </si>
  <si>
    <t>https://www.change.org/p/stop-the-data-center-from-coming-to-walterboro-sc</t>
  </si>
  <si>
    <t>Location is within the ecologically important ACE Basin watershed. Application for rezoning pending. Part of parcel 209-00-00-001</t>
  </si>
  <si>
    <t>https://www.live5news.com/2025/12/15/9-new-data-centers-proposed-colleton-county/</t>
  </si>
  <si>
    <t>https://scdailygazette.com/2025/12/19/gigawatt-data-center-proposal-draws-opposition-from-sc-lowcountry-residents-politicians/</t>
  </si>
  <si>
    <t>https://colletoncounty.maps.arcgis.com/apps/webappviewer/index.html?id=dcd2d7443dc9448ea910b9788a2c6b05</t>
  </si>
  <si>
    <t>https://abcnews4.com/news/local/proposed-data-center-in-colleton-county-faces-environmental-pushback</t>
  </si>
  <si>
    <t>03/17/2026</t>
  </si>
  <si>
    <t>South of Hwy 16</t>
  </si>
  <si>
    <t>Rapid City</t>
  </si>
  <si>
    <t>SD</t>
  </si>
  <si>
    <t>57702</t>
  </si>
  <si>
    <t>Pennington</t>
  </si>
  <si>
    <t>44.03367</t>
  </si>
  <si>
    <t>-103.18849</t>
  </si>
  <si>
    <t>https://www.datacenterdynamics.com/en/news/sequitor-edge-targets-2mw-facility-in-rapid-city-south-dakota/</t>
  </si>
  <si>
    <t>Gemini Data Center SD LLC</t>
  </si>
  <si>
    <t>south of E Rice St, east of Veteran's Parkway</t>
  </si>
  <si>
    <t>Sioux Falls</t>
  </si>
  <si>
    <t>57110</t>
  </si>
  <si>
    <t>Minnehaha</t>
  </si>
  <si>
    <t>43.59399</t>
  </si>
  <si>
    <t>-96.64092</t>
  </si>
  <si>
    <t>https://siouxfalls.business/hyperscale-data-center-seeking-city-approvals-to-build-northeast-of-sioux-falls/</t>
  </si>
  <si>
    <t>https://www.siouxfallslive.com/news/sioux-falls/planned-hyperscale-data-center-moving-into-sioux-falls</t>
  </si>
  <si>
    <t>https://www.datacenterdynamics.com/en/news/164-acre-data-center-could-come-to-sioux-falls-south-dakota/</t>
  </si>
  <si>
    <t>Applied Digital Data Center</t>
  </si>
  <si>
    <t>East of Toronto (Scandanavia Twp) near gas turbine tower</t>
  </si>
  <si>
    <t>Toronto</t>
  </si>
  <si>
    <t>57268</t>
  </si>
  <si>
    <t>Deuel</t>
  </si>
  <si>
    <t>44.583656</t>
  </si>
  <si>
    <t>-96.56283</t>
  </si>
  <si>
    <t>430</t>
  </si>
  <si>
    <t>$16 billion</t>
  </si>
  <si>
    <t>Project has raised concerns among lawmakers and residents regarding energy use, water demand, and tax incentives, but no organized petition or formal community opposition campaign has been documented.</t>
  </si>
  <si>
    <t>https://curemn.org/</t>
  </si>
  <si>
    <t>pplied Digital proposed a large hyperscale data center campus in Deuel County east of Toronto, South Dakota. The project includes a potential 430 MW build-out across multiple buildings, but development has stalled and the project is currently suspended.</t>
  </si>
  <si>
    <t>https://www.datacenterdynamics.com/en/news/applied-digital-proposes-multi-billion-dollar-data-center-in-south-dakota/</t>
  </si>
  <si>
    <t>https://www.mykxlg.com/news/local/potential-14-billion-data-center-could-transform-deuel-countys-economy/article_2a031739-b2ae-4932-95f5-57e4f280b7c7.html</t>
  </si>
  <si>
    <t>03/16/2026</t>
  </si>
  <si>
    <t>807 E 16th St</t>
  </si>
  <si>
    <t>Chattanooga</t>
  </si>
  <si>
    <t>TN</t>
  </si>
  <si>
    <t>37408</t>
  </si>
  <si>
    <t>35.03158</t>
  </si>
  <si>
    <t>-85.2973</t>
  </si>
  <si>
    <t>Jailhouse Studios Data Center</t>
  </si>
  <si>
    <t>601 Walnut St</t>
  </si>
  <si>
    <t>37402</t>
  </si>
  <si>
    <t>35.049557</t>
  </si>
  <si>
    <t>-85.30803</t>
  </si>
  <si>
    <t>https://www.change.org/p/demand-public-input-opportunity-for-new-data-center-venture-in-downtown-chattanooga?recruiter=986853875</t>
  </si>
  <si>
    <t>Tiny data center, only 10 racks of servers</t>
  </si>
  <si>
    <t>https://www.datacenterdynamics.com/en/news/former-jail-in-chattanooga-tennessee-targeted-for-production-space-and-data-center/</t>
  </si>
  <si>
    <t>https://foxchattanooga.com/news/local/hamilton-county-advances-plan-to-convert-old-jail-into-ai-data-center-and-music-studio</t>
  </si>
  <si>
    <t>https://www.chattanoogan.com/2026/3/18/516194/County-Commission-Approves-Lease-For.aspx</t>
  </si>
  <si>
    <t>37040</t>
  </si>
  <si>
    <t>36.57269</t>
  </si>
  <si>
    <t>-87.3423</t>
  </si>
  <si>
    <t>107</t>
  </si>
  <si>
    <t>Google Clarksville Data Center</t>
  </si>
  <si>
    <t>1000 Boolean Dr</t>
  </si>
  <si>
    <t>36.62078</t>
  </si>
  <si>
    <t>-87.2622</t>
  </si>
  <si>
    <t>Gallatin Data Center</t>
  </si>
  <si>
    <t>One Meta Lp</t>
  </si>
  <si>
    <t>Gallatin</t>
  </si>
  <si>
    <t>37066</t>
  </si>
  <si>
    <t>Sumner</t>
  </si>
  <si>
    <t>36.41011</t>
  </si>
  <si>
    <t>-86.3724</t>
  </si>
  <si>
    <t>https://www.datacenterdynamics.com/en/news/meta-to-expand-tennessee-data-center-campus/</t>
  </si>
  <si>
    <t>Arnold Air Force Base Data Center</t>
  </si>
  <si>
    <t>Manchester</t>
  </si>
  <si>
    <t>37355</t>
  </si>
  <si>
    <t>Coffee</t>
  </si>
  <si>
    <t>35.37539</t>
  </si>
  <si>
    <t>-86.07293</t>
  </si>
  <si>
    <t>274</t>
  </si>
  <si>
    <t>Hixson Data Center</t>
  </si>
  <si>
    <t>possibly Bybee Branch Rd</t>
  </si>
  <si>
    <t>McMinnville</t>
  </si>
  <si>
    <t>37110</t>
  </si>
  <si>
    <t>35.718937</t>
  </si>
  <si>
    <t>-85.83887</t>
  </si>
  <si>
    <t>96,065</t>
  </si>
  <si>
    <t>25MW batteries on site</t>
  </si>
  <si>
    <t>https://www.datacenterdynamics.com/en/news/25mw-ai-data-center-to-be-built-in-mcminnville-tennessee/</t>
  </si>
  <si>
    <t>https://hixsondc.com/</t>
  </si>
  <si>
    <t>https://warrencountyecd.com/site/mcminnville-warren-digital-site/</t>
  </si>
  <si>
    <t>xAI Colossus 1</t>
  </si>
  <si>
    <t>3231 Riverport Rd/ Paul Lowry Rd</t>
  </si>
  <si>
    <t>Memphis</t>
  </si>
  <si>
    <t>38109</t>
  </si>
  <si>
    <t>35.05983</t>
  </si>
  <si>
    <t>-90.1562</t>
  </si>
  <si>
    <t>xAI</t>
  </si>
  <si>
    <t>498</t>
  </si>
  <si>
    <t>Powered by unpermitted gas turbines</t>
  </si>
  <si>
    <t>https://www.datacenterdynamics.com/en/news/xai-removes-some-of-controversial-gas-turbines-from-memphis-data-center/</t>
  </si>
  <si>
    <t>https://epoch.ai/data/data-centers/satellite-explorer/xAIColossus1MemphisTennessee?ref=404media.co</t>
  </si>
  <si>
    <t>https://www.selc.org/news/xai-built-an-illegal-power-plant-to-power-its-data-center/</t>
  </si>
  <si>
    <t>01/05/2026</t>
  </si>
  <si>
    <t>xAI Colossus 2</t>
  </si>
  <si>
    <t>5420 Tulane Rd</t>
  </si>
  <si>
    <t>34.998074</t>
  </si>
  <si>
    <t>-90.03507</t>
  </si>
  <si>
    <t>Community advocacy surrounding the xAI project at 5420 Tulane Rd is led by a coalition of environmental justice and civil rights groups. These organizations are primarily concerned with the impact of massive energy and water demands on South Memphis, a region they describe as already overburdened by decades of industrial pollution.</t>
  </si>
  <si>
    <t>https://www.memphiscap.org/mcapcampaigns/blog-post-title-three-4frah</t>
  </si>
  <si>
    <t>https://www.protectouraquifer.org/issues/xai-supercomputer</t>
  </si>
  <si>
    <t>https://actionnetwork.org/petitions/shut-down-the-unpermitted-xai-power-plant-in-southaven</t>
  </si>
  <si>
    <t>https://www.datacenterdynamics.com/en/news/elon-musks-xai-buys-one-million-sq-ft-site-for-second-memphis-data-center/</t>
  </si>
  <si>
    <t>https://www.tomshardware.com/tech-industry/artificial-intelligence/elon-musk-xai-power-plant-overseas-to-power-1-million-gpus</t>
  </si>
  <si>
    <t>https://epoch.ai/data/data-centers/satellite-explorer/xAIColossus2MemphisTennessee?ref=404media.co</t>
  </si>
  <si>
    <t>https://www.datacenterdynamics.com/en/news/elon-musks-xai-to-spend-659m-on-new-building-for-memphis-data-center-cluster/</t>
  </si>
  <si>
    <t xml:space="preserve"> DC Blox Data Center</t>
  </si>
  <si>
    <t>648 Grassmere Park</t>
  </si>
  <si>
    <t>Nashville</t>
  </si>
  <si>
    <t>37211</t>
  </si>
  <si>
    <t>Davidson</t>
  </si>
  <si>
    <t>36.090492</t>
  </si>
  <si>
    <t>-86.74721</t>
  </si>
  <si>
    <t>69,220</t>
  </si>
  <si>
    <t>Glencliff Neighbors of South Nashville</t>
  </si>
  <si>
    <t>https://www.change.org/p/nashville-zoo-says-no-to-proposed-data-center</t>
  </si>
  <si>
    <t>160,000 signatures</t>
  </si>
  <si>
    <t>https://www.wkrn.com/news/local-news/nashville/160k-sign-petition-opposing-data-center-next-nashville-zoo/</t>
  </si>
  <si>
    <t>https://www.wsmv.com/2026/06/04/what-know-about-potential-data-center-next-nashville-zoo-facility-launches-petition-against-its-construction-feet-away-one-most-fragile-rare-collections-animals/</t>
  </si>
  <si>
    <t>https://www.datacenterdynamics.com/en/news/dc-bloxs-proposed-24-acre-data-center-near-nashville-zoo-could-be-blocked-by-moratorium/</t>
  </si>
  <si>
    <t>147 Fourth Ave</t>
  </si>
  <si>
    <t>37219</t>
  </si>
  <si>
    <t>36.1628</t>
  </si>
  <si>
    <t>-86.77863</t>
  </si>
  <si>
    <t>19,700</t>
  </si>
  <si>
    <t>Quantum Leap Data Center/ Fisk University</t>
  </si>
  <si>
    <t>37208</t>
  </si>
  <si>
    <t>36.168316</t>
  </si>
  <si>
    <t>-86.805565</t>
  </si>
  <si>
    <t>70000</t>
  </si>
  <si>
    <t>$400 million</t>
  </si>
  <si>
    <t>https://www.datacenterdynamics.com/en/news/fisk-university-looks-to-build-data-center-in-nashville-tennessee/</t>
  </si>
  <si>
    <t>Google Abernathy Data Center</t>
  </si>
  <si>
    <t>Abernathy</t>
  </si>
  <si>
    <t>TX</t>
  </si>
  <si>
    <t>79311</t>
  </si>
  <si>
    <t>Hale</t>
  </si>
  <si>
    <t>33.8333</t>
  </si>
  <si>
    <t>-101.85482</t>
  </si>
  <si>
    <t>Fluidstack/TeraWulf/Google</t>
  </si>
  <si>
    <t>168-240+</t>
  </si>
  <si>
    <t>$9.5 billion</t>
  </si>
  <si>
    <t>https://www.datacenterdynamics.com/en/news/terawulf-and-fluidstack-to-develop-texas-data-center-in-google-backed-deal/</t>
  </si>
  <si>
    <t>https://marketchameleon.com/articles/b/2025/12/19/terawulf-fluidstack-secure-168mw-hpc-project-financing-ai-data-center-growth</t>
  </si>
  <si>
    <t>Project Caprock Data Center</t>
  </si>
  <si>
    <t>1498 County Road 315</t>
  </si>
  <si>
    <t>33.86355</t>
  </si>
  <si>
    <t>-101.85285</t>
  </si>
  <si>
    <t>1,650,000</t>
  </si>
  <si>
    <t>https://www.datacenterdynamics.com/en/news/aligned-breaks-ground-on-540mw-data-center-campus-in-texas/</t>
  </si>
  <si>
    <t>https://aligneddc.com/locations/</t>
  </si>
  <si>
    <t>Frontier Vantage Data Center</t>
  </si>
  <si>
    <t>Intersection Hwy 351 and Hwy 604</t>
  </si>
  <si>
    <t>Abilene</t>
  </si>
  <si>
    <t>79601</t>
  </si>
  <si>
    <t>Shackelford</t>
  </si>
  <si>
    <t>32.55212</t>
  </si>
  <si>
    <t>-99.5651</t>
  </si>
  <si>
    <t>To employ 6500 workers for construction, 10 data center on site</t>
  </si>
  <si>
    <t>https://www.thealbanynews.net/news/data-center-plans-move-forward-shackelford-county</t>
  </si>
  <si>
    <t>https://www.datacenterdynamics.com/en/news/vantage-plots-14gw-data-center-campus-in-texas/</t>
  </si>
  <si>
    <t>https://vantage-dc.com/news/vantage-data-centers-unveils-plans-for-frontier-a-25b-mega-campus-in-texas-to-meet-unprecedented-ai-demand/</t>
  </si>
  <si>
    <t>https://datacentremagazine.com/news/inside-vantages-us-25bn-ai-data-centre-mega-campus-in-texas</t>
  </si>
  <si>
    <t>https://www.datacenterdynamics.com/en/news/vantage-breaks-ground-on-texas-gigawatt-data-center-campus-for-openai/</t>
  </si>
  <si>
    <t>Open AI/ SoftBank Stargate Data Center (Lancium Clean Campus)</t>
  </si>
  <si>
    <t>5502 Spinks Rd</t>
  </si>
  <si>
    <t>Taylor</t>
  </si>
  <si>
    <t>32.50204</t>
  </si>
  <si>
    <t>-99.7907</t>
  </si>
  <si>
    <t>Microsoft (previously Open AI/Oracle)</t>
  </si>
  <si>
    <t>expansion plans cancelled March 2026</t>
  </si>
  <si>
    <t>https://techcratic.com/index.php/2025/05/23/oracle-reported-to-buy-400000-nvidia-chips-for-first-stargate-data-center/siliconangle/siliconangle/</t>
  </si>
  <si>
    <t>https://www.bigcountryhomepage.com/news/stargate-abilene/abilenes-data-center-advances-swiftly-with-5000-workers/</t>
  </si>
  <si>
    <t>https://www.crusoe.ai/resources/newsroom/crusoe-expands-ai-data-center-campus-in-abilene-to-1-2-gigawatts</t>
  </si>
  <si>
    <t>https://epoch.ai/data/data-centers/satellite-explorer/OpenAIOracleStargateAbileneTexas?ref=404media.co</t>
  </si>
  <si>
    <t>https://www.datacenterdynamics.com/en/news/crusoe-confirms-microsoft-as-customer-at-campus-in-abilene-texas/</t>
  </si>
  <si>
    <t>https://www.datacenterdynamics.com/en/news/oracleopenai-drop-plans-to-expand-flagship-abilene-stargate-site-meta-in-talks-to-pick-up-crusoe-capacity-with-nvidias-help/</t>
  </si>
  <si>
    <t>Helios Data Center</t>
  </si>
  <si>
    <t>984 Co Rd 112</t>
  </si>
  <si>
    <t>Afton</t>
  </si>
  <si>
    <t>79220</t>
  </si>
  <si>
    <t>Dickens</t>
  </si>
  <si>
    <t>33.77858</t>
  </si>
  <si>
    <t>-100.86909</t>
  </si>
  <si>
    <t>pivoting from crypto to IA</t>
  </si>
  <si>
    <t>Galaxy Digital</t>
  </si>
  <si>
    <t>Transitioning from crypto to AI 2025</t>
  </si>
  <si>
    <t>https://news.bitcoin.com/solunas-project-kati-1-to-reach-83-mw-with-galaxy-bitcoin-miner-deployment/</t>
  </si>
  <si>
    <t>https://www.everythinglubbock.com/news/local-news/galaxy-acquires-bitcoin-mining-facility-in-dickens-from-argo/</t>
  </si>
  <si>
    <t>https://www.fox34.com/2022/05/06/new-bitcoin-mining-facility-boosting-economy-dickens-county/</t>
  </si>
  <si>
    <t>https://www.everythinglubbock.com/news/local-news/crypto-cowboys-inside-the-new-300m-bitcoin-mining-facility-in-dickens-county/</t>
  </si>
  <si>
    <t>https://epoch.ai/data/data-centers/satellite-explorer/CoreweaveHeliosAftonTexas?ref=404media.co</t>
  </si>
  <si>
    <t>https://www.datacenterdynamics.com/en/news/galaxy-digital-completes-first-phase-of-pivoting-cryptomine-to-ai-hosting/</t>
  </si>
  <si>
    <t>ALLEN DATA CENTER ZX026E</t>
  </si>
  <si>
    <t>800 GUARDIANS WAY</t>
  </si>
  <si>
    <t>75013</t>
  </si>
  <si>
    <t>Collin</t>
  </si>
  <si>
    <t>33.09598</t>
  </si>
  <si>
    <t>-96.6816</t>
  </si>
  <si>
    <t>FULLY REGULATED</t>
  </si>
  <si>
    <t>https://gis-tceq.opendata.arcgis.com/datasets/daece6e3181140f69093ab69cf9ae0ba/explore?layer=0&amp;showTable=true</t>
  </si>
  <si>
    <t>08/05/2025</t>
  </si>
  <si>
    <t>EXPERIAN DATA CENTER ALLEN</t>
  </si>
  <si>
    <t>601 EXPERIAN PKWY</t>
  </si>
  <si>
    <t>33.08641</t>
  </si>
  <si>
    <t>-96.6802</t>
  </si>
  <si>
    <t>Fermi America HyperGrid/ Project Matador</t>
  </si>
  <si>
    <t>near Pantex Plant, and Hwy 60</t>
  </si>
  <si>
    <t>Amarillo</t>
  </si>
  <si>
    <t>79068</t>
  </si>
  <si>
    <t>Carson</t>
  </si>
  <si>
    <t>35.28762</t>
  </si>
  <si>
    <t>-101.554</t>
  </si>
  <si>
    <t>Fermi America and Texas Tech</t>
  </si>
  <si>
    <t>11,000-17,000</t>
  </si>
  <si>
    <t>Natural gas, Nuclear, Solar</t>
  </si>
  <si>
    <t>18,000,000</t>
  </si>
  <si>
    <t>5769</t>
  </si>
  <si>
    <t>Opposition groups have raised concerns about large groundwater withdrawals from the Ogallala Aquifer, nuclear reactor licensing, and the scale of the proposed AI campus.</t>
  </si>
  <si>
    <t>https://actionnetwork.org/petitions/our-water-is-not-for-sale-protect-ogallalla-aquifer</t>
  </si>
  <si>
    <t>Plans to be nuclear powered. Major tenant funding source collapsed 12/12/2025. The project is co-founded by former U.S. Energy Secretary and Texas Governor Rick Perry and his son Griffin, in partnership with Texas Tech University. 6 GW are already permitted on 7,570 acres in the Texas Panhandle, with ~2 GW of generation assets secured and the first phase of construction completed. Developers have proposed up to 17 GW at full build</t>
  </si>
  <si>
    <t>https://www.datacenterdynamics.com/en/news/fermi-america-acquires-600mw-of-gas-turbines-for-11gw-ai-mega-campus-in-amarillo-texas/</t>
  </si>
  <si>
    <t>https://www.datacenterdynamics.com/en/news/former-texas-governor-and-us-energy-sec-plans-11gw-data-center-campus-outside-amarillo-texas/</t>
  </si>
  <si>
    <t>https://www.datacenterdynamics.com/en/news/fermi-westinghouse-to-finalize-licensing-application-for-nuclear-reactors-at-11gw-ai-campus-in-amarillo-texas/</t>
  </si>
  <si>
    <t>https://mynews13.com/fl/orlando/news/2025/11/21/fermi-data-center</t>
  </si>
  <si>
    <t>https://finance.yahoo.com/news/ai-power-darling-fermi-implodes-185100893.html</t>
  </si>
  <si>
    <t>https://fermiamerica.com/</t>
  </si>
  <si>
    <t>AIG DATA CENTER</t>
  </si>
  <si>
    <t>2401 S OSAGE ST</t>
  </si>
  <si>
    <t>AMARILLO</t>
  </si>
  <si>
    <t>79103</t>
  </si>
  <si>
    <t>Potter</t>
  </si>
  <si>
    <t>35.18739</t>
  </si>
  <si>
    <t>-101.812</t>
  </si>
  <si>
    <t>EMERG POWER GENERATOR</t>
  </si>
  <si>
    <t>AUSTIN DATA CENTER AUS-02</t>
  </si>
  <si>
    <t>4100 SMITH SCHOOL RD</t>
  </si>
  <si>
    <t>Austin</t>
  </si>
  <si>
    <t>78744</t>
  </si>
  <si>
    <t>Travis</t>
  </si>
  <si>
    <t>30.1991</t>
  </si>
  <si>
    <t>-97.7134</t>
  </si>
  <si>
    <t>Giga Texas Datacenter</t>
  </si>
  <si>
    <t>1 Tesla Rd</t>
  </si>
  <si>
    <t>78725</t>
  </si>
  <si>
    <t>30.22492</t>
  </si>
  <si>
    <t>-97.6196</t>
  </si>
  <si>
    <t>ORACLE-AUSTIN DATA CENTER</t>
  </si>
  <si>
    <t>11400 N LAMAR BLVD</t>
  </si>
  <si>
    <t>78753</t>
  </si>
  <si>
    <t>30.38364</t>
  </si>
  <si>
    <t>-97.6863</t>
  </si>
  <si>
    <t>Oracle</t>
  </si>
  <si>
    <t>CleanSpark Data Center</t>
  </si>
  <si>
    <t>Austin County</t>
  </si>
  <si>
    <t>29.884085</t>
  </si>
  <si>
    <t>-96.219376</t>
  </si>
  <si>
    <t>https://www.datacenterdynamics.com/en/news/cleanspark-expands-into-ai-data-center-development-with-270-acre-acquisition-outside-houston-texas/</t>
  </si>
  <si>
    <t>https://www.linkedin.com/posts/garyveselka_ai-datacenters-gpu-activity-7389360383670587392-KElb/</t>
  </si>
  <si>
    <t>EdgeConneX  AUS02</t>
  </si>
  <si>
    <t>8001 Wolf Ln</t>
  </si>
  <si>
    <t>Bastrop</t>
  </si>
  <si>
    <t>78612</t>
  </si>
  <si>
    <t>30.141737</t>
  </si>
  <si>
    <t>-97.56553</t>
  </si>
  <si>
    <t>578,000</t>
  </si>
  <si>
    <t>https://www.datacenterdynamics.com/en/news/edgeconnex-acquires-180-acre-parcel-near-its-own-data-center-project-in-bastrop-texas/</t>
  </si>
  <si>
    <t>EdgeConneX Data Center</t>
  </si>
  <si>
    <t xml:space="preserve"> 6682 FM 535 Cedar Creek</t>
  </si>
  <si>
    <t>78602</t>
  </si>
  <si>
    <t>30.003628</t>
  </si>
  <si>
    <t>-97.432915</t>
  </si>
  <si>
    <t>PowerBridge/LandBridge</t>
  </si>
  <si>
    <t>Close to Waha Gas Hub</t>
  </si>
  <si>
    <t>Between Odessa and Pecos</t>
  </si>
  <si>
    <t>Reeves</t>
  </si>
  <si>
    <t>31.316566</t>
  </si>
  <si>
    <t>-103.10906</t>
  </si>
  <si>
    <t>3400</t>
  </si>
  <si>
    <t>Power from Alpha Digital Campus</t>
  </si>
  <si>
    <t>https://www.datacenterdynamics.com/en/news/landbridge-powerbridge-partner-for-2gw-data-center-campus-in-west-texas/</t>
  </si>
  <si>
    <t>Boling</t>
  </si>
  <si>
    <t>77420</t>
  </si>
  <si>
    <t>Wharton</t>
  </si>
  <si>
    <t>29.264883</t>
  </si>
  <si>
    <t>-95.951324</t>
  </si>
  <si>
    <t>756,000</t>
  </si>
  <si>
    <t>2700</t>
  </si>
  <si>
    <t>https://www.datacenterdynamics.com/en/news/aws-files-for-12bn-data-center-campus-outside-houston-texas/</t>
  </si>
  <si>
    <t>Brazoria County</t>
  </si>
  <si>
    <t>Brazoria</t>
  </si>
  <si>
    <t>29.182318</t>
  </si>
  <si>
    <t>-95.47511</t>
  </si>
  <si>
    <t>300-600</t>
  </si>
  <si>
    <t>https://www.datacenterdynamics.com/en/news/cleanspark-acquires-447-acres-for-second-texas-ai-data-center-site/</t>
  </si>
  <si>
    <t>Viridien Data Center</t>
  </si>
  <si>
    <t>2602 Longwood Drive</t>
  </si>
  <si>
    <t>Brenham</t>
  </si>
  <si>
    <t>77833</t>
  </si>
  <si>
    <t>30.140465</t>
  </si>
  <si>
    <t>-96.40983</t>
  </si>
  <si>
    <t xml:space="preserve">high </t>
  </si>
  <si>
    <t>Viridien</t>
  </si>
  <si>
    <t>Grid (unspecified mix), Solar</t>
  </si>
  <si>
    <t>Bluebonnet Electric Cooperative</t>
  </si>
  <si>
    <t>21</t>
  </si>
  <si>
    <t>100 million</t>
  </si>
  <si>
    <t>https://www.change.org/p/protect-brenham-stop-the-industrial-data-center-from-being-built-in-our-community</t>
  </si>
  <si>
    <t>https://www.datacenterdynamics.com/en/news/officials-in-brenham-texas-reject-tax-abatement-for-data-center-project/</t>
  </si>
  <si>
    <t>Open AI/ SoftBank "Freebird"</t>
  </si>
  <si>
    <t>1899 County Rd 133</t>
  </si>
  <si>
    <t>76519</t>
  </si>
  <si>
    <t>Milam</t>
  </si>
  <si>
    <t>31.00507</t>
  </si>
  <si>
    <t>-97.0179</t>
  </si>
  <si>
    <t>548,950</t>
  </si>
  <si>
    <t>595</t>
  </si>
  <si>
    <t>https://www.bizjournals.com/austin/news/2025/09/25/open-ai-milam-county-data-center-sb-energy-softban.html</t>
  </si>
  <si>
    <t>https://www.datacenterdynamics.com/en/news/openai-stargates-milam-texas-freebird-data-center-to-span-548950-sq-ft-in-first-phase/</t>
  </si>
  <si>
    <t>2995 US-90</t>
  </si>
  <si>
    <t>Castroville</t>
  </si>
  <si>
    <t>78009</t>
  </si>
  <si>
    <t>Medina</t>
  </si>
  <si>
    <t>29.35138</t>
  </si>
  <si>
    <t>-98.9406</t>
  </si>
  <si>
    <t>489,400</t>
  </si>
  <si>
    <t>https://www.datacenterdynamics.com/en/news/microsoft-files-for-data-center-campus-outside-san-antonio/</t>
  </si>
  <si>
    <t>Microsoft Castroville Data Center</t>
  </si>
  <si>
    <t>EDCAUS11 and EDCAUS12</t>
  </si>
  <si>
    <t>6682 FM 535</t>
  </si>
  <si>
    <t>Cedar Creek</t>
  </si>
  <si>
    <t>30.003656</t>
  </si>
  <si>
    <t>-97.432945</t>
  </si>
  <si>
    <t>1,156,000</t>
  </si>
  <si>
    <t>https://www.datacenterdynamics.com/en/news/edgeconnex-files-to-build-two-730000-sq-ft-data-centers-in-bastrop-county-texas/</t>
  </si>
  <si>
    <t>Wolf Ln and FM 535</t>
  </si>
  <si>
    <t>30.14096</t>
  </si>
  <si>
    <t>-97.5668</t>
  </si>
  <si>
    <t>$440 million</t>
  </si>
  <si>
    <t>https://www.mysanantonio.com/business/article/bastrop-county-edgeconnex-data-center-20770421.php</t>
  </si>
  <si>
    <t>07/17/2025</t>
  </si>
  <si>
    <t>EdgeConneX AUS02</t>
  </si>
  <si>
    <t>30.141766</t>
  </si>
  <si>
    <t>-97.565605</t>
  </si>
  <si>
    <t xml:space="preserve">Childress Data Center </t>
  </si>
  <si>
    <t>620 FM1033</t>
  </si>
  <si>
    <t>Childress</t>
  </si>
  <si>
    <t>79201</t>
  </si>
  <si>
    <t>34.383278</t>
  </si>
  <si>
    <t>-100.056885</t>
  </si>
  <si>
    <t>IREN</t>
  </si>
  <si>
    <t>"Renewable" energy. Bitcoin and AI</t>
  </si>
  <si>
    <t>https://comptroller.texas.gov/taxes/data-centers/data-center-lists.php</t>
  </si>
  <si>
    <t>https://www.datacenterdynamics.com/en/news/iren-plans-75mw-liquid-cooled-ai-data-center-in-texas/</t>
  </si>
  <si>
    <t>https://iren.com/data-centers/childress</t>
  </si>
  <si>
    <t>Lancium Childress</t>
  </si>
  <si>
    <t>Co Rd AA</t>
  </si>
  <si>
    <t>34.37564</t>
  </si>
  <si>
    <t>-100.053</t>
  </si>
  <si>
    <t>3720</t>
  </si>
  <si>
    <t>https://x.com/FransBakker9812/status/1897519569646051482</t>
  </si>
  <si>
    <t>https://baxtel.com/data-center/lancium-childress-campus</t>
  </si>
  <si>
    <t>Goodnight Campus</t>
  </si>
  <si>
    <t>10001 Lima Rd</t>
  </si>
  <si>
    <t>Claude</t>
  </si>
  <si>
    <t>79019</t>
  </si>
  <si>
    <t>35.018444</t>
  </si>
  <si>
    <t>-101.311516</t>
  </si>
  <si>
    <t>1030</t>
  </si>
  <si>
    <t>3,400,000</t>
  </si>
  <si>
    <t>$29.2 billion</t>
  </si>
  <si>
    <t>4.5 million tons of greenhouse gases emitted by facility turbines/year, more than ten times higher the yearly emissions of an average natural gas plant</t>
  </si>
  <si>
    <t>https://www.aterio.io/blog/crusoe-launches-usd29b-goodnight-campus-in-claude-mirroring-openai-s-stargate</t>
  </si>
  <si>
    <t>https://www.wired.com/story/a-new-google-funded-data-center-will-be-powered-by-a-massive-gas-plant/</t>
  </si>
  <si>
    <t xml:space="preserve">Project Aggie </t>
  </si>
  <si>
    <t>College Station City</t>
  </si>
  <si>
    <t>Brazos</t>
  </si>
  <si>
    <t>30.56981</t>
  </si>
  <si>
    <t>-96.2592</t>
  </si>
  <si>
    <t>City council unanimous rejection</t>
  </si>
  <si>
    <t>https://www.datacenterdynamics.com/en/news/600mw-data-center-campus-proposed-in-texas/</t>
  </si>
  <si>
    <t>https://www.kbtx.com/video/2025/09/12/college-station-city-council-unanimously-rejects-land-sale-ai-data-center/</t>
  </si>
  <si>
    <t>Fluidstack</t>
  </si>
  <si>
    <t>951 Co Rd 204</t>
  </si>
  <si>
    <t>Colorado City</t>
  </si>
  <si>
    <t>79512</t>
  </si>
  <si>
    <t>Mitchell</t>
  </si>
  <si>
    <t>32.396473</t>
  </si>
  <si>
    <t>-100.91535</t>
  </si>
  <si>
    <t>https://www.datacenterdynamics.com/en/news/fluidstack-signs-additional-39mw-lease-with-cipher-mining-in-texas-backed-by-google/</t>
  </si>
  <si>
    <t>Hut 8 Beacon Point Data Center</t>
  </si>
  <si>
    <t>near Callicoatte Rd</t>
  </si>
  <si>
    <t>Corpus Christi</t>
  </si>
  <si>
    <t>78410</t>
  </si>
  <si>
    <t>Nueces</t>
  </si>
  <si>
    <t>27.844814</t>
  </si>
  <si>
    <t>-97.6115</t>
  </si>
  <si>
    <t>597</t>
  </si>
  <si>
    <t>525</t>
  </si>
  <si>
    <t>https://www.hut8.com/news-insights/press-releases/hut-8-commercializes-first-phase-of-1-gw-beacon-point-ai-data-center-campus-with-15-year-352-mw</t>
  </si>
  <si>
    <t>https://www.datacenterdynamics.com/en/news/hut-8-signs-352mw-data-center-lease-in-texas-with-investment-grade-tenant/</t>
  </si>
  <si>
    <t>Riot Platforms</t>
  </si>
  <si>
    <t>6980 Farm to Market Rd 709</t>
  </si>
  <si>
    <t>Corsicana</t>
  </si>
  <si>
    <t>75110</t>
  </si>
  <si>
    <t>Navarro</t>
  </si>
  <si>
    <t>31.963621</t>
  </si>
  <si>
    <t>-96.521034</t>
  </si>
  <si>
    <t>400-1000</t>
  </si>
  <si>
    <t>2-11</t>
  </si>
  <si>
    <t>890</t>
  </si>
  <si>
    <t>Converting from Bitcoin to AI</t>
  </si>
  <si>
    <t>https://www.wired.com/story/bitcoin-miners-pivot-ai-data-centers/</t>
  </si>
  <si>
    <t>https://www.nbcdfw.com/news/business/corsicana-bitcoin-mining-operation-could-consume-enough-power-to-light-200000-homes/2953134/</t>
  </si>
  <si>
    <t>https://www.riotplatforms.com/riot-energizes-new-corsicana-facility-in-navarro-county-texas/</t>
  </si>
  <si>
    <t>https://whatsnew2day.com/small-texas-town-seeks-billion-dollar-bitcoin-miner-to-pave-potholes-and-chase-away-dogs/</t>
  </si>
  <si>
    <t>https://www.greensourcedfw.org/articles/coalition-warns-against-massive-bitcoin-facility-underway-navarro-county</t>
  </si>
  <si>
    <t>https://www.riotblockchain.com/news-media/press-releases/detail/127/riot-blockchain-announces-1-gw-development-in-navarro</t>
  </si>
  <si>
    <t>https://www.datacenterdynamics.com/en/news/riot-platforms-files-to-add-building-to-cryptomine-and-data-center-campus-in-corsicana-texas/</t>
  </si>
  <si>
    <t>Fort Hood data base</t>
  </si>
  <si>
    <t>Fort Hood</t>
  </si>
  <si>
    <t>Coryell</t>
  </si>
  <si>
    <t>76544</t>
  </si>
  <si>
    <t>31.155802</t>
  </si>
  <si>
    <t>-97.80226</t>
  </si>
  <si>
    <t>207</t>
  </si>
  <si>
    <t>Centersquare Dallas/Fort Worth Data Center</t>
  </si>
  <si>
    <t>11830 Webb Chapel Rd #200</t>
  </si>
  <si>
    <t>75234</t>
  </si>
  <si>
    <t>32.91178</t>
  </si>
  <si>
    <t>-96.8711</t>
  </si>
  <si>
    <t>Cologix Dallas Data Centers</t>
  </si>
  <si>
    <t>1950 N Stemmons Fwy #1032</t>
  </si>
  <si>
    <t>75207</t>
  </si>
  <si>
    <t>32.80122</t>
  </si>
  <si>
    <t>-96.81958</t>
  </si>
  <si>
    <t>Dallas Data Center</t>
  </si>
  <si>
    <t>1515 Round Table Dr</t>
  </si>
  <si>
    <t>75247</t>
  </si>
  <si>
    <t>32.83822</t>
  </si>
  <si>
    <t>-96.8789</t>
  </si>
  <si>
    <t>96,475</t>
  </si>
  <si>
    <t>Equinix: DA12-1 and DA12-2</t>
  </si>
  <si>
    <t>1550 West Mockingbird Ln</t>
  </si>
  <si>
    <t>75235</t>
  </si>
  <si>
    <t>32.821037</t>
  </si>
  <si>
    <t>-96.85867</t>
  </si>
  <si>
    <t>$837 million</t>
  </si>
  <si>
    <t>https://www.datacenterdynamics.com/en/news/equinix-files-to-develop-another-data-center-campus-in-dallas-texas/</t>
  </si>
  <si>
    <t>Equinix Data Center</t>
  </si>
  <si>
    <t>2323 Bryan St Suite 1400</t>
  </si>
  <si>
    <t>75201</t>
  </si>
  <si>
    <t>32.78737</t>
  </si>
  <si>
    <t>-96.7944</t>
  </si>
  <si>
    <t>Flexential Dallas - Richardson Data Center</t>
  </si>
  <si>
    <t>3010 Waterview Pkwy</t>
  </si>
  <si>
    <t>75252</t>
  </si>
  <si>
    <t>32.99478</t>
  </si>
  <si>
    <t>-96.7526</t>
  </si>
  <si>
    <t>3.75</t>
  </si>
  <si>
    <t>100,807</t>
  </si>
  <si>
    <t>KYNDRYL DALLAS DATA CENTER</t>
  </si>
  <si>
    <t>1000 BELLEVIEW ST</t>
  </si>
  <si>
    <t>75215</t>
  </si>
  <si>
    <t>32.76849</t>
  </si>
  <si>
    <t>-96.7941</t>
  </si>
  <si>
    <t>Stemmons Corridor data campus</t>
  </si>
  <si>
    <t>Stemmons Corridor district</t>
  </si>
  <si>
    <t>32.805115</t>
  </si>
  <si>
    <t>-96.83142</t>
  </si>
  <si>
    <t>CleanArc</t>
  </si>
  <si>
    <t>70-245</t>
  </si>
  <si>
    <t>https://www.datacenterdynamics.com/en/news/cleanarc-partners-with-crow-holdings-for-245mw-campus-in-dallas-texas/</t>
  </si>
  <si>
    <t>TierPoint - Dallas Data Center</t>
  </si>
  <si>
    <t>3004 Irving Blvd</t>
  </si>
  <si>
    <t>32.80838</t>
  </si>
  <si>
    <t>-96.8576</t>
  </si>
  <si>
    <t xml:space="preserve">Denton Data Center </t>
  </si>
  <si>
    <t>8171 Jim Christal Rd</t>
  </si>
  <si>
    <t>Denton</t>
  </si>
  <si>
    <t>76207</t>
  </si>
  <si>
    <t>33.21948</t>
  </si>
  <si>
    <t>-97.2129</t>
  </si>
  <si>
    <t>423,831</t>
  </si>
  <si>
    <t>79</t>
  </si>
  <si>
    <t>currently crypto mining</t>
  </si>
  <si>
    <t>https://corescientific.com/high-density-data-centers/denton-texas/</t>
  </si>
  <si>
    <t>https://www.datacenterdynamics.com/en/news/core-scientific-plans-to-upgrade-denton-texas-data-center-for-up-to-61bn/</t>
  </si>
  <si>
    <t>Qumulus AI</t>
  </si>
  <si>
    <t>South of Jim Cristal Rd, east of Western Blvd</t>
  </si>
  <si>
    <t>33.20929</t>
  </si>
  <si>
    <t>-97.180824</t>
  </si>
  <si>
    <t>Modular units</t>
  </si>
  <si>
    <t>https://www.datacenterdynamics.com/en/news/qumulusai-gets-approval-for-modular-data-center-in-denton-texas/</t>
  </si>
  <si>
    <t>https://www.datacenterdynamics.com/en/news/qumulusai-secures-124m-in-ai-infrastructure-agreements/</t>
  </si>
  <si>
    <t>Texas Critical Data Centers</t>
  </si>
  <si>
    <t>Ector County</t>
  </si>
  <si>
    <t>Ector</t>
  </si>
  <si>
    <t>31.89517</t>
  </si>
  <si>
    <t>-102.556</t>
  </si>
  <si>
    <t>250-1,000</t>
  </si>
  <si>
    <t>https://www.datacenterdynamics.com/en/news/tcdc-closes-235-acre-land-acquisition-for-ai-data-center-in-ector-county-texas/</t>
  </si>
  <si>
    <t>Bitter Blue Data Center</t>
  </si>
  <si>
    <t>12807 Donop Rd</t>
  </si>
  <si>
    <t>Elmendorf</t>
  </si>
  <si>
    <t>78112</t>
  </si>
  <si>
    <t>Bexar</t>
  </si>
  <si>
    <t>29.292835</t>
  </si>
  <si>
    <t>-98.38842</t>
  </si>
  <si>
    <t>https://www.datacenterdynamics.com/en/news/aws-files-to-develop-data-centers-in-san-antonio-texas/</t>
  </si>
  <si>
    <t>Meta Project Seafox</t>
  </si>
  <si>
    <t>7001 Stan Roberts Sr Ave</t>
  </si>
  <si>
    <t>79934</t>
  </si>
  <si>
    <t>31.98718</t>
  </si>
  <si>
    <t>-106.369095</t>
  </si>
  <si>
    <t>Wurldwide LLC/ Meta</t>
  </si>
  <si>
    <t>813</t>
  </si>
  <si>
    <t>12+</t>
  </si>
  <si>
    <t>25,900,000</t>
  </si>
  <si>
    <t>The 25.9 million sq ft figure from the state filing appears to represent the full multi-phase campus footprint including all supporting structures, while the 1.2 million sq ft is the initial phase of data center floor space.</t>
  </si>
  <si>
    <t>https://www.datacenterdynamics.com/en/news/meta-files-to-expand-campus-in-el-paso-texas-with-12-new-buildings/</t>
  </si>
  <si>
    <t>adjacent to Freestone Energy Center, 1366 FM488</t>
  </si>
  <si>
    <t>75840</t>
  </si>
  <si>
    <t>Freestone</t>
  </si>
  <si>
    <t>31.893915</t>
  </si>
  <si>
    <t>-96.11786</t>
  </si>
  <si>
    <t>https://www.datacenterdynamics.com/en/news/cyrusone-partners-with-constellation-for-760mw-data-center-campus-in-texas/</t>
  </si>
  <si>
    <t>https://www.datacenterdynamics.com/en/news/cyrusone-breaks-ground-on-380mw-data-center-in-texas/</t>
  </si>
  <si>
    <t>Cawley Partners</t>
  </si>
  <si>
    <t>near Hwy 45, between Ellis and Dallas Cos.</t>
  </si>
  <si>
    <t>Ferris</t>
  </si>
  <si>
    <t>Ellis</t>
  </si>
  <si>
    <t>32.53902</t>
  </si>
  <si>
    <t>-96.6347</t>
  </si>
  <si>
    <t>5200</t>
  </si>
  <si>
    <t>https://www.datacenterdynamics.com/en/news/cawley-partners-acquires-5200-acres-outside-dallas-plans-data-center-park/</t>
  </si>
  <si>
    <t>Fort Bliss Data Center</t>
  </si>
  <si>
    <t>Fort Bliss army base</t>
  </si>
  <si>
    <t>Fort Bliss</t>
  </si>
  <si>
    <t>79906</t>
  </si>
  <si>
    <t>31.82617</t>
  </si>
  <si>
    <t>-106.4042</t>
  </si>
  <si>
    <t>1384</t>
  </si>
  <si>
    <t>Project Horizon</t>
  </si>
  <si>
    <t>King Rd</t>
  </si>
  <si>
    <t>Fort Stockton</t>
  </si>
  <si>
    <t>79735</t>
  </si>
  <si>
    <t>Pecos</t>
  </si>
  <si>
    <t>30.421732</t>
  </si>
  <si>
    <t>-102.509315</t>
  </si>
  <si>
    <t>Poolside/CoreWeave</t>
  </si>
  <si>
    <t>568</t>
  </si>
  <si>
    <t>https://www.wsj.com/tech/ai/west-texas-data-center-nvidia-e38a4678</t>
  </si>
  <si>
    <t>https://www.datacenterdynamics.com/en/news/ai-startup-poolside-teams-up-with-coreweave-on-2gw-data-center-in-texas/</t>
  </si>
  <si>
    <t>https://www.longfellowranch.com/about</t>
  </si>
  <si>
    <t>Black Mountain Data Center</t>
  </si>
  <si>
    <t>near 7600 Anglin Dr</t>
  </si>
  <si>
    <t>Fort Worth</t>
  </si>
  <si>
    <t>76140</t>
  </si>
  <si>
    <t>Tarrant</t>
  </si>
  <si>
    <t>32.64334</t>
  </si>
  <si>
    <t>-97.25621</t>
  </si>
  <si>
    <t>419</t>
  </si>
  <si>
    <t>Adjacent to Weston Gardens nursery. Proposed 419-acre hyperscale data center campus in south Fort Worth planned by Black Mountain LLC with an estimated $10B investment; detailed power capacity not yet disclosed.</t>
  </si>
  <si>
    <t>https://www.star-telegram.com/news/local/fort-worth/article312325777.html</t>
  </si>
  <si>
    <t>https://www.yahoo.com/news/articles/10-billion-data-center-planned-234819302.html</t>
  </si>
  <si>
    <t>14901 FAA Blvd</t>
  </si>
  <si>
    <t>76155</t>
  </si>
  <si>
    <t>32.83233</t>
  </si>
  <si>
    <t>-97.0405</t>
  </si>
  <si>
    <t>CyrusOne/Eolian Data Center</t>
  </si>
  <si>
    <t>Asphalt Dr</t>
  </si>
  <si>
    <t>76179</t>
  </si>
  <si>
    <t>32.90195</t>
  </si>
  <si>
    <t>-97.39384</t>
  </si>
  <si>
    <t>CyrusOne/Eolian</t>
  </si>
  <si>
    <t>70?</t>
  </si>
  <si>
    <t>https://www.change.org/p/stop-the-data-center-next-to-our-historic-gardens-for-all-supporters-sign-petition-below</t>
  </si>
  <si>
    <t>BESS battery storage co-location</t>
  </si>
  <si>
    <t>https://www.datacenterdynamics.com/en/news/cyrusone-partners-with-energy-firm-eolian-for-dallas-data-center/</t>
  </si>
  <si>
    <t>Edged Energy Outpost Data Center</t>
  </si>
  <si>
    <t>9999 Chapin School Rd</t>
  </si>
  <si>
    <t>76126</t>
  </si>
  <si>
    <t>32.67766</t>
  </si>
  <si>
    <t>-97.49922</t>
  </si>
  <si>
    <t>488,770</t>
  </si>
  <si>
    <t>https://www.datacenterdynamics.com/en/news/edged-files-to-develop-data-center-in-fort-worth-texas/</t>
  </si>
  <si>
    <t>Edged Fort Worth Data Center</t>
  </si>
  <si>
    <t>Chapin School Rd</t>
  </si>
  <si>
    <t>32.689224</t>
  </si>
  <si>
    <t>-97.4945</t>
  </si>
  <si>
    <t>City of Fort Worth will consider whether to grant Edged a ten-year abatement for Business Personal Property taxes at a rate of 50 percent, valued at $18.2 million</t>
  </si>
  <si>
    <t>https://www.datacenterdynamics.com/en/news/data-center-developer-edged-eyes-tax-breaks-for-potential-facility-in-fort-worth-texas/</t>
  </si>
  <si>
    <t>Meta Forth Worth Data Center</t>
  </si>
  <si>
    <t>4500 Like Wy</t>
  </si>
  <si>
    <t>76177</t>
  </si>
  <si>
    <t>32.98489</t>
  </si>
  <si>
    <t>-97.262</t>
  </si>
  <si>
    <t>https://venturebeat.com/social/facebook-wants-to-build-a-1b-data-center-facility-in-fort-worth-texas/</t>
  </si>
  <si>
    <t>QTS- Fort Worth-Dallas</t>
  </si>
  <si>
    <t>14100 Park Vista Blvd</t>
  </si>
  <si>
    <t>32.98912</t>
  </si>
  <si>
    <t>-97.2622</t>
  </si>
  <si>
    <t>147,946 sq ft expansion 6/2026</t>
  </si>
  <si>
    <t>https://www.datacenterdynamics.com/en/news/qts-files-to-expand-fort-worth-texas-data-center-for-a-third-time/</t>
  </si>
  <si>
    <t>NTT Global Data Centers Americas - Dallas TX1</t>
  </si>
  <si>
    <t>2008 Lookout Dr</t>
  </si>
  <si>
    <t>Garland</t>
  </si>
  <si>
    <t>75044</t>
  </si>
  <si>
    <t>32.98221</t>
  </si>
  <si>
    <t>-96.6574</t>
  </si>
  <si>
    <t xml:space="preserve">Blueprint Project </t>
  </si>
  <si>
    <t>1201 Westinghouse Rd</t>
  </si>
  <si>
    <t>Georgetown</t>
  </si>
  <si>
    <t>78626</t>
  </si>
  <si>
    <t>Williamson</t>
  </si>
  <si>
    <t>30.584257</t>
  </si>
  <si>
    <t>-97.672676</t>
  </si>
  <si>
    <t>Blueprint Project</t>
  </si>
  <si>
    <t>$160 million</t>
  </si>
  <si>
    <t>https://www.datacenterdynamics.com/en/news/blueprint-projects-gets-greenlight-for-data-center-in-taylor-texas/</t>
  </si>
  <si>
    <t>https://www.hellogeorgetown.com/coming-soon-to-georgetown/blueprint-data-centers-commits-160m-to-georgetown-site-tied-to-taylor-expansion/</t>
  </si>
  <si>
    <t>Georgetown Data Center</t>
  </si>
  <si>
    <t>201 Blue Ridge Dr</t>
  </si>
  <si>
    <t>30.60149</t>
  </si>
  <si>
    <t>-97.6773</t>
  </si>
  <si>
    <t>Lone Star Project</t>
  </si>
  <si>
    <t>Glasscock County</t>
  </si>
  <si>
    <t>Glasscock</t>
  </si>
  <si>
    <t>31.788517</t>
  </si>
  <si>
    <t>-101.581985</t>
  </si>
  <si>
    <t>Pace</t>
  </si>
  <si>
    <t>https://www.datacenterdynamics.com/en/news/pace-plans-100mw-texas-first-data-center-in-glasscock-county/</t>
  </si>
  <si>
    <t>Stream Data Center: "Project Saltworks"</t>
  </si>
  <si>
    <t>Betw FM 61 and 209, south of Lake Graham</t>
  </si>
  <si>
    <t>Graham</t>
  </si>
  <si>
    <t>76450</t>
  </si>
  <si>
    <t>Young</t>
  </si>
  <si>
    <t>33.116802</t>
  </si>
  <si>
    <t>-98.64048</t>
  </si>
  <si>
    <t>867</t>
  </si>
  <si>
    <t>https://www.datacenterdynamics.com/en/news/developer-proposes-867-acre-project-saltworks-data-center-in-graham-texas/</t>
  </si>
  <si>
    <t>MARA Bitcoin Mining Data Center</t>
  </si>
  <si>
    <t>2001 Mitchell Bend Hwy</t>
  </si>
  <si>
    <t>Granbury</t>
  </si>
  <si>
    <t>76048</t>
  </si>
  <si>
    <t>Hood</t>
  </si>
  <si>
    <t>32.341797</t>
  </si>
  <si>
    <t>-97.731636</t>
  </si>
  <si>
    <t>Marathon Digital Holdings (MARA)</t>
  </si>
  <si>
    <t xml:space="preserve">chrome-extension://efaidnbmnnnibpcajpcglclefindmkaj/https://earthjustice.org/wp-content/uploads/2024/10/2024-10-04-first-verified-petition_redacted.pdf
https://www.texastribune.org/2024/08/15/bitcoin-mining-noise-granbury-texas/
https://time.com/6982015/bitcoin-mining-texas-health/
</t>
  </si>
  <si>
    <t>https://www.maragranbury.com/</t>
  </si>
  <si>
    <t>https://baxtel.com/data-center/marathon-digital-granbury-tx</t>
  </si>
  <si>
    <t>Eneus Energy</t>
  </si>
  <si>
    <t>Near Valley International Airport</t>
  </si>
  <si>
    <t>Harlingen</t>
  </si>
  <si>
    <t>78550</t>
  </si>
  <si>
    <t>Cameron</t>
  </si>
  <si>
    <t>26.226423</t>
  </si>
  <si>
    <t>-97.63307</t>
  </si>
  <si>
    <t>2,000</t>
  </si>
  <si>
    <t>1785</t>
  </si>
  <si>
    <t>180 day moratorium in place in Harlingen as of May 2026.</t>
  </si>
  <si>
    <t>Initial planning and evaluation. No actual proposal yet. Harlingen WaterWorks System’s board of directors entered into an agreement that could supply effluent water to the data center project</t>
  </si>
  <si>
    <t>https://www.datacenterdynamics.com/en/news/2gw-data-center-could-be-developed-in-cameron-county-texas/</t>
  </si>
  <si>
    <t>https://myrgv.com/publications/valley-morning-star/2026/04/02/harlingen-calls-for-public-hearings-on-proposed-data-center-moratorium/</t>
  </si>
  <si>
    <t>https://www.krgv.com/news/harlingen-officials-approve-120-day-moratorium-to-study-impact-of-potential-data-centers/</t>
  </si>
  <si>
    <t>Journey 1A and 2A Data Centers</t>
  </si>
  <si>
    <t>1362 Red Creek Rd</t>
  </si>
  <si>
    <t>Haskell</t>
  </si>
  <si>
    <t>79521</t>
  </si>
  <si>
    <t>33.13765</t>
  </si>
  <si>
    <t>-99.56995</t>
  </si>
  <si>
    <t>495,700</t>
  </si>
  <si>
    <t>https://www.datacenterdynamics.com/en/news/google-linked-housebound-group-files-for-two-data-center-projects-in-haskell-texas/</t>
  </si>
  <si>
    <t>Project Aquilla: Abbott Holding Data Center</t>
  </si>
  <si>
    <t>Along I-35 corridor, 1 miles from schools, adjacent to Lake Aquilla</t>
  </si>
  <si>
    <t>Hill County</t>
  </si>
  <si>
    <t>Hill</t>
  </si>
  <si>
    <t>31.96484</t>
  </si>
  <si>
    <t>-97.123825</t>
  </si>
  <si>
    <t>RCM Hill</t>
  </si>
  <si>
    <t>1,235</t>
  </si>
  <si>
    <t xml:space="preserve">County passed moratorium. Developer sued for $100 million. County rescinded moratorium. </t>
  </si>
  <si>
    <t>https://www.kxxv.com/news/local-news/in-your-neighborhood/100m-lawsuit-filed-against-hill-county-officials-over-data-center-moratorium</t>
  </si>
  <si>
    <t>https://www.kxxv.com/news/local-news/in-your-neighborhood/hill-county/hillsboro-county-commissioners-rescind-moratorium-after-lawsuit-filed</t>
  </si>
  <si>
    <t>Provident Data Center</t>
  </si>
  <si>
    <t>1000 Airport Blvd</t>
  </si>
  <si>
    <t>76645</t>
  </si>
  <si>
    <t>32.08659</t>
  </si>
  <si>
    <t>-97.09979</t>
  </si>
  <si>
    <t>https://hillsbororeporter.com/city-hears-feedback-on-data-center-proposal-p31629-54.htm</t>
  </si>
  <si>
    <t>https://www.datacenterdynamics.com/en/news/concern-over-proposed-sale-of-300-acres-for-data-center-in-hillsboro-texas/</t>
  </si>
  <si>
    <t>CyrusOne LLC - Houston West III Data Center</t>
  </si>
  <si>
    <t>1003 Corporate Centre Dr</t>
  </si>
  <si>
    <t>77041</t>
  </si>
  <si>
    <t>Harris</t>
  </si>
  <si>
    <t>29.84402</t>
  </si>
  <si>
    <t>-95.5609</t>
  </si>
  <si>
    <t>Serverfarm Data Center (CTX 1, CTX 2)</t>
  </si>
  <si>
    <t>15555 Cutten Rd</t>
  </si>
  <si>
    <t>77070</t>
  </si>
  <si>
    <t>29.996</t>
  </si>
  <si>
    <t>-95.5633</t>
  </si>
  <si>
    <t>40-100</t>
  </si>
  <si>
    <t>https://www.datacenterdynamics.com/en/news/serverfarm-tops-out-houston-data-center-in-texas/</t>
  </si>
  <si>
    <t>ENERGY CONTROL &amp; DATA CENTER</t>
  </si>
  <si>
    <t>16303 TOMBALL PKWY</t>
  </si>
  <si>
    <t>HOUSTON</t>
  </si>
  <si>
    <t>77064</t>
  </si>
  <si>
    <t>29.94515</t>
  </si>
  <si>
    <t>-95.5388</t>
  </si>
  <si>
    <t>Nexus Data Center: Apex DFW HB1 and HB2</t>
  </si>
  <si>
    <t>357 HCR 3372</t>
  </si>
  <si>
    <t>Hubbard</t>
  </si>
  <si>
    <t>76648</t>
  </si>
  <si>
    <t>31.823338</t>
  </si>
  <si>
    <t>-96.74779</t>
  </si>
  <si>
    <t>983,000</t>
  </si>
  <si>
    <t>2900</t>
  </si>
  <si>
    <t>https://www.datacenterdynamics.com/en/news/600mw-natural-gas-powered-data-center-campus-proposed-in-hubbard-texas/</t>
  </si>
  <si>
    <t>https://www.datacenterdynamics.com/en/news/nexus-dc-files-to-develop-data-center-in-dallas-texas/</t>
  </si>
  <si>
    <t>https://www.datacenterdynamics.com/en/news/nexus-dc-files-to-develop-second-data-center-outside-dallas-texas/</t>
  </si>
  <si>
    <t>FM3499</t>
  </si>
  <si>
    <t>Hutto</t>
  </si>
  <si>
    <t>78634</t>
  </si>
  <si>
    <t>30.512888</t>
  </si>
  <si>
    <t>-97.489456</t>
  </si>
  <si>
    <t>Some energy possibly from behind the meter</t>
  </si>
  <si>
    <t>https://www.datacenterdynamics.com/en/news/iron-mountain-eyes-seven-building-data-center-campus-outside-austin-texas/</t>
  </si>
  <si>
    <t>Project Hutto</t>
  </si>
  <si>
    <t>County Road 119 and Limmer Loop</t>
  </si>
  <si>
    <t>30.556295</t>
  </si>
  <si>
    <t>-97.55823</t>
  </si>
  <si>
    <t>Stop The Hutto County Data Center</t>
  </si>
  <si>
    <t>https://www.datacenterdynamics.com/en/news/950000-sq-ft-data-center-proposed-for-hutto-texas/</t>
  </si>
  <si>
    <t>https://www.datacenterdynamics.com/en/news/developer-withdraws-application-for-70mw-data-center-in-hutto-texas/</t>
  </si>
  <si>
    <t>https://www.kxan.com/news/local/hutto/hutto-residents-file-formal-protest-against-proposed-data-center/</t>
  </si>
  <si>
    <t>Project Raptor</t>
  </si>
  <si>
    <t>2351 Innovation Blvd</t>
  </si>
  <si>
    <t>30.54322</t>
  </si>
  <si>
    <t>-97.57</t>
  </si>
  <si>
    <t xml:space="preserve">Skybox Hutto PowerCampus Data Center </t>
  </si>
  <si>
    <t>4200 County Rd 132</t>
  </si>
  <si>
    <t>30.53681</t>
  </si>
  <si>
    <t>-97.5178</t>
  </si>
  <si>
    <t>$125 million</t>
  </si>
  <si>
    <t>https://www.change.org/p/say-no-to-the-skybox-data-center-and-substation-in-round-rock-tx</t>
  </si>
  <si>
    <t>https://www.mysanantonio.com/business/article/austin-skybox-hutto-data-center-21029501.php</t>
  </si>
  <si>
    <t>https://baxtel.com/data-center/skybox-hutto-3</t>
  </si>
  <si>
    <t>09/05/2025</t>
  </si>
  <si>
    <t>Edged (DFW01-1)</t>
  </si>
  <si>
    <t>505 N Wildwood Dr</t>
  </si>
  <si>
    <t>Irving</t>
  </si>
  <si>
    <t>75061</t>
  </si>
  <si>
    <t>32.817696</t>
  </si>
  <si>
    <t>-96.91813</t>
  </si>
  <si>
    <t>168,610</t>
  </si>
  <si>
    <t>QTS-Irving</t>
  </si>
  <si>
    <t>6431 Longhorn Dr</t>
  </si>
  <si>
    <t>75063</t>
  </si>
  <si>
    <t>32.89704</t>
  </si>
  <si>
    <t>-96.9832</t>
  </si>
  <si>
    <t>https://www.datacenterdynamics.com/en/news/qts-files-to-add-another-building-to-wilmer-data-center-campus-texas/</t>
  </si>
  <si>
    <t>Jarrell Data Center</t>
  </si>
  <si>
    <t>FM 487</t>
  </si>
  <si>
    <t>Jarrell</t>
  </si>
  <si>
    <t>76537</t>
  </si>
  <si>
    <t>30.81534</t>
  </si>
  <si>
    <t>-97.6328</t>
  </si>
  <si>
    <t>Mesones</t>
  </si>
  <si>
    <t>151</t>
  </si>
  <si>
    <t>$850 million</t>
  </si>
  <si>
    <t>https://www.kxan.com/news/local/williamson-county/jarrell-residents-concerned-about-proposed-data-center/</t>
  </si>
  <si>
    <t>https://www.change.org/p/stop-the-data-center-near-jarrell-high-school-and-neighborhoods</t>
  </si>
  <si>
    <t>https://www.linkedin.com/posts/power-infrastructure-partners_power-infrastructure-partners-and-savannah-activity-7361053754638422018-6BBW/</t>
  </si>
  <si>
    <t>https://www.connectcre.com/stories/austin-area-town-to-decide-fate-of-proposed-850m-data-center/</t>
  </si>
  <si>
    <t>https://www.bizjournals.com/austin/news/2025/08/27/data-center-jarrell-austin-development-power-water.html</t>
  </si>
  <si>
    <t>Houston One Data Center</t>
  </si>
  <si>
    <t>22000 Franz Rd</t>
  </si>
  <si>
    <t>Katy</t>
  </si>
  <si>
    <t>77449</t>
  </si>
  <si>
    <t>29.803122</t>
  </si>
  <si>
    <t>-95.75579</t>
  </si>
  <si>
    <t>Element Critical</t>
  </si>
  <si>
    <t>118,248</t>
  </si>
  <si>
    <t>https://elementcritical.com/data-centers/houston-data-center/</t>
  </si>
  <si>
    <t>https://www.prnewswire.com/news-releases/element-critical-adds-10mw-of-ai-ready-capacity-at-houston-one-campus-302619374.html</t>
  </si>
  <si>
    <t>Onmine Data Center</t>
  </si>
  <si>
    <t>6509 S. Fort Hood St</t>
  </si>
  <si>
    <t>Killen</t>
  </si>
  <si>
    <t>76542</t>
  </si>
  <si>
    <t>Bell</t>
  </si>
  <si>
    <t>31.062225</t>
  </si>
  <si>
    <t>-97.76623</t>
  </si>
  <si>
    <t>https://kdhnews.com/news/local/killeen-planning-and-zoning-commission-to-consider-approving-data-center-in-south-killeen/article_5539153b-752e-4def-9ab1-bf4cc7ad9e46.html</t>
  </si>
  <si>
    <t>https://www.kcentv.com/video/news/local/killeen-planning-commission-rejects-30m-data-center-project/500-8b6dcb99-d07d-4d47-ba71-43d10e942a01</t>
  </si>
  <si>
    <t>https://www.youtube.com/watch?v=a89iVxblu9I</t>
  </si>
  <si>
    <t>https://www.datacenterdynamics.com/en/news/30m-data-center-near-austin-texas-fails-to-get-recommendation-for-approval-from-pz-commission/</t>
  </si>
  <si>
    <t xml:space="preserve">Lacy Lakeview Data Center </t>
  </si>
  <si>
    <t>just west of Elm Mott</t>
  </si>
  <si>
    <t>Lacy Lakeview</t>
  </si>
  <si>
    <t>76705</t>
  </si>
  <si>
    <t>McLennan</t>
  </si>
  <si>
    <t>31.66293</t>
  </si>
  <si>
    <t>-97.110344</t>
  </si>
  <si>
    <t>InfraKey Capital</t>
  </si>
  <si>
    <t>520</t>
  </si>
  <si>
    <t>https://www.kxxv.com/news/local-news/in-your-neighborhood/we-dont-want-this-lacy-lakeview-approves-data-center-agreement-despite-neighbors-opposition</t>
  </si>
  <si>
    <t>https://www.change.org/p/stop-infrakey-data-center-from-building-in-lacy-lakeview</t>
  </si>
  <si>
    <t>https://www.datacenterdynamics.com/en/news/10bn-data-center-project-recieves-approval-in-lacy-lakeview-texas/</t>
  </si>
  <si>
    <t>https://www.datacenterdynamics.com/en/news/infrakey-city-of-lacy-lakeview-unveil-925mw-data-center-district-in-mclennan-county-texas/</t>
  </si>
  <si>
    <t>Digital Bridge Data Center</t>
  </si>
  <si>
    <t>75146</t>
  </si>
  <si>
    <t>32.57545</t>
  </si>
  <si>
    <t>-96.6995</t>
  </si>
  <si>
    <t>163</t>
  </si>
  <si>
    <t>https://www.datacenterdynamics.com/en/news/yondr-expands-into-texas-plans-550mw-data-center-in-dallas/</t>
  </si>
  <si>
    <t>PowerCampus Dallas by Lancaster Data Center Campus LP</t>
  </si>
  <si>
    <t>~1000 Bear Creek Rd</t>
  </si>
  <si>
    <t>32.56777</t>
  </si>
  <si>
    <t>-96.7739</t>
  </si>
  <si>
    <t>https://baxtel.com/data-center/skybox-powercampus-dallas</t>
  </si>
  <si>
    <t>Project Labrador (WHL Dallas 45 LLC)</t>
  </si>
  <si>
    <t>1401 Greene Rd</t>
  </si>
  <si>
    <t>32.59966</t>
  </si>
  <si>
    <t>-96.7302</t>
  </si>
  <si>
    <t>1,040,000</t>
  </si>
  <si>
    <t>https://www.datacenterdynamics.com/en/news/large-data-center-campus-proposed-in-lancaster-area-of-dallas-texas/</t>
  </si>
  <si>
    <t>Project Oranger (WHL Dallas 45 LLC)</t>
  </si>
  <si>
    <t>201 Sunrise Rd</t>
  </si>
  <si>
    <t>32.57294</t>
  </si>
  <si>
    <t>-96.6993</t>
  </si>
  <si>
    <t>252</t>
  </si>
  <si>
    <t>QTS Wilmer  (DFW2 and DC1)</t>
  </si>
  <si>
    <t>1341 Sunrise Rd</t>
  </si>
  <si>
    <t>32.580692</t>
  </si>
  <si>
    <t>-96.70294</t>
  </si>
  <si>
    <t>777,225</t>
  </si>
  <si>
    <t>2501 State Hwy 121 #400D</t>
  </si>
  <si>
    <t>Lewisville</t>
  </si>
  <si>
    <t>75067</t>
  </si>
  <si>
    <t>32.9994</t>
  </si>
  <si>
    <t>-96.9996</t>
  </si>
  <si>
    <t>BaRupOn Data Center</t>
  </si>
  <si>
    <t>Near Hwy 90/ Liberty American Multi-Sourced Power and Innovation Hub (LAMP)</t>
  </si>
  <si>
    <t>77575</t>
  </si>
  <si>
    <t>30.04849</t>
  </si>
  <si>
    <t>-94.67973</t>
  </si>
  <si>
    <t>Nuclear, Solar, Geothermal, Grid (unspecified mix)</t>
  </si>
  <si>
    <t>4500000</t>
  </si>
  <si>
    <t>701</t>
  </si>
  <si>
    <t>https://www.datacenterdynamics.com/en/news/medical-equipment-manufacturer-pivots-chemical-plant-to-data-center-and-manufacturing-campus/</t>
  </si>
  <si>
    <t>Caldwell Technology Park. near 2859 FM2720</t>
  </si>
  <si>
    <t>Lockhart</t>
  </si>
  <si>
    <t>78644</t>
  </si>
  <si>
    <t>29.91816</t>
  </si>
  <si>
    <t>-97.7668</t>
  </si>
  <si>
    <t>360-1600</t>
  </si>
  <si>
    <t>Caldwell Valley Technology Park. near 2859 FM2720</t>
  </si>
  <si>
    <t>https://www.tract.com/project/caldwellvalley/</t>
  </si>
  <si>
    <t>https://www.datacenterdynamics.com/en/news/tract-expands-austin-data-center-park-to-3000-acres/</t>
  </si>
  <si>
    <t>05/13/2025</t>
  </si>
  <si>
    <t>Texas Solarworks LLC</t>
  </si>
  <si>
    <t>E Municipal Dr</t>
  </si>
  <si>
    <t>Lubbock</t>
  </si>
  <si>
    <t>79403</t>
  </si>
  <si>
    <t>33.62028</t>
  </si>
  <si>
    <t>-101.7919</t>
  </si>
  <si>
    <t>Potential solar with plan for data center</t>
  </si>
  <si>
    <t>Data Center THM1A</t>
  </si>
  <si>
    <t>Bean Rd</t>
  </si>
  <si>
    <t>Lueders</t>
  </si>
  <si>
    <t>79533</t>
  </si>
  <si>
    <t>32.98045</t>
  </si>
  <si>
    <t>-99.5673</t>
  </si>
  <si>
    <t>280,000</t>
  </si>
  <si>
    <t>https://www.datacenterdynamics.com/en/news/data-center-to-be-built-in-lueders-texas/</t>
  </si>
  <si>
    <t>Ben Dunn Rd and Hwy 103</t>
  </si>
  <si>
    <t>Lufkin</t>
  </si>
  <si>
    <t>75901</t>
  </si>
  <si>
    <t>Angelina</t>
  </si>
  <si>
    <t>31.378511</t>
  </si>
  <si>
    <t>-94.87004</t>
  </si>
  <si>
    <t>https://www.datacenterdynamics.com/en/news/hyperdatagrid-eyes-data-center-outside-lufkin-texas/</t>
  </si>
  <si>
    <t>Project LufKin: Amp Z Data Center</t>
  </si>
  <si>
    <t>Near's Peoples St</t>
  </si>
  <si>
    <t>31.3579</t>
  </si>
  <si>
    <t>-94.677475</t>
  </si>
  <si>
    <t>2,100</t>
  </si>
  <si>
    <t>1041</t>
  </si>
  <si>
    <t>Site of former Southland Paper Mill</t>
  </si>
  <si>
    <t>https://lufkindailynews.com/news/local/ai-data-center-planned-on-1-000-acres-at-former-southland-paper-mill-site/article_ff9e97bf-361d-5649-835b-68a75818bd94.html</t>
  </si>
  <si>
    <t>https://www.datacenterdynamics.com/en/news/multi-gigawatt-data-center-campus-planned-in-east-texas/</t>
  </si>
  <si>
    <t>North East Data Center LLC</t>
  </si>
  <si>
    <t>TX-132 &amp; Co Rd 683</t>
  </si>
  <si>
    <t>Lytle</t>
  </si>
  <si>
    <t>78052</t>
  </si>
  <si>
    <t>29.219524</t>
  </si>
  <si>
    <t>-98.82438</t>
  </si>
  <si>
    <t>Rowan</t>
  </si>
  <si>
    <t>20027</t>
  </si>
  <si>
    <t>https://www.datacenterdynamics.com/en/news/rowan-secures-500m-for-300mw-texas-data-center-project/</t>
  </si>
  <si>
    <t>https://www.datacentermap.com/usa/texas/san-antonio/rowan-cinco/</t>
  </si>
  <si>
    <t>Legacy Data Center</t>
  </si>
  <si>
    <t>1000 Bolton Rd</t>
  </si>
  <si>
    <t>78124</t>
  </si>
  <si>
    <t>Guadelupe</t>
  </si>
  <si>
    <t>29.520437</t>
  </si>
  <si>
    <t>-98.154655</t>
  </si>
  <si>
    <t>39</t>
  </si>
  <si>
    <t>https://www.datacenterdynamics.com/en/news/legacy-investing-eyes-50mw-data-center-outside-san-antonio-texas/</t>
  </si>
  <si>
    <t>"Kahla Project"</t>
  </si>
  <si>
    <t>near Long Hollow Rd</t>
  </si>
  <si>
    <t>Marquez</t>
  </si>
  <si>
    <t>77865</t>
  </si>
  <si>
    <t>Leon</t>
  </si>
  <si>
    <t>31.319128</t>
  </si>
  <si>
    <t>-96.26737</t>
  </si>
  <si>
    <t>Belltown Power</t>
  </si>
  <si>
    <t>https://www.kbtx.com/2025/12/24/leon-county-bracing-1500-megawatt-data-center/</t>
  </si>
  <si>
    <t>https://www.knowleoncounty.org/docs/Project-Kahla-Leon-County.pdf</t>
  </si>
  <si>
    <t>Matagorda County Data Centers</t>
  </si>
  <si>
    <t>Matagora County</t>
  </si>
  <si>
    <t>Matagorda</t>
  </si>
  <si>
    <t>28.74159</t>
  </si>
  <si>
    <t>-95.9322</t>
  </si>
  <si>
    <t>https://www.datacenterdynamics.com/en/news/barrio-energy-plans-sites-for-two-10mw-data-centers-in-matagorda-county-texas/</t>
  </si>
  <si>
    <t>https://www.wjbf.com/business/press-releases/cision/20250813DA50630/barrio-energy-announces-two-new-10mw-data-center-developments-in-matagorda-county-tx/</t>
  </si>
  <si>
    <t>Edged Austin</t>
  </si>
  <si>
    <t>11255 Hwy 142</t>
  </si>
  <si>
    <t>Maxwell</t>
  </si>
  <si>
    <t>78656</t>
  </si>
  <si>
    <t>29.86609</t>
  </si>
  <si>
    <t>-97.8132</t>
  </si>
  <si>
    <t>869,685</t>
  </si>
  <si>
    <t>$2.8 billion</t>
  </si>
  <si>
    <t xml:space="preserve">https://www.datacenterdynamics.com/en/news/edged-files-to-develop-2-million-sq-ft-data-center-campus-outside-austin-texas/												</t>
  </si>
  <si>
    <t>Prime DC AUS01 and AUS02</t>
  </si>
  <si>
    <t>1395 Bob White Rd</t>
  </si>
  <si>
    <t>78657</t>
  </si>
  <si>
    <t>29.92406</t>
  </si>
  <si>
    <t>-97.7511</t>
  </si>
  <si>
    <t>Prime DC</t>
  </si>
  <si>
    <t xml:space="preserve">https://www.datacenterdynamics.com/en/news/prime-files-to-build-two-data-centers-outside-austin-texas/										</t>
  </si>
  <si>
    <t>1547 Data Center: MCTX1</t>
  </si>
  <si>
    <t>200 S 10th St</t>
  </si>
  <si>
    <t>McAllen</t>
  </si>
  <si>
    <t>78501</t>
  </si>
  <si>
    <t>Hidalgo</t>
  </si>
  <si>
    <t>26.20193</t>
  </si>
  <si>
    <t>-98.2316</t>
  </si>
  <si>
    <t>1.5-5</t>
  </si>
  <si>
    <t>17-story office building</t>
  </si>
  <si>
    <t>https://www.mysanantonio.com/business/article/1547-mctx1-data-center-mcallen-20802823.php</t>
  </si>
  <si>
    <t>"Project Merlin" Galaxy Digital Data Center</t>
  </si>
  <si>
    <t>near Spacex Rocket Development site</t>
  </si>
  <si>
    <t>McGregor</t>
  </si>
  <si>
    <t>76657</t>
  </si>
  <si>
    <t>McLennan and Coryell</t>
  </si>
  <si>
    <t>31.392729</t>
  </si>
  <si>
    <t>-97.446846</t>
  </si>
  <si>
    <t>https://www.datacenterdynamics.com/en/news/galaxy-digital-eyes-second-texas-data-center-site-buys-land-outside-waco/</t>
  </si>
  <si>
    <t>EXPERIAN DATA CENTER MCKINNEY</t>
  </si>
  <si>
    <t>3400 S STONEBRIDGE DR</t>
  </si>
  <si>
    <t>MCKINNEY</t>
  </si>
  <si>
    <t>75070</t>
  </si>
  <si>
    <t>33.17172</t>
  </si>
  <si>
    <t>-96.7252</t>
  </si>
  <si>
    <t>SAT 93 and SAT94</t>
  </si>
  <si>
    <t>County Rd 381</t>
  </si>
  <si>
    <t>Medina/ Castroville</t>
  </si>
  <si>
    <t>78253</t>
  </si>
  <si>
    <t>29.424786</t>
  </si>
  <si>
    <t>-98.81255</t>
  </si>
  <si>
    <t>490,000</t>
  </si>
  <si>
    <t>https://www.datacenterdynamics.com/en/news/microsoft-to-invest-52m-in-data-centers-in-medina-texas/</t>
  </si>
  <si>
    <t>Project Pumpkin 2A</t>
  </si>
  <si>
    <t>8830 Co. Rd 21</t>
  </si>
  <si>
    <t>79059</t>
  </si>
  <si>
    <t>Roberts</t>
  </si>
  <si>
    <t>35.691273</t>
  </si>
  <si>
    <t>-100.6382</t>
  </si>
  <si>
    <t>761,000</t>
  </si>
  <si>
    <t>https://www.datacenterdynamics.com/en/news/intersect-is-being-acquired-by-googles-parent-company-alphabet/</t>
  </si>
  <si>
    <t>https://www.zabalist.com/projects/TABS2026011989</t>
  </si>
  <si>
    <t>https://www.tdlr.texas.gov/TABS/Search/Project/TABS2026011989</t>
  </si>
  <si>
    <t>FO Permian Partners and HiVolt Energy Data Center</t>
  </si>
  <si>
    <t>30 minutes SE of Midland</t>
  </si>
  <si>
    <t>Midland County</t>
  </si>
  <si>
    <t>31.76912</t>
  </si>
  <si>
    <t>-101.898</t>
  </si>
  <si>
    <t>150 MW "behind the meter", 3200 acres on-site Permian gas supply, up to 5 GW</t>
  </si>
  <si>
    <t>https://www.mrt.com/business/article/midland-data-centers-320-acres-21049718.php</t>
  </si>
  <si>
    <t>AREP PowerHouse Grand Prairie</t>
  </si>
  <si>
    <t>881 Miller Rd</t>
  </si>
  <si>
    <t>Midlothian</t>
  </si>
  <si>
    <t>76065</t>
  </si>
  <si>
    <t>32.47629</t>
  </si>
  <si>
    <t>-97.0691</t>
  </si>
  <si>
    <t>8,500,000</t>
  </si>
  <si>
    <t>$72 million</t>
  </si>
  <si>
    <t>https://www.powerhousedata.com/data-center/powerhouse-grand-prairie</t>
  </si>
  <si>
    <t>https://www.tdlr.texas.gov/TABS/Projects/TABS2026016734</t>
  </si>
  <si>
    <t>04/06/2026</t>
  </si>
  <si>
    <t>Project Sharka: Google Data Center</t>
  </si>
  <si>
    <t>3441 Railport Parkway</t>
  </si>
  <si>
    <t>32.444714</t>
  </si>
  <si>
    <t>-97.05485</t>
  </si>
  <si>
    <t>$880 million</t>
  </si>
  <si>
    <t>https://baxtel.com/news/texas-critical-data-centers-signs-mou-for-ai-data-center</t>
  </si>
  <si>
    <t>https://finance.yahoo.com/news/north-texas-city-earmarked-nearly-220200323.html</t>
  </si>
  <si>
    <t>https://www.datacenterdynamics.com/en/news/google-files-for-fifth-data-center-at-midlothian-campus-in-texas/</t>
  </si>
  <si>
    <t>Sharka Data Center (Google)</t>
  </si>
  <si>
    <t>Railport Parkway</t>
  </si>
  <si>
    <t>32.44324</t>
  </si>
  <si>
    <t>-97.0605</t>
  </si>
  <si>
    <t>https://www.datacenterdynamics.com/en/news/google-is-behind-500m-sharka-data-center-in-midlothian-texas/</t>
  </si>
  <si>
    <t>MIlan County Data Center</t>
  </si>
  <si>
    <t>Milam County</t>
  </si>
  <si>
    <t>30.99355</t>
  </si>
  <si>
    <t>-97.0035</t>
  </si>
  <si>
    <t>875 MW solar, Between Orion I, II, and III solar fields</t>
  </si>
  <si>
    <t>https://www.energy.gov/policy/articles/first-made-usa-solar-plant-set-power-google-data-centers-boosting-local-economy-and</t>
  </si>
  <si>
    <t>https://www.bizjournals.com/austin/news/2025/05/12/sb-energy-milam-county-data-center-orion-solar.html</t>
  </si>
  <si>
    <t>Mustang Ridge</t>
  </si>
  <si>
    <t>78616</t>
  </si>
  <si>
    <t>30.05179</t>
  </si>
  <si>
    <t>-97.6772</t>
  </si>
  <si>
    <t>472</t>
  </si>
  <si>
    <t>Project Gladys (Soluna)</t>
  </si>
  <si>
    <t>near Bishop?</t>
  </si>
  <si>
    <t>27.58049</t>
  </si>
  <si>
    <t>-97.6401</t>
  </si>
  <si>
    <t>Project Fei (Soluna)</t>
  </si>
  <si>
    <t>near Childress</t>
  </si>
  <si>
    <t>34.37431</t>
  </si>
  <si>
    <t>-100.094</t>
  </si>
  <si>
    <t>Project Hedy (Soluna)</t>
  </si>
  <si>
    <t>near Lyford</t>
  </si>
  <si>
    <t>Willacy</t>
  </si>
  <si>
    <t>26.32319</t>
  </si>
  <si>
    <t>-97.585</t>
  </si>
  <si>
    <t>https://www.solunacomputing.com/news/project-hedy-term-sheet/</t>
  </si>
  <si>
    <t>Project Ellen (Soluna)</t>
  </si>
  <si>
    <t>near Rio Hondo</t>
  </si>
  <si>
    <t>78583</t>
  </si>
  <si>
    <t>26.2517</t>
  </si>
  <si>
    <t>-97.4894</t>
  </si>
  <si>
    <t>Project Rosa (Soluna)</t>
  </si>
  <si>
    <t>near Santa Rosa</t>
  </si>
  <si>
    <t>78593</t>
  </si>
  <si>
    <t>26.2419</t>
  </si>
  <si>
    <t>-97.8223</t>
  </si>
  <si>
    <t>CloudBurst Data Center</t>
  </si>
  <si>
    <t>2955 Francis Harris Ln</t>
  </si>
  <si>
    <t>New Braunfels</t>
  </si>
  <si>
    <t>78130</t>
  </si>
  <si>
    <t>Hays</t>
  </si>
  <si>
    <t>29.76201</t>
  </si>
  <si>
    <t>-97.9909</t>
  </si>
  <si>
    <t>https://www.yahoo.com/news/hays-county-says-ai-data-231555198.html</t>
  </si>
  <si>
    <t>https://www.facebook.com/statesman/posts/hays-county-residents-packed-a-courtroom-tuesday-to-hear-some-of-the-first-infor/1112782817556071/</t>
  </si>
  <si>
    <t>https://www.kut.org/energy-environment/2025-06-04/hays-county-texas-data-center-ai</t>
  </si>
  <si>
    <t>APR Energy Data Center</t>
  </si>
  <si>
    <t>Unknown location</t>
  </si>
  <si>
    <t>Pampa</t>
  </si>
  <si>
    <t>79065</t>
  </si>
  <si>
    <t>35.54431</t>
  </si>
  <si>
    <t>-101.004</t>
  </si>
  <si>
    <t>Expected to consume up to 1.5 million gallons of water per day. 400 MW of on-site gas turbine power</t>
  </si>
  <si>
    <t>https://www.datacenterdynamics.com/en/news/apr-energy-obtains-approval-for-800-acre-natural-gas-powered-data-center-in-pampa-texas/</t>
  </si>
  <si>
    <t>Project Annie (Soluna)</t>
  </si>
  <si>
    <t>near 4210 Old Bonham Rd</t>
  </si>
  <si>
    <t>Paris</t>
  </si>
  <si>
    <t>75460</t>
  </si>
  <si>
    <t>33.65263</t>
  </si>
  <si>
    <t>-95.6048</t>
  </si>
  <si>
    <t>https://www.monarchprivate.com/impact-investing-projects/view/tyson-nick-solar/</t>
  </si>
  <si>
    <t>1851 Farm to Market 2119</t>
  </si>
  <si>
    <t>79772</t>
  </si>
  <si>
    <t>31.533497</t>
  </si>
  <si>
    <t>-103.80071</t>
  </si>
  <si>
    <t>7+</t>
  </si>
  <si>
    <t>Transitioning from crypto to AI by 2027. On-site substation</t>
  </si>
  <si>
    <t>https://www.datacenterdynamics.com/en/news/core-scientific-secures-300mw-capacity-at-pecos-data-center-in-texas-looks-to-behind-the-meter-power/</t>
  </si>
  <si>
    <t>GW Ranch (Pacifico Energy)</t>
  </si>
  <si>
    <t>Pecos County</t>
  </si>
  <si>
    <t>31.147247</t>
  </si>
  <si>
    <t>-102.89146</t>
  </si>
  <si>
    <t>8000</t>
  </si>
  <si>
    <t>Off-grid, also include 1.8GW of energy storage</t>
  </si>
  <si>
    <t>https://www.datacenterdynamics.com/en/news/pacifico-energy-unveils-5gw-offgrid-natural-gas-project-in-texas-slated-to-serve-a-hyperscale-data-center/</t>
  </si>
  <si>
    <t>https://www.pacificoenergy.com/gw-ranch</t>
  </si>
  <si>
    <t>https://finance.yahoo.com/news/pacifico-energy-secures-7-65-120000106.html</t>
  </si>
  <si>
    <t>Skybox - Austin 2</t>
  </si>
  <si>
    <t>2515 S Kenney Fort Blvd</t>
  </si>
  <si>
    <t>Pflugerville</t>
  </si>
  <si>
    <t>78660</t>
  </si>
  <si>
    <t>30.48241</t>
  </si>
  <si>
    <t>-97.6246</t>
  </si>
  <si>
    <t>$86.4 million</t>
  </si>
  <si>
    <t>https://www.tdlr.texas.gov/TABS/Search/Project/TABS2024016342</t>
  </si>
  <si>
    <t>https://www.mysanantonio.com/business/article/skybox-datacenter-hutto-pflugerville-19411678.php</t>
  </si>
  <si>
    <t>Cloverleaf Data Center: Project Open Sky</t>
  </si>
  <si>
    <t>Btwn Azalea Road NW, Richland Road NW, and Moffat Road NW</t>
  </si>
  <si>
    <t>Piedmont</t>
  </si>
  <si>
    <t>73078</t>
  </si>
  <si>
    <t>Canadian</t>
  </si>
  <si>
    <t>35.72121</t>
  </si>
  <si>
    <t>-97.787</t>
  </si>
  <si>
    <t>2,116,800</t>
  </si>
  <si>
    <t>633</t>
  </si>
  <si>
    <t xml:space="preserve">https://www.datacenterdynamics.com/en/news/powered-land-company-cloverleaf-proposing-633-acre-data-center-in-canadian-county-oklahoma/													</t>
  </si>
  <si>
    <t>Aligned DFW1 and DFW2</t>
  </si>
  <si>
    <t>2800 Summit Ave</t>
  </si>
  <si>
    <t>Plano</t>
  </si>
  <si>
    <t>75074</t>
  </si>
  <si>
    <t>33.00918</t>
  </si>
  <si>
    <t>-96.6745</t>
  </si>
  <si>
    <t>36+</t>
  </si>
  <si>
    <t>285,000</t>
  </si>
  <si>
    <t>https://www.datacenterdynamics.com/en/news/aligned-announces-second-data-center-at-plano-campus-in-texas/</t>
  </si>
  <si>
    <t>CoreWeave Plano</t>
  </si>
  <si>
    <t>1000 Coit Rd</t>
  </si>
  <si>
    <t>75075</t>
  </si>
  <si>
    <t>33.01469</t>
  </si>
  <si>
    <t>-96.7651</t>
  </si>
  <si>
    <t>454,421</t>
  </si>
  <si>
    <t>DataBank Data Centers - Legacy Park Plano</t>
  </si>
  <si>
    <t>8375 Dominion Pkwy</t>
  </si>
  <si>
    <t>75024</t>
  </si>
  <si>
    <t>33.08736</t>
  </si>
  <si>
    <t>-96.8139</t>
  </si>
  <si>
    <t>DFW-04 Data Center</t>
  </si>
  <si>
    <t>401 North Star Rd</t>
  </si>
  <si>
    <t>33.00439</t>
  </si>
  <si>
    <t>-96.6502</t>
  </si>
  <si>
    <t>425,500</t>
  </si>
  <si>
    <t>$161 million</t>
  </si>
  <si>
    <t>https://itbrief.news/story/aligned-lambda-join-forces-on-ai-ready-data-centre-in-texas</t>
  </si>
  <si>
    <t>https://www.datacenterdynamics.com/en/news/lambda-cloud-to-take-capacity-at-aligneds-dfw-04-dallas-fort-worth-data-center/</t>
  </si>
  <si>
    <t>https://aligneddc.com/dallas/</t>
  </si>
  <si>
    <t>Equinix DA7 Data Center</t>
  </si>
  <si>
    <t>6653 Pinecrest Dr</t>
  </si>
  <si>
    <t>33.06499</t>
  </si>
  <si>
    <t>-96.8109</t>
  </si>
  <si>
    <t>37,910</t>
  </si>
  <si>
    <t>Evocative DAL6</t>
  </si>
  <si>
    <t>1221 Coit Rd</t>
  </si>
  <si>
    <t>75076</t>
  </si>
  <si>
    <t>33.01578</t>
  </si>
  <si>
    <t>-96.7688</t>
  </si>
  <si>
    <t>111,000</t>
  </si>
  <si>
    <t>Skybox Atlantic Station</t>
  </si>
  <si>
    <t>2300 W Plano Pkwy</t>
  </si>
  <si>
    <t>33.00508</t>
  </si>
  <si>
    <t>-96.7421</t>
  </si>
  <si>
    <t>Pyote Data Center</t>
  </si>
  <si>
    <t>Near intersection of I-20 and FM 1927</t>
  </si>
  <si>
    <t>Pyote</t>
  </si>
  <si>
    <t>79777</t>
  </si>
  <si>
    <t>Ward</t>
  </si>
  <si>
    <t>31.52544</t>
  </si>
  <si>
    <t>-103.117</t>
  </si>
  <si>
    <t>Mines bitcoin in addition</t>
  </si>
  <si>
    <t>https://genesisdigitalassets.com/our-work-and-impact/</t>
  </si>
  <si>
    <t>Signal Rd</t>
  </si>
  <si>
    <t>Quinlan</t>
  </si>
  <si>
    <t>75474</t>
  </si>
  <si>
    <t>Hunt</t>
  </si>
  <si>
    <t>32.988132</t>
  </si>
  <si>
    <t>-96.08421</t>
  </si>
  <si>
    <t>265</t>
  </si>
  <si>
    <t>https://www.datacenterdynamics.com/en/news/core-scientific-buys-land-outside-dallas-texas-for-285mw-data-center-campus/</t>
  </si>
  <si>
    <t>Databank: DFW11 and DFW12</t>
  </si>
  <si>
    <t>Stainback Rd</t>
  </si>
  <si>
    <t>Red Oak</t>
  </si>
  <si>
    <t>75154</t>
  </si>
  <si>
    <t>32.53531</t>
  </si>
  <si>
    <t>-96.7339</t>
  </si>
  <si>
    <t>$325 million</t>
  </si>
  <si>
    <t>https://www.datacenterdynamics.com/en/news/databank-files-to-develop-two-more-data-centers-at-upcoming-red-oak-texas-campus/</t>
  </si>
  <si>
    <t>330 Austin Blvd</t>
  </si>
  <si>
    <t>32.53763</t>
  </si>
  <si>
    <t>-96.7968</t>
  </si>
  <si>
    <t>https://www.datacenterdynamics.com/en/news/google-announces-plans-for-red-oak-data-center-campus-in-texas/</t>
  </si>
  <si>
    <t>Red Oak Data Center 2</t>
  </si>
  <si>
    <t>156 N. Austin Blvd</t>
  </si>
  <si>
    <t>32.53665</t>
  </si>
  <si>
    <t>-96.79767</t>
  </si>
  <si>
    <t>https://baxtel.com/data-center/google-red-oak-tx</t>
  </si>
  <si>
    <t>Red Oak Data Center Campus</t>
  </si>
  <si>
    <t>481 Austin Blvd</t>
  </si>
  <si>
    <t>32.54188</t>
  </si>
  <si>
    <t>-96.7998</t>
  </si>
  <si>
    <t>981,000</t>
  </si>
  <si>
    <t>225</t>
  </si>
  <si>
    <t>https://www.datacenterdynamics.com/en/news/compass-buys-land-second-dallas-campus/</t>
  </si>
  <si>
    <t>https://www.tdlr.texas.gov/TABS/Search/Project/TABS2020019741</t>
  </si>
  <si>
    <t>1210 Integrity Drive (DFW18)</t>
  </si>
  <si>
    <t>1210 Integrity Dr</t>
  </si>
  <si>
    <t>Richardson</t>
  </si>
  <si>
    <t>75081</t>
  </si>
  <si>
    <t>32.96639</t>
  </si>
  <si>
    <t>-96.7138</t>
  </si>
  <si>
    <t>1232 Alma Road Data Center</t>
  </si>
  <si>
    <t>1232 Alma Road</t>
  </si>
  <si>
    <t>32.96619</t>
  </si>
  <si>
    <t>-96.7159</t>
  </si>
  <si>
    <t>6.7</t>
  </si>
  <si>
    <t>105,726</t>
  </si>
  <si>
    <t>365 Data Centers - Richardson</t>
  </si>
  <si>
    <t>1001 East Campbell Rd</t>
  </si>
  <si>
    <t>32.97615</t>
  </si>
  <si>
    <t>-96.7073</t>
  </si>
  <si>
    <t>6.2</t>
  </si>
  <si>
    <t>75,100</t>
  </si>
  <si>
    <t>850 E. Collins Boulevard (DFW28)</t>
  </si>
  <si>
    <t>850 E. Collins Boulevard</t>
  </si>
  <si>
    <t>32.96746</t>
  </si>
  <si>
    <t>-96.7132</t>
  </si>
  <si>
    <t>6.8</t>
  </si>
  <si>
    <t>Richardson Data Center</t>
  </si>
  <si>
    <t>1501 E Lookout Dr</t>
  </si>
  <si>
    <t>75082</t>
  </si>
  <si>
    <t>32.98529</t>
  </si>
  <si>
    <t>-96.6969</t>
  </si>
  <si>
    <t>Cipher Data Center</t>
  </si>
  <si>
    <t>near Sandy Creek Power Plant</t>
  </si>
  <si>
    <t>Riesel</t>
  </si>
  <si>
    <t>76682</t>
  </si>
  <si>
    <t xml:space="preserve"> McLennan</t>
  </si>
  <si>
    <t>31.47631</t>
  </si>
  <si>
    <t>-96.96844</t>
  </si>
  <si>
    <t>Cipher</t>
  </si>
  <si>
    <t>https://www.datacenterdynamics.com/en/news/cipher-looks-to-build-500mw-campus-near-coal-plant-outside-waco-texas/</t>
  </si>
  <si>
    <t>CORNERSTONE SOUTHWEST DATA CENTER</t>
  </si>
  <si>
    <t>931 LITSEY RD</t>
  </si>
  <si>
    <t>ROANOKE</t>
  </si>
  <si>
    <t>76262</t>
  </si>
  <si>
    <t>33.00576</t>
  </si>
  <si>
    <t>-97.2459</t>
  </si>
  <si>
    <t>Beacon Point Data Center</t>
  </si>
  <si>
    <t>Nueces County (near Robstown)</t>
  </si>
  <si>
    <t>Robstown</t>
  </si>
  <si>
    <t>78380</t>
  </si>
  <si>
    <t>27.7903</t>
  </si>
  <si>
    <t>-97.67</t>
  </si>
  <si>
    <t>Crytomine/AI</t>
  </si>
  <si>
    <t>352</t>
  </si>
  <si>
    <t>9.8 Billion</t>
  </si>
  <si>
    <t>Advanced Micro Devices Data Center</t>
  </si>
  <si>
    <t>2721 Charles Martin Hall Rd</t>
  </si>
  <si>
    <t>76567</t>
  </si>
  <si>
    <t>30.56359</t>
  </si>
  <si>
    <t>-97.08498</t>
  </si>
  <si>
    <t>25-200</t>
  </si>
  <si>
    <t>$89.8 million</t>
  </si>
  <si>
    <t>Bitcoin operator expanding to HPC</t>
  </si>
  <si>
    <t>1300 Louis Henna Blvd</t>
  </si>
  <si>
    <t>Round Rock</t>
  </si>
  <si>
    <t>78664</t>
  </si>
  <si>
    <t>30.48796</t>
  </si>
  <si>
    <t>-97.6468</t>
  </si>
  <si>
    <t>Skybox Round Rock Data Center</t>
  </si>
  <si>
    <t>2601 E. Old Settlers Boulevard</t>
  </si>
  <si>
    <t>78665</t>
  </si>
  <si>
    <t>30.5489</t>
  </si>
  <si>
    <t>-97.6441</t>
  </si>
  <si>
    <t>Skybox Datacenters</t>
  </si>
  <si>
    <t>https://protectroundrock.org/</t>
  </si>
  <si>
    <t>The city council voted on and unanimously approved rezoning of 30 acres for the proposal on Feb 12th 2026</t>
  </si>
  <si>
    <t>https://www.roundrocktexas.gov/city-departments/administration/data-centers-in-round-rock/</t>
  </si>
  <si>
    <t>https://cbsaustin.com/news/local/round-rock-council-hears-hours-of-testimony-thursday-on-skybox-rezoning-plan</t>
  </si>
  <si>
    <t>Skybox Data Center</t>
  </si>
  <si>
    <t>South of US-67, west of City Farm Rd</t>
  </si>
  <si>
    <t>San Angelo</t>
  </si>
  <si>
    <t>76905</t>
  </si>
  <si>
    <t>Tom Green</t>
  </si>
  <si>
    <t>31.52764</t>
  </si>
  <si>
    <t>-100.33235</t>
  </si>
  <si>
    <t>1,488,000</t>
  </si>
  <si>
    <t>https://www.datacenterdynamics.com/en/news/skybox-eyes-six-building-data-center-campus-in-san-angelo-texas/</t>
  </si>
  <si>
    <t>AWS  (COPT Potranco)</t>
  </si>
  <si>
    <t>1535 NW Crossroads</t>
  </si>
  <si>
    <t>San Antonio</t>
  </si>
  <si>
    <t>78251</t>
  </si>
  <si>
    <t>29.450628</t>
  </si>
  <si>
    <t>-98.637535</t>
  </si>
  <si>
    <t>141,979</t>
  </si>
  <si>
    <t>AWS Rockfish 1</t>
  </si>
  <si>
    <t>11625 Old Corpus Christi Hwy</t>
  </si>
  <si>
    <t>78223</t>
  </si>
  <si>
    <t>29.3019</t>
  </si>
  <si>
    <t>-98.3888</t>
  </si>
  <si>
    <t>109,600</t>
  </si>
  <si>
    <t>$56 million</t>
  </si>
  <si>
    <t>https://www.datacenterdynamics.com/en/news/aws-rockfish-planning-documents-reveal-three-amazon-data-centers-in-texas/</t>
  </si>
  <si>
    <t>AWS Rockfish 2</t>
  </si>
  <si>
    <t>7400 Potranco Road</t>
  </si>
  <si>
    <t>29.45094</t>
  </si>
  <si>
    <t>-98.6388</t>
  </si>
  <si>
    <t>$31 million</t>
  </si>
  <si>
    <t>https://www.tdlr.texas.gov/TABS/Search/Project/TABS2021003294</t>
  </si>
  <si>
    <t>AWS Rockfish 3</t>
  </si>
  <si>
    <t>TX-211 &amp; Potranco Road</t>
  </si>
  <si>
    <t>78245</t>
  </si>
  <si>
    <t>29.42085</t>
  </si>
  <si>
    <t>-98.7818</t>
  </si>
  <si>
    <t>$55.9 million</t>
  </si>
  <si>
    <t xml:space="preserve">Chevron Data Center </t>
  </si>
  <si>
    <t>5200 Rogers Rd</t>
  </si>
  <si>
    <t>29.48045</t>
  </si>
  <si>
    <t>-98.6963</t>
  </si>
  <si>
    <t>CITICORP DATA SYSTEMS</t>
  </si>
  <si>
    <t>100 CITIBANK DR</t>
  </si>
  <si>
    <t>29.41341</t>
  </si>
  <si>
    <t>-98.7773</t>
  </si>
  <si>
    <t>9999 Westover Hills Blvd</t>
  </si>
  <si>
    <t>29.46616</t>
  </si>
  <si>
    <t>-98.6885</t>
  </si>
  <si>
    <t>100 Taylor St</t>
  </si>
  <si>
    <t>78205</t>
  </si>
  <si>
    <t>29.42938</t>
  </si>
  <si>
    <t>-98.4868</t>
  </si>
  <si>
    <t>LOWES DATA CENTER</t>
  </si>
  <si>
    <t>10045 ROGERS RUN</t>
  </si>
  <si>
    <t>29.47334</t>
  </si>
  <si>
    <t>-98.69</t>
  </si>
  <si>
    <t>~3543 W Loop 1604 N Acc Rd</t>
  </si>
  <si>
    <t>29.46696</t>
  </si>
  <si>
    <t>-98.7134</t>
  </si>
  <si>
    <t>390,000</t>
  </si>
  <si>
    <t>https://www.expressnews.com/business/article/san-antonio-microsoft-west-side-data-centers-21061920.php</t>
  </si>
  <si>
    <t>Microsoft Data Center: SAT14</t>
  </si>
  <si>
    <t>3545 Wiseman Blvd</t>
  </si>
  <si>
    <t>29.47118</t>
  </si>
  <si>
    <t>-98.6785</t>
  </si>
  <si>
    <t>$200 million</t>
  </si>
  <si>
    <t>https://www.datacenterdynamics.com/en/news/vantage-buys-two-land-plots-in-san-antonio-texas/</t>
  </si>
  <si>
    <t>Microsoft Data Center: SAT15</t>
  </si>
  <si>
    <t>3555 Westover Link</t>
  </si>
  <si>
    <t>29.46977</t>
  </si>
  <si>
    <t>-98.7015</t>
  </si>
  <si>
    <t>$215.9 million</t>
  </si>
  <si>
    <t>https://www.datacenterdynamics.com/en/news/microsoft-planning-another-data-center-in-san-antonio-texas/</t>
  </si>
  <si>
    <t>Microsoft Data Center: SAT46</t>
  </si>
  <si>
    <t>15000 Lambda Drive</t>
  </si>
  <si>
    <t>29.41427</t>
  </si>
  <si>
    <t>-98.8029</t>
  </si>
  <si>
    <t>https://www.datacenterdynamics.com/en/news/vantage-files-to-build-another-data-center-in-san-antonio-texas/</t>
  </si>
  <si>
    <t>MICROSOFT SAN ANTONIO DATA CENTER</t>
  </si>
  <si>
    <t>5150 ROGERS RD</t>
  </si>
  <si>
    <t>29.47843</t>
  </si>
  <si>
    <t>-98.693</t>
  </si>
  <si>
    <t>NSA Texas Cryptology Center</t>
  </si>
  <si>
    <t>Sony Pl</t>
  </si>
  <si>
    <t>29.44724</t>
  </si>
  <si>
    <t>-98.6421</t>
  </si>
  <si>
    <t>QTS San Antonio</t>
  </si>
  <si>
    <t>8535 Potranco Rd</t>
  </si>
  <si>
    <t>29.44862</t>
  </si>
  <si>
    <t>-98.6509</t>
  </si>
  <si>
    <t>SAT 80-82 Data Center Campus</t>
  </si>
  <si>
    <t>8844 FM1957 (Potranco Rd)</t>
  </si>
  <si>
    <t>29.43363</t>
  </si>
  <si>
    <t>-98.8263</t>
  </si>
  <si>
    <t>206</t>
  </si>
  <si>
    <t>9550 Westover Hills Blvd, San Antonio, TX</t>
  </si>
  <si>
    <t>29.47177</t>
  </si>
  <si>
    <t>-98.6716</t>
  </si>
  <si>
    <t>TX11: Vantage Data Center</t>
  </si>
  <si>
    <t>14720 Omicron Drive</t>
  </si>
  <si>
    <t>29.4181</t>
  </si>
  <si>
    <t>-98.7897</t>
  </si>
  <si>
    <t>242,667</t>
  </si>
  <si>
    <t>58</t>
  </si>
  <si>
    <t>$96 million</t>
  </si>
  <si>
    <t>https://www.datacenterdynamics.com/en/news/vantage-files-plans-for-san-antonio-data-center/</t>
  </si>
  <si>
    <t>TX12: Vantage Data Center</t>
  </si>
  <si>
    <t>17420 Omicron Drive</t>
  </si>
  <si>
    <t>29.42026</t>
  </si>
  <si>
    <t>-98.8087</t>
  </si>
  <si>
    <t>432,800</t>
  </si>
  <si>
    <t>https://www.datacenterdynamics.com/en/news/vantage-files-to-build-second-san-antonio-data-center-in-texas/</t>
  </si>
  <si>
    <t>TX21: Vantage Data Center</t>
  </si>
  <si>
    <t>Intersection Hwy 151 and Wiseman Blvd</t>
  </si>
  <si>
    <t>29.47603</t>
  </si>
  <si>
    <t>-98.6976</t>
  </si>
  <si>
    <t>360,000</t>
  </si>
  <si>
    <t>$157 miillion</t>
  </si>
  <si>
    <t>TX22: Vantage Data Center</t>
  </si>
  <si>
    <t>5207 Rogers Rd</t>
  </si>
  <si>
    <t>29.479109</t>
  </si>
  <si>
    <t>-98.697105</t>
  </si>
  <si>
    <t>214,525</t>
  </si>
  <si>
    <t>$272 million</t>
  </si>
  <si>
    <t xml:space="preserve">CloudBurst </t>
  </si>
  <si>
    <t>~1200 Francis Harris Ln</t>
  </si>
  <si>
    <t>San Marcos</t>
  </si>
  <si>
    <t>78666</t>
  </si>
  <si>
    <t>Guadalupe</t>
  </si>
  <si>
    <t>29.766788</t>
  </si>
  <si>
    <t>-97.98101</t>
  </si>
  <si>
    <t>CloudBurst</t>
  </si>
  <si>
    <t>10-12</t>
  </si>
  <si>
    <t>706</t>
  </si>
  <si>
    <t>$14.5 billion</t>
  </si>
  <si>
    <t>https://www.datacenterdynamics.com/en/news/706-acre-data-center-approved-for-development-outside-san-antonio-texas/</t>
  </si>
  <si>
    <t>Highlander SM One LLC</t>
  </si>
  <si>
    <t>904 Francis Harris Ln</t>
  </si>
  <si>
    <t>29.79031</t>
  </si>
  <si>
    <t>-97.9952</t>
  </si>
  <si>
    <t>https://www.datacenterdynamics.com/en/news/data-center-proposed-for-200-acre-site-in-san-marcos-texas/</t>
  </si>
  <si>
    <t>https://www.datacenterdynamics.com/en/news/data-center-proposal-rejected-in-san-marcos-texas/</t>
  </si>
  <si>
    <t>Project Kati 1 and 2 (Soluna)</t>
  </si>
  <si>
    <t>WC County Line Rd &amp; FM 1420</t>
  </si>
  <si>
    <t>Santa Monica</t>
  </si>
  <si>
    <t>78965</t>
  </si>
  <si>
    <t>26.37778</t>
  </si>
  <si>
    <t>-97.5874</t>
  </si>
  <si>
    <t>https://www.datacenterdynamics.com/en/news/soluna-partners-with-metrobloks-for-texas-campus/</t>
  </si>
  <si>
    <t>Project Dorothy 1A and 1B (Soluna)</t>
  </si>
  <si>
    <t>9985 Co Rd F</t>
  </si>
  <si>
    <t>Silverton</t>
  </si>
  <si>
    <t>79257</t>
  </si>
  <si>
    <t>Briscoe</t>
  </si>
  <si>
    <t>34.39186</t>
  </si>
  <si>
    <t>-101.315926</t>
  </si>
  <si>
    <t>Project Dorothy 2 (Soluna)</t>
  </si>
  <si>
    <t>9981 Co Rd F</t>
  </si>
  <si>
    <t>79258</t>
  </si>
  <si>
    <t>34.39169</t>
  </si>
  <si>
    <t>-101.314964</t>
  </si>
  <si>
    <t>9879 N Loop Dr</t>
  </si>
  <si>
    <t>79927</t>
  </si>
  <si>
    <t>31.67769</t>
  </si>
  <si>
    <t>-106.289</t>
  </si>
  <si>
    <t>61,555</t>
  </si>
  <si>
    <t>$27.1 million</t>
  </si>
  <si>
    <t>https://www.datacenterdynamics.com/en/news/oppidan-files-for-5mw-data-center-in-el-paso-texas/</t>
  </si>
  <si>
    <t>Sugar Land Data Center</t>
  </si>
  <si>
    <t>8306 Hwy 90 Alt</t>
  </si>
  <si>
    <t>Sugar Land</t>
  </si>
  <si>
    <t>77478</t>
  </si>
  <si>
    <t>Fort Bend</t>
  </si>
  <si>
    <t>29.62003</t>
  </si>
  <si>
    <t>-95.6306</t>
  </si>
  <si>
    <t>38,370</t>
  </si>
  <si>
    <t>MSB Global Services Matrix Data Center</t>
  </si>
  <si>
    <t>Sulphur Springs</t>
  </si>
  <si>
    <t>75482</t>
  </si>
  <si>
    <t>Hopkins</t>
  </si>
  <si>
    <t>33.08515</t>
  </si>
  <si>
    <t>-95.546</t>
  </si>
  <si>
    <t>1677</t>
  </si>
  <si>
    <t>Hyperscale facility</t>
  </si>
  <si>
    <t>https://msbglobalservices.com/matrix-data-center-campus-breaks-ground-in-sulphur-springs-tx-a-new-era-for-net-zero-ai-infrastructure/</t>
  </si>
  <si>
    <t>https://www.ketk.com/news/local-news/30-ai-data-centers-to-be-built-at-sulphur-springs-campus/</t>
  </si>
  <si>
    <t>Sweetwater 1 and 2</t>
  </si>
  <si>
    <t>Fisher County</t>
  </si>
  <si>
    <t>Sweetwater</t>
  </si>
  <si>
    <t>Fisher</t>
  </si>
  <si>
    <t>32.533386</t>
  </si>
  <si>
    <t>-100.40961</t>
  </si>
  <si>
    <t>Bitcoin and AI</t>
  </si>
  <si>
    <t xml:space="preserve">Blueprint Projects </t>
  </si>
  <si>
    <t>1601 Martin Luther King Jr. Dr</t>
  </si>
  <si>
    <t>76574</t>
  </si>
  <si>
    <t>30.56745</t>
  </si>
  <si>
    <t>-97.38766</t>
  </si>
  <si>
    <t>135,000</t>
  </si>
  <si>
    <t>52</t>
  </si>
  <si>
    <t>https://www.datacenterdynamics.com/en/news/360mw-data-center-to-be-built-outside-austin-texas/</t>
  </si>
  <si>
    <t>https://www.taylortx.gov/1293/Blueprint-Projects-Data-Center</t>
  </si>
  <si>
    <t>https://www.404media.co/a-farmer-donated-land-to-turn-into-a-park-the-city-is-building-a-massive-data-center-instead/</t>
  </si>
  <si>
    <t>Project Comal</t>
  </si>
  <si>
    <t>1051 County Road 401</t>
  </si>
  <si>
    <t>30.546633</t>
  </si>
  <si>
    <t>-97.4439</t>
  </si>
  <si>
    <t>KDC</t>
  </si>
  <si>
    <t>220</t>
  </si>
  <si>
    <t>Plus 2 substations</t>
  </si>
  <si>
    <t>https://www.statesman.com/business/technology/article/taylor-data-center-samsung-22153681.php</t>
  </si>
  <si>
    <t>3103 Industrial Blvd</t>
  </si>
  <si>
    <t>76504</t>
  </si>
  <si>
    <t>31.13252</t>
  </si>
  <si>
    <t>-97.3644</t>
  </si>
  <si>
    <t>152</t>
  </si>
  <si>
    <t>384</t>
  </si>
  <si>
    <t>https://trerc.tamu.edu/news-talk/development-underway-on-metas-temple-data-center/</t>
  </si>
  <si>
    <t>https://jedunn.com/projects/meta-temple-data-center/</t>
  </si>
  <si>
    <t>Polmer Data Center</t>
  </si>
  <si>
    <t>~3800 Industrial Blvd</t>
  </si>
  <si>
    <t>76502</t>
  </si>
  <si>
    <t>31.13391</t>
  </si>
  <si>
    <t>-97.3723</t>
  </si>
  <si>
    <t>https://dgtlinfra.com/polmer-800m-temple-texas-data-center/</t>
  </si>
  <si>
    <t>https://www.tdlr.texas.gov/TABS/Search/Project/TABS2025007641</t>
  </si>
  <si>
    <t>Rowan Digital Infrastructure Data Center</t>
  </si>
  <si>
    <t>~1601 Bob White Rd</t>
  </si>
  <si>
    <t>76501</t>
  </si>
  <si>
    <t>31.06445</t>
  </si>
  <si>
    <t>-97.2875</t>
  </si>
  <si>
    <t>Are both these sites part of a single development by Rowan?</t>
  </si>
  <si>
    <t>https://www.bizjournals.com/austin/news/2025/09/15/rowan-temple-data-center-campus-austin-market-meta.html</t>
  </si>
  <si>
    <t>https://www.rowantemple.com/faqs</t>
  </si>
  <si>
    <t>https://www.datacenterdynamics.com/en/news/rowan-starts-work-on-300mw-data-center-in-temple-texas/</t>
  </si>
  <si>
    <t>https://www.kcentv.com/article/news/local/temple-city-council-moves-forward-plan-data-center/500-8ae0ede9-cbff-4d47-a390-209ecb44043e</t>
  </si>
  <si>
    <t>https://www.datacenterdynamics.com/en/news/rowan-closes-3bn-green-financing-for-texas-data-center-campus/</t>
  </si>
  <si>
    <t>2810 Bob White Rd</t>
  </si>
  <si>
    <t>31.05745</t>
  </si>
  <si>
    <t>-97.2979</t>
  </si>
  <si>
    <t>https://www.kcentv.com/video/news/local/700-million-data-center-coming-to-temple/500-f7b6d768-127b-4b2d-aacb-b83bf46572cb</t>
  </si>
  <si>
    <t>Texarkana Data center</t>
  </si>
  <si>
    <t>507 Olive St</t>
  </si>
  <si>
    <t>Texarkana</t>
  </si>
  <si>
    <t>75501</t>
  </si>
  <si>
    <t>Bowie</t>
  </si>
  <si>
    <t>33.4248</t>
  </si>
  <si>
    <t>-94.044</t>
  </si>
  <si>
    <t>67,500</t>
  </si>
  <si>
    <t>Huge Data Center development</t>
  </si>
  <si>
    <t>Texas panhandle, location unknown</t>
  </si>
  <si>
    <t>35.48043</t>
  </si>
  <si>
    <t>-101.622</t>
  </si>
  <si>
    <t>https://www.datacenterdynamics.com/en/news/5000-acre-plot-listed-for-sale-for-data-center-development-in-the-texas-panhandle/</t>
  </si>
  <si>
    <t>Comanche Circle Data Centers</t>
  </si>
  <si>
    <t>near Comanche Peak Nuclear Power Plant</t>
  </si>
  <si>
    <t>Tolar</t>
  </si>
  <si>
    <t>76476</t>
  </si>
  <si>
    <t>32.312485</t>
  </si>
  <si>
    <t>-97.827065</t>
  </si>
  <si>
    <t>Sailfish Digital Ventures</t>
  </si>
  <si>
    <t>5,500,000</t>
  </si>
  <si>
    <t>https://www.nbcdfw.com/news/local/hood-county-residents-concerned-about-proposed-data-center/3967981/</t>
  </si>
  <si>
    <t>https://www.youtube.com/watch?v=8ecYhZEItYA</t>
  </si>
  <si>
    <t>https://www.texastribune.org/2026/06/02/texas-data-centers-hood-county-local-control-rural-water-power/</t>
  </si>
  <si>
    <t>https://www.keranews.org/government/2026-06-09/hood-county-approves-comanche-circle-data-center-without-conditions-after-contentious-meeting</t>
  </si>
  <si>
    <t>Vulcan Core LLC Bitcoin</t>
  </si>
  <si>
    <t>1105 W. Erwin St</t>
  </si>
  <si>
    <t>Tyler</t>
  </si>
  <si>
    <t>75702</t>
  </si>
  <si>
    <t>Smith</t>
  </si>
  <si>
    <t>32.35096</t>
  </si>
  <si>
    <t>-95.31266</t>
  </si>
  <si>
    <t>Vulcan Core LLC</t>
  </si>
  <si>
    <t>8090</t>
  </si>
  <si>
    <t>Permit denied, 5-2</t>
  </si>
  <si>
    <t>https://www.datacenterdynamics.com/en/news/tyler-texas-rejects-bitcoin-mining-data-center/</t>
  </si>
  <si>
    <t>Caldwell Valley Technology Park, Farm to Market Road 2720</t>
  </si>
  <si>
    <t>Uhland</t>
  </si>
  <si>
    <t>78640</t>
  </si>
  <si>
    <t>29.919367</t>
  </si>
  <si>
    <t>-97.772064</t>
  </si>
  <si>
    <t>Site can supposedly support up to 4 GW</t>
  </si>
  <si>
    <t>https://www.datacenterdynamics.com/en/news/powerhouse-looking-to-build-500-acre-data-center-near-austin-texas/</t>
  </si>
  <si>
    <t>https://www.datacentermap.com/usa/texas/austin/tract-uhland/</t>
  </si>
  <si>
    <t>Black Mountain Power Data Center</t>
  </si>
  <si>
    <t>Watson Rd</t>
  </si>
  <si>
    <t>Van Ormy/ San Antonio</t>
  </si>
  <si>
    <t>78073</t>
  </si>
  <si>
    <t>29.270124</t>
  </si>
  <si>
    <t>-98.57086</t>
  </si>
  <si>
    <t>Black Mountain Power</t>
  </si>
  <si>
    <t>432</t>
  </si>
  <si>
    <t>https://www.datacenterdynamics.com/en/news/black-mountain-power-buys-432-acres-in-san-antonio-texas/</t>
  </si>
  <si>
    <t>Midlothian 1 Data Center</t>
  </si>
  <si>
    <t>Farm-to-Market 157</t>
  </si>
  <si>
    <t>Venus</t>
  </si>
  <si>
    <t>76084</t>
  </si>
  <si>
    <t>32.4049</t>
  </si>
  <si>
    <t>-97.0522</t>
  </si>
  <si>
    <t>https://8888cre.com/Data-center-land-for-sale-in-tax-incentive-zone-data-center-land-for-sale-with-power-substation-access-megawatt-powerline-near-Dallas-Texas-Fort-Worth-TX.pdf</t>
  </si>
  <si>
    <t>Midlothian 2 Data Center</t>
  </si>
  <si>
    <t>32.3897</t>
  </si>
  <si>
    <t>-97.05</t>
  </si>
  <si>
    <t>Midlothian 3 Data Center</t>
  </si>
  <si>
    <t>32.3862</t>
  </si>
  <si>
    <t>-97.064</t>
  </si>
  <si>
    <t>Midlothian 4 Data Center</t>
  </si>
  <si>
    <t>Midlothian 5 Data Center</t>
  </si>
  <si>
    <t>32.3757</t>
  </si>
  <si>
    <t>-97.0817</t>
  </si>
  <si>
    <t>Midlothian 6 Data Center</t>
  </si>
  <si>
    <t>32.3797</t>
  </si>
  <si>
    <t>-97.0997</t>
  </si>
  <si>
    <t>Venus Data Center</t>
  </si>
  <si>
    <t>900 E County Rd 109</t>
  </si>
  <si>
    <t>32.43176</t>
  </si>
  <si>
    <t>-97.0869</t>
  </si>
  <si>
    <t>217</t>
  </si>
  <si>
    <t>https://cityofvenus.diligent.community/document/feb4f78c-9858-42f6-b202-88862555f9a3/</t>
  </si>
  <si>
    <t>Rowdy Data Center</t>
  </si>
  <si>
    <t>76384</t>
  </si>
  <si>
    <t>Wilbarger</t>
  </si>
  <si>
    <t>34.08236</t>
  </si>
  <si>
    <t>-99.1772</t>
  </si>
  <si>
    <t>60-400</t>
  </si>
  <si>
    <t>https://www.datacenterdynamics.com/en/news/soluna-breaks-ground-on-50mw-cryptomine-data-center-expansion-in-texas/</t>
  </si>
  <si>
    <t>Crusoe/ Blue Energy Data Center</t>
  </si>
  <si>
    <t>Port of Victoria</t>
  </si>
  <si>
    <t>Victoria</t>
  </si>
  <si>
    <t>77905</t>
  </si>
  <si>
    <t>28.689142</t>
  </si>
  <si>
    <t>-96.96172</t>
  </si>
  <si>
    <t>https://www.crusoe.ai/resources/newsroom/blue-energy-and-crusoe-partner-to-develop-nuclear-powered-ai-data-center</t>
  </si>
  <si>
    <t>https://www.datacenterdynamics.com/en/news/crusoe-taps-blue-energy-to-supply-nuclear-power-for-up-to-15gw-data-center-in-port-of-victoria-texas/</t>
  </si>
  <si>
    <t>CyrusOne: DFW10</t>
  </si>
  <si>
    <t>adjacent to Thad Hill Energy Center</t>
  </si>
  <si>
    <t>Whitney</t>
  </si>
  <si>
    <t>76692</t>
  </si>
  <si>
    <t>Bosque</t>
  </si>
  <si>
    <t>31.860664</t>
  </si>
  <si>
    <t>-97.35856</t>
  </si>
  <si>
    <t>https://www.datacenterdynamics.com/en/news/cyrusone-signs-210mw-energy-deal-with-calpine-for-texas-data-center-campus/</t>
  </si>
  <si>
    <t>https://www.datacenterdynamics.com/en/news/cyrusone-tops-out-latest-texas-data-center/</t>
  </si>
  <si>
    <t>DFW-10 Data Center</t>
  </si>
  <si>
    <t>31.85679</t>
  </si>
  <si>
    <t>-97.3625</t>
  </si>
  <si>
    <t>https://www.dallasnews.com/business/energy/2025/07/30/cyrusone-calpine-to-develop-a-12b-hyperscale-data-center-campus-in-central-texas/</t>
  </si>
  <si>
    <t>https://www.power-eng.com/gas/calpine-lands-190-mw-agreement-for-new-hyperscale-data-center-in-texas/</t>
  </si>
  <si>
    <t>Willis Data Center (Comcast)</t>
  </si>
  <si>
    <t>606 TX-75</t>
  </si>
  <si>
    <t>Willis</t>
  </si>
  <si>
    <t>77378</t>
  </si>
  <si>
    <t>30.43083</t>
  </si>
  <si>
    <t>-95.4817</t>
  </si>
  <si>
    <t>5,200</t>
  </si>
  <si>
    <t>https://www.tdlr.texas.gov/TABS/Search/Project/TABS2024025831</t>
  </si>
  <si>
    <t>Black Pearl Data Center</t>
  </si>
  <si>
    <t>11786 Co Rd 209</t>
  </si>
  <si>
    <t>Wink</t>
  </si>
  <si>
    <t>79789</t>
  </si>
  <si>
    <t>Winkler</t>
  </si>
  <si>
    <t>31.694809</t>
  </si>
  <si>
    <t>-103.08312</t>
  </si>
  <si>
    <t>Cipher/Amazon</t>
  </si>
  <si>
    <t>19,579</t>
  </si>
  <si>
    <t>$7 million</t>
  </si>
  <si>
    <t>Square footage reported seems low for a 300 MW facility</t>
  </si>
  <si>
    <t>https://www.datacenterdynamics.com/en/news/cipher-mining-to-develop-300mw-cryptomining-data-center-site-in-west-texas/</t>
  </si>
  <si>
    <t>https://www.tdlr.texas.gov/TABS/Search/Project/TABS2025001763</t>
  </si>
  <si>
    <t>https://finance.yahoo.com/news/cipher-mining-pursues-2-billion-161628888.html</t>
  </si>
  <si>
    <t>https://northwiseproject.com/cifr-stock-black-pearl-site/</t>
  </si>
  <si>
    <t>06/19/2026</t>
  </si>
  <si>
    <t>BT Gateway Data Center</t>
  </si>
  <si>
    <t>4989 Co Rd 2656</t>
  </si>
  <si>
    <t>Royse City</t>
  </si>
  <si>
    <t xml:space="preserve">TX </t>
  </si>
  <si>
    <t>75189</t>
  </si>
  <si>
    <t>33.01387</t>
  </si>
  <si>
    <t>-96.29096</t>
  </si>
  <si>
    <t>$384 million</t>
  </si>
  <si>
    <t>https://www.datacenterdynamics.com/en/news/plans-filed-for-100000-sq-ft-data-center-outside-dallas-texas/</t>
  </si>
  <si>
    <t>Antelope Data Center</t>
  </si>
  <si>
    <t>West Antelope Springs Rd</t>
  </si>
  <si>
    <t>Cedar City</t>
  </si>
  <si>
    <t>UT</t>
  </si>
  <si>
    <t>84721</t>
  </si>
  <si>
    <t>Iron</t>
  </si>
  <si>
    <t>37.795376</t>
  </si>
  <si>
    <t>-113.37061</t>
  </si>
  <si>
    <t>1,350,000</t>
  </si>
  <si>
    <t>https://www.datacenterdynamics.com/en/news/640-acre-data-center-could-be-built-in-iron-county-utah/</t>
  </si>
  <si>
    <t>https://www.datacenterdynamics.com/en/news/proposal-to-build-640-acre-data-center-in-iron-county-utah-gets-the-go-ahead/</t>
  </si>
  <si>
    <t>BluSky AI</t>
  </si>
  <si>
    <t>near Intermountain Power Plant</t>
  </si>
  <si>
    <t>84624</t>
  </si>
  <si>
    <t>Millard</t>
  </si>
  <si>
    <t>39.50757</t>
  </si>
  <si>
    <t>-112.601</t>
  </si>
  <si>
    <t>Late 2026</t>
  </si>
  <si>
    <t>https://www.datacenterdynamics.com/en/news/blusky-ai-signs-letter-of-intent-for-25-acre-data-center/</t>
  </si>
  <si>
    <t>Fibernet MercuryDelta Campus/Delta Gigasite</t>
  </si>
  <si>
    <t>Hwy 50</t>
  </si>
  <si>
    <t>39.28873</t>
  </si>
  <si>
    <t>-112.465</t>
  </si>
  <si>
    <t>Fibernet MercuryDelta</t>
  </si>
  <si>
    <t>2,000-10,000</t>
  </si>
  <si>
    <t>20,000,000</t>
  </si>
  <si>
    <t xml:space="preserve"> Proposal to develop a 2GW, 20 million sq ft data center campus, relying on the 1.9GW IPP plant. Potentially expandable to 10GW wtih 500- 5GW+ battery storage. </t>
  </si>
  <si>
    <t>https://www.sltrib.com/news/2025/06/22/largest-data-center-campus-world/</t>
  </si>
  <si>
    <t>https://www.datacenterdynamics.com/en/news/fibernet-ceo-eyes-multi-gigawatt-data-center-campus-in-utah/</t>
  </si>
  <si>
    <t>https://www.abc4.com/news/central-utah/worlds-largest-data-center-is-coming-to-this-rural-utah-county/</t>
  </si>
  <si>
    <t>06/22/2025</t>
  </si>
  <si>
    <t>Joule Capital Partners, LLC Data Center</t>
  </si>
  <si>
    <t>11000 McCornick Rd</t>
  </si>
  <si>
    <t>39.19891</t>
  </si>
  <si>
    <t>-112.36232</t>
  </si>
  <si>
    <t>4000</t>
  </si>
  <si>
    <t>https://www.datacenterdynamics.com/en/news/millard-county-commission-in-utah-approves-data-center-land-rezoning-request/</t>
  </si>
  <si>
    <t>Dugway Proving Ground Data Center</t>
  </si>
  <si>
    <t>near Starks Rd</t>
  </si>
  <si>
    <t>Dugway</t>
  </si>
  <si>
    <t>84022</t>
  </si>
  <si>
    <t>Tooele</t>
  </si>
  <si>
    <t>40.218567</t>
  </si>
  <si>
    <t>-112.74486</t>
  </si>
  <si>
    <t>3466</t>
  </si>
  <si>
    <t>3 separate parcels available</t>
  </si>
  <si>
    <t>Joule Power AI Data Center Campus</t>
  </si>
  <si>
    <t>11000 N McCornick Road</t>
  </si>
  <si>
    <t>Millard County</t>
  </si>
  <si>
    <t>39.199276</t>
  </si>
  <si>
    <t>-112.37303</t>
  </si>
  <si>
    <t>Joule Power</t>
  </si>
  <si>
    <t>455-12,000</t>
  </si>
  <si>
    <t>7.2 billion</t>
  </si>
  <si>
    <t>https://www.thecooldown.com/green-business/data-center-water-usage-utah-drought-concerns/#:~:text=A%20proposed%20artificial%20intelligence%20data,concern%2C%20as%20reported%20by%20ABC4.</t>
  </si>
  <si>
    <t>https://www.change.org/p/deny-zoning-and-permits-for-the-proposed-ai-data-center-in-mona</t>
  </si>
  <si>
    <t>https://joulepower.ai/#:~:text=4%2C000%20acres%20owned%2C%20located%20in%20Millard%20County%2C,Buildings%20Phase%20I:%206%20facilities%20%C2%B7%20Power</t>
  </si>
  <si>
    <t>https://www.yahoo.com/news/articles/groundbreaking-held-country-largest-data-002417981.html?guccounter=1&amp;guce_referrer=aHR0cHM6Ly93d3cuZ29vZ2xlLmNvbS8&amp;guce_referrer_sig=AQAAAHJQ5kLCaH1cL9pBxXcGRhLfJvBIQhy9OKt5wKJa772KdvFXzOzzs4lF4xlOa00cniFwgv2vbB4u2Pt314o9qAdd8zJqjHei-xyUxHSjpCL_IafaR24QdPC0pHn0u2WfN86jb-ptHsDqWyudECFa1z54u-TyfauKS2-UQnT55zzC</t>
  </si>
  <si>
    <t>https://www.yahoo.com/news/articles/millard-county-approves-solar-farm-041901922.html</t>
  </si>
  <si>
    <t>Provo Data Center</t>
  </si>
  <si>
    <t>1507 S 180 E</t>
  </si>
  <si>
    <t>Provo</t>
  </si>
  <si>
    <t>84606</t>
  </si>
  <si>
    <t>Utah</t>
  </si>
  <si>
    <t>40.214104</t>
  </si>
  <si>
    <t>-111.65521</t>
  </si>
  <si>
    <t>66,000</t>
  </si>
  <si>
    <t>https://www.datacenterdynamics.com/en/news/warehouse-in-provo-utah-to-be-replaced-with-data-center/</t>
  </si>
  <si>
    <t>https://www.datacenterdynamics.com/en/news/city-council-of-provo-utah-votes-against-data-center-rezoning-proposal/</t>
  </si>
  <si>
    <t>Summit Ridge Data Center</t>
  </si>
  <si>
    <t>15372 S. Ridge Farms Rd</t>
  </si>
  <si>
    <t>Santaquin</t>
  </si>
  <si>
    <t>84655</t>
  </si>
  <si>
    <t>39.946636</t>
  </si>
  <si>
    <t>-111.80722</t>
  </si>
  <si>
    <t>Data Center Power Company</t>
  </si>
  <si>
    <t>https://www.datacenterdynamics.com/en/news/20mw-off-grid-data-center-planned-outside-salt-lake-city-utah/</t>
  </si>
  <si>
    <t>Stratos Project, eastern parcels</t>
  </si>
  <si>
    <t>Hansel Valley Rd</t>
  </si>
  <si>
    <t>Snowville</t>
  </si>
  <si>
    <t>84336</t>
  </si>
  <si>
    <t>Box Elder</t>
  </si>
  <si>
    <t>41.786148</t>
  </si>
  <si>
    <t>-112.64388</t>
  </si>
  <si>
    <t>9000</t>
  </si>
  <si>
    <t>40000</t>
  </si>
  <si>
    <t>3 separate parcels</t>
  </si>
  <si>
    <t>https://www.ksl.com/article/51488565/utah-box-elder-county-officials-mull-plan-to-spur-energy-production-data-center-development</t>
  </si>
  <si>
    <t>https://utahcleanenergy.org/estimated-emissions-and-water-consumption-from-the-proposed-stratos-data-center/</t>
  </si>
  <si>
    <t>https://www.sltrib.com/news/2026/04/27/hyperscale-data-center-project/</t>
  </si>
  <si>
    <t>https://www.sltrib.com/news/environment/2026/05/07/utahs-data-center-could-create/</t>
  </si>
  <si>
    <t>https://www.sltrib.com/news/2026/05/04/utah-data-center-final-vote-box/</t>
  </si>
  <si>
    <t>Stratos Project, western parcels</t>
  </si>
  <si>
    <t>Locomotive Springs Rd</t>
  </si>
  <si>
    <t>41.784256</t>
  </si>
  <si>
    <t>-112.898346</t>
  </si>
  <si>
    <t>SLC Data Center Campus, SLC-01, 02, 03</t>
  </si>
  <si>
    <t>3333 9000 S</t>
  </si>
  <si>
    <t>West Jordan</t>
  </si>
  <si>
    <t>84088</t>
  </si>
  <si>
    <t>Salt Lake</t>
  </si>
  <si>
    <t>40.58617</t>
  </si>
  <si>
    <t>-111.97</t>
  </si>
  <si>
    <t>950000</t>
  </si>
  <si>
    <t>Neighbor complaints: "Constantly produces a loud roaring sound, creating great distress in surrounding neighborhoods".</t>
  </si>
  <si>
    <t>https://www.datacenterdynamics.com/en/news/aligned-announces-plans-for-100mw-data-center-in-salt-lake-city-utah/</t>
  </si>
  <si>
    <t>https://www.datacenterdynamics.com/en/news/aligned-opens-second-salt-lake-city-data-center/</t>
  </si>
  <si>
    <t>05/14/2026</t>
  </si>
  <si>
    <t>Bull Church Data Center</t>
  </si>
  <si>
    <t>Bull Church Road, east of I-95 near the Ladysmith interchange</t>
  </si>
  <si>
    <t>VA</t>
  </si>
  <si>
    <t>22546</t>
  </si>
  <si>
    <t>Caroline</t>
  </si>
  <si>
    <t>38.009125</t>
  </si>
  <si>
    <t>-77.49331</t>
  </si>
  <si>
    <t>792,000</t>
  </si>
  <si>
    <t>PEC</t>
  </si>
  <si>
    <t>https://co.caroline.va.us/DocumentCenter/View/9793/RZ-04-2024--Bull-Church-Data-Center</t>
  </si>
  <si>
    <t>10/17/2025</t>
  </si>
  <si>
    <t>Green Energy Ventures Data Center</t>
  </si>
  <si>
    <t>Graves Corner Northwest of the intersection of Bloomsbury Road and Kings HWY</t>
  </si>
  <si>
    <t>22485</t>
  </si>
  <si>
    <t>King George</t>
  </si>
  <si>
    <t>38.256557</t>
  </si>
  <si>
    <t>-77.29122</t>
  </si>
  <si>
    <t>6,500,000</t>
  </si>
  <si>
    <t>Project covers more than one parcel, the acreage represents the combined acreage</t>
  </si>
  <si>
    <t>https://kinggeorgetechnologycenter.com/submissions/</t>
  </si>
  <si>
    <t>Ladysmith Technology Park</t>
  </si>
  <si>
    <t>Ladysmith Road, northwest of I-95 &amp; Ladysmith Road Intersection</t>
  </si>
  <si>
    <t>38.0269</t>
  </si>
  <si>
    <t>-77.50431</t>
  </si>
  <si>
    <t>1,684,480</t>
  </si>
  <si>
    <t>165</t>
  </si>
  <si>
    <t>https://co.caroline.va.us/DocumentCenter/View/10114/SP-26-2024--Ladysmith-Tech-Park--Port-Royal</t>
  </si>
  <si>
    <t>24244 QUAIL RIDGE LN</t>
  </si>
  <si>
    <t>Aldie</t>
  </si>
  <si>
    <t>20105</t>
  </si>
  <si>
    <t>Loudoun</t>
  </si>
  <si>
    <t>38.94905</t>
  </si>
  <si>
    <t>-77.56043</t>
  </si>
  <si>
    <t>412,400</t>
  </si>
  <si>
    <t>Computer Center</t>
  </si>
  <si>
    <t>https://reparcelasmt.loudoun.gov/pt/datalets/datalet.aspx?mode=profileall&amp;UseSearch=no&amp;pin=246200886000&amp;jur=107&amp;taxyr=2024&amp;LMparent=20</t>
  </si>
  <si>
    <t>04/10/2024</t>
  </si>
  <si>
    <t>Allegro North Campus</t>
  </si>
  <si>
    <t>41567 BRIARFIELD LN</t>
  </si>
  <si>
    <t>ALDIE</t>
  </si>
  <si>
    <t>38.95632</t>
  </si>
  <si>
    <t>-77.54516</t>
  </si>
  <si>
    <t>https://loudouncountyvaeg.tylerhost.net/prod/selfservice#/plan/c8b47962-6627-4998-a318-03e49ce25ef7?tab=locations</t>
  </si>
  <si>
    <t>https://reparcelasmt.loudoun.gov/pt/Datalets/Datalet.aspx?UseSearch=no&amp;mode=profileall&amp;pin=202285740000&amp;jur=107&amp;taxyr=2025</t>
  </si>
  <si>
    <t>ALLEGRO SOUTH CAMPUS</t>
  </si>
  <si>
    <t>24171 YOUNGWOOD LN</t>
  </si>
  <si>
    <t>38.949844</t>
  </si>
  <si>
    <t>-77.54914</t>
  </si>
  <si>
    <t>YONDR JK 2 LLC</t>
  </si>
  <si>
    <t>335,638</t>
  </si>
  <si>
    <t>https://reparcelasmt.loudoun.gov/pt/datalets/datalet.aspx?mode=profileall&amp;UseSearch=no&amp;pin=203371445000&amp;jur=107&amp;taxyr=2024&amp;LMparent=20</t>
  </si>
  <si>
    <t>Plaza 500</t>
  </si>
  <si>
    <t>6295 Edsall Rd</t>
  </si>
  <si>
    <t>Alexandria</t>
  </si>
  <si>
    <t>22312</t>
  </si>
  <si>
    <t>38.802273</t>
  </si>
  <si>
    <t>-77.142525</t>
  </si>
  <si>
    <t>461,444</t>
  </si>
  <si>
    <t>https://www.datacenterdynamics.com/en/news/starwood-re-proposes-data-center-in-alexandria-virginia/</t>
  </si>
  <si>
    <t>https://www.fairfaxcounty.gov/gisapps/ParcelInfoReportJade/ParcelInfoReport.aspx?ParcelID=0812010007</t>
  </si>
  <si>
    <t>09/12/2025</t>
  </si>
  <si>
    <t>Avaio Digital Partners</t>
  </si>
  <si>
    <t>1296 CONFEDERATE BLVD</t>
  </si>
  <si>
    <t>Appomattox</t>
  </si>
  <si>
    <t>24522</t>
  </si>
  <si>
    <t>37.355537</t>
  </si>
  <si>
    <t>-78.82243</t>
  </si>
  <si>
    <t>450</t>
  </si>
  <si>
    <t>https://avaiodigital.com/#projects</t>
  </si>
  <si>
    <t>https://cardinalnews.org/2024/12/11/appomatox-county-strikes-deal-for-data-center/?utm_source=ActiveCampaign&amp;utm_medium=email&amp;utm_content=Caesars%20Virginia%20has%20made%20a%20big%20impact%20on%20Danville%2C%20even%20before%20opening%20its%20doors&amp;utm_campaign=Wednesday%2C%20Dec%20%2011%2C%202024</t>
  </si>
  <si>
    <t>https://appomattoxgis.timmons.com/#/mwl?location=-78.823814_37.355265&amp;zoom=18</t>
  </si>
  <si>
    <t>01/15/2025</t>
  </si>
  <si>
    <t>19508 Freedom Trail Road</t>
  </si>
  <si>
    <t>Ashburn</t>
  </si>
  <si>
    <t>20147</t>
  </si>
  <si>
    <t>39.076466</t>
  </si>
  <si>
    <t>-77.49912</t>
  </si>
  <si>
    <t>JK Land Holdings</t>
  </si>
  <si>
    <t>https://www.datacenterdynamics.com/en/news/jk-land-holdings-buys-108-acres-for-data-center-development-in-ashburn-virginia/</t>
  </si>
  <si>
    <t>https://reparcelasmt.loudoun.gov/pt/Datalets/Datalet.aspx?UseSearch=no&amp;mode=profileall&amp;pin=083359224000&amp;jur=107&amp;taxyr=2024</t>
  </si>
  <si>
    <t>21310 BEAUMEADE CIR</t>
  </si>
  <si>
    <t>39.01585</t>
  </si>
  <si>
    <t>-77.45341</t>
  </si>
  <si>
    <t>BEAUMEADE DC BUILDING LLC</t>
  </si>
  <si>
    <t>190,250</t>
  </si>
  <si>
    <t>Shown as "Storage Warehouse", two parcels</t>
  </si>
  <si>
    <t>https://reparcelasmt.loudoun.gov/pt/Datalets/Datalet.aspx?UseSearch=no&amp;mode=profileall&amp;pin=061303369000&amp;jur=107&amp;taxyr=2024</t>
  </si>
  <si>
    <t>https://reparcelasmt.loudoun.gov/pt/Datalets/Datalet.aspx?UseSearch=no&amp;mode=profileall&amp;pin=061407107000&amp;jur=107&amp;taxyr=2024</t>
  </si>
  <si>
    <t>21455 Beaumeade Circle</t>
  </si>
  <si>
    <t>Corner of Beaumeade Circle and Waxpool Rd</t>
  </si>
  <si>
    <t>39.011536</t>
  </si>
  <si>
    <t>-77.452644</t>
  </si>
  <si>
    <t>265,000</t>
  </si>
  <si>
    <t>https://www.datacenterdynamics.com/en/news/american-real-estate-partners-buys-land-plans-data-center-northern-virginia/</t>
  </si>
  <si>
    <t>https://reparcelasmt.loudoun.gov/pt/Datalets/Datalet.aspx?UseSearch=no&amp;mode=profileall&amp;pin=061204719000&amp;jur=107&amp;taxyr=2024</t>
  </si>
  <si>
    <t>21673 BEAUMEADE CIRCLE LLC</t>
  </si>
  <si>
    <t>21673 BEAUMEADE CIRCLE</t>
  </si>
  <si>
    <t>39.019413</t>
  </si>
  <si>
    <t>-77.45795</t>
  </si>
  <si>
    <t>Cologix</t>
  </si>
  <si>
    <t>544,207</t>
  </si>
  <si>
    <t>Expansion of 21673 BEAUMEADE CIRCLE LLC</t>
  </si>
  <si>
    <t>https://baxtel.com/data-center/cologix-ashburn-ash1</t>
  </si>
  <si>
    <t>https://reparcelasmt.loudoun.gov/pt/Datalets/Datalet.aspx?UseSearch=no&amp;mode=profileall&amp;pin=060189720000&amp;jur=107&amp;taxyr=2024</t>
  </si>
  <si>
    <t>21745 BEAUMEADE CIR</t>
  </si>
  <si>
    <t>39.018513</t>
  </si>
  <si>
    <t>-77.4589</t>
  </si>
  <si>
    <t>455,793</t>
  </si>
  <si>
    <t>https://www.datacenterdynamics.com/en/news/cologix-acquires-land-in-ashburn-virginia-for-data-center/</t>
  </si>
  <si>
    <t>21821 UUNET DR</t>
  </si>
  <si>
    <t>39.010254</t>
  </si>
  <si>
    <t>-77.474976</t>
  </si>
  <si>
    <t>438,460</t>
  </si>
  <si>
    <t>https://reparcelasmt.loudoun.gov/pt/datalets/datalet.aspx?mode=profileall&amp;UseSearch=no&amp;pin=088101859000&amp;jur=107&amp;taxyr=2024&amp;LMparent=20</t>
  </si>
  <si>
    <t>43831 DEVIN SHAFRON DR</t>
  </si>
  <si>
    <t>39.002693</t>
  </si>
  <si>
    <t>-77.485344</t>
  </si>
  <si>
    <t>117,000</t>
  </si>
  <si>
    <t>Shown as "Storage Warehouse"</t>
  </si>
  <si>
    <t>https://reparcelasmt.loudoun.gov/pt/datalets/datalet.aspx?mode=profileall&amp;UseSearch=no&amp;pin=089372808000&amp;jur=107&amp;taxyr=2024&amp;LMparent=20</t>
  </si>
  <si>
    <t>44470 Chilum Place</t>
  </si>
  <si>
    <t>44470 CHILUM PL</t>
  </si>
  <si>
    <t>39.02221</t>
  </si>
  <si>
    <t>-77.46144</t>
  </si>
  <si>
    <t>100,121</t>
  </si>
  <si>
    <t>https://reparcelasmt.loudoun.gov/pt/datalets/datalet.aspx?mode=profileall&amp;UseSearch=no&amp;pin=060182916001&amp;jur=107&amp;taxyr=2024&amp;LMparent=20</t>
  </si>
  <si>
    <t>44490 CHILUM PL</t>
  </si>
  <si>
    <t>39.02134</t>
  </si>
  <si>
    <t>-77.4583</t>
  </si>
  <si>
    <t>BLUE SLING ACC 2 LLC</t>
  </si>
  <si>
    <t>87,560</t>
  </si>
  <si>
    <t>https://reparcelasmt.loudoun.gov/pt/datalets/datalet.aspx?mode=commercial&amp;UseSearch=no&amp;pin=060182916002&amp;jur=107&amp;taxyr=2024&amp;LMparent=20</t>
  </si>
  <si>
    <t>44520 HASTINGS DR</t>
  </si>
  <si>
    <t>39.019936</t>
  </si>
  <si>
    <t>-77.45989</t>
  </si>
  <si>
    <t>QUILL EQUITY LLC</t>
  </si>
  <si>
    <t>148,717</t>
  </si>
  <si>
    <t>https://reparcelasmt.loudoun.gov/pt/Datalets/Datalet.aspx?UseSearch=no&amp;mode=profileall&amp;pin=060182916003&amp;jur=107&amp;taxyr=2024</t>
  </si>
  <si>
    <t>44621 WAXPOOL RD</t>
  </si>
  <si>
    <t>39.01214</t>
  </si>
  <si>
    <t>-77.46291</t>
  </si>
  <si>
    <t>KAVEH VENTURES LLC</t>
  </si>
  <si>
    <t>493,504</t>
  </si>
  <si>
    <t>https://reparcelasmt.loudoun.gov/pt/datalets/datalet.aspx?mode=profileall&amp;UseSearch=no&amp;pin=061275931000&amp;jur=107&amp;taxyr=2024&amp;LMparent=20</t>
  </si>
  <si>
    <t>44790 PERFORMANCE CIR</t>
  </si>
  <si>
    <t>39.02357</t>
  </si>
  <si>
    <t>-77.450905</t>
  </si>
  <si>
    <t>672,244</t>
  </si>
  <si>
    <t>https://reparcelasmt.loudoun.gov/pt/Datalets/Datalet.aspx?UseSearch=no&amp;mode=profileall&amp;pin=060209652000&amp;jur=107&amp;taxyr=2024</t>
  </si>
  <si>
    <t>ACC11 Digital Realty</t>
  </si>
  <si>
    <t>Corner of Gresham and Waxpool</t>
  </si>
  <si>
    <t>39.014893</t>
  </si>
  <si>
    <t>-77.46363</t>
  </si>
  <si>
    <t>395,829</t>
  </si>
  <si>
    <t>https://loudouncountyvaeg.tylerhost.net/prod/selfservice#/plan/72E98EAA-F26D-4639-B064-77C8BF2DFEA6?tab=attachments</t>
  </si>
  <si>
    <t>https://reparcelasmt.loudoun.gov/pt/Datalets/Datalet.aspx?UseSearch=no&amp;mode=profileall&amp;pin=061373570000&amp;jur=107&amp;taxyr=2025</t>
  </si>
  <si>
    <t>ACC4 Digital Realty</t>
  </si>
  <si>
    <t>44480 HASTINGS DR</t>
  </si>
  <si>
    <t>39.017944</t>
  </si>
  <si>
    <t>-77.46266</t>
  </si>
  <si>
    <t>286,865</t>
  </si>
  <si>
    <t>https://reparcelasmt.loudoun.gov/pt/Datalets/Datalet.aspx?UseSearch=no&amp;mode=profileall&amp;pin=060178810000&amp;jur=107&amp;taxyr=2024</t>
  </si>
  <si>
    <t>ACC5 ACC6 Digital Realty</t>
  </si>
  <si>
    <t>44521 HASTINGS DR</t>
  </si>
  <si>
    <t>39.020702</t>
  </si>
  <si>
    <t>-77.46347</t>
  </si>
  <si>
    <t>FOX PROPERTIES LLC</t>
  </si>
  <si>
    <t>518,449</t>
  </si>
  <si>
    <t>https://reparcelasmt.loudoun.gov/pt/datalets/datalet.aspx?mode=profileall&amp;UseSearch=no&amp;pin=060170268000&amp;jur=107&amp;taxyr=2024&amp;LMparent=20</t>
  </si>
  <si>
    <t>ACC7 Digital Realty</t>
  </si>
  <si>
    <t>21625 GRESHAM DR</t>
  </si>
  <si>
    <t>39.01753</t>
  </si>
  <si>
    <t>-77.465675</t>
  </si>
  <si>
    <t>ALSHAIN VENTURES LLC</t>
  </si>
  <si>
    <t>446,500</t>
  </si>
  <si>
    <t>https://reparcelasmt.loudoun.gov/pt/datalets/datalet.aspx?mode=profileall&amp;UseSearch=no&amp;pin=061467942000&amp;jur=107&amp;taxyr=2024&amp;LMparent=20</t>
  </si>
  <si>
    <t>AID1 DataBank</t>
  </si>
  <si>
    <t>21625 RED RUM DR</t>
  </si>
  <si>
    <t>39.015617</t>
  </si>
  <si>
    <t>-77.48247</t>
  </si>
  <si>
    <t>GI TC ASHBURN LLC</t>
  </si>
  <si>
    <t>355,330</t>
  </si>
  <si>
    <t>https://loudouncountyvaeg.tylerhost.net/prod/selfservice#/plan/bb5f1aed-1eda-4c62-8c86-d8e940d94a8c?tab=locations</t>
  </si>
  <si>
    <t>https://reparcelasmt.loudoun.gov/pt/Datalets/Datalet.aspx?UseSearch=no&amp;mode=profileall&amp;pin=088381788000&amp;jur=107&amp;taxyr=2024</t>
  </si>
  <si>
    <t>https://www.databank.com/data-centers/northern-virginia/ashburn-campus/</t>
  </si>
  <si>
    <t>ALIGNED DATA CENTER IAD01</t>
  </si>
  <si>
    <t>21890 UUNET DR</t>
  </si>
  <si>
    <t>39.013935</t>
  </si>
  <si>
    <t>-77.46997</t>
  </si>
  <si>
    <t>368,600</t>
  </si>
  <si>
    <t>https://reparcelasmt.loudoun.gov/pt/datalets/datalet.aspx?mode=profileall&amp;UseSearch=no&amp;pin=061355894000&amp;jur=107&amp;taxyr=2024&amp;LMparent=20</t>
  </si>
  <si>
    <t>ALIGNED ENERGY DATA CENTERS ASHBURN</t>
  </si>
  <si>
    <t>21838 UUNET DR</t>
  </si>
  <si>
    <t>39.01321</t>
  </si>
  <si>
    <t>-77.47297</t>
  </si>
  <si>
    <t>107,253</t>
  </si>
  <si>
    <t>https://reparcelasmt.loudoun.gov/pt/datalets/datalet.aspx?mode=profileall&amp;UseSearch=no&amp;pin=088205761000&amp;jur=107&amp;taxyr=2024&amp;LMparent=20</t>
  </si>
  <si>
    <t>ASH1-BRODERICK DC2</t>
  </si>
  <si>
    <t>22280 RANDOLPH DR</t>
  </si>
  <si>
    <t>20166</t>
  </si>
  <si>
    <t>38.99814</t>
  </si>
  <si>
    <t>-77.44936</t>
  </si>
  <si>
    <t>189,890</t>
  </si>
  <si>
    <t>https://loudouncountyvaeg.tylerhost.net/prod/selfservice#/plan/4501aa59-679f-4081-89ab-1b1324e19725?tab=attachments</t>
  </si>
  <si>
    <t>https://reparcelasmt.loudoun.gov/pt/datalets/datalet.aspx?mode=profileall&amp;UseSearch=no&amp;pin=044155625000&amp;jur=107&amp;taxyr=2025&amp;LMparent=20</t>
  </si>
  <si>
    <t>08/08/2025</t>
  </si>
  <si>
    <t>ASH3 DC2</t>
  </si>
  <si>
    <t>22271 SHELLHORN RD</t>
  </si>
  <si>
    <t>38.998657</t>
  </si>
  <si>
    <t>-77.47419</t>
  </si>
  <si>
    <t>302,180</t>
  </si>
  <si>
    <t>https://reparcelasmt.loudoun.gov/pt/datalets/datalet.aspx?mode=profileall&amp;UseSearch=no&amp;pin=089104437000&amp;jur=107&amp;taxyr=2024&amp;LMparent=20</t>
  </si>
  <si>
    <t>Ashburn Data Center</t>
  </si>
  <si>
    <t>21300 COACH GIBBS DR</t>
  </si>
  <si>
    <t>39.02697</t>
  </si>
  <si>
    <t>-77.44413</t>
  </si>
  <si>
    <t>1,176,000</t>
  </si>
  <si>
    <t>Former site of the Washington Commanders training facility</t>
  </si>
  <si>
    <t>https://loudouncountyvaeg.tylerhost.net/prod/selfservice#/plan/f2ea6049-532c-4cf9-b48c-f45534a9f87d?tab=attachments</t>
  </si>
  <si>
    <t>https://reparcelasmt.loudoun.gov/pt/Datalets/Datalet.aspx?UseSearch=no&amp;mode=profileall&amp;pin=042363888000&amp;jur=107&amp;taxyr=2025</t>
  </si>
  <si>
    <t>08/10/2025</t>
  </si>
  <si>
    <t>BCORE COPT DC-15</t>
  </si>
  <si>
    <t>44862 INTERCONNECTION PL</t>
  </si>
  <si>
    <t>39.026398</t>
  </si>
  <si>
    <t>-77.45115</t>
  </si>
  <si>
    <t>BCORE COPT DC-15 LLC</t>
  </si>
  <si>
    <t>446,732</t>
  </si>
  <si>
    <t>https://reparcelasmt.loudoun.gov/pt/Datalets/Datalet.aspx?UseSearch=no&amp;mode=profileall&amp;pin=060307119000&amp;jur=107&amp;taxyr=2024</t>
  </si>
  <si>
    <t>BEAUMEADE LC PHASE III LLC</t>
  </si>
  <si>
    <t>20935 LOUDOUN COUNTY PKWY</t>
  </si>
  <si>
    <t>39.03638</t>
  </si>
  <si>
    <t>-77.44979</t>
  </si>
  <si>
    <t>147,600</t>
  </si>
  <si>
    <t>https://reparcelasmt.loudoun.gov/pt/datalets/datalet.aspx?mode=profileall&amp;UseSearch=no&amp;pin=041352218000&amp;jur=107&amp;taxyr=2024&amp;LMparent=20</t>
  </si>
  <si>
    <t>Belmont Innovation Campus</t>
  </si>
  <si>
    <t>43121 GOOSE GLEN LN</t>
  </si>
  <si>
    <t>39.072826</t>
  </si>
  <si>
    <t>-77.50972</t>
  </si>
  <si>
    <t>LOUDOUN GC LLC</t>
  </si>
  <si>
    <t>https://www.loudountimes.com/0local-or-not/1local/in-landmark-vote-board-of-supervisors-rejects-belmont-innovation-data-center-proposal/article_c7754884-e1ab-11ee-a0a9-0b7c20e6af27.html</t>
  </si>
  <si>
    <t>https://reparcelasmt.loudoun.gov/pt/Datalets/Datalet.aspx?UseSearch=no&amp;mode=profileall&amp;pin=113372932000&amp;jur=107&amp;taxyr=2024</t>
  </si>
  <si>
    <t>BLUE SLING ACC 9</t>
  </si>
  <si>
    <t>21745 SIR TIMOTHY DR</t>
  </si>
  <si>
    <t>39.01549</t>
  </si>
  <si>
    <t>-77.46758</t>
  </si>
  <si>
    <t>BLUE SLING ACC 9 LLC</t>
  </si>
  <si>
    <t>362,100</t>
  </si>
  <si>
    <t>https://reparcelasmt.loudoun.gov/pt/Datalets/Datalet.aspx?UseSearch=no&amp;mode=profileall&amp;pin=061361948000&amp;jur=107&amp;taxyr=2024</t>
  </si>
  <si>
    <t>BRAMBLETON SHREVEPORT SOUTH DATA CENTER</t>
  </si>
  <si>
    <t>Evergreen Mills and Belmont Ridge Rd</t>
  </si>
  <si>
    <t>20148</t>
  </si>
  <si>
    <t>38.95967</t>
  </si>
  <si>
    <t>-77.52909</t>
  </si>
  <si>
    <t>1,317,531</t>
  </si>
  <si>
    <t>https://loudouncountyvaeg.tylerhost.net/prod/selfservice#/plan/3ABB5C2A-93A6-4300-92BE-548EFC9CF34C?tab=attachments</t>
  </si>
  <si>
    <t>https://reparcelasmt.loudoun.gov/pt/Datalets/Datalet.aspx?UseSearch=no&amp;mode=profileall&amp;pin=161269137000&amp;jur=107&amp;taxyr=2025</t>
  </si>
  <si>
    <t>CLOUD HQ LC3</t>
  </si>
  <si>
    <t>44631 WAXPOOL RD</t>
  </si>
  <si>
    <t>39.011154</t>
  </si>
  <si>
    <t>-77.45961</t>
  </si>
  <si>
    <t>LOHRASP VENTURES LLC</t>
  </si>
  <si>
    <t>585,593</t>
  </si>
  <si>
    <t>https://reparcelasmt.loudoun.gov/pt/Datalets/Datalet.aspx?UseSearch=no&amp;mode=profileall&amp;pin=061285496000&amp;jur=107&amp;taxyr=2024</t>
  </si>
  <si>
    <t>CYRUSONE BROADLANDS DATA CENTER</t>
  </si>
  <si>
    <t>Belmont Road and Dulles Greenway</t>
  </si>
  <si>
    <t>39.033375</t>
  </si>
  <si>
    <t>-77.521706</t>
  </si>
  <si>
    <t>784,600</t>
  </si>
  <si>
    <t>https://loudouncountyvaeg.tylerhost.net/prod/selfservice#/plan/A3CFB06B-5F39-4218-A8C5-D494E4ABAB9B?tab=locations</t>
  </si>
  <si>
    <t>https://reparcelasmt.loudoun.gov/pt/Datalets/Datalet.aspx?UseSearch=no&amp;mode=profileall&amp;pin=154199491000&amp;jur=107&amp;taxyr=2025</t>
  </si>
  <si>
    <t>DARAB VENTURES SIX</t>
  </si>
  <si>
    <t>22235 LOUDOUN COUNTY PKWY</t>
  </si>
  <si>
    <t>39.005962</t>
  </si>
  <si>
    <t>-77.47724</t>
  </si>
  <si>
    <t>1,538,288</t>
  </si>
  <si>
    <t>LC11 &amp; LC12. Project covers more than one parcel, the acreage represents the combined acreage. Square footage may not represent all new buildings</t>
  </si>
  <si>
    <t>https://loudouncountyvaeg.tylerhost.net/prod/selfservice#/plan/CE0FA648-33FE-41A8-AFF4-5DD4C9FAB100</t>
  </si>
  <si>
    <t>https://reparcelasmt.loudoun.gov/pt/datalets/datalet.aspx?mode=land_summary&amp;UseSearch=no&amp;pin=089496314001&amp;jur=107&amp;taxyr=2025&amp;LMparent=20</t>
  </si>
  <si>
    <t>DBT-DATA ASHBURN HOLDING I</t>
  </si>
  <si>
    <t>44610 GUILFORD DR</t>
  </si>
  <si>
    <t>39.0249</t>
  </si>
  <si>
    <t>-77.45765</t>
  </si>
  <si>
    <t>NTT GLOBAL DATA CENTERS AMERICAS INC</t>
  </si>
  <si>
    <t>123,200</t>
  </si>
  <si>
    <t>https://reparcelasmt.loudoun.gov/pt/Datalets/Datalet.aspx?UseSearch=no&amp;mode=profileall&amp;pin=060386530000&amp;jur=107&amp;taxyr=2024</t>
  </si>
  <si>
    <t>DC 8 9 10 DE</t>
  </si>
  <si>
    <t>21271 SMITH SWITCH RD</t>
  </si>
  <si>
    <t>39.02908</t>
  </si>
  <si>
    <t>-77.45896</t>
  </si>
  <si>
    <t>DC 8 9 10 DE LLC</t>
  </si>
  <si>
    <t>429,711</t>
  </si>
  <si>
    <t>https://reparcelasmt.loudoun.gov/pt/Datalets/Datalet.aspx?UseSearch=no&amp;mode=profileall&amp;pin=060485060000&amp;jur=107&amp;taxyr=2024</t>
  </si>
  <si>
    <t>Digital Filigree</t>
  </si>
  <si>
    <t>21780 FILIGREE CT</t>
  </si>
  <si>
    <t>39.013676</t>
  </si>
  <si>
    <t>-77.45641</t>
  </si>
  <si>
    <t>342,003</t>
  </si>
  <si>
    <t>https://loudouncountyvaeg.tylerhost.net/prod/selfservice#/plan/f74213d7-0302-43fe-be04-0b7241e37af4?tab=attachments</t>
  </si>
  <si>
    <t>https://reparcelasmt.loudoun.gov/pt/Datalets/Datalet.aspx?UseSearch=no&amp;mode=profileall&amp;pin=061394321000&amp;jur=107&amp;taxyr=2024</t>
  </si>
  <si>
    <t>DIGITAL-GCEAR1 ASHBURN</t>
  </si>
  <si>
    <t>43915 DEVIN SHAFRON DR</t>
  </si>
  <si>
    <t>39.00286</t>
  </si>
  <si>
    <t>-77.48192</t>
  </si>
  <si>
    <t>GI TC DEVIN SHAFRON LLC</t>
  </si>
  <si>
    <t>138,600</t>
  </si>
  <si>
    <t>https://reparcelasmt.loudoun.gov/pt/Datalets/Datalet.aspx?UseSearch=no&amp;mode=profileall&amp;pin=089382215000&amp;jur=107&amp;taxyr=2024</t>
  </si>
  <si>
    <t>DIGITAL REALTY ACC10</t>
  </si>
  <si>
    <t>21744 SIR TIMOTHY DR</t>
  </si>
  <si>
    <t>39.013275</t>
  </si>
  <si>
    <t>-77.46602</t>
  </si>
  <si>
    <t>BLUE SLING ACC 10 LLC</t>
  </si>
  <si>
    <t>288,400</t>
  </si>
  <si>
    <t>https://reparcelasmt.loudoun.gov/pt/datalets/datalet.aspx?mode=profileall&amp;UseSearch=no&amp;pin=061268762000&amp;jur=107&amp;taxyr=2024&amp;LMparent=20</t>
  </si>
  <si>
    <t>DULLES BERRY LC4</t>
  </si>
  <si>
    <t>22200 LOUDOUN COUNTY PKWY</t>
  </si>
  <si>
    <t>39.00252</t>
  </si>
  <si>
    <t>-77.47228</t>
  </si>
  <si>
    <t>1,434,706</t>
  </si>
  <si>
    <t>94</t>
  </si>
  <si>
    <t>https://reparcelasmt.loudoun.gov/pt/datalets/datalet.aspx?mode=profileall&amp;UseSearch=no&amp;pin=062256361000&amp;jur=107&amp;taxyr=2024&amp;LMparent=20</t>
  </si>
  <si>
    <t>EQUINEX DC13</t>
  </si>
  <si>
    <t>21830 UUNET DR</t>
  </si>
  <si>
    <t>39.012604</t>
  </si>
  <si>
    <t>-77.475334</t>
  </si>
  <si>
    <t>108,300</t>
  </si>
  <si>
    <t>https://reparcelasmt.loudoun.gov/pt/datalets/datalet.aspx?mode=profileall&amp;UseSearch=no&amp;pin=088200644000&amp;jur=107&amp;taxyr=2024&amp;LMparent=20</t>
  </si>
  <si>
    <t>EQUINIX ASHBURN EAST</t>
  </si>
  <si>
    <t>22165 BEAUMEADE CIR</t>
  </si>
  <si>
    <t>39.01383</t>
  </si>
  <si>
    <t>-77.45399</t>
  </si>
  <si>
    <t>361,600</t>
  </si>
  <si>
    <t>https://loudouncountyvaeg.tylerhost.net/prod/selfservice#/plan/bd36a7c3-e836-4275-a899-347180318c33?tab=attachments</t>
  </si>
  <si>
    <t>https://reparcelasmt.loudoun.gov/pt/Datalets/Datalet.aspx?UseSearch=no&amp;mode=profileall&amp;pin=061301740000&amp;jur=107&amp;taxyr=2024</t>
  </si>
  <si>
    <t>21551 Beaumeade Cir</t>
  </si>
  <si>
    <t>39.02129</t>
  </si>
  <si>
    <t>-77.4518</t>
  </si>
  <si>
    <t>152,400</t>
  </si>
  <si>
    <t>https://reparcelasmt.loudoun.gov/pt/datalets/datalet.aspx?mode=profileall&amp;UseSearch=no&amp;pin=060108050000&amp;jur=107&amp;taxyr=2024&amp;LMparent=20</t>
  </si>
  <si>
    <t>EQUINIX DC21</t>
  </si>
  <si>
    <t>22175 BEAUMEADE CIR</t>
  </si>
  <si>
    <t>39.011864</t>
  </si>
  <si>
    <t>-77.45481</t>
  </si>
  <si>
    <t>156,458</t>
  </si>
  <si>
    <t>https://reparcelasmt.loudoun.gov/pt/Datalets/Datalet.aspx?UseSearch=no&amp;mode=profileall&amp;pin=061298643000&amp;jur=107&amp;taxyr=2024</t>
  </si>
  <si>
    <t>Filigree Ct Campus</t>
  </si>
  <si>
    <t>21701 FILIGREE CT</t>
  </si>
  <si>
    <t>39.015854</t>
  </si>
  <si>
    <t>-77.459885</t>
  </si>
  <si>
    <t>679,455</t>
  </si>
  <si>
    <t>https://reparcelasmt.loudoun.gov/pt/datalets/datalet.aspx?mode=profileall&amp;UseSearch=no&amp;pin=061483407000&amp;jur=107&amp;taxyr=2024&amp;LMparent=20</t>
  </si>
  <si>
    <t>21800 Beaumeade Cir</t>
  </si>
  <si>
    <t>39.01393</t>
  </si>
  <si>
    <t>-77.4516</t>
  </si>
  <si>
    <t>228,816</t>
  </si>
  <si>
    <t>https://www.datacenterdynamics.com/en/news/h5-breaks-ground-on-data-center-in-ashburn-virginia/</t>
  </si>
  <si>
    <t>https://reparcelasmt.loudoun.gov/pt/datalets/datalet.aspx?mode=profileall&amp;UseSearch=no&amp;pin=061307791000&amp;jur=107&amp;taxyr=2024&amp;LMparent=20</t>
  </si>
  <si>
    <t>IAD114</t>
  </si>
  <si>
    <t>20945 LOUDOUN COUNTY PKWY</t>
  </si>
  <si>
    <t>39.03563</t>
  </si>
  <si>
    <t>-77.450935</t>
  </si>
  <si>
    <t>https://reparcelasmt.loudoun.gov/pt/datalets/datalet.aspx?mode=commercial&amp;UseSearch=no&amp;pin=059309091000&amp;jur=107&amp;taxyr=2024&amp;LMparent=20</t>
  </si>
  <si>
    <t>IAD12</t>
  </si>
  <si>
    <t>43881 DEVIN SHAFRON DR</t>
  </si>
  <si>
    <t>39.001984</t>
  </si>
  <si>
    <t>-77.48332</t>
  </si>
  <si>
    <t>https://reparcelasmt.loudoun.gov/pt/datalets/datalet.aspx?mode=profileall&amp;UseSearch=no&amp;pin=089278681000&amp;jur=107&amp;taxyr=2024&amp;LMparent=20</t>
  </si>
  <si>
    <t>IAD14</t>
  </si>
  <si>
    <t>43791 DEVIN SHAFRON DR</t>
  </si>
  <si>
    <t>39.003296</t>
  </si>
  <si>
    <t>-77.48721</t>
  </si>
  <si>
    <t>https://reparcelasmt.loudoun.gov/pt/datalets/datalet.aspx?mode=profileall&amp;UseSearch=no&amp;pin=089367531000&amp;jur=107&amp;taxyr=2024&amp;LMparent=20</t>
  </si>
  <si>
    <t>IAD24</t>
  </si>
  <si>
    <t>43830 DEVIN SHAFRON DR</t>
  </si>
  <si>
    <t>39.00466</t>
  </si>
  <si>
    <t>-77.48497</t>
  </si>
  <si>
    <t>DIGITAL LOUDOUN II LLC</t>
  </si>
  <si>
    <t>266,742</t>
  </si>
  <si>
    <t>Computer Center. Project covers more than one parcel. The combined acreage is represented.</t>
  </si>
  <si>
    <t>https://reparcelasmt.loudoun.gov/pt/datalets/datalet.aspx?mode=commercial&amp;UseSearch=no&amp;pin=089374763002&amp;jur=107&amp;taxyr=2024&amp;LMparent=20</t>
  </si>
  <si>
    <t>IAD3 DataBank</t>
  </si>
  <si>
    <t>21630 RED RUM DR</t>
  </si>
  <si>
    <t>39.01779</t>
  </si>
  <si>
    <t>-77.48172</t>
  </si>
  <si>
    <t>ZCOLO LLC</t>
  </si>
  <si>
    <t>286,800</t>
  </si>
  <si>
    <t>https://reparcelasmt.loudoun.gov/pt/datalets/datalet.aspx?mode=profileall&amp;UseSearch=no&amp;pin=088481748000&amp;jur=107&amp;taxyr=2024&amp;LMparent=20</t>
  </si>
  <si>
    <t>IAD 41, IAD 42, BLDG P</t>
  </si>
  <si>
    <t>44757 ROUND TABLE PLZ</t>
  </si>
  <si>
    <t>39.008408</t>
  </si>
  <si>
    <t>DIGITAL LOUDOUN 3 LLC</t>
  </si>
  <si>
    <t>789,300</t>
  </si>
  <si>
    <t>https://reparcelasmt.loudoun.gov/pt/datalets/datalet.aspx?mode=profileall&amp;UseSearch=no&amp;pin=062493798000&amp;jur=107&amp;taxyr=2024&amp;LMparent=20</t>
  </si>
  <si>
    <t>IAD Digital Loudoun Plaza</t>
  </si>
  <si>
    <t>43940 DIGITAL LOUDOUN PLZ</t>
  </si>
  <si>
    <t>39.000828</t>
  </si>
  <si>
    <t>-77.4792</t>
  </si>
  <si>
    <t>1,137,740</t>
  </si>
  <si>
    <t>https://reparcelasmt.loudoun.gov/pt/datalets/datalet.aspx?mode=profileall&amp;UseSearch=no&amp;pin=089291706000&amp;jur=107&amp;taxyr=2024&amp;LMparent=20</t>
  </si>
  <si>
    <t>IAD Round Table Campus Digital Realty</t>
  </si>
  <si>
    <t>44274 ROUND TABLE PLZ</t>
  </si>
  <si>
    <t>39.00663</t>
  </si>
  <si>
    <t>-77.466194</t>
  </si>
  <si>
    <t>1,564,173</t>
  </si>
  <si>
    <t>https://reparcelasmt.loudoun.gov/pt/datalets/datalet.aspx?mode=profileall&amp;UseSearch=no&amp;pin=062462761000&amp;jur=107&amp;taxyr=2024&amp;LMparent=20</t>
  </si>
  <si>
    <t>Loudoun County Pkwy Data Center</t>
  </si>
  <si>
    <t>21955 Loudoun County Pkwy</t>
  </si>
  <si>
    <t>39.01003</t>
  </si>
  <si>
    <t>-77.46274</t>
  </si>
  <si>
    <t>144</t>
  </si>
  <si>
    <t>983,994</t>
  </si>
  <si>
    <t>https://www.datacenters.com/cloudhq-lc1-united-states-northern-va?</t>
  </si>
  <si>
    <t>MONTEREY DC ASSETS</t>
  </si>
  <si>
    <t>21571 BEAUMEADE CIR</t>
  </si>
  <si>
    <t>39.021942</t>
  </si>
  <si>
    <t>-77.45329</t>
  </si>
  <si>
    <t>MONTEREY DC ASSETS LLC</t>
  </si>
  <si>
    <t>164,455</t>
  </si>
  <si>
    <t>https://reparcelasmt.loudoun.gov/pt/datalets/datalet.aspx?mode=profileall&amp;UseSearch=no&amp;pin=060202337000&amp;jur=107&amp;taxyr=2024&amp;LMparent=20</t>
  </si>
  <si>
    <t>44245 GIGABIT PLZ</t>
  </si>
  <si>
    <t>39.018154</t>
  </si>
  <si>
    <t>-77.47289</t>
  </si>
  <si>
    <t>NTT GLOBAL DATA CENTERS VA LLC</t>
  </si>
  <si>
    <t>1,376,853</t>
  </si>
  <si>
    <t>Computer Center. Building 7 expansion 270,856 sq ft, Building 9 expansion 220,132 sq feet</t>
  </si>
  <si>
    <t>https://loudouncountyvaeg.tylerhost.net/prod/selfservice#/plan/D44DB647-CD20-4FAD-8BEF-A0CDEBD6372B?tab=attachments</t>
  </si>
  <si>
    <t>https://reparcelasmt.loudoun.gov/pt/datalets/datalet.aspx?mode=profileall&amp;UseSearch=no&amp;pin=088407447000&amp;jur=107&amp;taxyr=2024&amp;LMparent=20</t>
  </si>
  <si>
    <t>PowerHouse/AREP ABX-1</t>
  </si>
  <si>
    <t>21529 BEAUMEADE CIR</t>
  </si>
  <si>
    <t>39.01958</t>
  </si>
  <si>
    <t>-77.45049</t>
  </si>
  <si>
    <t>AREP BEAUMEADE LLC</t>
  </si>
  <si>
    <t>259,194</t>
  </si>
  <si>
    <t>https://reparcelasmt.loudoun.gov/pt/datalets/datalet.aspx?mode=profileall&amp;UseSearch=no&amp;pin=042152579000&amp;jur=107&amp;taxyr=2024&amp;LMparent=20</t>
  </si>
  <si>
    <t>QTS DATA CENTER ASH3-DC1</t>
  </si>
  <si>
    <t>22291 SHELLHORN RD</t>
  </si>
  <si>
    <t>38.998035</t>
  </si>
  <si>
    <t>-77.47548</t>
  </si>
  <si>
    <t>310,717</t>
  </si>
  <si>
    <t>https://reparcelasmt.loudoun.gov/pt/datalets/datalet.aspx?mode=profileall&amp;UseSearch=no&amp;pin=089100937000&amp;jur=107&amp;taxyr=2024&amp;LMparent=20</t>
  </si>
  <si>
    <t>RAGING WIRE VA1</t>
  </si>
  <si>
    <t>44664 GUILFORD DR</t>
  </si>
  <si>
    <t>39.02266</t>
  </si>
  <si>
    <t>-77.45487</t>
  </si>
  <si>
    <t>RAGINGWIRE DATA CENTERS INC</t>
  </si>
  <si>
    <t>109,300</t>
  </si>
  <si>
    <t>https://reparcelasmt.loudoun.gov/pt/datalets/datalet.aspx?mode=profileall&amp;UseSearch=no&amp;pin=060298548000&amp;jur=107&amp;taxyr=2024&amp;LMparent=20</t>
  </si>
  <si>
    <t>Red Rum Dr Campus Sabey Data Centers</t>
  </si>
  <si>
    <t>21735 RED RUM DR</t>
  </si>
  <si>
    <t>39.0147</t>
  </si>
  <si>
    <t>-77.478455</t>
  </si>
  <si>
    <t>INTERGATE ASHBURN I LLC</t>
  </si>
  <si>
    <t>400,232</t>
  </si>
  <si>
    <t>https://reparcelasmt.loudoun.gov/pt/datalets/datalet.aspx?mode=profileall&amp;UseSearch=no&amp;pin=088392214000&amp;jur=107&amp;taxyr=2024&amp;LMparent=20</t>
  </si>
  <si>
    <t xml:space="preserve">Regency HOA area </t>
  </si>
  <si>
    <t>Asburn Village Blvd and Waxpool Rd</t>
  </si>
  <si>
    <t>Loudon</t>
  </si>
  <si>
    <t>39.011425</t>
  </si>
  <si>
    <t>-77.485016</t>
  </si>
  <si>
    <t>Residents are reportedly being offered around $4.4 million per acre</t>
  </si>
  <si>
    <t>https://www.datacenterdynamics.com/en/news/432mw-data-center-campus-eyed-in-virginias-data-center-alley/</t>
  </si>
  <si>
    <t>21741 Red Rum Drive</t>
  </si>
  <si>
    <t>39.0155</t>
  </si>
  <si>
    <t>-77.4783</t>
  </si>
  <si>
    <t>85</t>
  </si>
  <si>
    <t>645,000</t>
  </si>
  <si>
    <t>https://www.datacenterdynamics.com/en/news/sabey-breaks-ground-on-third-building-at-ashburn-virginia-campus/</t>
  </si>
  <si>
    <t>https://www.businesswire.com/news/home/20250624907578/en/Sabey-Data-Centers-Breaks-Ground-on-Final-Phase-of-Ashburn-Campus-Expansion</t>
  </si>
  <si>
    <t>https://sabeydatacenters.com/locations/ashburn-data-center</t>
  </si>
  <si>
    <t>SDC ASHBURN I</t>
  </si>
  <si>
    <t>44351 IMPORT PLZ</t>
  </si>
  <si>
    <t>38.99621</t>
  </si>
  <si>
    <t>-77.47164</t>
  </si>
  <si>
    <t>SDC ASHBURN ALPHA I LLC</t>
  </si>
  <si>
    <t>531,592</t>
  </si>
  <si>
    <t>Shown as "Storage Warehouse". 20,000 sq ft expansion proposed</t>
  </si>
  <si>
    <t>https://loudouncountyvaeg.tylerhost.net/prod/selfservice#/plan/0cdca2e2-c29e-4a7a-ab35-862bad8566e3?tab=attachments</t>
  </si>
  <si>
    <t>https://reparcelasmt.loudoun.gov/pt/datalets/datalet.aspx?mode=profileall&amp;UseSearch=no&amp;pin=062159785000&amp;jur=107&amp;taxyr=2024&amp;LMparent=20</t>
  </si>
  <si>
    <t>STACK NVA04</t>
  </si>
  <si>
    <t>22285 LOCKRIDGE RD</t>
  </si>
  <si>
    <t>39.000748</t>
  </si>
  <si>
    <t>-77.460304</t>
  </si>
  <si>
    <t>STACK INFRASTRUCTURE</t>
  </si>
  <si>
    <t>371,941</t>
  </si>
  <si>
    <t>SI NVA04B LLC, BUILDING 2</t>
  </si>
  <si>
    <t>https://loudouncountyvaeg.tylerhost.net/prod/selfservice#/plan/3e234d9f-412a-41f5-94e3-475b94214980?tab=attachments</t>
  </si>
  <si>
    <t>https://reparcelasmt.loudoun.gov/pt/datalets/datalet.aspx?mode=commercial&amp;UseSearch=no&amp;pin=062275493002&amp;jur=107&amp;taxyr=2025&amp;LMparent=20</t>
  </si>
  <si>
    <t>22295 LOCKRIDGE RD</t>
  </si>
  <si>
    <t>39.002777</t>
  </si>
  <si>
    <t>-77.46116</t>
  </si>
  <si>
    <t>STACK BROAD RUN HOLDINGS LLC, BUILDING 3</t>
  </si>
  <si>
    <t>https://reparcelasmt.loudoun.gov/pt/datalets/datalet.aspx?mode=land_summary&amp;UseSearch=no&amp;pin=062275493001&amp;jur=107&amp;taxyr=2025&amp;LMparent=20</t>
  </si>
  <si>
    <t>22271 LOCKRIDGE RD</t>
  </si>
  <si>
    <t>38.999165</t>
  </si>
  <si>
    <t>-77.460785</t>
  </si>
  <si>
    <t>371,211</t>
  </si>
  <si>
    <t>SI NVA04A LLC, BUILDING 1</t>
  </si>
  <si>
    <t>https://reparcelasmt.loudoun.gov/pt/datalets/datalet.aspx?mode=commercial&amp;UseSearch=no&amp;pin=062275493003&amp;jur=107&amp;taxyr=2025&amp;LMparent=20</t>
  </si>
  <si>
    <t>Tech Park at Brambleton</t>
  </si>
  <si>
    <t>23896 BELMONT RIDGE RD</t>
  </si>
  <si>
    <t>38.956566</t>
  </si>
  <si>
    <t>-77.53436</t>
  </si>
  <si>
    <t>BlackChamber Group</t>
  </si>
  <si>
    <t>https://www.datacenterdynamics.com/en/news/blackchamber-files-to-build-data-center-campus-in-northern-virginias-arcola/</t>
  </si>
  <si>
    <t>https://reparcelasmt.loudoun.gov/pt/Datalets/Datalet.aspx?UseSearch=no&amp;mode=profileall&amp;pin=202104192000&amp;jur=107&amp;taxyr=2024</t>
  </si>
  <si>
    <t>TELOS DATA CENTER</t>
  </si>
  <si>
    <t>19886 ASHBURN RD</t>
  </si>
  <si>
    <t>39.067024</t>
  </si>
  <si>
    <t>-77.47857</t>
  </si>
  <si>
    <t>Project adjacent to a church</t>
  </si>
  <si>
    <t>https://loudouncountyvaeg.tylerhost.net/prod/selfservice#/plan/D476DA12-5225-4CDE-B20E-0115B3DEC520?tab=locations</t>
  </si>
  <si>
    <t>Vantage VA 3</t>
  </si>
  <si>
    <t>19509 BELMONT RIDGE RD</t>
  </si>
  <si>
    <t>39.079758</t>
  </si>
  <si>
    <t>-77.506546</t>
  </si>
  <si>
    <t>VANTAGE DATA CENTERS VA3 LLC/Jeff Tench</t>
  </si>
  <si>
    <t>2,329,165</t>
  </si>
  <si>
    <t>First building complete. This parcel is in the process of being divided</t>
  </si>
  <si>
    <t>https://loudouncountyvaeg.tylerhost.net/prod/selfservice#/plan/950F3AEF-A90A-44A7-9963-3B20A7A8A394?tab=attachments</t>
  </si>
  <si>
    <t>43321 DATA DR</t>
  </si>
  <si>
    <t>39.077393</t>
  </si>
  <si>
    <t>-77.506165</t>
  </si>
  <si>
    <t>385,398</t>
  </si>
  <si>
    <t>First building of VA3 Campus. Square footage has been subtracted from the parent entry</t>
  </si>
  <si>
    <t>https://reparcelasmt.loudoun.gov/pt/datalets/datalet.aspx?mode=commercial&amp;UseSearch=no&amp;pin=113272390000&amp;jur=107&amp;taxyr=2025&amp;LMparent=20</t>
  </si>
  <si>
    <t>VISA USA INC</t>
  </si>
  <si>
    <t>44901 RUSSELL BRANCH PKWY</t>
  </si>
  <si>
    <t>39.049206</t>
  </si>
  <si>
    <t>-77.445564</t>
  </si>
  <si>
    <t>365,855</t>
  </si>
  <si>
    <t>https://reparcelasmt.loudoun.gov/pt/datalets/datalet.aspx?mode=profileall&amp;UseSearch=no&amp;pin=040464286000&amp;jur=107&amp;taxyr=2024&amp;LMparent=20</t>
  </si>
  <si>
    <t>Zebra East</t>
  </si>
  <si>
    <t>22130 LOUDOUN COUNTY PKWY</t>
  </si>
  <si>
    <t>39.00505</t>
  </si>
  <si>
    <t>-77.471504</t>
  </si>
  <si>
    <t>723,779</t>
  </si>
  <si>
    <t>106</t>
  </si>
  <si>
    <t>https://loudouncountyvaeg.tylerhost.net/prod/selfservice#/plan/BD994C24-2C84-49FF-8D7B-B619C548E517?tab=attachments</t>
  </si>
  <si>
    <t>https://reparcelasmt.loudoun.gov/pt/Datalets/Datalet.aspx?UseSearch=no&amp;mode=profileall&amp;pin=089309997000&amp;jur=107&amp;taxyr=2024</t>
  </si>
  <si>
    <t>Brambleton Business Campus Data Center</t>
  </si>
  <si>
    <t>42842 ARCOLA BLVD</t>
  </si>
  <si>
    <t>ASHBURN</t>
  </si>
  <si>
    <t>38.95391</t>
  </si>
  <si>
    <t>-77.51837</t>
  </si>
  <si>
    <t>936,191</t>
  </si>
  <si>
    <t>Site includes a substation which may reduce the built square footage which comes from the 2015 proffers</t>
  </si>
  <si>
    <t>https://loudouncountyvaeg.tylerhost.net/prod/selfservice#/plan/c34be238-7d4b-4f9b-9b80-152afd7a05d4?tab=locations</t>
  </si>
  <si>
    <t>https://reparcelasmt.loudoun.gov/pt/Datalets/Datalet.aspx?UseSearch=no&amp;mode=profileall&amp;pin=161397058000&amp;jur=107&amp;taxyr=2025</t>
  </si>
  <si>
    <t>Hanover-Ashland Data Center</t>
  </si>
  <si>
    <t>13058 Mount Hermon Road</t>
  </si>
  <si>
    <t>23005</t>
  </si>
  <si>
    <t>Hanover</t>
  </si>
  <si>
    <t>37.75563</t>
  </si>
  <si>
    <t>-77.449936</t>
  </si>
  <si>
    <t>Tradeport Ashland Land LLC</t>
  </si>
  <si>
    <t>Pending county approval</t>
  </si>
  <si>
    <t>https://richmondbizsense.com/2024/10/22/data-center-project-on-hanover-ashland-line-gets-town-approval-awaits-county-consideration/</t>
  </si>
  <si>
    <t>https://parcelmap.hanovercounty.gov/#</t>
  </si>
  <si>
    <t>10/23/2024</t>
  </si>
  <si>
    <t>Ironhorse East Ashland</t>
  </si>
  <si>
    <t>10171 East Patrick Henry Road</t>
  </si>
  <si>
    <t>37.759018</t>
  </si>
  <si>
    <t>-77.4508</t>
  </si>
  <si>
    <t>Harris and Douglass Properties, LLC</t>
  </si>
  <si>
    <t>3,300,000</t>
  </si>
  <si>
    <t>234</t>
  </si>
  <si>
    <t>several parcels on one business park; combined acreage</t>
  </si>
  <si>
    <t>https://www.hanovercounty.gov/1270/Ironhorse-East-Ashland</t>
  </si>
  <si>
    <t>https://www.hanovercounty.gov/DocumentCenter/View/10884/REZ2022-00008-v</t>
  </si>
  <si>
    <t>08/08/2024</t>
  </si>
  <si>
    <t xml:space="preserve"> LS Power </t>
  </si>
  <si>
    <t>10165 Old Ridge Rd</t>
  </si>
  <si>
    <t>37.810474</t>
  </si>
  <si>
    <t>-77.4485</t>
  </si>
  <si>
    <t>Behind the meter at gas plant</t>
  </si>
  <si>
    <t>https://www.datacenterdynamics.com/en/news/behind-the-meter-data-center-proposed-outside-richmond-virginia/</t>
  </si>
  <si>
    <t>Pixel Factory</t>
  </si>
  <si>
    <t>9680 ATLEE COMMONS DRIVE</t>
  </si>
  <si>
    <t>37.69901</t>
  </si>
  <si>
    <t>-77.43627</t>
  </si>
  <si>
    <t>PIXEL FACTORY DEVELOPMENT LLC</t>
  </si>
  <si>
    <t>6,000</t>
  </si>
  <si>
    <t>https://parcelmap.hanovercounty.gov/</t>
  </si>
  <si>
    <t>Tract Technology Campus</t>
  </si>
  <si>
    <t>Hickory Hill Rd</t>
  </si>
  <si>
    <t>37.786198</t>
  </si>
  <si>
    <t>-77.4404</t>
  </si>
  <si>
    <t>VALCO HANOVER COUNTY</t>
  </si>
  <si>
    <t>1212</t>
  </si>
  <si>
    <t>https://www.hanovercounty.gov/1314/Data-Center-Project-I-95Hickory-Hill-Roa</t>
  </si>
  <si>
    <t>WestDulles Data Center</t>
  </si>
  <si>
    <t>Iron Horse Business Park/ Betw Mt Hermon Rd and Rt 54</t>
  </si>
  <si>
    <t>37.75533</t>
  </si>
  <si>
    <t>-77.44565</t>
  </si>
  <si>
    <t>WestDulles Properties</t>
  </si>
  <si>
    <t>230</t>
  </si>
  <si>
    <t>https://www.datacenterdynamics.com/en/news/westdulles-properties-files-for-3-million-sq-ft-data-center-park-outside-richmond-virginia/</t>
  </si>
  <si>
    <t>Brush Mountain Blacksburg</t>
  </si>
  <si>
    <t>2200 KRAFT DR STE 2025</t>
  </si>
  <si>
    <t>Blacksburg</t>
  </si>
  <si>
    <t>24060</t>
  </si>
  <si>
    <t>37.203728</t>
  </si>
  <si>
    <t>-80.4118</t>
  </si>
  <si>
    <t>BRUSH MOUNTAIN DATA CENTER LLC</t>
  </si>
  <si>
    <t>1,886</t>
  </si>
  <si>
    <t>https://realestate.montva.com/datalets/datalet.aspx?mode=profileall&amp;sIndex=2&amp;idx=2&amp;LMparent=20</t>
  </si>
  <si>
    <t>Microsoft Azure</t>
  </si>
  <si>
    <t>101 Herbert Drive</t>
  </si>
  <si>
    <t>Boydton</t>
  </si>
  <si>
    <t>23917</t>
  </si>
  <si>
    <t>36.69652</t>
  </si>
  <si>
    <t>-78.36116</t>
  </si>
  <si>
    <t>1,625,704</t>
  </si>
  <si>
    <t>855</t>
  </si>
  <si>
    <t>This project covers multiple parcels. The total acreage has been represented here.</t>
  </si>
  <si>
    <t>https://mecklenburg.cama.concisesystems.com/PropertyPage.aspx?id=3675&amp;direct=1</t>
  </si>
  <si>
    <t>101 Herbert Dr</t>
  </si>
  <si>
    <t>36.67847</t>
  </si>
  <si>
    <t>-78.3752</t>
  </si>
  <si>
    <t>Microsoft Ridge Road Campus</t>
  </si>
  <si>
    <t>925 Ridge Rd</t>
  </si>
  <si>
    <t>36.69182</t>
  </si>
  <si>
    <t>-78.3648</t>
  </si>
  <si>
    <t>Bristow Campus</t>
  </si>
  <si>
    <t>11480 NOKESVILLE RD</t>
  </si>
  <si>
    <t>Bristow</t>
  </si>
  <si>
    <t>20137</t>
  </si>
  <si>
    <t>Prince William</t>
  </si>
  <si>
    <t>38.73797</t>
  </si>
  <si>
    <t>-77.54125</t>
  </si>
  <si>
    <t>This project covers multiple parcels. The total acreage has been represented here. Existing data centers have been removed from the proposed square footage</t>
  </si>
  <si>
    <t>https://egcss.pwcgov.org/SelfService#/plan/1f301435-5cb5-4515-95c7-0dc1844362ea?tab=moreinfo</t>
  </si>
  <si>
    <t>https://pwc.publicaccessnow.com/PropertyDetail.aspx?mpropertynumber=001441&amp;mtab=property&amp;p=001441</t>
  </si>
  <si>
    <t>07/14/2025</t>
  </si>
  <si>
    <t>Delvin Technology Park</t>
  </si>
  <si>
    <t>8900 DEVLIN RD</t>
  </si>
  <si>
    <t>20136</t>
  </si>
  <si>
    <t>38.767223</t>
  </si>
  <si>
    <t>-77.57575</t>
  </si>
  <si>
    <t>STANLEY MARTIN HOMES, LLC</t>
  </si>
  <si>
    <t>3,530,000</t>
  </si>
  <si>
    <t>https://egcss.pwcgov.org/SelfService#/plan/323d298e-a0ad-4dc7-accd-f6b27b404c50</t>
  </si>
  <si>
    <t>https://pwc.publicaccessnow.com/PropertyDetail.aspx?mtab=property&amp;mpropertynumber=264052</t>
  </si>
  <si>
    <t>Gainsville Tech Park</t>
  </si>
  <si>
    <t>13050 HANSEN FARM RD</t>
  </si>
  <si>
    <t>38.780186</t>
  </si>
  <si>
    <t>-77.568985</t>
  </si>
  <si>
    <t>2,982,000</t>
  </si>
  <si>
    <t>83</t>
  </si>
  <si>
    <t>https://egcss.pwcgov.org/SelfService#/plan/01fffe17-1fdc-46e3-bd5c-f5795320e7e6?tab=attachments</t>
  </si>
  <si>
    <t>https://pwc.publicaccessnow.com/PropertyDetail.aspx?mtab=property&amp;mpropertynumber=264270</t>
  </si>
  <si>
    <t>Hunter Property</t>
  </si>
  <si>
    <t>8613 LINTON HALL RD</t>
  </si>
  <si>
    <t>38.773407</t>
  </si>
  <si>
    <t>-77.59043</t>
  </si>
  <si>
    <t>LHR GAINESVILLE LLC</t>
  </si>
  <si>
    <t>3,650,157</t>
  </si>
  <si>
    <t>196</t>
  </si>
  <si>
    <t>https://www.pwcva.gov/assets/2022-01/Frequently%20Asked%20Questions.1.20.22.pdf</t>
  </si>
  <si>
    <t>https://pwc.publicaccessnow.com/PropertyDetail.aspx?mtab=property&amp;mpropertynumber=001468</t>
  </si>
  <si>
    <t>MICROSOFT CORPORATION</t>
  </si>
  <si>
    <t>7745 Piney Branch Ln</t>
  </si>
  <si>
    <t>38.784103</t>
  </si>
  <si>
    <t>-77.567726</t>
  </si>
  <si>
    <t>https://egcss.pwcgov.org/SelfService#/plan/99b2ba0d-f246-4c99-b44a-b4b2ccda56bf</t>
  </si>
  <si>
    <t>https://pwc.publicaccessnow.com/PropertyDetail.aspx?mpropertynumber=067772&amp;mtab=property&amp;p=067772</t>
  </si>
  <si>
    <t>NOVA MANGO FARMS LLC
 C/O CORPORATION SERVICE COMPANY</t>
  </si>
  <si>
    <t>13001 ROLLINS FORD RD</t>
  </si>
  <si>
    <t>38.77619</t>
  </si>
  <si>
    <t>-77.583405</t>
  </si>
  <si>
    <t>578,290</t>
  </si>
  <si>
    <t>254</t>
  </si>
  <si>
    <t>https://pwc.publicaccessnow.com/PropertyDetail.aspx?mpropertynumber=001687&amp;mtab=property&amp;p=001687</t>
  </si>
  <si>
    <t>PROJECT INDUSTRY</t>
  </si>
  <si>
    <t>8001 INDUSTRIAL PARK CT</t>
  </si>
  <si>
    <t>38.781742</t>
  </si>
  <si>
    <t>-77.579185</t>
  </si>
  <si>
    <t>1,838,000</t>
  </si>
  <si>
    <t>https://egcss.pwcgov.org/SelfService#/plan/71a5c10e-0a22-4286-a5c9-b05bff0d3e5f?tab=attachments</t>
  </si>
  <si>
    <t>https://pwc.publicaccessnow.com/PropertyDetail.aspx?mtab=property&amp;mpropertynumber=255992</t>
  </si>
  <si>
    <t>07/12/2025</t>
  </si>
  <si>
    <t>SES AMERICOM INC</t>
  </si>
  <si>
    <t>8000 GAINSFORD CT</t>
  </si>
  <si>
    <t>38.78381</t>
  </si>
  <si>
    <t>-77.57232</t>
  </si>
  <si>
    <t>20,534</t>
  </si>
  <si>
    <t>https://pwc.publicaccessnow.com/PropertyDetail.aspx?mpropertynumber=096967&amp;mtab=property&amp;p=096967</t>
  </si>
  <si>
    <t>Sharpless Enterprises LLC</t>
  </si>
  <si>
    <t>6201 WELLINGTON RD</t>
  </si>
  <si>
    <t>38.786884</t>
  </si>
  <si>
    <t>-77.57505</t>
  </si>
  <si>
    <t>square footage is an estimate</t>
  </si>
  <si>
    <t>https://www.datacenterdynamics.com/en/news/company-plans-four-data-centers-on-a-campus-in-virginias-prince-william-county/</t>
  </si>
  <si>
    <t>https://pwc.publicaccessnow.com/PropertyDetail.aspx?mtab=property&amp;mpropertynumber=229877</t>
  </si>
  <si>
    <t>SI NVA17 LLC</t>
  </si>
  <si>
    <t>11859 HAZEL CIRCLE DR</t>
  </si>
  <si>
    <t>38.734524</t>
  </si>
  <si>
    <t>-77.54742</t>
  </si>
  <si>
    <t>637,282</t>
  </si>
  <si>
    <t>formerly "Youth of Tomorrow"</t>
  </si>
  <si>
    <t>MANUCHEHR VENTURES LLC</t>
  </si>
  <si>
    <t>10900 AIRMAN AVE</t>
  </si>
  <si>
    <t>Buckhall</t>
  </si>
  <si>
    <t>20112</t>
  </si>
  <si>
    <t>38.715088</t>
  </si>
  <si>
    <t>-77.49477</t>
  </si>
  <si>
    <t>139,000</t>
  </si>
  <si>
    <t>https://pwc.publicaccessnow.com/PropertyDetail.aspx?mpropertynumber=264071&amp;mtab=property&amp;p=264071</t>
  </si>
  <si>
    <t>Compton Property SUP</t>
  </si>
  <si>
    <t>8750 RIXLEW LN</t>
  </si>
  <si>
    <t>Bull run</t>
  </si>
  <si>
    <t>20107</t>
  </si>
  <si>
    <t>38.775803</t>
  </si>
  <si>
    <t>-77.51027</t>
  </si>
  <si>
    <t>1,062,000</t>
  </si>
  <si>
    <t>https://egcss.pwcgov.org/SelfService#/plan/30cd92af-9b69-425c-924d-b7653f1e009e?tab=attachments</t>
  </si>
  <si>
    <t>https://pwc.publicaccessnow.com/PropertyDetail.aspx?mpropertynumber=021785&amp;mtab=property&amp;p=021785</t>
  </si>
  <si>
    <t>Dulles Cloud South Data Center</t>
  </si>
  <si>
    <t>Betw Logmill Rd, Sudley Rd, Sanders Ln</t>
  </si>
  <si>
    <t>Catharpin</t>
  </si>
  <si>
    <t>20143</t>
  </si>
  <si>
    <t>38.863514</t>
  </si>
  <si>
    <t>-77.57885</t>
  </si>
  <si>
    <t>43,000,000</t>
  </si>
  <si>
    <t>1940</t>
  </si>
  <si>
    <t>Application denied</t>
  </si>
  <si>
    <t>https://www.datacenterdynamics.com/en/news/county-officials-deny-application-for-2000-acre-data-center-campus-in-virginia/</t>
  </si>
  <si>
    <t>Catlett Data Center Park</t>
  </si>
  <si>
    <t>3154 GASKINS LN</t>
  </si>
  <si>
    <t>Catlett</t>
  </si>
  <si>
    <t>20119</t>
  </si>
  <si>
    <t>Fauquier</t>
  </si>
  <si>
    <t>38.661777</t>
  </si>
  <si>
    <t>-77.63222</t>
  </si>
  <si>
    <t>Catlett Station II LLC</t>
  </si>
  <si>
    <t>https://commdevpay.fauquiercounty.gov/Energov_Prod/SelfService#/plan/8f168f14-7317-41b8-9a51-0fb7fc218ac1?tab=attachments</t>
  </si>
  <si>
    <t>https://gis.vgsi.com/fauquierva/Parcel.aspx?pid=48900</t>
  </si>
  <si>
    <t>Headwaters Site Development LLC</t>
  </si>
  <si>
    <t>Catlett Rd &amp; Gaskins Ln</t>
  </si>
  <si>
    <t>38.66282</t>
  </si>
  <si>
    <t>-77.6317</t>
  </si>
  <si>
    <t>https://www.fauquiernow.com/news/developer-withdraws-plans-for-catlett-station-data-center-project/article_29d5165e-4385-11ef-ad9e-db32dab80435.html</t>
  </si>
  <si>
    <t>Warrenton Amazon Data Center</t>
  </si>
  <si>
    <t>719 BLACKWELL RD</t>
  </si>
  <si>
    <t>20186</t>
  </si>
  <si>
    <t>38.729473</t>
  </si>
  <si>
    <t>-77.78753</t>
  </si>
  <si>
    <t>https://www.change.org/p/protect-warrenton-no-data-center-without-local-safeguards</t>
  </si>
  <si>
    <t>https://www.fauquiernow.com/news/business/warrenton-town-council-approves-amazon-data-center-proposal/article_3913e82e-ad0a-11ed-83f3-538a8a5bb411.html</t>
  </si>
  <si>
    <t>https://gis.vgsi.com/fauquierva/Parcel.aspx?pid=27419</t>
  </si>
  <si>
    <t>Amazon Web Services Mallory</t>
  </si>
  <si>
    <t>14501 AVION PKWY</t>
  </si>
  <si>
    <t>Chantilly</t>
  </si>
  <si>
    <t>20151</t>
  </si>
  <si>
    <t>38.904926</t>
  </si>
  <si>
    <t>-77.45381</t>
  </si>
  <si>
    <t>440,870</t>
  </si>
  <si>
    <t>Two facilities built, third (Avion, 768,392 sq ft) planned</t>
  </si>
  <si>
    <t>https://www.fairfaxcounty.gov/planning-development/sites/planning-development/files/Assets/Documents/PDF/data-centers-report.pdf#page=1</t>
  </si>
  <si>
    <t>https://icare.fairfaxcounty.gov/ffxcare/Datalets/Datalet.aspx?mode=&amp;UseSearch=no&amp;pin=0341%2003%20%200013&amp;jur=129&amp;taxyr=2025</t>
  </si>
  <si>
    <t>https://plus.fairfaxcounty.gov/CitizenAccess/Cap/CapDetail.aspx?Module=Site&amp;TabName=Site&amp;capID1=21WW1&amp;capID2=00000&amp;capID3=00IHZ&amp;agencyCode=FFX</t>
  </si>
  <si>
    <t>LEE ROAD PROPERTY</t>
  </si>
  <si>
    <t>14558 LEE RD</t>
  </si>
  <si>
    <t>38.890537</t>
  </si>
  <si>
    <t>-77.453674</t>
  </si>
  <si>
    <t>LEE ROAD PROPERTY LLC</t>
  </si>
  <si>
    <t>20,118</t>
  </si>
  <si>
    <t>https://icare.fairfaxcounty.gov/ffxcare/datalets/datalet.aspx?mode=com_combined&amp;UseSearch=no&amp;pin=0343%2001%20%200023E1&amp;jur=129&amp;taxyr=2025&amp;LMparent=138</t>
  </si>
  <si>
    <t>PARKSTONE TECH PARK, LLC</t>
  </si>
  <si>
    <t>Conference Center Dr</t>
  </si>
  <si>
    <t>38.87255</t>
  </si>
  <si>
    <t>-77.46563</t>
  </si>
  <si>
    <t>https://plus.fairfaxcounty.gov/CitizenAccess/Cap/CapDetail.aspx?Module=Zoning&amp;TabName=Zoning&amp;capID1=20HS5&amp;capID2=00000&amp;capID3=003UO&amp;agencyCode=FFX</t>
  </si>
  <si>
    <t>https://icare.fairfaxcounty.gov/ffxcare/Datalets/Datalet.aspx?mode=&amp;UseSearch=no&amp;pin=0434%2006%20%200037B&amp;jur=129&amp;taxyr=2025</t>
  </si>
  <si>
    <t>PDCREF 2 Chantilly</t>
  </si>
  <si>
    <t>Lee Jackson Memorial HWY</t>
  </si>
  <si>
    <t>38.903057</t>
  </si>
  <si>
    <t>-77.46525</t>
  </si>
  <si>
    <t>PDCREF 2 CHANTILLY LLC</t>
  </si>
  <si>
    <t>402,000</t>
  </si>
  <si>
    <t>https://plus.fairfaxcounty.gov/CitizenAccess/Cap/CapDetail.aspx?Module=Zoning&amp;TabName=Zoning&amp;capID1=REC22&amp;capID2=00000&amp;capID3=00GHV&amp;agencyCode=FFX</t>
  </si>
  <si>
    <t>https://icare.fairfaxcounty.gov/ffxcare/Datalets/Datalet.aspx?mode=&amp;UseSearch=no&amp;pin=0332%2001%20%200006&amp;jur=129&amp;taxyr=2025</t>
  </si>
  <si>
    <t>Penzance Development Data Center</t>
  </si>
  <si>
    <t>Stonecroft Rd and</t>
  </si>
  <si>
    <t>38.90522</t>
  </si>
  <si>
    <t>-77.4554</t>
  </si>
  <si>
    <t>https://www.datacenterdynamics.com/en/news/fairfax-county-approves-data-center-in-chantilly-virginia/</t>
  </si>
  <si>
    <t>https://www.datacenterdynamics.com/en/news/penzance-breaks-ground-on-data-center-in-chantilly-virginia/</t>
  </si>
  <si>
    <t>07/29/2025</t>
  </si>
  <si>
    <t>SCG Global Holdings LLC Data Center</t>
  </si>
  <si>
    <t>3721 Stonecroft Blvd</t>
  </si>
  <si>
    <t>38.91267</t>
  </si>
  <si>
    <t>-77.451675</t>
  </si>
  <si>
    <t xml:space="preserve"> $166.8 million</t>
  </si>
  <si>
    <t>https://www.datacenterdynamics.com/en/news/starwood-looks-to-buy-county-owned-land-in-fairfax-virginia-for-data-center-development/</t>
  </si>
  <si>
    <t>TFG INDEPENDENCE CENTER I PROPERTY</t>
  </si>
  <si>
    <t>15036 CONFERENCE CENTER DR</t>
  </si>
  <si>
    <t>38.880272</t>
  </si>
  <si>
    <t>-77.462234</t>
  </si>
  <si>
    <t>TFG INDEPENDENCE CENTER I PROPERTY LLC</t>
  </si>
  <si>
    <t>293,514</t>
  </si>
  <si>
    <t>https://icare.fairfaxcounty.gov/ffxcare/Datalets/Datalet.aspx?mode=&amp;UseSearch=no&amp;pin=0432%2002%20%200029B2&amp;jur=129&amp;taxyr=2025</t>
  </si>
  <si>
    <t>AWS IAD61-IAD63 South Riding</t>
  </si>
  <si>
    <t>25316 PREDICTION LN</t>
  </si>
  <si>
    <t>Chantily</t>
  </si>
  <si>
    <t>20152</t>
  </si>
  <si>
    <t>38.916767</t>
  </si>
  <si>
    <t>-77.4938</t>
  </si>
  <si>
    <t>778,426</t>
  </si>
  <si>
    <t>https://reparcelasmt.loudoun.gov/pt/Datalets/Datalet.aspx?mode=commercial&amp;UseSearch=no&amp;pin=097354183000&amp;jur=107&amp;taxyr=2024&amp;card=6&amp;item=0&amp;State=5|1|1|1|1|&amp;items=4</t>
  </si>
  <si>
    <t>AWS Westfax A</t>
  </si>
  <si>
    <t>4101 WESTFAX DR</t>
  </si>
  <si>
    <t>38.897987</t>
  </si>
  <si>
    <t>-77.454025</t>
  </si>
  <si>
    <t>95,000</t>
  </si>
  <si>
    <t>https://icare.fairfaxcounty.gov/ffxcare/Datalets/Datalet.aspx?mode=&amp;UseSearch=no&amp;pin=0343%2009%20%200004&amp;jur=129&amp;taxyr=2025</t>
  </si>
  <si>
    <t>AWS Westfax B</t>
  </si>
  <si>
    <t>4100 WESTFAX DR</t>
  </si>
  <si>
    <t>38.899593</t>
  </si>
  <si>
    <t>-77.45344</t>
  </si>
  <si>
    <t>https://icare.fairfaxcounty.gov/ffxcare/Datalets/Datalet.aspx?mode=&amp;UseSearch=no&amp;pin=0343%2009%20%200003A&amp;jur=129&amp;taxyr=2025</t>
  </si>
  <si>
    <t>CHANTILLY TECHNOLOGY PARTNERS</t>
  </si>
  <si>
    <t>4030 LAFAYETTE CENTER DR</t>
  </si>
  <si>
    <t>38.91007</t>
  </si>
  <si>
    <t>-77.472694</t>
  </si>
  <si>
    <t>CHANTILLY TECHNOLOGY PARTNERS LLC</t>
  </si>
  <si>
    <t>145,409</t>
  </si>
  <si>
    <t>https://icare.fairfaxcounty.gov/ffxcare/Datalets/Datalet.aspx?mode=&amp;UseSearch=no&amp;pin=0332%2001%20%200010D&amp;jur=129&amp;taxyr=2025</t>
  </si>
  <si>
    <t>Diode Ventures Data Center</t>
  </si>
  <si>
    <t>~2043 State Rte 622</t>
  </si>
  <si>
    <t>Charles City</t>
  </si>
  <si>
    <t>23030</t>
  </si>
  <si>
    <t>37.46036</t>
  </si>
  <si>
    <t>-77.1559</t>
  </si>
  <si>
    <t>515</t>
  </si>
  <si>
    <t>Local opposition</t>
  </si>
  <si>
    <t>https://www.datacenterdynamics.com/en/news/diode-drops-plans-for-500-acre-data-center-campus-outside-richmond-virginia/</t>
  </si>
  <si>
    <t>LYH03 Bailey – Microsoft</t>
  </si>
  <si>
    <t>313-A HIGH STREET</t>
  </si>
  <si>
    <t>Chase City</t>
  </si>
  <si>
    <t>23924</t>
  </si>
  <si>
    <t>36.780624</t>
  </si>
  <si>
    <t>-78.467834</t>
  </si>
  <si>
    <t>369</t>
  </si>
  <si>
    <t>https://www.nao.usace.army.mil/Media/Public-Notices/Article/3357496/nao-2022-02394-vmrc-22-v2715-microsoft-data-center-mecklenburg-county-virginia/</t>
  </si>
  <si>
    <t>https://mecklenburg.cama.concisesystems.com/PropertyPage.aspx?id=39284&amp;direct=1</t>
  </si>
  <si>
    <t>Pittsylvania County Data Center</t>
  </si>
  <si>
    <t>Chalk Level Rd near Mill Creek Rd</t>
  </si>
  <si>
    <t>Chatham</t>
  </si>
  <si>
    <t>24531</t>
  </si>
  <si>
    <t>Pittsylvania</t>
  </si>
  <si>
    <t>36.84796</t>
  </si>
  <si>
    <t>-79.370255</t>
  </si>
  <si>
    <t>Balico LLC</t>
  </si>
  <si>
    <t>4,752,000</t>
  </si>
  <si>
    <t>763</t>
  </si>
  <si>
    <t>$3.7 billion</t>
  </si>
  <si>
    <t>https://cardinalnews.org/2025/04/14/a-grassroots-fight-against-data-centers-builds-in-rural-pittsylvania-county/</t>
  </si>
  <si>
    <t>This project covers multiple parcels. The total acreage has been represented here. Also includes a 3500 MW gas plant. Blocked, then withdrawn by developer</t>
  </si>
  <si>
    <t>https://www.pittsylvaniacountyva.gov/home/showpublisheddocument/6067/638714338508430000</t>
  </si>
  <si>
    <t>Chesterfield Google Data Center</t>
  </si>
  <si>
    <t>2700 Bermuda Hundred Rd</t>
  </si>
  <si>
    <t>23836</t>
  </si>
  <si>
    <t>Chesterfield</t>
  </si>
  <si>
    <t>37.34593</t>
  </si>
  <si>
    <t>-77.3102</t>
  </si>
  <si>
    <t>856,000</t>
  </si>
  <si>
    <t>https://www.wtvr.com/news/local-news/google-chesterfield-data-center-aug-27-2025#google_vignette</t>
  </si>
  <si>
    <t>https://richmondbizsense.com/2025/08/27/breaking-news-google-planning-chesterfield-data-center-as-part-of-9b-expansion-in-virginia/</t>
  </si>
  <si>
    <t>https://richmondbizsense.com/2025/08/28/chesterfield-scores-a-google-trifecta-tech-giant-reveals-ties-to-3-massive-sites-across-the-county/</t>
  </si>
  <si>
    <t>https://www.wtvr.com/news/local-news/google-chesterfield-data-center-update-nov-11-2025</t>
  </si>
  <si>
    <t>https://www.reddit.com/r/Virginia/comments/1n34t0p/peanut_llc_in_chesterfield_data_center_will_be/</t>
  </si>
  <si>
    <t>https://www.wric.com/news/local-news/chesterfield-county/google-site-plan-project-peanut-data-center-chesterfield</t>
  </si>
  <si>
    <t>1401 Meadowville Technology Pkwy</t>
  </si>
  <si>
    <t>37.36344</t>
  </si>
  <si>
    <t>-77.3273</t>
  </si>
  <si>
    <t>Build-out of existing Chirisa technology park</t>
  </si>
  <si>
    <t>https://www.datacenterdynamics.com/en/news/blue-owl-led-jv-secures-750m-to-build-out-data-centers-for-coreweave/</t>
  </si>
  <si>
    <t>Digital Fortress: Richmond</t>
  </si>
  <si>
    <t>1401 MEADOWVILLE TECH PARKWAY</t>
  </si>
  <si>
    <t>37.36048</t>
  </si>
  <si>
    <t>-77.32741</t>
  </si>
  <si>
    <t>CHIRISA RICHMOND LLC</t>
  </si>
  <si>
    <t>242,042</t>
  </si>
  <si>
    <t>Formerly a Capital One data center - vacated and for sale</t>
  </si>
  <si>
    <t>https://www.chesterfield.gov/828/Real-Estate-Assessment-Data#/Details/823657720300000</t>
  </si>
  <si>
    <t>Project Peanut</t>
  </si>
  <si>
    <t>2700 Bermuda Hundred Road</t>
  </si>
  <si>
    <t>37.34457</t>
  </si>
  <si>
    <t>-77.30399</t>
  </si>
  <si>
    <t>https://www.datacenterdynamics.com/en/news/google-to-invest-9bn-in-virginia-data-centers-plans-new-campus-in-chesterfield-county/</t>
  </si>
  <si>
    <t>https://www.chesterfield.gov/828/Real-Estate-Assessment-Data#/Details/830651308400000</t>
  </si>
  <si>
    <t>16100 Branders Bridge Rd</t>
  </si>
  <si>
    <t>23831</t>
  </si>
  <si>
    <t>37.29442</t>
  </si>
  <si>
    <t>-77.453</t>
  </si>
  <si>
    <t>744</t>
  </si>
  <si>
    <t>https://www.wric.com/news/local-news/chesterfield-county/tract-withdraws-data-center-application-after-chesterfield-recommends-against-it/</t>
  </si>
  <si>
    <t>Virginia Information Technologies Agency</t>
  </si>
  <si>
    <t>11751 MEADOWVILLE LANE</t>
  </si>
  <si>
    <t>37.360416</t>
  </si>
  <si>
    <t>-77.33178</t>
  </si>
  <si>
    <t>SLK GLOBAL SOLUTIONS AMERICA</t>
  </si>
  <si>
    <t>192,195</t>
  </si>
  <si>
    <t>https://www.chesterfield.gov/828/Real-Estate-Assessment-Data#/Details/822656429800000</t>
  </si>
  <si>
    <t>Clarksville Data Center Campus</t>
  </si>
  <si>
    <t>Commerce Dr</t>
  </si>
  <si>
    <t>23927</t>
  </si>
  <si>
    <t>36.63564</t>
  </si>
  <si>
    <t>-78.5181</t>
  </si>
  <si>
    <t>259</t>
  </si>
  <si>
    <t>https://www.datacenterdynamics.com/en/news/microsoft-files-for-another-virginia-campus-in-mecklenburg-county/</t>
  </si>
  <si>
    <t>Culpeper</t>
  </si>
  <si>
    <t>22701</t>
  </si>
  <si>
    <t>38.466785</t>
  </si>
  <si>
    <t>-77.96353</t>
  </si>
  <si>
    <t>http://go.boarddocs.com/va/ccva/Board.nsf/goto?open&amp;id=CWBKLL525B17</t>
  </si>
  <si>
    <t>https://gis.vgsi.com/culpeperva/Parcel.aspx?pid=3148</t>
  </si>
  <si>
    <t>14521 MCDEVITT DR</t>
  </si>
  <si>
    <t>38.46164</t>
  </si>
  <si>
    <t>-77.977615</t>
  </si>
  <si>
    <t>https://www.culpeperva.org/properties/cloudhq-culpeper/#:~:text=CloudHQ%2C%20a%20global%20data%20center,of%20critical%20IT%20load%20power.</t>
  </si>
  <si>
    <t>https://gis.vgsi.com/culpeperva/Parcel.aspx?pid=21853</t>
  </si>
  <si>
    <t>Copper Ridge</t>
  </si>
  <si>
    <t>Corner of E. Chandler and McDevitt Drive</t>
  </si>
  <si>
    <t>38.465294</t>
  </si>
  <si>
    <t>-77.98739</t>
  </si>
  <si>
    <t>117</t>
  </si>
  <si>
    <t>https://datacenterdynamics.com/en/news/amazon-granted-rezoning-approval-for-data-centers-in-culpeper-county-virginia/</t>
  </si>
  <si>
    <t>https://gis.vgsi.com/culpeperva/Parcel.aspx?pid=10698</t>
  </si>
  <si>
    <t xml:space="preserve">Culpeper Data Center </t>
  </si>
  <si>
    <t>Nalles Mill Rd</t>
  </si>
  <si>
    <t>38.47151</t>
  </si>
  <si>
    <t>-77.9693</t>
  </si>
  <si>
    <t>215-432</t>
  </si>
  <si>
    <t>$18.75 million</t>
  </si>
  <si>
    <t>https://cieloinfra.com/insight/edgecore-acquires-cielo-data-center-project-in-culpeper-for-undisclosed-amount/</t>
  </si>
  <si>
    <t>Culpeper Technology Campus</t>
  </si>
  <si>
    <t>Corner of Germanna HWY and McDevitt Drive</t>
  </si>
  <si>
    <t>38.46024</t>
  </si>
  <si>
    <t>-77.98773</t>
  </si>
  <si>
    <t>https://www.bisnow.com/national/news/data-center/peterson-companies-developing-2m-sf-data-center-campus-in-northern-virginia-119735</t>
  </si>
  <si>
    <t>https://gis.vgsi.com/culpeperva/Parcel.aspx?pid=19739</t>
  </si>
  <si>
    <t>14601 GERMANNA HWY</t>
  </si>
  <si>
    <t>38.44996</t>
  </si>
  <si>
    <t>-77.97819</t>
  </si>
  <si>
    <t>1,299,804</t>
  </si>
  <si>
    <t>http://go.boarddocs.com/va/ccva/Board.nsf/goto?open&amp;id=BD5H3G466E8A</t>
  </si>
  <si>
    <t>https://gis.vgsi.com/culpeperva/Parcel.aspx?pid=11743</t>
  </si>
  <si>
    <t>18155 Technology Dr</t>
  </si>
  <si>
    <t>38.45487</t>
  </si>
  <si>
    <t>-77.9783</t>
  </si>
  <si>
    <t>370,000</t>
  </si>
  <si>
    <t>https://gis.vgsi.com/culpeperva/Parcel.aspx?pid=10680</t>
  </si>
  <si>
    <t>Keyser Farm</t>
  </si>
  <si>
    <t>15140 KEYSER RD</t>
  </si>
  <si>
    <t>38.46971</t>
  </si>
  <si>
    <t>-77.973755</t>
  </si>
  <si>
    <t>1,506,582</t>
  </si>
  <si>
    <t>application has been filed with the county</t>
  </si>
  <si>
    <t>https://gis.vgsi.com/culpeperva/Parcel.aspx?pid=6279</t>
  </si>
  <si>
    <t>SWIFT</t>
  </si>
  <si>
    <t>Corner of McDevitt Dr and Technology Drive</t>
  </si>
  <si>
    <t>38.45554</t>
  </si>
  <si>
    <t>-77.98348</t>
  </si>
  <si>
    <t>90,000</t>
  </si>
  <si>
    <t>https://gis.vgsi.com/culpeperva/Parcel.aspx?pid=9903</t>
  </si>
  <si>
    <t>XX Tech Park</t>
  </si>
  <si>
    <t>15170 HOFFMAN LN</t>
  </si>
  <si>
    <t>38.49927</t>
  </si>
  <si>
    <t>-77.8971</t>
  </si>
  <si>
    <t>4,638,704</t>
  </si>
  <si>
    <t>https://gis.vgsi.com/culpeperva/Parcel.aspx?pid=7077</t>
  </si>
  <si>
    <t>Greenfield</t>
  </si>
  <si>
    <t>INTERNATIONAL PKWY</t>
  </si>
  <si>
    <t>DALEVILLE</t>
  </si>
  <si>
    <t>24083</t>
  </si>
  <si>
    <t>Botetourt</t>
  </si>
  <si>
    <t>37.441696</t>
  </si>
  <si>
    <t>-79.9127</t>
  </si>
  <si>
    <t>312</t>
  </si>
  <si>
    <t>Land purchased from Botetourt Economic Development Authority</t>
  </si>
  <si>
    <t>https://www.datacenterdynamics.com/en/news/google-buys-land-for-data-center-in-botetourt-county-west-virginia/</t>
  </si>
  <si>
    <t>https://www.webgis.net/va/botetourtco/?id=Parcels|LINK|88(26)3</t>
  </si>
  <si>
    <t>07/09/2025</t>
  </si>
  <si>
    <t>Duffield Premier Data Center Site</t>
  </si>
  <si>
    <t>158 Advanced Technology Dr</t>
  </si>
  <si>
    <t>Duffield</t>
  </si>
  <si>
    <t>24244</t>
  </si>
  <si>
    <t>Scott</t>
  </si>
  <si>
    <t>36.712566</t>
  </si>
  <si>
    <t>-82.802505</t>
  </si>
  <si>
    <t>ONEPARTNER LLC</t>
  </si>
  <si>
    <t>9,200</t>
  </si>
  <si>
    <t>https://cloudandcolocation.com/datacenters/onepartner-duffield-data-center-atac/</t>
  </si>
  <si>
    <t>https://scottcova.interactivegis.com/jtf/10308</t>
  </si>
  <si>
    <t>Scott County Regional Business &amp; Technology Park</t>
  </si>
  <si>
    <t>372 Technology Trail Ln</t>
  </si>
  <si>
    <t>36.715855</t>
  </si>
  <si>
    <t>-82.80459</t>
  </si>
  <si>
    <t>SCOTT COUNTY INDUSTRIAL DEV.</t>
  </si>
  <si>
    <t>https://www.scottcountyva.com/188/Sites-Buildings</t>
  </si>
  <si>
    <t>https://scottcova.interactivegis.com/jtf/1112</t>
  </si>
  <si>
    <t>DIGITAL LOUDOUN IV</t>
  </si>
  <si>
    <t>22125 BRODERICK DR</t>
  </si>
  <si>
    <t>Dulles</t>
  </si>
  <si>
    <t>39.005142</t>
  </si>
  <si>
    <t>-77.451195</t>
  </si>
  <si>
    <t>DIGITAL LOUDOUN IV LLC</t>
  </si>
  <si>
    <t>800,702</t>
  </si>
  <si>
    <t>https://reparcelasmt.loudoun.gov/pt/datalets/datalet.aspx?mode=profileall&amp;UseSearch=no&amp;pin=044370416000&amp;jur=107&amp;taxyr=2024&amp;LMparent=20</t>
  </si>
  <si>
    <t>Fadeley Campus</t>
  </si>
  <si>
    <t>42949 FADELEY LN</t>
  </si>
  <si>
    <t>38.948956</t>
  </si>
  <si>
    <t>-77.52148</t>
  </si>
  <si>
    <t>695,321</t>
  </si>
  <si>
    <t>https://reparcelasmt.loudoun.gov/pt/datalets/datalet.aspx?mode=profileall&amp;UseSearch=no&amp;pin=162392026000&amp;jur=107&amp;taxyr=2024&amp;LMparent=20</t>
  </si>
  <si>
    <t>Farah-Naples Data Center</t>
  </si>
  <si>
    <t>Loudoun County Parkway and Old Ox Road</t>
  </si>
  <si>
    <t>38.95731</t>
  </si>
  <si>
    <t>-77.51306</t>
  </si>
  <si>
    <t>https://loudouncountyvaeg.tylerhost.net/prod/selfservice#/plan/67e8f7f1-74de-4d91-8514-f6be79d00e61?tab=locations</t>
  </si>
  <si>
    <t>https://reparcelasmt.loudoun.gov/pt/Datalets/Datalet.aspx?UseSearch=no&amp;mode=profileall&amp;pin=124256520000&amp;jur=107&amp;taxyr=2025</t>
  </si>
  <si>
    <t>IAD44</t>
  </si>
  <si>
    <t>43704 EFFICIENCY DR</t>
  </si>
  <si>
    <t>38.96118</t>
  </si>
  <si>
    <t>-77.490524</t>
  </si>
  <si>
    <t>784,204</t>
  </si>
  <si>
    <t>DIGITAL WL 2834 LLC &amp; DIGITAL WL 5459 LLC, Phase 1 and 2</t>
  </si>
  <si>
    <t>https://reparcelasmt.loudoun.gov/pt/Datalets/Datalet.aspx?mode=commercial&amp;UseSearch=no&amp;pin=093365404003&amp;jur=107&amp;taxyr=2025&amp;card=1&amp;item=0&amp;State=2|1|1|1|1|&amp;items=4</t>
  </si>
  <si>
    <t>Northwoods Property</t>
  </si>
  <si>
    <t>43649 LIGHT SPEED PLZ</t>
  </si>
  <si>
    <t>38.980717</t>
  </si>
  <si>
    <t>-77.49382</t>
  </si>
  <si>
    <t>263,340</t>
  </si>
  <si>
    <t>Four buildings, building A is complete and has been removed from the square footage. This parcel may be divided in the future. Expansions total 755,090 sq ft</t>
  </si>
  <si>
    <t>https://loudouncountyvaeg.tylerhost.net/prod/selfservice#/plan/3399a93f-9e75-48d2-a377-ecd0d9be35c1?tab=attachments</t>
  </si>
  <si>
    <t>https://reparcelasmt.loudoun.gov/pt/datalets/datalet.aspx?mode=commercial&amp;UseSearch=no&amp;pin=122207249000&amp;jur=107&amp;taxyr=2025&amp;LMparent=20</t>
  </si>
  <si>
    <t>SENTINEL ASHBURN II</t>
  </si>
  <si>
    <t>22262 CLOUD PLZ</t>
  </si>
  <si>
    <t>39.000603</t>
  </si>
  <si>
    <t>-77.43986</t>
  </si>
  <si>
    <t>GI TC LOUDOUN LLC</t>
  </si>
  <si>
    <t>234,100</t>
  </si>
  <si>
    <t>https://reparcelasmt.loudoun.gov/pt/datalets/datalet.aspx?mode=profileall&amp;UseSearch=no&amp;pin=044282013000&amp;jur=107&amp;taxyr=2024&amp;LMparent=20</t>
  </si>
  <si>
    <t>WATERSIDE AWS</t>
  </si>
  <si>
    <t>22900 PLATFORM PLZ</t>
  </si>
  <si>
    <t>38.98125</t>
  </si>
  <si>
    <t>-77.41793</t>
  </si>
  <si>
    <t>WATERSIDE I LLC</t>
  </si>
  <si>
    <t>976,046</t>
  </si>
  <si>
    <t>https://reparcelasmt.loudoun.gov/pt/datalets/datalet.aspx?mode=profileall&amp;UseSearch=no&amp;pin=034385918000&amp;jur=107&amp;taxyr=2024&amp;LMparent=20</t>
  </si>
  <si>
    <t>WHEELER SURVEY COMPANY</t>
  </si>
  <si>
    <t>24400 HOWLING ROOSTER LN</t>
  </si>
  <si>
    <t>38.942364</t>
  </si>
  <si>
    <t>-77.52864</t>
  </si>
  <si>
    <t>WHEELER SURVEY COMPANY LLC</t>
  </si>
  <si>
    <t>538,565</t>
  </si>
  <si>
    <t>Phase 1 and 2, Phase 3 353,385 sq ft expansion proposed</t>
  </si>
  <si>
    <t>https://loudouncountyvaeg.tylerhost.net/prod/selfservice#/plan/ceb6d3e2-f4d6-4a2f-a791-50cd5a6d03f3?tab=attachments</t>
  </si>
  <si>
    <t>https://reparcelasmt.loudoun.gov/pt/datalets/datalet.aspx?mode=profileall&amp;UseSearch=no&amp;pin=162176713000&amp;jur=107&amp;taxyr=2024&amp;LMparent=20</t>
  </si>
  <si>
    <t>Mid-Atlantic Advanced Manufacturing Center</t>
  </si>
  <si>
    <t>1781 Greensville County Cir</t>
  </si>
  <si>
    <t>23847</t>
  </si>
  <si>
    <t>Greensville</t>
  </si>
  <si>
    <t>36.736736</t>
  </si>
  <si>
    <t>-77.514694</t>
  </si>
  <si>
    <t>Arup Americas Inc</t>
  </si>
  <si>
    <t>930</t>
  </si>
  <si>
    <t>https://www.emporiaindependentmessenger.com/news/article_abbc9ab2-bd41-11ef-8e28-537ccf81ce7b.html</t>
  </si>
  <si>
    <t>https://www.webgis.net/va/greensville/?op=id&amp;id=1|parcels|MAP_PIN|21-97E</t>
  </si>
  <si>
    <t>12/19/2024</t>
  </si>
  <si>
    <t>BIT HOLDINGS FIFTY-FOUR</t>
  </si>
  <si>
    <t>12902 FEDERAL SYSTEMS PARK DR</t>
  </si>
  <si>
    <t>22033</t>
  </si>
  <si>
    <t>38.860844</t>
  </si>
  <si>
    <t>-77.39341</t>
  </si>
  <si>
    <t>BIT HOLDINGS FIFTY-FOUR INC</t>
  </si>
  <si>
    <t>338,364</t>
  </si>
  <si>
    <t>https://icare.fairfaxcounty.gov/ffxcare/Datalets/Datalet.aspx?mode=&amp;UseSearch=no&amp;pin=0552%2001%20%200019&amp;jur=129&amp;taxyr=2025</t>
  </si>
  <si>
    <t>COPT STONECROFT</t>
  </si>
  <si>
    <t>4850 STONECROFT BLVD</t>
  </si>
  <si>
    <t>38.876263</t>
  </si>
  <si>
    <t>-77.46178</t>
  </si>
  <si>
    <t>COPT STONECROFT LLC</t>
  </si>
  <si>
    <t>320,330</t>
  </si>
  <si>
    <t>square footage may be underrepresented</t>
  </si>
  <si>
    <t>https://icare.fairfaxcounty.gov/ffxcare/datalets/datalet.aspx?mode=profileall&amp;UseSearch=no&amp;pin=0432%2002%20%200039C&amp;jur=129&amp;taxyr=2025&amp;LMparent=138</t>
  </si>
  <si>
    <t>8132 US-29</t>
  </si>
  <si>
    <t>Falls Church</t>
  </si>
  <si>
    <t>22042</t>
  </si>
  <si>
    <t>38.846428</t>
  </si>
  <si>
    <t>-77.36562</t>
  </si>
  <si>
    <t>Black Chamber Partners, LLC</t>
  </si>
  <si>
    <t>https://www.princewilliamtimes.com/news/breaking-popular-merrifield-garden-center-to-close-after-selling-for-data-centers/article_38bbb8b7-f9d4-47d6-90b2-1cb26e9a81b8.html</t>
  </si>
  <si>
    <t>Northrop Grumman Systems Corporation</t>
  </si>
  <si>
    <t>7555 COLSHIRE DR</t>
  </si>
  <si>
    <t>38.92188</t>
  </si>
  <si>
    <t>-77.20684</t>
  </si>
  <si>
    <t>NORTHROP GRUMMAN SYSTEMS CORP</t>
  </si>
  <si>
    <t>602,257</t>
  </si>
  <si>
    <t>https://icare.fairfaxcounty.gov/ffxcare/Datalets/Datalet.aspx?mode=&amp;UseSearch=no&amp;pin=0303%2028%20%20%20%20%20%20C2&amp;jur=129&amp;taxyr=2025</t>
  </si>
  <si>
    <t>Northrop Grummon Systems Corporation</t>
  </si>
  <si>
    <t>2980 FAIRVIEW PARK DR</t>
  </si>
  <si>
    <t>38.867813</t>
  </si>
  <si>
    <t>-77.21562</t>
  </si>
  <si>
    <t>358,898</t>
  </si>
  <si>
    <t>https://icare.fairfaxcounty.gov/ffxcare/Datalets/Datalet.aspx?mode=&amp;UseSearch=no&amp;pin=0494%2013%20%200013&amp;jur=129&amp;taxyr=2025</t>
  </si>
  <si>
    <t>Heartland Innovative Technology (HIT) Park</t>
  </si>
  <si>
    <t>230 KELLY LANE</t>
  </si>
  <si>
    <t>Farmville</t>
  </si>
  <si>
    <t>23901</t>
  </si>
  <si>
    <t>Prince Edward</t>
  </si>
  <si>
    <t>37.288517</t>
  </si>
  <si>
    <t>-78.35012</t>
  </si>
  <si>
    <t>Prince Edward County Industrial Development Authority</t>
  </si>
  <si>
    <t>https://www.co.prince-edward.va.us/economic-development/heartland-innovative-technology-park-210</t>
  </si>
  <si>
    <t>https://epayments.co.prince-edward.va.us/applications/txapps/VPCindex.htm</t>
  </si>
  <si>
    <t>Amazon Data Services</t>
  </si>
  <si>
    <t>4049 Massaponax Church Rd,</t>
  </si>
  <si>
    <t>Fredericksburg</t>
  </si>
  <si>
    <t>22408</t>
  </si>
  <si>
    <t>Spotsylvania</t>
  </si>
  <si>
    <t>38.19853</t>
  </si>
  <si>
    <t>-77.475</t>
  </si>
  <si>
    <t>https://www.datacenterdynamics.com/en/news/10m-sq-ft-amazon-files-for-four-data-center-campuses-in-virginias-spotsylvania-and-caroline-counties/</t>
  </si>
  <si>
    <t>Amazon Data Services: Carter's Store Tech Campus</t>
  </si>
  <si>
    <t>8432 Flippo Dr</t>
  </si>
  <si>
    <t>38.191605</t>
  </si>
  <si>
    <t>-77.47005</t>
  </si>
  <si>
    <t>2035</t>
  </si>
  <si>
    <t>Amazon Data Services: Cosner Tech Campus</t>
  </si>
  <si>
    <t>4049 Massaponax Church Rd</t>
  </si>
  <si>
    <t>38.198624</t>
  </si>
  <si>
    <t>-77.47505</t>
  </si>
  <si>
    <t>Blaisdell Property Data Center</t>
  </si>
  <si>
    <t>Old Forge Drive</t>
  </si>
  <si>
    <t>22405</t>
  </si>
  <si>
    <t>38.33172</t>
  </si>
  <si>
    <t>-77.48733</t>
  </si>
  <si>
    <t>1,480,000</t>
  </si>
  <si>
    <t>https://www.fxbgadvance.com/p/data-center-proposed-in-historic</t>
  </si>
  <si>
    <t>https://va-stafford-assessor.publicaccessnow.com/PropertySearch/PropertyDetails.aspx?p=53%20%20%20%20%20%20%20%20%201M&amp;a=31432</t>
  </si>
  <si>
    <t>04/28/2025</t>
  </si>
  <si>
    <t>Carter's Store Tech Campus</t>
  </si>
  <si>
    <t>38.18951</t>
  </si>
  <si>
    <t>https://www.datacenterfrontier.com/cloud/article/33006046/amazon-plans-major-data-center-expansion-in-virginias-spotsylvania-county</t>
  </si>
  <si>
    <t>Cosner Tech Campus</t>
  </si>
  <si>
    <t>4049 Massaponax Church Road</t>
  </si>
  <si>
    <t>38.209717</t>
  </si>
  <si>
    <t>-77.48423</t>
  </si>
  <si>
    <t>Cranes Corner Data Center</t>
  </si>
  <si>
    <t>east of U.S. 1 and about 1,400 feet north of the Centreport Parkway intersection</t>
  </si>
  <si>
    <t>38.371296</t>
  </si>
  <si>
    <t>-77.45144</t>
  </si>
  <si>
    <t>This project covers multiple parcels. The total acreage has been represented here. May have a connection to Enron Road</t>
  </si>
  <si>
    <t>https://www.fredericksburgfreepress.com/2025/01/22/biz-beat-roundup-more-data-centers-proposed-in-stafford/</t>
  </si>
  <si>
    <t>https://va-stafford-assessor.publicaccessnow.com/PropertySearch/PropertyDetails.aspx?p=46%20%20%20%20%20%20%20%2010&amp;a=29012</t>
  </si>
  <si>
    <t>Enon Road Technologies</t>
  </si>
  <si>
    <t>south of Enon Road near the intersection with Wyatt Lane</t>
  </si>
  <si>
    <t>22406</t>
  </si>
  <si>
    <t>38.36789</t>
  </si>
  <si>
    <t>-77.47358</t>
  </si>
  <si>
    <t>https://va-stafford-assessor.publicaccessnow.com/PropertySearch/PropertyDetails.aspx?p=45%20%20%20%20%20%20%20227&amp;a=27932</t>
  </si>
  <si>
    <t>Forest Lane Data Center</t>
  </si>
  <si>
    <t>Between Caisson Rd and Kings Hwy</t>
  </si>
  <si>
    <t>38.26742</t>
  </si>
  <si>
    <t>-77.3867</t>
  </si>
  <si>
    <t>7,068,000</t>
  </si>
  <si>
    <t>850</t>
  </si>
  <si>
    <t>This project covers multiple parcels. The total acreage has been represented here. Previously zoned for residential development</t>
  </si>
  <si>
    <t>https://www.datacenterdynamics.com/en/news/data-center-proposed-for-850-acres-of-land-in-stafford-county-virginia/</t>
  </si>
  <si>
    <t>https://app.sharebase.com/#/folder/45768/share/528-njPyo32MePFy87Z5AbBoo0pC540</t>
  </si>
  <si>
    <t>https://va-stafford-assessor.publicaccessnow.com/PropertySearch/PropertyDetails.aspx?p=59%20%20%20%20%20%20%20%2070&amp;a=39515</t>
  </si>
  <si>
    <t>George Washington Village Data Center</t>
  </si>
  <si>
    <t>Courthouse Rd/Interstate 95, Hartwood District</t>
  </si>
  <si>
    <t>38.40892</t>
  </si>
  <si>
    <t>-77.44693</t>
  </si>
  <si>
    <t>7,900,000</t>
  </si>
  <si>
    <t>1042</t>
  </si>
  <si>
    <t>https://cdn.staffordcountyva.gov/Planning%20and%20Zoning/Development%20Review%20Meetings-Applications/December%202024/GWV%20Data%20Center%20CUP/3-%20Impact%20Statement%20(10-15-24)%20-%20GWV%20Data%20Center.pdf</t>
  </si>
  <si>
    <t>https://va-stafford-assessor.publicaccessnow.com/PropertySearch/PropertyDetails.aspx?p=38%20%20%20%20%20%20%20%2070&amp;a=23902</t>
  </si>
  <si>
    <t>Hunters Ridge LLC Data Center</t>
  </si>
  <si>
    <t>4110 Overview Dr</t>
  </si>
  <si>
    <t>38.22135</t>
  </si>
  <si>
    <t>-77.47741</t>
  </si>
  <si>
    <t>2-8</t>
  </si>
  <si>
    <t>Hunter's Ridge South</t>
  </si>
  <si>
    <t>Industrial and Fleet Dr</t>
  </si>
  <si>
    <t>22580</t>
  </si>
  <si>
    <t>38.12168</t>
  </si>
  <si>
    <t>-77.504196</t>
  </si>
  <si>
    <t>AREP SOF III HRS LLC C/O AMERICAN REAL ESTATE PARTNERS, LLC</t>
  </si>
  <si>
    <t>2,549,131</t>
  </si>
  <si>
    <t>https://www.spotsylvania.va.us/DocumentCenter/View/29414/Proffer-Statement-</t>
  </si>
  <si>
    <t>https://gis.spotsylvania.va.us/spotsylvania/#/mwl?zoom=16&amp;location=-77.475132_38.214893</t>
  </si>
  <si>
    <t>Hunters Ridge South Data Center (Amazon Data Services)</t>
  </si>
  <si>
    <t>9300 Cosner Dr</t>
  </si>
  <si>
    <t>22401</t>
  </si>
  <si>
    <t>38.21137</t>
  </si>
  <si>
    <t>-77.4848</t>
  </si>
  <si>
    <t>https://www.fredericksburgfreepress.com/2025/08/27/spotsylvania-board-of-supervisors-approve-potential-2-2-million-square-foot-data-center-campus/</t>
  </si>
  <si>
    <t>NEON AT CELEBRATE VIRGINIA SOUTH</t>
  </si>
  <si>
    <t>3050 GORDON W SHELTON</t>
  </si>
  <si>
    <t>38.318707</t>
  </si>
  <si>
    <t>-77.51735</t>
  </si>
  <si>
    <t>No square footage, but 8-12 building anticipated. This project covers multiple parcels. The total acreage has been represented here.</t>
  </si>
  <si>
    <t>https://www.datacenterdynamics.com/en/news/stack-infrastructure-files-for-10bn-data-center-in-fredericksburg-virginia/</t>
  </si>
  <si>
    <t>https://maps.fredericksburgva.gov/ParcelViewer/#/mwl?zoom=16&amp;location=-77.515419_38.317444</t>
  </si>
  <si>
    <t>Oasis Data Center</t>
  </si>
  <si>
    <t>Dahlgren West, north side of James Madison Parkway</t>
  </si>
  <si>
    <t>38.30967</t>
  </si>
  <si>
    <t>-77.1084</t>
  </si>
  <si>
    <t>6,800,000</t>
  </si>
  <si>
    <t>485</t>
  </si>
  <si>
    <t>https://dahlgrenwest.com/</t>
  </si>
  <si>
    <t>https://www.datacenterdynamics.com/en/news/oasis-digital-properties-gets-greenlight-for-12gw-data-center-in-king-george-county-virginia/</t>
  </si>
  <si>
    <t>1500 Gateway Boulevard</t>
  </si>
  <si>
    <t>38.29463</t>
  </si>
  <si>
    <t>-77.5023</t>
  </si>
  <si>
    <t>https://www.datacenterdynamics.com/en/news/data-center-campus-recommended-for-disapproval-by-fredericksburg-planning-commission/</t>
  </si>
  <si>
    <t>PowerHouse95</t>
  </si>
  <si>
    <t>0 Overview DR</t>
  </si>
  <si>
    <t>38.222046</t>
  </si>
  <si>
    <t>-77.4771</t>
  </si>
  <si>
    <t>https://www.datacenterdynamics.com/en/news/powerhouse-plans-800mw-campus-in-virginias-spotsylvania-county/</t>
  </si>
  <si>
    <t>https://gis.spotsylvania.va.us/spotsylvania/#/mwl?zoom=15&amp;location=-77.473518_38.223581</t>
  </si>
  <si>
    <t>https://www.datacenterdynamics.com/en/news/powerhouse-files-to-develop-second-phase-of-spotsylvania-data-center-campus-in-virginia/</t>
  </si>
  <si>
    <t>https://www.nao.usace.army.mil/Media/Public-Notices/Article/4391426/nao-2021-03032-powerhouse95-data-center-phase-ii-spotsylvania-county-virginia/</t>
  </si>
  <si>
    <t>Sisson North</t>
  </si>
  <si>
    <t>1301 KINGS HWY</t>
  </si>
  <si>
    <t>38.25873</t>
  </si>
  <si>
    <t>-77.38705</t>
  </si>
  <si>
    <t>1,140,000</t>
  </si>
  <si>
    <t>This project covers multiple parcels. The total acreage has been represented here. Potentially tied to the Forest Lane Data Center</t>
  </si>
  <si>
    <t>https://app.sharebase.com/#/folder/25961/share/528-yQozqmn5XpbUDzV-NPVaxs9--JIo</t>
  </si>
  <si>
    <t>https://va-stafford-assessor.publicaccessnow.com/PropertySearch/PropertyDetails.aspx?p=59%20%20%20%20%20%20%20%2075D&amp;a=58576</t>
  </si>
  <si>
    <t>Stack Infrastructure Data Center</t>
  </si>
  <si>
    <t>Hilton Dr</t>
  </si>
  <si>
    <t>38.31828</t>
  </si>
  <si>
    <t>-77.5166</t>
  </si>
  <si>
    <t>Summit Crossing (Amazon)</t>
  </si>
  <si>
    <t>~3001 Summit Crossing Rd</t>
  </si>
  <si>
    <t>38.19338</t>
  </si>
  <si>
    <t>-77.43845</t>
  </si>
  <si>
    <t>231</t>
  </si>
  <si>
    <t>https://baxtel.com/data-center/amazon-summit-crossing-tech-campus</t>
  </si>
  <si>
    <t>Summit Crossing Tech Campus</t>
  </si>
  <si>
    <t>Summit Crossing Road</t>
  </si>
  <si>
    <t>38.188473</t>
  </si>
  <si>
    <t>-77.44053</t>
  </si>
  <si>
    <t>https://gis.spotsylvania.va.us/spotsylvania/#/mwl?zoom=15&amp;location=-77.432007_38.188576</t>
  </si>
  <si>
    <t>Summit Technology Park</t>
  </si>
  <si>
    <t>2901 Summit Crossing RD</t>
  </si>
  <si>
    <t>38.19514</t>
  </si>
  <si>
    <t>-77.43207</t>
  </si>
  <si>
    <t>https://www.spotsylvania.va.us/DocumentCenter/View/33280/1st-Submission-Narrative-22125</t>
  </si>
  <si>
    <t>https://gis.spotsylvania.va.us/spotsylvania/#/mwl?zoom=16&amp;location=-77.428204_38.194825</t>
  </si>
  <si>
    <t>225 Centreport Parkway</t>
  </si>
  <si>
    <t>38.39153</t>
  </si>
  <si>
    <t>-77.46516</t>
  </si>
  <si>
    <t>https://vantage-dc.com/company/contact-us/</t>
  </si>
  <si>
    <t>COPT DC 19 LLC</t>
  </si>
  <si>
    <t>8170 BETHLEHEM RD</t>
  </si>
  <si>
    <t>20155</t>
  </si>
  <si>
    <t>38.779423</t>
  </si>
  <si>
    <t>-77.54248</t>
  </si>
  <si>
    <t>719,742</t>
  </si>
  <si>
    <t>https://pwc.publicaccessnow.com/PropertyDetail.aspx?mpropertynumber=091439&amp;mtab=property&amp;p=091439</t>
  </si>
  <si>
    <t>Gainesville Crossing Data Campus</t>
  </si>
  <si>
    <t>13700 UNIVERSITY BLVD</t>
  </si>
  <si>
    <t>38.801327</t>
  </si>
  <si>
    <t>-77.5803</t>
  </si>
  <si>
    <t>CORSCALE</t>
  </si>
  <si>
    <t>306</t>
  </si>
  <si>
    <t>1,817,777</t>
  </si>
  <si>
    <t>This project covers multiple parcels. Proposed 482223 sq ft expansion</t>
  </si>
  <si>
    <t>https://corscale.com/gainesville-crossing-data-center/</t>
  </si>
  <si>
    <t>https://pwc.publicaccessnow.com/PropertyDetail.aspx?mtab=property&amp;mpropertynumber=265831</t>
  </si>
  <si>
    <t>02/10/2025</t>
  </si>
  <si>
    <t>Gainsville East</t>
  </si>
  <si>
    <t>5945 WELLINGTON RD</t>
  </si>
  <si>
    <t>38.790676</t>
  </si>
  <si>
    <t>-77.587975</t>
  </si>
  <si>
    <t>https://www.datacenterdynamics.com/en/news/aws-qts-and-jk-land-holdings-planning-data-center-developments-in-virginias-prince-william-county/</t>
  </si>
  <si>
    <t>https://pwc.publicaccessnow.com/PropertyDetail.aspx?mtab=property&amp;mpropertynumber=264261</t>
  </si>
  <si>
    <t>Gardner Property</t>
  </si>
  <si>
    <t>14414 MCGRAWS CORNER</t>
  </si>
  <si>
    <t>38.7958</t>
  </si>
  <si>
    <t>-77.62219</t>
  </si>
  <si>
    <t>1,787,266</t>
  </si>
  <si>
    <t>://egcss.pwcgov.org/SelfSerhttpsvice#/plan/54197449-7161-4168-861a-d85676a180a3</t>
  </si>
  <si>
    <t>https://pwc.publicaccessnow.com/PropertyDetail.aspx?mpropertynumber=252670&amp;mtab=property&amp;p=252670</t>
  </si>
  <si>
    <t>GCDC PURCHASER PHASE 1 LLC</t>
  </si>
  <si>
    <t>13760 UNIVERSITY BLVD</t>
  </si>
  <si>
    <t>20109</t>
  </si>
  <si>
    <t>38.802406</t>
  </si>
  <si>
    <t>-77.58256</t>
  </si>
  <si>
    <t>482,223</t>
  </si>
  <si>
    <t>https://pwc.publicaccessnow.com/PropertyDetail.aspx?mpropertynumber=026368&amp;mtab=property&amp;p=026368</t>
  </si>
  <si>
    <t>I-66 and Route 29 Technology Park</t>
  </si>
  <si>
    <t>14300 JOHN MARSHALL HWY</t>
  </si>
  <si>
    <t>38.8008</t>
  </si>
  <si>
    <t>-77.61256</t>
  </si>
  <si>
    <t>2,957,680</t>
  </si>
  <si>
    <t>https://www.datacenterdynamics.com/en/news/data-center-granted-rezoning-and-special-use-permission-in-prince-william-county-virginia/</t>
  </si>
  <si>
    <t>https://pwc.publicaccessnow.com/PropertyDetail.aspx?mtab=property&amp;mpropertynumber=013273</t>
  </si>
  <si>
    <t>John Marshall CommonsTech Park</t>
  </si>
  <si>
    <t>14392 JOHN MARSHALL HWY</t>
  </si>
  <si>
    <t>38.803947</t>
  </si>
  <si>
    <t>-77.61687</t>
  </si>
  <si>
    <t>CTP-1 LLC</t>
  </si>
  <si>
    <t>530,000</t>
  </si>
  <si>
    <t>https://egcss.pwcgov.org/SelfService#/plan/823a2554-aa0a-47c1-8c5f-010ff3d947ce</t>
  </si>
  <si>
    <t>https://pwc.publicaccessnow.com/PropertyDetail.aspx?mpropertynumber=114169&amp;mtab=property&amp;p=114169</t>
  </si>
  <si>
    <t xml:space="preserve"> 7253 Grove Hill Blvd</t>
  </si>
  <si>
    <t>38.800114</t>
  </si>
  <si>
    <t>-77.60961</t>
  </si>
  <si>
    <t>https://www.datacenterdynamics.com/en/news/ntt-secures-four-data-center-leases-in-us-totaling-115mw/</t>
  </si>
  <si>
    <t>PORPOISE VENTURES LLC (Digital Realty Trust)</t>
  </si>
  <si>
    <t>8217 LINTON HALL RD</t>
  </si>
  <si>
    <t>38.778057</t>
  </si>
  <si>
    <t>-77.59468</t>
  </si>
  <si>
    <t>227,465</t>
  </si>
  <si>
    <t>https://pwc.publicaccessnow.com/PropertyDetail.aspx?mpropertynumber=204354&amp;mtab=property&amp;p=204354</t>
  </si>
  <si>
    <t>Prince William Digital Gateway</t>
  </si>
  <si>
    <t>Pageland Ln</t>
  </si>
  <si>
    <t>38.82437</t>
  </si>
  <si>
    <t>-77.56874</t>
  </si>
  <si>
    <t>Compass, QTS Data Centers</t>
  </si>
  <si>
    <t>22,000,000</t>
  </si>
  <si>
    <t>1760</t>
  </si>
  <si>
    <t>The Prince William Digital Gateway data center project has been halted by the Virginia Court of Appeals, which upheld a lower court ruling that Prince William County violated public notice requirements when it approved the rezoning in 2023. The county Board of Supervisors voted unanimously in April 2026 to withdraw from further appeals.</t>
  </si>
  <si>
    <t>https://egcss.pwcgov.org/SelfService#/plan/b0fcafed-a7f4-4ea1-8f83-e71a94ebf4f9?tab=attachments</t>
  </si>
  <si>
    <t>https://www.pecva.org/resources/press/pec-statement-on-prince-william-digital-gateway-latest-legal-win</t>
  </si>
  <si>
    <t>https://www.potomaclocal.com/2026/03/31/digital-gateway-projects-halted-court-rules-oak-valley-rezonings-invalid-in-major-resident-victory</t>
  </si>
  <si>
    <t>https://www.fauquiernow.com/news/business/digital-gateway-alert-judges-rule-in-favor-of-prince-william-residents/article_bbc1fa3b-cfea-5a99-9498-6b82a4535201.html</t>
  </si>
  <si>
    <t>https://www.datacenterdynamics.com/en/news/officials-in-virginias-prince-william-county-drop-support-for-qtscompass-digital-gateway-data-center-project/?ms=emailcbzoom250715</t>
  </si>
  <si>
    <t>https://www.fox5dc.com/news/qts-drops-appeal-ending-plans-massive-prince-william-county-data-center</t>
  </si>
  <si>
    <t>07/03/2026</t>
  </si>
  <si>
    <t>University Business Park</t>
  </si>
  <si>
    <t>13490 UNIVERSITY BLVD</t>
  </si>
  <si>
    <t>38.79446</t>
  </si>
  <si>
    <t>-77.58242</t>
  </si>
  <si>
    <t>3,800,000</t>
  </si>
  <si>
    <t>https://egcss.pwcgov.org/SelfService#/plan/dba835c0-d92e-4f81-aca7-df3546eddf60</t>
  </si>
  <si>
    <t>https://pwc.publicaccessnow.com/PropertyDetail.aspx?mtab=property&amp;mpropertynumber=263077</t>
  </si>
  <si>
    <t>Village Place at Gainesville Technology Park</t>
  </si>
  <si>
    <t>14403 JOHN MARSHALL HWY</t>
  </si>
  <si>
    <t>38.801834</t>
  </si>
  <si>
    <t>-77.6206</t>
  </si>
  <si>
    <t>CTP-I LLC</t>
  </si>
  <si>
    <t>1,188,143</t>
  </si>
  <si>
    <t>https://www.datacenterdynamics.com/en/news/data-center-campus-gets-rezoning-approval-in-prince-william-county-virginia/</t>
  </si>
  <si>
    <t>https://pwc.publicaccessnow.com/PropertyDetail.aspx?mtab=property&amp;mpropertynumber=229695</t>
  </si>
  <si>
    <t>Cavalier Innsbrook Data Center</t>
  </si>
  <si>
    <t>4551 COX RD</t>
  </si>
  <si>
    <t>Glen Allen</t>
  </si>
  <si>
    <t>23060</t>
  </si>
  <si>
    <t>Henrico</t>
  </si>
  <si>
    <t>37.660877</t>
  </si>
  <si>
    <t>-77.57392</t>
  </si>
  <si>
    <t>HIGHWOODS PROP</t>
  </si>
  <si>
    <t>https://realestate.henrico.us/ords/cam/f?p=510101:5:::NO::P5_PARCEL_ID,P5_SEARCH_TYPE:750-765-9452,0</t>
  </si>
  <si>
    <t>Hunter Hawking Data Center</t>
  </si>
  <si>
    <t>15201 Ashland Rd</t>
  </si>
  <si>
    <t>23059</t>
  </si>
  <si>
    <t>37.71385</t>
  </si>
  <si>
    <t>-77.6231</t>
  </si>
  <si>
    <t>Public meetings drew hundreds of residents from Hanover, Henrico, and Goochland counties, with people raising concerns about noise, traffic, water use, and environmental impacts from the proposed 400-acre campus. The project eventually collapsed after the Hanover Planning Commission recommended denial and the developer withdrew the application in January 2026, following sustained public opposition.</t>
  </si>
  <si>
    <t>https://smartdevtaskforce.com/</t>
  </si>
  <si>
    <t>https://neighbors4change.com/</t>
  </si>
  <si>
    <t>https://www.wtvr.com/news/local-news/hanover-data-center-proposal-sept-8-2025</t>
  </si>
  <si>
    <t>https://shows.acast.com/the-richmond-daily-news-now/episodes/hunting-hawk-golf-course-to-become-data-center</t>
  </si>
  <si>
    <t>https://www.datacenterdynamics.com/en/news/900mw-data-center-campus-plan-withdrawn-in-hanover-county-virginia/</t>
  </si>
  <si>
    <t>Rt 33/ Mountain Rd/ Mountain Road Technology Park</t>
  </si>
  <si>
    <t>37.688793</t>
  </si>
  <si>
    <t>-77.54134</t>
  </si>
  <si>
    <t>https://www.facebook.com/people/Stop-Hanover-Data-Centers/61584663185622/</t>
  </si>
  <si>
    <t>https://www.datacenterdynamics.com/en/news/tracts-430-acre-data-center-rejected-by-local-officials-in-hanover-county-virginia/</t>
  </si>
  <si>
    <t>Unnamed Data Center</t>
  </si>
  <si>
    <t>6321 ROCKFORD SCH RD</t>
  </si>
  <si>
    <t>Gretna</t>
  </si>
  <si>
    <t>24557</t>
  </si>
  <si>
    <t>36.98035</t>
  </si>
  <si>
    <t>-79.35187</t>
  </si>
  <si>
    <t>BOLES, BRENDA ET ALS EAST, SHARON ET ALS BOLES, DOUGLAS ET ALS KELLEY, OTEY HARRIS III ET ALS KELLEY, CHARLES ET ALS</t>
  </si>
  <si>
    <t>2,280,801</t>
  </si>
  <si>
    <t>https://experience.arcgis.com/experience/72964533b5b14058835193306c7a33bc#data_s=id%3AdataSource_4-18e66caa3c0-layer-48%3A1299%2Cid%3Awidget_251_output_config_9%3A0&amp;widget_101=active_datasource_id:dataSource_4,center:-8833175.170597687%2C4436226.724131098%2C102100,scale:3328.2265114471415,rotation:0,viewpoint:%7B%22rotation%22%3A0%2C%22scale%22%3A3328.2265114471415%2C%22targetGeometry%22%3A%7B%22spatialReference%22%3A%7B%22latestWkid%22%3A3857%2C%22wkid%22%3A102100%7D%2C%22x%22%3A-8833175.170597687%2C%22y%22%3A4436226.724131098%7D%7D</t>
  </si>
  <si>
    <t>DBT Data Cyber Integration Center</t>
  </si>
  <si>
    <t>139 TYCO ST</t>
  </si>
  <si>
    <t>Harrisonburg</t>
  </si>
  <si>
    <t>22802</t>
  </si>
  <si>
    <t>38.462486</t>
  </si>
  <si>
    <t>-78.8568</t>
  </si>
  <si>
    <t>AC 139 TYCO STREET LLC</t>
  </si>
  <si>
    <t>95,500</t>
  </si>
  <si>
    <t>30,000 sq ft expansion</t>
  </si>
  <si>
    <t>https://gis.vgsi.com/HarrisonburgVAMap/</t>
  </si>
  <si>
    <t>AMAZON DATA SERVICES INC</t>
  </si>
  <si>
    <t>15435 JOHN MARSHALL HWY</t>
  </si>
  <si>
    <t>Haymarket</t>
  </si>
  <si>
    <t>20169</t>
  </si>
  <si>
    <t>38.815937</t>
  </si>
  <si>
    <t>-77.652245</t>
  </si>
  <si>
    <t>453,174</t>
  </si>
  <si>
    <t>https://pwc.publicaccessnow.com/PropertyDetail.aspx?mpropertynumber=014988&amp;mtab=property&amp;p=014988</t>
  </si>
  <si>
    <t>https://pwc.publicaccessnow.com/PropertyDetail.aspx?mtab=property&amp;mpropertynumber=014988</t>
  </si>
  <si>
    <t>DC 11 DE LLC (Amazon)</t>
  </si>
  <si>
    <t>15395 JOHN MARSHALL HWY</t>
  </si>
  <si>
    <t>38.815174</t>
  </si>
  <si>
    <t>-77.64868</t>
  </si>
  <si>
    <t>236,082</t>
  </si>
  <si>
    <t>https://pwc.publicaccessnow.com/PropertyDetail.aspx?mpropertynumber=211089&amp;mtab=property&amp;p=211089</t>
  </si>
  <si>
    <t>EdgeConneX Richmond - EDCRIC01</t>
  </si>
  <si>
    <t>1450 E PARHAM RD</t>
  </si>
  <si>
    <t>23228</t>
  </si>
  <si>
    <t>37.63892</t>
  </si>
  <si>
    <t>-77.46779</t>
  </si>
  <si>
    <t>NORTH RUN LH LLC</t>
  </si>
  <si>
    <t>17,888</t>
  </si>
  <si>
    <t>https://realestate.henrico.us/ords/cam/f?p=510101:5:::NO::P5_PARCEL_ID,P5_SEARCH_TYPE:781-757-7788,0</t>
  </si>
  <si>
    <t>Lumen Richmond 2</t>
  </si>
  <si>
    <t>8145 Staples Mill Road</t>
  </si>
  <si>
    <t>37.623894</t>
  </si>
  <si>
    <t>-77.50267</t>
  </si>
  <si>
    <t>LEVEL 3 COMMUNICATIONS LLC</t>
  </si>
  <si>
    <t>5,522</t>
  </si>
  <si>
    <t>https://realestate.henrico.us/ords/cam/f?p=510101:5:::NO::P5_PARCEL_ID,P5_SEARCH_TYPE:771-752-8623,0</t>
  </si>
  <si>
    <t>Tuckahoe Technology Park Data Centers</t>
  </si>
  <si>
    <t>between Hockett Rd and Hwy 288</t>
  </si>
  <si>
    <t>23238</t>
  </si>
  <si>
    <t>Goochland</t>
  </si>
  <si>
    <t>37.61871</t>
  </si>
  <si>
    <t>-77.680115</t>
  </si>
  <si>
    <t xml:space="preserve">Tract/ VALCO Goochland, LLC </t>
  </si>
  <si>
    <t>872</t>
  </si>
  <si>
    <t>Includes dedicated electrical substation</t>
  </si>
  <si>
    <t>https://www.goochlandva.us/1480/Tuckahoe-Technology-Park</t>
  </si>
  <si>
    <t>https://richmondbizsense.com/2026/06/11/tuckahoe-tech-park-data-center-campus-planned-on-900-acre-tract-in-goochland/</t>
  </si>
  <si>
    <t>Equinix DC 97</t>
  </si>
  <si>
    <t>460 SPRINGPARK PL</t>
  </si>
  <si>
    <t>Herndon</t>
  </si>
  <si>
    <t>20170</t>
  </si>
  <si>
    <t>38.96167</t>
  </si>
  <si>
    <t>-77.37743</t>
  </si>
  <si>
    <t>LDI PROPCO 2 LLC</t>
  </si>
  <si>
    <t>63,912</t>
  </si>
  <si>
    <t>https://icare.fairfaxcounty.gov/ffxcare/Datalets/Datalet.aspx?mode=&amp;UseSearch=no&amp;pin=0162%2054%20%200002&amp;jur=129&amp;taxyr=2025</t>
  </si>
  <si>
    <t>Renaissance Technology Park</t>
  </si>
  <si>
    <t>13850 PARK CENTER RD</t>
  </si>
  <si>
    <t>20171</t>
  </si>
  <si>
    <t>38.932446</t>
  </si>
  <si>
    <t>-77.42387</t>
  </si>
  <si>
    <t>RP INDUSTRIAL OWNER II LLC</t>
  </si>
  <si>
    <t>2,136,040</t>
  </si>
  <si>
    <t>https://icare.fairfaxcounty.gov/ffxcare/Datalets/Datalet.aspx?mode=&amp;UseSearch=no&amp;pin=0242%2014%20%200004&amp;jur=129&amp;taxyr=2025</t>
  </si>
  <si>
    <t>Hopewell Data Center</t>
  </si>
  <si>
    <t>701 S 6th Ave</t>
  </si>
  <si>
    <t>Hopewell</t>
  </si>
  <si>
    <t>23860</t>
  </si>
  <si>
    <t>Prince George</t>
  </si>
  <si>
    <t>37.2963</t>
  </si>
  <si>
    <t>-77.28919</t>
  </si>
  <si>
    <t>70,000</t>
  </si>
  <si>
    <t>https://www.datacenterdynamics.com/en/news/former-ethanol-plant-outside-richmond-virginia-eyed-for-20mw-data-center/</t>
  </si>
  <si>
    <t>DC-4</t>
  </si>
  <si>
    <t>10680 UNIVERSITY BLVD</t>
  </si>
  <si>
    <t>Innovation</t>
  </si>
  <si>
    <t>38.75263</t>
  </si>
  <si>
    <t>-77.5165</t>
  </si>
  <si>
    <t>QTS MANASSAS I DC4 LLC</t>
  </si>
  <si>
    <t>323,526</t>
  </si>
  <si>
    <t>https://egcss.pwcgov.org/SelfService#/project/323efe8c-4e6b-4a44-87b8-c7cd7e5487ba</t>
  </si>
  <si>
    <t>https://pwc.publicaccessnow.com/PropertyDetail.aspx?mtab=property&amp;mpropertynumber=248431</t>
  </si>
  <si>
    <t>5735 State Rte 653</t>
  </si>
  <si>
    <t>Kents Store</t>
  </si>
  <si>
    <t>23084</t>
  </si>
  <si>
    <t>37.88311</t>
  </si>
  <si>
    <t>-78.0388</t>
  </si>
  <si>
    <t>1100</t>
  </si>
  <si>
    <t>3,900,000</t>
  </si>
  <si>
    <t>Closed-loop, air-cooled</t>
  </si>
  <si>
    <t>https://www.datacenterdynamics.com/en/news/edgecore-to-develop-11gw-data-center-in-louisa-county-virginia/</t>
  </si>
  <si>
    <t>06/26/2025</t>
  </si>
  <si>
    <t>Birchwood AWS</t>
  </si>
  <si>
    <t>10900 BIRCHWOOD DR</t>
  </si>
  <si>
    <t>38.266403</t>
  </si>
  <si>
    <t>-77.317726</t>
  </si>
  <si>
    <t>7,250,000</t>
  </si>
  <si>
    <t>869</t>
  </si>
  <si>
    <t>Under litigation. Project covers more than one parcel, the acreage represents the combined acreage</t>
  </si>
  <si>
    <t>https://www.datacenterdynamics.com/en/news/virginias-king-george-county-looks-to-approve-75m-sq-ft-data-center-park-for-amazon/</t>
  </si>
  <si>
    <t>Dahlgren West</t>
  </si>
  <si>
    <t>west of the intersection of Route 301 and Route 616, just up the road from the Chestnut Hill Loop</t>
  </si>
  <si>
    <t>38.30985</t>
  </si>
  <si>
    <t>-77.11264</t>
  </si>
  <si>
    <t>9,000,000</t>
  </si>
  <si>
    <t>497</t>
  </si>
  <si>
    <t>https://www.datacenterdynamics.com/en/news/9-million-sq-ft-data-center-campus-proposed-in-virginias-king-george-county/</t>
  </si>
  <si>
    <t>Cochran Mill Road</t>
  </si>
  <si>
    <t>42277 COCHRAN MILL RD</t>
  </si>
  <si>
    <t>20175</t>
  </si>
  <si>
    <t>39.074635</t>
  </si>
  <si>
    <t>-77.51654</t>
  </si>
  <si>
    <t>811,129</t>
  </si>
  <si>
    <t>https://loudouncountyvaeg.tylerhost.net/prod/selfservice#/plan/308CC962-0022-4914-AE51-DC263552E62C?tab=attachments</t>
  </si>
  <si>
    <t>COMPASS DATACENTERS IAD I</t>
  </si>
  <si>
    <t>42247 THUNDERBALL DR</t>
  </si>
  <si>
    <t>39.04382</t>
  </si>
  <si>
    <t>-77.5376</t>
  </si>
  <si>
    <t>COMPASS DATACENTERS IAD I LLC</t>
  </si>
  <si>
    <t>551,029</t>
  </si>
  <si>
    <t>https://reparcelasmt.loudoun.gov/pt/datalets/datalet.aspx?mode=profileall&amp;UseSearch=no&amp;pin=194103673001&amp;jur=107&amp;taxyr=2024&amp;LMparent=20</t>
  </si>
  <si>
    <t>Cross Mill Center</t>
  </si>
  <si>
    <t>20040 SYCOLIN RD</t>
  </si>
  <si>
    <t>39.06295</t>
  </si>
  <si>
    <t>-77.550476</t>
  </si>
  <si>
    <t>Kuhn, Charles C/JK Holdings II LLC</t>
  </si>
  <si>
    <t>546,500</t>
  </si>
  <si>
    <t>https://loudouncountyvaeg.tylerhost.net/prod/selfservice#/plan/CD62CC69-C15B-4904-B924-014D7E4659E6</t>
  </si>
  <si>
    <t>https://reparcelasmt.loudoun.gov/pt/Datalets/Datalet.aspx?UseSearch=no&amp;mode=profileall&amp;pin=192163918000&amp;jur=107&amp;taxyr=2024</t>
  </si>
  <si>
    <t>Cross Mill Center Data Center</t>
  </si>
  <si>
    <t>Skycolin Rd</t>
  </si>
  <si>
    <t>39.06358</t>
  </si>
  <si>
    <t>-77.5522</t>
  </si>
  <si>
    <t>556,746</t>
  </si>
  <si>
    <t>https://www.loudounnow.com/news/supervisors-narrowly-approve-data-center-near-leesburg/article_3e355c29-4dbc-42df-bdb9-37d86f3013ad.html</t>
  </si>
  <si>
    <t>https://www.datacenterdynamics.com/en/news/proposal-for-data-center-in-leesburg-virginia-approved/</t>
  </si>
  <si>
    <t>Curata Partners Leesburg Data Center</t>
  </si>
  <si>
    <t>west side of Gulick Mill Road, south of Leesburg</t>
  </si>
  <si>
    <t>39.03693</t>
  </si>
  <si>
    <t>-77.56153</t>
  </si>
  <si>
    <t>Curata Partners</t>
  </si>
  <si>
    <t>87</t>
  </si>
  <si>
    <t>https://www.datacenterdynamics.com/en/news/two-building-data-center-campus-eyed-outside-leesburg-virginia/</t>
  </si>
  <si>
    <t>Greenlin Park</t>
  </si>
  <si>
    <t>41453 HOGELAND MILL RD</t>
  </si>
  <si>
    <t>39.056362</t>
  </si>
  <si>
    <t>-77.55221</t>
  </si>
  <si>
    <t>Charles S Kuhn/JK Landholdings II LLC</t>
  </si>
  <si>
    <t>3,702,600</t>
  </si>
  <si>
    <t>Rezoning does not cover the entire parcel</t>
  </si>
  <si>
    <t>https://loudouncountyvaeg.tylerhost.net/prod/selfservice#/plan/F4C18E37-B411-4D35-8027-7822DF69FCE9?tab=attachments</t>
  </si>
  <si>
    <t>https://reparcelasmt.loudoun.gov/pt/Datalets/Datalet.aspx?UseSearch=no&amp;mode=profileall&amp;pin=237395293000&amp;jur=107&amp;taxyr=2024</t>
  </si>
  <si>
    <t>HAYDEN TECHNOLOGIES</t>
  </si>
  <si>
    <t>20491 GOOSE LANDING LN</t>
  </si>
  <si>
    <t>39.051716</t>
  </si>
  <si>
    <t>-77.53956</t>
  </si>
  <si>
    <t>HAYDEN TECHNOLOGIES LLC</t>
  </si>
  <si>
    <t>563,584</t>
  </si>
  <si>
    <t>119</t>
  </si>
  <si>
    <t>Computer Center, 324,890 sq foot expansion called Project Aspen</t>
  </si>
  <si>
    <t>https://loudouncountyvaeg.tylerhost.net/prod/selfservice#/plan/e48043e8-fdbb-4e91-aa87-60d35cb71173?tab=attachments</t>
  </si>
  <si>
    <t>https://reparcelasmt.loudoun.gov/pt/Datalets/Datalet.aspx?UseSearch=no&amp;mode=profileall&amp;pin=194498227000&amp;jur=107&amp;taxyr=2024</t>
  </si>
  <si>
    <t>IAD 01-04</t>
  </si>
  <si>
    <t>19540 COMPASS CREEK PKWY</t>
  </si>
  <si>
    <t>39.067856</t>
  </si>
  <si>
    <t>-77.56021</t>
  </si>
  <si>
    <t>809,314</t>
  </si>
  <si>
    <t>https://reparcelasmt.loudoun.gov/pt/Datalets/Datalet.aspx?UseSearch=no&amp;mode=profileall&amp;pin=235297431000&amp;jur=107&amp;taxyr=2024</t>
  </si>
  <si>
    <t>Leesburg Data Center</t>
  </si>
  <si>
    <t>41789 Cochran Mill Rd, Leesburg, VA 20175</t>
  </si>
  <si>
    <t>39.06878</t>
  </si>
  <si>
    <t>-77.5313</t>
  </si>
  <si>
    <t>https://www.datacenterdynamics.com/en/news/amazon-acquires-100-acres-in-leesburg-virginia-for-potential-data-center-development/</t>
  </si>
  <si>
    <t>Leesburg Gateway</t>
  </si>
  <si>
    <t>481 POTOMAC STATION DR</t>
  </si>
  <si>
    <t>20176</t>
  </si>
  <si>
    <t>39.103153</t>
  </si>
  <si>
    <t>-77.536385</t>
  </si>
  <si>
    <t>281,800</t>
  </si>
  <si>
    <t>https://www.loudountimes.com/news/google-purchases-148-acres-in-loudoun-county-for-two-new-data-centers/article_9ea96f08-75b1-5779-9fcf-e2b1dec8429e.html</t>
  </si>
  <si>
    <t>https://reparcelasmt.loudoun.gov/pt/Datalets/Datalet.aspx?UseSearch=no&amp;mode=profileall&amp;pin=148350679000&amp;jur=107&amp;taxyr=2024</t>
  </si>
  <si>
    <t xml:space="preserve">Leesburg Gateway </t>
  </si>
  <si>
    <t>Betw East Market St and Potomac Station Dr</t>
  </si>
  <si>
    <t>39.105076</t>
  </si>
  <si>
    <t>-77.536705</t>
  </si>
  <si>
    <t>https://www.pecva.org/region/loudoun/leesburg-gateway/</t>
  </si>
  <si>
    <t>https://www.datacenterdynamics.com/en/news/peterson-co-plots-three-building-data-center-campus-in-leesburg-virginia/</t>
  </si>
  <si>
    <t>NVA06 Campus</t>
  </si>
  <si>
    <t>19275 COMPASS CREEK PKWY SE</t>
  </si>
  <si>
    <t>39.082626</t>
  </si>
  <si>
    <t>-77.56523</t>
  </si>
  <si>
    <t>232,886</t>
  </si>
  <si>
    <t>SI NVA06B</t>
  </si>
  <si>
    <t>https://loudouncountyvaeg.tylerhost.net/prod/selfservice#/permit/c5987365-88d6-4775-92c7-1ee4c5fdc8d3?tab=attachments</t>
  </si>
  <si>
    <t>https://reparcelasmt.loudoun.gov/pt/datalets/datalet.aspx?mode=commercial&amp;UseSearch=no&amp;pin=234371847002&amp;jur=107&amp;taxyr=2025&amp;LMparent=20</t>
  </si>
  <si>
    <t>19265 COMPASS CREEK PKWY</t>
  </si>
  <si>
    <t>39.080227</t>
  </si>
  <si>
    <t>-77.56473</t>
  </si>
  <si>
    <t>388,150</t>
  </si>
  <si>
    <t>SI NVA06A</t>
  </si>
  <si>
    <t>https://reparcelasmt.loudoun.gov/pt/datalets/datalet.aspx?mode=land_summary&amp;UseSearch=no&amp;pin=234371847001&amp;jur=107&amp;taxyr=2025&amp;LMparent=20</t>
  </si>
  <si>
    <t>Oaklawn</t>
  </si>
  <si>
    <t>101 OAKLAWN DR</t>
  </si>
  <si>
    <t>39.091972</t>
  </si>
  <si>
    <t>-77.56057</t>
  </si>
  <si>
    <t>Denied, but under litigation</t>
  </si>
  <si>
    <t>https://www.loudountimes.com/0local-or-not/1local/oaklawn-data-center-affordable-housing-proposal-faces-public-pushback/article_d731930a-5a9a-11ef-bb44-0f2c1a71197b.html</t>
  </si>
  <si>
    <t>https://reparcelasmt.loudoun.gov/pt/Datalets/Datalet.aspx?sIndex=3&amp;idx=1</t>
  </si>
  <si>
    <t>08/28/2024</t>
  </si>
  <si>
    <t>Orme Farm Rezoning</t>
  </si>
  <si>
    <t>41451 SHREVE MILL RD</t>
  </si>
  <si>
    <t>39.059395</t>
  </si>
  <si>
    <t>-77.55797</t>
  </si>
  <si>
    <t>Van Metre Communities LLC/Roy Barnett</t>
  </si>
  <si>
    <t>508,000</t>
  </si>
  <si>
    <t>https://loudouncountyvaeg.tylerhost.net/prod/selfservice#/plan/1E44BC95-A7BA-4323-86B8-C41ADFE4A88E?tab=attachments</t>
  </si>
  <si>
    <t>https://reparcelasmt.loudoun.gov/pt/Datalets/Datalet.aspx?UseSearch=no&amp;mode=profileall&amp;pin=236387331000&amp;jur=107&amp;taxyr=2024</t>
  </si>
  <si>
    <t>Project Celtic Phase 1</t>
  </si>
  <si>
    <t>20680 CELTIC PARK DR</t>
  </si>
  <si>
    <t>39.056915</t>
  </si>
  <si>
    <t>-77.54663</t>
  </si>
  <si>
    <t>743,608</t>
  </si>
  <si>
    <t>Building 1 &amp; 2</t>
  </si>
  <si>
    <t>https://loudouncountyvaeg.tylerhost.net/prod/selfservice#/plan/4b096fd7-53cd-49a4-a1c0-32e42413c3c9?tab=attachments</t>
  </si>
  <si>
    <t>https://reparcelasmt.loudoun.gov/pt/Datalets/Datalet.aspx?UseSearch=no&amp;mode=profileall&amp;pin=193186982000&amp;jur=107&amp;taxyr=2024</t>
  </si>
  <si>
    <t>Project Celtic Phase 2</t>
  </si>
  <si>
    <t>20649 ENERGY PARK DR</t>
  </si>
  <si>
    <t>39.0539</t>
  </si>
  <si>
    <t>-77.54465</t>
  </si>
  <si>
    <t>1,190,996</t>
  </si>
  <si>
    <t>Building 3, 4, &amp; 5</t>
  </si>
  <si>
    <t>Tuscarora Crossing Landbay 3</t>
  </si>
  <si>
    <t>19560 CROSSTRAIL BLVD</t>
  </si>
  <si>
    <t>39.077232</t>
  </si>
  <si>
    <t>-77.533745</t>
  </si>
  <si>
    <t>701,400</t>
  </si>
  <si>
    <t>Substation denied by the Planning Commission in June, 2025</t>
  </si>
  <si>
    <t>https://dgtlinfra.com/blackchamber-group-data-centers-northern-virginia/</t>
  </si>
  <si>
    <t>https://reparcelasmt.loudoun.gov/pt/Datalets/Datalet.aspx?UseSearch=no&amp;mode=profileall&amp;pin=150151774000&amp;jur=107&amp;taxyr=2024</t>
  </si>
  <si>
    <t>https://baxtel.com/data-center/tuscarora-crossing-campus</t>
  </si>
  <si>
    <t>Villages at Leesburg</t>
  </si>
  <si>
    <t>42830 GOLF CLUB RD</t>
  </si>
  <si>
    <t>39.087734</t>
  </si>
  <si>
    <t>-77.5195</t>
  </si>
  <si>
    <t>https://www.loudountimes.com/0local-or-not/1local/leesburg-town-council-approves-first-data-center/article_568da46e-d674-11ee-90ca-17b0a49acf18.html#:~:text=0-,A%20map%20shows%20the%2034%2Dacre%20property%20in%20the%20Village,by%20the%20Leesburg%20Town%20Council.&amp;text=The%20Leesburg%20Town%20Council%20voted%206%2D1%20Feb.</t>
  </si>
  <si>
    <t>https://reparcelasmt.loudoun.gov/pt/Datalets/Datalet.aspx?UseSearch=no&amp;mode=profileall&amp;pin=149192542000&amp;jur=107&amp;taxyr=2024</t>
  </si>
  <si>
    <t>Spring Valley Technology Park</t>
  </si>
  <si>
    <t>22532 EVERGREEN MILLS RD</t>
  </si>
  <si>
    <t>LEESBURG</t>
  </si>
  <si>
    <t>39.001057</t>
  </si>
  <si>
    <t>-77.57126</t>
  </si>
  <si>
    <t>3,483,902</t>
  </si>
  <si>
    <t>362</t>
  </si>
  <si>
    <t>Rezoning covers multiple parcels, total acreage represented here.</t>
  </si>
  <si>
    <t>https://loudouncountyvaeg.tylerhost.net/prod/selfservice#/plan/0167b7d9-e074-4e2e-bf05-e0599cdea1f5?tab=attachments</t>
  </si>
  <si>
    <t>https://reparcelasmt.loudoun.gov/pt/Datalets/Datalet.aspx?UseSearch=no&amp;mode=profileall&amp;pin=241270467000&amp;jur=107&amp;taxyr=2025</t>
  </si>
  <si>
    <t>Wilderness Crossing</t>
  </si>
  <si>
    <t>4447 GERMANNA HWY</t>
  </si>
  <si>
    <t>Locust Grove</t>
  </si>
  <si>
    <t>22508</t>
  </si>
  <si>
    <t>38.33316</t>
  </si>
  <si>
    <t>-77.73109</t>
  </si>
  <si>
    <t>2600</t>
  </si>
  <si>
    <t>https://www.battlefields.org/preserve/speak-out/fight-continues-wilderness-battlefield</t>
  </si>
  <si>
    <t>https://orange.cama.concisesystems.com/PropertyPage.aspx?id=5295&amp;direct=1</t>
  </si>
  <si>
    <t>Hwy 33</t>
  </si>
  <si>
    <t>Louisa</t>
  </si>
  <si>
    <t>23093</t>
  </si>
  <si>
    <t>37.98242</t>
  </si>
  <si>
    <t>-77.9511</t>
  </si>
  <si>
    <t>374</t>
  </si>
  <si>
    <t>https://www.datacenterdynamics.com/en/news/amazon-files-for-38-million-sq-ft-data-center-campus-in-louisa-county-virginia/</t>
  </si>
  <si>
    <t>06/10/2025</t>
  </si>
  <si>
    <t>North Creek Tech Campus</t>
  </si>
  <si>
    <t>Mount Airy Rd</t>
  </si>
  <si>
    <t>37.968376</t>
  </si>
  <si>
    <t>-77.95334</t>
  </si>
  <si>
    <t>8,700,000</t>
  </si>
  <si>
    <t>https://www.louisacounty.gov/faq.aspx?qid=275</t>
  </si>
  <si>
    <t>between Kennon and School Bus Rds</t>
  </si>
  <si>
    <t>Louisa County</t>
  </si>
  <si>
    <t>23117</t>
  </si>
  <si>
    <t>38.00263</t>
  </si>
  <si>
    <t>-77.94</t>
  </si>
  <si>
    <t>7,200,000</t>
  </si>
  <si>
    <t>1374</t>
  </si>
  <si>
    <t>https://www.bisnow.com/national/news/data-center/amazon-planning-1370-acre-virginia-data-center-campus-129714</t>
  </si>
  <si>
    <t>https://tammypurcell.substack.com/p/breaking-amazon-proposes-third-data</t>
  </si>
  <si>
    <t>https://virginiamercury.com/2025/07/28/amazon-pulls-louisa-county-data-center-proposal-after-strong-resistance/</t>
  </si>
  <si>
    <t>Desper Creek Technology Campus (AWS Data Center)</t>
  </si>
  <si>
    <t>Betw Mt Airy Rd and US-33</t>
  </si>
  <si>
    <t>37.97047</t>
  </si>
  <si>
    <t>-77.9546</t>
  </si>
  <si>
    <t>https://www.datacenterdynamics.com/en/news/aws-seeks-permit-for-another-data-center-campus-in-louisa-county-virginia/</t>
  </si>
  <si>
    <t>Cabin Field Rd and Richmond Hwy</t>
  </si>
  <si>
    <t>Lynchburg</t>
  </si>
  <si>
    <t>24504</t>
  </si>
  <si>
    <t>Campbell County</t>
  </si>
  <si>
    <t>37.3761</t>
  </si>
  <si>
    <t>-79.0327</t>
  </si>
  <si>
    <t>Supervisors urged to reject</t>
  </si>
  <si>
    <t>https://wset.com/news/local/campbell-county-supervisors-urged-to-reject-data-center-proposal-amid-concerns-september-2025-cabin-field-road-concord-route-460</t>
  </si>
  <si>
    <t>https://www.datacenterdynamics.com/en/news/data-center-plan-for-campbell-county-virginia-rejected/</t>
  </si>
  <si>
    <t>https://wset.com/news/local/campbell-county-faces-data-center-proposals-as-residents-call-for-stricter-regulations-route-460-concord-cabin-field-road-mesh-capital-llc-supervisor-matthew-kline-november-2025</t>
  </si>
  <si>
    <t>9001 Hornbaker Rd</t>
  </si>
  <si>
    <t>9001 HORNBAKER RD</t>
  </si>
  <si>
    <t>Manassas</t>
  </si>
  <si>
    <t>38.762554</t>
  </si>
  <si>
    <t>-77.53385</t>
  </si>
  <si>
    <t>871,518</t>
  </si>
  <si>
    <t>https://egcss.pwcgov.org/SelfService#/plan/a0b0e2d0-2ccb-47b1-ab3f-3275db071d01?tab=attachments</t>
  </si>
  <si>
    <t>https://pwc.publicaccessnow.com/PropertyDetail.aspx?mtab=property&amp;mpropertynumber=114479</t>
  </si>
  <si>
    <t>ABTEEN VENTURES LLC (CloudHQ)</t>
  </si>
  <si>
    <t>10880 AIRMAN AVE</t>
  </si>
  <si>
    <t>20110</t>
  </si>
  <si>
    <t>38.716854</t>
  </si>
  <si>
    <t>-77.49974</t>
  </si>
  <si>
    <t>394,593</t>
  </si>
  <si>
    <t>https://pwc.publicaccessnow.com/PropertyDetail.aspx?mpropertynumber=257650&amp;mtab=property&amp;p=257650</t>
  </si>
  <si>
    <t>Airport Gateway Commerce Center</t>
  </si>
  <si>
    <t>10940 AIRMAN AVE</t>
  </si>
  <si>
    <t>38.715843</t>
  </si>
  <si>
    <t>-77.49836</t>
  </si>
  <si>
    <t>UNICORN INTERESTS LLC, PCL F1</t>
  </si>
  <si>
    <t>369,600</t>
  </si>
  <si>
    <t>https://pwc.publicaccessnow.com/PropertyDetail.aspx?mtab=property&amp;mpropertynumber=026258</t>
  </si>
  <si>
    <t>AIRPORT GATEWAY COMMERCE CENTER</t>
  </si>
  <si>
    <t>10850 Airman Ave</t>
  </si>
  <si>
    <t>38.72144</t>
  </si>
  <si>
    <t>-77.49643</t>
  </si>
  <si>
    <t>UNICORN HOTEL LLC, C/O DUPONT FABROS DEVELOPMENT, PCL D</t>
  </si>
  <si>
    <t>https://egcss.pwcgov.org/SelfService#/project/a44840d1-befb-4b5c-93ee-0485a9dc4f84</t>
  </si>
  <si>
    <t>ALEXANDRIA TECHNOLOGY CENTER</t>
  </si>
  <si>
    <t>10600 PYRAMID PL</t>
  </si>
  <si>
    <t>38.756546</t>
  </si>
  <si>
    <t>-77.51377</t>
  </si>
  <si>
    <t>QTS MANASSAS I LAND LLC C/O BLACKSTONE PROPERTY ADVISORS</t>
  </si>
  <si>
    <t>https://pwc.publicaccessnow.com/PropertyDetail.aspx?mtab=property&amp;mpropertynumber=248324</t>
  </si>
  <si>
    <t>Alligned Data Centers (Balls Ford)</t>
  </si>
  <si>
    <t>10920 BALLS FORD RD</t>
  </si>
  <si>
    <t>38.799274</t>
  </si>
  <si>
    <t>-77.52802</t>
  </si>
  <si>
    <t>PROPCO LLC</t>
  </si>
  <si>
    <t>1,275,141</t>
  </si>
  <si>
    <t>https://egcss.pwcgov.org/SelfService#/plan/5c7da087-98bf-4549-8e76-1e6eb1934083?tab=attachments</t>
  </si>
  <si>
    <t>https://pwc.publicaccessnow.com/PropertyDetail.aspx?mtab=property&amp;mpropertynumber=227933</t>
  </si>
  <si>
    <t>7300 CENTURY PARK DR</t>
  </si>
  <si>
    <t>38.7956</t>
  </si>
  <si>
    <t>-77.54214</t>
  </si>
  <si>
    <t>https://www.datacenterdynamics.com/en/news/amazon-acquires-140-acres-of-land-in-manassas-virginia/</t>
  </si>
  <si>
    <t>https://pwc.publicaccessnow.com/PropertyDetail.aspx?mtab=property&amp;mpropertynumber=265829</t>
  </si>
  <si>
    <t>7101 CENTURY PARK DR</t>
  </si>
  <si>
    <t>38.7977</t>
  </si>
  <si>
    <t>-77.54477</t>
  </si>
  <si>
    <t>https://pwc.publicaccessnow.com/PropertyDetail.aspx?mtab=property&amp;mpropertynumber=265828</t>
  </si>
  <si>
    <t>7500 BETHLEHEM RD</t>
  </si>
  <si>
    <t>38.792118</t>
  </si>
  <si>
    <t>-77.53619</t>
  </si>
  <si>
    <t>https://pwc.publicaccessnow.com/PropertyDetail.aspx?mtab=property&amp;mpropertynumber=022195</t>
  </si>
  <si>
    <t>38.733845</t>
  </si>
  <si>
    <t>-77.51592</t>
  </si>
  <si>
    <t>https://www.princewilliamtimes.com/news/manassas-to-net-28-million-in-land-sale-for-amazon-data-center-but-the-money/article_9be9a116-a505-11ee-a48c-e7a38d4609f7.html</t>
  </si>
  <si>
    <t>11800 BREWERS SPRING RD</t>
  </si>
  <si>
    <t>38.79109</t>
  </si>
  <si>
    <t>-77.54837</t>
  </si>
  <si>
    <t>123,534</t>
  </si>
  <si>
    <t>https://pwc.publicaccessnow.com/PropertyDetail.aspx?mpropertynumber=257270&amp;mtab=property&amp;p=257270</t>
  </si>
  <si>
    <t>11801 BREWERS SPRING RD</t>
  </si>
  <si>
    <t>38.789906</t>
  </si>
  <si>
    <t>-77.54799</t>
  </si>
  <si>
    <t>115,600</t>
  </si>
  <si>
    <t>https://pwc.publicaccessnow.com/PropertyDetail.aspx?mpropertynumber=255831&amp;mtab=property&amp;p=255831</t>
  </si>
  <si>
    <t>10201 TANNER WAY</t>
  </si>
  <si>
    <t>38.734943</t>
  </si>
  <si>
    <t>-77.504524</t>
  </si>
  <si>
    <t>https://pwc.publicaccessnow.com/PropertyDetail.aspx?mpropertynumber=078744&amp;mtab=property&amp;p=078744</t>
  </si>
  <si>
    <t>7600 DOANE DR</t>
  </si>
  <si>
    <t>38.792156</t>
  </si>
  <si>
    <t>-77.54833</t>
  </si>
  <si>
    <t>127,700</t>
  </si>
  <si>
    <t>https://pwc.publicaccessnow.com/PropertyDetail.aspx?mpropertynumber=257269&amp;mtab=property&amp;p=257269</t>
  </si>
  <si>
    <t>Ashwood Addition</t>
  </si>
  <si>
    <t>10400 HARRY J PARRISH BLVD</t>
  </si>
  <si>
    <t>38.731693</t>
  </si>
  <si>
    <t>-77.51026</t>
  </si>
  <si>
    <t>https://datacenterhawk.com/marketplace/providers/cloudhq/10400-harry-j-parrish-blvd/mdc</t>
  </si>
  <si>
    <t>https://pwc.publicaccessnow.com/PropertyDetail.aspx?mtab=property&amp;mpropertynumber=251263</t>
  </si>
  <si>
    <t>Black Chamber Partners Data Center</t>
  </si>
  <si>
    <t>10047 Nokesville Rd</t>
  </si>
  <si>
    <t>38.748226</t>
  </si>
  <si>
    <t>-77.49985</t>
  </si>
  <si>
    <t>Land of Manassas Church of the Bretheren</t>
  </si>
  <si>
    <t>https://www.datacenterdynamics.com/en/news/data-center-developer-black-chamber-looks-to-buy-virginia-church-next-to-planned-aws-campus/</t>
  </si>
  <si>
    <t>BOURZOU VENTURES LLC (CloudHQ)</t>
  </si>
  <si>
    <t>10100 HARRY J PARRISH BLVD</t>
  </si>
  <si>
    <t>38.72298</t>
  </si>
  <si>
    <t>-77.49923</t>
  </si>
  <si>
    <t>347,876</t>
  </si>
  <si>
    <t>https://pwc.publicaccessnow.com/PropertyDetail.aspx?mpropertynumber=254673&amp;mtab=property&amp;p=254673</t>
  </si>
  <si>
    <t>COPT DC INNOVATION LLC</t>
  </si>
  <si>
    <t>11120 THOMASSON BARN RD</t>
  </si>
  <si>
    <t>38.74406</t>
  </si>
  <si>
    <t>-77.529854</t>
  </si>
  <si>
    <t>352,030</t>
  </si>
  <si>
    <t>https://pwc.publicaccessnow.com/PropertyDetail.aspx?mpropertynumber=228234&amp;mtab=property&amp;p=228234</t>
  </si>
  <si>
    <t>DC 12 14 DE LLC (Amazon)</t>
  </si>
  <si>
    <t>7056 WELLINGTON RD</t>
  </si>
  <si>
    <t>38.778107</t>
  </si>
  <si>
    <t>-77.558235</t>
  </si>
  <si>
    <t>311,198</t>
  </si>
  <si>
    <t>https://pwc.publicaccessnow.com/PropertyDetail.aspx?mpropertynumber=225337&amp;mtab=property&amp;p=225337</t>
  </si>
  <si>
    <t>Digital Second Manassas</t>
  </si>
  <si>
    <t>10000 BRICKYARD WAY</t>
  </si>
  <si>
    <t>38.737873</t>
  </si>
  <si>
    <t>-77.508286</t>
  </si>
  <si>
    <t>DIGITAL CARVER BRICKYARD LLC</t>
  </si>
  <si>
    <t>1,759,136</t>
  </si>
  <si>
    <t>61</t>
  </si>
  <si>
    <t>Need better source for square footage</t>
  </si>
  <si>
    <t>https://gisweb.pwcgov.org/webapps/countymapper/index.html?Layer=Parcel&amp;GPIN=7695-53-7717</t>
  </si>
  <si>
    <t>https://pwc.publicaccessnow.com/PropertyDetail.aspx?mtab=property&amp;mpropertynumber=081573</t>
  </si>
  <si>
    <t>EQUINIX LLC</t>
  </si>
  <si>
    <t>7400 INFANTRY RIDGE RD</t>
  </si>
  <si>
    <t>38.80344</t>
  </si>
  <si>
    <t>-77.510796</t>
  </si>
  <si>
    <t>109,800</t>
  </si>
  <si>
    <t>https://pwc.publicaccessnow.com/PropertyDetail.aspx?mpropertynumber=094465&amp;mtab=property&amp;p=094465</t>
  </si>
  <si>
    <t>GI TC 7510 MASON KING CT LLC (Amazon)</t>
  </si>
  <si>
    <t>7510 MASON KING CT</t>
  </si>
  <si>
    <t>38.790344</t>
  </si>
  <si>
    <t>-77.54118</t>
  </si>
  <si>
    <t>https://pwc.publicaccessnow.com/PropertyDetail.aspx?mpropertynumber=083773&amp;mtab=property&amp;p=083773</t>
  </si>
  <si>
    <t>INNOVATION EXECUTIVE CENTER DC-3</t>
  </si>
  <si>
    <t>9420 GODWIN DR</t>
  </si>
  <si>
    <t>38.75278</t>
  </si>
  <si>
    <t>-77.51228</t>
  </si>
  <si>
    <t>QTS MANASSAS I DC2 LLC</t>
  </si>
  <si>
    <t>174,719</t>
  </si>
  <si>
    <t>https://egcss.pwcgov.org/SelfService#/project/aa699c84-7dd0-4bb1-aaec-7712d020a74b</t>
  </si>
  <si>
    <t>Iron Mountain Building 7</t>
  </si>
  <si>
    <t>8328 BETHLEHEM RD</t>
  </si>
  <si>
    <t>38.775063</t>
  </si>
  <si>
    <t>-77.539795</t>
  </si>
  <si>
    <t>IRON MOUNTAIN DATA CENTERS VA 7 LLC</t>
  </si>
  <si>
    <t>304,000</t>
  </si>
  <si>
    <t>https://datacenterhawk.com/marketplace/providers/iron-mountain-data-centers/11500-prince-william-parkway/va-7</t>
  </si>
  <si>
    <t>https://pwc.publicaccessnow.com/PropertyDetail.aspx?mtab=property&amp;mpropertynumber=090673</t>
  </si>
  <si>
    <t>Iron Mountain Data Center VA-1</t>
  </si>
  <si>
    <t>11680 Hayden Rd</t>
  </si>
  <si>
    <t>38.77727</t>
  </si>
  <si>
    <t>-77.5477</t>
  </si>
  <si>
    <t>165,230</t>
  </si>
  <si>
    <t>https://www.datacenterdynamics.com/en/news/iron-mountain-starts-work-on-data-center-campus-near-richmond-virginia/</t>
  </si>
  <si>
    <t>https://pwc.publicaccessnow.com/PropertyDetail.aspx?mpropertynumber=228118&amp;mtab=property&amp;p=228118</t>
  </si>
  <si>
    <t>Iron Mountain Data Center VA-5</t>
  </si>
  <si>
    <t>7729 Wellington Glen Dr</t>
  </si>
  <si>
    <t>38.77139</t>
  </si>
  <si>
    <t>-77.5423</t>
  </si>
  <si>
    <t>165,428</t>
  </si>
  <si>
    <t>https://www.insidenova.com/headlines/prince-william-supervisors-approve-va-8-9-data-center-rezoning-to-extend-iron-mountain-campus/article_96d99fd1-7c5f-40df-aa5f-23b7357c819c.html</t>
  </si>
  <si>
    <t>https://www.datacenterdynamics.com/en/news/iron-mountain-files-to-expand-manassas-data-center-campus/</t>
  </si>
  <si>
    <t>https://pwc.publicaccessnow.com/PropertyDetail.aspx?mtab=property&amp;mpropertynumber=246599</t>
  </si>
  <si>
    <t>KH Data Capital Development</t>
  </si>
  <si>
    <t>11560 HAYDEN RD</t>
  </si>
  <si>
    <t>38.77393</t>
  </si>
  <si>
    <t>-77.54234</t>
  </si>
  <si>
    <t>IRON MOUNTAIN DATA CENTERS VA 4/5 SUBSIDIARY LLC</t>
  </si>
  <si>
    <t>201,083</t>
  </si>
  <si>
    <t>https://eservice.pwcgov.org/planning/documents/REZ2021-00022.pdf</t>
  </si>
  <si>
    <t>https://pwc.publicaccessnow.com/PropertyDetail.aspx?mtab=property&amp;mpropertynumber=264279</t>
  </si>
  <si>
    <t>KH DATA CAPITAL DEVELOPMENT LAND LLC
 C/O IRON MOUNTAIN GLOBAL REAL ESTATE</t>
  </si>
  <si>
    <t>11650 HAYDEN RD</t>
  </si>
  <si>
    <t>38.7768</t>
  </si>
  <si>
    <t>-77.54394</t>
  </si>
  <si>
    <t>597,590</t>
  </si>
  <si>
    <t>https://pwc.publicaccessnow.com/PropertyDetail.aspx?mpropertynumber=228119&amp;mtab=property&amp;p=228119</t>
  </si>
  <si>
    <t>Manassas Corporate Center MCC-7 PRA</t>
  </si>
  <si>
    <t>10101 HARRY J PARRISH BLVD</t>
  </si>
  <si>
    <t>38.722412</t>
  </si>
  <si>
    <t>-77.50135</t>
  </si>
  <si>
    <t>UNICORN INTERESTS LLC</t>
  </si>
  <si>
    <t>1,082,231</t>
  </si>
  <si>
    <t>https://egcss.pwcgov.org/SelfService#/plan/96c7aacf-964e-419b-ae82-f9f97a86808d?tab=attachments</t>
  </si>
  <si>
    <t>Manassas Data Center</t>
  </si>
  <si>
    <t>11101 University Blvd</t>
  </si>
  <si>
    <t>38.75382</t>
  </si>
  <si>
    <t>-77.5245</t>
  </si>
  <si>
    <t>577,000</t>
  </si>
  <si>
    <t>https://www.pwcva.gov/department/planning-office/data-centers</t>
  </si>
  <si>
    <t xml:space="preserve">Increasing size of current data center on same site. Proposed data center redevelopment at the “Innovation on the Parkway” site on University Blvd in Manassas. Located within the heavily contested Prince William County data-center corridor where multiple citizen groups oppose continued expansion.
</t>
  </si>
  <si>
    <t>https://wtop.com/prince-william-county/2025/07/prince-william-county-residents-push-back-against-recommendation-of-another-data-center/</t>
  </si>
  <si>
    <t>https://eservice.pwcgov.org/planning/documents/REZ2023-00001.pdf</t>
  </si>
  <si>
    <t>https://egcss.pwcgov.org/SelfService#/plan/005eaa9c-a822-4dad-b14e-35d804a4f532</t>
  </si>
  <si>
    <t>https://pwc.publicaccessnow.com/PropertyDetail.aspx?mtab=property&amp;mpropertynumber=202724</t>
  </si>
  <si>
    <t>MANASSAS NCP LLC</t>
  </si>
  <si>
    <t>9000 FREEDOM CENTER BLVD</t>
  </si>
  <si>
    <t>38.760582</t>
  </si>
  <si>
    <t>-77.51869</t>
  </si>
  <si>
    <t>409,252</t>
  </si>
  <si>
    <t>https://pwc.publicaccessnow.com/PropertyDetail.aspx?mpropertynumber=025267&amp;mtab=property&amp;p=025267</t>
  </si>
  <si>
    <t>Manassas Point</t>
  </si>
  <si>
    <t>7816 BETHLEHEM RD</t>
  </si>
  <si>
    <t>38.783833</t>
  </si>
  <si>
    <t>-77.53779</t>
  </si>
  <si>
    <t>1,739,350</t>
  </si>
  <si>
    <t>This project covers multiple parcels. The total acreage has been represented here. Square footage increased in an amendment in 2024</t>
  </si>
  <si>
    <t>https://egcss.pwcgov.org/SelfService#/plan/112446d3-3458-4c10-9081-42d87805d421?tab=attachments</t>
  </si>
  <si>
    <t>https://pwc.publicaccessnow.com/PropertyDetail.aspx?mtab=property&amp;mpropertynumber=022171</t>
  </si>
  <si>
    <t>MANASSAS TECHNOLOGY PARTNERS LLC (Amazon)</t>
  </si>
  <si>
    <t>7505 MASON KING CT</t>
  </si>
  <si>
    <t>38.791252</t>
  </si>
  <si>
    <t>-77.53829</t>
  </si>
  <si>
    <t>109,543</t>
  </si>
  <si>
    <t>https://pwc.publicaccessnow.com/PropertyDetail.aspx?mpropertynumber=214426&amp;mtab=property&amp;p=214426</t>
  </si>
  <si>
    <t>MCC5</t>
  </si>
  <si>
    <t>10740 AIRMAN AVE</t>
  </si>
  <si>
    <t>38.719757</t>
  </si>
  <si>
    <t>-77.49309</t>
  </si>
  <si>
    <t>UNICORN INTERESTS LLC, CLOUD HQ</t>
  </si>
  <si>
    <t>https://datacenterhawk.com/marketplace/providers/cloudhq/10740-airman-avenue/mcc5</t>
  </si>
  <si>
    <t>https://pwc.publicaccessnow.com/PropertyDetail.aspx?mpropertynumber=094463</t>
  </si>
  <si>
    <t>MCI COMMUNICATION SERVICES LLC VERIZON GLOBAL REAL ESTATE</t>
  </si>
  <si>
    <t>7777 INFANTRY RIDGE RD</t>
  </si>
  <si>
    <t>38.80486</t>
  </si>
  <si>
    <t>-77.51249</t>
  </si>
  <si>
    <t>https://pwc.publicaccessnow.com/PropertyDetail.aspx?mpropertynumber=201953&amp;mtab=property&amp;p=201953</t>
  </si>
  <si>
    <t>Mid-County Industrial Park</t>
  </si>
  <si>
    <t>14901 DUMFRIES RD</t>
  </si>
  <si>
    <t>38.63156</t>
  </si>
  <si>
    <t>-77.41153</t>
  </si>
  <si>
    <t>664,715</t>
  </si>
  <si>
    <t>This project covers multiple parcels. The total acreage has been represented here. Proffers amended in 2024 to increase the square footage. New footage represented here.</t>
  </si>
  <si>
    <t>https://egcss.pwcgov.org/SelfService#/plan/3dd0c08d-d7fa-483c-8e0f-1913eb303cd0</t>
  </si>
  <si>
    <t>https://pwc.publicaccessnow.com/PropertyDetail.aspx?mpropertynumber=155883&amp;mtab=property&amp;p=155883</t>
  </si>
  <si>
    <t>07/11/2025</t>
  </si>
  <si>
    <t>NVA05A &amp; NVA05B Proffer Amendment and Rezoning</t>
  </si>
  <si>
    <t>9101 FREEDOM CENTER BLVD</t>
  </si>
  <si>
    <t>38.760544</t>
  </si>
  <si>
    <t>-77.51536</t>
  </si>
  <si>
    <t>814,777</t>
  </si>
  <si>
    <t>This project covers multiple parcels. The total acreage has been represented here. Proffers amended to increase square footage in 2024</t>
  </si>
  <si>
    <t>https://egcss.pwcgov.org/SelfService#/plan/19004ff1-7e88-4661-9d3f-ad33ecaa1da2</t>
  </si>
  <si>
    <t>https://pwc.publicaccessnow.com/PropertyDetail.aspx?mtab=property&amp;mpropertynumber=023467</t>
  </si>
  <si>
    <t>NVA15 LLC</t>
  </si>
  <si>
    <t>9650 HORNBAKER RD</t>
  </si>
  <si>
    <t>38.74385</t>
  </si>
  <si>
    <t>-77.53758</t>
  </si>
  <si>
    <t>https://www.insidenova.com/headlines/stack-infrastructure-finalizes-1-8m-square-feet-in-bristow/article_557b56ba-8289-11ed-8ad6-ebd8be2d9699.html</t>
  </si>
  <si>
    <t>https://pwc.publicaccessnow.com/PropertyDetail.aspx?mtab=property&amp;mpropertynumber=264056</t>
  </si>
  <si>
    <t>NVA16 LLC</t>
  </si>
  <si>
    <t>9530 HORNBAKER RD</t>
  </si>
  <si>
    <t>38.748554</t>
  </si>
  <si>
    <t>-77.53744</t>
  </si>
  <si>
    <t>https://pwc.publicaccessnow.com/PropertyDetail.aspx?mtab=property&amp;mpropertynumber=001510</t>
  </si>
  <si>
    <t>PARSONS BUSINESS PARK LLC</t>
  </si>
  <si>
    <t>14237 DUMFRIES RD</t>
  </si>
  <si>
    <t>38.645596</t>
  </si>
  <si>
    <t>-77.4416</t>
  </si>
  <si>
    <t>2,628,411</t>
  </si>
  <si>
    <t>91</t>
  </si>
  <si>
    <t>This project covers multiple parcels. The total acreage has been represented here. Project was expanded in 2024, the new footage is represented here.</t>
  </si>
  <si>
    <t>https://egcss.pwcgov.org/SelfService#/plan/f202a52f-d21d-48eb-ab3e-8577eaaaff93?tab=attachments</t>
  </si>
  <si>
    <t>https://pwc.publicaccessnow.com/PropertyDetail.aspx?mtab=property&amp;mpropertynumber=099464</t>
  </si>
  <si>
    <t>Potomac Technology Park/ Quantico Ridge</t>
  </si>
  <si>
    <t>14854 DUMFRIES RD</t>
  </si>
  <si>
    <t>38.630245</t>
  </si>
  <si>
    <t>-77.42247</t>
  </si>
  <si>
    <t>Plaza Realty Management Inc</t>
  </si>
  <si>
    <t>square footage includes all impervious surface</t>
  </si>
  <si>
    <t>https://egcss.pwcgov.org/SelfService/PWCePortal#/plan/a6ee77bc-ded4-40cd-ab62-1a962feb18a1?tab=attachments</t>
  </si>
  <si>
    <t>https://pwc.publicaccessnow.com/PropertyDetail.aspx?mpropertynumber=264531&amp;mtab=property&amp;p=264531</t>
  </si>
  <si>
    <t>https://www.datacenterdynamics.com/en/news/developer-withdraws-plan-for-160-acre-data-center-in-prince-william-county-virginia/</t>
  </si>
  <si>
    <t>POWERLOFT @ INNOVATION I</t>
  </si>
  <si>
    <t>9651 HORNBAKER RD</t>
  </si>
  <si>
    <t>38.74736</t>
  </si>
  <si>
    <t>-77.53177</t>
  </si>
  <si>
    <t>247,608</t>
  </si>
  <si>
    <t>https://pwc.publicaccessnow.com/PropertyDetail.aspx?mpropertynumber=248042&amp;mtab=property&amp;p=248042</t>
  </si>
  <si>
    <t>Project Well</t>
  </si>
  <si>
    <t>6894 WELLINGTON RD</t>
  </si>
  <si>
    <t>38.780552</t>
  </si>
  <si>
    <t>-77.56264</t>
  </si>
  <si>
    <t>1,341,019</t>
  </si>
  <si>
    <t>https://egcss.pwcgov.org/SelfService#/plan/f91d05d2-9f16-4321-8d9d-8c28831b0c2d?tab=attachments</t>
  </si>
  <si>
    <t>https://pwc.publicaccessnow.com/PropertyDetail.aspx?mtab=property&amp;mpropertynumber=094151</t>
  </si>
  <si>
    <t>QTS Manassas DC 2</t>
  </si>
  <si>
    <t>9400 GODWIN DR</t>
  </si>
  <si>
    <t>38.752438</t>
  </si>
  <si>
    <t>-77.513145</t>
  </si>
  <si>
    <t>127,000</t>
  </si>
  <si>
    <t>https://pwc.publicaccessnow.com/PropertyDetail.aspx?mpropertynumber=261328&amp;mtab=property&amp;p=261328</t>
  </si>
  <si>
    <t>QTS Manassas DC 5</t>
  </si>
  <si>
    <t>9301 FREEDOM CENTER BLVD</t>
  </si>
  <si>
    <t>38.75485</t>
  </si>
  <si>
    <t>-77.51758</t>
  </si>
  <si>
    <t>305,510</t>
  </si>
  <si>
    <t>https://pwc.publicaccessnow.com/PropertyDetail.aspx?mpropertynumber=248323&amp;mtab=property&amp;p=248323</t>
  </si>
  <si>
    <t>QTS MANASSAS I DC3 LLC</t>
  </si>
  <si>
    <t>9480 GODWIN DR</t>
  </si>
  <si>
    <t>38.753265</t>
  </si>
  <si>
    <t>-77.510345</t>
  </si>
  <si>
    <t>269,091</t>
  </si>
  <si>
    <t>Expansion named QTS MANASSAS I DC6 LLC proposed</t>
  </si>
  <si>
    <t>https://pwc.publicaccessnow.com/PropertyDetail.aspx?mpropertynumber=246763&amp;mtab=property</t>
  </si>
  <si>
    <t>https://pwc.publicaccessnow.com/PropertyDetail.aspx?mtab=property&amp;mpropertynumber=246763</t>
  </si>
  <si>
    <t>https://egcss.pwcgov.org/SelfService#/project/bf056fe5-a489-4e3f-ac62-1a4449179c33?tab=locations</t>
  </si>
  <si>
    <t>QTS MANASSAS I DC6 LLC</t>
  </si>
  <si>
    <t>9540 GODWIN DR</t>
  </si>
  <si>
    <t>38.75438</t>
  </si>
  <si>
    <t>-77.509895</t>
  </si>
  <si>
    <t>QTS MANASSAS I DC6 LLC C/O BLACKSTONE PROPERTY ADVISORS</t>
  </si>
  <si>
    <t>https://egcss.pwcgov.org/SelfService#/project/0c44cca2-aaaa-4c97-8b2b-e2bb17ee1980?tab=moreinfo</t>
  </si>
  <si>
    <t>https://pwc.publicaccessnow.com/PropertyDetail.aspx?mtab=property&amp;mpropertynumber=081575</t>
  </si>
  <si>
    <t>SI NVA02 LLC A1A</t>
  </si>
  <si>
    <t>9720 HORNBAKER RD</t>
  </si>
  <si>
    <t>38.74435</t>
  </si>
  <si>
    <t>-77.53293</t>
  </si>
  <si>
    <t>224,652</t>
  </si>
  <si>
    <t>https://pwc.publicaccessnow.com/PropertyDetail.aspx?mpropertynumber=263058&amp;mtab=property&amp;p=263058</t>
  </si>
  <si>
    <t>SI NVA02 LLC A2A</t>
  </si>
  <si>
    <t>9750 HORNBAKER RD</t>
  </si>
  <si>
    <t>38.743156</t>
  </si>
  <si>
    <t>-77.53342</t>
  </si>
  <si>
    <t>241,249</t>
  </si>
  <si>
    <t>https://pwc.publicaccessnow.com/PropertyDetail.aspx?mpropertynumber=263807&amp;mtab=property&amp;p=263807</t>
  </si>
  <si>
    <t>SI NVA 04 LLC (Avanti at Innovation)</t>
  </si>
  <si>
    <t>9590 HORNBAKER RD</t>
  </si>
  <si>
    <t>38.74576</t>
  </si>
  <si>
    <t>-77.53817</t>
  </si>
  <si>
    <t>281,000</t>
  </si>
  <si>
    <t>https://pwc.publicaccessnow.com/PropertyDetail.aspx?mtab=property&amp;mpropertynumber=264057</t>
  </si>
  <si>
    <t>SI NVA05 LLC</t>
  </si>
  <si>
    <t>9680 INNOVATION DR</t>
  </si>
  <si>
    <t>38.748386</t>
  </si>
  <si>
    <t>-77.521545</t>
  </si>
  <si>
    <t>213,320</t>
  </si>
  <si>
    <t>https://pwc.publicaccessnow.com/PropertyDetail.aspx?mpropertynumber=265449&amp;mtab=property&amp;p=265449</t>
  </si>
  <si>
    <t>SI NVA06 LLC</t>
  </si>
  <si>
    <t>9700 INNOVATION DR</t>
  </si>
  <si>
    <t>38.747314</t>
  </si>
  <si>
    <t>-77.51989</t>
  </si>
  <si>
    <t>223,757</t>
  </si>
  <si>
    <t>https://pwc.publicaccessnow.com/PropertyDetail.aspx?mtab=property&amp;mpropertynumber=265450</t>
  </si>
  <si>
    <t>SI NVA07 LLC</t>
  </si>
  <si>
    <t>9720 INNOVATION DR</t>
  </si>
  <si>
    <t>38.746647</t>
  </si>
  <si>
    <t>-77.51876</t>
  </si>
  <si>
    <t>233,757</t>
  </si>
  <si>
    <t>https://pwc.publicaccessnow.com/PropertyDetail.aspx?mtab=property&amp;mpropertynumber=265451</t>
  </si>
  <si>
    <t>SI NVA08 LLC</t>
  </si>
  <si>
    <t>9740 INNOVATION DR</t>
  </si>
  <si>
    <t>38.746067</t>
  </si>
  <si>
    <t>-77.51748</t>
  </si>
  <si>
    <t>216,067</t>
  </si>
  <si>
    <t>https://pwc.publicaccessnow.com/PropertyDetail.aspx?mpropertynumber=265452&amp;mtab=property&amp;p=265452</t>
  </si>
  <si>
    <t>South Point Phase II LLC</t>
  </si>
  <si>
    <t>8300 BUCKEYE TIMBER DR</t>
  </si>
  <si>
    <t>38.77665</t>
  </si>
  <si>
    <t>-77.5567</t>
  </si>
  <si>
    <t>https://www.insidenova.com/headlines/planners-support-linton-hall-data-center-proposal/article_a70fa594-176e-11ec-995a-7f53ce2a867d.html</t>
  </si>
  <si>
    <t>https://pwc.publicaccessnow.com/PropertyDetail.aspx?mtab=property&amp;mpropertynumber=225070</t>
  </si>
  <si>
    <t>Stoneview</t>
  </si>
  <si>
    <t>8625 Wellington Rd</t>
  </si>
  <si>
    <t>38.76551</t>
  </si>
  <si>
    <t>-77.51943</t>
  </si>
  <si>
    <t>149,558</t>
  </si>
  <si>
    <t>https://egcss.pwcgov.org/SelfService#/plan/3f012be5-4a81-4341-8710-e239efdb3b1e</t>
  </si>
  <si>
    <t>https://pwc.publicaccessnow.com/PropertyDetail.aspx?mtab=property&amp;mpropertynumber=023779</t>
  </si>
  <si>
    <t>UNICORN INTERESTS LLC, PCL C1</t>
  </si>
  <si>
    <t>10849 AIRMAN AVE</t>
  </si>
  <si>
    <t>38.719288</t>
  </si>
  <si>
    <t>-77.496185</t>
  </si>
  <si>
    <t>250,144</t>
  </si>
  <si>
    <t>https://egcss.pwcgov.org/SelfService#/project/d91b5451-7721-4963-b450-05f269c503e5</t>
  </si>
  <si>
    <t>https://pwc.publicaccessnow.com/PropertyDetail.aspx?mtab=property&amp;mpropertynumber=254675</t>
  </si>
  <si>
    <t>VA6B1 and VA6B2</t>
  </si>
  <si>
    <t>7749 WELLINGTON RD</t>
  </si>
  <si>
    <t>38.76804</t>
  </si>
  <si>
    <t>-77.53841</t>
  </si>
  <si>
    <t>IRON MOUNTAIN DATA CENTERS LLC</t>
  </si>
  <si>
    <t>230,706</t>
  </si>
  <si>
    <t>https://egcss.pwcgov.org/SelfService#/project/e9a346de-2f59-4bf0-97e6-98b81a0869e6</t>
  </si>
  <si>
    <t>https://pwc.publicaccessnow.com/PropertyDetail.aspx?mtab=property&amp;mpropertynumber=270074</t>
  </si>
  <si>
    <t>Vulcan Data Center</t>
  </si>
  <si>
    <t>8501 VULCAN LN</t>
  </si>
  <si>
    <t>38.77115</t>
  </si>
  <si>
    <t>-77.51435</t>
  </si>
  <si>
    <t>1,071,000</t>
  </si>
  <si>
    <t>https://egcss.pwcgov.org/SelfService#/plan/f322379d-0301-4028-9ba5-e23724a6cb51</t>
  </si>
  <si>
    <t>https://pwc.publicaccessnow.com/PropertyDetail.aspx?mtab=property&amp;mpropertynumber=019605</t>
  </si>
  <si>
    <t>WELLINGTON GLEN TECHNOLOGY PARK</t>
  </si>
  <si>
    <t>11901 SUDLEY MANOR DR</t>
  </si>
  <si>
    <t>38.764816</t>
  </si>
  <si>
    <t>-77.54452</t>
  </si>
  <si>
    <t>This project covers multiple parcels. The total acreage has been represented here. Square footage increased in an amendment in 2025</t>
  </si>
  <si>
    <t>https://egcss.pwcgov.org/SelfService#/plan/c31952ca-2934-4acc-ab29-9db4ec01e339?tab=attachments</t>
  </si>
  <si>
    <t>Wellington Road PRA</t>
  </si>
  <si>
    <t>8819 Wellington Rd</t>
  </si>
  <si>
    <t>38.763477</t>
  </si>
  <si>
    <t>-77.513535</t>
  </si>
  <si>
    <t>370,175</t>
  </si>
  <si>
    <t>https://egcss.pwcgov.org/SelfService#/plan/55087cda-4790-4f98-be5d-2a054fe2c464?tab=attachments</t>
  </si>
  <si>
    <t>Westview 66</t>
  </si>
  <si>
    <t>11314 BALLS FORD RD</t>
  </si>
  <si>
    <t>38.79625</t>
  </si>
  <si>
    <t>-77.53552</t>
  </si>
  <si>
    <t>623,360</t>
  </si>
  <si>
    <t>https://www.datacenterdynamics.com/en/news/microsoft-to-build-new-data-center-in-manassas-virginia/</t>
  </si>
  <si>
    <t>https://pwc.publicaccessnow.com/PropertyDetail.aspx?mtab=property&amp;mpropertynumber=246592</t>
  </si>
  <si>
    <t>NVA05C</t>
  </si>
  <si>
    <t>8860 WELLINGTON RD</t>
  </si>
  <si>
    <t>MANASSAS</t>
  </si>
  <si>
    <t>38.761223</t>
  </si>
  <si>
    <t>-77.511635</t>
  </si>
  <si>
    <t>261,312</t>
  </si>
  <si>
    <t>This project covers multiple parcels. The total acreage has been represented here. Tax parcel information unavailable at time of addition.</t>
  </si>
  <si>
    <t>https://egcss.pwcgov.org/SelfService#/plan/ec71ba9b-8783-4bd2-ab90-57a68d5f7d0c?tab=locations</t>
  </si>
  <si>
    <t>Roosevelt Building</t>
  </si>
  <si>
    <t>1755 OLD MEADOW RD</t>
  </si>
  <si>
    <t>McLean</t>
  </si>
  <si>
    <t>22102</t>
  </si>
  <si>
    <t>38.919983</t>
  </si>
  <si>
    <t>-77.211754</t>
  </si>
  <si>
    <t>YOSEMITE DC ASSETS LLC</t>
  </si>
  <si>
    <t>72,546</t>
  </si>
  <si>
    <t>https://icare.fairfaxcounty.gov/ffxcare/Datalets/Datalet.aspx?mode=&amp;UseSearch=no&amp;pin=0294%2006%20%200105&amp;jur=129&amp;taxyr=2025</t>
  </si>
  <si>
    <t>Middletown Data Center</t>
  </si>
  <si>
    <t>8209 Valley Pike</t>
  </si>
  <si>
    <t>MIddletown</t>
  </si>
  <si>
    <t>22645</t>
  </si>
  <si>
    <t>39.01765</t>
  </si>
  <si>
    <t>-78.29093</t>
  </si>
  <si>
    <t>MIDDLETOWN DATA CENTER LLC</t>
  </si>
  <si>
    <t>33,483</t>
  </si>
  <si>
    <t>https://frdnet.fcva.us/applications/COR_ViewPropertyCards/View_Detail.aspx?mrecno=28249</t>
  </si>
  <si>
    <t>Project Loch</t>
  </si>
  <si>
    <t>751 WATKINS CENTRE PKWY</t>
  </si>
  <si>
    <t>23114</t>
  </si>
  <si>
    <t>37.499065</t>
  </si>
  <si>
    <t>-77.69161</t>
  </si>
  <si>
    <t>Square footage not reported. Project covers more than one parcel, the acreage represents the combined acreage</t>
  </si>
  <si>
    <t>https://chesterfieldfits.com/site/wp-content/uploads/2025/05/25SN1040-Watkins.-Proffers.-Executed.-5.9.25-01718951xBE3E4.pdf</t>
  </si>
  <si>
    <t>https://www.chesterfield.gov/828/Real-Estate-Assessment-Data#/Details/716706972000002</t>
  </si>
  <si>
    <t>Province Group @Powhatan Technology Park</t>
  </si>
  <si>
    <t>1318 PAGE RD</t>
  </si>
  <si>
    <t>MIDLOTHIAN</t>
  </si>
  <si>
    <t>23113</t>
  </si>
  <si>
    <t>Powhatan</t>
  </si>
  <si>
    <t>37.50839</t>
  </si>
  <si>
    <t>-77.73239</t>
  </si>
  <si>
    <t>Province Group</t>
  </si>
  <si>
    <t>365-2,400</t>
  </si>
  <si>
    <t>sqft covers three buildings</t>
  </si>
  <si>
    <t>https://www.datacenterdynamics.com/en/news/3bn-data-center-proposed-outside-richmond-in-powhatan-county-virginia/</t>
  </si>
  <si>
    <t>https://powhatanvarealestate.org/ParcelViewer/</t>
  </si>
  <si>
    <t>https://www.datacenterdynamics.com/en/news/province-group-data-center-campus-gets-green-light-in-powhatan-county-virginia/</t>
  </si>
  <si>
    <t>https://www.jll.com/en-us/newsroom/powhatan-county-approves-180-acre-data-center-development</t>
  </si>
  <si>
    <t>https://www.wric.com/news/local-news/powhatan-county/data-center-campus-eastern-powhatan/</t>
  </si>
  <si>
    <t>08/22/2024</t>
  </si>
  <si>
    <t>Project Loch (Google)</t>
  </si>
  <si>
    <t>750 Watkins Centre Pkwy</t>
  </si>
  <si>
    <t>Midloththian</t>
  </si>
  <si>
    <t>37.49932</t>
  </si>
  <si>
    <t>-77.6884</t>
  </si>
  <si>
    <t>https://richmondbizsense.com/2025/07/14/sites-slated-for-mystery-data-center-projects-in-chesterfield-sell-for-nearly-60m/</t>
  </si>
  <si>
    <t>Lake Anna Tech Campus</t>
  </si>
  <si>
    <t>Intersection of Haley Dr and Kentucky Springs Rd</t>
  </si>
  <si>
    <t>Mineral</t>
  </si>
  <si>
    <t>38.04825</t>
  </si>
  <si>
    <t>-77.80991</t>
  </si>
  <si>
    <t>https://tammypurcell.substack.com/p/more-details-emerge-about-plans-for?utm_source=substack&amp;utm_medium=email</t>
  </si>
  <si>
    <t>Project Skye (Google)</t>
  </si>
  <si>
    <t>4200 Moseley R</t>
  </si>
  <si>
    <t>Moseley</t>
  </si>
  <si>
    <t>23120</t>
  </si>
  <si>
    <t>37.44824</t>
  </si>
  <si>
    <t>-77.781</t>
  </si>
  <si>
    <t>Upper Magnolia Green East</t>
  </si>
  <si>
    <t>18100 DUVAL RD</t>
  </si>
  <si>
    <t>37.42037</t>
  </si>
  <si>
    <t>-77.75997</t>
  </si>
  <si>
    <t>https://chesterfieldfits.com/site/wp-content/uploads/2025/05/East.Proffers.Executed.04-09-25-01709493xBE3E4.pdf</t>
  </si>
  <si>
    <t>https://www.chesterfield.gov/828/Real-Estate-Assessment-Data#/Details/698680060200000</t>
  </si>
  <si>
    <t>06/27/2025</t>
  </si>
  <si>
    <t>Upper Magnolia Green West Tract A and Tract B</t>
  </si>
  <si>
    <t>4401 MOSELEY RD</t>
  </si>
  <si>
    <t>37.444225</t>
  </si>
  <si>
    <t>-77.77384</t>
  </si>
  <si>
    <t>979</t>
  </si>
  <si>
    <t>https://chesterfieldfits.com/site/wp-content/uploads/2025/05/25SN1038.West-Tract-A.-Proffers.-Executed.-5.9.25-01718952xBE3E4.pdf</t>
  </si>
  <si>
    <t>https://www.chesterfield.gov/828/Real-Estate-Assessment-Data#/Details/693685201900000</t>
  </si>
  <si>
    <t>EdgeConneX Norfolk</t>
  </si>
  <si>
    <t>3800 VILLAGE AVENUE</t>
  </si>
  <si>
    <t>Norfolk</t>
  </si>
  <si>
    <t>23502</t>
  </si>
  <si>
    <t>36.86186</t>
  </si>
  <si>
    <t>-76.235344</t>
  </si>
  <si>
    <t>Warehouse 888, Llc</t>
  </si>
  <si>
    <t>4,610</t>
  </si>
  <si>
    <t>Partial use of an existing building</t>
  </si>
  <si>
    <t>https://air.norfolk.gov/#/property/46178100</t>
  </si>
  <si>
    <t>Perspecta Datacenter Campus</t>
  </si>
  <si>
    <t>13600 EDS DR</t>
  </si>
  <si>
    <t>Oak Hill</t>
  </si>
  <si>
    <t>38.923347</t>
  </si>
  <si>
    <t>-77.426834</t>
  </si>
  <si>
    <t>1,046,632</t>
  </si>
  <si>
    <t>271,471 sq foot expansion of an existing facility</t>
  </si>
  <si>
    <t>https://icare.fairfaxcounty.gov/ffxcare/Datalets/Datalet.aspx?mode=&amp;UseSearch=no&amp;pin=0244%2001%20%200006B8&amp;jur=129&amp;taxyr=2025</t>
  </si>
  <si>
    <t>Convergent Technology Park</t>
  </si>
  <si>
    <t>James Madison St</t>
  </si>
  <si>
    <t>Remington</t>
  </si>
  <si>
    <t>22734</t>
  </si>
  <si>
    <t>38.546986</t>
  </si>
  <si>
    <t>-77.80626</t>
  </si>
  <si>
    <t>Convergent VA LLC</t>
  </si>
  <si>
    <t>1,056,000</t>
  </si>
  <si>
    <t>139</t>
  </si>
  <si>
    <t>listed sqft in northern 104 acres</t>
  </si>
  <si>
    <t>https://commdevpay.fauquiercounty.gov/Energov_Prod/SelfService#/plan/4370817a-ce39-47d9-994b-1a0548fa9fa2?tab=attachments</t>
  </si>
  <si>
    <t>Gigaland LLC Data Center</t>
  </si>
  <si>
    <t>~12283 Lucky Hill Rd</t>
  </si>
  <si>
    <t>38.5367</t>
  </si>
  <si>
    <t>-77.7811</t>
  </si>
  <si>
    <t>May now be reduced in half to 1 million sq ft</t>
  </si>
  <si>
    <t>https://www.fauquiernow.com/news/gigaland-developers-weigh-smaller-footprint-for-remington-data-center/article_1b71d125-88f6-4ca9-9992-3cc5b3f789cc.html</t>
  </si>
  <si>
    <t>https://www.datacenterdynamics.com/en/news/plans-for-800mw-gigaland-data-center-campus-withdrawn-in-fauquier-county-virginia/</t>
  </si>
  <si>
    <t>Gigaland Remington</t>
  </si>
  <si>
    <t>12270 Lucky Hill Road</t>
  </si>
  <si>
    <t>38.534485</t>
  </si>
  <si>
    <t>-77.78287</t>
  </si>
  <si>
    <t>Gigaland Data Centers</t>
  </si>
  <si>
    <t>https://www.fauquier.com/news/gigaland-pitches-new-data-center-complex-near-remington/article_54a84456-c63e-11ee-9791-af00814cfeff.html?emci=b70cb8e1-97c6-ee11-85f9-002248223794&amp;emdi=9a5bec2c-b0c6-ee11-85f9-002248223794&amp;ceid=11786847#tncms-source=Front%20Page%20Top%20Headlines%201-4</t>
  </si>
  <si>
    <t>https://gis.vgsi.com/fauquierva/Parcel.aspx?pid=7982</t>
  </si>
  <si>
    <t>Remington Technology Park</t>
  </si>
  <si>
    <t>6980 HELM DR</t>
  </si>
  <si>
    <t>38.54051</t>
  </si>
  <si>
    <t>-77.78908</t>
  </si>
  <si>
    <t>REMINGTON TECHNOLOGY PARK LTD PTNRSHP</t>
  </si>
  <si>
    <t>https://commdevpay.fauquiercounty.gov/Energov_Prod/SelfService#/plan/418c4f35-ec88-4631-97e8-6b53bf810a32</t>
  </si>
  <si>
    <t>https://gis.vgsi.com/fauquierva/Parcel.aspx?pid=8404</t>
  </si>
  <si>
    <t>SAMX Data Center</t>
  </si>
  <si>
    <t>11825 REMINGTON RD</t>
  </si>
  <si>
    <t>38.543182</t>
  </si>
  <si>
    <t>-77.7834</t>
  </si>
  <si>
    <t>SAMX Data</t>
  </si>
  <si>
    <t>https://commdevpay.fauquiercounty.gov/Energov_Prod/SelfService#/plan/e3d99e5d-0689-4369-9a48-015f450b6517</t>
  </si>
  <si>
    <t>https://gis.vgsi.com/fauquierva/Parcel.aspx?pid=8405</t>
  </si>
  <si>
    <t>Remington Innovation Campus</t>
  </si>
  <si>
    <t>11462 REMINGTON RD</t>
  </si>
  <si>
    <t>REMINGTON</t>
  </si>
  <si>
    <t>38.56304</t>
  </si>
  <si>
    <t>-77.77671</t>
  </si>
  <si>
    <t>2,221,560</t>
  </si>
  <si>
    <t>204</t>
  </si>
  <si>
    <t>Project covers more than one parcel, the acreage represents the combined acreage. Square footage based on 0.25 FAR</t>
  </si>
  <si>
    <t>https://commdevpay.fauquiercounty.gov/Energov_Prod/SelfService#/plan/e900e88c-2070-4bb5-81ff-23e7be27ca04?tab=locations</t>
  </si>
  <si>
    <t>https://www.actdatascout.com/RealProperty/ParcelView</t>
  </si>
  <si>
    <t>Coresite 12100 SV &amp; 12098 SV</t>
  </si>
  <si>
    <t>12379 A SUNRISE VALLEY DR</t>
  </si>
  <si>
    <t>Reston</t>
  </si>
  <si>
    <t>20191</t>
  </si>
  <si>
    <t>38.948456</t>
  </si>
  <si>
    <t>-77.371704</t>
  </si>
  <si>
    <t>Coresite</t>
  </si>
  <si>
    <t>610,643</t>
  </si>
  <si>
    <t>332,957 sq foot expansion</t>
  </si>
  <si>
    <t>https://icare.fairfaxcounty.gov/ffxcare/Datalets/Datalet.aspx?mode=&amp;UseSearch=no&amp;pin=0173%2001%20%200032A&amp;jur=129&amp;taxyr=2025</t>
  </si>
  <si>
    <t>LEMUR PROPERTIES LLC</t>
  </si>
  <si>
    <t>1780 BUSINESS CENTER DR</t>
  </si>
  <si>
    <t>20190</t>
  </si>
  <si>
    <t>38.948555</t>
  </si>
  <si>
    <t>-77.32714</t>
  </si>
  <si>
    <t>264,888</t>
  </si>
  <si>
    <t>https://icare.fairfaxcounty.gov/ffxcare/Datalets/Datalet.aspx?mode=&amp;UseSearch=no&amp;pin=0183%2008%20%200009A&amp;jur=129&amp;taxyr=2025</t>
  </si>
  <si>
    <t>RDC-1807 MICHAEL FARADAY COURT</t>
  </si>
  <si>
    <t>1807 MICHAEL FARADAY CT</t>
  </si>
  <si>
    <t>38.948864</t>
  </si>
  <si>
    <t>-77.32922</t>
  </si>
  <si>
    <t>RDC-1807 MICHAEL FARADAY COURT LLC</t>
  </si>
  <si>
    <t>30,609</t>
  </si>
  <si>
    <t>https://icare.fairfaxcounty.gov/ffxcare/Datalets/Datalet.aspx?mode=&amp;UseSearch=no&amp;pin=0183%2005%20%200010&amp;jur=129&amp;taxyr=2025</t>
  </si>
  <si>
    <t>Science Applications International Corp (SAIC)</t>
  </si>
  <si>
    <t>12010 SUNSET HILLS RD</t>
  </si>
  <si>
    <t>38.952652</t>
  </si>
  <si>
    <t>-77.34998</t>
  </si>
  <si>
    <t>DISCOVERY SQUARE LLC</t>
  </si>
  <si>
    <t>https://icare.fairfaxcounty.gov/ffxcare/datalets/datalet.aspx?mode=com_combined&amp;UseSearch=no&amp;pin=0173%2001%20%200005&amp;jur=129&amp;taxyr=2025&amp;LMparent=138</t>
  </si>
  <si>
    <t>SUNRISE TECHNOLOGY PARK</t>
  </si>
  <si>
    <t>12098 SUNRISE VALLEY DR</t>
  </si>
  <si>
    <t>38.950703</t>
  </si>
  <si>
    <t>-77.36489</t>
  </si>
  <si>
    <t>423,341</t>
  </si>
  <si>
    <t>https://icare.fairfaxcounty.gov/ffxcare/datalets/datalet.aspx?mode=profileall&amp;sIndex=0&amp;idx=1&amp;LMparent=138</t>
  </si>
  <si>
    <t>Azalea</t>
  </si>
  <si>
    <t>5209 WILKINSON RD</t>
  </si>
  <si>
    <t>23227</t>
  </si>
  <si>
    <t>37.604717</t>
  </si>
  <si>
    <t>-77.423416</t>
  </si>
  <si>
    <t>BWS Enterprises</t>
  </si>
  <si>
    <t>456,108</t>
  </si>
  <si>
    <t>Azalea flea market location</t>
  </si>
  <si>
    <t>https://www.datacenterdynamics.com/en/news/proposals-for-two-data-center-projects-in-richmond-virginia-deferred-by-local-officials/</t>
  </si>
  <si>
    <t>https://realestate.henrico.us/ords/cam/f?p=510101:5:::NO::P5_PARCEL_ID,P5_SEARCH_TYPE:795-746-5940,0</t>
  </si>
  <si>
    <t>Infotel Systems Data Center</t>
  </si>
  <si>
    <t>6008 HERMITAGE RD</t>
  </si>
  <si>
    <t>37.61285</t>
  </si>
  <si>
    <t>-77.47348</t>
  </si>
  <si>
    <t>Infotel</t>
  </si>
  <si>
    <t>572</t>
  </si>
  <si>
    <t>https://realestate.henrico.us/ords/cam/f?p=510101:5:::NO::P5_PARCEL_ID,P5_SEARCH_TYPE:780-748-2431,0</t>
  </si>
  <si>
    <t>Lumen Richmond 1</t>
  </si>
  <si>
    <t>8851 PARK CENTRAL DR</t>
  </si>
  <si>
    <t>37.646786</t>
  </si>
  <si>
    <t>-77.438446</t>
  </si>
  <si>
    <t>36,508</t>
  </si>
  <si>
    <t>https://realestate.henrico.us/ords/cam/f?p=510101:5:::NO::P5_PARCEL_ID,P5_SEARCH_TYPE:790-760-2582,0</t>
  </si>
  <si>
    <t>Richmond Data Center</t>
  </si>
  <si>
    <t>5209 Wilkinson Rd</t>
  </si>
  <si>
    <t>37.60576</t>
  </si>
  <si>
    <t>-77.4211</t>
  </si>
  <si>
    <t>65,000</t>
  </si>
  <si>
    <t>https://www.vpm.org/listen/2025-02-21/bizsense-beat-magnolia-green-azalea-flea-market</t>
  </si>
  <si>
    <t>Wagner Urban Logistics LLC Data Center</t>
  </si>
  <si>
    <t>near 2248 Darbytown Rd</t>
  </si>
  <si>
    <t>23231</t>
  </si>
  <si>
    <t>37.48448</t>
  </si>
  <si>
    <t>-77.3579</t>
  </si>
  <si>
    <t>Across from housing development, 1/2 mile to elementary school</t>
  </si>
  <si>
    <t>https://www.datacenterdynamics.com/en/news/planners-oppose-data-center-campus-in-varina-virginia/</t>
  </si>
  <si>
    <t>Google Data Center: Center for Research and Technology</t>
  </si>
  <si>
    <t>near Thirlane Rd</t>
  </si>
  <si>
    <t>Roanoke</t>
  </si>
  <si>
    <t>24019</t>
  </si>
  <si>
    <t>37.33734</t>
  </si>
  <si>
    <t>-79.9992</t>
  </si>
  <si>
    <t>https://www.roanokerambler.com/with-1-billion-google-data-center-deal-inked-the-roanoke-valley-enters-the-game/</t>
  </si>
  <si>
    <t>https://roanoke.org/real-estate/roanoke-county-center-for-research-technology/</t>
  </si>
  <si>
    <t>Google Data Center: Summit View Business Park "Project Flash"</t>
  </si>
  <si>
    <t>east and west of Brick Church Rd</t>
  </si>
  <si>
    <t>Rocky Mount</t>
  </si>
  <si>
    <t>24151</t>
  </si>
  <si>
    <t>37.07742</t>
  </si>
  <si>
    <t>-79.9252</t>
  </si>
  <si>
    <t>https://www.yesfranklincountyva.org/228/Summit-View-Business-Park</t>
  </si>
  <si>
    <t>https://www.datacenterdynamics.com/en/news/crusoe-linked-to-potential-data-center-project-in-franklin-county-virginia/</t>
  </si>
  <si>
    <t>Green Energy Center</t>
  </si>
  <si>
    <t>HOG ISLAND ROAD</t>
  </si>
  <si>
    <t>Rushmere</t>
  </si>
  <si>
    <t>23883</t>
  </si>
  <si>
    <t>Surry</t>
  </si>
  <si>
    <t>37.152023</t>
  </si>
  <si>
    <t>-76.685074</t>
  </si>
  <si>
    <t>Green Energy Partners</t>
  </si>
  <si>
    <t>641</t>
  </si>
  <si>
    <t>https://www.datacenterfrontier.com/energy/article/33010239/onsite-energy-plans-for-new-data-center-projects-reflect-industrys-decarbonization-investment</t>
  </si>
  <si>
    <t>ADP Ladysmith Data Hub</t>
  </si>
  <si>
    <t>18577 GREEN RD</t>
  </si>
  <si>
    <t>Ruther Glen</t>
  </si>
  <si>
    <t>38.00433</t>
  </si>
  <si>
    <t>-77.50445</t>
  </si>
  <si>
    <t>https://co.caroline.va.us/DocumentCenter/View/10347/RZ-02-2025-SPEX-06-2025-Ladysmith-Data-Hub?bidId=</t>
  </si>
  <si>
    <t>Airlee Industrial and Data Center Site</t>
  </si>
  <si>
    <t>Intersection of Rt. 1 and CCC Road</t>
  </si>
  <si>
    <t>37.997375</t>
  </si>
  <si>
    <t>-77.50243</t>
  </si>
  <si>
    <t>184</t>
  </si>
  <si>
    <t>https://sites.vedp.org/virginia/propertyid/286091</t>
  </si>
  <si>
    <t>Carmel Church Data Hub</t>
  </si>
  <si>
    <t>Welcom Way Dr</t>
  </si>
  <si>
    <t>37.939327</t>
  </si>
  <si>
    <t>-77.477974</t>
  </si>
  <si>
    <t>W &amp; F PARTNERS</t>
  </si>
  <si>
    <t>https://co.caroline.va.us/DocumentCenter/View/9366/RZ-03-2023--Carmel-Church-Data-Hub</t>
  </si>
  <si>
    <t>Carmel Technology &amp; Enterprise Center</t>
  </si>
  <si>
    <t>Jericho Road, west of the intersection
 of Jericho Road, Rogers Clark Blvd. &amp; U.S. Route 1</t>
  </si>
  <si>
    <t>37.924026</t>
  </si>
  <si>
    <t>-77.50552</t>
  </si>
  <si>
    <t>5,600,000</t>
  </si>
  <si>
    <t>1196</t>
  </si>
  <si>
    <t>https://co.caroline.va.us/DocumentCenter/View/9994/RZ-06-2024-Luck-Stone-CTEC</t>
  </si>
  <si>
    <t>Caroline Center for Innovation</t>
  </si>
  <si>
    <t>23286 CARNEAL LN</t>
  </si>
  <si>
    <t>37.942783</t>
  </si>
  <si>
    <t>-77.41627</t>
  </si>
  <si>
    <t>278</t>
  </si>
  <si>
    <t>https://co.caroline.va.us/DocumentCenter/View/10157/RZ-01-2025-Caroline-Ctr-for-Innovation</t>
  </si>
  <si>
    <t>Caroline Center for Innovation - North</t>
  </si>
  <si>
    <t>13039 Mickey's Wy</t>
  </si>
  <si>
    <t>37.95119</t>
  </si>
  <si>
    <t>-77.42421</t>
  </si>
  <si>
    <t>https://co.caroline.va.us/DocumentCenter/View/10428/SPEX-08-2025-Caroline-Ctr-for-Innov-North---Reedy-Church</t>
  </si>
  <si>
    <t>CleanArc Data Center (VA1)</t>
  </si>
  <si>
    <t>8436 Ladysmith Rd</t>
  </si>
  <si>
    <t>38.01594</t>
  </si>
  <si>
    <t>-77.4973</t>
  </si>
  <si>
    <t>https://www.datacenterdynamics.com/en/news/cleanarc-gets-green-light-for-600mw-data-center-campus-in-caroline-county-virginia/</t>
  </si>
  <si>
    <t>https://www.datacenterdynamics.com/en/news/cleanarc-breaks-ground-on-900mw-data-center-campus-in-virginia/</t>
  </si>
  <si>
    <t>https://www.governor.virginia.gov/newsroom/news-releases/2025/november/name-1071533-en.html</t>
  </si>
  <si>
    <t>Thornberry Data Center Campus</t>
  </si>
  <si>
    <t>23202 Carneal Lane</t>
  </si>
  <si>
    <t>37.95416</t>
  </si>
  <si>
    <t>-77.40686</t>
  </si>
  <si>
    <t>1002</t>
  </si>
  <si>
    <t>Property straddles CSX railroad line</t>
  </si>
  <si>
    <t>https://co.caroline.va.us/DocumentCenter/View/10426/RZ-03-2025-Thornberry-LLC-Reedy-Church</t>
  </si>
  <si>
    <t>VALCO Data Center Park</t>
  </si>
  <si>
    <t>Mt Airy Road</t>
  </si>
  <si>
    <t>37.924103</t>
  </si>
  <si>
    <t>-77.54387</t>
  </si>
  <si>
    <t>VALCO CAROLINE COUNTY</t>
  </si>
  <si>
    <t>1,216,000</t>
  </si>
  <si>
    <t>https://co.caroline.va.us/AgendaCenter/ViewFile/Item/5593?fileID=9447</t>
  </si>
  <si>
    <t>5499 Mt Airy Dr</t>
  </si>
  <si>
    <t>37.93823</t>
  </si>
  <si>
    <t>-77.54898</t>
  </si>
  <si>
    <t>Facility size estimated between 750,000-2,500,000 sq feet</t>
  </si>
  <si>
    <t>01/24/2026</t>
  </si>
  <si>
    <t>Valo Park</t>
  </si>
  <si>
    <t>7950 JONES BRANCH DR</t>
  </si>
  <si>
    <t>38.932384</t>
  </si>
  <si>
    <t>-77.21859</t>
  </si>
  <si>
    <t>TAMARES 7950 OWNER LLC</t>
  </si>
  <si>
    <t>842,366</t>
  </si>
  <si>
    <t>https://icare.fairfaxcounty.gov/ffxcare/Datalets/Datalet.aspx?mode=&amp;UseSearch=no&amp;pin=0292%2015%20%20%20%20%20%20C1&amp;jur=129&amp;taxyr=2025</t>
  </si>
  <si>
    <t>Glenmary Dr</t>
  </si>
  <si>
    <t>24153</t>
  </si>
  <si>
    <t>37.2685</t>
  </si>
  <si>
    <t>-80.1678</t>
  </si>
  <si>
    <t>Atlantic Crossing</t>
  </si>
  <si>
    <t>2801 OLD WILLIAMSBURG RD</t>
  </si>
  <si>
    <t>Sandston</t>
  </si>
  <si>
    <t>23150</t>
  </si>
  <si>
    <t>37.504288</t>
  </si>
  <si>
    <t>-77.26043</t>
  </si>
  <si>
    <t>ATLANTIC CROSSING LLC</t>
  </si>
  <si>
    <t>662</t>
  </si>
  <si>
    <t>https://www.datacenterdynamics.com/en/news/hourigan-files-for-320-acre-data-center-campus-outside-richmond-virginia/?emci=44212ab4-0fa0-ee11-bea1-002248223f36&amp;emdi=712e0f52-37a0-ee11-bea1-002248223f36&amp;ceid=11786847</t>
  </si>
  <si>
    <t>https://realestate.henrico.us/ords/cam/f?p=510101:5:::NO::P5_PARCEL_ID,P5_SEARCH_TYPE:840-713-3163,0</t>
  </si>
  <si>
    <t>05/16/2024</t>
  </si>
  <si>
    <t>Bank of America</t>
  </si>
  <si>
    <t>6050 TECHNOLOGY CREEK DR</t>
  </si>
  <si>
    <t>37.495663</t>
  </si>
  <si>
    <t>-77.23808</t>
  </si>
  <si>
    <t>382,408</t>
  </si>
  <si>
    <t>https://realestate.henrico.us/ords/cam/f?p=510101:5:::NO::P5_PARCEL_ID,P5_SEARCH_TYPE:849-706-0950,0</t>
  </si>
  <si>
    <t>Meta Henrico Data Center</t>
  </si>
  <si>
    <t>6200 TECHNOLOGY BLVD</t>
  </si>
  <si>
    <t>37.48185</t>
  </si>
  <si>
    <t>-77.236465</t>
  </si>
  <si>
    <t>320,459</t>
  </si>
  <si>
    <t>square footage may be underreported</t>
  </si>
  <si>
    <t>https://realestate.henrico.us/ords/cam/f?p=510101:5:::NO:::</t>
  </si>
  <si>
    <t>Meta Richmond Data Center</t>
  </si>
  <si>
    <t>7301 TECHNOLOGY BLVD</t>
  </si>
  <si>
    <t>37.47831</t>
  </si>
  <si>
    <t>-77.22688</t>
  </si>
  <si>
    <t>338,899</t>
  </si>
  <si>
    <t>https://realestate.henrico.us/ords/cam/f?p=510101:5:::NO::P5_PARCEL_ID,P5_SEARCH_TYPE:852-700-2714,0</t>
  </si>
  <si>
    <t>Project Tropical</t>
  </si>
  <si>
    <t>3951 PORTUGEE RD</t>
  </si>
  <si>
    <t>37.4738</t>
  </si>
  <si>
    <t>-77.23478</t>
  </si>
  <si>
    <t>675,000</t>
  </si>
  <si>
    <t>White Oak Tech Park Expansion</t>
  </si>
  <si>
    <t>https://www3.co.henrico.va.us/comments/main.php?Permit=POD2022-00605&amp;Action=related&amp;Submit=Submit</t>
  </si>
  <si>
    <t>https://realestate.henrico.us/ords/cam/f?p=510101:5:::NO::P5_PARCEL_ID,P5_SEARCH_TYPE:850-698-1623,0</t>
  </si>
  <si>
    <t>Sandston Data Center Campus</t>
  </si>
  <si>
    <t>5900 Technology Blvd</t>
  </si>
  <si>
    <t>37.47669</t>
  </si>
  <si>
    <t>-77.2329</t>
  </si>
  <si>
    <t>https://www.datacenterdynamics.com/en/news/qts-files-to-expand-richmond-data-center-campus-in-virginia/</t>
  </si>
  <si>
    <t>White Oak Tech Park (QTS)</t>
  </si>
  <si>
    <t>6000 TECHNOLOGY BLVD</t>
  </si>
  <si>
    <t>37.489464</t>
  </si>
  <si>
    <t>-77.24603</t>
  </si>
  <si>
    <t>769,186</t>
  </si>
  <si>
    <t>210</t>
  </si>
  <si>
    <t>https://realestate.henrico.us/ords/cam/f?p=510101:5:::NO::P5_PARCEL_ID,P5_SEARCH_TYPE:846-703-0495,0</t>
  </si>
  <si>
    <t>https://richmondbizsense.com/2026/05/18/data-center-giant-qts-preparing-1100-acre-expansion-that-would-add-17-buildings-to-its-henrico-hub/</t>
  </si>
  <si>
    <t>Hillcrest Data Center</t>
  </si>
  <si>
    <t>49 COUNTRY LANE</t>
  </si>
  <si>
    <t>South Hill</t>
  </si>
  <si>
    <t>23970</t>
  </si>
  <si>
    <t>36.70315</t>
  </si>
  <si>
    <t>-78.12708</t>
  </si>
  <si>
    <t>153</t>
  </si>
  <si>
    <t>https://www.datacenterdynamics.com/en/news/microsoft-files-for-permit-to-build-data-center-campus-in-mecklenburg-county-virginia/</t>
  </si>
  <si>
    <t>https://mecklenburg.cama.concisesystems.com/PropertyPage.aspx?id=39166&amp;direct=1</t>
  </si>
  <si>
    <t>260 Butts St</t>
  </si>
  <si>
    <t>36.70687</t>
  </si>
  <si>
    <t>-78.1278</t>
  </si>
  <si>
    <t>South Hill Data Center Campus</t>
  </si>
  <si>
    <t>Tunstall Rd</t>
  </si>
  <si>
    <t>36.74631</t>
  </si>
  <si>
    <t>-78.1018</t>
  </si>
  <si>
    <t>AWS H&amp;M Property</t>
  </si>
  <si>
    <t>25500 MEADOWDALE DR</t>
  </si>
  <si>
    <t>South Riding</t>
  </si>
  <si>
    <t>38.92111</t>
  </si>
  <si>
    <t>-77.4863</t>
  </si>
  <si>
    <t>274,000</t>
  </si>
  <si>
    <t>Computer Center. 274,000 sq ft, Building A, complete as of 2023. This parcel is likely to be subdivided after construction is complete. Building C expansion 259,000 sq ft and Building H expansion 259,000 sq ft proposed within original parcel. Additional expansion outside of original parcel 958,000 sq ft</t>
  </si>
  <si>
    <t>https://www.loudountimes.com/news/loudoun-planning-commission-signs-off-on-amazon-data-center-project/article_0e17ff90-d1be-11ea-9103-bb61a9f22c3a.html</t>
  </si>
  <si>
    <t>https://reparcelasmt.loudoun.gov/pt/Datalets/Datalet.aspx?UseSearch=no&amp;mode=profileall&amp;pin=096183926000&amp;jur=107&amp;taxyr=2024</t>
  </si>
  <si>
    <t>https://loudouncountyvaeg.tylerhost.net/prod/selfservice#/plan/4922d1ce-97e0-4321-ade6-f449aace6208?tab=moreinfo</t>
  </si>
  <si>
    <t>Firefox Dulles</t>
  </si>
  <si>
    <t>44150 WADE DR</t>
  </si>
  <si>
    <t>38.920612</t>
  </si>
  <si>
    <t>-77.472885</t>
  </si>
  <si>
    <t>Brian Clifford/DLA PIPER LLP (US)</t>
  </si>
  <si>
    <t>641,451</t>
  </si>
  <si>
    <t>https://loudouncountyvaeg.tylerhost.net/prod/selfservice#/plan/78E3A554-EEDF-454D-B64F-9980B4A2E471?tab=attachments</t>
  </si>
  <si>
    <t>https://reparcelasmt.loudoun.gov/pt/Datalets/Datalet.aspx?UseSearch=no&amp;mode=profileall&amp;pin=097409598000&amp;jur=107&amp;taxyr=2024</t>
  </si>
  <si>
    <t>Sutton Bay</t>
  </si>
  <si>
    <t>25800 SUTTON BAY PLZ</t>
  </si>
  <si>
    <t>38.91631</t>
  </si>
  <si>
    <t>-77.47834</t>
  </si>
  <si>
    <t>https://reparcelasmt.loudoun.gov/pt/datalets/datalet.aspx?mode=profileall&amp;UseSearch=no&amp;pin=097398776000&amp;jur=107&amp;taxyr=2024&amp;LMparent=20</t>
  </si>
  <si>
    <t>Gateway Commerce Center</t>
  </si>
  <si>
    <t>5654 Hickory Ridge RD</t>
  </si>
  <si>
    <t>22551</t>
  </si>
  <si>
    <t>38.165024</t>
  </si>
  <si>
    <t>-77.529495</t>
  </si>
  <si>
    <t>203</t>
  </si>
  <si>
    <t>https://www.spotsylvania.va.us/DocumentCenter/View/24117/Executed-Proffer-Statement-</t>
  </si>
  <si>
    <t>https://gis.spotsylvania.va.us/spotsylvania/#/mwl?zoom=16&amp;location=-77.529108_38.165611</t>
  </si>
  <si>
    <t>SpotsyTech Campus</t>
  </si>
  <si>
    <t>West of I-95, east of N Roxbury Mill Rd</t>
  </si>
  <si>
    <t>Spotsylvania Courthouse</t>
  </si>
  <si>
    <t>38.159935</t>
  </si>
  <si>
    <t>-77.51494</t>
  </si>
  <si>
    <t>https://www.datacenterdynamics.com/en/news/new-29-million-sq-ft-technology-park-proposed-in-spotsylvania-county-virginia/</t>
  </si>
  <si>
    <t>AWS Loisdale Station</t>
  </si>
  <si>
    <t>7961 Loisdale Rd</t>
  </si>
  <si>
    <t>22150</t>
  </si>
  <si>
    <t>38.742268</t>
  </si>
  <si>
    <t>-77.186424</t>
  </si>
  <si>
    <t>https://icare.fairfaxcounty.gov/ffxcare/Datalets/Datalet.aspx?mode=&amp;UseSearch=no&amp;pin=0992%2001%20%200008A&amp;jur=129&amp;taxyr=2025</t>
  </si>
  <si>
    <t>VA 95 BUILDING NINE LP</t>
  </si>
  <si>
    <t>7600 BOSTON BLVD</t>
  </si>
  <si>
    <t>22153</t>
  </si>
  <si>
    <t>38.739193</t>
  </si>
  <si>
    <t>-77.20798</t>
  </si>
  <si>
    <t>69,832</t>
  </si>
  <si>
    <t>https://icare.fairfaxcounty.gov/ffxcare/Datalets/Datalet.aspx?mode=&amp;UseSearch=no&amp;pin=0991%2012%20%200010&amp;jur=129&amp;taxyr=2025</t>
  </si>
  <si>
    <t>Accokeek Center</t>
  </si>
  <si>
    <t>RT 1/Interstate 95 South of Rappahannock Regional Jail</t>
  </si>
  <si>
    <t>Stafford</t>
  </si>
  <si>
    <t>22554</t>
  </si>
  <si>
    <t>38.403713</t>
  </si>
  <si>
    <t>-77.427</t>
  </si>
  <si>
    <t>520,000</t>
  </si>
  <si>
    <t>https://cdn.staffordcountyva.gov/Planning%20and%20Zoning/Development%20Review%20Meetings-Applications/December%202024/Accokeek%20Reclass/4-%20%20Generalized%20Development%20Plan%20(GDP)%20-%20Accokeek%20Center.pdf</t>
  </si>
  <si>
    <t>https://va-stafford-assessor.publicaccessnow.com/PropertySearch/PropertyDetails.aspx?p=38%20%20%20%20%20%20%20%2096&amp;a=23952</t>
  </si>
  <si>
    <t>Austin Ridge Logisitics Center</t>
  </si>
  <si>
    <t>End of Cedar Lane, Hartwood</t>
  </si>
  <si>
    <t>38.4145</t>
  </si>
  <si>
    <t>-77.43574</t>
  </si>
  <si>
    <t>https://va-stafford-assessor.publicaccessnow.com/PropertySearch/PropertyDetails.aspx?p=38%20%20%20%20%20%20%20%2068&amp;a=23899</t>
  </si>
  <si>
    <t>GWV</t>
  </si>
  <si>
    <t>Ramoth Church Rd, Courthouse Road, and 95</t>
  </si>
  <si>
    <t>38.419758</t>
  </si>
  <si>
    <t>-77.44698</t>
  </si>
  <si>
    <t>This project covers multiple parcels. The total acreage has been represented here. May be associated with Woodcutter and Surveyor substations</t>
  </si>
  <si>
    <t>https://www.fxbgadvance.com/p/developer-seeks-rezoning-for-79-million</t>
  </si>
  <si>
    <t>https://va-stafford-assessor.publicaccessnow.com/PropertySearch/PropertyDetails.aspx?p=29%20%20%20%20%20%20%20%2082&amp;a=18107</t>
  </si>
  <si>
    <t>Old Potomac Church Data Center</t>
  </si>
  <si>
    <t>Old Potomac Church Road</t>
  </si>
  <si>
    <t>38.411324</t>
  </si>
  <si>
    <t>-77.40424</t>
  </si>
  <si>
    <t>510,000</t>
  </si>
  <si>
    <t>https://staffordcountyva.gov/government/departments_p-z/planning_and_zoning/long_range/rezonings,_cups,_comp_plan_amendments/development_review_meetings_new_applications.php</t>
  </si>
  <si>
    <t>Stack Data Center</t>
  </si>
  <si>
    <t>~350 Eskimo Hill Rd</t>
  </si>
  <si>
    <t>38.38504</t>
  </si>
  <si>
    <t>-77.4276</t>
  </si>
  <si>
    <t>Up to 19 data centers in complex</t>
  </si>
  <si>
    <t>https://www.datacenterdynamics.com/en/news/stack-plans-1gw-campus-in-stafford-county-virginia/</t>
  </si>
  <si>
    <t>Stafford Technology Campus</t>
  </si>
  <si>
    <t>east side of Richmond Highway, across from Sage Lane</t>
  </si>
  <si>
    <t>38.38512</t>
  </si>
  <si>
    <t>-77.43162</t>
  </si>
  <si>
    <t>524</t>
  </si>
  <si>
    <t>113 EXECUTIVE DR Prologis</t>
  </si>
  <si>
    <t>113 EXECUTIVE DR</t>
  </si>
  <si>
    <t>38.99067</t>
  </si>
  <si>
    <t>-77.44434</t>
  </si>
  <si>
    <t>Flex, Industrial</t>
  </si>
  <si>
    <t>https://www.datacenterdynamics.com/en/news/prologis-seeks-rezoning-of-land-sterling-virginia-possibly-for-data-centers/</t>
  </si>
  <si>
    <t>https://reparcelasmt.loudoun.gov/pt/Datalets/Datalet.aspx?mode=commercial&amp;UseSearch=no&amp;pin=045269479000&amp;jur=107&amp;taxyr=2024&amp;card=2&amp;item=0&amp;State=1|1|1|1|1&amp;items=4</t>
  </si>
  <si>
    <t>1304 SQUIRE CT</t>
  </si>
  <si>
    <t>39.02153</t>
  </si>
  <si>
    <t>-77.43476</t>
  </si>
  <si>
    <t>ELECTRIC BUILDING LLC</t>
  </si>
  <si>
    <t>36,000</t>
  </si>
  <si>
    <t>https://reparcelasmt.loudoun.gov/pt/datalets/datalet.aspx?mode=profileall&amp;UseSearch=no&amp;pin=042295813000&amp;jur=107&amp;taxyr=2024&amp;LMparent=20</t>
  </si>
  <si>
    <t>1501 Moran Road</t>
  </si>
  <si>
    <t>38.995197</t>
  </si>
  <si>
    <t>-77.44623</t>
  </si>
  <si>
    <t>EdgeCore Digital/Partners Group</t>
  </si>
  <si>
    <t>https://loudouncountyvaeg.tylerhost.net/prod/selfservice#/plan/49535f6c-c976-4052-b47c-bc3f6488a7aa?tab=attachments</t>
  </si>
  <si>
    <t>https://reparcelasmt.loudoun.gov/pt/Datalets/Datalet.aspx?UseSearch=no&amp;mode=profileall&amp;pin=045465016000&amp;jur=107&amp;taxyr=2024</t>
  </si>
  <si>
    <t>21641 CHARLES VIEW DR</t>
  </si>
  <si>
    <t>39.017963</t>
  </si>
  <si>
    <t>-77.43968</t>
  </si>
  <si>
    <t>685,682</t>
  </si>
  <si>
    <t>https://reparcelasmt.loudoun.gov/pt/datalets/datalet.aspx?mode=profileall&amp;UseSearch=no&amp;pin=043482656000&amp;jur=107&amp;taxyr=2024&amp;LMparent=20</t>
  </si>
  <si>
    <t>22350 KIPPER DR AWS</t>
  </si>
  <si>
    <t>22350 KIPPER DR</t>
  </si>
  <si>
    <t>38.99509</t>
  </si>
  <si>
    <t>-77.43511</t>
  </si>
  <si>
    <t>203,460</t>
  </si>
  <si>
    <t>https://reparcelasmt.loudoun.gov/pt/datalets/datalet.aspx?mode=commercial&amp;UseSearch=no&amp;pin=045494813000&amp;jur=107&amp;taxyr=2024&amp;LMparent=20</t>
  </si>
  <si>
    <t>22370 KIPPER DR AWS</t>
  </si>
  <si>
    <t>22370 KIPPER DR</t>
  </si>
  <si>
    <t>38.996964</t>
  </si>
  <si>
    <t>-77.43581</t>
  </si>
  <si>
    <t>https://reparcelasmt.loudoun.gov/pt/datalets/datalet.aspx?mode=commercial&amp;UseSearch=no&amp;pin=044193385000&amp;jur=107&amp;taxyr=2024&amp;LMparent=20</t>
  </si>
  <si>
    <t>22660 Executive Dr Prologis</t>
  </si>
  <si>
    <t>22660 Executive Dr</t>
  </si>
  <si>
    <t>38.989754</t>
  </si>
  <si>
    <t>-77.44206</t>
  </si>
  <si>
    <t>Flex, Industrial (Formerly PEC-LDN-0045)</t>
  </si>
  <si>
    <t>https://reparcelasmt.loudoun.gov/pt/Datalets/Datalet.aspx?UseSearch=no&amp;mode=profileall&amp;pin=045274849000&amp;jur=107&amp;taxyr=2024</t>
  </si>
  <si>
    <t>22945 INTERNATIONAL DR AWS</t>
  </si>
  <si>
    <t>22945 INTERNATIONAL DR</t>
  </si>
  <si>
    <t>38.98216</t>
  </si>
  <si>
    <t>-77.42751</t>
  </si>
  <si>
    <t>147,900</t>
  </si>
  <si>
    <t>https://reparcelasmt.loudoun.gov/pt/Datalets/Datalet.aspx?UseSearch=no&amp;mode=profileall&amp;pin=034357851000&amp;jur=107&amp;taxyr=2024</t>
  </si>
  <si>
    <t>23005 INTERNATIONAL DR</t>
  </si>
  <si>
    <t>38.98</t>
  </si>
  <si>
    <t>-77.42562</t>
  </si>
  <si>
    <t>DULLES NCP II LLC</t>
  </si>
  <si>
    <t>169,960</t>
  </si>
  <si>
    <t>https://reparcelasmt.loudoun.gov/pt/datalets/datalet.aspx?mode=profileall&amp;UseSearch=no&amp;pin=034263373000&amp;jur=107&amp;taxyr=2024&amp;LMparent=20</t>
  </si>
  <si>
    <t>45845 NOKES BLVD</t>
  </si>
  <si>
    <t>39.02387</t>
  </si>
  <si>
    <t>-77.41527</t>
  </si>
  <si>
    <t>MEDINA DC 2 ASSETS LLC</t>
  </si>
  <si>
    <t>79,300</t>
  </si>
  <si>
    <t>https://cloudandcolocation.com/datacenters/cyxtera-sterling-data-center-iad1-b/</t>
  </si>
  <si>
    <t>https://reparcelasmt.loudoun.gov/pt/Datalets/Datalet.aspx?UseSearch=no&amp;mode=profileall&amp;pin=030391106000&amp;jur=107&amp;taxyr=2024</t>
  </si>
  <si>
    <t>Aligned: IAD03</t>
  </si>
  <si>
    <t>22715 Relocation Dr</t>
  </si>
  <si>
    <t>38.98857</t>
  </si>
  <si>
    <t>-77.4409</t>
  </si>
  <si>
    <t>Vantage Data Centers VA2 LLC; Ryan Dorsett</t>
  </si>
  <si>
    <t>Computer Center. Traffic study references "453,377 sq ft of data center", but building appears complete</t>
  </si>
  <si>
    <t>https://www.datacenterdynamics.com/en/news/aligned-files-to-extend-second-sterling-campus-in-virginia/</t>
  </si>
  <si>
    <t>https://loudouncountyvaeg.tylerhost.net/prod/selfservice#/plan/1EA54DC9-FFF0-40F8-AF9A-F9F78538C9FA?tab=locations</t>
  </si>
  <si>
    <t>https://reparcelasmt.loudoun.gov/pt/Datalets/Datalet.aspx?UseSearch=no&amp;mode=profileall&amp;pin=045279612000&amp;jur=107&amp;taxyr=2024</t>
  </si>
  <si>
    <t>AWS: IAD58</t>
  </si>
  <si>
    <t>22745 Relocation Dr</t>
  </si>
  <si>
    <t>38.98633</t>
  </si>
  <si>
    <t>-77.4419</t>
  </si>
  <si>
    <t>251,091</t>
  </si>
  <si>
    <t>https://reparcelasmt.loudoun.gov/pt/datalets/datalet.aspx?mode=profileall&amp;UseSearch=no&amp;pin=045175529000&amp;jur=107&amp;taxyr=2024&amp;LMparent=20</t>
  </si>
  <si>
    <t>C1 NORTHERN VA - STERLING I-III</t>
  </si>
  <si>
    <t>21111 Ridgetop</t>
  </si>
  <si>
    <t>39.026066</t>
  </si>
  <si>
    <t>-77.414536</t>
  </si>
  <si>
    <t>420,000</t>
  </si>
  <si>
    <t>Tax maps do not display square footage</t>
  </si>
  <si>
    <t>https://reparcelasmt.loudoun.gov/pt/datalets/datalet.aspx?mode=profileall&amp;UseSearch=no&amp;pin=030393965001&amp;jur=107&amp;taxyr=2024&amp;LMparent=20</t>
  </si>
  <si>
    <t>CORSCALE VA2 BLDG 1</t>
  </si>
  <si>
    <t>45695 RUSSELL BRANCH PKWY</t>
  </si>
  <si>
    <t>39.03804</t>
  </si>
  <si>
    <t>-77.433716</t>
  </si>
  <si>
    <t>Acreage for Building 1, unclear if there will be additional buildings on this site</t>
  </si>
  <si>
    <t>https://loudouncountyvaeg.tylerhost.net/prod/selfservice#/plan/F79A57A3-38E2-4887-BD02-B5B691CD8ABF?tab=attachments</t>
  </si>
  <si>
    <t>https://reparcelasmt.loudoun.gov/pt/datalets/datalet.aspx?mode=land_summary&amp;UseSearch=no&amp;pin=041398662000&amp;jur=107&amp;taxyr=2025&amp;LMparent=20</t>
  </si>
  <si>
    <t>CPUS STERLING LP</t>
  </si>
  <si>
    <t>45900 PATHFINDER PLZ</t>
  </si>
  <si>
    <t>20164</t>
  </si>
  <si>
    <t>38.987747</t>
  </si>
  <si>
    <t>-77.410866</t>
  </si>
  <si>
    <t>441,780</t>
  </si>
  <si>
    <t>https://reparcelasmt.loudoun.gov/pt/datalets/datalet.aspx?mode=profileall&amp;UseSearch=no&amp;pin=033201325000&amp;jur=107&amp;taxyr=2024&amp;LMparent=20</t>
  </si>
  <si>
    <t>CYXTERA COLOCATION</t>
  </si>
  <si>
    <t>21110 RIDGETOP CIR</t>
  </si>
  <si>
    <t>39.0248</t>
  </si>
  <si>
    <t>-77.41234</t>
  </si>
  <si>
    <t>135,500</t>
  </si>
  <si>
    <t>https://cloudandcolocation.com/datacenters/cyxtera-sterling-data-center-iad1-c/</t>
  </si>
  <si>
    <t>https://reparcelasmt.loudoun.gov/pt/datalets/datalet.aspx?mode=profileall&amp;UseSearch=no&amp;pin=030399036000&amp;jur=107&amp;taxyr=2024&amp;LMparent=20</t>
  </si>
  <si>
    <t>CYXTERA DC2 COLOCATION</t>
  </si>
  <si>
    <t>45901 NOKES BLVD</t>
  </si>
  <si>
    <t>39.023247</t>
  </si>
  <si>
    <t>-77.413185</t>
  </si>
  <si>
    <t>89,072</t>
  </si>
  <si>
    <t>https://cloudandcolocation.com/datacenters/cyxtera-sterling-data-center-iad1-a/</t>
  </si>
  <si>
    <t>https://reparcelasmt.loudoun.gov/pt/datalets/datalet.aspx?mode=profileall&amp;UseSearch=no&amp;pin=030297084000&amp;jur=107&amp;taxyr=2024&amp;LMparent=20</t>
  </si>
  <si>
    <t>DATA CENTER BUILDING C</t>
  </si>
  <si>
    <t>22631 DULLES SUMMIT CT</t>
  </si>
  <si>
    <t>38.99172</t>
  </si>
  <si>
    <t>-77.448555</t>
  </si>
  <si>
    <t>DCT DULLES PHASE II LLC</t>
  </si>
  <si>
    <t>103,000</t>
  </si>
  <si>
    <t>https://reparcelasmt.loudoun.gov/pt/datalets/datalet.aspx?mode=commercial&amp;UseSearch=no&amp;pin=045358110000&amp;jur=107&amp;taxyr=2024&amp;LMparent=20</t>
  </si>
  <si>
    <t>DC 21/IAD 98</t>
  </si>
  <si>
    <t>45305 W SEVERN WAY</t>
  </si>
  <si>
    <t>39.01946</t>
  </si>
  <si>
    <t>-77.434006</t>
  </si>
  <si>
    <t>BCORE COPT DC-21 LLC</t>
  </si>
  <si>
    <t>296,380</t>
  </si>
  <si>
    <t>https://reparcelasmt.loudoun.gov/pt/datalets/datalet.aspx?mode=profileall&amp;UseSearch=no&amp;pin=042197707000&amp;jur=107&amp;taxyr=2024&amp;LMparent=20</t>
  </si>
  <si>
    <t>DCT DULLES DOWNS Land Bay A</t>
  </si>
  <si>
    <t>45111 LOUDOUN DOWNS LN</t>
  </si>
  <si>
    <t>38.991177</t>
  </si>
  <si>
    <t>-77.44137</t>
  </si>
  <si>
    <t>DCT DULLES DOWNS LLC</t>
  </si>
  <si>
    <t>287,460</t>
  </si>
  <si>
    <t>Data center built in 2016. Proposed redevelopment of an existing data center that would add 896,837 sq feet (total of 1,184,297 sq feet) to the site</t>
  </si>
  <si>
    <t>https://loudouncountyvaeg.tylerhost.net/prod/selfservice#/plan/dd507a64-937f-48d0-9d28-0357c26a6a7e?tab=attachments</t>
  </si>
  <si>
    <t>https://reparcelasmt.loudoun.gov/pt/Datalets/Datalet.aspx?UseSearch=no&amp;mode=profileall&amp;pin=045282657000&amp;jur=107&amp;taxyr=2025</t>
  </si>
  <si>
    <t>DCT DULLES DOWNS Land Bay B</t>
  </si>
  <si>
    <t>22685 RELOCATION DR</t>
  </si>
  <si>
    <t>38.98938</t>
  </si>
  <si>
    <t>-77.43785</t>
  </si>
  <si>
    <t>670,953</t>
  </si>
  <si>
    <t>Proposed redevelopment of an existing data center that would add 670,953 sq feet (total of 814,516 sq feet) to the site</t>
  </si>
  <si>
    <t>https://reparcelasmt.loudoun.gov/pt/Datalets/Datalet.aspx?UseSearch=no&amp;mode=profileall&amp;pin=045391908000&amp;jur=107&amp;taxyr=2025</t>
  </si>
  <si>
    <t>45220 PROLOGIS PLZ</t>
  </si>
  <si>
    <t>38.990135</t>
  </si>
  <si>
    <t>-77.437294</t>
  </si>
  <si>
    <t>143,563</t>
  </si>
  <si>
    <t>Data centers built between 2012 and 2014</t>
  </si>
  <si>
    <t>DCT DULLES PHASE II</t>
  </si>
  <si>
    <t>22651 DULLES SUMMIT CT</t>
  </si>
  <si>
    <t>38.988132</t>
  </si>
  <si>
    <t>-77.450516</t>
  </si>
  <si>
    <t>75,800</t>
  </si>
  <si>
    <t>https://reparcelasmt.loudoun.gov/pt/datalets/datalet.aspx?mode=profileall&amp;UseSearch=no&amp;pin=045254455000&amp;jur=107&amp;taxyr=2024&amp;LMparent=20</t>
  </si>
  <si>
    <t>DIGITAL STERLING PREMIER</t>
  </si>
  <si>
    <t>22574 PACIFIC BLVD</t>
  </si>
  <si>
    <t>38.99004</t>
  </si>
  <si>
    <t>-77.43468</t>
  </si>
  <si>
    <t>DIGITAL STERLING PREMIER LLC</t>
  </si>
  <si>
    <t>258,252</t>
  </si>
  <si>
    <t>https://reparcelasmt.loudoun.gov/pt/Datalets/Datalet.aspx?sIndex=0&amp;idx=1</t>
  </si>
  <si>
    <t>Dulles 2000 Redevelopment</t>
  </si>
  <si>
    <t>38.975124</t>
  </si>
  <si>
    <t>-77.42687</t>
  </si>
  <si>
    <t>BCG JV Sterling LLC; Phil Tager</t>
  </si>
  <si>
    <t>530,550</t>
  </si>
  <si>
    <t>Rezoning does not cover the entire area included in the two parcels</t>
  </si>
  <si>
    <t>https://loudouncountyvaeg.tylerhost.net/prod/selfservice#/plan/06089816-10BD-4D2E-8A91-826D008AA2C4?tab=attachments</t>
  </si>
  <si>
    <t>https://reparcelasmt.loudoun.gov/pt/datalets/datalet.aspx?mode=profileall&amp;UseSearch=no&amp;pin=035457494000&amp;jur=107&amp;taxyr=2024&amp;LMparent=20</t>
  </si>
  <si>
    <t>Dulles 28 Technology Park</t>
  </si>
  <si>
    <t>45870 MEMPHIS PLZ</t>
  </si>
  <si>
    <t>39.0084</t>
  </si>
  <si>
    <t>-77.44291</t>
  </si>
  <si>
    <t>685,000</t>
  </si>
  <si>
    <t>https://www.datacenterdynamics.com/en/news/zoning-change-approved-in-sterling-virginia-paving-way-for-685000-sq-ft-data-center-development/</t>
  </si>
  <si>
    <t>https://reparcelasmt.loudoun.gov/pt/datalets/datalet.aspx?mode=profileall&amp;UseSearch=no&amp;pin=043171795000&amp;jur=107&amp;taxyr=2025&amp;LMparent=20</t>
  </si>
  <si>
    <t>Dulles Commerce</t>
  </si>
  <si>
    <t>23700 PEBBLE RUN PL</t>
  </si>
  <si>
    <t>38.961967</t>
  </si>
  <si>
    <t>-77.49829</t>
  </si>
  <si>
    <t>PROLOGIS-EXCHANGE 43461 OLD OX ROAD LLC</t>
  </si>
  <si>
    <t>441,175</t>
  </si>
  <si>
    <t>https://loudouncountyvaeg.tylerhost.net/prod/selfservice#/plan/f6c352b4-2c45-42eb-8aa1-1f4aa98da3b9?tab=attachments</t>
  </si>
  <si>
    <t>https://reparcelasmt.loudoun.gov/pt/Datalets/Datalet.aspx?UseSearch=no&amp;mode=profileall&amp;pin=124398485000&amp;jur=107&amp;taxyr=2025</t>
  </si>
  <si>
    <t>DULLES NCP LLC</t>
  </si>
  <si>
    <t>22916 INTERNATIONAL DR</t>
  </si>
  <si>
    <t>38.9824</t>
  </si>
  <si>
    <t>-77.42485</t>
  </si>
  <si>
    <t>203,200</t>
  </si>
  <si>
    <t>https://reparcelasmt.loudoun.gov/pt/Datalets/Datalet.aspx?UseSearch=no&amp;mode=profileall&amp;pin=034365461000&amp;jur=107&amp;taxyr=2024</t>
  </si>
  <si>
    <t>DULLES NORTH CORPORATE PARK 8</t>
  </si>
  <si>
    <t>38.995342</t>
  </si>
  <si>
    <t>-77.432556</t>
  </si>
  <si>
    <t>John Collich/BF SAUL REAL ESTATE INVESTMENT</t>
  </si>
  <si>
    <t>262,000</t>
  </si>
  <si>
    <t>https://www.bizjournals.com/washington/news/2023/01/30/saul-centers-dulles-north-corporate-park.html</t>
  </si>
  <si>
    <t>https://reparcelasmt.loudoun.gov/pt/Datalets/Datalet.aspx?UseSearch=no&amp;mode=profileall&amp;pin=045402669000&amp;jur=107&amp;taxyr=2024</t>
  </si>
  <si>
    <t>Dulles Trade Center West</t>
  </si>
  <si>
    <t>42670 TRADE WEST DR</t>
  </si>
  <si>
    <t>38.95402</t>
  </si>
  <si>
    <t>10 Trade West Drive LLC/Charles S Kuhn Manager</t>
  </si>
  <si>
    <t>386,800</t>
  </si>
  <si>
    <t>https://loudouncountyvaeg.tylerhost.net/prod/selfservice#/plan/1623A063-96C6-448D-91CC-B7B3E9DA7B8B?tab=attachments</t>
  </si>
  <si>
    <t>https://reparcelasmt.loudoun.gov/pt/Datalets/Datalet.aspx?UseSearch=no&amp;mode=profileall&amp;pin=161170879000&amp;jur=107&amp;taxyr=2024</t>
  </si>
  <si>
    <t>FR SUMMIT AWS</t>
  </si>
  <si>
    <t>22630 DULLES SUMMIT CT</t>
  </si>
  <si>
    <t>38.98871</t>
  </si>
  <si>
    <t>-77.44765</t>
  </si>
  <si>
    <t>FR SUMMIT LLC</t>
  </si>
  <si>
    <t>149,200</t>
  </si>
  <si>
    <t>https://reparcelasmt.loudoun.gov/pt/datalets/datalet.aspx?mode=profileall&amp;UseSearch=no&amp;pin=045159083000&amp;jur=107&amp;taxyr=2024&amp;LMparent=20</t>
  </si>
  <si>
    <t>GI TC 45360 SEVERN WAY LLC</t>
  </si>
  <si>
    <t>45360 W SEVERN WAY</t>
  </si>
  <si>
    <t>39.021675</t>
  </si>
  <si>
    <t>-77.432915</t>
  </si>
  <si>
    <t>126,900</t>
  </si>
  <si>
    <t>https://reparcelasmt.loudoun.gov/pt/datalets/datalet.aspx?mode=profileall&amp;UseSearch=no&amp;pin=042200988000&amp;jur=107&amp;taxyr=2024&amp;LMparent=20</t>
  </si>
  <si>
    <t>HORSESHOE DRIVE</t>
  </si>
  <si>
    <t>45925 HORSESHOE DR</t>
  </si>
  <si>
    <t>39.026024</t>
  </si>
  <si>
    <t>-77.411606</t>
  </si>
  <si>
    <t>481,220</t>
  </si>
  <si>
    <t>https://loudouncountyvaeg.tylerhost.net/prod/selfservice#/plan/8628ddc2-6e18-48aa-af54-fec33b62c2c2?tab=attachments</t>
  </si>
  <si>
    <t>https://reparcelasmt.loudoun.gov/pt/Datalets/Datalet.aspx?UseSearch=no&amp;mode=profileall&amp;pin=030300991000&amp;jur=107&amp;taxyr=2025</t>
  </si>
  <si>
    <t>IAD03</t>
  </si>
  <si>
    <t>22580 RELOCATION DR</t>
  </si>
  <si>
    <t>38.993076</t>
  </si>
  <si>
    <t>-77.43411</t>
  </si>
  <si>
    <t>180,355</t>
  </si>
  <si>
    <t>Square footage less than anticipated</t>
  </si>
  <si>
    <t>https://datacenterhawk.com/marketplace/providers/aligned-data-centers/22715-relocation-drive/iad03</t>
  </si>
  <si>
    <t>https://reparcelasmt.loudoun.gov/pt/datalets/datalet.aspx?mode=land_summary&amp;UseSearch=no&amp;pin=045399350000&amp;jur=107&amp;taxyr=2025&amp;LMparent=20</t>
  </si>
  <si>
    <t>IAD214</t>
  </si>
  <si>
    <t>22760 PACIFIC BLV</t>
  </si>
  <si>
    <t>38.986732</t>
  </si>
  <si>
    <t>-77.43558</t>
  </si>
  <si>
    <t>226,456</t>
  </si>
  <si>
    <t>https://reparcelasmt.loudoun.gov/pt/datalets/datalet.aspx?mode=commercial&amp;UseSearch=no&amp;pin=045195615000&amp;jur=107&amp;taxyr=2025&amp;LMparent=20</t>
  </si>
  <si>
    <t>IAD2 Evoque Cyxtera</t>
  </si>
  <si>
    <t>22810 INTERNATIONAL DR</t>
  </si>
  <si>
    <t>38.984196</t>
  </si>
  <si>
    <t>-77.42402</t>
  </si>
  <si>
    <t>22810-22860 INTERNATIONAL DRIVE LLC</t>
  </si>
  <si>
    <t>118,541</t>
  </si>
  <si>
    <t>https://cloudandcolocation.com/datacenters/cyxtera-sterling-data-center-iad2-a/</t>
  </si>
  <si>
    <t>https://reparcelasmt.loudoun.gov/pt/datalets/datalet.aspx?mode=profileall&amp;UseSearch=no&amp;pin=034468458000&amp;jur=107&amp;taxyr=2024&amp;LMparent=20</t>
  </si>
  <si>
    <t>IAD3 Evoque Cyxtera</t>
  </si>
  <si>
    <t>22995 WILDER CT</t>
  </si>
  <si>
    <t>38.98106</t>
  </si>
  <si>
    <t>-77.444336</t>
  </si>
  <si>
    <t>22995 WILDER COURT LLC</t>
  </si>
  <si>
    <t>130,400</t>
  </si>
  <si>
    <t>https://reparcelasmt.loudoun.gov/pt/datalets/datalet.aspx?mode=profileall&amp;UseSearch=no&amp;pin=046368231000&amp;jur=107&amp;taxyr=2024&amp;LMparent=20</t>
  </si>
  <si>
    <t>IAD57 Data Center</t>
  </si>
  <si>
    <t>22755 Relocation Dr</t>
  </si>
  <si>
    <t>38.98704</t>
  </si>
  <si>
    <t>-77.4426</t>
  </si>
  <si>
    <t>IAD76</t>
  </si>
  <si>
    <t>22520 RANDOLPH DR</t>
  </si>
  <si>
    <t>38.994057</t>
  </si>
  <si>
    <t>-77.45023</t>
  </si>
  <si>
    <t>FR RANDOLPH DRIVE LLC</t>
  </si>
  <si>
    <t>138,900</t>
  </si>
  <si>
    <t>https://reparcelasmt.loudoun.gov/pt/datalets/datalet.aspx?mode=profileall&amp;UseSearch=no&amp;pin=045352692000&amp;jur=107&amp;taxyr=2024&amp;LMparent=20</t>
  </si>
  <si>
    <t>JK TECHNOLOGY PARK #3</t>
  </si>
  <si>
    <t>24393 STONE SPRINGS BLVD</t>
  </si>
  <si>
    <t>38.945557</t>
  </si>
  <si>
    <t>-77.54126</t>
  </si>
  <si>
    <t>184,080</t>
  </si>
  <si>
    <t>https://loudouncountyvaeg.tylerhost.net/prod/selfservice#/plan/c87c4b0c-a3aa-4261-9954-8cc95f06f912?tab=locations</t>
  </si>
  <si>
    <t>https://reparcelasmt.loudoun.gov/pt/datalets/datalet.aspx?mode=profileall&amp;UseSearch=no&amp;pin=203295737000&amp;jur=107&amp;taxyr=2025&amp;LMparent=20</t>
  </si>
  <si>
    <t>Loudoun Commerce Center</t>
  </si>
  <si>
    <t>45975 Nokes Blvd</t>
  </si>
  <si>
    <t>39.0224</t>
  </si>
  <si>
    <t>-77.41007</t>
  </si>
  <si>
    <t>311,670</t>
  </si>
  <si>
    <t>https://www.datacenterdynamics.com/en/news/amazon-to-demolish-nine-office-buildings-in-sterling-virginia-and-build-four-data-centers/</t>
  </si>
  <si>
    <t>https://reparcelasmt.loudoun.gov/pt/Datalets/Datalet.aspx?UseSearch=no&amp;mode=profileall&amp;pin=030208833000&amp;jur=107&amp;taxyr=2024</t>
  </si>
  <si>
    <t>Manekin Plaza</t>
  </si>
  <si>
    <t>46000 MANEKIN PLZ</t>
  </si>
  <si>
    <t>39.023773</t>
  </si>
  <si>
    <t>-77.40789</t>
  </si>
  <si>
    <t>https://reparcelasmt.loudoun.gov/pt/Datalets/Datalet.aspx?UseSearch=no&amp;mode=profileall&amp;pin=030309421000&amp;jur=107&amp;taxyr=2024</t>
  </si>
  <si>
    <t>MARIES TECH PARK LLC</t>
  </si>
  <si>
    <t>45761 MARIES RD</t>
  </si>
  <si>
    <t>39.024</t>
  </si>
  <si>
    <t>-77.4195</t>
  </si>
  <si>
    <t>426,710</t>
  </si>
  <si>
    <t>https://reparcelasmt.loudoun.gov/pt/Datalets/Datalet.aspx?UseSearch=no&amp;mode=profileall&amp;pin=030382006000&amp;jur=107&amp;taxyr=2024</t>
  </si>
  <si>
    <t>MECP1 ASHBURN 1 LLC</t>
  </si>
  <si>
    <t>21215 ATLANTIC BLVD</t>
  </si>
  <si>
    <t>39.028484</t>
  </si>
  <si>
    <t>-77.42769</t>
  </si>
  <si>
    <t>258,716</t>
  </si>
  <si>
    <t>https://reparcelasmt.loudoun.gov/pt/datalets/datalet.aspx?mode=commercial&amp;UseSearch=no&amp;pin=030455548000&amp;jur=107&amp;taxyr=2024&amp;LMparent=20</t>
  </si>
  <si>
    <t>08/07/2024</t>
  </si>
  <si>
    <t>MECP 1 ASHBURN 2 LLC</t>
  </si>
  <si>
    <t>45831 MARIES RD</t>
  </si>
  <si>
    <t>39.02199</t>
  </si>
  <si>
    <t>-77.415115</t>
  </si>
  <si>
    <t>348,000</t>
  </si>
  <si>
    <t>https://www.datacenterdynamics.com/en/news/edgecore-buys-land-in-virginia-plans-36mw-data-center/</t>
  </si>
  <si>
    <t>https://reparcelasmt.loudoun.gov/pt/datalets/datalet.aspx?mode=profileall&amp;UseSearch=no&amp;pin=030292034000&amp;jur=107&amp;taxyr=2024&amp;LMparent=20</t>
  </si>
  <si>
    <t>MECP2 ASHBURN 2 LLC</t>
  </si>
  <si>
    <t>21205 ATLANTIC BLVD</t>
  </si>
  <si>
    <t>39.03041</t>
  </si>
  <si>
    <t>-77.429016</t>
  </si>
  <si>
    <t>https://reparcelasmt.loudoun.gov/pt/datalets/datalet.aspx?mode=land_summary&amp;UseSearch=no&amp;pin=029151508000&amp;jur=107&amp;taxyr=2024&amp;LMparent=20</t>
  </si>
  <si>
    <t>MECP3 ASHBURN 3 LLC</t>
  </si>
  <si>
    <t>21195 ATLANTIC BLVD</t>
  </si>
  <si>
    <t>39.03235</t>
  </si>
  <si>
    <t>-77.42991</t>
  </si>
  <si>
    <t>https://reparcelasmt.loudoun.gov/pt/datalets/datalet.aspx?mode=commercial&amp;UseSearch=no&amp;pin=041108666000&amp;jur=107&amp;taxyr=2024&amp;LMparent=20</t>
  </si>
  <si>
    <t>ME-DC Pacific</t>
  </si>
  <si>
    <t>22255 PACIFIC BLVD</t>
  </si>
  <si>
    <t>38.999855</t>
  </si>
  <si>
    <t>-77.445175</t>
  </si>
  <si>
    <t>589,400</t>
  </si>
  <si>
    <t>https://loudouncountyvaeg.tylerhost.net/prod/selfservice#/plan/ec1e84d1-de53-45a8-917e-34be6c131039?tab=attachments</t>
  </si>
  <si>
    <t>https://reparcelasmt.loudoun.gov/pt/Datalets/Datalet.aspx?UseSearch=no&amp;mode=profileall&amp;pin=044267923000&amp;jur=107&amp;taxyr=2025</t>
  </si>
  <si>
    <t>NV-4 CYRUSONE LLC</t>
  </si>
  <si>
    <t>22811 INTERNATIONAL DR</t>
  </si>
  <si>
    <t>38.984684</t>
  </si>
  <si>
    <t>-77.42581</t>
  </si>
  <si>
    <t>C1 NORTHERN VIRGINIA - STERLING IV LLC</t>
  </si>
  <si>
    <t>128,500</t>
  </si>
  <si>
    <t>https://reparcelasmt.loudoun.gov/pt/datalets/datalet.aspx?mode=profileall&amp;UseSearch=no&amp;pin=034462865000&amp;jur=107&amp;taxyr=2024&amp;LMparent=20</t>
  </si>
  <si>
    <t>NV-8 CYRUSONE</t>
  </si>
  <si>
    <t>45905 MARIES RD</t>
  </si>
  <si>
    <t>39.021248</t>
  </si>
  <si>
    <t>-77.41337</t>
  </si>
  <si>
    <t>C1 NORTHERN VIRGINIA - STERLING VIII LLC</t>
  </si>
  <si>
    <t>154,100</t>
  </si>
  <si>
    <t>https://reparcelasmt.loudoun.gov/pt/Datalets/Datalet.aspx?UseSearch=no&amp;mode=profileall&amp;pin=030296913000&amp;jur=107&amp;taxyr=2024</t>
  </si>
  <si>
    <t>NV-9 CYRUSONE</t>
  </si>
  <si>
    <t>43290 OLD OX RD</t>
  </si>
  <si>
    <t>38.958664</t>
  </si>
  <si>
    <t>-77.50507</t>
  </si>
  <si>
    <t>C1 NORTHERN VIRGINIA - STERLING IX LLC</t>
  </si>
  <si>
    <t>525,482</t>
  </si>
  <si>
    <t>Building 1, Building 2 158,696 sq ft expansion proposed</t>
  </si>
  <si>
    <t>https://loudouncountyvaeg.tylerhost.net/prod/selfservice#/plan/E6B940CA-E483-458E-A83C-1C54477A8FA5?tab=attachments</t>
  </si>
  <si>
    <t>https://reparcelasmt.loudoun.gov/pt/datalets/datalet.aspx?mode=profileall&amp;UseSearch=no&amp;pin=124369522000&amp;jur=107&amp;taxyr=2024&amp;LMparent=20</t>
  </si>
  <si>
    <t>NVA01 STACK INFRASTRUCTURE</t>
  </si>
  <si>
    <t>22080 PACIFIC BLVD</t>
  </si>
  <si>
    <t>39.004543</t>
  </si>
  <si>
    <t>-77.44198</t>
  </si>
  <si>
    <t>SI NVA01, LLC</t>
  </si>
  <si>
    <t>https://reparcelasmt.loudoun.gov/pt/datalets/datalet.aspx?mode=profileall&amp;UseSearch=no&amp;pin=044261032000&amp;jur=107&amp;taxyr=2024&amp;LMparent=20</t>
  </si>
  <si>
    <t>Paragon Park Lot 3B</t>
  </si>
  <si>
    <t>Intersection of Pacific Blvd and Charles View Dr</t>
  </si>
  <si>
    <t>39.01517</t>
  </si>
  <si>
    <t>-77.43475</t>
  </si>
  <si>
    <t>405,611</t>
  </si>
  <si>
    <t>https://loudouncountyvaeg.tylerhost.net/prod/selfservice#/plan/D175A1D3-E983-41D9-B593-3D5C69B1B3E4?tab=attachments</t>
  </si>
  <si>
    <t>https://reparcelasmt.loudoun.gov/pt/Datalets/Datalet.aspx?UseSearch=no&amp;mode=profileall&amp;pin=043395471000&amp;jur=107&amp;taxyr=2024</t>
  </si>
  <si>
    <t>PROLOGIS-EXCHANGE 43461 OLD OX ROAD</t>
  </si>
  <si>
    <t>23965 CARTERS SCHOOL RD</t>
  </si>
  <si>
    <t>38.95321</t>
  </si>
  <si>
    <t>-77.49552</t>
  </si>
  <si>
    <t>2,023,449</t>
  </si>
  <si>
    <t>https://reparcelasmt.loudoun.gov/pt/Datalets/Datalet.aspx?UseSearch=no&amp;mode=profileall&amp;pin=124105978000&amp;jur=107&amp;taxyr=2025</t>
  </si>
  <si>
    <t>23845 ERINS RUN DR</t>
  </si>
  <si>
    <t>38.95745</t>
  </si>
  <si>
    <t>-77.49768</t>
  </si>
  <si>
    <t>474,570</t>
  </si>
  <si>
    <t>https://reparcelasmt.loudoun.gov/pt/Datalets/Datalet.aspx?UseSearch=no&amp;mode=profileall&amp;pin=124299328000&amp;jur=107&amp;taxyr=2024</t>
  </si>
  <si>
    <t>Prologis NOVA 1</t>
  </si>
  <si>
    <t>22675 DULLES SUMMIT CT</t>
  </si>
  <si>
    <t>38.98944</t>
  </si>
  <si>
    <t>-77.44955</t>
  </si>
  <si>
    <t>Building A and redevelopment</t>
  </si>
  <si>
    <t>https://dgtlinfra.com/prologis-skybox-data-center-northern-virginia/</t>
  </si>
  <si>
    <t>https://reparcelasmt.loudoun.gov/pt/datalets/datalet.aspx?mode=profileall&amp;UseSearch=no&amp;pin=045252512000&amp;jur=107&amp;taxyr=2024&amp;LMparent=20</t>
  </si>
  <si>
    <t>PROLOGIS PARK GATEWAY II</t>
  </si>
  <si>
    <t>45180 GLOBAL PLZ</t>
  </si>
  <si>
    <t>38.98795</t>
  </si>
  <si>
    <t>-77.43817</t>
  </si>
  <si>
    <t>294,000</t>
  </si>
  <si>
    <t>https://reparcelasmt.loudoun.gov/pt/datalets/datalet.aspx?mode=profileall&amp;UseSearch=no&amp;pin=045185843002&amp;jur=107&amp;taxyr=2024&amp;LMparent=20</t>
  </si>
  <si>
    <t>QTS Ashburn-Moran</t>
  </si>
  <si>
    <t>1506 MORAN RD</t>
  </si>
  <si>
    <t>38.99446</t>
  </si>
  <si>
    <t>-77.44814</t>
  </si>
  <si>
    <t>QTS DULLES LLC</t>
  </si>
  <si>
    <t>65,058</t>
  </si>
  <si>
    <t>https://reparcelasmt.loudoun.gov/pt/datalets/datalet.aspx?mode=profileall&amp;UseSearch=no&amp;pin=045458114000&amp;jur=107&amp;taxyr=2024&amp;LMparent=20</t>
  </si>
  <si>
    <t>QTS BRODERICK ACQUISITION CO LLC</t>
  </si>
  <si>
    <t>22271 BRODERICK DR</t>
  </si>
  <si>
    <t>38.999104</t>
  </si>
  <si>
    <t>-77.44982</t>
  </si>
  <si>
    <t>QTS INVESTMENT PROPERTIES ASHBURN LLC</t>
  </si>
  <si>
    <t>427,300</t>
  </si>
  <si>
    <t>https://reparcelasmt.loudoun.gov/pt/datalets/datalet.aspx?mode=profileall&amp;UseSearch=no&amp;pin=044152877000&amp;jur=107&amp;taxyr=2024&amp;LMparent=20</t>
  </si>
  <si>
    <t>QTS Lockridge ASH2 Quality Tech Lane DC1</t>
  </si>
  <si>
    <t>44675 QUALITY TECH LN</t>
  </si>
  <si>
    <t>38.995537</t>
  </si>
  <si>
    <t>-77.455315</t>
  </si>
  <si>
    <t>ASHBURN ACQUISITION CO II LLC</t>
  </si>
  <si>
    <t>308,630</t>
  </si>
  <si>
    <t>https://reparcelasmt.loudoun.gov/pt/datalets/datalet.aspx?mode=profileall&amp;UseSearch=no&amp;pin=063498140000&amp;jur=107&amp;taxyr=2024&amp;LMparent=20</t>
  </si>
  <si>
    <t>QTS Lockridge ASH2 Quality Tech Lane DC2</t>
  </si>
  <si>
    <t>44655 QUALITY TECH LN</t>
  </si>
  <si>
    <t>38.995434</t>
  </si>
  <si>
    <t>-77.456924</t>
  </si>
  <si>
    <t>252,473</t>
  </si>
  <si>
    <t>https://reparcelasmt.loudoun.gov/pt/datalets/datalet.aspx?mode=profileall&amp;UseSearch=no&amp;pin=063494014000&amp;jur=107&amp;taxyr=2024&amp;LMparent=20</t>
  </si>
  <si>
    <t>RIDGETOP CENTER</t>
  </si>
  <si>
    <t>21670 RIDGETOP CIR</t>
  </si>
  <si>
    <t>39.024727</t>
  </si>
  <si>
    <t>-77.409904</t>
  </si>
  <si>
    <t>268,339</t>
  </si>
  <si>
    <t>https://loudouncountyvaeg.tylerhost.net/prod/selfservice#/plan/4A8DECD0-B1EF-4677-B44F-A8C04C863B62?tab=locations</t>
  </si>
  <si>
    <t>https://reparcelasmt.loudoun.gov/pt/datalets/datalet.aspx?mode=land_summary&amp;UseSearch=no&amp;pin=030306633000&amp;jur=107&amp;taxyr=2025&amp;LMparent=20</t>
  </si>
  <si>
    <t>SHAW ROAD BUSINESS PARK</t>
  </si>
  <si>
    <t>22930 SHAW RD</t>
  </si>
  <si>
    <t>38.98132</t>
  </si>
  <si>
    <t>-77.42225</t>
  </si>
  <si>
    <t>Currently flex warehouse</t>
  </si>
  <si>
    <t>https://loudouncountyvaeg.tylerhost.net/prod/selfservice#/plan/61643009-52F9-4C98-9F52-3FB4D2263170?tab=attachments</t>
  </si>
  <si>
    <t>https://reparcelasmt.loudoun.gov/pt/Datalets/Datalet.aspx?UseSearch=no&amp;mode=profileall&amp;pin=034372453000&amp;jur=107&amp;taxyr=2025</t>
  </si>
  <si>
    <t>45110 Loudoun Downs Lane</t>
  </si>
  <si>
    <t>38.99129</t>
  </si>
  <si>
    <t>-77.4414</t>
  </si>
  <si>
    <t>STERLING VI, V</t>
  </si>
  <si>
    <t>21340 PACIFIC BLVD</t>
  </si>
  <si>
    <t>39.02435</t>
  </si>
  <si>
    <t>-77.434105</t>
  </si>
  <si>
    <t>1,178,308</t>
  </si>
  <si>
    <t>https://reparcelasmt.loudoun.gov/pt/datalets/datalet.aspx?mode=commercial&amp;UseSearch=no&amp;pin=042394385003&amp;jur=107&amp;taxyr=2025&amp;LMparent=20</t>
  </si>
  <si>
    <t>Thayer Road</t>
  </si>
  <si>
    <t>45564 THAYER RD</t>
  </si>
  <si>
    <t>39.026966</t>
  </si>
  <si>
    <t>-77.42448</t>
  </si>
  <si>
    <t>305,593</t>
  </si>
  <si>
    <t>https://loudouncountyvaeg.tylerhost.net/prod/selfservice#/plan/93bd1580-f8d3-4bb1-845e-4b6d0c970645?tab=locations</t>
  </si>
  <si>
    <t>https://reparcelasmt.loudoun.gov/pt/datalets/datalet.aspx?mode=land_summary&amp;UseSearch=no&amp;pin=030465708000&amp;jur=107&amp;taxyr=2025&amp;LMparent=20</t>
  </si>
  <si>
    <t>https://www.datacenterdynamics.com/en/news/ta-realty-buys-data-center-zoned-land-in-sterling-virginia/</t>
  </si>
  <si>
    <t>VANTAGE DATA CENTERS VA11</t>
  </si>
  <si>
    <t>45200 VANTAGE DATA PLZ</t>
  </si>
  <si>
    <t>39.002132</t>
  </si>
  <si>
    <t>-77.43738</t>
  </si>
  <si>
    <t>VANTAGE DATA CENTERS VA11 LLC</t>
  </si>
  <si>
    <t>253,352</t>
  </si>
  <si>
    <t>https://datacenterhawk.com/marketplace/providers/vantage-data-centers/45200-vantage-data-plaza/va11</t>
  </si>
  <si>
    <t>https://reparcelasmt.loudoun.gov/pt/datalets/datalet.aspx?mode=profileall&amp;UseSearch=no&amp;pin=044288975001&amp;jur=107&amp;taxyr=2024&amp;LMparent=20</t>
  </si>
  <si>
    <t>VANTAGE DATA CENTERS VA12</t>
  </si>
  <si>
    <t>45194 VANTAGE DATA PLZ</t>
  </si>
  <si>
    <t>39.003056</t>
  </si>
  <si>
    <t>-77.4401</t>
  </si>
  <si>
    <t>VANTAGE DATA CENTERS VA12 LLC</t>
  </si>
  <si>
    <t>228,606</t>
  </si>
  <si>
    <t>https://reparcelasmt.loudoun.gov/pt/datalets/datalet.aspx?mode=profileall&amp;UseSearch=no&amp;pin=044288975002&amp;jur=107&amp;taxyr=2024&amp;LMparent=20</t>
  </si>
  <si>
    <t>Vantage V2 Campus 22318 Glenn Drive</t>
  </si>
  <si>
    <t>22435 GLENN DR</t>
  </si>
  <si>
    <t>38.997974</t>
  </si>
  <si>
    <t>-77.43019</t>
  </si>
  <si>
    <t>VANTAGE DATA CENTERS VA2 LLC</t>
  </si>
  <si>
    <t>565,680</t>
  </si>
  <si>
    <t>Has natural gas turbines and may produce onsite power</t>
  </si>
  <si>
    <t>https://www.datacenterdynamics.com/en/news/vantage-files-to-develop-second-virginia-campus-in-sterling/</t>
  </si>
  <si>
    <t>https://reparcelasmt.loudoun.gov/pt/Datalets/Datalet.aspx?UseSearch=no&amp;mode=profileall&amp;pin=032155119000&amp;jur=107&amp;taxyr=2024</t>
  </si>
  <si>
    <t>VERISIGN INC</t>
  </si>
  <si>
    <t>22340 DRESDEN ST</t>
  </si>
  <si>
    <t>38.997738</t>
  </si>
  <si>
    <t>-77.44368</t>
  </si>
  <si>
    <t>64,300</t>
  </si>
  <si>
    <t>https://reparcelasmt.loudoun.gov/pt/datalets/datalet.aspx?mode=profileall&amp;UseSearch=no&amp;pin=044174648000&amp;jur=107&amp;taxyr=2024&amp;LMparent=20</t>
  </si>
  <si>
    <t>Western Lands</t>
  </si>
  <si>
    <t>43616 CAPACITY DR</t>
  </si>
  <si>
    <t>38.954502</t>
  </si>
  <si>
    <t>-77.48892</t>
  </si>
  <si>
    <t>10,916,000</t>
  </si>
  <si>
    <t>Project covers more than one parcel, the acreage represents the combined acreage. PEC-LDN-0109 completed footage (phase 1 and 2) has been subtracted from 11.7 million square feet</t>
  </si>
  <si>
    <t>https://www.bizjournals.com/washington/news/2024/02/27/sterling-digital-realty-trust-western-lands-dulles.html</t>
  </si>
  <si>
    <t>https://reparcelasmt.loudoun.gov/pt/datalets/datalet.aspx?mode=profileall&amp;UseSearch=no&amp;pin=093185459000&amp;jur=107&amp;taxyr=2024&amp;LMparent=20</t>
  </si>
  <si>
    <t>108 CARPENTER DRIVE</t>
  </si>
  <si>
    <t>108 CARPENTER DR</t>
  </si>
  <si>
    <t>STERLING</t>
  </si>
  <si>
    <t>38.99123</t>
  </si>
  <si>
    <t>-77.42243</t>
  </si>
  <si>
    <t>52,744</t>
  </si>
  <si>
    <t>https://loudouncountyvaeg.tylerhost.net/prod/selfservice#/plan/c649938c-a42c-43c1-af23-ac3e7ece8a37?tab=locations</t>
  </si>
  <si>
    <t>https://reparcelasmt.loudoun.gov/pt/Datalets/Datalet.aspx?UseSearch=no&amp;mode=profileall&amp;pin=033385671000&amp;jur=107&amp;taxyr=2025</t>
  </si>
  <si>
    <t>ARCOLA</t>
  </si>
  <si>
    <t>38.94413</t>
  </si>
  <si>
    <t>-77.5357</t>
  </si>
  <si>
    <t>614,300</t>
  </si>
  <si>
    <t>https://loudouncountyvaeg.tylerhost.net/prod/selfservice#/plan/5A916D29-F069-42AE-A0B4-5181165CB8A7</t>
  </si>
  <si>
    <t>https://reparcelasmt.loudoun.gov/pt/Datalets/Datalet.aspx?UseSearch=no&amp;mode=profileall&amp;pin=162151929000&amp;jur=107&amp;taxyr=2024</t>
  </si>
  <si>
    <t>Arcola Pacific Campus</t>
  </si>
  <si>
    <t>22020 BRODERICK DR</t>
  </si>
  <si>
    <t>39.004864</t>
  </si>
  <si>
    <t>-77.44699</t>
  </si>
  <si>
    <t>https://www.datacenterdynamics.com/en/news/arep-launches-powerhouse-data-centers-plans-21-million-sq-ft-338mw-across-virginias-loudoun-county/</t>
  </si>
  <si>
    <t>https://reparcelasmt.loudoun.gov/pt/Datalets/Datalet.aspx?UseSearch=no&amp;mode=profileall&amp;pin=044461959000&amp;jur=107&amp;taxyr=2024</t>
  </si>
  <si>
    <t>DULLES DISTRIBUTION Landbay A</t>
  </si>
  <si>
    <t>45055 UNDERWOOD LN</t>
  </si>
  <si>
    <t>38.980274</t>
  </si>
  <si>
    <t>-77.441475</t>
  </si>
  <si>
    <t>305,000</t>
  </si>
  <si>
    <t>Includes Landbay C, 4 acre substation site</t>
  </si>
  <si>
    <t>https://loudouncountyvaeg.tylerhost.net/prod/selfservice#/plan/5a05cbbe-77b4-40ec-a02a-df67cd82d9dc?tab=locations</t>
  </si>
  <si>
    <t>https://reparcelasmt.loudoun.gov/pt/Datalets/Datalet.aspx?UseSearch=no&amp;mode=profileall&amp;pin=046278993000&amp;jur=107&amp;taxyr=2025</t>
  </si>
  <si>
    <t>DULLES DISTRIBUTION Landbay B</t>
  </si>
  <si>
    <t>45085 OLD OX RD</t>
  </si>
  <si>
    <t>38.978138</t>
  </si>
  <si>
    <t>660,000</t>
  </si>
  <si>
    <t>https://reparcelasmt.loudoun.gov/pt/datalets/datalet.aspx?mode=commercial&amp;UseSearch=no&amp;pin=046275921000&amp;jur=107&amp;taxyr=2025&amp;LMparent=20</t>
  </si>
  <si>
    <t>Dulles Electric Data Centers</t>
  </si>
  <si>
    <t>22570 SHAW RD 100</t>
  </si>
  <si>
    <t>38.99133</t>
  </si>
  <si>
    <t>-77.42659</t>
  </si>
  <si>
    <t>371,732</t>
  </si>
  <si>
    <t>https://loudouncountyvaeg.tylerhost.net/prod/selfservice#/plan/4cd42209-0022-4472-aa5c-9cc46413da23?tab=locations</t>
  </si>
  <si>
    <t>https://reparcelasmt.loudoun.gov/pt/Datalets/Datalet.aspx?UseSearch=no&amp;mode=profileall&amp;pin=033258399000&amp;jur=107&amp;taxyr=2025</t>
  </si>
  <si>
    <t>GLENN DRIVE NORTH &amp; SOUTH</t>
  </si>
  <si>
    <t>22815 GLENN DR 101</t>
  </si>
  <si>
    <t>38.988274</t>
  </si>
  <si>
    <t>-77.416306</t>
  </si>
  <si>
    <t>1,668,261</t>
  </si>
  <si>
    <t>https://loudouncountyvaeg.tylerhost.net/prod/selfservice#/plan/0c62c1ce-2e62-4e22-9dd0-a540956ff321?tab=locations</t>
  </si>
  <si>
    <t>https://reparcelasmt.loudoun.gov/pt/Datalets/Datalet.aspx?UseSearch=no&amp;mode=profileall&amp;pin=033292608000&amp;jur=107&amp;taxyr=2025</t>
  </si>
  <si>
    <t>MERCURE BUSINESS PARK LOT 22</t>
  </si>
  <si>
    <t>44211 MERCURE CIR</t>
  </si>
  <si>
    <t>38.98593</t>
  </si>
  <si>
    <t>-77.478325</t>
  </si>
  <si>
    <t>95,658</t>
  </si>
  <si>
    <t>Currently flex warehouse. Current building completed in 2022</t>
  </si>
  <si>
    <t>https://loudouncountyvaeg.tylerhost.net/prod/selfservice#/plan/a037a799-691c-42c4-a3fa-dd41c9dfa911?tab=attachments</t>
  </si>
  <si>
    <t>https://reparcelasmt.loudoun.gov/pt/Datalets/Datalet.aspx?UseSearch=no&amp;mode=profileall&amp;pin=091493983000&amp;jur=107&amp;taxyr=2025</t>
  </si>
  <si>
    <t>MERCURE BUSINESS PARK LOT 4A1B</t>
  </si>
  <si>
    <t>44122 MERCURE CIR</t>
  </si>
  <si>
    <t>38.98479</t>
  </si>
  <si>
    <t>-77.48216</t>
  </si>
  <si>
    <t>101,579</t>
  </si>
  <si>
    <t>https://loudouncountyvaeg.tylerhost.net/prod/selfservice#/plan/78825fb5-186a-4f08-ad04-930ece5b609e?tab=attachments</t>
  </si>
  <si>
    <t>https://reparcelasmt.loudoun.gov/pt/Datalets/Datalet.aspx?UseSearch=no&amp;mode=profileall&amp;pin=091482155000&amp;jur=107&amp;taxyr=2025</t>
  </si>
  <si>
    <t>MERCURE BUSINESS PARK LOTS 19 AND 20</t>
  </si>
  <si>
    <t>44083 MERCURE CIR</t>
  </si>
  <si>
    <t>38.985</t>
  </si>
  <si>
    <t>-77.47932</t>
  </si>
  <si>
    <t>178,648</t>
  </si>
  <si>
    <t>Currently warehouses. Project covers more than one parcel, the acreage represents the combined acreage</t>
  </si>
  <si>
    <t>https://loudouncountyvaeg.tylerhost.net/prod/selfservice#/plan/306dbd90-969b-4e70-ac97-be032ae24344?tab=attachments</t>
  </si>
  <si>
    <t>https://reparcelasmt.loudoun.gov/pt/Datalets/Datalet.aspx?UseSearch=no&amp;mode=profileall&amp;pin=091490220000&amp;jur=107&amp;taxyr=2025</t>
  </si>
  <si>
    <t>VA 16</t>
  </si>
  <si>
    <t>22321 PACIFIC BLVD</t>
  </si>
  <si>
    <t>38.99909</t>
  </si>
  <si>
    <t>-77.44114</t>
  </si>
  <si>
    <t>255,935</t>
  </si>
  <si>
    <t>https://loudouncountyvaeg.tylerhost.net/prod/selfservice#/plan/16f9b8bf-7683-4adb-8ad2-f46dda6fda9f?tab=locations</t>
  </si>
  <si>
    <t>https://reparcelasmt.loudoun.gov/pt/datalets/datalet.aspx?mode=profileall&amp;UseSearch=no&amp;pin=044175589000&amp;jur=107&amp;taxyr=2025&amp;LMparent=20</t>
  </si>
  <si>
    <t>Marvell Developments</t>
  </si>
  <si>
    <t>20420 GERMANNA HWY</t>
  </si>
  <si>
    <t>Stevensburg</t>
  </si>
  <si>
    <t>22741</t>
  </si>
  <si>
    <t>38.435802</t>
  </si>
  <si>
    <t>-77.87576</t>
  </si>
  <si>
    <t>445,000</t>
  </si>
  <si>
    <t>223</t>
  </si>
  <si>
    <t>https://go.boarddocs.com/va/tocva/Board.nsf/files/CTNP796180C4/$file/Copper%20Ridge%20Data%20Center_RZStaffReport.pdf</t>
  </si>
  <si>
    <t>https://gis.vgsi.com/culpeperva/Parcel.aspx?pid=10215</t>
  </si>
  <si>
    <t>42139 REEDS FARM LN</t>
  </si>
  <si>
    <t>42090 REEDS FARM LN</t>
  </si>
  <si>
    <t>Stone Ridge</t>
  </si>
  <si>
    <t>38.944927</t>
  </si>
  <si>
    <t>-77.549866</t>
  </si>
  <si>
    <t>429,213</t>
  </si>
  <si>
    <t>This project covers multiple parcels. The total acreage is represented here.</t>
  </si>
  <si>
    <t>https://loudouncountyvaeg.tylerhost.net/prod/selfservice#/plan/d3a1ae33-a03c-43b5-9b3f-6918ec841049?tab=attachments</t>
  </si>
  <si>
    <t>https://reparcelasmt.loudoun.gov/pt/Datalets/Datalet.aspx?UseSearch=no&amp;mode=profileall&amp;pin=203172023000&amp;jur=107&amp;taxyr=2024</t>
  </si>
  <si>
    <t>IAD11</t>
  </si>
  <si>
    <t>41840 GROWTH MINDSET LN</t>
  </si>
  <si>
    <t>38.948166</t>
  </si>
  <si>
    <t>-77.55538</t>
  </si>
  <si>
    <t>759,405</t>
  </si>
  <si>
    <t>https://reparcelasmt.loudoun.gov/pt/datalets/datalet.aspx?mode=profileall&amp;UseSearch=no&amp;pin=203354208000&amp;jur=107&amp;taxyr=2024&amp;LMparent=20</t>
  </si>
  <si>
    <t>Quail Ridge C - D</t>
  </si>
  <si>
    <t>24214 QUAIL RIDGE LN</t>
  </si>
  <si>
    <t>38.94839</t>
  </si>
  <si>
    <t>-77.55884</t>
  </si>
  <si>
    <t>505,200</t>
  </si>
  <si>
    <t>https://www.datacenterdynamics.com/en/news/aws-sells-land-in-manassas-to-stack-buys-land-data-centers-in-loudoun-county-from-stack-owner-ipi/</t>
  </si>
  <si>
    <t>https://reparcelasmt.loudoun.gov/pt/Datalets/Datalet.aspx?mode=commercial&amp;UseSearch=no&amp;pin=246203645000&amp;jur=107&amp;taxyr=2024&amp;card=1&amp;item=0&amp;State=2|1|1|1|1|&amp;items=4</t>
  </si>
  <si>
    <t>"Project Tallmadge"</t>
  </si>
  <si>
    <t>north of 671 Borden Mowery Dr</t>
  </si>
  <si>
    <t>Strasburg</t>
  </si>
  <si>
    <t>22657</t>
  </si>
  <si>
    <t>Shenandoah</t>
  </si>
  <si>
    <t>39.012093</t>
  </si>
  <si>
    <t>-78.35856</t>
  </si>
  <si>
    <t>Takanock</t>
  </si>
  <si>
    <t>https://www.ipetitions.com/petition/petition-no-data-centers-yes-to-rural/</t>
  </si>
  <si>
    <t>https://www.datacenterdynamics.com/en/news/87-acre-project-tallmadge-to-be-built-in-strasburg-virginia/</t>
  </si>
  <si>
    <t>https://www.strasburgva.com/administration/project/data-center-informatione-built-in-strasburg-virginia/</t>
  </si>
  <si>
    <t>south of Storelea Dr</t>
  </si>
  <si>
    <t>Troutville (Botetourt County)</t>
  </si>
  <si>
    <t>24175</t>
  </si>
  <si>
    <t>37.44555</t>
  </si>
  <si>
    <t>-79.9223</t>
  </si>
  <si>
    <t>900000</t>
  </si>
  <si>
    <t>344</t>
  </si>
  <si>
    <t>$14 million</t>
  </si>
  <si>
    <t>https://cardinalnews.org/2025/06/24/google-buys-botetourt-county-land-for-data-center-plans/</t>
  </si>
  <si>
    <t>https://www.wsls.com/news/local/2025/09/12/western-virginia-water-authority-planning-ahead-as-google-builds-new-data-center-in-botetourt-county/</t>
  </si>
  <si>
    <t>https://www.datacenterdynamics.com/en/news/google-details-planned-data-center-in-botetourt-county-virginia/</t>
  </si>
  <si>
    <t>ELIAS DC ASSETS</t>
  </si>
  <si>
    <t>1764 A OLD MEADOW LN</t>
  </si>
  <si>
    <t>Tysons</t>
  </si>
  <si>
    <t>38.91998</t>
  </si>
  <si>
    <t>-77.21348</t>
  </si>
  <si>
    <t>ELIAS DC ASSETS LLC</t>
  </si>
  <si>
    <t>69,089</t>
  </si>
  <si>
    <t>https://icare.fairfaxcounty.gov/ffxcare/Datalets/Datalet.aspx?mode=&amp;UseSearch=no&amp;pin=0294%2006%20%200097F&amp;jur=129&amp;taxyr=2025</t>
  </si>
  <si>
    <t>Tysons Enterprise West</t>
  </si>
  <si>
    <t>7980 and 7990 Quantum Dr</t>
  </si>
  <si>
    <t>Vienna</t>
  </si>
  <si>
    <t>22182</t>
  </si>
  <si>
    <t>38.909004</t>
  </si>
  <si>
    <t>-77.2205</t>
  </si>
  <si>
    <t>202,500</t>
  </si>
  <si>
    <t>https://www.datacenterdynamics.com/en/news/serverfarm-enters-virginia-targets-data-center-in-tysons-corner/</t>
  </si>
  <si>
    <t>Globalinx Virginia Beach</t>
  </si>
  <si>
    <t>1632 Corporate Landing Pkwy</t>
  </si>
  <si>
    <t>Virginia Beach</t>
  </si>
  <si>
    <t>23454</t>
  </si>
  <si>
    <t>36.783707</t>
  </si>
  <si>
    <t>-76.00894</t>
  </si>
  <si>
    <t>LANDING 888 LLC</t>
  </si>
  <si>
    <t>9,712</t>
  </si>
  <si>
    <t>https://propertysearch.virginiabeach.gov/#/property/24152434460000</t>
  </si>
  <si>
    <t>Telxius Cable Landing Station Virginia Beach</t>
  </si>
  <si>
    <t>1900 Corporate Landing Pkwy Cm</t>
  </si>
  <si>
    <t>36.777546</t>
  </si>
  <si>
    <t>-76.00713</t>
  </si>
  <si>
    <t>Telxius</t>
  </si>
  <si>
    <t>10,750</t>
  </si>
  <si>
    <t>140,000 sq foot expansion</t>
  </si>
  <si>
    <t>https://baxtel.com/data-center/telxius-cable-landing-station-virginia-beach</t>
  </si>
  <si>
    <t>https://propertysearch.virginiabeach.gov/#/property/24152291580000</t>
  </si>
  <si>
    <t>DATA CENTER VINT HILL</t>
  </si>
  <si>
    <t>6872 WATSON CT</t>
  </si>
  <si>
    <t>20187</t>
  </si>
  <si>
    <t>38.747417</t>
  </si>
  <si>
    <t>-77.674255</t>
  </si>
  <si>
    <t>DATA CENTER VINT HILL LLC</t>
  </si>
  <si>
    <t>84,199</t>
  </si>
  <si>
    <t>https://www.fauquiernow.com/news/data-center-database-where-projects-stand-across-fauquier-county/article_18be50e8-49f6-11ef-95cf-3b45407fea55.html</t>
  </si>
  <si>
    <t>https://gis.vgsi.com/fauquierva/Parcel.aspx?pid=46425</t>
  </si>
  <si>
    <t>https://commdevpay.fauquiercounty.gov/Energov_Prod/SelfService#/map?search=7915-88-3261-000</t>
  </si>
  <si>
    <t>Maple Tree Farm</t>
  </si>
  <si>
    <t>8275 MAPLE TREE LN</t>
  </si>
  <si>
    <t>38.691586</t>
  </si>
  <si>
    <t>-77.77973</t>
  </si>
  <si>
    <t>No application yet</t>
  </si>
  <si>
    <t>https://www.fauquier.com/news/article_55011450-b2d5-11ed-bd87-df7e49eb5e4a.html</t>
  </si>
  <si>
    <t>Vint Hill Technology Campus (CyrusOne)</t>
  </si>
  <si>
    <t>Vint Hill Pkwy</t>
  </si>
  <si>
    <t>20117</t>
  </si>
  <si>
    <t>38.75228</t>
  </si>
  <si>
    <t>-77.67349</t>
  </si>
  <si>
    <t>C1 Vint Hill LLC</t>
  </si>
  <si>
    <t>https://www.datacenterdynamics.com/en/news/two-sites-in-virginias-fauquier-county-bought-by-data-center-developer/</t>
  </si>
  <si>
    <t>https://gis.vgsi.com/fauquierva/Parcel.aspx?pid=46540</t>
  </si>
  <si>
    <t>10/10/2025</t>
  </si>
  <si>
    <t>Vint Hill Corners</t>
  </si>
  <si>
    <t>4295 AIKEN DR</t>
  </si>
  <si>
    <t>WARRENTON</t>
  </si>
  <si>
    <t>38.744583</t>
  </si>
  <si>
    <t>-77.68534</t>
  </si>
  <si>
    <t>Vint Hill Corners LLC</t>
  </si>
  <si>
    <t>two buildings, split sqft (165k, 195k)</t>
  </si>
  <si>
    <t>https://commdevpay.fauquiercounty.gov/Energov_Prod/SelfService#/plan/ff86bd94-573b-462d-bf75-777ee3093d58?tab=attachments</t>
  </si>
  <si>
    <t>https://commdevpay.fauquiercounty.gov/Energov_Prod/SelfService#/map?search=7915-53-3758-000</t>
  </si>
  <si>
    <t>DP Facilities: Mineral Gap</t>
  </si>
  <si>
    <t>5978 WINDSWEPT BLVD</t>
  </si>
  <si>
    <t>Wise</t>
  </si>
  <si>
    <t>24293</t>
  </si>
  <si>
    <t>36.978065</t>
  </si>
  <si>
    <t>-82.52703</t>
  </si>
  <si>
    <t>DP FACILITIES INC SOUTH LLC</t>
  </si>
  <si>
    <t>200,000 sq ft/ 50 acre/ 45 MW expansion proposed</t>
  </si>
  <si>
    <t>https://www.dpfacilities.com/markets/wise-va/</t>
  </si>
  <si>
    <t>https://wisecova.interactivegis.com/jtf/35364</t>
  </si>
  <si>
    <t>Amazon Data Service: Orrock Rd</t>
  </si>
  <si>
    <t>Orrock Ln</t>
  </si>
  <si>
    <t>Woodford</t>
  </si>
  <si>
    <t>38.121346</t>
  </si>
  <si>
    <t>-77.50528</t>
  </si>
  <si>
    <t>Mattameade Tech Campus</t>
  </si>
  <si>
    <t>Sister property to Caroline campus - expected to provide utilities</t>
  </si>
  <si>
    <t>https://fredericksburg.com/news/local/data-center-proposals-pile-up-in-spotsylvania/article_0b3a873c-ff26-11ed-97a1-df0bb17d1b49.html</t>
  </si>
  <si>
    <t>Stonewall Jackson Road just east of the Mudd Tavern</t>
  </si>
  <si>
    <t>38.114647</t>
  </si>
  <si>
    <t>-77.49115</t>
  </si>
  <si>
    <t>916</t>
  </si>
  <si>
    <t>Sister property to Spotsylvania campus- represents total square footage</t>
  </si>
  <si>
    <t>https://co.caroline.va.us/DocumentCenter/View/7255/RZ-02-2023-Orrock-Tech-Camus?bidId=</t>
  </si>
  <si>
    <t>6100 Berry Hill Rd/ Berry Hill Southern Virginia Megasite</t>
  </si>
  <si>
    <t xml:space="preserve"> Danville</t>
  </si>
  <si>
    <t xml:space="preserve">VA </t>
  </si>
  <si>
    <t>24541</t>
  </si>
  <si>
    <t>36.5541</t>
  </si>
  <si>
    <t>-79.59838</t>
  </si>
  <si>
    <t>299</t>
  </si>
  <si>
    <t>2990</t>
  </si>
  <si>
    <t>$73.5 billion</t>
  </si>
  <si>
    <t>2031</t>
  </si>
  <si>
    <t>https://www.datacenterdynamics.com/en/news/stack-commits-735bn-investment-into-data-center-campus-in-berry-hill-virginia/</t>
  </si>
  <si>
    <t>Sabey Data Centers - Columbia</t>
  </si>
  <si>
    <t>4405 Grant Rd</t>
  </si>
  <si>
    <t>East Wenatchee</t>
  </si>
  <si>
    <t>WA</t>
  </si>
  <si>
    <t>98802</t>
  </si>
  <si>
    <t>47.4067</t>
  </si>
  <si>
    <t>-120.187</t>
  </si>
  <si>
    <t>6906 S 204th St</t>
  </si>
  <si>
    <t>98032</t>
  </si>
  <si>
    <t>King</t>
  </si>
  <si>
    <t>47.42195</t>
  </si>
  <si>
    <t>-122.247</t>
  </si>
  <si>
    <t>TierPoint - Spokane Data Center (SPO03)</t>
  </si>
  <si>
    <t>23017 E Mission Ave</t>
  </si>
  <si>
    <t>Liberty Lake</t>
  </si>
  <si>
    <t>99019</t>
  </si>
  <si>
    <t>Spokane</t>
  </si>
  <si>
    <t>47.67205</t>
  </si>
  <si>
    <t>-117.096</t>
  </si>
  <si>
    <t>Centersquare Seattle Data Center (Lynnwood)</t>
  </si>
  <si>
    <t>17300 Hwy 99</t>
  </si>
  <si>
    <t>Lynnwood</t>
  </si>
  <si>
    <t>98037</t>
  </si>
  <si>
    <t>Snohomish</t>
  </si>
  <si>
    <t>47.84165</t>
  </si>
  <si>
    <t>-122.302</t>
  </si>
  <si>
    <t>Digital Fortress Data Center</t>
  </si>
  <si>
    <t>4200 194th St SW</t>
  </si>
  <si>
    <t>98036</t>
  </si>
  <si>
    <t>47.82266</t>
  </si>
  <si>
    <t>-122.289</t>
  </si>
  <si>
    <t>5375 Malaga Alcoa Hwy</t>
  </si>
  <si>
    <t>Malaga</t>
  </si>
  <si>
    <t>98828</t>
  </si>
  <si>
    <t>Chelan</t>
  </si>
  <si>
    <t>47.3591</t>
  </si>
  <si>
    <t>-120.159</t>
  </si>
  <si>
    <t>https://www.datacenterdynamics.com/en/news/microsoft-to-buy-more-than-100-acres-in-chelan-county-washington/</t>
  </si>
  <si>
    <t>https://www.datacenterdynamics.com/en/news/microsoft-secures-power-supply-for-data-center-project-in-malaga-washington/</t>
  </si>
  <si>
    <t>Bitfarm Bitcoin Washington</t>
  </si>
  <si>
    <t>7906 Randolph Rd NE</t>
  </si>
  <si>
    <t>Moses Lake</t>
  </si>
  <si>
    <t>98837</t>
  </si>
  <si>
    <t>47.19689</t>
  </si>
  <si>
    <t>-119.293205</t>
  </si>
  <si>
    <t>Being converted from Bitcoin to AI by end of 2026</t>
  </si>
  <si>
    <t>State Data Center</t>
  </si>
  <si>
    <t>1500 Jefferson St SE</t>
  </si>
  <si>
    <t>Olympia</t>
  </si>
  <si>
    <t>98504</t>
  </si>
  <si>
    <t>Thurston</t>
  </si>
  <si>
    <t>47.03483</t>
  </si>
  <si>
    <t>-122.895</t>
  </si>
  <si>
    <t>North Olympic Peninsula Data Centers</t>
  </si>
  <si>
    <t>213 W Patison St B</t>
  </si>
  <si>
    <t>Port Hadlock-Irondale</t>
  </si>
  <si>
    <t>98339</t>
  </si>
  <si>
    <t>48.04007</t>
  </si>
  <si>
    <t>-122.785</t>
  </si>
  <si>
    <t>CyrusOne Quincy</t>
  </si>
  <si>
    <t>1025 D St NW</t>
  </si>
  <si>
    <t>Quincy</t>
  </si>
  <si>
    <t>98848</t>
  </si>
  <si>
    <t>47.24391</t>
  </si>
  <si>
    <t>-119.87</t>
  </si>
  <si>
    <t>1500 M Street NE</t>
  </si>
  <si>
    <t>47.247917</t>
  </si>
  <si>
    <t>-119.82491</t>
  </si>
  <si>
    <t>452,300</t>
  </si>
  <si>
    <t>2101 M St NE</t>
  </si>
  <si>
    <t>47.24988</t>
  </si>
  <si>
    <t>-119.814</t>
  </si>
  <si>
    <t>Atlas Agro</t>
  </si>
  <si>
    <t>2100 Horn Rapids Rd</t>
  </si>
  <si>
    <t>99354</t>
  </si>
  <si>
    <t>Benton</t>
  </si>
  <si>
    <t>46.355118</t>
  </si>
  <si>
    <t>-119.3108</t>
  </si>
  <si>
    <t>$24 million</t>
  </si>
  <si>
    <t>https://www.datacenterdynamics.com/en/news/six-building-data-center-campus-proposed-in-washington-by-fertilizer-company/</t>
  </si>
  <si>
    <t>Digital Fortress Seattle Data Center</t>
  </si>
  <si>
    <t>12101 Tukwila International Blvd</t>
  </si>
  <si>
    <t>Seattle</t>
  </si>
  <si>
    <t>98168</t>
  </si>
  <si>
    <t>47.49397</t>
  </si>
  <si>
    <t>-122.294</t>
  </si>
  <si>
    <t>Digital Reality Data Center</t>
  </si>
  <si>
    <t>2001 6th Ave</t>
  </si>
  <si>
    <t>98121</t>
  </si>
  <si>
    <t>47.614384</t>
  </si>
  <si>
    <t>-122.33889</t>
  </si>
  <si>
    <t>Digital Reality</t>
  </si>
  <si>
    <t>400,400</t>
  </si>
  <si>
    <t>https://www.datacenterdynamics.com/en/news/digital-realty-plans-data-center-in-seattle-washington/</t>
  </si>
  <si>
    <t xml:space="preserve"> 301 Virginia Street/1930 3rd Ave</t>
  </si>
  <si>
    <t>98101</t>
  </si>
  <si>
    <t>47.61257</t>
  </si>
  <si>
    <t>-122.340096</t>
  </si>
  <si>
    <t>58,000</t>
  </si>
  <si>
    <t>1000 Denny Wy</t>
  </si>
  <si>
    <t>98109</t>
  </si>
  <si>
    <t>47.61901</t>
  </si>
  <si>
    <t>-122.337</t>
  </si>
  <si>
    <t>Seattle EdgeConneX Edge Data Center® (EDC)</t>
  </si>
  <si>
    <t>3425 S 116th Street, Building 6, Suite 133</t>
  </si>
  <si>
    <t>47.49822</t>
  </si>
  <si>
    <t>-122.29</t>
  </si>
  <si>
    <t>4.5</t>
  </si>
  <si>
    <t>47,000</t>
  </si>
  <si>
    <t>https://www.edgeconnex.com/locations/americas/seattle-wa/</t>
  </si>
  <si>
    <t>Starbucks Data Center</t>
  </si>
  <si>
    <t>2401 Utah Ave S</t>
  </si>
  <si>
    <t>98134</t>
  </si>
  <si>
    <t>47.580997</t>
  </si>
  <si>
    <t>-122.335686</t>
  </si>
  <si>
    <t>Starbucks</t>
  </si>
  <si>
    <t>https://www.datacenterdynamics.com/en/news/20mw-data-center-proposed-in-starbucks-seattle-hq-building-in-washington/</t>
  </si>
  <si>
    <t>TierPoint - Seattle Data Center</t>
  </si>
  <si>
    <t>100 4th Ave N #400</t>
  </si>
  <si>
    <t>47.61893</t>
  </si>
  <si>
    <t>-122.349</t>
  </si>
  <si>
    <t>Centersquare Seattle Data Center (Tukwila 2)</t>
  </si>
  <si>
    <t>6101 S 180th St</t>
  </si>
  <si>
    <t>Tukwila</t>
  </si>
  <si>
    <t>98188</t>
  </si>
  <si>
    <t>47.44046</t>
  </si>
  <si>
    <t>-122.256</t>
  </si>
  <si>
    <t>Beaver Dam Meta Data Center</t>
  </si>
  <si>
    <t>8715–8773 County Road A</t>
  </si>
  <si>
    <t>Beaver Dam</t>
  </si>
  <si>
    <t>WI</t>
  </si>
  <si>
    <t>53916</t>
  </si>
  <si>
    <t>Dodge</t>
  </si>
  <si>
    <t>43.51469</t>
  </si>
  <si>
    <t>-88.8214</t>
  </si>
  <si>
    <t>$1 billion +</t>
  </si>
  <si>
    <t>https://www.facebook.com/groups/24901633966193019</t>
  </si>
  <si>
    <t>https://www.datacenterdynamics.com/en/news/520-acre-data-center-campus-planned-in-beaver-dam-wisconsin/</t>
  </si>
  <si>
    <t>https://www.tmj4.com/news/dodge-county/its-really-scary-beaver-dam-residents-raise-water-concerns-about-metas-ai-data-center</t>
  </si>
  <si>
    <t>https://about.fb.com/news/2025/11/metas-30th-data-center-delivering-ai-supporting-wetlands-restoration/</t>
  </si>
  <si>
    <t>https://www.newsbreak.com/jim-delillo-1721389/4350500248657-a-1-billion-warning-meta-s-new-wisconsin-ai-data-center-could-change-beaver-dam-forever</t>
  </si>
  <si>
    <t>https://www.widatacenterfacts.org/communities/beaver-dam</t>
  </si>
  <si>
    <t>https://www.jsonline.com/story/news/environment/2025/12/10/suit-demands-energy-use-projections-at-metas-beaver-dam-data-center/87703071007/</t>
  </si>
  <si>
    <t>https://www.datacenterdynamics.com/en/news/real-estate-developer-panattoni-takes-over-meta-backed-data-center-proposal-in-southern-wisconsin/</t>
  </si>
  <si>
    <t>Edge Data Center</t>
  </si>
  <si>
    <t>Hwy 151 and Hemlock Rd</t>
  </si>
  <si>
    <t>43.502884</t>
  </si>
  <si>
    <t>-88.8095</t>
  </si>
  <si>
    <t>https://www.datacenterdynamics.com/en/news/oppidan-targets-edge-data-center-in-beaver-dam-wisconsin/</t>
  </si>
  <si>
    <t>between Town Line Rd, South Prairie Ave, and East Philhower Rd</t>
  </si>
  <si>
    <t>Beloit</t>
  </si>
  <si>
    <t>53511</t>
  </si>
  <si>
    <t>Rock</t>
  </si>
  <si>
    <t>42.57651</t>
  </si>
  <si>
    <t>-88.99512</t>
  </si>
  <si>
    <t>https://www.facebook.com/groups/1347060293852060/</t>
  </si>
  <si>
    <t>https://www.datacenterdynamics.com/en/news/meta-signs-pre-development-agreement-for-data-center-in-beloit-wisconsin/</t>
  </si>
  <si>
    <t>Carlton Cloverleaf Data Center</t>
  </si>
  <si>
    <t>Carlton</t>
  </si>
  <si>
    <t>Kewaunee</t>
  </si>
  <si>
    <t>44.42317</t>
  </si>
  <si>
    <t>-87.53463</t>
  </si>
  <si>
    <t>https://www.datacenterdynamics.com/en/news/cloverleaf-walks-away-from-data-center-site-project-in-kewaunee-wisconsin/</t>
  </si>
  <si>
    <t>https://pbswisconsin.org/news-item/kewaunee-county-town-staves-off-plan-for-a-land-purchase-by-a-data-center-developer/</t>
  </si>
  <si>
    <t>Driftless Area Data Center</t>
  </si>
  <si>
    <t>Cassville</t>
  </si>
  <si>
    <t>53806</t>
  </si>
  <si>
    <t>42.725117</t>
  </si>
  <si>
    <t>-90.98868</t>
  </si>
  <si>
    <t>https://wisconsinwatch.org/2026/06/a-2-billion-proposal-then-silence-how-a-driftless-area-data-center-deal-fell-apart/</t>
  </si>
  <si>
    <t>https://wisconsinwatch.org/2026/04/wisconsin-data-center-rural-town-cassville-rejects-plan-driftless-area-zoning/</t>
  </si>
  <si>
    <t>https://www.thecooldown.com/green-tech/data-center-plan-grant-county-opposition/</t>
  </si>
  <si>
    <t>06/28/2026</t>
  </si>
  <si>
    <t>DeForest QTS Data Center</t>
  </si>
  <si>
    <t>DeForest</t>
  </si>
  <si>
    <t>53532</t>
  </si>
  <si>
    <t>Dane</t>
  </si>
  <si>
    <t>43.231842</t>
  </si>
  <si>
    <t>-89.33042</t>
  </si>
  <si>
    <t>No Data Center in DeForest</t>
  </si>
  <si>
    <t>https://www.facebook.com/groups/1140996281561878/?ref=share&amp;mibextid=NSMWBT</t>
  </si>
  <si>
    <t>https://www.facebook.com/groups/1140996281561878/</t>
  </si>
  <si>
    <t>QTS efforts to annex 1400 acres in Vienna met with fierce community opposition.</t>
  </si>
  <si>
    <t>https://www.datacenterdynamics.com/en/news/qts-plans-15-building-data-center-campus-in-madison-wisconsin/</t>
  </si>
  <si>
    <t>https://www.wpr.org/news/developer-qts-data-centers-looks-build-data-campus-dane-county-vienna</t>
  </si>
  <si>
    <t>https://www.wmtv15news.com/2025/07/31/large-data-center-proposal-raises-questions-rural-dane-county/</t>
  </si>
  <si>
    <t>https://www.datacenterdynamics.com/en/news/qts-data-centers-looks-to-build-another-facility-near-madison-wisconsin/</t>
  </si>
  <si>
    <t>https://www.datacenterdynamics.com/en/news/qts-drops-plan-for-data-center-near-madison-wisconsin-amid-opposition-from-local-officials/</t>
  </si>
  <si>
    <t>https://pbswisconsin.org/news-item/the-local-battles-over-data-center-developments-in-wisconsin/?fbclid=IwY2xjawQb89xleHRuA2FlbQIxMQBzcnRjBmFwcF9pZBAyMjIwMzkxNzg4MjAwODkyAAEe_9n-9GXVsrmup4ro8JcBXofGIGDBBJOvEis3IhU4EDbZm0ChkaEapPFbbd8_aem_HvzltHtS42i2Jp2jBPjrRA</t>
  </si>
  <si>
    <t>MKE1</t>
  </si>
  <si>
    <t>4777 W Ironwood</t>
  </si>
  <si>
    <t>53132</t>
  </si>
  <si>
    <t>Milwaukee</t>
  </si>
  <si>
    <t>42.86316</t>
  </si>
  <si>
    <t>-87.9779</t>
  </si>
  <si>
    <t>https://www.expedient.com/data-centers/milwaukee/</t>
  </si>
  <si>
    <t>Fredonia Data Center</t>
  </si>
  <si>
    <t>near 117 Meadowlark Rd, Fredonia, WI 53021</t>
  </si>
  <si>
    <t>Fredonia</t>
  </si>
  <si>
    <t>53074</t>
  </si>
  <si>
    <t>Ozaukee</t>
  </si>
  <si>
    <t>43.45566</t>
  </si>
  <si>
    <t>-87.9353</t>
  </si>
  <si>
    <t>https://www.jsonline.com/story/communities/north/2025/04/08/port-washington-takes-up-zoning-standards-for-proposed-data-center/82774695007/</t>
  </si>
  <si>
    <t>https://www.gannett-cdn.com/authoring/authoring-images/2025/04/29/PMJS/83351569007-mjs-250422-data-center-p-15.jpg</t>
  </si>
  <si>
    <t>Cloverleaf Data Center</t>
  </si>
  <si>
    <t>West of Hwy 57, south of Mallard Rd</t>
  </si>
  <si>
    <t>Greenleaf</t>
  </si>
  <si>
    <t>54126</t>
  </si>
  <si>
    <t>Brown</t>
  </si>
  <si>
    <t>44.32815</t>
  </si>
  <si>
    <t>-88.110405</t>
  </si>
  <si>
    <t>https://www.facebook.com/groups/2066040647465173/_join_/</t>
  </si>
  <si>
    <t>Residents being offered up to $120,000 per acre. Developer withdrew plans for the Cloverleaf data center in Greenleaf after community opposition. Residents reported being offered up to $120,000 per acre for farmland before the project was cancelled.</t>
  </si>
  <si>
    <t>https://www.datacenterdynamics.com/en/news/residents-of-greenleaf-wisconsin-offered-up-to-120000-per-acre-to-sell-land-for-data-center-report/</t>
  </si>
  <si>
    <t>https://www.datacenterdynamics.com/en/news/cloverleaf-backs-out-of-data-center-project-in-greenleaf-wisconsin/</t>
  </si>
  <si>
    <t>https://spectrumnews1.com/wi/milwaukee/news/2026/01/13/data-center-withdraws-plans-to-build-in-brown-county-following-community-pushback-greenleaf-</t>
  </si>
  <si>
    <t>Janesville Data Center</t>
  </si>
  <si>
    <t>1000 General Motors Dr</t>
  </si>
  <si>
    <t>Janesville</t>
  </si>
  <si>
    <t>53546</t>
  </si>
  <si>
    <t>42.65851</t>
  </si>
  <si>
    <t>-89.0211</t>
  </si>
  <si>
    <t>4,800,000</t>
  </si>
  <si>
    <t>nojanesvilledatacenter@gmail.com</t>
  </si>
  <si>
    <t>https://www.change.org/p/no-janesville-data-center</t>
  </si>
  <si>
    <t>https://www.datacenterdynamics.com/en/news/officials-in-janesville-wisconsin-seek-data-center-partner-for-former-gm-auto-assembly-plant/</t>
  </si>
  <si>
    <t>https://www.widatacenterfacts.org/communities/janesville-fact-checking-the-citys-fact-checking</t>
  </si>
  <si>
    <t>Project Cornmaze</t>
  </si>
  <si>
    <t>-88.999855</t>
  </si>
  <si>
    <t xml:space="preserve"> Cambrin LLC., Meta?</t>
  </si>
  <si>
    <t>https://www.facebook.com/people/No-Janesville-Data-Center/61580624576545/</t>
  </si>
  <si>
    <t>The land is currently an active gravel pit operated by Rock Road Companies Inc.</t>
  </si>
  <si>
    <t>https://www.datacenterdynamics.com/en/news/developer-panattoni-seeks-to-claw-back-cash-from-town-of-turtle-wisconsin-for-430-acre-data-center/</t>
  </si>
  <si>
    <t>Kenosha Microsoft Data Center</t>
  </si>
  <si>
    <t>12990 Burlington Rd</t>
  </si>
  <si>
    <t>Kenosha</t>
  </si>
  <si>
    <t>53144</t>
  </si>
  <si>
    <t>42.62348</t>
  </si>
  <si>
    <t>-87.9679</t>
  </si>
  <si>
    <t>$3.3 billion</t>
  </si>
  <si>
    <t>kuamdc@gmail.com</t>
  </si>
  <si>
    <t>https://www.facebook.com/people/Kenoshans-Unite-Against-Microsoft-Data-Center/61583067017308/</t>
  </si>
  <si>
    <t>https://www.change.org/p/stop-the-opening-of-the-microsoft-data-center-in-kenosha?</t>
  </si>
  <si>
    <t>Microsoft purchased approximately 240 acres on Burlington Rd in Kenosha County for a potential hyperscale data center campus. Development plans are still early and the project remains in the proposal stage.</t>
  </si>
  <si>
    <t>https://biztimes.com/microsoft-buys-240-acres-of-land-in-kenosha-for-data-center-development/</t>
  </si>
  <si>
    <t>https://www.kaba.org/news-item/psc-approves-natural-gas-power-plants-planned-in-oak-creek-and-kenosha-county/</t>
  </si>
  <si>
    <t>5825 W. Hope Ave</t>
  </si>
  <si>
    <t>53216</t>
  </si>
  <si>
    <t>43.09332</t>
  </si>
  <si>
    <t>-87.9846</t>
  </si>
  <si>
    <t>19,000</t>
  </si>
  <si>
    <t>Former Walmart</t>
  </si>
  <si>
    <t>https://www.datacenterdynamics.com/en/news/former-walmart-in-milwaukee-wisconsin-could-become-data-center/</t>
  </si>
  <si>
    <t>https://www.datacenterdynamics.com/en/news/plans-for-milwaukee-wisconsin-data-center-in-former-walmart-building-shelved-amid-strong-local-opposition/</t>
  </si>
  <si>
    <t>Microsoft Fairwater Data Center</t>
  </si>
  <si>
    <t>90th St and County Rd KR</t>
  </si>
  <si>
    <t>Mount Pleasant</t>
  </si>
  <si>
    <t>53177</t>
  </si>
  <si>
    <t>Racine</t>
  </si>
  <si>
    <t>42.68015</t>
  </si>
  <si>
    <t>-87.90021</t>
  </si>
  <si>
    <t>450-3,300</t>
  </si>
  <si>
    <t>3 sites within area--2 on 90th St, 1 on Durand Ave. Work temporarily paused on 2. Will use closed-loop water cooling.</t>
  </si>
  <si>
    <t>https://www.datacenterdynamics.com/en/news/microsoft-pauses-construction-on-part-of-data-center-site-in-mount-pleasant-wisconsin/</t>
  </si>
  <si>
    <t>https://www.datacenterdynamics.com/en/news/racine-county-wisconsin-approves-microsofts-1000-acre-expansion-of-mount-pleasant-campus/</t>
  </si>
  <si>
    <t>https://www.datacenterdynamics.com/en/news/microsoft-breaks-ground-on-1bn-data-center-in-wisconsin/</t>
  </si>
  <si>
    <t>https://www.jsonline.com/story/news/local/2025/09/15/suit-filed-to-learn-lake-michigan-water-use-at-microsoft-data-center/86161113007/</t>
  </si>
  <si>
    <t>https://www.tomshardware.com/tech-industry/artificial-intelligence/microsoft-announces-worlds-most-powerful-ai-data-center-315-acre-site-to-house-hundreds-of-thousands-of-nvidia-gpus-and-enough-fiber-to-circle-the-earth-4-5-times</t>
  </si>
  <si>
    <t>https://epoch.ai/data/data-centers/satellite-explorer/MicrosoftFairwaterMountPleasantWisconsin?ref=404media.co</t>
  </si>
  <si>
    <t>https://www.wisn.com/article/whats-that-sound-its-mount-pleasants-new-ai-data-center/70850595</t>
  </si>
  <si>
    <t>Project Lighthouse/ Project Red Granite</t>
  </si>
  <si>
    <t>Between Lake and Dixie Rds</t>
  </si>
  <si>
    <t>Port Washington</t>
  </si>
  <si>
    <t>43.44933</t>
  </si>
  <si>
    <t>-87.8525</t>
  </si>
  <si>
    <t>Vantage Data Centers/Open AI/Oracle/ Cloverleaf Infrastructure</t>
  </si>
  <si>
    <t>1,300-3,599</t>
  </si>
  <si>
    <t>https://www.facebook.com/GreatLakesNeighborsUnited</t>
  </si>
  <si>
    <t>https://www.change.org/p/stop-the-port-washington-wi-data-center</t>
  </si>
  <si>
    <t>Part of the Stargate program. On Nov. 18 2025, Port Washington's Joint Review Board unanimously approved the data center and passed TIF district (No. 5), which will reimburse Denver-based data center operations company Vantage for fronting infrastructure improvements, along with interest, consulting fees and other costs associated with the project that total $458 million.</t>
  </si>
  <si>
    <t>https://www.datacenterdynamics.com/en/news/cloverleaf-reveals-plans-for-1000-acre-data-center-campus-in-port-washington-wisconsin/</t>
  </si>
  <si>
    <t>https://www.datacenterdynamics.com/en/news/vantage-seeking-13gw-grid-connection-for-data-center-in-port-washington-wisconsin/</t>
  </si>
  <si>
    <t>https://www.fox6now.com/news/port-washington-data-center-residents-unite-against-proposed-powerline-routes</t>
  </si>
  <si>
    <t>https://www.jsonline.com/story/communities/north/2025/11/18/port-washington-approves-data-center-tif-as-residents-continue-to-raise-red-flags/87092084007/</t>
  </si>
  <si>
    <t>https://www.widatacenterfacts.org/communities/video-lighthouse-campus-part-1</t>
  </si>
  <si>
    <t>https://www.widatacenterfacts.org/communities/port-washington</t>
  </si>
  <si>
    <t>https://www.widatacenterfacts.org/communities/port-washington-fact-checking-the-mayors-fact-checking</t>
  </si>
  <si>
    <t>https://www.datacenterdynamics.com/en/news/vantage-tops-out-second-building-at-openais-lighthouse-campus-in-wisconsin/</t>
  </si>
  <si>
    <t>Caledonia Data Center</t>
  </si>
  <si>
    <t>8676-8642 WI-32</t>
  </si>
  <si>
    <t>Racine/ Caledonia</t>
  </si>
  <si>
    <t>53402</t>
  </si>
  <si>
    <t>42.83487</t>
  </si>
  <si>
    <t>-87.8458</t>
  </si>
  <si>
    <t>244</t>
  </si>
  <si>
    <t>https://www.cleanwisconsin.org/</t>
  </si>
  <si>
    <t>Microsoft proposed a 244-acre data-center campus in Caledonia, WI. The project was later paused after Microsoft reconsidered its infrastructure plans.</t>
  </si>
  <si>
    <t>https://www.datacenterdynamics.com/en/news/244-acre-data-center-campus-proposed-outside-milwaukee-wisconsin/</t>
  </si>
  <si>
    <t>https://www.jsonline.com/story/money/business/2025/10/09/microsoft-changed-its-data-center-plans-because-of-these-issues/86603358007</t>
  </si>
  <si>
    <t>https://www.wpr.org/news/microsoft-caledonia-data-center-site-ozaukee-county</t>
  </si>
  <si>
    <t>Menomonie Data Center</t>
  </si>
  <si>
    <t>Between 650th and 690th Ave</t>
  </si>
  <si>
    <t>Red Cedar/ Elk Mound</t>
  </si>
  <si>
    <t>54751</t>
  </si>
  <si>
    <t>Dunn County</t>
  </si>
  <si>
    <t>44.92341</t>
  </si>
  <si>
    <t>-91.8447</t>
  </si>
  <si>
    <t>https://www.facebook.com/groups/4247210148843416/?rdid=OLjFLf1thwgvxa3c&amp;share_url=https%3A%2F%2Fwww.facebook.com%2Fshare%2Fg%2F19qZqaSKJZ%2F#</t>
  </si>
  <si>
    <t>75,000 gallons of water per day, opposed by Stop the Menomonie Data Center group</t>
  </si>
  <si>
    <t>https://www.wqow.com/news/menomonie-city-council-votes-to-adopt-proposed-land-annexation-and-rezoning/article_6f2fb583-9a77-463a-863d-01cbaddc8833.html</t>
  </si>
  <si>
    <t>https://www.wqow.com/news/what-are-the-next-steps-for-menomonies-proposed-data-center-after-council-vote/article_41821a71-23cb-4ef8-b8e4-58d72b234a37.html</t>
  </si>
  <si>
    <t>https://www.menomonieminute.com/post/menomonie-receives-petition-to-annex-324-acres-for-proposed-data-center</t>
  </si>
  <si>
    <t>https://www.datacenterdynamics.com/en/news/menomonie-city-council-approves-land-rezone-for-data-center-in-red-cedar-wisconsin/</t>
  </si>
  <si>
    <t>https://www.datacenterdynamics.com/en/news/data-center-in-red-cedar-wisconsin-could-be-16bn-investment/</t>
  </si>
  <si>
    <t>https://www.weau.com/2025/09/23/proposed-menomonie-data-center-put-hold/</t>
  </si>
  <si>
    <t>11508 Braun Rd</t>
  </si>
  <si>
    <t>Sturtevant</t>
  </si>
  <si>
    <t>53178</t>
  </si>
  <si>
    <t>42.68763</t>
  </si>
  <si>
    <t>-87.9269</t>
  </si>
  <si>
    <t>791</t>
  </si>
  <si>
    <t>https://biztimes.com/microsoft-gets-approval-for-third-portion-of-mount-pleasant-data-center-campus/</t>
  </si>
  <si>
    <t>12721 Louis Sorenson Rd</t>
  </si>
  <si>
    <t>42.70384</t>
  </si>
  <si>
    <t>-87.9382</t>
  </si>
  <si>
    <t>https://www.datacenterdynamics.com/en/news/microsoft-buys-another-160-acres-in-racine-county-wisconsin-for-mount-pleasant-data-center-campus/</t>
  </si>
  <si>
    <t>https://www.datacenterdynamics.com/en/news/microsoft-buys-another-70-acres-in-mount-pleasant-wisconsin/</t>
  </si>
  <si>
    <t>https://www.jsonline.com/story/money/real-estate/commercial/2024/07/29/microsoft-buys-more-land-near-milwaukee-area-data-center-development/74557810007/</t>
  </si>
  <si>
    <t>Digital Power Optimization</t>
  </si>
  <si>
    <t>west of Hwy 34 near water quality plant</t>
  </si>
  <si>
    <t>Wisconsin Rapids</t>
  </si>
  <si>
    <t>94495</t>
  </si>
  <si>
    <t>44.41945</t>
  </si>
  <si>
    <t>-89.8253</t>
  </si>
  <si>
    <t>https://www.datacenterdynamics.com/en/news/dpo-secures-land-and-power-supply-for-20mw-hpc-data-center-in-wisconsin/</t>
  </si>
  <si>
    <t>https://www.wisconsinrapidstribune.com/story/money/2025/01/27/ai-computing-facility-wisconsin-rapids-digital-power-optimization/77969465007/</t>
  </si>
  <si>
    <t>https://www.wisconsinrapidstribune.com/story/money/2025/07/23/digital-power-optimization-no-longer-plans-to-open-200-million-ai-data-center-in-wisconsin-rapids/85340839007/</t>
  </si>
  <si>
    <t>Google Buffalo Data Center</t>
  </si>
  <si>
    <t>Charleston Rd</t>
  </si>
  <si>
    <t>WV</t>
  </si>
  <si>
    <t>25033</t>
  </si>
  <si>
    <t>Putnam</t>
  </si>
  <si>
    <t>38.635235</t>
  </si>
  <si>
    <t>-81.96641</t>
  </si>
  <si>
    <t>Likely tax incentives</t>
  </si>
  <si>
    <t>https://www.datacenterdynamics.com/en/news/google-purchases-land-for-data-center-in-putnam-county-west-virginia/</t>
  </si>
  <si>
    <t>https://wchstv.com/news/local/google-has-acquired-land-for-potential-data-center-in-putnam-county-officials-announce</t>
  </si>
  <si>
    <t>https://www.newsandsentinel.com/news/business/2026/03/feeling-lucky-google-data-center-project-in-the-works-for-putnam-county/</t>
  </si>
  <si>
    <t>Ridgeline Microgrid</t>
  </si>
  <si>
    <t>Off of US-48, near the City of Thomas</t>
  </si>
  <si>
    <t>Davis</t>
  </si>
  <si>
    <t>26260</t>
  </si>
  <si>
    <t>Tucker</t>
  </si>
  <si>
    <t>39.13851</t>
  </si>
  <si>
    <t>-79.4867</t>
  </si>
  <si>
    <t>Fundamental Data LLC</t>
  </si>
  <si>
    <t>1,656</t>
  </si>
  <si>
    <t>Petition targets WV microgrid bill enabling Ridgeline project. Project has generated significant organized opposition from local residents and environmental groups concerned about air pollution, tourism impacts, and microgrid legislation enabling the development.</t>
  </si>
  <si>
    <t>https://www.tuckerunited.com/</t>
  </si>
  <si>
    <t>https://friendsofblackwater.org/</t>
  </si>
  <si>
    <t>https://www.change.org/p/protect-local-freedom-urge-governor-morrisey-to-veto-data-center-bill, https://actionnetwork.org/letters/fundamental-data-llcs-air-permit-application-r13-3713/</t>
  </si>
  <si>
    <t>Proposed Fundamental Data data-center campus paired with the Ridgeline Power Station gas plant near Davis, WV.</t>
  </si>
  <si>
    <t>https://wvmetronews.com/2025/07/01/tucker-county-residents-rise-up-to-oppose-data-center/</t>
  </si>
  <si>
    <t>https://westvirginiawatch.com/2025/05/28/it-will-destroy-this-place-tucker-county-residents-fight-for-future-against-proposed-data-center/</t>
  </si>
  <si>
    <t>https://steadystate.org/tucker-county-yellowstone-of-the-east-or-appalachias-cancer-valley/</t>
  </si>
  <si>
    <t>https://wvmetronews.com/2025/09/17/environmental-groups-mount-a-challenge-to-data-center-power-permit/</t>
  </si>
  <si>
    <t>https://www.yahoo.com/news/articles/hope-rest-wv-watching-tucker-110032778.html</t>
  </si>
  <si>
    <t>https://dep.wv.gov/daq/permitting/Documents/Fundamental%20Data%20LLC;%20Ridgeline%20Facility/093-00034_APPL_13-3713.pdf</t>
  </si>
  <si>
    <t>08/24/2025</t>
  </si>
  <si>
    <t xml:space="preserve">Hog Lick Aggregates </t>
  </si>
  <si>
    <t>Hoglick Hollow Run</t>
  </si>
  <si>
    <t>Fairmont</t>
  </si>
  <si>
    <t>26554</t>
  </si>
  <si>
    <t>39.420273</t>
  </si>
  <si>
    <t>-80.213455</t>
  </si>
  <si>
    <t>Hog Lick Aggregates</t>
  </si>
  <si>
    <t>Possibly</t>
  </si>
  <si>
    <t>3,220,000</t>
  </si>
  <si>
    <t>277</t>
  </si>
  <si>
    <t>Redevelopment of former quarry. Also NASA supercomputer facility, Rhea, proposed at nearby I-79 Tech Park</t>
  </si>
  <si>
    <t>https://wajr.com/2026/05/06/data-center-study-underway-in-marion-county/</t>
  </si>
  <si>
    <t>https://www.wboy.com/news/marion/local-company-looking-at-developing-data-center-near-white-hall/</t>
  </si>
  <si>
    <t>https://images.zoomprospector.com/client/properties/WESTVIRGINIA/fa9b81d6-cded-431e-bf70-975c6ccf3111.pdf</t>
  </si>
  <si>
    <t>https://www.wvnews.com/statejournal/news/noaa-s-100m-rhea-supercomputer-coming-to-fairmont-boosting-west-virginia-tech-growth/article_5726208a-d3d7-404b-9eed-4cbb10cd26eb.html</t>
  </si>
  <si>
    <t>Rhea super computing facility (NASA)</t>
  </si>
  <si>
    <t>NASA Blvd, I-79 Technology Park</t>
  </si>
  <si>
    <t>39.430576</t>
  </si>
  <si>
    <t>-80.196</t>
  </si>
  <si>
    <t>$100 million</t>
  </si>
  <si>
    <t>Adams Fork Harless Data Center</t>
  </si>
  <si>
    <t>Off Twentytwo Mine Rd</t>
  </si>
  <si>
    <t>Holden</t>
  </si>
  <si>
    <t>25625</t>
  </si>
  <si>
    <t>Mingo</t>
  </si>
  <si>
    <t>37.75417</t>
  </si>
  <si>
    <t>-82.1179</t>
  </si>
  <si>
    <t>TransGas Development, LLC</t>
  </si>
  <si>
    <t>2398.5</t>
  </si>
  <si>
    <t>Yes - Adams Fork Energy Project Power Station 2</t>
  </si>
  <si>
    <t>https://www.wvhighlands.org/article/despite-public-pushback-west-virginia-approves-air-quality-permits-for-data-center-energy-campus-in-mingo-county/?
https://westvirginiawatch.com/2025/05/28/it-will-destroy-this-place-tucker-county-residents-fight-for-future-against-proposed-data-center/</t>
  </si>
  <si>
    <t>https://wvcag.org/</t>
  </si>
  <si>
    <t>https://wvrivers.org/</t>
  </si>
  <si>
    <t>Identical proposal to the Adams Form Data Center Energy Camus in Wharncliffe. Each facility would house 117 engines powered by natural gas, with 114 of those running full-time. If no gas is available, the engines would run on diesel that is stored in 40 tanks on site. Total of 7 pods attached to the 117 power plant engines. Each pod holds two large buildings on the outer side, housing the data centers. In a May 2025 presentation posted to their website, parent company TransGas Development Systems, LLC stated that it plans to expand data center capacity between this site and  it's sister site to 9.8 GW.</t>
  </si>
  <si>
    <t>https://dep.wv.gov/daq/permitting/Documents/Transgas-Adams-Fork-Harless/059-00133_APPL_13-3714%20rev.pdf</t>
  </si>
  <si>
    <t>https://ohiorivervalleyinstitute.org/adams-fork-is-a-giant-waste-of-energy/</t>
  </si>
  <si>
    <t>https://www.newsfromthestates.com/article/enough-devastation-mingo-logan-residents-worry-about-proposed-power-plants-data-centers-wv</t>
  </si>
  <si>
    <t>Alpha Technologies Data Center</t>
  </si>
  <si>
    <t>1125 6th Ave</t>
  </si>
  <si>
    <t>Huntington</t>
  </si>
  <si>
    <t>25701</t>
  </si>
  <si>
    <t>Cabell</t>
  </si>
  <si>
    <t>38.41845</t>
  </si>
  <si>
    <t>-82.4386</t>
  </si>
  <si>
    <t>https://www.datacenterdynamics.com/en/news/alpha-technologies-to-convert-office-to-data-center-in-west-virginia/</t>
  </si>
  <si>
    <t>QTS Kearneysville Data Center</t>
  </si>
  <si>
    <t>between Route 115 and CSX railroad</t>
  </si>
  <si>
    <t>Kearneysville</t>
  </si>
  <si>
    <t>25438</t>
  </si>
  <si>
    <t>39.33659</t>
  </si>
  <si>
    <t>-77.85235</t>
  </si>
  <si>
    <t>https://observerwv.com/plan-for-data-center-complex-near-kearneysville-approved/</t>
  </si>
  <si>
    <t xml:space="preserve">Penzance Management </t>
  </si>
  <si>
    <t>near Bedington and Berkeley Station Rds</t>
  </si>
  <si>
    <t>Martinsburg</t>
  </si>
  <si>
    <t>25404</t>
  </si>
  <si>
    <t>39.526875</t>
  </si>
  <si>
    <t>-77.89455</t>
  </si>
  <si>
    <t>518</t>
  </si>
  <si>
    <t>https://www.datacenterdynamics.com/en/news/penzance-targets-600mw-data-center-campus-in-west-virginia/</t>
  </si>
  <si>
    <t>NETL’s Computational Science &amp; Engineering Center</t>
  </si>
  <si>
    <t>3610 Collins Ferry Rd</t>
  </si>
  <si>
    <t>Morgantown</t>
  </si>
  <si>
    <t>26505</t>
  </si>
  <si>
    <t>Monongalia</t>
  </si>
  <si>
    <t>39.67102</t>
  </si>
  <si>
    <t>-79.975006</t>
  </si>
  <si>
    <t>National Energy Technology Laboratory</t>
  </si>
  <si>
    <t>Laboratory already conducting research on AI and advanced computing, this project will consolidate data centers at the Morgantown Campus into a single facility and allow decommissioning of less-efficient data center space</t>
  </si>
  <si>
    <t>https://wvpublic.org/story/energy-environment/morgantown-federal-energy-lab-could-host-data-center-for-ai/</t>
  </si>
  <si>
    <t>https://netl.doe.gov/node/14819</t>
  </si>
  <si>
    <t>Mountaineer Gigasystem/ Monarch Cloud Campus</t>
  </si>
  <si>
    <t>Airport Rd and Hwy 62</t>
  </si>
  <si>
    <t>Point Pleasant</t>
  </si>
  <si>
    <t>25550</t>
  </si>
  <si>
    <t>38.9132</t>
  </si>
  <si>
    <t>-82.1103</t>
  </si>
  <si>
    <t>Fidelis/Nscale</t>
  </si>
  <si>
    <t>2000-8000</t>
  </si>
  <si>
    <t>Coal, Natural gas, Biomass</t>
  </si>
  <si>
    <t>Yes - Brightloop Hyrogen Plant / Monarch</t>
  </si>
  <si>
    <t>2250</t>
  </si>
  <si>
    <t>Brightloop onsite power generation (2000 GW) includes carbon capture and storage plans, hydrogen fuel production.</t>
  </si>
  <si>
    <t>https://www.wsaz.com/2025/03/04/new-facility-set-bring-thousands-jobs-mason-county/</t>
  </si>
  <si>
    <t>https://fidelisinfra.com/project/monarch-compute-campus/#</t>
  </si>
  <si>
    <t>https://eda.wv.gov/wp-content/uploads/2024/01/Mountaineer-GigaSystem-LLC-Final-Approval-8-16-2023-High-Impact.pdf</t>
  </si>
  <si>
    <t>https://www.prnewswire.com/news-releases/fidelis-and-bw-join-forces-at-mountaineer-gigasystem-site-for-brightloop-facility-to-process-coal-into-low-carbon-energy-302382849.html</t>
  </si>
  <si>
    <t>https://www.datacenterdynamics.com/en/news/nscale-in-talks-to-acquire-8gw-monarch-compute-campus-in-west-virginia-report/</t>
  </si>
  <si>
    <t>https://www.prnewswire.com/news-releases/american-intelligence--power-forms-strategic-alliance-with-caterpillar-and-boyd-cat-to-deploy-2-gigawatts-of-dedicated-power-for-hyperscale-ai-infrastructure-302673060.html</t>
  </si>
  <si>
    <t>Adams Fork Wharncliffe Data Center</t>
  </si>
  <si>
    <t>2002 Twisted Gun Rd</t>
  </si>
  <si>
    <t>Wharncliffe</t>
  </si>
  <si>
    <t>25651</t>
  </si>
  <si>
    <t>37.59904</t>
  </si>
  <si>
    <t>-81.9545</t>
  </si>
  <si>
    <t>Yes - Adams Fork Energy Project Power Station 1</t>
  </si>
  <si>
    <t>Identical proposal to the Adams Fork Harless Data Center. Each facility would house 117 engines powered by natural gas, with 114 of those running full-time. If no gas is available, the engines would run on diesel that is stored in 40 tanks on site. In a May 2025 presentation posted to their website, parent company TransGas Development Systems, LLC stated that it plans to expand data center capacity between this site and  it's sister site to 9.8 GW.</t>
  </si>
  <si>
    <t>https://dep-auth.wv.gov/daq/permitting/Documents/Transgas-Adams-Fork/059-00134_EVAL_13-3715%20draft.pdf</t>
  </si>
  <si>
    <t>https://ohiorivervalleyinstitute.org/adams-fork-energy-whats-happening-with-the-worlds-largest-proposed-ammonia-plant/</t>
  </si>
  <si>
    <t>Stokes Data Center</t>
  </si>
  <si>
    <t>74 Warwood Ave</t>
  </si>
  <si>
    <t>Wheeling</t>
  </si>
  <si>
    <t>26003</t>
  </si>
  <si>
    <t>Ohio</t>
  </si>
  <si>
    <t>40.101234</t>
  </si>
  <si>
    <t>-80.70349</t>
  </si>
  <si>
    <t>60000</t>
  </si>
  <si>
    <t>https://www.datacenterdynamics.com/en/news/100mw-data-center-could-be-built-in-wheeling-west-virginia/</t>
  </si>
  <si>
    <t>https://silicon.foundation/datacenter.html</t>
  </si>
  <si>
    <t>High Plains Business Park</t>
  </si>
  <si>
    <t>Cheyenne</t>
  </si>
  <si>
    <t>WY</t>
  </si>
  <si>
    <t>82007</t>
  </si>
  <si>
    <t>Laramie</t>
  </si>
  <si>
    <t>41.08515</t>
  </si>
  <si>
    <t>-104.833</t>
  </si>
  <si>
    <t>945</t>
  </si>
  <si>
    <t>https://www.datacenterdynamics.com/en/news/meta-named-as-company-behind-945-acre-data-center-development-in-cheyenne-wyoming/</t>
  </si>
  <si>
    <t>Microsoft Azure Data Center</t>
  </si>
  <si>
    <t>644 Logistics Dr</t>
  </si>
  <si>
    <t>82009</t>
  </si>
  <si>
    <t>41.12372</t>
  </si>
  <si>
    <t>-104.901</t>
  </si>
  <si>
    <t>Microsoft Cheyenne Data Center</t>
  </si>
  <si>
    <t>Near Wapiti Trail</t>
  </si>
  <si>
    <t>41.06447</t>
  </si>
  <si>
    <t>-104.77278</t>
  </si>
  <si>
    <t>https://www.datacenterdynamics.com/en/news/microsoft-plans-to-buy-3200-acres-of-land-for-data-center-project-in-cheyenne-wyoming/</t>
  </si>
  <si>
    <t>Project Tembo (Previously "Project Jade")</t>
  </si>
  <si>
    <t>Switchgrass Industrial Park, west of I-85. 2 miles south of Terry Ranch Rd</t>
  </si>
  <si>
    <t>41.031693</t>
  </si>
  <si>
    <t>-104.7964</t>
  </si>
  <si>
    <t>1375</t>
  </si>
  <si>
    <t>https://capcity.news/community/county-community/county-government/2025/10/09/laramie-county-oks-zoning-to-allow-massive-switchgrass-industrial-park-for-data-center-power-plant/</t>
  </si>
  <si>
    <t>https://www.washingtonpost.com/climate-environment/interactive/2025/giant-data-centers-energy-pollution</t>
  </si>
  <si>
    <t>https://www.crusoe.ai/resources/newsroom/crusoe-and-tallgrass-announce-ai-data-center-in-wyoming</t>
  </si>
  <si>
    <t>https://www.wyomingnews.com/news/local_news/county-commissioners-approve-data-center-power-plant-facilities-south-of-cheyenne/article_8dd9c94a-32c0-4ab5-9ea4-066936c81562.html</t>
  </si>
  <si>
    <t>https://www.datacenterdynamics.com/en/news/crusoe-gets-go-ahead-for-18gw-data-center-campus-and-power-plant-in-cheyenne-wyoming/</t>
  </si>
  <si>
    <t>https://www.datacenterdynamics.com/en/news/crusoe-pauses-work-on-18gw-cheyenne-wyoming-data-center-at-the-request-of-our-customer/</t>
  </si>
  <si>
    <t>https://www.datacenterdynamics.com/en/news/google-is-customer-behind-27gw-data-center-campus-near-cheyenne-wyoming/</t>
  </si>
  <si>
    <t>Related Digital Cheyenne Data Center</t>
  </si>
  <si>
    <t>Cheyenne Business Parkway, Campstool Rd, north side of I-80</t>
  </si>
  <si>
    <t>41.137573</t>
  </si>
  <si>
    <t>-104.71874</t>
  </si>
  <si>
    <t>Related Digital/CoreWeave</t>
  </si>
  <si>
    <t>Starting with 88 MW/ 184,00 sq ft building, and building out from there</t>
  </si>
  <si>
    <t>https://oilcity.news/statewide/2025/10/07/1-2-billion-data-center-breaks-ground-in-cheyenne-promises-water-free-operations/</t>
  </si>
  <si>
    <t>https://www.datacenterdynamics.com/en/news/related-digital-breaks-ground-on-12bn-data-center-in-cheyenne-wyoming-will-host-coreweave-servers/</t>
  </si>
  <si>
    <t>https://cheyenneleads.org/wp-content/uploads/2025/03/11x17-Business-Parks-Map-2024.jpg</t>
  </si>
  <si>
    <t>Wyoming Hyperscale Whitebox</t>
  </si>
  <si>
    <t>north face of Aspen Mountain</t>
  </si>
  <si>
    <t>Evanston</t>
  </si>
  <si>
    <t>82930</t>
  </si>
  <si>
    <t>Uinta</t>
  </si>
  <si>
    <t>41.18535</t>
  </si>
  <si>
    <t>-110.7719</t>
  </si>
  <si>
    <t>Prometheus Hyperscale</t>
  </si>
  <si>
    <t>https://www.datacenterdynamics.com/en/news/prometheus-hyperscale-secures-planning-approval-for-gigawatt-data-center-campus-in-wyoming/</t>
  </si>
  <si>
    <t>https://www.datacenterfrontier.com/hyperscale/article/21437203/wyoming-hyperscale-the-future-of-the-data-center</t>
  </si>
  <si>
    <r>
      <rPr>
        <rFont val="Arial"/>
        <b/>
        <color theme="1"/>
      </rPr>
      <t>Dataset Title</t>
    </r>
    <r>
      <rPr>
        <rFont val="Arial"/>
        <color theme="1"/>
      </rPr>
      <t xml:space="preserve">: Data Centers Identified by FracTracker Alliance
</t>
    </r>
    <r>
      <rPr>
        <rFont val="Arial"/>
        <b/>
        <color theme="1"/>
      </rPr>
      <t>Description</t>
    </r>
    <r>
      <rPr>
        <rFont val="Arial"/>
        <color theme="1"/>
      </rPr>
      <t xml:space="preserve">: This dataset provides an in-progress tally of permitted, existing, and proposed data centers in the United States. We mainly determine the locations of these sites through scans of current media announcements and incorporation of partner datasets from Piedmont Environmental Council and Science for Georgia. The main focus of the map is data center proposals (i.e. locations relevant for advocacy), and existing data centers are slowly being added. Other sources of information include public records, permit documents, parcel data, and Freedom of Information Act/Right to Know request responses. Due to the rapidly-evolving speed at which new data centers are being proposed, and to keep our map as up-to-date as possible, we are also crowd-sourcing new listings to supplement our own research.
</t>
    </r>
    <r>
      <rPr>
        <rFont val="Arial"/>
        <b/>
        <color theme="1"/>
      </rPr>
      <t>Data Source</t>
    </r>
    <r>
      <rPr>
        <rFont val="Arial"/>
        <color theme="1"/>
      </rPr>
      <t xml:space="preserve">: FracTracker Alliance (with incorporation of datasets from Piedmont Environmental Council and Science for Georgia)
</t>
    </r>
    <r>
      <rPr>
        <rFont val="Arial"/>
        <b/>
        <color theme="1"/>
      </rPr>
      <t>Date Effective</t>
    </r>
    <r>
      <rPr>
        <rFont val="Arial"/>
        <color theme="1"/>
      </rPr>
      <t xml:space="preserve">: ongoing data collection
</t>
    </r>
    <r>
      <rPr>
        <rFont val="Arial"/>
        <b/>
        <color theme="1"/>
      </rPr>
      <t>Tags</t>
    </r>
    <r>
      <rPr>
        <rFont val="Arial"/>
        <color theme="1"/>
      </rPr>
      <t xml:space="preserve">: Environmental, National, Data Centers, Community Victories, Infrastructure, Leases &amp; Zoning
Generated By: jones@fractracker.org
Generation Timestamp: 2026-01-29 08:40:08
</t>
    </r>
    <r>
      <rPr>
        <rFont val="Arial"/>
        <b/>
        <color theme="1"/>
      </rPr>
      <t xml:space="preserve">
--- Terms of Service ---</t>
    </r>
    <r>
      <rPr>
        <rFont val="Arial"/>
        <color theme="1"/>
      </rPr>
      <t xml:space="preserve">
© Copyright 2026 FracTracker Alliance
The accompanying dataset made available to the public by FracTracker is subject to the following terms and conditions:
1. All data are provided on an “as is” basis without warranties or representations of any kind, either express or implied, including, but not limited to, warranties of title or implied warranties of merchantability or fitness for a particular purpose.
2. In no event shall FracTracker be liable for any special, direct, indirect, consequential, or incidental damages or any damages whatsoever arising out of or in connection with the use or contents of provided data
3. FracTracker Alliance retains all rights, title, and interest in and to the Data compilation and the database structure, including all associated intellectual property rights. The license granted herein is strictly limited to the uses permitted under these Terms.
4. A core condition of using the Data is that your use must be consistent with and supportive of the mission of FracTracker Alliance. Our mission is to "map, analyze, and communicate the risks of oil, gas, and petrochemical development to advance just energy alternatives that protect public health, natural resources, and the climate." We reserve the right, in our sole discretion, to determine whether a particular use is consistent with our mission.
5. When using the Data in any public-facing materials, you must cite the source as it is presented in the Data Source section of this document, below.
6. By using the Site and/or App, you agree to our Terms of Service (https://www.fractracker.org/terms-of-service/) and our Privacy Policy (https://www.fractracker.org/privacy-policy/).</t>
    </r>
  </si>
</sst>
</file>

<file path=xl/styles.xml><?xml version="1.0" encoding="utf-8"?>
<styleSheet xmlns="http://schemas.openxmlformats.org/spreadsheetml/2006/main" xmlns:x14ac="http://schemas.microsoft.com/office/spreadsheetml/2009/9/ac" xmlns:mc="http://schemas.openxmlformats.org/markup-compatibility/2006">
  <fonts count="4">
    <font>
      <sz val="10.0"/>
      <color rgb="FF000000"/>
      <name val="Arial"/>
      <scheme val="minor"/>
    </font>
    <font>
      <color theme="1"/>
      <name val="Arial"/>
      <scheme val="minor"/>
    </font>
    <font>
      <u/>
      <color rgb="FF0000FF"/>
    </font>
    <font>
      <u/>
      <color rgb="FF0000FF"/>
    </font>
  </fonts>
  <fills count="2">
    <fill>
      <patternFill patternType="none"/>
    </fill>
    <fill>
      <patternFill patternType="lightGray"/>
    </fill>
  </fills>
  <borders count="1">
    <border/>
  </borders>
  <cellStyleXfs count="1">
    <xf borderId="0" fillId="0" fontId="0" numFmtId="0" applyAlignment="1" applyFont="1"/>
  </cellStyleXfs>
  <cellXfs count="8">
    <xf borderId="0" fillId="0" fontId="0" numFmtId="0" xfId="0" applyAlignment="1" applyFont="1">
      <alignment readingOrder="0" shrinkToFit="0" vertical="bottom" wrapText="0"/>
    </xf>
    <xf borderId="0" fillId="0" fontId="1" numFmtId="0" xfId="0" applyFont="1"/>
    <xf borderId="0" fillId="0" fontId="2" numFmtId="0" xfId="0" applyFont="1"/>
    <xf borderId="0" fillId="0" fontId="1" numFmtId="0" xfId="0" applyAlignment="1" applyFont="1">
      <alignment readingOrder="0"/>
    </xf>
    <xf quotePrefix="1" borderId="0" fillId="0" fontId="1" numFmtId="0" xfId="0" applyAlignment="1" applyFont="1">
      <alignment readingOrder="0"/>
    </xf>
    <xf borderId="0" fillId="0" fontId="3" numFmtId="0" xfId="0" applyAlignment="1" applyFont="1">
      <alignment readingOrder="0"/>
    </xf>
    <xf borderId="0" fillId="0" fontId="1" numFmtId="0" xfId="0" applyAlignment="1" applyFont="1">
      <alignment readingOrder="0" shrinkToFit="0" wrapText="1"/>
    </xf>
    <xf borderId="0" fillId="0" fontId="1" numFmtId="0" xfId="0" applyAlignment="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392" Type="http://schemas.openxmlformats.org/officeDocument/2006/relationships/hyperlink" Target="https://www.13wmaz.com/article/news/local/gray-jones/proposed-jones-county-data-center-axed-zoning-board-agenda-developers-withdraw/93-1cb42aca-7025-4d9c-b843-b1ada7cd7465" TargetMode="External"/><Relationship Id="rId391" Type="http://schemas.openxmlformats.org/officeDocument/2006/relationships/hyperlink" Target="https://www.facebook.com/groups/1699215814102745/" TargetMode="External"/><Relationship Id="rId390" Type="http://schemas.openxmlformats.org/officeDocument/2006/relationships/hyperlink" Target="https://www.13wmaz.com/article/news/local/600-acre-data-center-proposed-for-jones-county-faces-early-opposition/93-25e72bf8-9eed-47ae-a351-8b7a05ee723f" TargetMode="External"/><Relationship Id="rId2180" Type="http://schemas.openxmlformats.org/officeDocument/2006/relationships/hyperlink" Target="https://www.thecooldown.com/green-business/data-center-water-usage-utah-drought-concerns/" TargetMode="External"/><Relationship Id="rId2181" Type="http://schemas.openxmlformats.org/officeDocument/2006/relationships/hyperlink" Target="https://www.change.org/p/deny-zoning-and-permits-for-the-proposed-ai-data-center-in-mona" TargetMode="External"/><Relationship Id="rId2182" Type="http://schemas.openxmlformats.org/officeDocument/2006/relationships/hyperlink" Target="https://joulepower.ai/" TargetMode="External"/><Relationship Id="rId2183" Type="http://schemas.openxmlformats.org/officeDocument/2006/relationships/hyperlink" Target="https://www.yahoo.com/news/articles/groundbreaking-held-country-largest-data-002417981.html?guccounter=1&amp;guce_referrer=aHR0cHM6Ly93d3cuZ29vZ2xlLmNvbS8&amp;guce_referrer_sig=AQAAAHJQ5kLCaH1cL9pBxXcGRhLfJvBIQhy9OKt5wKJa772KdvFXzOzzs4lF4xlOa00cniFwgv2vbB4u2Pt314o9qAdd8zJqjHei-xyUxHSjpCL_IafaR24QdPC0pHn0u2WfN86jb-ptHsDqWyudECFa1z54u-TyfauKS2-UQnT55zzC" TargetMode="External"/><Relationship Id="rId385" Type="http://schemas.openxmlformats.org/officeDocument/2006/relationships/hyperlink" Target="https://apps.dca.ga.gov/DRI/AppSummary.aspx?driid=4308" TargetMode="External"/><Relationship Id="rId2184" Type="http://schemas.openxmlformats.org/officeDocument/2006/relationships/hyperlink" Target="https://www.yahoo.com/news/articles/millard-county-approves-solar-farm-041901922.html" TargetMode="External"/><Relationship Id="rId384" Type="http://schemas.openxmlformats.org/officeDocument/2006/relationships/hyperlink" Target="https://www.datacenterdynamics.com/en/news/google-purchases-950-acres-for-potential-data-center-in-monroe-county-georgia/" TargetMode="External"/><Relationship Id="rId2185" Type="http://schemas.openxmlformats.org/officeDocument/2006/relationships/hyperlink" Target="https://www.datacenterdynamics.com/en/news/warehouse-in-provo-utah-to-be-replaced-with-data-center/" TargetMode="External"/><Relationship Id="rId383" Type="http://schemas.openxmlformats.org/officeDocument/2006/relationships/hyperlink" Target="https://www.datacenterdynamics.com/en/news/12-building-42-million-sq-ft-data-center-campus-proposed-in-georgia/" TargetMode="External"/><Relationship Id="rId2186" Type="http://schemas.openxmlformats.org/officeDocument/2006/relationships/hyperlink" Target="https://www.datacenterdynamics.com/en/news/city-council-of-provo-utah-votes-against-data-center-rezoning-proposal/" TargetMode="External"/><Relationship Id="rId382" Type="http://schemas.openxmlformats.org/officeDocument/2006/relationships/hyperlink" Target="https://apps.dca.ga.gov/DRI/InitialForm.aspx?driid=4603" TargetMode="External"/><Relationship Id="rId2187" Type="http://schemas.openxmlformats.org/officeDocument/2006/relationships/hyperlink" Target="https://www.datacenterdynamics.com/en/news/20mw-off-grid-data-center-planned-outside-salt-lake-city-utah/" TargetMode="External"/><Relationship Id="rId389" Type="http://schemas.openxmlformats.org/officeDocument/2006/relationships/hyperlink" Target="https://www.datacenterdynamics.com/en/news/plans-filed-for-six-building-data-center-campus-outside-augusta-georgia/" TargetMode="External"/><Relationship Id="rId2188" Type="http://schemas.openxmlformats.org/officeDocument/2006/relationships/hyperlink" Target="https://www.ksl.com/article/51488565/utah-box-elder-county-officials-mull-plan-to-spur-energy-production-data-center-development" TargetMode="External"/><Relationship Id="rId388" Type="http://schemas.openxmlformats.org/officeDocument/2006/relationships/hyperlink" Target="https://www.fox5atlanta.com/news/hall-county-tables-vote-massive-data-center-project-after-residents-raise-concerns" TargetMode="External"/><Relationship Id="rId2189" Type="http://schemas.openxmlformats.org/officeDocument/2006/relationships/hyperlink" Target="https://utahcleanenergy.org/estimated-emissions-and-water-consumption-from-the-proposed-stratos-data-center/" TargetMode="External"/><Relationship Id="rId387" Type="http://schemas.openxmlformats.org/officeDocument/2006/relationships/hyperlink" Target="https://www.datacenterdynamics.com/en/news/company-files-for-project-turbo-data-center-campus-outside-atlanta-georgia/" TargetMode="External"/><Relationship Id="rId386" Type="http://schemas.openxmlformats.org/officeDocument/2006/relationships/hyperlink" Target="https://lakelanier.org/project-turbo-data-center/" TargetMode="External"/><Relationship Id="rId381" Type="http://schemas.openxmlformats.org/officeDocument/2006/relationships/hyperlink" Target="https://www.datacenterdynamics.com/en/news/qts-files-to-expand-fayetteville-data-center-campus-in-georgia/" TargetMode="External"/><Relationship Id="rId380" Type="http://schemas.openxmlformats.org/officeDocument/2006/relationships/hyperlink" Target="https://www.tomshardware.com/tech-industry/georgia-data-center-used-29-million-gallons-of-water" TargetMode="External"/><Relationship Id="rId379" Type="http://schemas.openxmlformats.org/officeDocument/2006/relationships/hyperlink" Target="https://www.ledger-enquirer.com/news/environment/article312215145.html" TargetMode="External"/><Relationship Id="rId2170" Type="http://schemas.openxmlformats.org/officeDocument/2006/relationships/hyperlink" Target="https://finance.yahoo.com/news/cipher-mining-pursues-2-billion-161628888.html" TargetMode="External"/><Relationship Id="rId2171" Type="http://schemas.openxmlformats.org/officeDocument/2006/relationships/hyperlink" Target="https://northwiseproject.com/cifr-stock-black-pearl-site/" TargetMode="External"/><Relationship Id="rId2172" Type="http://schemas.openxmlformats.org/officeDocument/2006/relationships/hyperlink" Target="https://www.datacenterdynamics.com/en/news/plans-filed-for-100000-sq-ft-data-center-outside-dallas-texas/" TargetMode="External"/><Relationship Id="rId374" Type="http://schemas.openxmlformats.org/officeDocument/2006/relationships/hyperlink" Target="https://roughdraftatlanta.com/2025/11/12/atlanta-fairwater-ai-data-center/" TargetMode="External"/><Relationship Id="rId2173" Type="http://schemas.openxmlformats.org/officeDocument/2006/relationships/hyperlink" Target="https://www.datacenterdynamics.com/en/news/640-acre-data-center-could-be-built-in-iron-county-utah/" TargetMode="External"/><Relationship Id="rId373" Type="http://schemas.openxmlformats.org/officeDocument/2006/relationships/hyperlink" Target="https://www.datacenterdynamics.com/en/news/microsoft-launches-atlanta-fairwater-data-center-two-stories-no-ups-or-gen-sets/" TargetMode="External"/><Relationship Id="rId2174" Type="http://schemas.openxmlformats.org/officeDocument/2006/relationships/hyperlink" Target="https://www.datacenterdynamics.com/en/news/proposal-to-build-640-acre-data-center-in-iron-county-utah-gets-the-go-ahead/" TargetMode="External"/><Relationship Id="rId372" Type="http://schemas.openxmlformats.org/officeDocument/2006/relationships/hyperlink" Target="https://tech.yahoo.com/ai/copilot/articles/microsoft-reveals-datacenter-atlanta-help-182309564.html" TargetMode="External"/><Relationship Id="rId2175" Type="http://schemas.openxmlformats.org/officeDocument/2006/relationships/hyperlink" Target="https://www.datacenterdynamics.com/en/news/blusky-ai-signs-letter-of-intent-for-25-acre-data-center/" TargetMode="External"/><Relationship Id="rId371" Type="http://schemas.openxmlformats.org/officeDocument/2006/relationships/hyperlink" Target="https://www.datacenterdynamics.com/en/news/developer-effectively-withdraws-application-for-data-center-in-fayetteville-georgia/" TargetMode="External"/><Relationship Id="rId2176" Type="http://schemas.openxmlformats.org/officeDocument/2006/relationships/hyperlink" Target="https://www.sltrib.com/news/2025/06/22/largest-data-center-campus-world/" TargetMode="External"/><Relationship Id="rId378" Type="http://schemas.openxmlformats.org/officeDocument/2006/relationships/hyperlink" Target="https://www.datacenterdynamics.com/en/news/project-excalibur-qts-planning-16-building-66-million-sq-ft-development-in-fayetteville-georgia/" TargetMode="External"/><Relationship Id="rId2177" Type="http://schemas.openxmlformats.org/officeDocument/2006/relationships/hyperlink" Target="https://www.datacenterdynamics.com/en/news/fibernet-ceo-eyes-multi-gigawatt-data-center-campus-in-utah/" TargetMode="External"/><Relationship Id="rId377" Type="http://schemas.openxmlformats.org/officeDocument/2006/relationships/hyperlink" Target="https://apps.dca.ga.gov/DRI/AppSummary.aspx?driid=3813" TargetMode="External"/><Relationship Id="rId2178" Type="http://schemas.openxmlformats.org/officeDocument/2006/relationships/hyperlink" Target="https://www.abc4.com/news/central-utah/worlds-largest-data-center-is-coming-to-this-rural-utah-county/" TargetMode="External"/><Relationship Id="rId376" Type="http://schemas.openxmlformats.org/officeDocument/2006/relationships/hyperlink" Target="https://cleanview.co/public/data-centers/georgia/1896/fairwater-2---atlanta" TargetMode="External"/><Relationship Id="rId2179" Type="http://schemas.openxmlformats.org/officeDocument/2006/relationships/hyperlink" Target="https://www.datacenterdynamics.com/en/news/millard-county-commission-in-utah-approves-data-center-land-rezoning-request/" TargetMode="External"/><Relationship Id="rId375" Type="http://schemas.openxmlformats.org/officeDocument/2006/relationships/hyperlink" Target="https://epoch.ai/data/data-centers/satellite-explorer/MicrosoftFairwaterFayettevilleGeorgia?ref=404media.co" TargetMode="External"/><Relationship Id="rId2190" Type="http://schemas.openxmlformats.org/officeDocument/2006/relationships/hyperlink" Target="https://www.sltrib.com/news/2026/04/27/hyperscale-data-center-project/" TargetMode="External"/><Relationship Id="rId2191" Type="http://schemas.openxmlformats.org/officeDocument/2006/relationships/hyperlink" Target="https://www.sltrib.com/news/environment/2026/05/07/utahs-data-center-could-create/" TargetMode="External"/><Relationship Id="rId2192" Type="http://schemas.openxmlformats.org/officeDocument/2006/relationships/hyperlink" Target="https://www.sltrib.com/news/2026/05/04/utah-data-center-final-vote-box/" TargetMode="External"/><Relationship Id="rId2193" Type="http://schemas.openxmlformats.org/officeDocument/2006/relationships/hyperlink" Target="https://www.ksl.com/article/51488565/utah-box-elder-county-officials-mull-plan-to-spur-energy-production-data-center-development" TargetMode="External"/><Relationship Id="rId2194" Type="http://schemas.openxmlformats.org/officeDocument/2006/relationships/hyperlink" Target="https://utahcleanenergy.org/estimated-emissions-and-water-consumption-from-the-proposed-stratos-data-center/" TargetMode="External"/><Relationship Id="rId396" Type="http://schemas.openxmlformats.org/officeDocument/2006/relationships/hyperlink" Target="https://apps.dca.ga.gov/DRI/InitialForm.aspx?driid=4607" TargetMode="External"/><Relationship Id="rId2195" Type="http://schemas.openxmlformats.org/officeDocument/2006/relationships/hyperlink" Target="https://www.sltrib.com/news/2026/04/27/hyperscale-data-center-project/" TargetMode="External"/><Relationship Id="rId395" Type="http://schemas.openxmlformats.org/officeDocument/2006/relationships/hyperlink" Target="https://www.facebook.com/groups/saveruralspalding/posts/1424956929359534/" TargetMode="External"/><Relationship Id="rId2196" Type="http://schemas.openxmlformats.org/officeDocument/2006/relationships/hyperlink" Target="https://www.sltrib.com/news/environment/2026/05/07/utahs-data-center-could-create/" TargetMode="External"/><Relationship Id="rId394" Type="http://schemas.openxmlformats.org/officeDocument/2006/relationships/hyperlink" Target="https://www.datacenterdynamics.com/en/news/hillwood-affiliate-files-to-develop-22-million-sq-ft-data-center-campus-outside-atlanta-georgia/" TargetMode="External"/><Relationship Id="rId2197" Type="http://schemas.openxmlformats.org/officeDocument/2006/relationships/hyperlink" Target="https://www.sltrib.com/news/2026/05/04/utah-data-center-final-vote-box/" TargetMode="External"/><Relationship Id="rId393" Type="http://schemas.openxmlformats.org/officeDocument/2006/relationships/hyperlink" Target="https://www.datacenterdynamics.com/en/news/data-center-developers-withdraw-plans-to-rezone-more-than-600-acres-in-jones-county-georgia-after-local-pushback/" TargetMode="External"/><Relationship Id="rId2198" Type="http://schemas.openxmlformats.org/officeDocument/2006/relationships/hyperlink" Target="https://www.datacenterdynamics.com/en/news/aligned-announces-plans-for-100mw-data-center-in-salt-lake-city-utah/" TargetMode="External"/><Relationship Id="rId2199" Type="http://schemas.openxmlformats.org/officeDocument/2006/relationships/hyperlink" Target="https://www.datacenterdynamics.com/en/news/aligned-opens-second-salt-lake-city-data-center/" TargetMode="External"/><Relationship Id="rId399" Type="http://schemas.openxmlformats.org/officeDocument/2006/relationships/hyperlink" Target="https://www.ajc.com/news/business/sprawling-data-center-campuses-proposed-south-and-east-of-atlanta/5QKZEN5W45GU5NCHUHGVYX4UUM/" TargetMode="External"/><Relationship Id="rId398" Type="http://schemas.openxmlformats.org/officeDocument/2006/relationships/hyperlink" Target="https://www.griffindailynews.com/news/spalding-county-resident-raises-alarm-about-a-proposed-data-center-on-high-falls-road/article_ec6873d9-ad5a-5327-b940-fbec3e36b16c.html" TargetMode="External"/><Relationship Id="rId397" Type="http://schemas.openxmlformats.org/officeDocument/2006/relationships/hyperlink" Target="https://www.datacenterdynamics.com/en/news/plans-filed-for-255-million-sq-ft-data-center-campus-outside-atlanta/" TargetMode="External"/><Relationship Id="rId1730" Type="http://schemas.openxmlformats.org/officeDocument/2006/relationships/hyperlink" Target="https://www.directltx.com/facility-information" TargetMode="External"/><Relationship Id="rId1731" Type="http://schemas.openxmlformats.org/officeDocument/2006/relationships/hyperlink" Target="https://omegasystemscorp.com/company/locations/" TargetMode="External"/><Relationship Id="rId1732" Type="http://schemas.openxmlformats.org/officeDocument/2006/relationships/hyperlink" Target="https://www.linkedin.com/posts/brian-patten-land_datacenter-hyperscaleinfrastructure-aiinfrastructure-activity-7437127674243792896-b8tM" TargetMode="External"/><Relationship Id="rId1733" Type="http://schemas.openxmlformats.org/officeDocument/2006/relationships/hyperlink" Target="https://www.instagram.com/p/DVs-cYRDQwE/" TargetMode="External"/><Relationship Id="rId1734" Type="http://schemas.openxmlformats.org/officeDocument/2006/relationships/hyperlink" Target="https://web.archive.org/web/20260122015716/https://www.thetimes-tribune.com/2025/12/12/data-center-developer-tied-to-projects-in-archbald-blakely-moves-to-dickson-city/" TargetMode="External"/><Relationship Id="rId1735" Type="http://schemas.openxmlformats.org/officeDocument/2006/relationships/hyperlink" Target="https://www.yahoo.com/news/articles/data-center-developer-tied-projects-010500418.html?guccounter=1&amp;guce_referrer=aHR0cHM6Ly93d3cuZ29vZ2xlLmNvbS8&amp;guce_referrer_sig=AQAAAGAfMKpS12TP6ZDloqn1sMuj2eDrOqFfWscZMBNm2rDp5hWip__GoHpNdhSqv5t3ApCn-ybzAaKm1iljvQAp8zHHZuk1aw_ypw6l-33IXEIL6uBs8IThHSEX_54eaWzlhSZ0aMc5p_T9oLqEil8ZpnExPyKQjBeLow6C-3jXK3Vd" TargetMode="External"/><Relationship Id="rId1736" Type="http://schemas.openxmlformats.org/officeDocument/2006/relationships/hyperlink" Target="https://web.archive.org/web/20260522005447/https://www.thetimes-tribune.com/2026/05/21/dickson-city-denies-data-center-developers-zoning-challenge/" TargetMode="External"/><Relationship Id="rId1737" Type="http://schemas.openxmlformats.org/officeDocument/2006/relationships/hyperlink" Target="https://www.tomshardware.com/tech-industry/cryptomining/major-bitcoin-mining-firm-pivoting-to-ai-plans-to-fully-abandon-crypto-mining-by-2027-bitfarm-to-leverage-341-megawatt-capacity-for-ai-following-usd46-million-q3-loss" TargetMode="External"/><Relationship Id="rId1738" Type="http://schemas.openxmlformats.org/officeDocument/2006/relationships/hyperlink" Target="https://bitfarms.com/our-portfolio/data-centers/north-america/" TargetMode="External"/><Relationship Id="rId1739" Type="http://schemas.openxmlformats.org/officeDocument/2006/relationships/hyperlink" Target="https://www.tomshardware.com/tech-industry/cryptomining/major-bitcoin-mining-firm-pivoting-to-ai-plans-to-fully-abandon-crypto-mining-by-2027-bitfarm-to-leverage-341-megawatt-capacity-for-ai-following-usd46-million-q3-loss" TargetMode="External"/><Relationship Id="rId1720" Type="http://schemas.openxmlformats.org/officeDocument/2006/relationships/hyperlink" Target="https://www.expedient.com/data-centers/pittsburgh/" TargetMode="External"/><Relationship Id="rId1721" Type="http://schemas.openxmlformats.org/officeDocument/2006/relationships/hyperlink" Target="https://h5datacenters.com/pittsburgh-data-center.html" TargetMode="External"/><Relationship Id="rId1722" Type="http://schemas.openxmlformats.org/officeDocument/2006/relationships/hyperlink" Target="https://www.datacenterdynamics.com/en/news/14-million-sq-ft-data-center-campus-planned-outside-philadelphia-pennsylvania/" TargetMode="External"/><Relationship Id="rId1723" Type="http://schemas.openxmlformats.org/officeDocument/2006/relationships/hyperlink" Target="https://eastcoventry-pa.gov/vertical/sites/%7BA2FA46C5-686F-4B16-8376-0BDF39FCC483%7D/uploads/Constellation_Application_BOS-25-002.pdf" TargetMode="External"/><Relationship Id="rId1724" Type="http://schemas.openxmlformats.org/officeDocument/2006/relationships/hyperlink" Target="https://www.change.org/p/oppose-data-centers-in-linfield-and-limerick" TargetMode="External"/><Relationship Id="rId1725" Type="http://schemas.openxmlformats.org/officeDocument/2006/relationships/hyperlink" Target="https://www.datacenterdynamics.com/en/news/14-million-sq-ft-data-center-campus-planned-outside-philadelphia-pennsylvania/" TargetMode="External"/><Relationship Id="rId1726" Type="http://schemas.openxmlformats.org/officeDocument/2006/relationships/hyperlink" Target="https://www.limerickpa.org/AgendaCenter/ViewFile/Agenda/_01082026-612?fbclid=IwZXh0bgNhZW0CMTAAYnJpZBExb3RUV2s2NlBnWW1GUU0xZXNydGMGYXBwX2lkEDIyMjAzOTE3ODgyMDA4OTIAAR4x3Vge5famrtF2lACHuKQJONinPG2f-bbYqqqmsfBMaiRHM4_ImgqrazahkQ_aem_wmrdy1BZYJs01DybQZ5gYA" TargetMode="External"/><Relationship Id="rId1727" Type="http://schemas.openxmlformats.org/officeDocument/2006/relationships/hyperlink" Target="https://www.facebook.com/groups/2297149624011296" TargetMode="External"/><Relationship Id="rId1728" Type="http://schemas.openxmlformats.org/officeDocument/2006/relationships/hyperlink" Target="https://www.datacenterdynamics.com/en/news/zoning-amendment-rejected-for-data-center-in-ransom-township-pennsylvania/" TargetMode="External"/><Relationship Id="rId1729" Type="http://schemas.openxmlformats.org/officeDocument/2006/relationships/hyperlink" Target="https://dastorllc.com/locations/" TargetMode="External"/><Relationship Id="rId1752" Type="http://schemas.openxmlformats.org/officeDocument/2006/relationships/hyperlink" Target="https://www.datacenterdynamics.com/en/news/17bn-data-center-could-be-built-in-lebanon-county-pennsylvania/" TargetMode="External"/><Relationship Id="rId1753" Type="http://schemas.openxmlformats.org/officeDocument/2006/relationships/hyperlink" Target="https://www.datacenterdynamics.com/en/news/plan-for-17bn-data-center-in-lebanon-county-pennsylvania-withdrawn-by-developer/" TargetMode="External"/><Relationship Id="rId1754" Type="http://schemas.openxmlformats.org/officeDocument/2006/relationships/hyperlink" Target="https://centerforcoalfieldjustice.org/" TargetMode="External"/><Relationship Id="rId1755" Type="http://schemas.openxmlformats.org/officeDocument/2006/relationships/hyperlink" Target="https://www.wesa.fm/environment-energy/2025-10-21/washington-county-carbon-neutral-data-center-development" TargetMode="External"/><Relationship Id="rId1756" Type="http://schemas.openxmlformats.org/officeDocument/2006/relationships/hyperlink" Target="https://www.cbsnews.com/pittsburgh/news/south-strabane-township-zediker-station-data-center/" TargetMode="External"/><Relationship Id="rId1757" Type="http://schemas.openxmlformats.org/officeDocument/2006/relationships/hyperlink" Target="https://www.observer-reporter.com/news/local-news/2025/dec/18/potential-data-center-dominates-conversation-in-south-strabane/?fbclid=IwY2xjawPp655leHRuA2FlbQIxMQBzcnRjBmFwcF9pZBAyMjIwMzkxNzg4MjAwODkyAAEeq1A8M0BwHyZlR_UBi_EQSCtxI3rupAP_Q32J3uclg7hvRecKWd_feP_nGMw_aem_fXhl6mY5DVAi72rRjvgz2Q" TargetMode="External"/><Relationship Id="rId1758" Type="http://schemas.openxmlformats.org/officeDocument/2006/relationships/hyperlink" Target="https://www.alleghenyfront.org/washington-county-data-center-development/" TargetMode="External"/><Relationship Id="rId1759" Type="http://schemas.openxmlformats.org/officeDocument/2006/relationships/hyperlink" Target="https://www.change.org/p/protect-pennhurst-from-data-center-development" TargetMode="External"/><Relationship Id="rId1750" Type="http://schemas.openxmlformats.org/officeDocument/2006/relationships/hyperlink" Target="https://www.alleghenyfront.org/meta-beaver-valley-nuclear-power-plant-ai-data-centers/" TargetMode="External"/><Relationship Id="rId1751" Type="http://schemas.openxmlformats.org/officeDocument/2006/relationships/hyperlink" Target="https://www.datacenterdynamics.com/en/news/shippingport-industrial-park/" TargetMode="External"/><Relationship Id="rId1741" Type="http://schemas.openxmlformats.org/officeDocument/2006/relationships/hyperlink" Target="https://www.datacenterdynamics.com/en/news/bitfarms-to-convert-washington-cryptomine-to-hpcai-hosting/" TargetMode="External"/><Relationship Id="rId1742" Type="http://schemas.openxmlformats.org/officeDocument/2006/relationships/hyperlink" Target="https://www.datacenterdynamics.com/en/news/zoning-board-of-sharon-pa-approves-planned-expansion-of-keel-infrastructures-existing-data-center-development/" TargetMode="External"/><Relationship Id="rId1743" Type="http://schemas.openxmlformats.org/officeDocument/2006/relationships/hyperlink" Target="https://www.marcellusawareness.org/" TargetMode="External"/><Relationship Id="rId1744" Type="http://schemas.openxmlformats.org/officeDocument/2006/relationships/hyperlink" Target="https://www.post-gazette.com/business/powersource/2025/08/03/shippingport-mansfield-data-center/stories/202508030081" TargetMode="External"/><Relationship Id="rId1745" Type="http://schemas.openxmlformats.org/officeDocument/2006/relationships/hyperlink" Target="https://frontier-companies.com/the-frontier-group-of-companies-to-transform-bruce-mansfield-power-plant-into-state-of-the-art-natural-gas-power-plant-supporting-americas-energy-goals-and-pennsylvanias-economic-gr/" TargetMode="External"/><Relationship Id="rId1746" Type="http://schemas.openxmlformats.org/officeDocument/2006/relationships/hyperlink" Target="https://www.businesswire.com/news/home/20250715103342/en/The-Frontier-Group-of-Companies-to-Transform-Bruce-Mansfield-Power-Plant-into-State-of-the-Art-Natural-Gas-Power-Plant-Supporting-Americas-Energy-Goals-and-Pennsylvanias-Economic-Growth" TargetMode="External"/><Relationship Id="rId1747" Type="http://schemas.openxmlformats.org/officeDocument/2006/relationships/hyperlink" Target="https://pioga.org/bruce-mansfield-plant-in-beaver-county-to-undergo-3-2-billion-transformation-into-natural-gas-power-plant/" TargetMode="External"/><Relationship Id="rId1748" Type="http://schemas.openxmlformats.org/officeDocument/2006/relationships/hyperlink" Target="https://www.post-gazette.com/business/tech-news/2026/02/08/beaver-valley-data-centers-shippingport-aligned/stories/202602080033" TargetMode="External"/><Relationship Id="rId1749" Type="http://schemas.openxmlformats.org/officeDocument/2006/relationships/hyperlink" Target="https://triblive.com/local/regional/sprawling-data-center-campus-proposed-next-to-old-bruce-mansfield-power-plant-in-shippingport/" TargetMode="External"/><Relationship Id="rId1740" Type="http://schemas.openxmlformats.org/officeDocument/2006/relationships/hyperlink" Target="https://bitfarms.com/our-portfolio/data-centers/north-america/" TargetMode="External"/><Relationship Id="rId1710" Type="http://schemas.openxmlformats.org/officeDocument/2006/relationships/hyperlink" Target="https://www.lumen.com/en-us/resources/network-maps.html" TargetMode="External"/><Relationship Id="rId1711" Type="http://schemas.openxmlformats.org/officeDocument/2006/relationships/hyperlink" Target="https://netrality.com/data-center/401-north-broad-philadelphia/" TargetMode="External"/><Relationship Id="rId1712" Type="http://schemas.openxmlformats.org/officeDocument/2006/relationships/hyperlink" Target="https://www.equinix.com/data-centers/americas-colocation/united-states-colocation/philadelphia-data-centers/ph1" TargetMode="External"/><Relationship Id="rId1713" Type="http://schemas.openxmlformats.org/officeDocument/2006/relationships/hyperlink" Target="http://property.compstak.com/2000-Kubach-Road-Philadelphia/p/72300" TargetMode="External"/><Relationship Id="rId1714" Type="http://schemas.openxmlformats.org/officeDocument/2006/relationships/hyperlink" Target="http://tierpoint.com/data-centers/pennsylvania/philadelphia/" TargetMode="External"/><Relationship Id="rId1715" Type="http://schemas.openxmlformats.org/officeDocument/2006/relationships/hyperlink" Target="https://365datacenters.com/philadelphia-data-center/" TargetMode="External"/><Relationship Id="rId1716" Type="http://schemas.openxmlformats.org/officeDocument/2006/relationships/hyperlink" Target="https://www.consolidated.com/business/medium-enterprise/data-center-services/locations/pennsylvania" TargetMode="External"/><Relationship Id="rId1717" Type="http://schemas.openxmlformats.org/officeDocument/2006/relationships/hyperlink" Target="https://www.databank.com/data-centers/pittsburgh/100-south-commons/" TargetMode="External"/><Relationship Id="rId1718" Type="http://schemas.openxmlformats.org/officeDocument/2006/relationships/hyperlink" Target="https://www.databank.com/data-centers/pittsburgh/summit-park-campus/" TargetMode="External"/><Relationship Id="rId1719" Type="http://schemas.openxmlformats.org/officeDocument/2006/relationships/hyperlink" Target="https://www.expedient.com/data-centers/pittsburgh/" TargetMode="External"/><Relationship Id="rId1700" Type="http://schemas.openxmlformats.org/officeDocument/2006/relationships/hyperlink" Target="https://www.datacenterdynamics.com/en/news/tecfusions-acquires-former-manufacturing-site-outside-pittsburgh-pennsylvania-for-3gw-data-center-site/" TargetMode="External"/><Relationship Id="rId1701" Type="http://schemas.openxmlformats.org/officeDocument/2006/relationships/hyperlink" Target="https://tecfusions.com/?clarksville" TargetMode="External"/><Relationship Id="rId1702" Type="http://schemas.openxmlformats.org/officeDocument/2006/relationships/hyperlink" Target="https://triblive.com/local/valley-news-dispatch/upper-burrell-data-center-nets-first-tenant-at-former-alcoa-research-site/" TargetMode="External"/><Relationship Id="rId1703" Type="http://schemas.openxmlformats.org/officeDocument/2006/relationships/hyperlink" Target="https://www.tierpoint.com/data-centers/pennsylvania/valley-forge/" TargetMode="External"/><Relationship Id="rId1704" Type="http://schemas.openxmlformats.org/officeDocument/2006/relationships/hyperlink" Target="https://365datacenters.com/philadelphia-data-center-2/" TargetMode="External"/><Relationship Id="rId1705" Type="http://schemas.openxmlformats.org/officeDocument/2006/relationships/hyperlink" Target="https://h5datacenters.com/philadelphia-data-center.html" TargetMode="External"/><Relationship Id="rId1706" Type="http://schemas.openxmlformats.org/officeDocument/2006/relationships/hyperlink" Target="https://h5datacenters.com/slick_philadelphia.pdf" TargetMode="External"/><Relationship Id="rId1707" Type="http://schemas.openxmlformats.org/officeDocument/2006/relationships/hyperlink" Target="https://www.lumen.com/en-us/resources/network-maps.html" TargetMode="External"/><Relationship Id="rId1708" Type="http://schemas.openxmlformats.org/officeDocument/2006/relationships/hyperlink" Target="https://www.lumen.com/en-us/resources/network-maps.html" TargetMode="External"/><Relationship Id="rId1709" Type="http://schemas.openxmlformats.org/officeDocument/2006/relationships/hyperlink" Target="https://www.lumen.com/en-us/resources/network-maps.html" TargetMode="External"/><Relationship Id="rId40" Type="http://schemas.openxmlformats.org/officeDocument/2006/relationships/hyperlink" Target="https://www.datacenterdynamics.com/en/news/serverfarm-targets-135-acre-data-center-campus-in-arkansas/" TargetMode="External"/><Relationship Id="rId42" Type="http://schemas.openxmlformats.org/officeDocument/2006/relationships/hyperlink" Target="https://www.datacenterdynamics.com/en/news/mystery-developer-plans-1bn-data-center-in-little-rock-arkansas/" TargetMode="External"/><Relationship Id="rId41" Type="http://schemas.openxmlformats.org/officeDocument/2006/relationships/hyperlink" Target="https://invest.jll.com/us/en/listings/special-purpose-facility/8-asset-switch-portfolio" TargetMode="External"/><Relationship Id="rId44" Type="http://schemas.openxmlformats.org/officeDocument/2006/relationships/hyperlink" Target="https://www.facebook.com/groups/881057251172141/" TargetMode="External"/><Relationship Id="rId43" Type="http://schemas.openxmlformats.org/officeDocument/2006/relationships/hyperlink" Target="https://www.kark.com/news/local-news/pulaski-county-sends-five-data-center-measures-to-planning-board-after-heated-debate-over-google-and-avaio-projects" TargetMode="External"/><Relationship Id="rId46" Type="http://schemas.openxmlformats.org/officeDocument/2006/relationships/hyperlink" Target="https://www.change.org/p/halt-construction-of-ai-data-center-in-little-rock-ar" TargetMode="External"/><Relationship Id="rId45" Type="http://schemas.openxmlformats.org/officeDocument/2006/relationships/hyperlink" Target="https://www.facebook.com/groups/4339680782970126" TargetMode="External"/><Relationship Id="rId48" Type="http://schemas.openxmlformats.org/officeDocument/2006/relationships/hyperlink" Target="https://www.arkansasonline.com/news/2026/jan/12/6b-data-center-announced-for-pulaski-county/" TargetMode="External"/><Relationship Id="rId47" Type="http://schemas.openxmlformats.org/officeDocument/2006/relationships/hyperlink" Target="https://www.datacenterdynamics.com/en/news/avaio-to-develop-6bn-data-center-campus-in-little-rock-arkansas/" TargetMode="External"/><Relationship Id="rId49" Type="http://schemas.openxmlformats.org/officeDocument/2006/relationships/hyperlink" Target="https://www.kark.com/news/local-news/pulaski-county-sends-five-data-center-measures-to-planning-board-after-heated-debate-over-google-and-avaio-projects" TargetMode="External"/><Relationship Id="rId31" Type="http://schemas.openxmlformats.org/officeDocument/2006/relationships/hyperlink" Target="https://abc3340.com/news/local/concerns-grow-in-childersburg-over-possible-data-center-at-industrial-park" TargetMode="External"/><Relationship Id="rId30" Type="http://schemas.openxmlformats.org/officeDocument/2006/relationships/hyperlink" Target="https://www.childersburg.org/childersburg-industrial-park" TargetMode="External"/><Relationship Id="rId33" Type="http://schemas.openxmlformats.org/officeDocument/2006/relationships/hyperlink" Target="https://www.datacenterdynamics.com/en/news/meta-to-build-800m-data-center-in-montgomery-alabama/" TargetMode="External"/><Relationship Id="rId32" Type="http://schemas.openxmlformats.org/officeDocument/2006/relationships/hyperlink" Target="https://www.datacenterdynamics.com/en/news/meta-to-build-800m-data-center-in-montgomery-alabama/" TargetMode="External"/><Relationship Id="rId35" Type="http://schemas.openxmlformats.org/officeDocument/2006/relationships/hyperlink" Target="https://www.datacenterdynamics.com/en/news/morgan-county-alabama-passes-data-center-moratorium-blocking-cryptomine-proposal/" TargetMode="External"/><Relationship Id="rId34" Type="http://schemas.openxmlformats.org/officeDocument/2006/relationships/hyperlink" Target="https://www.datacenterdynamics.com/en/news/canadas-beacon-details-plans-for-data-center-campus-in-alabama/" TargetMode="External"/><Relationship Id="rId37" Type="http://schemas.openxmlformats.org/officeDocument/2006/relationships/hyperlink" Target="https://alabamareflector.com/2025/08/24/wilsonville-residents-seek-preemptive-strike-against-massive-data-center-project/" TargetMode="External"/><Relationship Id="rId36" Type="http://schemas.openxmlformats.org/officeDocument/2006/relationships/hyperlink" Target="https://www.facebook.com/groups/4004296566505749/" TargetMode="External"/><Relationship Id="rId39" Type="http://schemas.openxmlformats.org/officeDocument/2006/relationships/hyperlink" Target="https://www.change.org/p/stop-the-mega-data-center-in-clarksville-arkansas?utm_source=chatgpt.com" TargetMode="External"/><Relationship Id="rId38" Type="http://schemas.openxmlformats.org/officeDocument/2006/relationships/hyperlink" Target="https://www.al.com/news/birmingham/2025/08/alabama-towns-residents-seek-preemptive-strike-against-massive-data-center-project.html" TargetMode="External"/><Relationship Id="rId2203" Type="http://schemas.openxmlformats.org/officeDocument/2006/relationships/hyperlink" Target="https://reparcelasmt.loudoun.gov/pt/datalets/datalet.aspx?mode=profileall&amp;UseSearch=no&amp;pin=246200886000&amp;jur=107&amp;taxyr=2024&amp;LMparent=20" TargetMode="External"/><Relationship Id="rId2204" Type="http://schemas.openxmlformats.org/officeDocument/2006/relationships/hyperlink" Target="https://loudouncountyvaeg.tylerhost.net/prod/selfservice" TargetMode="External"/><Relationship Id="rId20" Type="http://schemas.openxmlformats.org/officeDocument/2006/relationships/hyperlink" Target="https://www.wbrc.com/2025/11/19/bessemer-city-council-approves-149-billion-data-center-project-despite-transparency-concerns/?fbclid=IwY2xjawOKTxFleHRuA2FlbQIxMABicmlkETEwaFplSmJPZzc4OFJiUWo5c3J0YwZhcHBfaWQQMjIyMDM5MTc4ODIwMDg5MgABHvStxnxA58rPAQ18A844EkSUQ5kDNMyIy5_2P5dSogqkTSIEBa9p7N7V4Vr6_aem_ZzcqUxOQ-qztwhUEQJHxfQ" TargetMode="External"/><Relationship Id="rId2205" Type="http://schemas.openxmlformats.org/officeDocument/2006/relationships/hyperlink" Target="https://reparcelasmt.loudoun.gov/pt/Datalets/Datalet.aspx?UseSearch=no&amp;mode=profileall&amp;pin=202285740000&amp;jur=107&amp;taxyr=2025" TargetMode="External"/><Relationship Id="rId2206" Type="http://schemas.openxmlformats.org/officeDocument/2006/relationships/hyperlink" Target="https://reparcelasmt.loudoun.gov/pt/datalets/datalet.aspx?mode=profileall&amp;UseSearch=no&amp;pin=203371445000&amp;jur=107&amp;taxyr=2024&amp;LMparent=20" TargetMode="External"/><Relationship Id="rId22" Type="http://schemas.openxmlformats.org/officeDocument/2006/relationships/hyperlink" Target="https://abc3340.com/news/abc-3340-news-iteam/bessemer-unveils-revised-project-marvel-data-center-campus-plan-amid-ongoing-controversy" TargetMode="External"/><Relationship Id="rId2207" Type="http://schemas.openxmlformats.org/officeDocument/2006/relationships/hyperlink" Target="https://www.datacenterdynamics.com/en/news/starwood-re-proposes-data-center-in-alexandria-virginia/" TargetMode="External"/><Relationship Id="rId21" Type="http://schemas.openxmlformats.org/officeDocument/2006/relationships/hyperlink" Target="https://www.datacenterdynamics.com/en/news/alabamas-planned-14bn-project-marvel-data-center-could-double-in-size/" TargetMode="External"/><Relationship Id="rId2208" Type="http://schemas.openxmlformats.org/officeDocument/2006/relationships/hyperlink" Target="https://www.fairfaxcounty.gov/gisapps/ParcelInfoReportJade/ParcelInfoReport.aspx?ParcelID=0812010007" TargetMode="External"/><Relationship Id="rId24" Type="http://schemas.openxmlformats.org/officeDocument/2006/relationships/hyperlink" Target="https://www.datacenterdynamics.com/en/news/nebius-targets-data-center-development-in-birmingham-alabama/" TargetMode="External"/><Relationship Id="rId2209" Type="http://schemas.openxmlformats.org/officeDocument/2006/relationships/hyperlink" Target="https://avaiodigital.com/" TargetMode="External"/><Relationship Id="rId23" Type="http://schemas.openxmlformats.org/officeDocument/2006/relationships/hyperlink" Target="https://insideclimatenews.org/news/13112025/proposed-alabama-data-center-clashes-with-northern-beltline-birmingham-darter/" TargetMode="External"/><Relationship Id="rId26" Type="http://schemas.openxmlformats.org/officeDocument/2006/relationships/hyperlink" Target="https://www.madeinalabama.com/2018/04/google-kicks-off-construction-on-alabama-data-center/" TargetMode="External"/><Relationship Id="rId25" Type="http://schemas.openxmlformats.org/officeDocument/2006/relationships/hyperlink" Target="https://www.bhamyouthfirst.org/news/city-birmingham-proposes-temporary-pause-new-data-center-applications" TargetMode="External"/><Relationship Id="rId28" Type="http://schemas.openxmlformats.org/officeDocument/2006/relationships/hyperlink" Target="https://www.facebook.com/groups/904402025318961e" TargetMode="External"/><Relationship Id="rId27" Type="http://schemas.openxmlformats.org/officeDocument/2006/relationships/hyperlink" Target="https://claycorp.com/work/mission-critical" TargetMode="External"/><Relationship Id="rId29" Type="http://schemas.openxmlformats.org/officeDocument/2006/relationships/hyperlink" Target="https://www.datacenterdynamics.com/en/news/planned-data-center-project-outside-chicago-illinois-paused-due-to-energy-infrastructure/" TargetMode="External"/><Relationship Id="rId2200" Type="http://schemas.openxmlformats.org/officeDocument/2006/relationships/hyperlink" Target="https://co.caroline.va.us/DocumentCenter/View/9793/RZ-04-2024--Bull-Church-Data-Center" TargetMode="External"/><Relationship Id="rId2201" Type="http://schemas.openxmlformats.org/officeDocument/2006/relationships/hyperlink" Target="https://kinggeorgetechnologycenter.com/submissions/" TargetMode="External"/><Relationship Id="rId2202" Type="http://schemas.openxmlformats.org/officeDocument/2006/relationships/hyperlink" Target="https://co.caroline.va.us/DocumentCenter/View/10114/SP-26-2024--Ladysmith-Tech-Park--Port-Royal" TargetMode="External"/><Relationship Id="rId11" Type="http://schemas.openxmlformats.org/officeDocument/2006/relationships/hyperlink" Target="https://www.kark.com/news/local-news/people-protest-at-the-grant-county-courthouse-against-proposed-data-and-solar-center-near-sheridan/" TargetMode="External"/><Relationship Id="rId10" Type="http://schemas.openxmlformats.org/officeDocument/2006/relationships/hyperlink" Target="https://www.southarkansasreckoning.com/grant-county-data-center-opponents-to-protest-monday/" TargetMode="External"/><Relationship Id="rId13" Type="http://schemas.openxmlformats.org/officeDocument/2006/relationships/hyperlink" Target="https://www.kark.com/news/state-news/grant-county-residents-voice-concerns-over-proposed-data-solar-center/" TargetMode="External"/><Relationship Id="rId12" Type="http://schemas.openxmlformats.org/officeDocument/2006/relationships/hyperlink" Target="https://arktimes.com/arkansas-blog/2025/11/12/solar-project-in-grant-county-to-help-power-google-data-centers-details-are-scant-on-west-memphis-agreement" TargetMode="External"/><Relationship Id="rId15" Type="http://schemas.openxmlformats.org/officeDocument/2006/relationships/hyperlink" Target="https://www.facebook.com/groups/740748888833453" TargetMode="External"/><Relationship Id="rId14" Type="http://schemas.openxmlformats.org/officeDocument/2006/relationships/hyperlink" Target="https://www.facebook.com/groups/1153501246871845" TargetMode="External"/><Relationship Id="rId17" Type="http://schemas.openxmlformats.org/officeDocument/2006/relationships/hyperlink" Target="https://www.youtube.com/watch?v=ICSrvQ7meow&amp;ab_channel=InsideClimateNews" TargetMode="External"/><Relationship Id="rId16" Type="http://schemas.openxmlformats.org/officeDocument/2006/relationships/hyperlink" Target="https://www.datacenterdynamics.com/en/news/700-acre-data-center-in-bessemer-alabama-approved-despite-opposition/" TargetMode="External"/><Relationship Id="rId19" Type="http://schemas.openxmlformats.org/officeDocument/2006/relationships/hyperlink" Target="https://www.wbrc.com/2025/09/14/bessemer-residents-frustrated-over-proposed-data-center/" TargetMode="External"/><Relationship Id="rId18" Type="http://schemas.openxmlformats.org/officeDocument/2006/relationships/hyperlink" Target="https://www.al.com/news/2025/06/14-billion-proposed-data-center-near-birmingham-hits-another-hurdle.html" TargetMode="External"/><Relationship Id="rId84" Type="http://schemas.openxmlformats.org/officeDocument/2006/relationships/hyperlink" Target="https://www.datacenterdynamics.com/en/news/ntt-acquires-173-acre-planned-data-center-park-in-mesa-arizona-for-300m/" TargetMode="External"/><Relationship Id="rId1774" Type="http://schemas.openxmlformats.org/officeDocument/2006/relationships/hyperlink" Target="https://www.consolidated.com/business/medium-enterprise/data-center-services/locations/pennsylvania" TargetMode="External"/><Relationship Id="rId83" Type="http://schemas.openxmlformats.org/officeDocument/2006/relationships/hyperlink" Target="https://www.yourvalley.net/mesa-independent/stories/6th-building-planned-at-mesa-data-center,652356" TargetMode="External"/><Relationship Id="rId1775" Type="http://schemas.openxmlformats.org/officeDocument/2006/relationships/hyperlink" Target="https://www.datacenterdynamics.com/en/news/soltier-cryptomine-proposal-delayed-in-bradford-county-pennsylvania/" TargetMode="External"/><Relationship Id="rId86" Type="http://schemas.openxmlformats.org/officeDocument/2006/relationships/hyperlink" Target="https://www.facebook.com/groups/641796558723863/" TargetMode="External"/><Relationship Id="rId1776" Type="http://schemas.openxmlformats.org/officeDocument/2006/relationships/hyperlink" Target="https://www.mcall.com/2025/11/12/large-data-center-in-the-works-for-former-air-products-site-in-upper-macungie/" TargetMode="External"/><Relationship Id="rId85" Type="http://schemas.openxmlformats.org/officeDocument/2006/relationships/hyperlink" Target="https://www.datacenterdynamics.com/en/news/two-data-center-projects-proposed-near-phoenix-arizona/" TargetMode="External"/><Relationship Id="rId1777" Type="http://schemas.openxmlformats.org/officeDocument/2006/relationships/hyperlink" Target="https://www.mcall.com/2025/11/09/talking-business-with-becky-bradley-the-rise-of-data-centers-crypto-mines-and-smart-manufacturing-and-how-the-lehigh-valley-is-planning-for-it/" TargetMode="External"/><Relationship Id="rId88" Type="http://schemas.openxmlformats.org/officeDocument/2006/relationships/hyperlink" Target="https://www.change.org/p/no-data-center-in-page-az" TargetMode="External"/><Relationship Id="rId1778" Type="http://schemas.openxmlformats.org/officeDocument/2006/relationships/hyperlink" Target="https://www.wfmz.com/news/area/lehighvalley/lehigh-county/western-lehigh-county/like-spaghetti-on-the-wall-lvpc-finds-air-products-data-center-plans-lacking/article_6ef5e836-0002-445b-9e52-67f272b8c393.html" TargetMode="External"/><Relationship Id="rId87" Type="http://schemas.openxmlformats.org/officeDocument/2006/relationships/hyperlink" Target="https://www.facebook.com/groups/1117995533656453" TargetMode="External"/><Relationship Id="rId1779" Type="http://schemas.openxmlformats.org/officeDocument/2006/relationships/hyperlink" Target="https://www.msn.com/en-us/money/news/lehigh-valley-planners-get-a-look-at-another-massive-data-center-project/ar-AA1UvwCJ" TargetMode="External"/><Relationship Id="rId89" Type="http://schemas.openxmlformats.org/officeDocument/2006/relationships/hyperlink" Target="https://www.datacenterdynamics.com/en/news/data-center-proposed-for-500-acre-site-in-page-arizona/" TargetMode="External"/><Relationship Id="rId80" Type="http://schemas.openxmlformats.org/officeDocument/2006/relationships/hyperlink" Target="https://www.datacenterdynamics.com/en/news/google-files-to-build-second-data-center-at-mesa-campus-in-arizona/" TargetMode="External"/><Relationship Id="rId82" Type="http://schemas.openxmlformats.org/officeDocument/2006/relationships/hyperlink" Target="https://www.datacenterdynamics.com/en/news/two-data-center-projects-proposed-near-phoenix-arizona/" TargetMode="External"/><Relationship Id="rId81" Type="http://schemas.openxmlformats.org/officeDocument/2006/relationships/hyperlink" Target="https://www.datacenterdynamics.com/en/news/ntt-acquires-173-acre-planned-data-center-park-in-mesa-arizona-for-300m/" TargetMode="External"/><Relationship Id="rId1770" Type="http://schemas.openxmlformats.org/officeDocument/2006/relationships/hyperlink" Target="https://www.wesa.fm/environment-energy/2025-12-16/pittsburgh-area-hyperscale-data-center-gets-green-light" TargetMode="External"/><Relationship Id="rId1771" Type="http://schemas.openxmlformats.org/officeDocument/2006/relationships/hyperlink" Target="https://www.wpxi.com/news/local/developers-unveil-changes-springdale-data-center-plan/QWE2YJ2H4NAKLGV6MQUDMTOXYE/" TargetMode="External"/><Relationship Id="rId1772" Type="http://schemas.openxmlformats.org/officeDocument/2006/relationships/hyperlink" Target="https://www.cbsnews.com/pittsburgh/news/proposed-data-center-stowe-township/" TargetMode="External"/><Relationship Id="rId1773" Type="http://schemas.openxmlformats.org/officeDocument/2006/relationships/hyperlink" Target="https://www.standardspeaker.com/2025/07/16/this-is-a-real-onslaught/" TargetMode="External"/><Relationship Id="rId73" Type="http://schemas.openxmlformats.org/officeDocument/2006/relationships/hyperlink" Target="https://www.maranaaz.gov/files/assets/cityofmarana/v/2/development-services/documents/data-centers/luckett-data-center.pdf" TargetMode="External"/><Relationship Id="rId1763" Type="http://schemas.openxmlformats.org/officeDocument/2006/relationships/hyperlink" Target="https://6abc.com/post/east-vincent-township-pa-debates-data-center-ordinance-amid-community-concerns/18149953/" TargetMode="External"/><Relationship Id="rId72" Type="http://schemas.openxmlformats.org/officeDocument/2006/relationships/hyperlink" Target="https://news.azpm.org/s/102447-marana-town-council-approves-rezoning-for-luckett-road-project-600-acre-hyperscale-data-center/" TargetMode="External"/><Relationship Id="rId1764" Type="http://schemas.openxmlformats.org/officeDocument/2006/relationships/hyperlink" Target="https://www.protectpt.org/data-center" TargetMode="External"/><Relationship Id="rId75" Type="http://schemas.openxmlformats.org/officeDocument/2006/relationships/hyperlink" Target="https://www.datacenterdynamics.com/en/news/aws-plots-four-data-centers-in-mesa-arizona/" TargetMode="External"/><Relationship Id="rId1765" Type="http://schemas.openxmlformats.org/officeDocument/2006/relationships/hyperlink" Target="https://triblive.com/local/valley-news-dispatch/site-of-former-springdale-power-plant-to-be-sold-to-data-center-developer/" TargetMode="External"/><Relationship Id="rId74" Type="http://schemas.openxmlformats.org/officeDocument/2006/relationships/hyperlink" Target="https://www.tucsonaz.gov/files/sharedassets/public/v/1/government/city-manager-office/documents/project-blue_faq-responses_final.pdf" TargetMode="External"/><Relationship Id="rId1766" Type="http://schemas.openxmlformats.org/officeDocument/2006/relationships/hyperlink" Target="https://www.post-gazette.com/business/powersource/2025/05/13/nrg-data-center-gas-energy/stories/202505130085" TargetMode="External"/><Relationship Id="rId77" Type="http://schemas.openxmlformats.org/officeDocument/2006/relationships/hyperlink" Target="https://www.datacenterdynamics.com/en/news/aws-plots-four-data-centers-in-mesa-arizona/" TargetMode="External"/><Relationship Id="rId1767" Type="http://schemas.openxmlformats.org/officeDocument/2006/relationships/hyperlink" Target="https://triblive.com/local/valley-news-dispatch/springdale-planning-commission-to-review-plans-for-proposed-massive-data-center/" TargetMode="External"/><Relationship Id="rId76" Type="http://schemas.openxmlformats.org/officeDocument/2006/relationships/hyperlink" Target="https://www.datacenterdynamics.com/en/news/edged-launches-36mw-data-center-in-phoenix-arizona/" TargetMode="External"/><Relationship Id="rId1768" Type="http://schemas.openxmlformats.org/officeDocument/2006/relationships/hyperlink" Target="https://www.cbsnews.com/pittsburgh/news/proposed-ai-data-center-springdale/" TargetMode="External"/><Relationship Id="rId79" Type="http://schemas.openxmlformats.org/officeDocument/2006/relationships/hyperlink" Target="https://www.datacenterdynamics.com/en/news/aws-plots-four-data-centers-in-mesa-arizona/" TargetMode="External"/><Relationship Id="rId1769" Type="http://schemas.openxmlformats.org/officeDocument/2006/relationships/hyperlink" Target="https://triblive.com/local/valley-news-dispatch/springdale-planning-commission-oks-data-center-project-proposal-moves-to-council/" TargetMode="External"/><Relationship Id="rId78" Type="http://schemas.openxmlformats.org/officeDocument/2006/relationships/hyperlink" Target="https://azbex.com/planning-development/amazon-submits-docs-for-2-mesa-data-centers/" TargetMode="External"/><Relationship Id="rId71" Type="http://schemas.openxmlformats.org/officeDocument/2006/relationships/hyperlink" Target="https://tucson.com/news/local/government-politics/article_b7e0a874-021f-406b-9722-7c8ef05bf476.html" TargetMode="External"/><Relationship Id="rId70" Type="http://schemas.openxmlformats.org/officeDocument/2006/relationships/hyperlink" Target="https://tucson.com/news/local/environment/article_52f0d4ba-aa9e-4c17-b290-ca3c2ad8d011.html" TargetMode="External"/><Relationship Id="rId1760" Type="http://schemas.openxmlformats.org/officeDocument/2006/relationships/hyperlink" Target="https://www.datacenterdynamics.com/en/news/new-regulations-could-stall-plan-to-convert-former-psychiatric-hospital-near-philadelphia-into-data-center/" TargetMode="External"/><Relationship Id="rId1761" Type="http://schemas.openxmlformats.org/officeDocument/2006/relationships/hyperlink" Target="https://www.eastvincent.org/vertical/sites/%7B5B8F1E55-6CA8-450E-BB40-12A8385B1313%7D/uploads/Latest_Revised_Version_of_Data_Center_Ordinance_-10.5.25.pdf" TargetMode="External"/><Relationship Id="rId1762" Type="http://schemas.openxmlformats.org/officeDocument/2006/relationships/hyperlink" Target="https://www.eastvincent.org/index.asp?SEC=015E8651-3650-4039-87BA-9B4C74591337&amp;DE=66A36F14-8175-4B3D-8A4D-23727AFD8324" TargetMode="External"/><Relationship Id="rId62" Type="http://schemas.openxmlformats.org/officeDocument/2006/relationships/hyperlink" Target="https://azbigmedia.com/real-estate/phoenix-data-center-market-displays-remarkable-momentum/" TargetMode="External"/><Relationship Id="rId1796" Type="http://schemas.openxmlformats.org/officeDocument/2006/relationships/hyperlink" Target="https://www.newfortressenergy.com/klondike" TargetMode="External"/><Relationship Id="rId61" Type="http://schemas.openxmlformats.org/officeDocument/2006/relationships/hyperlink" Target="https://www.datacenterdynamics.com/en/news/compass-datacenters-starts-build-hyperscale-arizona-campus/" TargetMode="External"/><Relationship Id="rId1797" Type="http://schemas.openxmlformats.org/officeDocument/2006/relationships/hyperlink" Target="https://paenvironmentdaily.blogspot.com/2025/10/dep-issues-air-quality-permit-for-248.html" TargetMode="External"/><Relationship Id="rId64" Type="http://schemas.openxmlformats.org/officeDocument/2006/relationships/hyperlink" Target="https://www.datacenterdynamics.com/en/news/owners-of-indoor-cannabis-farm-in-michigan-offer-site-up-for-data-center-use/" TargetMode="External"/><Relationship Id="rId1798" Type="http://schemas.openxmlformats.org/officeDocument/2006/relationships/hyperlink" Target="https://www.datacenterdynamics.com/en/news/750000-sq-ft-data-center-could-be-built-in-fairview-township-pennsylvania/" TargetMode="External"/><Relationship Id="rId63" Type="http://schemas.openxmlformats.org/officeDocument/2006/relationships/hyperlink" Target="https://www.levelset.com/property-owners/microsoft-corporation/project-history/" TargetMode="External"/><Relationship Id="rId1799" Type="http://schemas.openxmlformats.org/officeDocument/2006/relationships/hyperlink" Target="https://www.pennlive.com/business/2025/07/750000-square-foot-data-center-planned-along-interstate-83.html" TargetMode="External"/><Relationship Id="rId66" Type="http://schemas.openxmlformats.org/officeDocument/2006/relationships/hyperlink" Target="https://www.datacenterdynamics.com/en/news/vantage-completes-construction-on-first-data-center-in-goodyear-arizona/" TargetMode="External"/><Relationship Id="rId65" Type="http://schemas.openxmlformats.org/officeDocument/2006/relationships/hyperlink" Target="https://www.datacenterdynamics.com/en/news/stream-dc-files-to-expand-phoenix-campus-to-200mw/" TargetMode="External"/><Relationship Id="rId68" Type="http://schemas.openxmlformats.org/officeDocument/2006/relationships/hyperlink" Target="https://www.datacenterdynamics.com/en/news/vintage-partners-scraps-phoenix-arizona-data-center-plans/" TargetMode="External"/><Relationship Id="rId67" Type="http://schemas.openxmlformats.org/officeDocument/2006/relationships/hyperlink" Target="https://vantage-dc.com/news/vantage-data-centers-and-mccarthy-building-companies-celebrate-topping-out-of-construction-on-phase-ii-of-major-data-center-project-in-goodyear-ariz/?utm_source=chatgpt.com" TargetMode="External"/><Relationship Id="rId60" Type="http://schemas.openxmlformats.org/officeDocument/2006/relationships/hyperlink" Target="https://www.datacenterdynamics.com/en/news/h5-data-centers-expanding-phoenix-data-center-by-30000-sq-ft/" TargetMode="External"/><Relationship Id="rId69" Type="http://schemas.openxmlformats.org/officeDocument/2006/relationships/hyperlink" Target="https://www.facebook.com/groups/1247158236748842/" TargetMode="External"/><Relationship Id="rId1790" Type="http://schemas.openxmlformats.org/officeDocument/2006/relationships/hyperlink" Target="https://www.datacenterdynamics.com/en/news/amazon-to-invest-20bn-in-data-centers-in-pennsylvania/" TargetMode="External"/><Relationship Id="rId1791" Type="http://schemas.openxmlformats.org/officeDocument/2006/relationships/hyperlink" Target="https://paenvironmentdaily.blogspot.com/2026/02/montour-county-commissioners-vote-to.html?utm_source=chatgpt.com" TargetMode="External"/><Relationship Id="rId1792" Type="http://schemas.openxmlformats.org/officeDocument/2006/relationships/hyperlink" Target="https://www.facebook.com/p/Concerned-Citizens-of-Montour-County-100064748140999/" TargetMode="External"/><Relationship Id="rId1793" Type="http://schemas.openxmlformats.org/officeDocument/2006/relationships/hyperlink" Target="https://www.datacenterdynamics.com/en/news/proposal-for-800-acre-data-center-in-central-pennsylvania-has-been-denied/?utm_source=chatgpt.com" TargetMode="External"/><Relationship Id="rId1794" Type="http://schemas.openxmlformats.org/officeDocument/2006/relationships/hyperlink" Target="https://www.reuters.com/sustainability/boards-policy-regulation/local-regulators-deny-rezoning-request-pennsylvania-data-center-development-2026-02-10/" TargetMode="External"/><Relationship Id="rId1795" Type="http://schemas.openxmlformats.org/officeDocument/2006/relationships/hyperlink" Target="https://www.datacenterdynamics.com/en/news/comcast-to-convert-former-bank-into-data-center-in-new-jersey/" TargetMode="External"/><Relationship Id="rId51" Type="http://schemas.openxmlformats.org/officeDocument/2006/relationships/hyperlink" Target="https://armoneyandpolitics.com/conway-1-billion-data-center-fortune-100/" TargetMode="External"/><Relationship Id="rId1785" Type="http://schemas.openxmlformats.org/officeDocument/2006/relationships/hyperlink" Target="https://technical.ly/civics/amazon-20b-pennsylvania-cloud-ai/" TargetMode="External"/><Relationship Id="rId50" Type="http://schemas.openxmlformats.org/officeDocument/2006/relationships/hyperlink" Target="https://katv.com/news/local/conway-residents-protest-proposed-1b-data-center-citing-tax-water-and-power-concerns-ai-lollie-road-city-citizens-fortune-100-investment-drain-resources" TargetMode="External"/><Relationship Id="rId1786" Type="http://schemas.openxmlformats.org/officeDocument/2006/relationships/hyperlink" Target="https://spectrum.ieee.org/amazon-data-center-nuclear-power" TargetMode="External"/><Relationship Id="rId53" Type="http://schemas.openxmlformats.org/officeDocument/2006/relationships/hyperlink" Target="https://www.datacenterdynamics.com/en/news/plans-for-300000-sq-ft-data-center-put-forward-in-conway-arkansas/" TargetMode="External"/><Relationship Id="rId1787" Type="http://schemas.openxmlformats.org/officeDocument/2006/relationships/hyperlink" Target="https://www.facebook.com/TheDailyItem/posts/danville-a-group-calling-itself-the-concerned-citizens-of-montour-county-has-for/1369932341805122/" TargetMode="External"/><Relationship Id="rId52" Type="http://schemas.openxmlformats.org/officeDocument/2006/relationships/hyperlink" Target="https://katv.com/news/local/conway-meeting-draws-crowd-demanding-answers-on-proposed-ai-data-center-near-lollie-road-billion-dollar-center-campus-facility-development-major-investment-benefits-cooling-operations-design-phase" TargetMode="External"/><Relationship Id="rId1788" Type="http://schemas.openxmlformats.org/officeDocument/2006/relationships/hyperlink" Target="https://www.thewellnews.com/energy/amazon-to-spend-20b-on-data-centers-including-one-next-to-a-nuclear-power-plant/" TargetMode="External"/><Relationship Id="rId55" Type="http://schemas.openxmlformats.org/officeDocument/2006/relationships/hyperlink" Target="https://wreg.com/news/local/data-center-deal-comes-as-area-emerges-as-tech-hub/" TargetMode="External"/><Relationship Id="rId1789" Type="http://schemas.openxmlformats.org/officeDocument/2006/relationships/hyperlink" Target="https://www.citizensvoice.com/2024/05/29/salem-twp-rezones-1582-acres-for-multibillion-dollar-amazon-data-center-campus-near-power-plants/" TargetMode="External"/><Relationship Id="rId54" Type="http://schemas.openxmlformats.org/officeDocument/2006/relationships/hyperlink" Target="https://www.datacenterdynamics.com/en/news/brightspeed-data-center-up-for-sale-leaseback-in-arkansas/" TargetMode="External"/><Relationship Id="rId57" Type="http://schemas.openxmlformats.org/officeDocument/2006/relationships/hyperlink" Target="https://www.arkansasedc.com/news-events/newsroom/detail/2025/10/02/google-locating-new-data-center-in-west-memphis--arkansas-with-multi-billion-dollar-investment" TargetMode="External"/><Relationship Id="rId56" Type="http://schemas.openxmlformats.org/officeDocument/2006/relationships/hyperlink" Target="https://rbnenergy.com/i-know-places-tech-giants-may-be-the-surest-bets-for-data-center-power-demand" TargetMode="External"/><Relationship Id="rId59" Type="http://schemas.openxmlformats.org/officeDocument/2006/relationships/hyperlink" Target="https://www.datacenterdynamics.com/en/news/australias-fortescue-could-get-zoning-permission-for-potential-data-center-near-phoenix-arizona/" TargetMode="External"/><Relationship Id="rId58" Type="http://schemas.openxmlformats.org/officeDocument/2006/relationships/hyperlink" Target="https://www.change.org/p/stop-the-building-of-a-data-center-in-our-community" TargetMode="External"/><Relationship Id="rId1780" Type="http://schemas.openxmlformats.org/officeDocument/2006/relationships/hyperlink" Target="https://www.change.org/p/save-pitt-race-from-closure/u/33957563" TargetMode="External"/><Relationship Id="rId1781" Type="http://schemas.openxmlformats.org/officeDocument/2006/relationships/hyperlink" Target="https://www.theautopian.com/one-of-the-east-coasts-best-race-tracks-is-reportedly-closing-for-good/" TargetMode="External"/><Relationship Id="rId1782" Type="http://schemas.openxmlformats.org/officeDocument/2006/relationships/hyperlink" Target="https://www.post-gazette.com/business/tech-news/2026/06/03/data-center-beaver-county-pitt-race/stories/202606030047" TargetMode="External"/><Relationship Id="rId1783" Type="http://schemas.openxmlformats.org/officeDocument/2006/relationships/hyperlink" Target="https://www.wtae.com/article/community-pushes-back-proposed-data-center-campus-big-beaver-borough/71477091" TargetMode="External"/><Relationship Id="rId1784" Type="http://schemas.openxmlformats.org/officeDocument/2006/relationships/hyperlink" Target="https://www.facebook.com/p/Concerned-Citizens-of-Montour-County-100064748140999/" TargetMode="External"/><Relationship Id="rId2269" Type="http://schemas.openxmlformats.org/officeDocument/2006/relationships/hyperlink" Target="https://www.datacenterdynamics.com/en/news/h5-breaks-ground-on-data-center-in-ashburn-virginia/" TargetMode="External"/><Relationship Id="rId349" Type="http://schemas.openxmlformats.org/officeDocument/2006/relationships/hyperlink" Target="https://www.gem.wiki/Core_Scientific_Whitfield_County_facility" TargetMode="External"/><Relationship Id="rId348" Type="http://schemas.openxmlformats.org/officeDocument/2006/relationships/hyperlink" Target="https://daltoncitizen.com/2025/03/11/whitfield-county-commissioners-approve-rezoning-for-data-center-despite-opposition/" TargetMode="External"/><Relationship Id="rId347" Type="http://schemas.openxmlformats.org/officeDocument/2006/relationships/hyperlink" Target="https://www.facebook.com/groups/931942845924036/about" TargetMode="External"/><Relationship Id="rId346" Type="http://schemas.openxmlformats.org/officeDocument/2006/relationships/hyperlink" Target="https://newschannel9.com/news/local/ai-data-center-to-occupy-10-acres-in-dalton-residents-worry-about-noise-and-disruption?fbclid=IwZXh0bgNhZW0CMTEAAR0qBKoGaPqCaC-SeXxvrxOiIw21X6S2k_Xwys5N4RXZP9MubzNyzEE1q9A_aem_GychPh4WLqAOKhyPihISPQ" TargetMode="External"/><Relationship Id="rId2260" Type="http://schemas.openxmlformats.org/officeDocument/2006/relationships/hyperlink" Target="https://reparcelasmt.loudoun.gov/pt/Datalets/Datalet.aspx?UseSearch=no&amp;mode=profileall&amp;pin=089382215000&amp;jur=107&amp;taxyr=2024" TargetMode="External"/><Relationship Id="rId341" Type="http://schemas.openxmlformats.org/officeDocument/2006/relationships/hyperlink" Target="https://www.ajc.com/news/business/sprawling-data-center-campuses-proposed-south-and-east-of-atlanta/5QKZEN5W45GU5NCHUHGVYX4UUM/" TargetMode="External"/><Relationship Id="rId2261" Type="http://schemas.openxmlformats.org/officeDocument/2006/relationships/hyperlink" Target="https://reparcelasmt.loudoun.gov/pt/datalets/datalet.aspx?mode=profileall&amp;UseSearch=no&amp;pin=061268762000&amp;jur=107&amp;taxyr=2024&amp;LMparent=20" TargetMode="External"/><Relationship Id="rId340" Type="http://schemas.openxmlformats.org/officeDocument/2006/relationships/hyperlink" Target="https://w.media/aws-plans-new-data-center-in-georgia-usa/" TargetMode="External"/><Relationship Id="rId2262" Type="http://schemas.openxmlformats.org/officeDocument/2006/relationships/hyperlink" Target="https://reparcelasmt.loudoun.gov/pt/datalets/datalet.aspx?mode=profileall&amp;UseSearch=no&amp;pin=062256361000&amp;jur=107&amp;taxyr=2024&amp;LMparent=20" TargetMode="External"/><Relationship Id="rId2263" Type="http://schemas.openxmlformats.org/officeDocument/2006/relationships/hyperlink" Target="https://reparcelasmt.loudoun.gov/pt/datalets/datalet.aspx?mode=profileall&amp;UseSearch=no&amp;pin=088200644000&amp;jur=107&amp;taxyr=2024&amp;LMparent=20" TargetMode="External"/><Relationship Id="rId2264" Type="http://schemas.openxmlformats.org/officeDocument/2006/relationships/hyperlink" Target="https://loudouncountyvaeg.tylerhost.net/prod/selfservice" TargetMode="External"/><Relationship Id="rId345" Type="http://schemas.openxmlformats.org/officeDocument/2006/relationships/hyperlink" Target="https://www.timesfreepress.com/news/2025/dec/22/a-new-georgia-data-center-could-be-powered-by/" TargetMode="External"/><Relationship Id="rId2265" Type="http://schemas.openxmlformats.org/officeDocument/2006/relationships/hyperlink" Target="https://reparcelasmt.loudoun.gov/pt/Datalets/Datalet.aspx?UseSearch=no&amp;mode=profileall&amp;pin=061301740000&amp;jur=107&amp;taxyr=2024" TargetMode="External"/><Relationship Id="rId344" Type="http://schemas.openxmlformats.org/officeDocument/2006/relationships/hyperlink" Target="https://www.datacenterdynamics.com/en/news/serverfarm-plans-natural-gas-powered-data-center-in-georgia/" TargetMode="External"/><Relationship Id="rId2266" Type="http://schemas.openxmlformats.org/officeDocument/2006/relationships/hyperlink" Target="https://reparcelasmt.loudoun.gov/pt/datalets/datalet.aspx?mode=profileall&amp;UseSearch=no&amp;pin=060108050000&amp;jur=107&amp;taxyr=2024&amp;LMparent=20" TargetMode="External"/><Relationship Id="rId343" Type="http://schemas.openxmlformats.org/officeDocument/2006/relationships/hyperlink" Target="https://www.datacenterdynamics.com/en/news/aws-plans-data-center-in-covington-georgia/" TargetMode="External"/><Relationship Id="rId2267" Type="http://schemas.openxmlformats.org/officeDocument/2006/relationships/hyperlink" Target="https://reparcelasmt.loudoun.gov/pt/Datalets/Datalet.aspx?UseSearch=no&amp;mode=profileall&amp;pin=061298643000&amp;jur=107&amp;taxyr=2024" TargetMode="External"/><Relationship Id="rId342" Type="http://schemas.openxmlformats.org/officeDocument/2006/relationships/hyperlink" Target="https://www.datacenterdynamics.com/en/news/plans-filed-for-14-million-sq-ft-data-center-campus-outside-atlanta-georgia/" TargetMode="External"/><Relationship Id="rId2268" Type="http://schemas.openxmlformats.org/officeDocument/2006/relationships/hyperlink" Target="https://reparcelasmt.loudoun.gov/pt/datalets/datalet.aspx?mode=profileall&amp;UseSearch=no&amp;pin=061483407000&amp;jur=107&amp;taxyr=2024&amp;LMparent=20" TargetMode="External"/><Relationship Id="rId2258" Type="http://schemas.openxmlformats.org/officeDocument/2006/relationships/hyperlink" Target="https://loudouncountyvaeg.tylerhost.net/prod/selfservice" TargetMode="External"/><Relationship Id="rId2259" Type="http://schemas.openxmlformats.org/officeDocument/2006/relationships/hyperlink" Target="https://reparcelasmt.loudoun.gov/pt/Datalets/Datalet.aspx?UseSearch=no&amp;mode=profileall&amp;pin=061394321000&amp;jur=107&amp;taxyr=2024" TargetMode="External"/><Relationship Id="rId338" Type="http://schemas.openxmlformats.org/officeDocument/2006/relationships/hyperlink" Target="https://www.datacenterdynamics.com/en/news/aws-plans-data-center-in-covington-georgia/" TargetMode="External"/><Relationship Id="rId337" Type="http://schemas.openxmlformats.org/officeDocument/2006/relationships/hyperlink" Target="https://www.datacenterdynamics.com/en/news/21-million-sq-ft-technology-campus-proposed-in-southern-georgia/" TargetMode="External"/><Relationship Id="rId336" Type="http://schemas.openxmlformats.org/officeDocument/2006/relationships/hyperlink" Target="https://www.11alive.com/article/tech/metro-atlanta-data-center-proposed-53-acre-site/85-ac4c267f-95ad-4670-85c6-bdae1b9a337a" TargetMode="External"/><Relationship Id="rId335" Type="http://schemas.openxmlformats.org/officeDocument/2006/relationships/hyperlink" Target="https://www.datacenterdynamics.com/en/news/dc-blox-secures-115bn-green-loan-for-atlanta-data-center-development/" TargetMode="External"/><Relationship Id="rId339" Type="http://schemas.openxmlformats.org/officeDocument/2006/relationships/hyperlink" Target="https://www.aboutamazon.com/news/aws/aws-investment-georgia-ai-cloud-infrastructure" TargetMode="External"/><Relationship Id="rId330" Type="http://schemas.openxmlformats.org/officeDocument/2006/relationships/hyperlink" Target="https://www.datacenterdynamics.com/en/news/21-million-sq-ft-data-center-campus-proposed-outside-atlanta-georgia/" TargetMode="External"/><Relationship Id="rId2250" Type="http://schemas.openxmlformats.org/officeDocument/2006/relationships/hyperlink" Target="https://reparcelasmt.loudoun.gov/pt/Datalets/Datalet.aspx?UseSearch=no&amp;mode=profileall&amp;pin=161269137000&amp;jur=107&amp;taxyr=2025" TargetMode="External"/><Relationship Id="rId2251" Type="http://schemas.openxmlformats.org/officeDocument/2006/relationships/hyperlink" Target="https://reparcelasmt.loudoun.gov/pt/Datalets/Datalet.aspx?UseSearch=no&amp;mode=profileall&amp;pin=061285496000&amp;jur=107&amp;taxyr=2024" TargetMode="External"/><Relationship Id="rId2252" Type="http://schemas.openxmlformats.org/officeDocument/2006/relationships/hyperlink" Target="https://loudouncountyvaeg.tylerhost.net/prod/selfservice" TargetMode="External"/><Relationship Id="rId2253" Type="http://schemas.openxmlformats.org/officeDocument/2006/relationships/hyperlink" Target="https://reparcelasmt.loudoun.gov/pt/Datalets/Datalet.aspx?UseSearch=no&amp;mode=profileall&amp;pin=154199491000&amp;jur=107&amp;taxyr=2025" TargetMode="External"/><Relationship Id="rId334" Type="http://schemas.openxmlformats.org/officeDocument/2006/relationships/hyperlink" Target="https://www.dcblox.com/data-centers/rockdale-county-ga-hyperscale-data-center-campus/" TargetMode="External"/><Relationship Id="rId2254" Type="http://schemas.openxmlformats.org/officeDocument/2006/relationships/hyperlink" Target="https://loudouncountyvaeg.tylerhost.net/prod/selfservice" TargetMode="External"/><Relationship Id="rId333" Type="http://schemas.openxmlformats.org/officeDocument/2006/relationships/hyperlink" Target="https://apps.dca.ga.gov/DRI/AppSummary.aspx?driid=4257" TargetMode="External"/><Relationship Id="rId2255" Type="http://schemas.openxmlformats.org/officeDocument/2006/relationships/hyperlink" Target="https://reparcelasmt.loudoun.gov/pt/datalets/datalet.aspx?mode=land_summary&amp;UseSearch=no&amp;pin=089496314001&amp;jur=107&amp;taxyr=2025&amp;LMparent=20" TargetMode="External"/><Relationship Id="rId332" Type="http://schemas.openxmlformats.org/officeDocument/2006/relationships/hyperlink" Target="https://www.datacenterfrontier.com/hyperscale/article/55126626/details-emerge-on-microsofts-18-billion-investment-in-atlanta-data-centers-amid-tax-development-wrangles" TargetMode="External"/><Relationship Id="rId2256" Type="http://schemas.openxmlformats.org/officeDocument/2006/relationships/hyperlink" Target="https://reparcelasmt.loudoun.gov/pt/Datalets/Datalet.aspx?UseSearch=no&amp;mode=profileall&amp;pin=060386530000&amp;jur=107&amp;taxyr=2024" TargetMode="External"/><Relationship Id="rId331" Type="http://schemas.openxmlformats.org/officeDocument/2006/relationships/hyperlink" Target="https://apps.dca.ga.gov/DRI/AppSummary.aspx?driid=4235" TargetMode="External"/><Relationship Id="rId2257" Type="http://schemas.openxmlformats.org/officeDocument/2006/relationships/hyperlink" Target="https://reparcelasmt.loudoun.gov/pt/Datalets/Datalet.aspx?UseSearch=no&amp;mode=profileall&amp;pin=060485060000&amp;jur=107&amp;taxyr=2024" TargetMode="External"/><Relationship Id="rId370" Type="http://schemas.openxmlformats.org/officeDocument/2006/relationships/hyperlink" Target="https://www.datacenterdynamics.com/en/news/t5-files-to-develop-data-center-campus-outside-atlanta-georgia/" TargetMode="External"/><Relationship Id="rId369" Type="http://schemas.openxmlformats.org/officeDocument/2006/relationships/hyperlink" Target="https://www.datacenterdynamics.com/en/news/large-data-center-campus-planned-outside-atlanta-georgia/" TargetMode="External"/><Relationship Id="rId368" Type="http://schemas.openxmlformats.org/officeDocument/2006/relationships/hyperlink" Target="https://www.decaturish.com/news/dekalb/tensions-flare-at-dekalb-zoning-meeting-about-data-centers/article_46a3dba1-11dd-4b2a-846f-543e3400b51d.html" TargetMode="External"/><Relationship Id="rId2280" Type="http://schemas.openxmlformats.org/officeDocument/2006/relationships/hyperlink" Target="https://reparcelasmt.loudoun.gov/pt/datalets/datalet.aspx?mode=profileall&amp;UseSearch=no&amp;pin=060202337000&amp;jur=107&amp;taxyr=2024&amp;LMparent=20" TargetMode="External"/><Relationship Id="rId2281" Type="http://schemas.openxmlformats.org/officeDocument/2006/relationships/hyperlink" Target="https://loudouncountyvaeg.tylerhost.net/prod/selfservice" TargetMode="External"/><Relationship Id="rId2282" Type="http://schemas.openxmlformats.org/officeDocument/2006/relationships/hyperlink" Target="https://reparcelasmt.loudoun.gov/pt/datalets/datalet.aspx?mode=profileall&amp;UseSearch=no&amp;pin=088407447000&amp;jur=107&amp;taxyr=2024&amp;LMparent=20" TargetMode="External"/><Relationship Id="rId363" Type="http://schemas.openxmlformats.org/officeDocument/2006/relationships/hyperlink" Target="https://www.datacenterdynamics.com/en/news/ta-realty-gets-green-light-for-data-center-outside-atlanta-georgia/" TargetMode="External"/><Relationship Id="rId2283" Type="http://schemas.openxmlformats.org/officeDocument/2006/relationships/hyperlink" Target="https://reparcelasmt.loudoun.gov/pt/datalets/datalet.aspx?mode=profileall&amp;UseSearch=no&amp;pin=042152579000&amp;jur=107&amp;taxyr=2024&amp;LMparent=20" TargetMode="External"/><Relationship Id="rId362" Type="http://schemas.openxmlformats.org/officeDocument/2006/relationships/hyperlink" Target="https://local.microsoft.com/blog/east-point-datacenter-project-overview/" TargetMode="External"/><Relationship Id="rId2284" Type="http://schemas.openxmlformats.org/officeDocument/2006/relationships/hyperlink" Target="https://reparcelasmt.loudoun.gov/pt/datalets/datalet.aspx?mode=profileall&amp;UseSearch=no&amp;pin=089100937000&amp;jur=107&amp;taxyr=2024&amp;LMparent=20" TargetMode="External"/><Relationship Id="rId361" Type="http://schemas.openxmlformats.org/officeDocument/2006/relationships/hyperlink" Target="https://www.41nbc.com/twiggs-county-data-center-rezoning-approval/" TargetMode="External"/><Relationship Id="rId2285" Type="http://schemas.openxmlformats.org/officeDocument/2006/relationships/hyperlink" Target="https://reparcelasmt.loudoun.gov/pt/datalets/datalet.aspx?mode=profileall&amp;UseSearch=no&amp;pin=060298548000&amp;jur=107&amp;taxyr=2024&amp;LMparent=20" TargetMode="External"/><Relationship Id="rId360" Type="http://schemas.openxmlformats.org/officeDocument/2006/relationships/hyperlink" Target="https://www.41nbc.com/twiggs-county-data-center-rezoning-approval/" TargetMode="External"/><Relationship Id="rId2286" Type="http://schemas.openxmlformats.org/officeDocument/2006/relationships/hyperlink" Target="https://reparcelasmt.loudoun.gov/pt/datalets/datalet.aspx?mode=profileall&amp;UseSearch=no&amp;pin=088392214000&amp;jur=107&amp;taxyr=2024&amp;LMparent=20" TargetMode="External"/><Relationship Id="rId367" Type="http://schemas.openxmlformats.org/officeDocument/2006/relationships/hyperlink" Target="https://www.datacenterdynamics.com/en/news/rezoning-proposal-for-95-acre-data-center-in-dekalb-county-georgia-deferred/" TargetMode="External"/><Relationship Id="rId2287" Type="http://schemas.openxmlformats.org/officeDocument/2006/relationships/hyperlink" Target="https://www.datacenterdynamics.com/en/news/432mw-data-center-campus-eyed-in-virginias-data-center-alley/" TargetMode="External"/><Relationship Id="rId366" Type="http://schemas.openxmlformats.org/officeDocument/2006/relationships/hyperlink" Target="https://www.decaturish.com/business/1-million-square-foot-data-center-proposed-in-south-dekalb/article_360e16a7-a411-4af9-91ed-1d8661aa37a5.html" TargetMode="External"/><Relationship Id="rId2288" Type="http://schemas.openxmlformats.org/officeDocument/2006/relationships/hyperlink" Target="https://www.datacenterdynamics.com/en/news/sabey-breaks-ground-on-third-building-at-ashburn-virginia-campus/" TargetMode="External"/><Relationship Id="rId365" Type="http://schemas.openxmlformats.org/officeDocument/2006/relationships/hyperlink" Target="https://www.change.org/p/no-data-centers-in-our-communities-georgia-fights-back" TargetMode="External"/><Relationship Id="rId2289" Type="http://schemas.openxmlformats.org/officeDocument/2006/relationships/hyperlink" Target="https://www.businesswire.com/news/home/20250624907578/en/Sabey-Data-Centers-Breaks-Ground-on-Final-Phase-of-Ashburn-Campus-Expansion" TargetMode="External"/><Relationship Id="rId364" Type="http://schemas.openxmlformats.org/officeDocument/2006/relationships/hyperlink" Target="https://www.ajc.com/news/2025/06/clayton-county-agency-approves-tax-break-for-1b-data-center/" TargetMode="External"/><Relationship Id="rId95" Type="http://schemas.openxmlformats.org/officeDocument/2006/relationships/hyperlink" Target="https://www.datacenterdynamics.com/en/news/qts-breaks-ground-on-data-center-in-phoenix-arizona/" TargetMode="External"/><Relationship Id="rId94" Type="http://schemas.openxmlformats.org/officeDocument/2006/relationships/hyperlink" Target="https://www.expedient.com/data-centers/phoenix/" TargetMode="External"/><Relationship Id="rId97" Type="http://schemas.openxmlformats.org/officeDocument/2006/relationships/hyperlink" Target="https://www.datacenterwatch.org/report" TargetMode="External"/><Relationship Id="rId96" Type="http://schemas.openxmlformats.org/officeDocument/2006/relationships/hyperlink" Target="https://www.datacenterdynamics.com/en/news/qts-breaks-ground-on-data-center-in-phoenix-arizona/" TargetMode="External"/><Relationship Id="rId99" Type="http://schemas.openxmlformats.org/officeDocument/2006/relationships/hyperlink" Target="https://www.facebook.com/groups/1757504565223476/" TargetMode="External"/><Relationship Id="rId98" Type="http://schemas.openxmlformats.org/officeDocument/2006/relationships/hyperlink" Target="https://www.tract.com/news/tract-closes-acquisition-of-2069-acres-in-buckeye-arizona/" TargetMode="External"/><Relationship Id="rId91" Type="http://schemas.openxmlformats.org/officeDocument/2006/relationships/hyperlink" Target="https://lakepowellchronicle.com/stories/international-development-company-proposes-10-billion-data-center-for-page,78901" TargetMode="External"/><Relationship Id="rId90" Type="http://schemas.openxmlformats.org/officeDocument/2006/relationships/hyperlink" Target="https://www.fox10phoenix.com/news/10b-data-center-plan-page-area-faces-pushback-from-residents" TargetMode="External"/><Relationship Id="rId93" Type="http://schemas.openxmlformats.org/officeDocument/2006/relationships/hyperlink" Target="https://www.datacenterdynamics.com/en/news/expedient-opens-data-center-in-phoenix-arizona/" TargetMode="External"/><Relationship Id="rId92" Type="http://schemas.openxmlformats.org/officeDocument/2006/relationships/hyperlink" Target="https://www.datacenterdynamics.com/en/news/aligned-acquires-two-plots-in-phoenix-plans-two-campuses-totaling-400mw/" TargetMode="External"/><Relationship Id="rId359" Type="http://schemas.openxmlformats.org/officeDocument/2006/relationships/hyperlink" Target="https://wgxa.tv/news/local/environmental-advocate-urges-twiggs-county-to-reject-data-center-plans-near-ocmulgee-river" TargetMode="External"/><Relationship Id="rId358" Type="http://schemas.openxmlformats.org/officeDocument/2006/relationships/hyperlink" Target="https://www.twiggscounty.us/wp-content/uploads/2025/08/Pine-Ridge-Data-Center-Facts-Sheet.pdf" TargetMode="External"/><Relationship Id="rId357" Type="http://schemas.openxmlformats.org/officeDocument/2006/relationships/hyperlink" Target="https://www.datacenterdynamics.com/en/news/data-center-proposed-in-twiggs-county-georgia/" TargetMode="External"/><Relationship Id="rId2270" Type="http://schemas.openxmlformats.org/officeDocument/2006/relationships/hyperlink" Target="https://reparcelasmt.loudoun.gov/pt/datalets/datalet.aspx?mode=profileall&amp;UseSearch=no&amp;pin=061307791000&amp;jur=107&amp;taxyr=2024&amp;LMparent=20" TargetMode="External"/><Relationship Id="rId2271" Type="http://schemas.openxmlformats.org/officeDocument/2006/relationships/hyperlink" Target="https://reparcelasmt.loudoun.gov/pt/datalets/datalet.aspx?mode=commercial&amp;UseSearch=no&amp;pin=059309091000&amp;jur=107&amp;taxyr=2024&amp;LMparent=20" TargetMode="External"/><Relationship Id="rId352" Type="http://schemas.openxmlformats.org/officeDocument/2006/relationships/hyperlink" Target="https://baxtel.com/data-center/microsoft-douglasville" TargetMode="External"/><Relationship Id="rId2272" Type="http://schemas.openxmlformats.org/officeDocument/2006/relationships/hyperlink" Target="https://reparcelasmt.loudoun.gov/pt/datalets/datalet.aspx?mode=profileall&amp;UseSearch=no&amp;pin=089278681000&amp;jur=107&amp;taxyr=2024&amp;LMparent=20" TargetMode="External"/><Relationship Id="rId351" Type="http://schemas.openxmlformats.org/officeDocument/2006/relationships/hyperlink" Target="https://invest.jll.com/us/en/listings/special-purpose-facility/8-asset-switch-portfolio" TargetMode="External"/><Relationship Id="rId2273" Type="http://schemas.openxmlformats.org/officeDocument/2006/relationships/hyperlink" Target="https://reparcelasmt.loudoun.gov/pt/datalets/datalet.aspx?mode=profileall&amp;UseSearch=no&amp;pin=089367531000&amp;jur=107&amp;taxyr=2024&amp;LMparent=20" TargetMode="External"/><Relationship Id="rId350" Type="http://schemas.openxmlformats.org/officeDocument/2006/relationships/hyperlink" Target="https://daltoncitizen.com/2025/09/27/dalton-whitfield-joint-development-authority-moves-forward-on-deal-for-data-center/" TargetMode="External"/><Relationship Id="rId2274" Type="http://schemas.openxmlformats.org/officeDocument/2006/relationships/hyperlink" Target="https://reparcelasmt.loudoun.gov/pt/datalets/datalet.aspx?mode=commercial&amp;UseSearch=no&amp;pin=089374763002&amp;jur=107&amp;taxyr=2024&amp;LMparent=20" TargetMode="External"/><Relationship Id="rId2275" Type="http://schemas.openxmlformats.org/officeDocument/2006/relationships/hyperlink" Target="https://reparcelasmt.loudoun.gov/pt/datalets/datalet.aspx?mode=profileall&amp;UseSearch=no&amp;pin=088481748000&amp;jur=107&amp;taxyr=2024&amp;LMparent=20" TargetMode="External"/><Relationship Id="rId356" Type="http://schemas.openxmlformats.org/officeDocument/2006/relationships/hyperlink" Target="https://wgxa.tv/news/local/local-farmer-has-growing-concern-over-rezoning-request-for-data-center-in-twiggs-county" TargetMode="External"/><Relationship Id="rId2276" Type="http://schemas.openxmlformats.org/officeDocument/2006/relationships/hyperlink" Target="https://reparcelasmt.loudoun.gov/pt/datalets/datalet.aspx?mode=profileall&amp;UseSearch=no&amp;pin=062493798000&amp;jur=107&amp;taxyr=2024&amp;LMparent=20" TargetMode="External"/><Relationship Id="rId355" Type="http://schemas.openxmlformats.org/officeDocument/2006/relationships/hyperlink" Target="https://www.13wmaz.com/article/news/local/twiggs-neighbors-fear-5b-proposed-data-center-will-drain-wells-endanger-wilderness/93-32db438f-a736-46b8-a899-d97f891206b4" TargetMode="External"/><Relationship Id="rId2277" Type="http://schemas.openxmlformats.org/officeDocument/2006/relationships/hyperlink" Target="https://reparcelasmt.loudoun.gov/pt/datalets/datalet.aspx?mode=profileall&amp;UseSearch=no&amp;pin=089291706000&amp;jur=107&amp;taxyr=2024&amp;LMparent=20" TargetMode="External"/><Relationship Id="rId354" Type="http://schemas.openxmlformats.org/officeDocument/2006/relationships/hyperlink" Target="https://www.13wmaz.com/article/news/local/twiggs/5-billion-data-center-proposed-for-rural-twiggs-county-mixed-reactions/93-8c88256d-72bf-47d8-83b7-992aa21475a1" TargetMode="External"/><Relationship Id="rId2278" Type="http://schemas.openxmlformats.org/officeDocument/2006/relationships/hyperlink" Target="https://reparcelasmt.loudoun.gov/pt/datalets/datalet.aspx?mode=profileall&amp;UseSearch=no&amp;pin=062462761000&amp;jur=107&amp;taxyr=2024&amp;LMparent=20" TargetMode="External"/><Relationship Id="rId353" Type="http://schemas.openxmlformats.org/officeDocument/2006/relationships/hyperlink" Target="https://www.datacenterdynamics.com/en/news/vantage-plots-data-center-campus-in-atlanta-georgia/" TargetMode="External"/><Relationship Id="rId2279" Type="http://schemas.openxmlformats.org/officeDocument/2006/relationships/hyperlink" Target="https://www.datacenters.com/cloudhq-lc1-united-states-northern-va?" TargetMode="External"/><Relationship Id="rId2225" Type="http://schemas.openxmlformats.org/officeDocument/2006/relationships/hyperlink" Target="https://reparcelasmt.loudoun.gov/pt/datalets/datalet.aspx?mode=commercial&amp;UseSearch=no&amp;pin=060182916002&amp;jur=107&amp;taxyr=2024&amp;LMparent=20" TargetMode="External"/><Relationship Id="rId2226" Type="http://schemas.openxmlformats.org/officeDocument/2006/relationships/hyperlink" Target="https://reparcelasmt.loudoun.gov/pt/Datalets/Datalet.aspx?UseSearch=no&amp;mode=profileall&amp;pin=060182916003&amp;jur=107&amp;taxyr=2024" TargetMode="External"/><Relationship Id="rId2227" Type="http://schemas.openxmlformats.org/officeDocument/2006/relationships/hyperlink" Target="https://reparcelasmt.loudoun.gov/pt/datalets/datalet.aspx?mode=profileall&amp;UseSearch=no&amp;pin=061275931000&amp;jur=107&amp;taxyr=2024&amp;LMparent=20" TargetMode="External"/><Relationship Id="rId2228" Type="http://schemas.openxmlformats.org/officeDocument/2006/relationships/hyperlink" Target="https://reparcelasmt.loudoun.gov/pt/Datalets/Datalet.aspx?UseSearch=no&amp;mode=profileall&amp;pin=060209652000&amp;jur=107&amp;taxyr=2024" TargetMode="External"/><Relationship Id="rId2229" Type="http://schemas.openxmlformats.org/officeDocument/2006/relationships/hyperlink" Target="https://loudouncountyvaeg.tylerhost.net/prod/selfservice" TargetMode="External"/><Relationship Id="rId305" Type="http://schemas.openxmlformats.org/officeDocument/2006/relationships/hyperlink" Target="https://www.datacenterdynamics.com/en/news/qts-targets-two-data-center-campuses-in-georgia/" TargetMode="External"/><Relationship Id="rId304" Type="http://schemas.openxmlformats.org/officeDocument/2006/relationships/hyperlink" Target="https://www.datacenterdynamics.com/en/news/microsoft-buys-125-acre-site-in-fulton-county-georgia/" TargetMode="External"/><Relationship Id="rId303" Type="http://schemas.openxmlformats.org/officeDocument/2006/relationships/hyperlink" Target="https://baxtel.com/data-center/level3-atlanta-doraville" TargetMode="External"/><Relationship Id="rId302" Type="http://schemas.openxmlformats.org/officeDocument/2006/relationships/hyperlink" Target="https://baxtel.com/data-center/level3-atlanta-874-dekalb" TargetMode="External"/><Relationship Id="rId309" Type="http://schemas.openxmlformats.org/officeDocument/2006/relationships/hyperlink" Target="https://www.datacenterdynamics.com/en/news/vantage-files-for-two-data-center-campuses-outside-atlanta-georgia/" TargetMode="External"/><Relationship Id="rId308" Type="http://schemas.openxmlformats.org/officeDocument/2006/relationships/hyperlink" Target="https://www.datacenterdynamics.com/en/news/vantage-files-for-two-data-center-campuses-outside-atlanta-georgia/" TargetMode="External"/><Relationship Id="rId307" Type="http://schemas.openxmlformats.org/officeDocument/2006/relationships/hyperlink" Target="https://baxtel.com/data-center/sungard-atlanta-1055" TargetMode="External"/><Relationship Id="rId306" Type="http://schemas.openxmlformats.org/officeDocument/2006/relationships/hyperlink" Target="https://baxtel.com/data-center/southern-telecom-atlanta" TargetMode="External"/><Relationship Id="rId2220" Type="http://schemas.openxmlformats.org/officeDocument/2006/relationships/hyperlink" Target="https://reparcelasmt.loudoun.gov/pt/Datalets/Datalet.aspx?UseSearch=no&amp;mode=profileall&amp;pin=060189720000&amp;jur=107&amp;taxyr=2024" TargetMode="External"/><Relationship Id="rId301" Type="http://schemas.openxmlformats.org/officeDocument/2006/relationships/hyperlink" Target="https://baxtel.com/data-center/level3-atlanta-953-donnelly" TargetMode="External"/><Relationship Id="rId2221" Type="http://schemas.openxmlformats.org/officeDocument/2006/relationships/hyperlink" Target="https://www.datacenterdynamics.com/en/news/cologix-acquires-land-in-ashburn-virginia-for-data-center/" TargetMode="External"/><Relationship Id="rId300" Type="http://schemas.openxmlformats.org/officeDocument/2006/relationships/hyperlink" Target="https://baxtel.com/data-center/level3-atlanta-180-peachtree" TargetMode="External"/><Relationship Id="rId2222" Type="http://schemas.openxmlformats.org/officeDocument/2006/relationships/hyperlink" Target="https://reparcelasmt.loudoun.gov/pt/datalets/datalet.aspx?mode=profileall&amp;UseSearch=no&amp;pin=088101859000&amp;jur=107&amp;taxyr=2024&amp;LMparent=20" TargetMode="External"/><Relationship Id="rId2223" Type="http://schemas.openxmlformats.org/officeDocument/2006/relationships/hyperlink" Target="https://reparcelasmt.loudoun.gov/pt/datalets/datalet.aspx?mode=profileall&amp;UseSearch=no&amp;pin=089372808000&amp;jur=107&amp;taxyr=2024&amp;LMparent=20" TargetMode="External"/><Relationship Id="rId2224" Type="http://schemas.openxmlformats.org/officeDocument/2006/relationships/hyperlink" Target="https://reparcelasmt.loudoun.gov/pt/datalets/datalet.aspx?mode=profileall&amp;UseSearch=no&amp;pin=060182916001&amp;jur=107&amp;taxyr=2024&amp;LMparent=20" TargetMode="External"/><Relationship Id="rId2214" Type="http://schemas.openxmlformats.org/officeDocument/2006/relationships/hyperlink" Target="https://reparcelasmt.loudoun.gov/pt/Datalets/Datalet.aspx?UseSearch=no&amp;mode=profileall&amp;pin=061303369000&amp;jur=107&amp;taxyr=2024" TargetMode="External"/><Relationship Id="rId2215" Type="http://schemas.openxmlformats.org/officeDocument/2006/relationships/hyperlink" Target="https://reparcelasmt.loudoun.gov/pt/Datalets/Datalet.aspx?UseSearch=no&amp;mode=profileall&amp;pin=061407107000&amp;jur=107&amp;taxyr=2024" TargetMode="External"/><Relationship Id="rId2216" Type="http://schemas.openxmlformats.org/officeDocument/2006/relationships/hyperlink" Target="https://www.datacenterdynamics.com/en/news/american-real-estate-partners-buys-land-plans-data-center-northern-virginia/" TargetMode="External"/><Relationship Id="rId2217" Type="http://schemas.openxmlformats.org/officeDocument/2006/relationships/hyperlink" Target="https://reparcelasmt.loudoun.gov/pt/Datalets/Datalet.aspx?UseSearch=no&amp;mode=profileall&amp;pin=061204719000&amp;jur=107&amp;taxyr=2024" TargetMode="External"/><Relationship Id="rId2218" Type="http://schemas.openxmlformats.org/officeDocument/2006/relationships/hyperlink" Target="https://baxtel.com/data-center/cologix-ashburn-ash1" TargetMode="External"/><Relationship Id="rId2219" Type="http://schemas.openxmlformats.org/officeDocument/2006/relationships/hyperlink" Target="https://reparcelasmt.loudoun.gov/pt/Datalets/Datalet.aspx?UseSearch=no&amp;mode=profileall&amp;pin=060189720000&amp;jur=107&amp;taxyr=2024" TargetMode="External"/><Relationship Id="rId2210" Type="http://schemas.openxmlformats.org/officeDocument/2006/relationships/hyperlink" Target="https://cardinalnews.org/2024/12/11/appomatox-county-strikes-deal-for-data-center/?utm_source=ActiveCampaign&amp;utm_medium=email&amp;utm_content=Caesars%20Virginia%20has%20made%20a%20big%20impact%20on%20Danville%2C%20even%20before%20opening%20its%20doors&amp;utm_campaign=Wednesday%2C%20Dec%20%2011%2C%202024" TargetMode="External"/><Relationship Id="rId2211" Type="http://schemas.openxmlformats.org/officeDocument/2006/relationships/hyperlink" Target="https://appomattoxgis.timmons.com/" TargetMode="External"/><Relationship Id="rId2212" Type="http://schemas.openxmlformats.org/officeDocument/2006/relationships/hyperlink" Target="https://www.datacenterdynamics.com/en/news/jk-land-holdings-buys-108-acres-for-data-center-development-in-ashburn-virginia/" TargetMode="External"/><Relationship Id="rId2213" Type="http://schemas.openxmlformats.org/officeDocument/2006/relationships/hyperlink" Target="https://reparcelasmt.loudoun.gov/pt/Datalets/Datalet.aspx?UseSearch=no&amp;mode=profileall&amp;pin=083359224000&amp;jur=107&amp;taxyr=2024" TargetMode="External"/><Relationship Id="rId2247" Type="http://schemas.openxmlformats.org/officeDocument/2006/relationships/hyperlink" Target="https://reparcelasmt.loudoun.gov/pt/Datalets/Datalet.aspx?UseSearch=no&amp;mode=profileall&amp;pin=113372932000&amp;jur=107&amp;taxyr=2024" TargetMode="External"/><Relationship Id="rId2248" Type="http://schemas.openxmlformats.org/officeDocument/2006/relationships/hyperlink" Target="https://reparcelasmt.loudoun.gov/pt/Datalets/Datalet.aspx?UseSearch=no&amp;mode=profileall&amp;pin=061361948000&amp;jur=107&amp;taxyr=2024" TargetMode="External"/><Relationship Id="rId2249" Type="http://schemas.openxmlformats.org/officeDocument/2006/relationships/hyperlink" Target="https://loudouncountyvaeg.tylerhost.net/prod/selfservice" TargetMode="External"/><Relationship Id="rId327" Type="http://schemas.openxmlformats.org/officeDocument/2006/relationships/hyperlink" Target="https://www.datacenterdynamics.com/en/news/switch-to-invest-772-million-in-second-georgia-campus-outside-atlanta/" TargetMode="External"/><Relationship Id="rId326" Type="http://schemas.openxmlformats.org/officeDocument/2006/relationships/hyperlink" Target="https://www.datacenterdynamics.com/en/news/databank-files-for-200mw-data-center-campus-outside-atlanta-georgia/" TargetMode="External"/><Relationship Id="rId325" Type="http://schemas.openxmlformats.org/officeDocument/2006/relationships/hyperlink" Target="https://www.ajc.com/news/business/19b-data-center-campus-proposed-northwest-of-atlanta/FPMRPJCYERGXLLAND6IZACSVEM/" TargetMode="External"/><Relationship Id="rId324" Type="http://schemas.openxmlformats.org/officeDocument/2006/relationships/hyperlink" Target="https://apps.dca.ga.gov/DRI/InitialForm.aspx?driid=4433" TargetMode="External"/><Relationship Id="rId329" Type="http://schemas.openxmlformats.org/officeDocument/2006/relationships/hyperlink" Target="https://locationofchoice.com/index.php/news/article/1046" TargetMode="External"/><Relationship Id="rId328" Type="http://schemas.openxmlformats.org/officeDocument/2006/relationships/hyperlink" Target="https://wbhfradio.org/126-acre-commercial-project-proposed-in-carter-grove/" TargetMode="External"/><Relationship Id="rId2240" Type="http://schemas.openxmlformats.org/officeDocument/2006/relationships/hyperlink" Target="https://reparcelasmt.loudoun.gov/pt/datalets/datalet.aspx?mode=profileall&amp;UseSearch=no&amp;pin=044155625000&amp;jur=107&amp;taxyr=2025&amp;LMparent=20" TargetMode="External"/><Relationship Id="rId2241" Type="http://schemas.openxmlformats.org/officeDocument/2006/relationships/hyperlink" Target="https://reparcelasmt.loudoun.gov/pt/datalets/datalet.aspx?mode=profileall&amp;UseSearch=no&amp;pin=089104437000&amp;jur=107&amp;taxyr=2024&amp;LMparent=20" TargetMode="External"/><Relationship Id="rId2242" Type="http://schemas.openxmlformats.org/officeDocument/2006/relationships/hyperlink" Target="https://loudouncountyvaeg.tylerhost.net/prod/selfservice" TargetMode="External"/><Relationship Id="rId323" Type="http://schemas.openxmlformats.org/officeDocument/2006/relationships/hyperlink" Target="https://www.datacenterdynamics.com/en/news/application-filed-for-86-million-sq-ft-data-center-project-outside-atlanta-georgia/" TargetMode="External"/><Relationship Id="rId2243" Type="http://schemas.openxmlformats.org/officeDocument/2006/relationships/hyperlink" Target="https://reparcelasmt.loudoun.gov/pt/Datalets/Datalet.aspx?UseSearch=no&amp;mode=profileall&amp;pin=042363888000&amp;jur=107&amp;taxyr=2025" TargetMode="External"/><Relationship Id="rId322" Type="http://schemas.openxmlformats.org/officeDocument/2006/relationships/hyperlink" Target="https://coosavalleynews.com/2026/04/calhoun-approves-90-day-moratorium-on-data-centers/" TargetMode="External"/><Relationship Id="rId2244" Type="http://schemas.openxmlformats.org/officeDocument/2006/relationships/hyperlink" Target="https://reparcelasmt.loudoun.gov/pt/Datalets/Datalet.aspx?UseSearch=no&amp;mode=profileall&amp;pin=060307119000&amp;jur=107&amp;taxyr=2024" TargetMode="External"/><Relationship Id="rId321" Type="http://schemas.openxmlformats.org/officeDocument/2006/relationships/hyperlink" Target="https://www.timesfreepress.com/news/2026/jun/27/calhoun-georgia-looks-to-understand-what-a-500k" TargetMode="External"/><Relationship Id="rId2245" Type="http://schemas.openxmlformats.org/officeDocument/2006/relationships/hyperlink" Target="https://reparcelasmt.loudoun.gov/pt/datalets/datalet.aspx?mode=profileall&amp;UseSearch=no&amp;pin=041352218000&amp;jur=107&amp;taxyr=2024&amp;LMparent=20" TargetMode="External"/><Relationship Id="rId320" Type="http://schemas.openxmlformats.org/officeDocument/2006/relationships/hyperlink" Target="https://www.wrbl.com/top-stories/columbus-city-council-discusses-proposed-5-18-billion-data-center-residents-voice-concern/" TargetMode="External"/><Relationship Id="rId2246" Type="http://schemas.openxmlformats.org/officeDocument/2006/relationships/hyperlink" Target="https://www.loudountimes.com/0local-or-not/1local/in-landmark-vote-board-of-supervisors-rejects-belmont-innovation-data-center-proposal/article_c7754884-e1ab-11ee-a0a9-0b7c20e6af27.html" TargetMode="External"/><Relationship Id="rId2236" Type="http://schemas.openxmlformats.org/officeDocument/2006/relationships/hyperlink" Target="https://www.databank.com/data-centers/northern-virginia/ashburn-campus/" TargetMode="External"/><Relationship Id="rId2237" Type="http://schemas.openxmlformats.org/officeDocument/2006/relationships/hyperlink" Target="https://reparcelasmt.loudoun.gov/pt/datalets/datalet.aspx?mode=profileall&amp;UseSearch=no&amp;pin=061355894000&amp;jur=107&amp;taxyr=2024&amp;LMparent=20" TargetMode="External"/><Relationship Id="rId2238" Type="http://schemas.openxmlformats.org/officeDocument/2006/relationships/hyperlink" Target="https://reparcelasmt.loudoun.gov/pt/datalets/datalet.aspx?mode=profileall&amp;UseSearch=no&amp;pin=088205761000&amp;jur=107&amp;taxyr=2024&amp;LMparent=20" TargetMode="External"/><Relationship Id="rId2239" Type="http://schemas.openxmlformats.org/officeDocument/2006/relationships/hyperlink" Target="https://loudouncountyvaeg.tylerhost.net/prod/selfservice" TargetMode="External"/><Relationship Id="rId316" Type="http://schemas.openxmlformats.org/officeDocument/2006/relationships/hyperlink" Target="https://qtsdatacenters.com/data-centers/blakely/" TargetMode="External"/><Relationship Id="rId315" Type="http://schemas.openxmlformats.org/officeDocument/2006/relationships/hyperlink" Target="https://www.developearly.com/post/top-10-most-faq-about-qts-blakely" TargetMode="External"/><Relationship Id="rId314" Type="http://schemas.openxmlformats.org/officeDocument/2006/relationships/hyperlink" Target="https://www.datacenterdynamics.com/en/news/1600-acre-data-center-approved-by-local-authorities-in-forsyth-georgia/" TargetMode="External"/><Relationship Id="rId313" Type="http://schemas.openxmlformats.org/officeDocument/2006/relationships/hyperlink" Target="https://www.datacenterdynamics.com/en/news/cbres-trammell-crow-files-to-develop-12-million-sq-ft-data-center-campus-outside-atlanta-georgia/" TargetMode="External"/><Relationship Id="rId319" Type="http://schemas.openxmlformats.org/officeDocument/2006/relationships/hyperlink" Target="https://www.ledger-enquirer.com/news/business/article314817948.html" TargetMode="External"/><Relationship Id="rId318" Type="http://schemas.openxmlformats.org/officeDocument/2006/relationships/hyperlink" Target="https://www.datacenterdynamics.com/en/news/qts-targets-two-data-center-campuses-in-georgia/" TargetMode="External"/><Relationship Id="rId317" Type="http://schemas.openxmlformats.org/officeDocument/2006/relationships/hyperlink" Target="https://www.earlycountynews.com/articles/qts-data-centers-considers-a-location-in-blakely/" TargetMode="External"/><Relationship Id="rId2230" Type="http://schemas.openxmlformats.org/officeDocument/2006/relationships/hyperlink" Target="https://reparcelasmt.loudoun.gov/pt/Datalets/Datalet.aspx?UseSearch=no&amp;mode=profileall&amp;pin=061373570000&amp;jur=107&amp;taxyr=2025" TargetMode="External"/><Relationship Id="rId2231" Type="http://schemas.openxmlformats.org/officeDocument/2006/relationships/hyperlink" Target="https://reparcelasmt.loudoun.gov/pt/Datalets/Datalet.aspx?UseSearch=no&amp;mode=profileall&amp;pin=060178810000&amp;jur=107&amp;taxyr=2024" TargetMode="External"/><Relationship Id="rId312" Type="http://schemas.openxmlformats.org/officeDocument/2006/relationships/hyperlink" Target="https://www.wabe.org/amazon-purchases-270-million-land-development-for-data-center-use-outside-of-atlanta/" TargetMode="External"/><Relationship Id="rId2232" Type="http://schemas.openxmlformats.org/officeDocument/2006/relationships/hyperlink" Target="https://reparcelasmt.loudoun.gov/pt/datalets/datalet.aspx?mode=profileall&amp;UseSearch=no&amp;pin=060170268000&amp;jur=107&amp;taxyr=2024&amp;LMparent=20" TargetMode="External"/><Relationship Id="rId311" Type="http://schemas.openxmlformats.org/officeDocument/2006/relationships/hyperlink" Target="https://www.blackenterprise.com/amazon-land-development-georgia-da" TargetMode="External"/><Relationship Id="rId2233" Type="http://schemas.openxmlformats.org/officeDocument/2006/relationships/hyperlink" Target="https://reparcelasmt.loudoun.gov/pt/datalets/datalet.aspx?mode=profileall&amp;UseSearch=no&amp;pin=061467942000&amp;jur=107&amp;taxyr=2024&amp;LMparent=20" TargetMode="External"/><Relationship Id="rId310" Type="http://schemas.openxmlformats.org/officeDocument/2006/relationships/hyperlink" Target="https://www.datacenterdynamics.com/en/news/plans-filed-to-expand-former-t5-campus-site-in-augusta-georgia/" TargetMode="External"/><Relationship Id="rId2234" Type="http://schemas.openxmlformats.org/officeDocument/2006/relationships/hyperlink" Target="https://loudouncountyvaeg.tylerhost.net/prod/selfservice" TargetMode="External"/><Relationship Id="rId2235" Type="http://schemas.openxmlformats.org/officeDocument/2006/relationships/hyperlink" Target="https://reparcelasmt.loudoun.gov/pt/Datalets/Datalet.aspx?UseSearch=no&amp;mode=profileall&amp;pin=088381788000&amp;jur=107&amp;taxyr=2024" TargetMode="External"/><Relationship Id="rId297" Type="http://schemas.openxmlformats.org/officeDocument/2006/relationships/hyperlink" Target="https://baxtel.com/data-center/equinix-atlanta-at2-at3" TargetMode="External"/><Relationship Id="rId296" Type="http://schemas.openxmlformats.org/officeDocument/2006/relationships/hyperlink" Target="https://baxtel.com/data-center/equinix-atlanta-at1" TargetMode="External"/><Relationship Id="rId295" Type="http://schemas.openxmlformats.org/officeDocument/2006/relationships/hyperlink" Target="https://www.datacenterdynamics.com/en/news/edged-tops-out-42mw-data-center-in-atlanta-georgia/" TargetMode="External"/><Relationship Id="rId294" Type="http://schemas.openxmlformats.org/officeDocument/2006/relationships/hyperlink" Target="https://www.edged.us/atlanta" TargetMode="External"/><Relationship Id="rId299" Type="http://schemas.openxmlformats.org/officeDocument/2006/relationships/hyperlink" Target="https://baxtel.com/data-center/h5-atlanta" TargetMode="External"/><Relationship Id="rId298" Type="http://schemas.openxmlformats.org/officeDocument/2006/relationships/hyperlink" Target="https://baxtel.com/data-center/fogo-atlanta" TargetMode="External"/><Relationship Id="rId271" Type="http://schemas.openxmlformats.org/officeDocument/2006/relationships/hyperlink" Target="https://qtsdatacenters.com/data-centers/atlanta-1/" TargetMode="External"/><Relationship Id="rId270" Type="http://schemas.openxmlformats.org/officeDocument/2006/relationships/hyperlink" Target="https://qtsdatacenters.com/-/media/resources/data-sheets/qts_data-sheet_atl1-dc2.pdf" TargetMode="External"/><Relationship Id="rId269" Type="http://schemas.openxmlformats.org/officeDocument/2006/relationships/hyperlink" Target="https://qtsdatacenters.com/data-centers/atlanta-1/" TargetMode="External"/><Relationship Id="rId264" Type="http://schemas.openxmlformats.org/officeDocument/2006/relationships/hyperlink" Target="https://www.hivelocity.net/wp-content/uploads/2024/08/Hivelocity_Atlanta.pdf" TargetMode="External"/><Relationship Id="rId263" Type="http://schemas.openxmlformats.org/officeDocument/2006/relationships/hyperlink" Target="https://baxtel.com/data-center/56-marietta-carrier-hotel-digital-realty" TargetMode="External"/><Relationship Id="rId262" Type="http://schemas.openxmlformats.org/officeDocument/2006/relationships/hyperlink" Target="https://baxtel.com/data-center/760-doug-davis-digital-realty" TargetMode="External"/><Relationship Id="rId261" Type="http://schemas.openxmlformats.org/officeDocument/2006/relationships/hyperlink" Target="https://baxtel.com/data-center/55-marietta" TargetMode="External"/><Relationship Id="rId268" Type="http://schemas.openxmlformats.org/officeDocument/2006/relationships/hyperlink" Target="https://qtsdatacenters.com/wp-content/uploads/2024/07/QTS_DataSheet_ATL1-DC1.pdf" TargetMode="External"/><Relationship Id="rId267" Type="http://schemas.openxmlformats.org/officeDocument/2006/relationships/hyperlink" Target="https://baxtel.com/data-center/digital-realty-atl14" TargetMode="External"/><Relationship Id="rId266" Type="http://schemas.openxmlformats.org/officeDocument/2006/relationships/hyperlink" Target="https://www.datacenterdynamics.com/en/news/digital-realty-files-to-develop-two-building-campus-outside-atlanta-georgia/" TargetMode="External"/><Relationship Id="rId265" Type="http://schemas.openxmlformats.org/officeDocument/2006/relationships/hyperlink" Target="https://www.datacenterdynamics.com/en/news/digital-realty-files-to-develop-two-building-campus-outside-atlanta-georgia/" TargetMode="External"/><Relationship Id="rId260" Type="http://schemas.openxmlformats.org/officeDocument/2006/relationships/hyperlink" Target="https://inflect.com/building/56-marietta-street-northwest-atlanta" TargetMode="External"/><Relationship Id="rId259" Type="http://schemas.openxmlformats.org/officeDocument/2006/relationships/hyperlink" Target="https://www.hivelocity.net/wp-content/uploads/2024/04/Hivelocity_Atlanta.pdf" TargetMode="External"/><Relationship Id="rId258" Type="http://schemas.openxmlformats.org/officeDocument/2006/relationships/hyperlink" Target="https://baxtel.com/data-center/40-perimeter-center-lincoln-rackhouse" TargetMode="External"/><Relationship Id="rId2290" Type="http://schemas.openxmlformats.org/officeDocument/2006/relationships/hyperlink" Target="https://sabeydatacenters.com/locations/ashburn-data-center" TargetMode="External"/><Relationship Id="rId2291" Type="http://schemas.openxmlformats.org/officeDocument/2006/relationships/hyperlink" Target="https://loudouncountyvaeg.tylerhost.net/prod/selfservice" TargetMode="External"/><Relationship Id="rId2292" Type="http://schemas.openxmlformats.org/officeDocument/2006/relationships/hyperlink" Target="https://reparcelasmt.loudoun.gov/pt/datalets/datalet.aspx?mode=profileall&amp;UseSearch=no&amp;pin=062159785000&amp;jur=107&amp;taxyr=2024&amp;LMparent=20" TargetMode="External"/><Relationship Id="rId2293" Type="http://schemas.openxmlformats.org/officeDocument/2006/relationships/hyperlink" Target="https://loudouncountyvaeg.tylerhost.net/prod/selfservice" TargetMode="External"/><Relationship Id="rId253" Type="http://schemas.openxmlformats.org/officeDocument/2006/relationships/hyperlink" Target="https://www.change.org/p/say-no-to-the-proposed-data-center-at-athena-studios" TargetMode="External"/><Relationship Id="rId2294" Type="http://schemas.openxmlformats.org/officeDocument/2006/relationships/hyperlink" Target="https://reparcelasmt.loudoun.gov/pt/datalets/datalet.aspx?mode=commercial&amp;UseSearch=no&amp;pin=062275493002&amp;jur=107&amp;taxyr=2025&amp;LMparent=20" TargetMode="External"/><Relationship Id="rId252" Type="http://schemas.openxmlformats.org/officeDocument/2006/relationships/hyperlink" Target="https://apps.dca.ga.gov/DRI/AppSummary.aspx?driid=4443" TargetMode="External"/><Relationship Id="rId2295" Type="http://schemas.openxmlformats.org/officeDocument/2006/relationships/hyperlink" Target="https://loudouncountyvaeg.tylerhost.net/prod/selfservice" TargetMode="External"/><Relationship Id="rId251" Type="http://schemas.openxmlformats.org/officeDocument/2006/relationships/hyperlink" Target="https://www.augustachronicle.com/story/business/2025/05/01/columbia-county-technology-park-project-valued-at-11-billion-data-centers-economic-development/83375427007/" TargetMode="External"/><Relationship Id="rId2296" Type="http://schemas.openxmlformats.org/officeDocument/2006/relationships/hyperlink" Target="https://reparcelasmt.loudoun.gov/pt/datalets/datalet.aspx?mode=land_summary&amp;UseSearch=no&amp;pin=062275493001&amp;jur=107&amp;taxyr=2025&amp;LMparent=20" TargetMode="External"/><Relationship Id="rId250" Type="http://schemas.openxmlformats.org/officeDocument/2006/relationships/hyperlink" Target="https://www.datacenterdynamics.com/en/news/att-occupied-data-center-up-for-sale-in-alpharetta-georgia/" TargetMode="External"/><Relationship Id="rId2297" Type="http://schemas.openxmlformats.org/officeDocument/2006/relationships/hyperlink" Target="https://loudouncountyvaeg.tylerhost.net/prod/selfservice" TargetMode="External"/><Relationship Id="rId257" Type="http://schemas.openxmlformats.org/officeDocument/2006/relationships/hyperlink" Target="https://www.yahoo.com/news/articles/data-center-atlanta-thought-dead-203000461.html" TargetMode="External"/><Relationship Id="rId2298" Type="http://schemas.openxmlformats.org/officeDocument/2006/relationships/hyperlink" Target="https://reparcelasmt.loudoun.gov/pt/datalets/datalet.aspx?mode=commercial&amp;UseSearch=no&amp;pin=062275493003&amp;jur=107&amp;taxyr=2025&amp;LMparent=20" TargetMode="External"/><Relationship Id="rId256" Type="http://schemas.openxmlformats.org/officeDocument/2006/relationships/hyperlink" Target="https://www.swarmatl.org/" TargetMode="External"/><Relationship Id="rId2299" Type="http://schemas.openxmlformats.org/officeDocument/2006/relationships/hyperlink" Target="https://www.datacenterdynamics.com/en/news/blackchamber-files-to-build-data-center-campus-in-northern-virginias-arcola/" TargetMode="External"/><Relationship Id="rId255" Type="http://schemas.openxmlformats.org/officeDocument/2006/relationships/hyperlink" Target="https://www.swarmatl.org/" TargetMode="External"/><Relationship Id="rId254" Type="http://schemas.openxmlformats.org/officeDocument/2006/relationships/hyperlink" Target="https://www.datacenterdynamics.com/en/news/georgia-based-film-studio-considers-converting-to-data-center/" TargetMode="External"/><Relationship Id="rId293" Type="http://schemas.openxmlformats.org/officeDocument/2006/relationships/hyperlink" Target="https://www.edged.us/news/edged-atlanta-begins-construction-on-180-mw-ultra-efficient-mega-project" TargetMode="External"/><Relationship Id="rId292" Type="http://schemas.openxmlformats.org/officeDocument/2006/relationships/hyperlink" Target="https://www.edged.us/atlanta" TargetMode="External"/><Relationship Id="rId291" Type="http://schemas.openxmlformats.org/officeDocument/2006/relationships/hyperlink" Target="https://www.edged.us/atlanta" TargetMode="External"/><Relationship Id="rId290" Type="http://schemas.openxmlformats.org/officeDocument/2006/relationships/hyperlink" Target="https://cdn.prod.website-files.com/62f4046c4606ae485a2c58ec/66c39e92b470df059c06bccf_ATL01-1_Spec%20Sheet_240814_Digital.pdf" TargetMode="External"/><Relationship Id="rId286" Type="http://schemas.openxmlformats.org/officeDocument/2006/relationships/hyperlink" Target="https://www.datacenterdynamics.com/en/news/digital-realty-plans-10-story-300000-sq-ft-data-center-in-atlanta/" TargetMode="External"/><Relationship Id="rId285" Type="http://schemas.openxmlformats.org/officeDocument/2006/relationships/hyperlink" Target="https://www.datacenterhawk.com/colo/databank/200-selig-drive-sw/atl4" TargetMode="External"/><Relationship Id="rId284" Type="http://schemas.openxmlformats.org/officeDocument/2006/relationships/hyperlink" Target="https://www.datacenterdynamics.com/en/news/databank-to-expand-atlanta-data-center/" TargetMode="External"/><Relationship Id="rId283" Type="http://schemas.openxmlformats.org/officeDocument/2006/relationships/hyperlink" Target="https://baxtel.com/data-center/zcolo-atlanta" TargetMode="External"/><Relationship Id="rId289" Type="http://schemas.openxmlformats.org/officeDocument/2006/relationships/hyperlink" Target="https://www.datacenterdynamics.com/en/news/ta-realty-files-for-1-million-sq-ft-data-center-campus-outside-atlanta-georgia/" TargetMode="External"/><Relationship Id="rId288" Type="http://schemas.openxmlformats.org/officeDocument/2006/relationships/hyperlink" Target="https://baxtel.com/data-center/edgeconnex-atl02" TargetMode="External"/><Relationship Id="rId287" Type="http://schemas.openxmlformats.org/officeDocument/2006/relationships/hyperlink" Target="https://baxtel.com/data-center/edgeconnex-atl01" TargetMode="External"/><Relationship Id="rId282" Type="http://schemas.openxmlformats.org/officeDocument/2006/relationships/hyperlink" Target="https://apps.dca.ga.gov/DRI/AppSummary.aspx?driid=2569" TargetMode="External"/><Relationship Id="rId281" Type="http://schemas.openxmlformats.org/officeDocument/2006/relationships/hyperlink" Target="https://baxtel.com/data-center/databank-atlanta-atl1" TargetMode="External"/><Relationship Id="rId280" Type="http://schemas.openxmlformats.org/officeDocument/2006/relationships/hyperlink" Target="https://www.colocrossing.com/wp-content/uploads/2017/01/CC-one-pagers-11.pdf" TargetMode="External"/><Relationship Id="rId275" Type="http://schemas.openxmlformats.org/officeDocument/2006/relationships/hyperlink" Target="https://qtsdatacenters.com/data-centers/atlanta-1/" TargetMode="External"/><Relationship Id="rId274" Type="http://schemas.openxmlformats.org/officeDocument/2006/relationships/hyperlink" Target="https://www.datacenters.com/qts-atlanta-4-dc1" TargetMode="External"/><Relationship Id="rId273" Type="http://schemas.openxmlformats.org/officeDocument/2006/relationships/hyperlink" Target="https://qtsdatacenters.com/data-centers/atlanta-1/" TargetMode="External"/><Relationship Id="rId272" Type="http://schemas.openxmlformats.org/officeDocument/2006/relationships/hyperlink" Target="https://www.datacenters.com/qts-atlanta-3-dc1" TargetMode="External"/><Relationship Id="rId279" Type="http://schemas.openxmlformats.org/officeDocument/2006/relationships/hyperlink" Target="https://baxtel.com/data-center/coloblox" TargetMode="External"/><Relationship Id="rId278" Type="http://schemas.openxmlformats.org/officeDocument/2006/relationships/hyperlink" Target="https://baxtel.com/data-center/cogent-atlanta-55-marietta" TargetMode="External"/><Relationship Id="rId277" Type="http://schemas.openxmlformats.org/officeDocument/2006/relationships/hyperlink" Target="https://baxtel.com/data-center/at-t-southern-bell-telephone-company-building" TargetMode="External"/><Relationship Id="rId276" Type="http://schemas.openxmlformats.org/officeDocument/2006/relationships/hyperlink" Target="https://baxtel.com/data-center/atldc-55-marietta" TargetMode="External"/><Relationship Id="rId1851" Type="http://schemas.openxmlformats.org/officeDocument/2006/relationships/hyperlink" Target="https://www.protectouraquifer.org/issues/xai-supercomputer" TargetMode="External"/><Relationship Id="rId1852" Type="http://schemas.openxmlformats.org/officeDocument/2006/relationships/hyperlink" Target="https://actionnetwork.org/petitions/shut-down-the-unpermitted-xai-power-plant-in-southaven" TargetMode="External"/><Relationship Id="rId1853" Type="http://schemas.openxmlformats.org/officeDocument/2006/relationships/hyperlink" Target="https://www.datacenterdynamics.com/en/news/elon-musks-xai-buys-one-million-sq-ft-site-for-second-memphis-data-center/" TargetMode="External"/><Relationship Id="rId1854" Type="http://schemas.openxmlformats.org/officeDocument/2006/relationships/hyperlink" Target="https://www.tomshardware.com/tech-industry/artificial-intelligence/elon-musk-xai-power-plant-overseas-to-power-1-million-gpus" TargetMode="External"/><Relationship Id="rId1855" Type="http://schemas.openxmlformats.org/officeDocument/2006/relationships/hyperlink" Target="https://epoch.ai/data/data-centers/satellite-explorer/xAIColossus2MemphisTennessee?ref=404media.co" TargetMode="External"/><Relationship Id="rId1856" Type="http://schemas.openxmlformats.org/officeDocument/2006/relationships/hyperlink" Target="https://www.datacenterdynamics.com/en/news/elon-musks-xai-to-spend-659m-on-new-building-for-memphis-data-center-cluster/" TargetMode="External"/><Relationship Id="rId1857" Type="http://schemas.openxmlformats.org/officeDocument/2006/relationships/hyperlink" Target="https://www.selc.org/news/xai-built-an-illegal-power-plant-to-power-its-data-center/" TargetMode="External"/><Relationship Id="rId1858" Type="http://schemas.openxmlformats.org/officeDocument/2006/relationships/hyperlink" Target="https://www.change.org/p/nashville-zoo-says-no-to-proposed-data-center" TargetMode="External"/><Relationship Id="rId1859" Type="http://schemas.openxmlformats.org/officeDocument/2006/relationships/hyperlink" Target="https://www.wkrn.com/news/local-news/nashville/160k-sign-petition-opposing-data-center-next-nashville-zoo/" TargetMode="External"/><Relationship Id="rId1850" Type="http://schemas.openxmlformats.org/officeDocument/2006/relationships/hyperlink" Target="https://www.memphiscap.org/mcapcampaigns/blog-post-title-three-4frah" TargetMode="External"/><Relationship Id="rId1840" Type="http://schemas.openxmlformats.org/officeDocument/2006/relationships/hyperlink" Target="https://www.chattanoogan.com/2026/3/18/516194/County-Commission-Approves-Lease-For.aspx" TargetMode="External"/><Relationship Id="rId1841" Type="http://schemas.openxmlformats.org/officeDocument/2006/relationships/hyperlink" Target="https://www.datacenterdynamics.com/en/news/cielo-digital-infrastructure-plans-300mw-data-center-campus-in-south-carolina/" TargetMode="External"/><Relationship Id="rId1842" Type="http://schemas.openxmlformats.org/officeDocument/2006/relationships/hyperlink" Target="https://www.datacenterdynamics.com/en/news/meta-to-expand-tennessee-data-center-campus/" TargetMode="External"/><Relationship Id="rId1843" Type="http://schemas.openxmlformats.org/officeDocument/2006/relationships/hyperlink" Target="https://www.datacenterdynamics.com/en/news/us-department-of-the-air-force-accepting-proposals-for-ai-data-centers-in-military-bases/" TargetMode="External"/><Relationship Id="rId1844" Type="http://schemas.openxmlformats.org/officeDocument/2006/relationships/hyperlink" Target="https://www.datacenterdynamics.com/en/news/25mw-ai-data-center-to-be-built-in-mcminnville-tennessee/" TargetMode="External"/><Relationship Id="rId1845" Type="http://schemas.openxmlformats.org/officeDocument/2006/relationships/hyperlink" Target="https://hixsondc.com/" TargetMode="External"/><Relationship Id="rId1846" Type="http://schemas.openxmlformats.org/officeDocument/2006/relationships/hyperlink" Target="https://warrencountyecd.com/site/mcminnville-warren-digital-site/" TargetMode="External"/><Relationship Id="rId1847" Type="http://schemas.openxmlformats.org/officeDocument/2006/relationships/hyperlink" Target="https://www.datacenterdynamics.com/en/news/xai-removes-some-of-controversial-gas-turbines-from-memphis-data-center/" TargetMode="External"/><Relationship Id="rId1848" Type="http://schemas.openxmlformats.org/officeDocument/2006/relationships/hyperlink" Target="https://epoch.ai/data/data-centers/satellite-explorer/xAIColossus1MemphisTennessee?ref=404media.co" TargetMode="External"/><Relationship Id="rId1849" Type="http://schemas.openxmlformats.org/officeDocument/2006/relationships/hyperlink" Target="https://www.selc.org/news/xai-built-an-illegal-power-plant-to-power-its-data-center/" TargetMode="External"/><Relationship Id="rId1873" Type="http://schemas.openxmlformats.org/officeDocument/2006/relationships/hyperlink" Target="https://techcratic.com/index.php/2025/05/23/oracle-reported-to-buy-400000-nvidia-chips-for-first-stargate-data-center/siliconangle/siliconangle/" TargetMode="External"/><Relationship Id="rId1874" Type="http://schemas.openxmlformats.org/officeDocument/2006/relationships/hyperlink" Target="https://www.bigcountryhomepage.com/news/stargate-abilene/abilenes-data-center-advances-swiftly-with-5000-workers/" TargetMode="External"/><Relationship Id="rId1875" Type="http://schemas.openxmlformats.org/officeDocument/2006/relationships/hyperlink" Target="https://www.chron.com/business/article/openai-texas-stargate-ai-hub-21065041.php" TargetMode="External"/><Relationship Id="rId1876" Type="http://schemas.openxmlformats.org/officeDocument/2006/relationships/hyperlink" Target="https://www.crusoe.ai/resources/newsroom/crusoe-expands-ai-data-center-campus-in-abilene-to-1-2-gigawatts" TargetMode="External"/><Relationship Id="rId1877" Type="http://schemas.openxmlformats.org/officeDocument/2006/relationships/hyperlink" Target="https://epoch.ai/data/data-centers/satellite-explorer/OpenAIOracleStargateAbileneTexas?ref=404media.co" TargetMode="External"/><Relationship Id="rId1878" Type="http://schemas.openxmlformats.org/officeDocument/2006/relationships/hyperlink" Target="https://www.datacenterdynamics.com/en/news/crusoe-confirms-microsoft-as-customer-at-campus-in-abilene-texas/" TargetMode="External"/><Relationship Id="rId1879" Type="http://schemas.openxmlformats.org/officeDocument/2006/relationships/hyperlink" Target="https://www.datacenterdynamics.com/en/news/oracleopenai-drop-plans-to-expand-flagship-abilene-stargate-site-meta-in-talks-to-pick-up-crusoe-capacity-with-nvidias-help/" TargetMode="External"/><Relationship Id="rId1870" Type="http://schemas.openxmlformats.org/officeDocument/2006/relationships/hyperlink" Target="https://vantage-dc.com/news/vantage-data-centers-unveils-plans-for-frontier-a-25b-mega-campus-in-texas-to-meet-unprecedented-ai-demand/" TargetMode="External"/><Relationship Id="rId1871" Type="http://schemas.openxmlformats.org/officeDocument/2006/relationships/hyperlink" Target="https://datacentremagazine.com/news/inside-vantages-us-25bn-ai-data-centre-mega-campus-in-texas" TargetMode="External"/><Relationship Id="rId1872" Type="http://schemas.openxmlformats.org/officeDocument/2006/relationships/hyperlink" Target="https://www.datacenterdynamics.com/en/news/vantage-breaks-ground-on-texas-gigawatt-data-center-campus-for-openai/" TargetMode="External"/><Relationship Id="rId1862" Type="http://schemas.openxmlformats.org/officeDocument/2006/relationships/hyperlink" Target="https://www.datacenterdynamics.com/en/news/h5-and-novacap-launch-new-data-center-platform-acquire-three-carrier-hotels-from-365/" TargetMode="External"/><Relationship Id="rId1863" Type="http://schemas.openxmlformats.org/officeDocument/2006/relationships/hyperlink" Target="https://www.datacenterdynamics.com/en/news/fisk-university-looks-to-build-data-center-in-nashville-tennessee/" TargetMode="External"/><Relationship Id="rId1864" Type="http://schemas.openxmlformats.org/officeDocument/2006/relationships/hyperlink" Target="https://www.datacenterdynamics.com/en/news/terawulf-and-fluidstack-to-develop-texas-data-center-in-google-backed-deal/" TargetMode="External"/><Relationship Id="rId1865" Type="http://schemas.openxmlformats.org/officeDocument/2006/relationships/hyperlink" Target="https://marketchameleon.com/articles/b/2025/12/19/terawulf-fluidstack-secure-168mw-hpc-project-financing-ai-data-center-growth" TargetMode="External"/><Relationship Id="rId1866" Type="http://schemas.openxmlformats.org/officeDocument/2006/relationships/hyperlink" Target="https://www.datacenterdynamics.com/en/news/aligned-breaks-ground-on-540mw-data-center-campus-in-texas/" TargetMode="External"/><Relationship Id="rId1867" Type="http://schemas.openxmlformats.org/officeDocument/2006/relationships/hyperlink" Target="https://aligneddc.com/locations/" TargetMode="External"/><Relationship Id="rId1868" Type="http://schemas.openxmlformats.org/officeDocument/2006/relationships/hyperlink" Target="https://www.thealbanynews.net/news/data-center-plans-move-forward-shackelford-county" TargetMode="External"/><Relationship Id="rId1869" Type="http://schemas.openxmlformats.org/officeDocument/2006/relationships/hyperlink" Target="https://www.datacenterdynamics.com/en/news/vantage-plots-14gw-data-center-campus-in-texas/" TargetMode="External"/><Relationship Id="rId1860" Type="http://schemas.openxmlformats.org/officeDocument/2006/relationships/hyperlink" Target="https://www.wsmv.com/2026/06/04/what-know-about-potential-data-center-next-nashville-zoo-facility-launches-petition-against-its-construction-feet-away-one-most-fragile-rare-collections-animals/" TargetMode="External"/><Relationship Id="rId1861" Type="http://schemas.openxmlformats.org/officeDocument/2006/relationships/hyperlink" Target="https://www.datacenterdynamics.com/en/news/dc-bloxs-proposed-24-acre-data-center-near-nashville-zoo-could-be-blocked-by-moratorium/" TargetMode="External"/><Relationship Id="rId1810" Type="http://schemas.openxmlformats.org/officeDocument/2006/relationships/hyperlink" Target="https://www.wmbfnews.com/2026/02/25/marion-county-data-center-qa-draws-concerns-over-energy-costs-local-hiring/" TargetMode="External"/><Relationship Id="rId1811" Type="http://schemas.openxmlformats.org/officeDocument/2006/relationships/hyperlink" Target="https://capitalbnews.org/secret-data-center-deal-marion-county-south-carolina/" TargetMode="External"/><Relationship Id="rId1812" Type="http://schemas.openxmlformats.org/officeDocument/2006/relationships/hyperlink" Target="https://www.datacenterdynamics.com/en/news/stream-data-centers-pulls-out-of-800m-south-carolina-data-center-says-utility-power-would-take-too-long/" TargetMode="External"/><Relationship Id="rId1813" Type="http://schemas.openxmlformats.org/officeDocument/2006/relationships/hyperlink" Target="https://www.facebook.com/groups/1354334266189772/" TargetMode="External"/><Relationship Id="rId1814" Type="http://schemas.openxmlformats.org/officeDocument/2006/relationships/hyperlink" Target="https://www.change.org/p/stop-data-centers-coming-to-upstate-sc" TargetMode="External"/><Relationship Id="rId1815" Type="http://schemas.openxmlformats.org/officeDocument/2006/relationships/hyperlink" Target="https://www.wyff4.com/article/ai-data-center-to-be-built-in-spartanburg-county/70180127" TargetMode="External"/><Relationship Id="rId1816" Type="http://schemas.openxmlformats.org/officeDocument/2006/relationships/hyperlink" Target="https://www.postandcourier.com/spartanburg/business/tigerdc-data-center-spartanburg-county-project-spero/article_08f63d91-4108-4439-92c9-51b51c081232.html" TargetMode="External"/><Relationship Id="rId1817" Type="http://schemas.openxmlformats.org/officeDocument/2006/relationships/hyperlink" Target="https://www.datacenterdynamics.com/en/news/proposal-for-3bn-data-center-faces-opposition-in-spartanburg-county-south-carolina/" TargetMode="External"/><Relationship Id="rId1818" Type="http://schemas.openxmlformats.org/officeDocument/2006/relationships/hyperlink" Target="https://www.wyff4.com/article/data-center-project-proposal-advances-spartanburg-county/70386777" TargetMode="External"/><Relationship Id="rId1819" Type="http://schemas.openxmlformats.org/officeDocument/2006/relationships/hyperlink" Target="https://www.datacenterdynamics.com/en/news/tigerdc-pulls-planned-data-center-project-from-south-carolina-county-after-officials-deny-tax-deal/" TargetMode="External"/><Relationship Id="rId1800" Type="http://schemas.openxmlformats.org/officeDocument/2006/relationships/hyperlink" Target="https://www.fox43.com/article/news/local/york-county/500-million-data-center-fairview-township-york-county/521-81526e0c-e19d-4211-adaf-d2cee8ecda8f" TargetMode="External"/><Relationship Id="rId1801" Type="http://schemas.openxmlformats.org/officeDocument/2006/relationships/hyperlink" Target="https://www.datacenterdynamics.com/en/news/plans-filed-for-data-center-site-outside-columbia-south-carolina/" TargetMode="External"/><Relationship Id="rId1802" Type="http://schemas.openxmlformats.org/officeDocument/2006/relationships/hyperlink" Target="https://www.datacenterdynamics.com/en/news/cielo-digital-infrastructure-plans-300mw-data-center-campus-in-south-carolina/" TargetMode="External"/><Relationship Id="rId1803" Type="http://schemas.openxmlformats.org/officeDocument/2006/relationships/hyperlink" Target="https://www.datacenterdynamics.com/en/news/meta-plans-800m-data-center-campus-in-aiken-county-south-carolina/" TargetMode="External"/><Relationship Id="rId1804" Type="http://schemas.openxmlformats.org/officeDocument/2006/relationships/hyperlink" Target="https://rbnenergy.com/i-know-places-tech-giants-may-be-the-surest-bets-for-data-center-power-demand" TargetMode="External"/><Relationship Id="rId1805" Type="http://schemas.openxmlformats.org/officeDocument/2006/relationships/hyperlink" Target="https://www.datacenterdynamics.com/en/news/meta-signs-100mw-solar-supply-deal-with-silicon-ranch-to-power-first-data-center-in-south-carolina/" TargetMode="External"/><Relationship Id="rId1806" Type="http://schemas.openxmlformats.org/officeDocument/2006/relationships/hyperlink" Target="https://www.facebook.com/share/g/1MmD3egK9Z/" TargetMode="External"/><Relationship Id="rId1807" Type="http://schemas.openxmlformats.org/officeDocument/2006/relationships/hyperlink" Target="http://www.theunitedpeopleproject.com" TargetMode="External"/><Relationship Id="rId1808" Type="http://schemas.openxmlformats.org/officeDocument/2006/relationships/hyperlink" Target="https://www.streamdatacenters.com/project-liberty/" TargetMode="External"/><Relationship Id="rId1809" Type="http://schemas.openxmlformats.org/officeDocument/2006/relationships/hyperlink" Target="https://www.postandcourier.com/pee-dee/news/marion-county-stream-data-center/article_fce64b6c-7e65-4d99-ba9a-4d1dc70d28e5.html" TargetMode="External"/><Relationship Id="rId1830" Type="http://schemas.openxmlformats.org/officeDocument/2006/relationships/hyperlink" Target="https://www.datacenterdynamics.com/en/news/sequitor-edge-targets-2mw-facility-in-rapid-city-south-dakota/" TargetMode="External"/><Relationship Id="rId1831" Type="http://schemas.openxmlformats.org/officeDocument/2006/relationships/hyperlink" Target="https://siouxfalls.business/hyperscale-data-center-seeking-city-approvals-to-build-northeast-of-sioux-falls/" TargetMode="External"/><Relationship Id="rId1832" Type="http://schemas.openxmlformats.org/officeDocument/2006/relationships/hyperlink" Target="https://www.siouxfallslive.com/news/sioux-falls/planned-hyperscale-data-center-moving-into-sioux-falls" TargetMode="External"/><Relationship Id="rId1833" Type="http://schemas.openxmlformats.org/officeDocument/2006/relationships/hyperlink" Target="https://www.datacenterdynamics.com/en/news/164-acre-data-center-could-come-to-sioux-falls-south-dakota/" TargetMode="External"/><Relationship Id="rId1834" Type="http://schemas.openxmlformats.org/officeDocument/2006/relationships/hyperlink" Target="https://curemn.org/" TargetMode="External"/><Relationship Id="rId1835" Type="http://schemas.openxmlformats.org/officeDocument/2006/relationships/hyperlink" Target="https://www.datacenterdynamics.com/en/news/applied-digital-proposes-multi-billion-dollar-data-center-in-south-dakota/" TargetMode="External"/><Relationship Id="rId1836" Type="http://schemas.openxmlformats.org/officeDocument/2006/relationships/hyperlink" Target="https://www.mykxlg.com/news/local/potential-14-billion-data-center-could-transform-deuel-countys-economy/article_2a031739-b2ae-4932-95f5-57e4f280b7c7.html" TargetMode="External"/><Relationship Id="rId1837" Type="http://schemas.openxmlformats.org/officeDocument/2006/relationships/hyperlink" Target="https://www.change.org/p/demand-public-input-opportunity-for-new-data-center-venture-in-downtown-chattanooga?recruiter=986853875" TargetMode="External"/><Relationship Id="rId1838" Type="http://schemas.openxmlformats.org/officeDocument/2006/relationships/hyperlink" Target="https://www.datacenterdynamics.com/en/news/former-jail-in-chattanooga-tennessee-targeted-for-production-space-and-data-center/" TargetMode="External"/><Relationship Id="rId1839" Type="http://schemas.openxmlformats.org/officeDocument/2006/relationships/hyperlink" Target="https://foxchattanooga.com/news/local/hamilton-county-advances-plan-to-convert-old-jail-into-ai-data-center-and-music-studio" TargetMode="External"/><Relationship Id="rId1820" Type="http://schemas.openxmlformats.org/officeDocument/2006/relationships/hyperlink" Target="https://www.datacenterdynamics.com/en/news/dc-blox-acquires-27-acres-in-south-carolina-for-45mw-data-center-campus/" TargetMode="External"/><Relationship Id="rId1821" Type="http://schemas.openxmlformats.org/officeDocument/2006/relationships/hyperlink" Target="https://www.change.org/p/halt-new-data-center-approvals-in-union-sc" TargetMode="External"/><Relationship Id="rId1822" Type="http://schemas.openxmlformats.org/officeDocument/2006/relationships/hyperlink" Target="https://cleanview.co/news/data-centers/volt-edge-energy-announces-49-mw-volt-edge-energy-project-alpaca-in-sc-20260417" TargetMode="External"/><Relationship Id="rId1823" Type="http://schemas.openxmlformats.org/officeDocument/2006/relationships/hyperlink" Target="https://www.wspa.com/news/residents-officials-react-to-proposed-data-center-in-union-county/" TargetMode="External"/><Relationship Id="rId1824" Type="http://schemas.openxmlformats.org/officeDocument/2006/relationships/hyperlink" Target="https://uniondevelopmentboard.com/union-midway-industrial-park/" TargetMode="External"/><Relationship Id="rId1825" Type="http://schemas.openxmlformats.org/officeDocument/2006/relationships/hyperlink" Target="https://www.change.org/p/stop-the-data-center-from-coming-to-walterboro-sc" TargetMode="External"/><Relationship Id="rId1826" Type="http://schemas.openxmlformats.org/officeDocument/2006/relationships/hyperlink" Target="https://www.live5news.com/2025/12/15/9-new-data-centers-proposed-colleton-county/" TargetMode="External"/><Relationship Id="rId1827" Type="http://schemas.openxmlformats.org/officeDocument/2006/relationships/hyperlink" Target="https://scdailygazette.com/2025/12/19/gigawatt-data-center-proposal-draws-opposition-from-sc-lowcountry-residents-politicians/" TargetMode="External"/><Relationship Id="rId1828" Type="http://schemas.openxmlformats.org/officeDocument/2006/relationships/hyperlink" Target="https://colletoncounty.maps.arcgis.com/apps/webappviewer/index.html?id=dcd2d7443dc9448ea910b9788a2c6b05" TargetMode="External"/><Relationship Id="rId1829" Type="http://schemas.openxmlformats.org/officeDocument/2006/relationships/hyperlink" Target="https://abcnews4.com/news/local/proposed-data-center-in-colleton-county-faces-environmental-pushback" TargetMode="External"/><Relationship Id="rId2302" Type="http://schemas.openxmlformats.org/officeDocument/2006/relationships/hyperlink" Target="https://loudouncountyvaeg.tylerhost.net/prod/selfservice" TargetMode="External"/><Relationship Id="rId2303" Type="http://schemas.openxmlformats.org/officeDocument/2006/relationships/hyperlink" Target="https://reparcelasmt.loudoun.gov/pt/Datalets/Datalet.aspx?UseSearch=no&amp;mode=profileall&amp;pin=113372932000&amp;jur=107&amp;taxyr=2024" TargetMode="External"/><Relationship Id="rId2304" Type="http://schemas.openxmlformats.org/officeDocument/2006/relationships/hyperlink" Target="https://reparcelasmt.loudoun.gov/pt/datalets/datalet.aspx?mode=commercial&amp;UseSearch=no&amp;pin=113272390000&amp;jur=107&amp;taxyr=2025&amp;LMparent=20" TargetMode="External"/><Relationship Id="rId2305" Type="http://schemas.openxmlformats.org/officeDocument/2006/relationships/hyperlink" Target="https://reparcelasmt.loudoun.gov/pt/datalets/datalet.aspx?mode=profileall&amp;UseSearch=no&amp;pin=040464286000&amp;jur=107&amp;taxyr=2024&amp;LMparent=20" TargetMode="External"/><Relationship Id="rId2306" Type="http://schemas.openxmlformats.org/officeDocument/2006/relationships/hyperlink" Target="https://loudouncountyvaeg.tylerhost.net/prod/selfservice" TargetMode="External"/><Relationship Id="rId2307" Type="http://schemas.openxmlformats.org/officeDocument/2006/relationships/hyperlink" Target="https://reparcelasmt.loudoun.gov/pt/Datalets/Datalet.aspx?UseSearch=no&amp;mode=profileall&amp;pin=089309997000&amp;jur=107&amp;taxyr=2024" TargetMode="External"/><Relationship Id="rId2308" Type="http://schemas.openxmlformats.org/officeDocument/2006/relationships/hyperlink" Target="https://loudouncountyvaeg.tylerhost.net/prod/selfservice" TargetMode="External"/><Relationship Id="rId2309" Type="http://schemas.openxmlformats.org/officeDocument/2006/relationships/hyperlink" Target="https://reparcelasmt.loudoun.gov/pt/Datalets/Datalet.aspx?UseSearch=no&amp;mode=profileall&amp;pin=161397058000&amp;jur=107&amp;taxyr=2025" TargetMode="External"/><Relationship Id="rId2300" Type="http://schemas.openxmlformats.org/officeDocument/2006/relationships/hyperlink" Target="https://reparcelasmt.loudoun.gov/pt/Datalets/Datalet.aspx?UseSearch=no&amp;mode=profileall&amp;pin=202104192000&amp;jur=107&amp;taxyr=2024" TargetMode="External"/><Relationship Id="rId2301" Type="http://schemas.openxmlformats.org/officeDocument/2006/relationships/hyperlink" Target="https://loudouncountyvaeg.tylerhost.net/prod/selfservice" TargetMode="External"/><Relationship Id="rId2324" Type="http://schemas.openxmlformats.org/officeDocument/2006/relationships/hyperlink" Target="https://egcss.pwcgov.org/SelfService" TargetMode="External"/><Relationship Id="rId2325" Type="http://schemas.openxmlformats.org/officeDocument/2006/relationships/hyperlink" Target="https://pwc.publicaccessnow.com/PropertyDetail.aspx?mtab=property&amp;mpropertynumber=264270" TargetMode="External"/><Relationship Id="rId2326" Type="http://schemas.openxmlformats.org/officeDocument/2006/relationships/hyperlink" Target="https://www.pwcva.gov/assets/2022-01/Frequently%20Asked%20Questions.1.20.22.pdf" TargetMode="External"/><Relationship Id="rId2327" Type="http://schemas.openxmlformats.org/officeDocument/2006/relationships/hyperlink" Target="https://pwc.publicaccessnow.com/PropertyDetail.aspx?mtab=property&amp;mpropertynumber=001468" TargetMode="External"/><Relationship Id="rId2328" Type="http://schemas.openxmlformats.org/officeDocument/2006/relationships/hyperlink" Target="https://egcss.pwcgov.org/SelfService" TargetMode="External"/><Relationship Id="rId2329" Type="http://schemas.openxmlformats.org/officeDocument/2006/relationships/hyperlink" Target="https://pwc.publicaccessnow.com/PropertyDetail.aspx?mpropertynumber=067772&amp;mtab=property&amp;p=067772" TargetMode="External"/><Relationship Id="rId2320" Type="http://schemas.openxmlformats.org/officeDocument/2006/relationships/hyperlink" Target="https://egcss.pwcgov.org/SelfService" TargetMode="External"/><Relationship Id="rId2321" Type="http://schemas.openxmlformats.org/officeDocument/2006/relationships/hyperlink" Target="https://pwc.publicaccessnow.com/PropertyDetail.aspx?mpropertynumber=001441&amp;mtab=property&amp;p=001441" TargetMode="External"/><Relationship Id="rId2322" Type="http://schemas.openxmlformats.org/officeDocument/2006/relationships/hyperlink" Target="https://egcss.pwcgov.org/SelfService" TargetMode="External"/><Relationship Id="rId2323" Type="http://schemas.openxmlformats.org/officeDocument/2006/relationships/hyperlink" Target="https://pwc.publicaccessnow.com/PropertyDetail.aspx?mtab=property&amp;mpropertynumber=264052" TargetMode="External"/><Relationship Id="rId2313" Type="http://schemas.openxmlformats.org/officeDocument/2006/relationships/hyperlink" Target="https://www.hanovercounty.gov/DocumentCenter/View/10884/REZ2022-00008-v" TargetMode="External"/><Relationship Id="rId2314" Type="http://schemas.openxmlformats.org/officeDocument/2006/relationships/hyperlink" Target="https://www.datacenterdynamics.com/en/news/behind-the-meter-data-center-proposed-outside-richmond-virginia/" TargetMode="External"/><Relationship Id="rId2315" Type="http://schemas.openxmlformats.org/officeDocument/2006/relationships/hyperlink" Target="https://parcelmap.hanovercounty.gov/" TargetMode="External"/><Relationship Id="rId2316" Type="http://schemas.openxmlformats.org/officeDocument/2006/relationships/hyperlink" Target="https://www.hanovercounty.gov/1314/Data-Center-Project-I-95Hickory-Hill-Roa" TargetMode="External"/><Relationship Id="rId2317" Type="http://schemas.openxmlformats.org/officeDocument/2006/relationships/hyperlink" Target="https://www.datacenterdynamics.com/en/news/westdulles-properties-files-for-3-million-sq-ft-data-center-park-outside-richmond-virginia/" TargetMode="External"/><Relationship Id="rId2318" Type="http://schemas.openxmlformats.org/officeDocument/2006/relationships/hyperlink" Target="https://realestate.montva.com/datalets/datalet.aspx?mode=profileall&amp;sIndex=2&amp;idx=2&amp;LMparent=20" TargetMode="External"/><Relationship Id="rId2319" Type="http://schemas.openxmlformats.org/officeDocument/2006/relationships/hyperlink" Target="https://mecklenburg.cama.concisesystems.com/PropertyPage.aspx?id=3675&amp;direct=1" TargetMode="External"/><Relationship Id="rId2310" Type="http://schemas.openxmlformats.org/officeDocument/2006/relationships/hyperlink" Target="https://richmondbizsense.com/2024/10/22/data-center-project-on-hanover-ashland-line-gets-town-approval-awaits-county-consideration/" TargetMode="External"/><Relationship Id="rId2311" Type="http://schemas.openxmlformats.org/officeDocument/2006/relationships/hyperlink" Target="https://parcelmap.hanovercounty.gov/" TargetMode="External"/><Relationship Id="rId2312" Type="http://schemas.openxmlformats.org/officeDocument/2006/relationships/hyperlink" Target="https://www.hanovercounty.gov/1270/Ironhorse-East-Ashland" TargetMode="External"/><Relationship Id="rId1895" Type="http://schemas.openxmlformats.org/officeDocument/2006/relationships/hyperlink" Target="https://gis-tceq.opendata.arcgis.com/datasets/daece6e3181140f69093ab69cf9ae0ba/explore?layer=0&amp;showTable=true" TargetMode="External"/><Relationship Id="rId1896" Type="http://schemas.openxmlformats.org/officeDocument/2006/relationships/hyperlink" Target="https://gis-tceq.opendata.arcgis.com/datasets/daece6e3181140f69093ab69cf9ae0ba/explore?layer=0&amp;showTable=true" TargetMode="External"/><Relationship Id="rId1897" Type="http://schemas.openxmlformats.org/officeDocument/2006/relationships/hyperlink" Target="https://gis-tceq.opendata.arcgis.com/datasets/daece6e3181140f69093ab69cf9ae0ba/explore?layer=0&amp;showTable=true" TargetMode="External"/><Relationship Id="rId1898" Type="http://schemas.openxmlformats.org/officeDocument/2006/relationships/hyperlink" Target="https://www.datacenterdynamics.com/en/news/cleanspark-expands-into-ai-data-center-development-with-270-acre-acquisition-outside-houston-texas/" TargetMode="External"/><Relationship Id="rId1899" Type="http://schemas.openxmlformats.org/officeDocument/2006/relationships/hyperlink" Target="https://www.linkedin.com/posts/garyveselka_ai-datacenters-gpu-activity-7389360383670587392-KElb/" TargetMode="External"/><Relationship Id="rId1890" Type="http://schemas.openxmlformats.org/officeDocument/2006/relationships/hyperlink" Target="https://www.datacenterdynamics.com/en/news/former-texas-governor-and-us-energy-sec-plans-11gw-data-center-campus-outside-amarillo-texas/" TargetMode="External"/><Relationship Id="rId1891" Type="http://schemas.openxmlformats.org/officeDocument/2006/relationships/hyperlink" Target="https://www.datacenterdynamics.com/en/news/fermi-westinghouse-to-finalize-licensing-application-for-nuclear-reactors-at-11gw-ai-campus-in-amarillo-texas/" TargetMode="External"/><Relationship Id="rId1892" Type="http://schemas.openxmlformats.org/officeDocument/2006/relationships/hyperlink" Target="https://mynews13.com/fl/orlando/news/2025/11/21/fermi-data-center" TargetMode="External"/><Relationship Id="rId1893" Type="http://schemas.openxmlformats.org/officeDocument/2006/relationships/hyperlink" Target="https://finance.yahoo.com/news/ai-power-darling-fermi-implodes-185100893.html" TargetMode="External"/><Relationship Id="rId1894" Type="http://schemas.openxmlformats.org/officeDocument/2006/relationships/hyperlink" Target="https://fermiamerica.com/" TargetMode="External"/><Relationship Id="rId1884" Type="http://schemas.openxmlformats.org/officeDocument/2006/relationships/hyperlink" Target="https://epoch.ai/data/data-centers/satellite-explorer/CoreweaveHeliosAftonTexas?ref=404media.co" TargetMode="External"/><Relationship Id="rId1885" Type="http://schemas.openxmlformats.org/officeDocument/2006/relationships/hyperlink" Target="https://www.datacenterdynamics.com/en/news/galaxy-digital-completes-first-phase-of-pivoting-cryptomine-to-ai-hosting/" TargetMode="External"/><Relationship Id="rId1886" Type="http://schemas.openxmlformats.org/officeDocument/2006/relationships/hyperlink" Target="https://gis-tceq.opendata.arcgis.com/datasets/daece6e3181140f69093ab69cf9ae0ba/explore?layer=0&amp;showTable=true" TargetMode="External"/><Relationship Id="rId1887" Type="http://schemas.openxmlformats.org/officeDocument/2006/relationships/hyperlink" Target="https://gis-tceq.opendata.arcgis.com/datasets/daece6e3181140f69093ab69cf9ae0ba/explore?layer=0&amp;showTable=true" TargetMode="External"/><Relationship Id="rId1888" Type="http://schemas.openxmlformats.org/officeDocument/2006/relationships/hyperlink" Target="https://actionnetwork.org/petitions/our-water-is-not-for-sale-protect-ogallalla-aquifer" TargetMode="External"/><Relationship Id="rId1889" Type="http://schemas.openxmlformats.org/officeDocument/2006/relationships/hyperlink" Target="https://www.datacenterdynamics.com/en/news/fermi-america-acquires-600mw-of-gas-turbines-for-11gw-ai-mega-campus-in-amarillo-texas/" TargetMode="External"/><Relationship Id="rId1880" Type="http://schemas.openxmlformats.org/officeDocument/2006/relationships/hyperlink" Target="https://news.bitcoin.com/solunas-project-kati-1-to-reach-83-mw-with-galaxy-bitcoin-miner-deployment/" TargetMode="External"/><Relationship Id="rId1881" Type="http://schemas.openxmlformats.org/officeDocument/2006/relationships/hyperlink" Target="https://www.everythinglubbock.com/news/local-news/galaxy-acquires-bitcoin-mining-facility-in-dickens-from-argo/" TargetMode="External"/><Relationship Id="rId1882" Type="http://schemas.openxmlformats.org/officeDocument/2006/relationships/hyperlink" Target="https://www.fox34.com/2022/05/06/new-bitcoin-mining-facility-boosting-economy-dickens-county/" TargetMode="External"/><Relationship Id="rId1883" Type="http://schemas.openxmlformats.org/officeDocument/2006/relationships/hyperlink" Target="https://www.everythinglubbock.com/news/local-news/crypto-cowboys-inside-the-new-300m-bitcoin-mining-facility-in-dickens-county/" TargetMode="External"/><Relationship Id="rId1059" Type="http://schemas.openxmlformats.org/officeDocument/2006/relationships/hyperlink" Target="https://epoch.ai/data/data-centers/satellite-explorer/AmazonRidgelandMississippi?ref=404media.co" TargetMode="External"/><Relationship Id="rId228" Type="http://schemas.openxmlformats.org/officeDocument/2006/relationships/hyperlink" Target="https://www.notoprojecttango.com/" TargetMode="External"/><Relationship Id="rId227" Type="http://schemas.openxmlformats.org/officeDocument/2006/relationships/hyperlink" Target="https://www.datacenterdynamics.com/en/news/600000-sq-ft-project-swan-data-center-could-be-built-in-lakeland-florida/" TargetMode="External"/><Relationship Id="rId226" Type="http://schemas.openxmlformats.org/officeDocument/2006/relationships/hyperlink" Target="https://www.datacenterdynamics.com/en/news/data-center-proposal-in-citrus-county-florida-withdrawn-by-developer/" TargetMode="External"/><Relationship Id="rId225" Type="http://schemas.openxmlformats.org/officeDocument/2006/relationships/hyperlink" Target="https://www.datacenterdynamics.com/en/news/planned-data-center-in-florida-held-back-by-lack-of-available-water-from-city/" TargetMode="External"/><Relationship Id="rId2380" Type="http://schemas.openxmlformats.org/officeDocument/2006/relationships/hyperlink" Target="https://www.chesterfield.gov/828/Real-Estate-Assessment-Data" TargetMode="External"/><Relationship Id="rId229" Type="http://schemas.openxmlformats.org/officeDocument/2006/relationships/hyperlink" Target="https://www.facebook.com/groups/1359906715176907/" TargetMode="External"/><Relationship Id="rId1050" Type="http://schemas.openxmlformats.org/officeDocument/2006/relationships/hyperlink" Target="https://buildingsandsites.com/rankinfirst/Property/Detail/13093/East-Metropolitan-Center" TargetMode="External"/><Relationship Id="rId2381" Type="http://schemas.openxmlformats.org/officeDocument/2006/relationships/hyperlink" Target="https://www.wric.com/news/local-news/chesterfield-county/tract-withdraws-data-center-application-after-chesterfield-recommends-against-it/" TargetMode="External"/><Relationship Id="rId220" Type="http://schemas.openxmlformats.org/officeDocument/2006/relationships/hyperlink" Target="https://www.datacenterdynamics.com/en/news/plans-to-build-1300-acre-data-center-in-fort-meade-florida-gets-go-ahead-from-officials/" TargetMode="External"/><Relationship Id="rId1051" Type="http://schemas.openxmlformats.org/officeDocument/2006/relationships/hyperlink" Target="https://www.datacenterdynamics.com/en/news/avaio-digital-partners-breaks-ground-on-6bn-data-center-in-mississippi/" TargetMode="External"/><Relationship Id="rId2382" Type="http://schemas.openxmlformats.org/officeDocument/2006/relationships/hyperlink" Target="https://www.chesterfield.gov/828/Real-Estate-Assessment-Data" TargetMode="External"/><Relationship Id="rId1052" Type="http://schemas.openxmlformats.org/officeDocument/2006/relationships/hyperlink" Target="https://epoch.ai/data/data-centers/satellite-explorer/AmazonCantonMississippi?ref=404media.co" TargetMode="External"/><Relationship Id="rId2383" Type="http://schemas.openxmlformats.org/officeDocument/2006/relationships/hyperlink" Target="https://www.datacenterdynamics.com/en/news/microsoft-files-for-another-virginia-campus-in-mecklenburg-county/" TargetMode="External"/><Relationship Id="rId1053" Type="http://schemas.openxmlformats.org/officeDocument/2006/relationships/hyperlink" Target="https://www.datacenterdynamics.com/en/news/648-acre-data-center-could-be-built-in-clarksdale-mississippi/" TargetMode="External"/><Relationship Id="rId2384" Type="http://schemas.openxmlformats.org/officeDocument/2006/relationships/hyperlink" Target="http://go.boarddocs.com/va/ccva/Board.nsf/goto?open&amp;id=CWBKLL525B17" TargetMode="External"/><Relationship Id="rId1054" Type="http://schemas.openxmlformats.org/officeDocument/2006/relationships/hyperlink" Target="https://www.datacenterdynamics.com/en/news/aws-likely-behind-plans-for-750m-data-center-in-clinton-mississippi/" TargetMode="External"/><Relationship Id="rId2385" Type="http://schemas.openxmlformats.org/officeDocument/2006/relationships/hyperlink" Target="https://gis.vgsi.com/culpeperva/Parcel.aspx?pid=3148" TargetMode="External"/><Relationship Id="rId224" Type="http://schemas.openxmlformats.org/officeDocument/2006/relationships/hyperlink" Target="https://www.datacenterdynamics.com/en/news/cielo-digital-infrastructure-plans-300mw-data-center-campus-in-south-carolina/" TargetMode="External"/><Relationship Id="rId1055" Type="http://schemas.openxmlformats.org/officeDocument/2006/relationships/hyperlink" Target="https://rbnenergy.com/i-know-places-tech-giants-may-be-the-surest-bets-for-data-center-power-demand" TargetMode="External"/><Relationship Id="rId2386" Type="http://schemas.openxmlformats.org/officeDocument/2006/relationships/hyperlink" Target="https://www.culpeperva.org/properties/cloudhq-culpeper/" TargetMode="External"/><Relationship Id="rId223" Type="http://schemas.openxmlformats.org/officeDocument/2006/relationships/hyperlink" Target="https://www.datacenterdynamics.com/en/news/data-center-developer-withdraws-application-in-florida-in-response-to-proposed-regulations/" TargetMode="External"/><Relationship Id="rId1056" Type="http://schemas.openxmlformats.org/officeDocument/2006/relationships/hyperlink" Target="https://baxtel.com/data-center/aws-madison-county-mega-site-campus" TargetMode="External"/><Relationship Id="rId2387" Type="http://schemas.openxmlformats.org/officeDocument/2006/relationships/hyperlink" Target="https://gis.vgsi.com/culpeperva/Parcel.aspx?pid=21853" TargetMode="External"/><Relationship Id="rId222" Type="http://schemas.openxmlformats.org/officeDocument/2006/relationships/hyperlink" Target="https://www.tcpalm.com/story/news/local/st-lucie-county/2025/10/23/13-billion-data-center-largest-in-florida-planned-on-treasure-coast/86770609007" TargetMode="External"/><Relationship Id="rId1057" Type="http://schemas.openxmlformats.org/officeDocument/2006/relationships/hyperlink" Target="https://www.clarionledger.com/story/business/2025/03/07/amazon-web-services-expanding-madison-county-ms-data-center-campus/81914950007/" TargetMode="External"/><Relationship Id="rId2388" Type="http://schemas.openxmlformats.org/officeDocument/2006/relationships/hyperlink" Target="https://datacenterdynamics.com/en/news/amazon-granted-rezoning-approval-for-data-centers-in-culpeper-county-virginia/" TargetMode="External"/><Relationship Id="rId221" Type="http://schemas.openxmlformats.org/officeDocument/2006/relationships/hyperlink" Target="https://www.datacenterdynamics.com/en/news/officials-fail-to-back-plans-for-1gw-data-center-campus-in-florida/" TargetMode="External"/><Relationship Id="rId1058" Type="http://schemas.openxmlformats.org/officeDocument/2006/relationships/hyperlink" Target="https://www.datacenterdynamics.com/en/news/aws-confirmed-as-company-behind-10bn-mississippi-data-center-development/" TargetMode="External"/><Relationship Id="rId2389" Type="http://schemas.openxmlformats.org/officeDocument/2006/relationships/hyperlink" Target="https://gis.vgsi.com/culpeperva/Parcel.aspx?pid=10698" TargetMode="External"/><Relationship Id="rId1048" Type="http://schemas.openxmlformats.org/officeDocument/2006/relationships/hyperlink" Target="https://www.change.org/p/petition-regarding-the-rankin-county-data-center-s-risks-to-the-community" TargetMode="External"/><Relationship Id="rId2379" Type="http://schemas.openxmlformats.org/officeDocument/2006/relationships/hyperlink" Target="https://www.datacenterdynamics.com/en/news/google-to-invest-9bn-in-virginia-data-centers-plans-new-campus-in-chesterfield-county/" TargetMode="External"/><Relationship Id="rId1049" Type="http://schemas.openxmlformats.org/officeDocument/2006/relationships/hyperlink" Target="https://www.clarionledger.com/story/business/2025/08/19/6-billion-dollar-avaio-digital-data-center-coming-to-brandon-mississippi/85722542007/" TargetMode="External"/><Relationship Id="rId217" Type="http://schemas.openxmlformats.org/officeDocument/2006/relationships/hyperlink" Target="https://watchdogsoffortmeade.com/" TargetMode="External"/><Relationship Id="rId216" Type="http://schemas.openxmlformats.org/officeDocument/2006/relationships/hyperlink" Target="https://spotlightdelaware.org/2026/03/26/delaware-city-data-center-environmental-denial-upheld-by-state-board/" TargetMode="External"/><Relationship Id="rId215" Type="http://schemas.openxmlformats.org/officeDocument/2006/relationships/hyperlink" Target="https://whyy.org/articles/delaware-city-data-center-setback-environment" TargetMode="External"/><Relationship Id="rId214" Type="http://schemas.openxmlformats.org/officeDocument/2006/relationships/hyperlink" Target="https://www.datacenterdynamics.com/en/news/applicant-appeals-data-center-rejection-in-delaware/" TargetMode="External"/><Relationship Id="rId219" Type="http://schemas.openxmlformats.org/officeDocument/2006/relationships/hyperlink" Target="https://www.datacenterdynamics.com/en/news/44-million-sq-ft-data-center-campus-gets-zoning-approval-in-fort-meade-florida/" TargetMode="External"/><Relationship Id="rId218" Type="http://schemas.openxmlformats.org/officeDocument/2006/relationships/hyperlink" Target="https://www.facebook.com/groups/1397482882419331/" TargetMode="External"/><Relationship Id="rId2370" Type="http://schemas.openxmlformats.org/officeDocument/2006/relationships/hyperlink" Target="https://cardinalnews.org/2025/04/14/a-grassroots-fight-against-data-centers-builds-in-rural-pittsylvania-county/" TargetMode="External"/><Relationship Id="rId1040" Type="http://schemas.openxmlformats.org/officeDocument/2006/relationships/hyperlink" Target="https://www.youtube.com/watch?v=wYBBZEKJWlk&amp;ab_channel=FOX2St.Louis" TargetMode="External"/><Relationship Id="rId2371" Type="http://schemas.openxmlformats.org/officeDocument/2006/relationships/hyperlink" Target="https://www.wtvr.com/news/local-news/google-chesterfield-data-center-aug-27-2025" TargetMode="External"/><Relationship Id="rId1041" Type="http://schemas.openxmlformats.org/officeDocument/2006/relationships/hyperlink" Target="https://www.firstalert4.com/2025/09/15/after-st-charles-pressed-pause-city-st-louis-considering-data-center-moratorium/" TargetMode="External"/><Relationship Id="rId2372" Type="http://schemas.openxmlformats.org/officeDocument/2006/relationships/hyperlink" Target="https://richmondbizsense.com/2025/08/27/breaking-news-google-planning-chesterfield-data-center-as-part-of-9b-expansion-in-virginia/" TargetMode="External"/><Relationship Id="rId1042" Type="http://schemas.openxmlformats.org/officeDocument/2006/relationships/hyperlink" Target="https://www.datacenterdynamics.com/en/news/crusoe-could-build-14-acre-data-center-in-unincorporated-missouri-land/" TargetMode="External"/><Relationship Id="rId2373" Type="http://schemas.openxmlformats.org/officeDocument/2006/relationships/hyperlink" Target="https://richmondbizsense.com/2025/08/28/chesterfield-scores-a-google-trifecta-tech-giant-reveals-ties-to-3-massive-sites-across-the-county/" TargetMode="External"/><Relationship Id="rId1043" Type="http://schemas.openxmlformats.org/officeDocument/2006/relationships/hyperlink" Target="https://www.facebook.com/groups/883134924331985/" TargetMode="External"/><Relationship Id="rId2374" Type="http://schemas.openxmlformats.org/officeDocument/2006/relationships/hyperlink" Target="https://www.wtvr.com/news/local-news/google-chesterfield-data-center-update-nov-11-2025" TargetMode="External"/><Relationship Id="rId213" Type="http://schemas.openxmlformats.org/officeDocument/2006/relationships/hyperlink" Target="https://www.delawareonline.com/story/money/business/2025/07/17/data-center-new-castle-county-delaware/85239325007/" TargetMode="External"/><Relationship Id="rId1044" Type="http://schemas.openxmlformats.org/officeDocument/2006/relationships/hyperlink" Target="https://www.stltoday.com/news/local/government-politics/article_250be47c-fd85-4340-966a-fcfa6c513609.html" TargetMode="External"/><Relationship Id="rId2375" Type="http://schemas.openxmlformats.org/officeDocument/2006/relationships/hyperlink" Target="https://www.reddit.com/r/Virginia/comments/1n34t0p/peanut_llc_in_chesterfield_data_center_will_be/" TargetMode="External"/><Relationship Id="rId212" Type="http://schemas.openxmlformats.org/officeDocument/2006/relationships/hyperlink" Target="https://www.datacenterdynamics.com/en/news/starwood-files-to-develop-12gw-11-building-data-center-campus-in-delaware/" TargetMode="External"/><Relationship Id="rId1045" Type="http://schemas.openxmlformats.org/officeDocument/2006/relationships/hyperlink" Target="https://www.datacenterdynamics.com/en/news/two-data-center-projects-debated-for-11-hours-at-planning-meeting-in-franklin-county-missouri/" TargetMode="External"/><Relationship Id="rId2376" Type="http://schemas.openxmlformats.org/officeDocument/2006/relationships/hyperlink" Target="https://www.wric.com/news/local-news/chesterfield-county/google-site-plan-project-peanut-data-center-chesterfield" TargetMode="External"/><Relationship Id="rId211" Type="http://schemas.openxmlformats.org/officeDocument/2006/relationships/hyperlink" Target="https://www.datacenterdynamics.com/en/news/groton-ct-blocks-large-scale-data-center-projects-thwarting-ne-edge/" TargetMode="External"/><Relationship Id="rId1046" Type="http://schemas.openxmlformats.org/officeDocument/2006/relationships/hyperlink" Target="https://fox2now.com/news/missouri/split-vote-on-data-center-re-zoning-from-franklin-county-pz/" TargetMode="External"/><Relationship Id="rId2377" Type="http://schemas.openxmlformats.org/officeDocument/2006/relationships/hyperlink" Target="https://www.datacenterdynamics.com/en/news/blue-owl-led-jv-secures-750m-to-build-out-data-centers-for-coreweave/" TargetMode="External"/><Relationship Id="rId210" Type="http://schemas.openxmlformats.org/officeDocument/2006/relationships/hyperlink" Target="https://www.datacenterdynamics.com/en/news/15gw-data-center-campus-proposed-in-pennsylvania/" TargetMode="External"/><Relationship Id="rId1047" Type="http://schemas.openxmlformats.org/officeDocument/2006/relationships/hyperlink" Target="https://www.datacenterdynamics.com/en/news/crusoe-data-center-could-be-built-west-of-st-louis-missouri/" TargetMode="External"/><Relationship Id="rId2378" Type="http://schemas.openxmlformats.org/officeDocument/2006/relationships/hyperlink" Target="https://www.chesterfield.gov/828/Real-Estate-Assessment-Data" TargetMode="External"/><Relationship Id="rId249" Type="http://schemas.openxmlformats.org/officeDocument/2006/relationships/hyperlink" Target="https://baxtel.com/data-center/flexential-atlanta-alpharetta" TargetMode="External"/><Relationship Id="rId248" Type="http://schemas.openxmlformats.org/officeDocument/2006/relationships/hyperlink" Target="https://baxtel.com/data-center/ascent-atlanta-atl1" TargetMode="External"/><Relationship Id="rId247" Type="http://schemas.openxmlformats.org/officeDocument/2006/relationships/hyperlink" Target="https://baxtel.com/data-center/sungard-atlanta-alpharetta" TargetMode="External"/><Relationship Id="rId1070" Type="http://schemas.openxmlformats.org/officeDocument/2006/relationships/hyperlink" Target="https://bigskyeconomicdevelopment.org/quantica-infrastructure-introduces-big-sky-digital-infrastructure-as-its-flagship-development-platform-in-montana/" TargetMode="External"/><Relationship Id="rId1071" Type="http://schemas.openxmlformats.org/officeDocument/2006/relationships/hyperlink" Target="https://bigskydigitalinfra.com/" TargetMode="External"/><Relationship Id="rId1072" Type="http://schemas.openxmlformats.org/officeDocument/2006/relationships/hyperlink" Target="https://www.datacenterdynamics.com/en/news/encap-backed-quantica-details-plans-for-1gw-campus-in-montana/" TargetMode="External"/><Relationship Id="rId242" Type="http://schemas.openxmlformats.org/officeDocument/2006/relationships/hyperlink" Target="https://www.datacenterdynamics.com/en/news/atlas-named-as-developer-on-project-sassy-in-rome-georgia/" TargetMode="External"/><Relationship Id="rId1073" Type="http://schemas.openxmlformats.org/officeDocument/2006/relationships/hyperlink" Target="https://meic.org/" TargetMode="External"/><Relationship Id="rId241" Type="http://schemas.openxmlformats.org/officeDocument/2006/relationships/hyperlink" Target="https://www.13wmaz.com/article/news/local/600-acre-data-center-proposed-for-jones-county-faces-early-opposition/93-25e72bf8-9eed-47ae-a351-8b7a05ee723f" TargetMode="External"/><Relationship Id="rId1074" Type="http://schemas.openxmlformats.org/officeDocument/2006/relationships/hyperlink" Target="https://nbcmontana.com/news/local/proposed-butte-data-center-stirs-debate" TargetMode="External"/><Relationship Id="rId240" Type="http://schemas.openxmlformats.org/officeDocument/2006/relationships/hyperlink" Target="https://www.facebook.com/groups/1699215814102745/" TargetMode="External"/><Relationship Id="rId1075" Type="http://schemas.openxmlformats.org/officeDocument/2006/relationships/hyperlink" Target="https://www.datacenterdynamics.com/en/news/sabey-backs-out-of-proposal-to-build-data-center-in-butte-montana/" TargetMode="External"/><Relationship Id="rId1076" Type="http://schemas.openxmlformats.org/officeDocument/2006/relationships/hyperlink" Target="https://www.datacenterdynamics.com/en/news/600mw-data-center-campus-proposed-in-montana/" TargetMode="External"/><Relationship Id="rId246" Type="http://schemas.openxmlformats.org/officeDocument/2006/relationships/hyperlink" Target="https://www.ajc.com/news/2025/06/as-data-centers-grow-larger-so-does-pushback-across-georgia/" TargetMode="External"/><Relationship Id="rId1077" Type="http://schemas.openxmlformats.org/officeDocument/2006/relationships/hyperlink" Target="https://www.datacenterdynamics.com/en/news/developer-krambu-looks-to-build-ai-data-center-in-missoula-county-montana/" TargetMode="External"/><Relationship Id="rId245" Type="http://schemas.openxmlformats.org/officeDocument/2006/relationships/hyperlink" Target="https://www.ajc.com/news/business/45b-project-springbank-joins-metro-atlantas-data-center-pipeline/2ZNPEXHMIZBXNPKIPWHJZ4FLH4/" TargetMode="External"/><Relationship Id="rId1078" Type="http://schemas.openxmlformats.org/officeDocument/2006/relationships/hyperlink" Target="https://missoulacountyvoice.com/bonner-data-center" TargetMode="External"/><Relationship Id="rId244" Type="http://schemas.openxmlformats.org/officeDocument/2006/relationships/hyperlink" Target="https://www.datacenterdynamics.com/en/news/two-million-sq-ft-data-center-campus-planned-outside-atlanta-georgia/" TargetMode="External"/><Relationship Id="rId1079" Type="http://schemas.openxmlformats.org/officeDocument/2006/relationships/hyperlink" Target="https://www.kpax.com/news/missoula-county/small-ai-data-center-proposed-for-bonner-mill-industrial-park" TargetMode="External"/><Relationship Id="rId243" Type="http://schemas.openxmlformats.org/officeDocument/2006/relationships/hyperlink" Target="https://www.facebook.com/groups/1072832508191794/" TargetMode="External"/><Relationship Id="rId239" Type="http://schemas.openxmlformats.org/officeDocument/2006/relationships/hyperlink" Target="https://www.datacenterdynamics.com/en/news/h5-and-novacap-launch-new-data-center-platform-acquire-three-carrier-hotels-from-365/" TargetMode="External"/><Relationship Id="rId238" Type="http://schemas.openxmlformats.org/officeDocument/2006/relationships/hyperlink" Target="https://cbs12.com/news/local/-florida-news-public-outcry-wins-okeechobee-scraps-data-center-project-special-technology-opportunity-centers-comprehensive-plan-future-land-use-transportation-housing-infrastructure-recreation-intergovernmental-coordination-capital-improve" TargetMode="External"/><Relationship Id="rId237" Type="http://schemas.openxmlformats.org/officeDocument/2006/relationships/hyperlink" Target="https://www.wgcu.org/section/science/2026-04-24/okeechobeeokee-onedoa" TargetMode="External"/><Relationship Id="rId236" Type="http://schemas.openxmlformats.org/officeDocument/2006/relationships/hyperlink" Target="https://www.wptv.com/news/treasure-coast/region-okeechobee-county/vote-by-okeechobee-county-commissioners-kills-controversial-okee-one-data-center-project" TargetMode="External"/><Relationship Id="rId2390" Type="http://schemas.openxmlformats.org/officeDocument/2006/relationships/hyperlink" Target="https://cieloinfra.com/insight/edgecore-acquires-cielo-data-center-project-in-culpeper-for-undisclosed-amount/" TargetMode="External"/><Relationship Id="rId1060" Type="http://schemas.openxmlformats.org/officeDocument/2006/relationships/hyperlink" Target="https://birdsongconst.com/portfolio/continental-tire/" TargetMode="External"/><Relationship Id="rId2391" Type="http://schemas.openxmlformats.org/officeDocument/2006/relationships/hyperlink" Target="https://www.bisnow.com/national/news/data-center/peterson-companies-developing-2m-sf-data-center-campus-in-northern-virginia-119735" TargetMode="External"/><Relationship Id="rId1061" Type="http://schemas.openxmlformats.org/officeDocument/2006/relationships/hyperlink" Target="https://actionnetwork.org/groups/safe-and-sound-coalition" TargetMode="External"/><Relationship Id="rId2392" Type="http://schemas.openxmlformats.org/officeDocument/2006/relationships/hyperlink" Target="https://gis.vgsi.com/culpeperva/Parcel.aspx?pid=19739" TargetMode="External"/><Relationship Id="rId231" Type="http://schemas.openxmlformats.org/officeDocument/2006/relationships/hyperlink" Target="https://www.datacenterdynamics.com/en/news/37-million-sq-ft-data-center-campus-gets-initial-ok-from-officials-in-florida/" TargetMode="External"/><Relationship Id="rId1062" Type="http://schemas.openxmlformats.org/officeDocument/2006/relationships/hyperlink" Target="https://mississippitoday.org/2025/12/31/elon-musk-mississippi-data-center-southaven-memphis/" TargetMode="External"/><Relationship Id="rId2393" Type="http://schemas.openxmlformats.org/officeDocument/2006/relationships/hyperlink" Target="http://go.boarddocs.com/va/ccva/Board.nsf/goto?open&amp;id=BD5H3G466E8A" TargetMode="External"/><Relationship Id="rId230" Type="http://schemas.openxmlformats.org/officeDocument/2006/relationships/hyperlink" Target="https://www.change.org/p/say-no-to-the-construction-of-project-tango-ai-data-center-in-palm-beach-county" TargetMode="External"/><Relationship Id="rId1063" Type="http://schemas.openxmlformats.org/officeDocument/2006/relationships/hyperlink" Target="https://mississippitoday.org/2025/11/24/southaven-residents-fear-pollution-complain-of-noise-from-elon-musks-xai-data-center-turbines/" TargetMode="External"/><Relationship Id="rId2394" Type="http://schemas.openxmlformats.org/officeDocument/2006/relationships/hyperlink" Target="https://gis.vgsi.com/culpeperva/Parcel.aspx?pid=11743" TargetMode="External"/><Relationship Id="rId1064" Type="http://schemas.openxmlformats.org/officeDocument/2006/relationships/hyperlink" Target="https://www.change.org/p/block-spruill-s-crypto-center" TargetMode="External"/><Relationship Id="rId2395" Type="http://schemas.openxmlformats.org/officeDocument/2006/relationships/hyperlink" Target="https://gis.vgsi.com/culpeperva/Parcel.aspx?pid=10680" TargetMode="External"/><Relationship Id="rId1065" Type="http://schemas.openxmlformats.org/officeDocument/2006/relationships/hyperlink" Target="https://www.datacenterdynamics.com/en/news/30mw-cryptomine-proposed-in-starkville-mississippi/" TargetMode="External"/><Relationship Id="rId2396" Type="http://schemas.openxmlformats.org/officeDocument/2006/relationships/hyperlink" Target="https://gis.vgsi.com/culpeperva/Parcel.aspx?pid=6279" TargetMode="External"/><Relationship Id="rId235" Type="http://schemas.openxmlformats.org/officeDocument/2006/relationships/hyperlink" Target="https://www.datacenterdynamics.com/en/news/iron-mountain-tops-outs-miami-data-center/" TargetMode="External"/><Relationship Id="rId1066" Type="http://schemas.openxmlformats.org/officeDocument/2006/relationships/hyperlink" Target="https://www.datacenterdynamics.com/en/news/amazon-to-build-3bn-data-center-campus-in-vicksburg-mississippi/" TargetMode="External"/><Relationship Id="rId2397" Type="http://schemas.openxmlformats.org/officeDocument/2006/relationships/hyperlink" Target="https://gis.vgsi.com/culpeperva/Parcel.aspx?pid=9903" TargetMode="External"/><Relationship Id="rId234" Type="http://schemas.openxmlformats.org/officeDocument/2006/relationships/hyperlink" Target="https://www.datacenterdynamics.com/en/news/hostdime-seeks-deadline-extension-for-data-center-in-eatonville-orlando/" TargetMode="External"/><Relationship Id="rId1067" Type="http://schemas.openxmlformats.org/officeDocument/2006/relationships/hyperlink" Target="https://www.vicksburgpost.com/news/community-discussion-on-data-centers-cd545011" TargetMode="External"/><Relationship Id="rId2398" Type="http://schemas.openxmlformats.org/officeDocument/2006/relationships/hyperlink" Target="https://gis.vgsi.com/culpeperva/Parcel.aspx?pid=7077" TargetMode="External"/><Relationship Id="rId233" Type="http://schemas.openxmlformats.org/officeDocument/2006/relationships/hyperlink" Target="https://cbs12.com/news/local/what-is-an-ai-data-center-palm-beach-county-debate-over-project-tango-explained" TargetMode="External"/><Relationship Id="rId1068" Type="http://schemas.openxmlformats.org/officeDocument/2006/relationships/hyperlink" Target="https://www.change.org/p/reject-permits-for-the-ai-data-center-in-bonner-mt" TargetMode="External"/><Relationship Id="rId2399" Type="http://schemas.openxmlformats.org/officeDocument/2006/relationships/hyperlink" Target="https://www.datacenterdynamics.com/en/news/google-buys-land-for-data-center-in-botetourt-county-west-virginia/" TargetMode="External"/><Relationship Id="rId232" Type="http://schemas.openxmlformats.org/officeDocument/2006/relationships/hyperlink" Target="https://www.centralparkcommercecenter.com/?gad_source=1&amp;gad_campaignid=23618902760&amp;gbraid=0AAAABDBJa97eBuMRlkuHAKrIbasfiOwuK&amp;gclid=CjwKCAjwjtTNBhB0EiwAuswYhj3-_K3T9s7db44QwVV6j0ZsEQnNwx_-C4jOldThZx7BgnJzaq_PSRoC62EQAvD_BwE" TargetMode="External"/><Relationship Id="rId1069" Type="http://schemas.openxmlformats.org/officeDocument/2006/relationships/hyperlink" Target="https://www.datacenterdynamics.com/en/news/plans-for-29mw-data-center-in-bonner-montana-dropped/" TargetMode="External"/><Relationship Id="rId1015" Type="http://schemas.openxmlformats.org/officeDocument/2006/relationships/hyperlink" Target="https://abc17news.com/news/montgomery/2025/12/03/montgomery-county-approves-land-for-two-large-scale-projects-on-amazon-data-center-campus/" TargetMode="External"/><Relationship Id="rId2346" Type="http://schemas.openxmlformats.org/officeDocument/2006/relationships/hyperlink" Target="https://gis.vgsi.com/fauquierva/Parcel.aspx?pid=27419" TargetMode="External"/><Relationship Id="rId1016" Type="http://schemas.openxmlformats.org/officeDocument/2006/relationships/hyperlink" Target="https://www.datacenterdynamics.com/en/news/amazon-commits-10bn-to-data-center-campus-in-montgomery-city-missouri/" TargetMode="External"/><Relationship Id="rId2347" Type="http://schemas.openxmlformats.org/officeDocument/2006/relationships/hyperlink" Target="https://www.fairfaxcounty.gov/planning-development/sites/planning-development/files/Assets/Documents/PDF/data-centers-report.pdf" TargetMode="External"/><Relationship Id="rId1017" Type="http://schemas.openxmlformats.org/officeDocument/2006/relationships/hyperlink" Target="https://krcgtv.com/news/local/residents-resist-proposed-amazon-development-data-center-projects-in-montgomery-county" TargetMode="External"/><Relationship Id="rId2348" Type="http://schemas.openxmlformats.org/officeDocument/2006/relationships/hyperlink" Target="https://icare.fairfaxcounty.gov/ffxcare/Datalets/Datalet.aspx?mode=&amp;UseSearch=no&amp;pin=0341%2003%20%200013&amp;jur=129&amp;taxyr=2025" TargetMode="External"/><Relationship Id="rId1018" Type="http://schemas.openxmlformats.org/officeDocument/2006/relationships/hyperlink" Target="https://abc17news.com/news/montgomery/2025/12/03/montgomery-county-approves-land-for-two-large-scale-projects-on-amazon-data-center-campus/" TargetMode="External"/><Relationship Id="rId2349" Type="http://schemas.openxmlformats.org/officeDocument/2006/relationships/hyperlink" Target="https://plus.fairfaxcounty.gov/CitizenAccess/Cap/CapDetail.aspx?Module=Site&amp;TabName=Site&amp;capID1=21WW1&amp;capID2=00000&amp;capID3=00IHZ&amp;agencyCode=FFX" TargetMode="External"/><Relationship Id="rId1019" Type="http://schemas.openxmlformats.org/officeDocument/2006/relationships/hyperlink" Target="https://www.mystandardnews.com/stories/google-named-as-end-user-for-second-montgomery-county-data-center-site,146028" TargetMode="External"/><Relationship Id="rId2340" Type="http://schemas.openxmlformats.org/officeDocument/2006/relationships/hyperlink" Target="https://www.datacenterdynamics.com/en/news/county-officials-deny-application-for-2000-acre-data-center-campus-in-virginia/" TargetMode="External"/><Relationship Id="rId1010" Type="http://schemas.openxmlformats.org/officeDocument/2006/relationships/hyperlink" Target="https://mccmeetingspublic.blob.core.usgovcloudapi.net/moberly-meet-b1f2d06cb1df41dea662239e37259894/ITEM-Attachment-001-129fe376fd124959923d817f5399c4e1.pdf" TargetMode="External"/><Relationship Id="rId2341" Type="http://schemas.openxmlformats.org/officeDocument/2006/relationships/hyperlink" Target="https://commdevpay.fauquiercounty.gov/Energov_Prod/SelfService" TargetMode="External"/><Relationship Id="rId1011" Type="http://schemas.openxmlformats.org/officeDocument/2006/relationships/hyperlink" Target="https://www.change.org/p/halt-the-construction-of-server-data-farms-threatening-our-rural-landscape/u/33097052" TargetMode="External"/><Relationship Id="rId2342" Type="http://schemas.openxmlformats.org/officeDocument/2006/relationships/hyperlink" Target="https://gis.vgsi.com/fauquierva/Parcel.aspx?pid=48900" TargetMode="External"/><Relationship Id="rId1012" Type="http://schemas.openxmlformats.org/officeDocument/2006/relationships/hyperlink" Target="https://krcgtv.com/news/local/residents-resist-proposed-amazon-development-data-center-projects-in-montgomery-county" TargetMode="External"/><Relationship Id="rId2343" Type="http://schemas.openxmlformats.org/officeDocument/2006/relationships/hyperlink" Target="https://www.fauquiernow.com/news/developer-withdraws-plans-for-catlett-station-data-center-project/article_29d5165e-4385-11ef-ad9e-db32dab80435.html" TargetMode="External"/><Relationship Id="rId1013" Type="http://schemas.openxmlformats.org/officeDocument/2006/relationships/hyperlink" Target="https://www.datacenterdynamics.com/en/news/1000-acre-aws-data-center-campus-under-consideration-in-montgomery-county-missouri/" TargetMode="External"/><Relationship Id="rId2344" Type="http://schemas.openxmlformats.org/officeDocument/2006/relationships/hyperlink" Target="https://www.change.org/p/protect-warrenton-no-data-center-without-local-safeguards" TargetMode="External"/><Relationship Id="rId1014" Type="http://schemas.openxmlformats.org/officeDocument/2006/relationships/hyperlink" Target="https://abc17news.com/news/top-stories/2026/02/17/lawsuit-filed-to-stop-montgomery-county-data-center/" TargetMode="External"/><Relationship Id="rId2345" Type="http://schemas.openxmlformats.org/officeDocument/2006/relationships/hyperlink" Target="https://www.fauquiernow.com/news/business/warrenton-town-council-approves-amazon-data-center-proposal/article_3913e82e-ad0a-11ed-83f3-538a8a5bb411.html" TargetMode="External"/><Relationship Id="rId1004" Type="http://schemas.openxmlformats.org/officeDocument/2006/relationships/hyperlink" Target="https://sbj.net/stories/webster-county-data-center,104328" TargetMode="External"/><Relationship Id="rId2335" Type="http://schemas.openxmlformats.org/officeDocument/2006/relationships/hyperlink" Target="https://pwc.publicaccessnow.com/PropertyDetail.aspx?mtab=property&amp;mpropertynumber=229877" TargetMode="External"/><Relationship Id="rId1005" Type="http://schemas.openxmlformats.org/officeDocument/2006/relationships/hyperlink" Target="https://sbj.net/stories/webster-county-data-center,104328" TargetMode="External"/><Relationship Id="rId2336" Type="http://schemas.openxmlformats.org/officeDocument/2006/relationships/hyperlink" Target="https://www.pwcva.gov/assets/2022-01/Frequently%20Asked%20Questions.1.20.22.pdf" TargetMode="External"/><Relationship Id="rId1006" Type="http://schemas.openxmlformats.org/officeDocument/2006/relationships/hyperlink" Target="https://www.change.org/p/stop-the-ai-data-center-from-being-built-in-nodaway-county-and-other-missouri-counties" TargetMode="External"/><Relationship Id="rId2337" Type="http://schemas.openxmlformats.org/officeDocument/2006/relationships/hyperlink" Target="https://pwc.publicaccessnow.com/PropertyDetail.aspx?mpropertynumber=264071&amp;mtab=property&amp;p=264071" TargetMode="External"/><Relationship Id="rId1007" Type="http://schemas.openxmlformats.org/officeDocument/2006/relationships/hyperlink" Target="https://www.maryvilleforum.com/news/commission-4-billion-ai-data-center-likely-to-go-forward/article_cbbfd4f8-aaad-43b8-8f8a-a3a4e6a6d990.html" TargetMode="External"/><Relationship Id="rId2338" Type="http://schemas.openxmlformats.org/officeDocument/2006/relationships/hyperlink" Target="https://egcss.pwcgov.org/SelfService" TargetMode="External"/><Relationship Id="rId1008" Type="http://schemas.openxmlformats.org/officeDocument/2006/relationships/hyperlink" Target="https://www.kxcv.org/news/2026-03-11/with-little-public-notice-data-center-developers-consider-nodaway-county" TargetMode="External"/><Relationship Id="rId2339" Type="http://schemas.openxmlformats.org/officeDocument/2006/relationships/hyperlink" Target="https://pwc.publicaccessnow.com/PropertyDetail.aspx?mpropertynumber=021785&amp;mtab=property&amp;p=021785" TargetMode="External"/><Relationship Id="rId1009" Type="http://schemas.openxmlformats.org/officeDocument/2006/relationships/hyperlink" Target="https://jeremyhasnoplan.com/notes/missouri-data-center-gold-rush/" TargetMode="External"/><Relationship Id="rId2330" Type="http://schemas.openxmlformats.org/officeDocument/2006/relationships/hyperlink" Target="https://pwc.publicaccessnow.com/PropertyDetail.aspx?mpropertynumber=001687&amp;mtab=property&amp;p=001687" TargetMode="External"/><Relationship Id="rId1000" Type="http://schemas.openxmlformats.org/officeDocument/2006/relationships/hyperlink" Target="https://www.datacenterdynamics.com/en/news/metrobloks-announces-plans-for-three-building-data-center-campus-in-kansas-city-missouri/" TargetMode="External"/><Relationship Id="rId2331" Type="http://schemas.openxmlformats.org/officeDocument/2006/relationships/hyperlink" Target="https://egcss.pwcgov.org/SelfService" TargetMode="External"/><Relationship Id="rId1001" Type="http://schemas.openxmlformats.org/officeDocument/2006/relationships/hyperlink" Target="https://www.datacenterdynamics.com/en/news/lincoln-property-partners-with-data-center-firm-metrobloks-for-kansas-city-data-center/" TargetMode="External"/><Relationship Id="rId2332" Type="http://schemas.openxmlformats.org/officeDocument/2006/relationships/hyperlink" Target="https://pwc.publicaccessnow.com/PropertyDetail.aspx?mtab=property&amp;mpropertynumber=255992" TargetMode="External"/><Relationship Id="rId1002" Type="http://schemas.openxmlformats.org/officeDocument/2006/relationships/hyperlink" Target="https://www.datacenterdynamics.com/en/news/metrobloks-announces-plans-for-three-building-data-center-campus-in-kansas-city-missouri/" TargetMode="External"/><Relationship Id="rId2333" Type="http://schemas.openxmlformats.org/officeDocument/2006/relationships/hyperlink" Target="https://pwc.publicaccessnow.com/PropertyDetail.aspx?mpropertynumber=096967&amp;mtab=property&amp;p=096967" TargetMode="External"/><Relationship Id="rId1003" Type="http://schemas.openxmlformats.org/officeDocument/2006/relationships/hyperlink" Target="https://www.datacenterdynamics.com/en/news/developer-lumon-solutions-backing-data-center-project-in-marshfield-missouri/" TargetMode="External"/><Relationship Id="rId2334" Type="http://schemas.openxmlformats.org/officeDocument/2006/relationships/hyperlink" Target="https://www.datacenterdynamics.com/en/news/company-plans-four-data-centers-on-a-campus-in-virginias-prince-william-county/" TargetMode="External"/><Relationship Id="rId1037" Type="http://schemas.openxmlformats.org/officeDocument/2006/relationships/hyperlink" Target="https://www.datacenterdynamics.com/en/news/340000-sq-ft-data-center-and-office-for-sale-in-downtown-st-louis-missouri/" TargetMode="External"/><Relationship Id="rId2368" Type="http://schemas.openxmlformats.org/officeDocument/2006/relationships/hyperlink" Target="https://cardinalnews.org/2025/04/14/a-grassroots-fight-against-data-centers-builds-in-rural-pittsylvania-county/" TargetMode="External"/><Relationship Id="rId1038" Type="http://schemas.openxmlformats.org/officeDocument/2006/relationships/hyperlink" Target="https://www.firstalert4.com/2025/09/15/after-st-charles-pressed-pause-city-st-louis-considering-data-center-moratorium/" TargetMode="External"/><Relationship Id="rId2369" Type="http://schemas.openxmlformats.org/officeDocument/2006/relationships/hyperlink" Target="https://www.pittsylvaniacountyva.gov/home/showpublisheddocument/6067/638714338508430000" TargetMode="External"/><Relationship Id="rId1039" Type="http://schemas.openxmlformats.org/officeDocument/2006/relationships/hyperlink" Target="https://www.firstalert4.com/2025/09/15/after-st-charles-pressed-pause-city-st-louis-considering-data-center-moratorium/" TargetMode="External"/><Relationship Id="rId206" Type="http://schemas.openxmlformats.org/officeDocument/2006/relationships/hyperlink" Target="https://ctexaminer.com/2022/08/11/facing-budget-squeeze-bozrah-to-decide-on-approving-a-hyperscale-data-center/" TargetMode="External"/><Relationship Id="rId205" Type="http://schemas.openxmlformats.org/officeDocument/2006/relationships/hyperlink" Target="https://www.datacenterdynamics.com/en/news/15gw-data-center-campus-proposed-in-pennsylvania/" TargetMode="External"/><Relationship Id="rId204" Type="http://schemas.openxmlformats.org/officeDocument/2006/relationships/hyperlink" Target="https://www.ctinsider.com/business/article/ct-bloomfield-data-center-proposal-20758986.php" TargetMode="External"/><Relationship Id="rId203" Type="http://schemas.openxmlformats.org/officeDocument/2006/relationships/hyperlink" Target="https://www.datacenterdynamics.com/en/news/global-ai-set-to-develop-data-center-outside-denver-colorado/" TargetMode="External"/><Relationship Id="rId209" Type="http://schemas.openxmlformats.org/officeDocument/2006/relationships/hyperlink" Target="https://morethanjustparks.com/data-center-tracker/fbca6793-3b59-4b84-bda7-294be0a814d1" TargetMode="External"/><Relationship Id="rId208" Type="http://schemas.openxmlformats.org/officeDocument/2006/relationships/hyperlink" Target="https://bristoledition.org/blog/2026/04/20/mayors-column-lets-talk-about-data-center/" TargetMode="External"/><Relationship Id="rId207" Type="http://schemas.openxmlformats.org/officeDocument/2006/relationships/hyperlink" Target="https://www.change.org/p/bristol-ct-say-no-to-the-data-center" TargetMode="External"/><Relationship Id="rId2360" Type="http://schemas.openxmlformats.org/officeDocument/2006/relationships/hyperlink" Target="https://www.fairfaxcounty.gov/planning-development/sites/planning-development/files/Assets/Documents/PDF/data-centers-report.pdf" TargetMode="External"/><Relationship Id="rId1030" Type="http://schemas.openxmlformats.org/officeDocument/2006/relationships/hyperlink" Target="https://www.yahoo.com/news/articles/minnesota-company-plans-data-center-223100174.html" TargetMode="External"/><Relationship Id="rId2361" Type="http://schemas.openxmlformats.org/officeDocument/2006/relationships/hyperlink" Target="https://icare.fairfaxcounty.gov/ffxcare/Datalets/Datalet.aspx?mode=&amp;UseSearch=no&amp;pin=0343%2009%20%200004&amp;jur=129&amp;taxyr=2025" TargetMode="External"/><Relationship Id="rId1031" Type="http://schemas.openxmlformats.org/officeDocument/2006/relationships/hyperlink" Target="https://www.ksdk.com/article/money/economy/energy/missouri-massive-data-center-st-charles-secretive-power-water-worries-polluted-groundwater-protected-wetland/63-cdae3e73-efab-4c0c-9215-938d064188e3" TargetMode="External"/><Relationship Id="rId2362" Type="http://schemas.openxmlformats.org/officeDocument/2006/relationships/hyperlink" Target="https://www.fairfaxcounty.gov/planning-development/sites/planning-development/files/Assets/Documents/PDF/data-centers-report.pdf" TargetMode="External"/><Relationship Id="rId1032" Type="http://schemas.openxmlformats.org/officeDocument/2006/relationships/hyperlink" Target="https://www.datacenterdynamics.com/en/news/data-center-in-st-charles-missouri-receives-partial-recommendation-for-approval/" TargetMode="External"/><Relationship Id="rId2363" Type="http://schemas.openxmlformats.org/officeDocument/2006/relationships/hyperlink" Target="https://icare.fairfaxcounty.gov/ffxcare/Datalets/Datalet.aspx?mode=&amp;UseSearch=no&amp;pin=0343%2009%20%200003A&amp;jur=129&amp;taxyr=2025" TargetMode="External"/><Relationship Id="rId202" Type="http://schemas.openxmlformats.org/officeDocument/2006/relationships/hyperlink" Target="https://www.journal-advocate.com/2026/02/18/logan-county-commissioners-approve-data-center-regulations/" TargetMode="External"/><Relationship Id="rId1033" Type="http://schemas.openxmlformats.org/officeDocument/2006/relationships/hyperlink" Target="https://www.ksdk.com/article/news/local/st-charles-ai-data-center-ban-first-in-nation/63-2c50fbcf-fcad-4b8d-bbcb-3711f6c2d29d" TargetMode="External"/><Relationship Id="rId2364" Type="http://schemas.openxmlformats.org/officeDocument/2006/relationships/hyperlink" Target="https://icare.fairfaxcounty.gov/ffxcare/Datalets/Datalet.aspx?mode=&amp;UseSearch=no&amp;pin=0332%2001%20%200010D&amp;jur=129&amp;taxyr=2025" TargetMode="External"/><Relationship Id="rId201" Type="http://schemas.openxmlformats.org/officeDocument/2006/relationships/hyperlink" Target="https://www.thefencepost.com/news/growing-microprocessors-instead-of-wheat/" TargetMode="External"/><Relationship Id="rId1034" Type="http://schemas.openxmlformats.org/officeDocument/2006/relationships/hyperlink" Target="https://fox2now.com/news/missouri/st-charles-proposed-data-center-sparks-environmental-concerns/" TargetMode="External"/><Relationship Id="rId2365" Type="http://schemas.openxmlformats.org/officeDocument/2006/relationships/hyperlink" Target="https://www.datacenterdynamics.com/en/news/diode-drops-plans-for-500-acre-data-center-campus-outside-richmond-virginia/" TargetMode="External"/><Relationship Id="rId200" Type="http://schemas.openxmlformats.org/officeDocument/2006/relationships/hyperlink" Target="https://www.facebook.com/groups/1216403050609399/" TargetMode="External"/><Relationship Id="rId1035" Type="http://schemas.openxmlformats.org/officeDocument/2006/relationships/hyperlink" Target="https://www.datacenterdynamics.com/en/news/local-businessman-withdraws-application-for-data-center-in-st-joseph-missouri/" TargetMode="External"/><Relationship Id="rId2366" Type="http://schemas.openxmlformats.org/officeDocument/2006/relationships/hyperlink" Target="https://www.nao.usace.army.mil/Media/Public-Notices/Article/3357496/nao-2022-02394-vmrc-22-v2715-microsoft-data-center-mecklenburg-county-virginia/" TargetMode="External"/><Relationship Id="rId1036" Type="http://schemas.openxmlformats.org/officeDocument/2006/relationships/hyperlink" Target="https://www.stjosephmo.gov/DocumentCenter/View/21960/Developer-Fact-Sheet" TargetMode="External"/><Relationship Id="rId2367" Type="http://schemas.openxmlformats.org/officeDocument/2006/relationships/hyperlink" Target="https://mecklenburg.cama.concisesystems.com/PropertyPage.aspx?id=39284&amp;direct=1" TargetMode="External"/><Relationship Id="rId1026" Type="http://schemas.openxmlformats.org/officeDocument/2006/relationships/hyperlink" Target="https://www.datacenterdynamics.com/en/news/peculiar-officials-in-missouri-remove-data-centers-from-ordinance-blocking-15bn-diode-project/" TargetMode="External"/><Relationship Id="rId2357" Type="http://schemas.openxmlformats.org/officeDocument/2006/relationships/hyperlink" Target="https://www.datacenterdynamics.com/en/news/starwood-looks-to-buy-county-owned-land-in-fairfax-virginia-for-data-center-development/" TargetMode="External"/><Relationship Id="rId1027" Type="http://schemas.openxmlformats.org/officeDocument/2006/relationships/hyperlink" Target="https://www.facebook.com/groups/2348446672336530" TargetMode="External"/><Relationship Id="rId2358" Type="http://schemas.openxmlformats.org/officeDocument/2006/relationships/hyperlink" Target="https://icare.fairfaxcounty.gov/ffxcare/Datalets/Datalet.aspx?mode=&amp;UseSearch=no&amp;pin=0432%2002%20%200029B2&amp;jur=129&amp;taxyr=2025" TargetMode="External"/><Relationship Id="rId1028" Type="http://schemas.openxmlformats.org/officeDocument/2006/relationships/hyperlink" Target="https://www.koamnewsnow.com/news/top-stories/jasper-county-residents-voice-concerns-over-proposed-data-center-development/article_6faf3e40-f7dd-40d1-ad5e-215025dbd4b5.html" TargetMode="External"/><Relationship Id="rId2359" Type="http://schemas.openxmlformats.org/officeDocument/2006/relationships/hyperlink" Target="https://reparcelasmt.loudoun.gov/pt/Datalets/Datalet.aspx?mode=commercial&amp;UseSearch=no&amp;pin=097354183000&amp;jur=107&amp;taxyr=2024&amp;card=6&amp;item=0&amp;State=5%7C1%7C1%7C1%7C1%7C&amp;items=4" TargetMode="External"/><Relationship Id="rId1029" Type="http://schemas.openxmlformats.org/officeDocument/2006/relationships/hyperlink" Target="https://www.fourstateshomepage.com/news/local/rural-jasper-county-data-center-proposal-sparks-controversy/amp/" TargetMode="External"/><Relationship Id="rId2350" Type="http://schemas.openxmlformats.org/officeDocument/2006/relationships/hyperlink" Target="https://icare.fairfaxcounty.gov/ffxcare/datalets/datalet.aspx?mode=com_combined&amp;UseSearch=no&amp;pin=0343%2001%20%200023E1&amp;jur=129&amp;taxyr=2025&amp;LMparent=138" TargetMode="External"/><Relationship Id="rId1020" Type="http://schemas.openxmlformats.org/officeDocument/2006/relationships/hyperlink" Target="https://www.facebook.com/groups/883134924331985/" TargetMode="External"/><Relationship Id="rId2351" Type="http://schemas.openxmlformats.org/officeDocument/2006/relationships/hyperlink" Target="https://plus.fairfaxcounty.gov/CitizenAccess/Cap/CapDetail.aspx?Module=Zoning&amp;TabName=Zoning&amp;capID1=20HS5&amp;capID2=00000&amp;capID3=003UO&amp;agencyCode=FFX" TargetMode="External"/><Relationship Id="rId1021" Type="http://schemas.openxmlformats.org/officeDocument/2006/relationships/hyperlink" Target="https://www.datacenterdynamics.com/en/news/two-data-center-projects-debated-for-11-hours-at-planning-meeting-in-franklin-county-missouri/" TargetMode="External"/><Relationship Id="rId2352" Type="http://schemas.openxmlformats.org/officeDocument/2006/relationships/hyperlink" Target="https://icare.fairfaxcounty.gov/ffxcare/Datalets/Datalet.aspx?mode=&amp;UseSearch=no&amp;pin=0434%2006%20%200037B&amp;jur=129&amp;taxyr=2025" TargetMode="External"/><Relationship Id="rId1022" Type="http://schemas.openxmlformats.org/officeDocument/2006/relationships/hyperlink" Target="https://www.datacenterdynamics.com/en/news/two-data-center-projects-debated-for-11-hours-at-planning-meeting-in-franklin-county-missouri/" TargetMode="External"/><Relationship Id="rId2353" Type="http://schemas.openxmlformats.org/officeDocument/2006/relationships/hyperlink" Target="https://plus.fairfaxcounty.gov/CitizenAccess/Cap/CapDetail.aspx?Module=Zoning&amp;TabName=Zoning&amp;capID1=REC22&amp;capID2=00000&amp;capID3=00GHV&amp;agencyCode=FFX" TargetMode="External"/><Relationship Id="rId1023" Type="http://schemas.openxmlformats.org/officeDocument/2006/relationships/hyperlink" Target="https://fox2now.com/news/missouri/split-vote-on-data-center-re-zoning-from-franklin-county-pz/" TargetMode="External"/><Relationship Id="rId2354" Type="http://schemas.openxmlformats.org/officeDocument/2006/relationships/hyperlink" Target="https://icare.fairfaxcounty.gov/ffxcare/Datalets/Datalet.aspx?mode=&amp;UseSearch=no&amp;pin=0332%2001%20%200006&amp;jur=129&amp;taxyr=2025" TargetMode="External"/><Relationship Id="rId1024" Type="http://schemas.openxmlformats.org/officeDocument/2006/relationships/hyperlink" Target="https://www.datacenterdynamics.com/en/news/peculiar-officials-in-missouri-remove-data-centers-from-ordinance-blocking-15bn-diode-project/" TargetMode="External"/><Relationship Id="rId2355" Type="http://schemas.openxmlformats.org/officeDocument/2006/relationships/hyperlink" Target="https://www.datacenterdynamics.com/en/news/fairfax-county-approves-data-center-in-chantilly-virginia/" TargetMode="External"/><Relationship Id="rId1025" Type="http://schemas.openxmlformats.org/officeDocument/2006/relationships/hyperlink" Target="https://www.datacenterwatch.org/report" TargetMode="External"/><Relationship Id="rId2356" Type="http://schemas.openxmlformats.org/officeDocument/2006/relationships/hyperlink" Target="https://www.datacenterdynamics.com/en/news/penzance-breaks-ground-on-data-center-in-chantilly-virginia/" TargetMode="External"/><Relationship Id="rId1910" Type="http://schemas.openxmlformats.org/officeDocument/2006/relationships/hyperlink" Target="https://www.datacenterdynamics.com/en/news/microsoft-files-for-data-center-campus-outside-san-antonio/" TargetMode="External"/><Relationship Id="rId1911" Type="http://schemas.openxmlformats.org/officeDocument/2006/relationships/hyperlink" Target="https://www.datacenterdynamics.com/en/news/microsoft-files-for-data-center-campus-outside-san-antonio/" TargetMode="External"/><Relationship Id="rId1912" Type="http://schemas.openxmlformats.org/officeDocument/2006/relationships/hyperlink" Target="https://www.datacenterdynamics.com/en/news/edgeconnex-files-to-build-two-730000-sq-ft-data-centers-in-bastrop-county-texas/" TargetMode="External"/><Relationship Id="rId1913" Type="http://schemas.openxmlformats.org/officeDocument/2006/relationships/hyperlink" Target="https://www.mysanantonio.com/business/article/bastrop-county-edgeconnex-data-center-20770421.php" TargetMode="External"/><Relationship Id="rId1914" Type="http://schemas.openxmlformats.org/officeDocument/2006/relationships/hyperlink" Target="https://www.datacenterdynamics.com/en/news/edgeconnex-files-to-build-two-730000-sq-ft-data-centers-in-bastrop-county-texas/" TargetMode="External"/><Relationship Id="rId1915" Type="http://schemas.openxmlformats.org/officeDocument/2006/relationships/hyperlink" Target="https://comptroller.texas.gov/taxes/data-centers/data-center-lists.php" TargetMode="External"/><Relationship Id="rId1916" Type="http://schemas.openxmlformats.org/officeDocument/2006/relationships/hyperlink" Target="https://www.datacenterdynamics.com/en/news/iren-plans-75mw-liquid-cooled-ai-data-center-in-texas/" TargetMode="External"/><Relationship Id="rId1917" Type="http://schemas.openxmlformats.org/officeDocument/2006/relationships/hyperlink" Target="https://iren.com/data-centers/childress" TargetMode="External"/><Relationship Id="rId1918" Type="http://schemas.openxmlformats.org/officeDocument/2006/relationships/hyperlink" Target="https://x.com/FransBakker9812/status/1897519569646051482" TargetMode="External"/><Relationship Id="rId1919" Type="http://schemas.openxmlformats.org/officeDocument/2006/relationships/hyperlink" Target="https://comptroller.texas.gov/taxes/data-centers/data-center-lists.php" TargetMode="External"/><Relationship Id="rId1900" Type="http://schemas.openxmlformats.org/officeDocument/2006/relationships/hyperlink" Target="https://www.datacenterdynamics.com/en/news/edgeconnex-acquires-180-acre-parcel-near-its-own-data-center-project-in-bastrop-texas/" TargetMode="External"/><Relationship Id="rId1901" Type="http://schemas.openxmlformats.org/officeDocument/2006/relationships/hyperlink" Target="https://www.datacenterdynamics.com/en/news/edgeconnex-acquires-180-acre-parcel-near-its-own-data-center-project-in-bastrop-texas/" TargetMode="External"/><Relationship Id="rId1902" Type="http://schemas.openxmlformats.org/officeDocument/2006/relationships/hyperlink" Target="https://www.datacenterdynamics.com/en/news/landbridge-powerbridge-partner-for-2gw-data-center-campus-in-west-texas/" TargetMode="External"/><Relationship Id="rId1903" Type="http://schemas.openxmlformats.org/officeDocument/2006/relationships/hyperlink" Target="https://www.datacenterdynamics.com/en/news/aws-files-for-12bn-data-center-campus-outside-houston-texas/" TargetMode="External"/><Relationship Id="rId1904" Type="http://schemas.openxmlformats.org/officeDocument/2006/relationships/hyperlink" Target="https://www.datacenterdynamics.com/en/news/cleanspark-acquires-447-acres-for-second-texas-ai-data-center-site/" TargetMode="External"/><Relationship Id="rId1905" Type="http://schemas.openxmlformats.org/officeDocument/2006/relationships/hyperlink" Target="https://www.change.org/p/protect-brenham-stop-the-industrial-data-center-from-being-built-in-our-community" TargetMode="External"/><Relationship Id="rId1906" Type="http://schemas.openxmlformats.org/officeDocument/2006/relationships/hyperlink" Target="https://www.datacenterdynamics.com/en/news/officials-in-brenham-texas-reject-tax-abatement-for-data-center-project/" TargetMode="External"/><Relationship Id="rId1907" Type="http://schemas.openxmlformats.org/officeDocument/2006/relationships/hyperlink" Target="https://www.bizjournals.com/austin/news/2025/09/25/open-ai-milam-county-data-center-sb-energy-softban.html" TargetMode="External"/><Relationship Id="rId1908" Type="http://schemas.openxmlformats.org/officeDocument/2006/relationships/hyperlink" Target="https://www.wfmj.com/story/53109325/lordstown-part-of-mammoth-dollar500-billion-artificial-intelligence-data-center-project" TargetMode="External"/><Relationship Id="rId1909" Type="http://schemas.openxmlformats.org/officeDocument/2006/relationships/hyperlink" Target="https://www.datacenterdynamics.com/en/news/openai-stargates-milam-texas-freebird-data-center-to-span-548950-sq-ft-in-first-phase/" TargetMode="External"/><Relationship Id="rId1090" Type="http://schemas.openxmlformats.org/officeDocument/2006/relationships/hyperlink" Target="https://sites.ncrr.com/index.php/property/energy-way-industry-complex/" TargetMode="External"/><Relationship Id="rId1091" Type="http://schemas.openxmlformats.org/officeDocument/2006/relationships/hyperlink" Target="https://www.datacenterdynamics.com/en/news/amazon-breaks-ground-on-10bn-data-center-complex-in-richmond-county-north-carolina/" TargetMode="External"/><Relationship Id="rId1092" Type="http://schemas.openxmlformats.org/officeDocument/2006/relationships/hyperlink" Target="https://www.change.org/p/stop-construction-of-data-center-in-henderson-nc" TargetMode="External"/><Relationship Id="rId1093" Type="http://schemas.openxmlformats.org/officeDocument/2006/relationships/hyperlink" Target="https://www.datacenterdynamics.com/en/news/officials-in-north-carolina-county-give-ok-for-rezoning-potential-data-center-incoming/" TargetMode="External"/><Relationship Id="rId1094" Type="http://schemas.openxmlformats.org/officeDocument/2006/relationships/hyperlink" Target="https://www.charlotteobserver.com/news/business/article315041493.html" TargetMode="External"/><Relationship Id="rId1095" Type="http://schemas.openxmlformats.org/officeDocument/2006/relationships/hyperlink" Target="https://www.wfmynews2.com/article/news/local/whitefiber-ai-data-center-madison-north-carolina/83-42852391-6c1e-4f7e-bc4d-4cc2173b9edf" TargetMode="External"/><Relationship Id="rId1096" Type="http://schemas.openxmlformats.org/officeDocument/2006/relationships/hyperlink" Target="https://www.datacenterdynamics.com/en/news/bit-digital-acquires-manufacturing-site-in-north-carolina-plans-99mw-data-center/" TargetMode="External"/><Relationship Id="rId1097" Type="http://schemas.openxmlformats.org/officeDocument/2006/relationships/hyperlink" Target="https://www.datacenterdynamics.com/en/news/microsoft-breaks-ground-on-second-data-center-campus-in-north-carolina/" TargetMode="External"/><Relationship Id="rId1098" Type="http://schemas.openxmlformats.org/officeDocument/2006/relationships/hyperlink" Target="https://www.datacenterdynamics.com/en/news/microsoft-begins-acquiring-land-in-north-carolina-for-data-centers/" TargetMode="External"/><Relationship Id="rId1099" Type="http://schemas.openxmlformats.org/officeDocument/2006/relationships/hyperlink" Target="https://www.datacenterdynamics.com/en/news/project-accelerate-data-center-proposal-withdrawn/" TargetMode="External"/><Relationship Id="rId1080" Type="http://schemas.openxmlformats.org/officeDocument/2006/relationships/hyperlink" Target="https://finance.yahoo.com/news/northwestern-energy-signs-letter-intent-230000474.html" TargetMode="External"/><Relationship Id="rId1081" Type="http://schemas.openxmlformats.org/officeDocument/2006/relationships/hyperlink" Target="https://montanafreepress.org/2025/07/31/northwestern-energy-inks-power-agreement-with-an-ai-data-center-planned-for-yellowstone-county/" TargetMode="External"/><Relationship Id="rId1082" Type="http://schemas.openxmlformats.org/officeDocument/2006/relationships/hyperlink" Target="https://www.datacenterdynamics.com/en/news/encap-backed-quantica-launches-to-offer-powered-land-to-data-centers-in-the-us/" TargetMode="External"/><Relationship Id="rId1083" Type="http://schemas.openxmlformats.org/officeDocument/2006/relationships/hyperlink" Target="https://dartpoints.com/locations/north-carolina/" TargetMode="External"/><Relationship Id="rId1084" Type="http://schemas.openxmlformats.org/officeDocument/2006/relationships/hyperlink" Target="https://www.datacenterdynamics.com/en/news/digital-realty-files-to-develop-400mw-data-center-campus-in-charlotte-north-carolina/" TargetMode="External"/><Relationship Id="rId1085" Type="http://schemas.openxmlformats.org/officeDocument/2006/relationships/hyperlink" Target="https://www.datacenterdynamics.com/en/news/digital-realty-files-to-develop-400mw-data-center-campus-in-charlotte-north-carolina/" TargetMode="External"/><Relationship Id="rId1086" Type="http://schemas.openxmlformats.org/officeDocument/2006/relationships/hyperlink" Target="https://www.charlotteobserver.com/news/business/article304542696.html" TargetMode="External"/><Relationship Id="rId1087" Type="http://schemas.openxmlformats.org/officeDocument/2006/relationships/hyperlink" Target="https://www.datacenterdynamics.com/en/news/microsoft-breaks-ground-on-second-data-center-campus-in-north-carolina/" TargetMode="External"/><Relationship Id="rId1088" Type="http://schemas.openxmlformats.org/officeDocument/2006/relationships/hyperlink" Target="https://www.datacenterdynamics.com/en/news/us-dod-details-military-bases-available-for-ai-data-center-build-out/" TargetMode="External"/><Relationship Id="rId1089" Type="http://schemas.openxmlformats.org/officeDocument/2006/relationships/hyperlink" Target="https://www.dcblox.com/data-centers/high-point/" TargetMode="External"/><Relationship Id="rId1972" Type="http://schemas.openxmlformats.org/officeDocument/2006/relationships/hyperlink" Target="https://myrgv.com/publications/valley-morning-star/2026/04/02/harlingen-calls-for-public-hearings-on-proposed-data-center-moratorium/" TargetMode="External"/><Relationship Id="rId1973" Type="http://schemas.openxmlformats.org/officeDocument/2006/relationships/hyperlink" Target="https://www.krgv.com/news/harlingen-officials-approve-120-day-moratorium-to-study-impact-of-potential-data-centers/" TargetMode="External"/><Relationship Id="rId1974" Type="http://schemas.openxmlformats.org/officeDocument/2006/relationships/hyperlink" Target="https://www.datacenterdynamics.com/en/news/google-linked-housebound-group-files-for-two-data-center-projects-in-haskell-texas/" TargetMode="External"/><Relationship Id="rId1975" Type="http://schemas.openxmlformats.org/officeDocument/2006/relationships/hyperlink" Target="https://www.kxxv.com/news/local-news/in-your-neighborhood/100m-lawsuit-filed-against-hill-county-officials-over-data-center-moratorium" TargetMode="External"/><Relationship Id="rId1976" Type="http://schemas.openxmlformats.org/officeDocument/2006/relationships/hyperlink" Target="https://www.kxxv.com/news/local-news/in-your-neighborhood/hill-county/hillsboro-county-commissioners-rescind-moratorium-after-lawsuit-filed" TargetMode="External"/><Relationship Id="rId1977" Type="http://schemas.openxmlformats.org/officeDocument/2006/relationships/hyperlink" Target="https://hillsbororeporter.com/city-hears-feedback-on-data-center-proposal-p31629-54.htm" TargetMode="External"/><Relationship Id="rId1978" Type="http://schemas.openxmlformats.org/officeDocument/2006/relationships/hyperlink" Target="https://www.datacenterdynamics.com/en/news/concern-over-proposed-sale-of-300-acres-for-data-center-in-hillsboro-texas/" TargetMode="External"/><Relationship Id="rId1979" Type="http://schemas.openxmlformats.org/officeDocument/2006/relationships/hyperlink" Target="https://comptroller.texas.gov/taxes/data-centers/data-center-lists.php" TargetMode="External"/><Relationship Id="rId1970" Type="http://schemas.openxmlformats.org/officeDocument/2006/relationships/hyperlink" Target="https://baxtel.com/data-center/marathon-digital-granbury-tx" TargetMode="External"/><Relationship Id="rId1971" Type="http://schemas.openxmlformats.org/officeDocument/2006/relationships/hyperlink" Target="https://www.datacenterdynamics.com/en/news/2gw-data-center-could-be-developed-in-cameron-county-texas/" TargetMode="External"/><Relationship Id="rId1961" Type="http://schemas.openxmlformats.org/officeDocument/2006/relationships/hyperlink" Target="https://www.datacenterdynamics.com/en/news/data-center-developer-edged-eyes-tax-breaks-for-potential-facility-in-fort-worth-texas/" TargetMode="External"/><Relationship Id="rId1962" Type="http://schemas.openxmlformats.org/officeDocument/2006/relationships/hyperlink" Target="https://venturebeat.com/social/facebook-wants-to-build-a-1b-data-center-facility-in-fort-worth-texas/" TargetMode="External"/><Relationship Id="rId1963" Type="http://schemas.openxmlformats.org/officeDocument/2006/relationships/hyperlink" Target="https://www.datacenterdynamics.com/en/news/qts-files-to-expand-fort-worth-texas-data-center-for-a-third-time/" TargetMode="External"/><Relationship Id="rId1964" Type="http://schemas.openxmlformats.org/officeDocument/2006/relationships/hyperlink" Target="https://www.datacenterdynamics.com/en/news/blueprint-projects-gets-greenlight-for-data-center-in-taylor-texas/" TargetMode="External"/><Relationship Id="rId1965" Type="http://schemas.openxmlformats.org/officeDocument/2006/relationships/hyperlink" Target="https://www.hellogeorgetown.com/coming-soon-to-georgetown/blueprint-data-centers-commits-160m-to-georgetown-site-tied-to-taylor-expansion/" TargetMode="External"/><Relationship Id="rId1966" Type="http://schemas.openxmlformats.org/officeDocument/2006/relationships/hyperlink" Target="https://gis-tceq.opendata.arcgis.com/datasets/daece6e3181140f69093ab69cf9ae0ba/explore?layer=0&amp;showTable=true" TargetMode="External"/><Relationship Id="rId1967" Type="http://schemas.openxmlformats.org/officeDocument/2006/relationships/hyperlink" Target="https://www.datacenterdynamics.com/en/news/pace-plans-100mw-texas-first-data-center-in-glasscock-county/" TargetMode="External"/><Relationship Id="rId1968" Type="http://schemas.openxmlformats.org/officeDocument/2006/relationships/hyperlink" Target="https://www.datacenterdynamics.com/en/news/developer-proposes-867-acre-project-saltworks-data-center-in-graham-texas/" TargetMode="External"/><Relationship Id="rId1969" Type="http://schemas.openxmlformats.org/officeDocument/2006/relationships/hyperlink" Target="https://www.maragranbury.com/" TargetMode="External"/><Relationship Id="rId1960" Type="http://schemas.openxmlformats.org/officeDocument/2006/relationships/hyperlink" Target="https://www.datacenterdynamics.com/en/news/edged-files-to-develop-data-center-in-fort-worth-texas/" TargetMode="External"/><Relationship Id="rId1994" Type="http://schemas.openxmlformats.org/officeDocument/2006/relationships/hyperlink" Target="https://www.datacenterdynamics.com/en/news/data-center-developer-edged-eyes-tax-breaks-for-potential-facility-in-fort-worth-texas/" TargetMode="External"/><Relationship Id="rId1995" Type="http://schemas.openxmlformats.org/officeDocument/2006/relationships/hyperlink" Target="https://www.datacenterdynamics.com/en/news/qts-files-to-add-another-building-to-wilmer-data-center-campus-texas/" TargetMode="External"/><Relationship Id="rId1996" Type="http://schemas.openxmlformats.org/officeDocument/2006/relationships/hyperlink" Target="https://www.kxan.com/news/local/williamson-county/jarrell-residents-concerned-about-proposed-data-center/" TargetMode="External"/><Relationship Id="rId1997" Type="http://schemas.openxmlformats.org/officeDocument/2006/relationships/hyperlink" Target="https://www.change.org/p/stop-the-data-center-near-jarrell-high-school-and-neighborhoods" TargetMode="External"/><Relationship Id="rId1998" Type="http://schemas.openxmlformats.org/officeDocument/2006/relationships/hyperlink" Target="https://www.linkedin.com/posts/power-infrastructure-partners_power-infrastructure-partners-and-savannah-activity-7361053754638422018-6BBW/" TargetMode="External"/><Relationship Id="rId1999" Type="http://schemas.openxmlformats.org/officeDocument/2006/relationships/hyperlink" Target="https://www.connectcre.com/stories/austin-area-town-to-decide-fate-of-proposed-850m-data-center/" TargetMode="External"/><Relationship Id="rId1990" Type="http://schemas.openxmlformats.org/officeDocument/2006/relationships/hyperlink" Target="https://www.datacenterdynamics.com/en/news/colovore-plans-data-center-in-austin-texas/" TargetMode="External"/><Relationship Id="rId1991" Type="http://schemas.openxmlformats.org/officeDocument/2006/relationships/hyperlink" Target="https://www.change.org/p/say-no-to-the-skybox-data-center-and-substation-in-round-rock-tx" TargetMode="External"/><Relationship Id="rId1992" Type="http://schemas.openxmlformats.org/officeDocument/2006/relationships/hyperlink" Target="https://www.mysanantonio.com/business/article/austin-skybox-hutto-data-center-21029501.php" TargetMode="External"/><Relationship Id="rId1993" Type="http://schemas.openxmlformats.org/officeDocument/2006/relationships/hyperlink" Target="https://baxtel.com/data-center/skybox-hutto-3" TargetMode="External"/><Relationship Id="rId1983" Type="http://schemas.openxmlformats.org/officeDocument/2006/relationships/hyperlink" Target="https://www.datacenterdynamics.com/en/news/600mw-natural-gas-powered-data-center-campus-proposed-in-hubbard-texas/" TargetMode="External"/><Relationship Id="rId1984" Type="http://schemas.openxmlformats.org/officeDocument/2006/relationships/hyperlink" Target="https://www.datacenterdynamics.com/en/news/nexus-dc-files-to-develop-data-center-in-dallas-texas/" TargetMode="External"/><Relationship Id="rId1985" Type="http://schemas.openxmlformats.org/officeDocument/2006/relationships/hyperlink" Target="https://www.datacenterdynamics.com/en/news/nexus-dc-files-to-develop-second-data-center-outside-dallas-texas/" TargetMode="External"/><Relationship Id="rId1986" Type="http://schemas.openxmlformats.org/officeDocument/2006/relationships/hyperlink" Target="https://www.datacenterdynamics.com/en/news/iron-mountain-eyes-seven-building-data-center-campus-outside-austin-texas/" TargetMode="External"/><Relationship Id="rId1987" Type="http://schemas.openxmlformats.org/officeDocument/2006/relationships/hyperlink" Target="https://www.datacenterdynamics.com/en/news/950000-sq-ft-data-center-proposed-for-hutto-texas/" TargetMode="External"/><Relationship Id="rId1988" Type="http://schemas.openxmlformats.org/officeDocument/2006/relationships/hyperlink" Target="https://www.datacenterdynamics.com/en/news/developer-withdraws-application-for-70mw-data-center-in-hutto-texas/" TargetMode="External"/><Relationship Id="rId1989" Type="http://schemas.openxmlformats.org/officeDocument/2006/relationships/hyperlink" Target="https://www.kxan.com/news/local/hutto/hutto-residents-file-formal-protest-against-proposed-data-center/" TargetMode="External"/><Relationship Id="rId1980" Type="http://schemas.openxmlformats.org/officeDocument/2006/relationships/hyperlink" Target="https://comptroller.texas.gov/taxes/data-centers/data-center-lists.php" TargetMode="External"/><Relationship Id="rId1981" Type="http://schemas.openxmlformats.org/officeDocument/2006/relationships/hyperlink" Target="https://www.datacenterdynamics.com/en/news/serverfarm-tops-out-houston-data-center-in-texas/" TargetMode="External"/><Relationship Id="rId1982" Type="http://schemas.openxmlformats.org/officeDocument/2006/relationships/hyperlink" Target="https://gis-tceq.opendata.arcgis.com/datasets/daece6e3181140f69093ab69cf9ae0ba/explore?layer=0&amp;showTable=true" TargetMode="External"/><Relationship Id="rId1930" Type="http://schemas.openxmlformats.org/officeDocument/2006/relationships/hyperlink" Target="https://www.riotplatforms.com/riot-energizes-new-corsicana-facility-in-navarro-county-texas/" TargetMode="External"/><Relationship Id="rId1931" Type="http://schemas.openxmlformats.org/officeDocument/2006/relationships/hyperlink" Target="https://whatsnew2day.com/small-texas-town-seeks-billion-dollar-bitcoin-miner-to-pave-potholes-and-chase-away-dogs/" TargetMode="External"/><Relationship Id="rId1932" Type="http://schemas.openxmlformats.org/officeDocument/2006/relationships/hyperlink" Target="https://www.greensourcedfw.org/articles/coalition-warns-against-massive-bitcoin-facility-underway-navarro-county" TargetMode="External"/><Relationship Id="rId1933" Type="http://schemas.openxmlformats.org/officeDocument/2006/relationships/hyperlink" Target="https://www.riotblockchain.com/news-media/press-releases/detail/127/riot-blockchain-announces-1-gw-development-in-navarro" TargetMode="External"/><Relationship Id="rId1934" Type="http://schemas.openxmlformats.org/officeDocument/2006/relationships/hyperlink" Target="https://www.datacenterdynamics.com/en/news/riot-to-convert-cryptomine-site-in-texas-to-hpc-signs-25mw-lease-with-amd/" TargetMode="External"/><Relationship Id="rId1935" Type="http://schemas.openxmlformats.org/officeDocument/2006/relationships/hyperlink" Target="https://www.datacenterdynamics.com/en/news/riot-platforms-files-to-add-building-to-cryptomine-and-data-center-campus-in-corsicana-texas/" TargetMode="External"/><Relationship Id="rId1936" Type="http://schemas.openxmlformats.org/officeDocument/2006/relationships/hyperlink" Target="https://www.datacenterdynamics.com/en/news/us-dod-details-military-bases-available-for-ai-data-center-build-out/" TargetMode="External"/><Relationship Id="rId1937" Type="http://schemas.openxmlformats.org/officeDocument/2006/relationships/hyperlink" Target="https://www.datacenterdynamics.com/en/news/prime-and-vantage-buy-land-phoenix-arizona/" TargetMode="External"/><Relationship Id="rId1938" Type="http://schemas.openxmlformats.org/officeDocument/2006/relationships/hyperlink" Target="https://www.datacenterdynamics.com/en/news/equinix-files-to-develop-another-data-center-campus-in-dallas-texas/" TargetMode="External"/><Relationship Id="rId1939" Type="http://schemas.openxmlformats.org/officeDocument/2006/relationships/hyperlink" Target="https://gis-tceq.opendata.arcgis.com/datasets/daece6e3181140f69093ab69cf9ae0ba/explore?layer=0&amp;showTable=true" TargetMode="External"/><Relationship Id="rId1920" Type="http://schemas.openxmlformats.org/officeDocument/2006/relationships/hyperlink" Target="https://baxtel.com/data-center/lancium-childress-campus" TargetMode="External"/><Relationship Id="rId1921" Type="http://schemas.openxmlformats.org/officeDocument/2006/relationships/hyperlink" Target="https://www.aterio.io/blog/crusoe-launches-usd29b-goodnight-campus-in-claude-mirroring-openai-s-stargate" TargetMode="External"/><Relationship Id="rId1922" Type="http://schemas.openxmlformats.org/officeDocument/2006/relationships/hyperlink" Target="https://www.wired.com/story/a-new-google-funded-data-center-will-be-powered-by-a-massive-gas-plant/" TargetMode="External"/><Relationship Id="rId1923" Type="http://schemas.openxmlformats.org/officeDocument/2006/relationships/hyperlink" Target="https://www.datacenterdynamics.com/en/news/600mw-data-center-campus-proposed-in-texas/" TargetMode="External"/><Relationship Id="rId1924" Type="http://schemas.openxmlformats.org/officeDocument/2006/relationships/hyperlink" Target="https://www.kbtx.com/video/2025/09/12/college-station-city-council-unanimously-rejects-land-sale-ai-data-center/" TargetMode="External"/><Relationship Id="rId1925" Type="http://schemas.openxmlformats.org/officeDocument/2006/relationships/hyperlink" Target="https://www.datacenterdynamics.com/en/news/fluidstack-signs-additional-39mw-lease-with-cipher-mining-in-texas-backed-by-google/" TargetMode="External"/><Relationship Id="rId1926" Type="http://schemas.openxmlformats.org/officeDocument/2006/relationships/hyperlink" Target="https://www.hut8.com/news-insights/press-releases/hut-8-commercializes-first-phase-of-1-gw-beacon-point-ai-data-center-campus-with-15-year-352-mw" TargetMode="External"/><Relationship Id="rId1927" Type="http://schemas.openxmlformats.org/officeDocument/2006/relationships/hyperlink" Target="https://www.datacenterdynamics.com/en/news/hut-8-signs-352mw-data-center-lease-in-texas-with-investment-grade-tenant/" TargetMode="External"/><Relationship Id="rId1928" Type="http://schemas.openxmlformats.org/officeDocument/2006/relationships/hyperlink" Target="https://www.wired.com/story/bitcoin-miners-pivot-ai-data-centers/" TargetMode="External"/><Relationship Id="rId1929" Type="http://schemas.openxmlformats.org/officeDocument/2006/relationships/hyperlink" Target="https://www.nbcdfw.com/news/business/corsicana-bitcoin-mining-operation-could-consume-enough-power-to-light-200000-homes/2953134/" TargetMode="External"/><Relationship Id="rId1950" Type="http://schemas.openxmlformats.org/officeDocument/2006/relationships/hyperlink" Target="https://www.datacenterdynamics.com/en/news/cyrusone-breaks-ground-on-380mw-data-center-in-texas/" TargetMode="External"/><Relationship Id="rId1951" Type="http://schemas.openxmlformats.org/officeDocument/2006/relationships/hyperlink" Target="https://www.datacenterdynamics.com/en/news/cawley-partners-acquires-5200-acres-outside-dallas-plans-data-center-park/" TargetMode="External"/><Relationship Id="rId1952" Type="http://schemas.openxmlformats.org/officeDocument/2006/relationships/hyperlink" Target="https://www.datacenterdynamics.com/en/news/us-dod-details-military-bases-available-for-ai-data-center-build-out/" TargetMode="External"/><Relationship Id="rId1953" Type="http://schemas.openxmlformats.org/officeDocument/2006/relationships/hyperlink" Target="https://www.wsj.com/tech/ai/west-texas-data-center-nvidia-e38a4678" TargetMode="External"/><Relationship Id="rId1954" Type="http://schemas.openxmlformats.org/officeDocument/2006/relationships/hyperlink" Target="https://www.datacenterdynamics.com/en/news/ai-startup-poolside-teams-up-with-coreweave-on-2gw-data-center-in-texas/" TargetMode="External"/><Relationship Id="rId1955" Type="http://schemas.openxmlformats.org/officeDocument/2006/relationships/hyperlink" Target="https://www.longfellowranch.com/about" TargetMode="External"/><Relationship Id="rId1956" Type="http://schemas.openxmlformats.org/officeDocument/2006/relationships/hyperlink" Target="https://www.star-telegram.com/news/local/fort-worth/article312325777.html" TargetMode="External"/><Relationship Id="rId1957" Type="http://schemas.openxmlformats.org/officeDocument/2006/relationships/hyperlink" Target="https://www.yahoo.com/news/articles/10-billion-data-center-planned-234819302.html" TargetMode="External"/><Relationship Id="rId1958" Type="http://schemas.openxmlformats.org/officeDocument/2006/relationships/hyperlink" Target="https://www.change.org/p/stop-the-data-center-next-to-our-historic-gardens-for-all-supporters-sign-petition-below" TargetMode="External"/><Relationship Id="rId1959" Type="http://schemas.openxmlformats.org/officeDocument/2006/relationships/hyperlink" Target="https://www.datacenterdynamics.com/en/news/cyrusone-partners-with-energy-firm-eolian-for-dallas-data-center/" TargetMode="External"/><Relationship Id="rId1940" Type="http://schemas.openxmlformats.org/officeDocument/2006/relationships/hyperlink" Target="https://www.datacenterdynamics.com/en/news/cleanarc-partners-with-crow-holdings-for-245mw-campus-in-dallas-texas/" TargetMode="External"/><Relationship Id="rId1941" Type="http://schemas.openxmlformats.org/officeDocument/2006/relationships/hyperlink" Target="https://comptroller.texas.gov/taxes/data-centers/data-center-lists.php" TargetMode="External"/><Relationship Id="rId1942" Type="http://schemas.openxmlformats.org/officeDocument/2006/relationships/hyperlink" Target="https://corescientific.com/high-density-data-centers/denton-texas/" TargetMode="External"/><Relationship Id="rId1943" Type="http://schemas.openxmlformats.org/officeDocument/2006/relationships/hyperlink" Target="https://www.datacenterdynamics.com/en/news/core-scientific-plans-to-upgrade-denton-texas-data-center-for-up-to-61bn/" TargetMode="External"/><Relationship Id="rId1944" Type="http://schemas.openxmlformats.org/officeDocument/2006/relationships/hyperlink" Target="https://www.datacenterdynamics.com/en/news/qumulusai-gets-approval-for-modular-data-center-in-denton-texas/" TargetMode="External"/><Relationship Id="rId1945" Type="http://schemas.openxmlformats.org/officeDocument/2006/relationships/hyperlink" Target="https://www.datacenterdynamics.com/en/news/qumulusai-secures-124m-in-ai-infrastructure-agreements/" TargetMode="External"/><Relationship Id="rId1946" Type="http://schemas.openxmlformats.org/officeDocument/2006/relationships/hyperlink" Target="https://www.datacenterdynamics.com/en/news/tcdc-closes-235-acre-land-acquisition-for-ai-data-center-in-ector-county-texas/" TargetMode="External"/><Relationship Id="rId1947" Type="http://schemas.openxmlformats.org/officeDocument/2006/relationships/hyperlink" Target="https://www.datacenterdynamics.com/en/news/aws-files-to-develop-data-centers-in-san-antonio-texas/" TargetMode="External"/><Relationship Id="rId1948" Type="http://schemas.openxmlformats.org/officeDocument/2006/relationships/hyperlink" Target="https://www.datacenterdynamics.com/en/news/meta-files-to-expand-campus-in-el-paso-texas-with-12-new-buildings/" TargetMode="External"/><Relationship Id="rId1949" Type="http://schemas.openxmlformats.org/officeDocument/2006/relationships/hyperlink" Target="https://www.datacenterdynamics.com/en/news/cyrusone-partners-with-constellation-for-760mw-data-center-campus-in-texas/" TargetMode="External"/><Relationship Id="rId2423" Type="http://schemas.openxmlformats.org/officeDocument/2006/relationships/hyperlink" Target="https://www.co.prince-edward.va.us/economic-development/heartland-innovative-technology-park-210" TargetMode="External"/><Relationship Id="rId2424" Type="http://schemas.openxmlformats.org/officeDocument/2006/relationships/hyperlink" Target="https://epayments.co.prince-edward.va.us/applications/txapps/VPCindex.htm" TargetMode="External"/><Relationship Id="rId2425" Type="http://schemas.openxmlformats.org/officeDocument/2006/relationships/hyperlink" Target="https://www.datacenterdynamics.com/en/news/10m-sq-ft-amazon-files-for-four-data-center-campuses-in-virginias-spotsylvania-and-caroline-counties/" TargetMode="External"/><Relationship Id="rId2426" Type="http://schemas.openxmlformats.org/officeDocument/2006/relationships/hyperlink" Target="https://www.datacenterdynamics.com/en/news/10m-sq-ft-amazon-files-for-four-data-center-campuses-in-virginias-spotsylvania-and-caroline-counties/" TargetMode="External"/><Relationship Id="rId2427" Type="http://schemas.openxmlformats.org/officeDocument/2006/relationships/hyperlink" Target="https://www.datacenterdynamics.com/en/news/10m-sq-ft-amazon-files-for-four-data-center-campuses-in-virginias-spotsylvania-and-caroline-counties/" TargetMode="External"/><Relationship Id="rId2428" Type="http://schemas.openxmlformats.org/officeDocument/2006/relationships/hyperlink" Target="https://www.fxbgadvance.com/p/data-center-proposed-in-historic" TargetMode="External"/><Relationship Id="rId2429" Type="http://schemas.openxmlformats.org/officeDocument/2006/relationships/hyperlink" Target="https://va-stafford-assessor.publicaccessnow.com/PropertySearch/PropertyDetails.aspx?p=53%20%20%20%20%20%20%20%20%201M&amp;a=31432" TargetMode="External"/><Relationship Id="rId509" Type="http://schemas.openxmlformats.org/officeDocument/2006/relationships/hyperlink" Target="https://www.edged.us/des-moines" TargetMode="External"/><Relationship Id="rId508" Type="http://schemas.openxmlformats.org/officeDocument/2006/relationships/hyperlink" Target="https://www.datacenterdynamics.com/en/news/edged-announces-13mw-data-center-outside-des-moines-iowa/" TargetMode="External"/><Relationship Id="rId503" Type="http://schemas.openxmlformats.org/officeDocument/2006/relationships/hyperlink" Target="https://apps.dca.ga.gov/DRI/AppSummary.aspx?driid=4334" TargetMode="External"/><Relationship Id="rId502" Type="http://schemas.openxmlformats.org/officeDocument/2006/relationships/hyperlink" Target="https://www.datacenterdynamics.com/en/news/us-department-of-the-air-force-accepting-proposals-for-ai-data-centers-in-military-bases/" TargetMode="External"/><Relationship Id="rId501" Type="http://schemas.openxmlformats.org/officeDocument/2006/relationships/hyperlink" Target="https://www.datacenterdynamics.com/en/news/county-officials-deny-data-center-zoning-request-in-georgia/" TargetMode="External"/><Relationship Id="rId500" Type="http://schemas.openxmlformats.org/officeDocument/2006/relationships/hyperlink" Target="https://www.govtech.com/artificial-intelligence/atlanta-data-center-would-be-larger-than-mall-of-georgia" TargetMode="External"/><Relationship Id="rId507" Type="http://schemas.openxmlformats.org/officeDocument/2006/relationships/hyperlink" Target="https://www.datacenterdynamics.com/en/news/applied-digital-faces-opposition-to-planned-data-center-in-adair-county-iowa/" TargetMode="External"/><Relationship Id="rId506" Type="http://schemas.openxmlformats.org/officeDocument/2006/relationships/hyperlink" Target="https://www.datacenterdynamics.com/en/news/hawaii-based-cloud-provider-servpac-expands-data-center/" TargetMode="External"/><Relationship Id="rId505" Type="http://schemas.openxmlformats.org/officeDocument/2006/relationships/hyperlink" Target="https://www.datacenterdynamics.com/en/news/dc-blox-secures-115bn-green-loan-for-atlanta-data-center-development/" TargetMode="External"/><Relationship Id="rId504" Type="http://schemas.openxmlformats.org/officeDocument/2006/relationships/hyperlink" Target="https://www.datacenterdynamics.com/en/news/stream-files-for-13-million-sq-ft-data-center-campus-outside-atlanta-georgia/" TargetMode="External"/><Relationship Id="rId2420" Type="http://schemas.openxmlformats.org/officeDocument/2006/relationships/hyperlink" Target="https://www.princewilliamtimes.com/news/breaking-popular-merrifield-garden-center-to-close-after-selling-for-data-centers/article_38bbb8b7-f9d4-47d6-90b2-1cb26e9a81b8.html" TargetMode="External"/><Relationship Id="rId2421" Type="http://schemas.openxmlformats.org/officeDocument/2006/relationships/hyperlink" Target="https://icare.fairfaxcounty.gov/ffxcare/Datalets/Datalet.aspx?mode=&amp;UseSearch=no&amp;pin=0303%2028%20%20%20%20%20%20C2&amp;jur=129&amp;taxyr=2025" TargetMode="External"/><Relationship Id="rId2422" Type="http://schemas.openxmlformats.org/officeDocument/2006/relationships/hyperlink" Target="https://icare.fairfaxcounty.gov/ffxcare/Datalets/Datalet.aspx?mode=&amp;UseSearch=no&amp;pin=0494%2013%20%200013&amp;jur=129&amp;taxyr=2025" TargetMode="External"/><Relationship Id="rId2412" Type="http://schemas.openxmlformats.org/officeDocument/2006/relationships/hyperlink" Target="https://reparcelasmt.loudoun.gov/pt/datalets/datalet.aspx?mode=profileall&amp;UseSearch=no&amp;pin=044282013000&amp;jur=107&amp;taxyr=2024&amp;LMparent=20" TargetMode="External"/><Relationship Id="rId2413" Type="http://schemas.openxmlformats.org/officeDocument/2006/relationships/hyperlink" Target="https://reparcelasmt.loudoun.gov/pt/datalets/datalet.aspx?mode=profileall&amp;UseSearch=no&amp;pin=034385918000&amp;jur=107&amp;taxyr=2024&amp;LMparent=20" TargetMode="External"/><Relationship Id="rId2414" Type="http://schemas.openxmlformats.org/officeDocument/2006/relationships/hyperlink" Target="https://loudouncountyvaeg.tylerhost.net/prod/selfservice" TargetMode="External"/><Relationship Id="rId2415" Type="http://schemas.openxmlformats.org/officeDocument/2006/relationships/hyperlink" Target="https://reparcelasmt.loudoun.gov/pt/datalets/datalet.aspx?mode=profileall&amp;UseSearch=no&amp;pin=162176713000&amp;jur=107&amp;taxyr=2024&amp;LMparent=20" TargetMode="External"/><Relationship Id="rId2416" Type="http://schemas.openxmlformats.org/officeDocument/2006/relationships/hyperlink" Target="https://www.emporiaindependentmessenger.com/news/article_abbc9ab2-bd41-11ef-8e28-537ccf81ce7b.html" TargetMode="External"/><Relationship Id="rId2417" Type="http://schemas.openxmlformats.org/officeDocument/2006/relationships/hyperlink" Target="https://www.webgis.net/va/greensville/?op=id&amp;id=1%7Cparcels%7CMAP_PIN%7C21-97E" TargetMode="External"/><Relationship Id="rId2418" Type="http://schemas.openxmlformats.org/officeDocument/2006/relationships/hyperlink" Target="https://icare.fairfaxcounty.gov/ffxcare/Datalets/Datalet.aspx?mode=&amp;UseSearch=no&amp;pin=0552%2001%20%200019&amp;jur=129&amp;taxyr=2025" TargetMode="External"/><Relationship Id="rId2419" Type="http://schemas.openxmlformats.org/officeDocument/2006/relationships/hyperlink" Target="https://icare.fairfaxcounty.gov/ffxcare/datalets/datalet.aspx?mode=profileall&amp;UseSearch=no&amp;pin=0432%2002%20%200039C&amp;jur=129&amp;taxyr=2025&amp;LMparent=138" TargetMode="External"/><Relationship Id="rId2410" Type="http://schemas.openxmlformats.org/officeDocument/2006/relationships/hyperlink" Target="https://loudouncountyvaeg.tylerhost.net/prod/selfservice" TargetMode="External"/><Relationship Id="rId2411" Type="http://schemas.openxmlformats.org/officeDocument/2006/relationships/hyperlink" Target="https://reparcelasmt.loudoun.gov/pt/datalets/datalet.aspx?mode=commercial&amp;UseSearch=no&amp;pin=122207249000&amp;jur=107&amp;taxyr=2025&amp;LMparent=20" TargetMode="External"/><Relationship Id="rId1114" Type="http://schemas.openxmlformats.org/officeDocument/2006/relationships/hyperlink" Target="https://www.newsobserver.com/news/business/article306929621.html" TargetMode="External"/><Relationship Id="rId2445" Type="http://schemas.openxmlformats.org/officeDocument/2006/relationships/hyperlink" Target="https://www.datacenterdynamics.com/en/news/10m-sq-ft-amazon-files-for-four-data-center-campuses-in-virginias-spotsylvania-and-caroline-counties/" TargetMode="External"/><Relationship Id="rId1115" Type="http://schemas.openxmlformats.org/officeDocument/2006/relationships/hyperlink" Target="https://abc11.com/post/apple-research-triangle-park-north-carolina/10547896/?userab=abc_web_player-460*variant_a_abc_control-1900%2Cotv_web_player-461*variant_a_otv_control-1902&amp;userab=abc_web_player-460*variant_a_abc_control-1900%2Cotv_web_player-461*variant_a_otv_control-1902" TargetMode="External"/><Relationship Id="rId2446" Type="http://schemas.openxmlformats.org/officeDocument/2006/relationships/hyperlink" Target="https://www.datacenterdynamics.com/en/news/stack-infrastructure-files-for-10bn-data-center-in-fredericksburg-virginia/" TargetMode="External"/><Relationship Id="rId1116" Type="http://schemas.openxmlformats.org/officeDocument/2006/relationships/hyperlink" Target="https://abc11.com/post/apple-given-4-more-years-hiring-investment-goals-east-coast-hub-nc-research-triangle-park/18208496/" TargetMode="External"/><Relationship Id="rId2447" Type="http://schemas.openxmlformats.org/officeDocument/2006/relationships/hyperlink" Target="https://maps.fredericksburgva.gov/ParcelViewer/" TargetMode="External"/><Relationship Id="rId1117" Type="http://schemas.openxmlformats.org/officeDocument/2006/relationships/hyperlink" Target="https://www.iclarified.com/99151/north-carolina-grants-apple-4year-extension-for-delayed-rtp-campus-project" TargetMode="External"/><Relationship Id="rId2448" Type="http://schemas.openxmlformats.org/officeDocument/2006/relationships/hyperlink" Target="https://dahlgrenwest.com/" TargetMode="External"/><Relationship Id="rId1118" Type="http://schemas.openxmlformats.org/officeDocument/2006/relationships/hyperlink" Target="https://www.datacenterdynamics.com/en/news/microsoft-to-start-permitting-for-1385-acre-data-center-campus-in-north-carolina/" TargetMode="External"/><Relationship Id="rId2449" Type="http://schemas.openxmlformats.org/officeDocument/2006/relationships/hyperlink" Target="https://www.datacenterdynamics.com/en/news/oasis-digital-properties-gets-greenlight-for-12gw-data-center-in-king-george-county-virginia/" TargetMode="External"/><Relationship Id="rId1119" Type="http://schemas.openxmlformats.org/officeDocument/2006/relationships/hyperlink" Target="https://www.change.org/p/oppose-the-proposed-data-center-rezoning-in-rural-hall-nc?utm_source=share_petition&amp;utm_medium=mobileNativeShare&amp;utm_campaign=share_petition&amp;recruited_by_id=c47b8510-a5e3-11ea-9eb5-55d5249e13d4&amp;recruiter=1106290968&amp;share_id=mxKTw5fPpr" TargetMode="External"/><Relationship Id="rId525" Type="http://schemas.openxmlformats.org/officeDocument/2006/relationships/hyperlink" Target="https://www.thegazette.com/local-government/unnamed-company-looks-to-build-576-million-data-center-in-cedar-rapids/" TargetMode="External"/><Relationship Id="rId524" Type="http://schemas.openxmlformats.org/officeDocument/2006/relationships/hyperlink" Target="https://www.datacenterdynamics.com/en/news/city-of-cedar-rapids-officially-confirms-qts-behind-iowa-data-center-campus/" TargetMode="External"/><Relationship Id="rId523" Type="http://schemas.openxmlformats.org/officeDocument/2006/relationships/hyperlink" Target="https://www.kcrg.com/2026/06/24/data-center-concerns-draw-hundreds-dubuque-county-town-hall/" TargetMode="External"/><Relationship Id="rId522" Type="http://schemas.openxmlformats.org/officeDocument/2006/relationships/hyperlink" Target="https://www.datacenterdynamics.com/en/news/karis-named-as-firm-behind-proposed-data-center-project-in-dubuque-county-iowa/" TargetMode="External"/><Relationship Id="rId529" Type="http://schemas.openxmlformats.org/officeDocument/2006/relationships/hyperlink" Target="https://www.change.org/p/stop-proposed-hyper-data-center-in-salix-iowa" TargetMode="External"/><Relationship Id="rId528" Type="http://schemas.openxmlformats.org/officeDocument/2006/relationships/hyperlink" Target="https://norwalkiaswdevelopment.com/projectwest" TargetMode="External"/><Relationship Id="rId527" Type="http://schemas.openxmlformats.org/officeDocument/2006/relationships/hyperlink" Target="https://www.datacenterdynamics.com/en/news/city-council-in-norwalk-iowa-approves-potential-data-center-development-agreement-despite-public-concerns/" TargetMode="External"/><Relationship Id="rId526" Type="http://schemas.openxmlformats.org/officeDocument/2006/relationships/hyperlink" Target="https://www.kcrg.com/2025/07/29/officials-cancel-groundbreaking-ceremony-cedar-rapids-data-center/" TargetMode="External"/><Relationship Id="rId2440" Type="http://schemas.openxmlformats.org/officeDocument/2006/relationships/hyperlink" Target="https://va-stafford-assessor.publicaccessnow.com/PropertySearch/PropertyDetails.aspx?p=38%20%20%20%20%20%20%20%2070&amp;a=23902" TargetMode="External"/><Relationship Id="rId521" Type="http://schemas.openxmlformats.org/officeDocument/2006/relationships/hyperlink" Target="https://www.datacenters.com/windstream-dubuque-ia" TargetMode="External"/><Relationship Id="rId1110" Type="http://schemas.openxmlformats.org/officeDocument/2006/relationships/hyperlink" Target="https://www.datacenterdynamics.com/en/news/developer-withdraws-proposal-for-250mw-data-center-in-apex-north-carolina/" TargetMode="External"/><Relationship Id="rId2441" Type="http://schemas.openxmlformats.org/officeDocument/2006/relationships/hyperlink" Target="https://www.datacenterdynamics.com/en/news/10m-sq-ft-amazon-files-for-four-data-center-campuses-in-virginias-spotsylvania-and-caroline-counties/" TargetMode="External"/><Relationship Id="rId520" Type="http://schemas.openxmlformats.org/officeDocument/2006/relationships/hyperlink" Target="https://www.datacenterdynamics.com/en/news/cielo-digital-infrastructure-plans-300mw-data-center-campus-in-south-carolina/" TargetMode="External"/><Relationship Id="rId1111" Type="http://schemas.openxmlformats.org/officeDocument/2006/relationships/hyperlink" Target="https://www.datacenterdynamics.com/en/news/microsoft-begins-acquiring-land-in-north-carolina-for-data-centers/" TargetMode="External"/><Relationship Id="rId2442" Type="http://schemas.openxmlformats.org/officeDocument/2006/relationships/hyperlink" Target="https://www.spotsylvania.va.us/DocumentCenter/View/29414/Proffer-Statement-" TargetMode="External"/><Relationship Id="rId1112" Type="http://schemas.openxmlformats.org/officeDocument/2006/relationships/hyperlink" Target="https://www.datacenterdynamics.com/en/news/microsoft-breaks-ground-on-second-data-center-campus-in-north-carolina/" TargetMode="External"/><Relationship Id="rId2443" Type="http://schemas.openxmlformats.org/officeDocument/2006/relationships/hyperlink" Target="https://gis.spotsylvania.va.us/spotsylvania/" TargetMode="External"/><Relationship Id="rId1113" Type="http://schemas.openxmlformats.org/officeDocument/2006/relationships/hyperlink" Target="https://www.americantower.com/us/raleigh-data-center-opening" TargetMode="External"/><Relationship Id="rId2444" Type="http://schemas.openxmlformats.org/officeDocument/2006/relationships/hyperlink" Target="https://www.fredericksburgfreepress.com/2025/08/27/spotsylvania-board-of-supervisors-approve-potential-2-2-million-square-foot-data-center-campus/" TargetMode="External"/><Relationship Id="rId1103" Type="http://schemas.openxmlformats.org/officeDocument/2006/relationships/hyperlink" Target="https://www.charlotteobserver.com/sports/nascar-auto-racing/thatsracin/article311691503.html" TargetMode="External"/><Relationship Id="rId2434" Type="http://schemas.openxmlformats.org/officeDocument/2006/relationships/hyperlink" Target="https://www.fredericksburgfreepress.com/2025/01/22/biz-beat-roundup-more-data-centers-proposed-in-stafford/" TargetMode="External"/><Relationship Id="rId1104" Type="http://schemas.openxmlformats.org/officeDocument/2006/relationships/hyperlink" Target="https://www.datacenterdynamics.com/en/news/microsoft-breaks-ground-on-second-data-center-campus-in-north-carolina/" TargetMode="External"/><Relationship Id="rId2435" Type="http://schemas.openxmlformats.org/officeDocument/2006/relationships/hyperlink" Target="https://va-stafford-assessor.publicaccessnow.com/PropertySearch/PropertyDetails.aspx?p=45%20%20%20%20%20%20%20227&amp;a=27932" TargetMode="External"/><Relationship Id="rId1105" Type="http://schemas.openxmlformats.org/officeDocument/2006/relationships/hyperlink" Target="https://www.datacenterdynamics.com/en/news/microsoft-breaks-ground-on-another-north-carolina-data-center/" TargetMode="External"/><Relationship Id="rId2436" Type="http://schemas.openxmlformats.org/officeDocument/2006/relationships/hyperlink" Target="https://www.datacenterdynamics.com/en/news/data-center-proposed-for-850-acres-of-land-in-stafford-county-virginia/" TargetMode="External"/><Relationship Id="rId1106" Type="http://schemas.openxmlformats.org/officeDocument/2006/relationships/hyperlink" Target="https://indyweek.com/news/wake/developer-files-plans-for-digital-campus-in-western-wake/" TargetMode="External"/><Relationship Id="rId2437" Type="http://schemas.openxmlformats.org/officeDocument/2006/relationships/hyperlink" Target="https://app.sharebase.com/" TargetMode="External"/><Relationship Id="rId1107" Type="http://schemas.openxmlformats.org/officeDocument/2006/relationships/hyperlink" Target="https://www.newsobserver.com/news/local/counties/wake-county/article311959511.html" TargetMode="External"/><Relationship Id="rId2438" Type="http://schemas.openxmlformats.org/officeDocument/2006/relationships/hyperlink" Target="https://va-stafford-assessor.publicaccessnow.com/PropertySearch/PropertyDetails.aspx?p=59%20%20%20%20%20%20%20%2070&amp;a=39515" TargetMode="External"/><Relationship Id="rId1108" Type="http://schemas.openxmlformats.org/officeDocument/2006/relationships/hyperlink" Target="https://www.newsobserver.com/news/local/counties/wake-county/article311972258.html" TargetMode="External"/><Relationship Id="rId2439" Type="http://schemas.openxmlformats.org/officeDocument/2006/relationships/hyperlink" Target="https://cdn.staffordcountyva.gov/Planning%20and%20Zoning/Development%20Review%20Meetings-Applications/December%202024/GWV%20Data%20Center%20CUP/3-%20Impact%20Statement%20(10-15-24)%20-%20GWV%20Data%20Center.pdf" TargetMode="External"/><Relationship Id="rId1109" Type="http://schemas.openxmlformats.org/officeDocument/2006/relationships/hyperlink" Target="https://www.facebook.com/groups/protectwakecountycoalition" TargetMode="External"/><Relationship Id="rId519" Type="http://schemas.openxmlformats.org/officeDocument/2006/relationships/hyperlink" Target="https://www.yahoo.com/news/us/articles/small-data-center-proposed-industrial-024543749.html?guccounter=1" TargetMode="External"/><Relationship Id="rId514" Type="http://schemas.openxmlformats.org/officeDocument/2006/relationships/hyperlink" Target="https://datacenters.google/locations/iowa/" TargetMode="External"/><Relationship Id="rId513" Type="http://schemas.openxmlformats.org/officeDocument/2006/relationships/hyperlink" Target="https://www.datacenterdynamics.com/en/news/560-acre-data-center-campus-proposed-in-cedar-rapids-iowa/" TargetMode="External"/><Relationship Id="rId512" Type="http://schemas.openxmlformats.org/officeDocument/2006/relationships/hyperlink" Target="https://corridorbusiness.com/google-plans-special-investment-announcement-in-cedar-rapids-may-30/" TargetMode="External"/><Relationship Id="rId511" Type="http://schemas.openxmlformats.org/officeDocument/2006/relationships/hyperlink" Target="https://www.datacenterdynamics.com/en/news/officials-in-cedar-falls-iowa-delay-hearing-on-simple-minings-cryptomine-rezoning/" TargetMode="External"/><Relationship Id="rId518" Type="http://schemas.openxmlformats.org/officeDocument/2006/relationships/hyperlink" Target="https://www.datacenterdynamics.com/en/news/data-center-campus-eyed-for-46-acre-site-in-maquoketa-iowa/" TargetMode="External"/><Relationship Id="rId517" Type="http://schemas.openxmlformats.org/officeDocument/2006/relationships/hyperlink" Target="https://rbnenergy.com/i-know-places-tech-giants-may-be-the-surest-bets-for-data-center-power-demand" TargetMode="External"/><Relationship Id="rId516" Type="http://schemas.openxmlformats.org/officeDocument/2006/relationships/hyperlink" Target="https://www.datacenterdynamics.com/en/news/microsoft-files-for-new-data-center-campus-in-des-moines-iowa/" TargetMode="External"/><Relationship Id="rId515" Type="http://schemas.openxmlformats.org/officeDocument/2006/relationships/hyperlink" Target="https://www.datacenterdynamics.com/en/news/edged-reduces-scope-of-planned-data-center-campus-in-council-bluffs-iowa/" TargetMode="External"/><Relationship Id="rId510" Type="http://schemas.openxmlformats.org/officeDocument/2006/relationships/hyperlink" Target="https://www.datacenterdynamics.com/en/news/simple-mining-plans-bitcoin-mining-expansion-in-dubuque-county-iowa/" TargetMode="External"/><Relationship Id="rId2430" Type="http://schemas.openxmlformats.org/officeDocument/2006/relationships/hyperlink" Target="https://www.datacenterfrontier.com/cloud/article/33006046/amazon-plans-major-data-center-expansion-in-virginias-spotsylvania-county" TargetMode="External"/><Relationship Id="rId1100" Type="http://schemas.openxmlformats.org/officeDocument/2006/relationships/hyperlink" Target="https://www.datacenterdynamics.com/en/news/tract-plans-400-acre-data-center-park-outside-charlotte-north-carolina/" TargetMode="External"/><Relationship Id="rId2431" Type="http://schemas.openxmlformats.org/officeDocument/2006/relationships/hyperlink" Target="https://www.datacenterdynamics.com/en/news/10m-sq-ft-amazon-files-for-four-data-center-campuses-in-virginias-spotsylvania-and-caroline-counties/" TargetMode="External"/><Relationship Id="rId1101" Type="http://schemas.openxmlformats.org/officeDocument/2006/relationships/hyperlink" Target="https://www.charlotteobserver.com/sports/nascar-auto-racing/thatsracin/article311633422.html" TargetMode="External"/><Relationship Id="rId2432" Type="http://schemas.openxmlformats.org/officeDocument/2006/relationships/hyperlink" Target="https://www.fredericksburgfreepress.com/2025/01/22/biz-beat-roundup-more-data-centers-proposed-in-stafford/" TargetMode="External"/><Relationship Id="rId1102" Type="http://schemas.openxmlformats.org/officeDocument/2006/relationships/hyperlink" Target="https://www.datacenterdynamics.com/en/news/compass-datacenters-proposes-333-acre-campus-in-statesville-north-carolina/" TargetMode="External"/><Relationship Id="rId2433" Type="http://schemas.openxmlformats.org/officeDocument/2006/relationships/hyperlink" Target="https://va-stafford-assessor.publicaccessnow.com/PropertySearch/PropertyDetails.aspx?p=46%20%20%20%20%20%20%20%2010&amp;a=29012" TargetMode="External"/><Relationship Id="rId2401" Type="http://schemas.openxmlformats.org/officeDocument/2006/relationships/hyperlink" Target="https://cloudandcolocation.com/datacenters/onepartner-duffield-data-center-atac/" TargetMode="External"/><Relationship Id="rId2402" Type="http://schemas.openxmlformats.org/officeDocument/2006/relationships/hyperlink" Target="https://scottcova.interactivegis.com/jtf/10308" TargetMode="External"/><Relationship Id="rId2403" Type="http://schemas.openxmlformats.org/officeDocument/2006/relationships/hyperlink" Target="https://www.scottcountyva.com/188/Sites-Buildings" TargetMode="External"/><Relationship Id="rId2404" Type="http://schemas.openxmlformats.org/officeDocument/2006/relationships/hyperlink" Target="https://scottcova.interactivegis.com/jtf/1112" TargetMode="External"/><Relationship Id="rId2405" Type="http://schemas.openxmlformats.org/officeDocument/2006/relationships/hyperlink" Target="https://reparcelasmt.loudoun.gov/pt/datalets/datalet.aspx?mode=profileall&amp;UseSearch=no&amp;pin=044370416000&amp;jur=107&amp;taxyr=2024&amp;LMparent=20" TargetMode="External"/><Relationship Id="rId2406" Type="http://schemas.openxmlformats.org/officeDocument/2006/relationships/hyperlink" Target="https://reparcelasmt.loudoun.gov/pt/datalets/datalet.aspx?mode=profileall&amp;UseSearch=no&amp;pin=162392026000&amp;jur=107&amp;taxyr=2024&amp;LMparent=20" TargetMode="External"/><Relationship Id="rId2407" Type="http://schemas.openxmlformats.org/officeDocument/2006/relationships/hyperlink" Target="https://loudouncountyvaeg.tylerhost.net/prod/selfservice" TargetMode="External"/><Relationship Id="rId2408" Type="http://schemas.openxmlformats.org/officeDocument/2006/relationships/hyperlink" Target="https://reparcelasmt.loudoun.gov/pt/Datalets/Datalet.aspx?UseSearch=no&amp;mode=profileall&amp;pin=124256520000&amp;jur=107&amp;taxyr=2025" TargetMode="External"/><Relationship Id="rId2409" Type="http://schemas.openxmlformats.org/officeDocument/2006/relationships/hyperlink" Target="https://reparcelasmt.loudoun.gov/pt/Datalets/Datalet.aspx?mode=commercial&amp;UseSearch=no&amp;pin=093365404003&amp;jur=107&amp;taxyr=2025&amp;card=1&amp;item=0&amp;State=2%7C1%7C1%7C1%7C1%7C&amp;items=4" TargetMode="External"/><Relationship Id="rId2400" Type="http://schemas.openxmlformats.org/officeDocument/2006/relationships/hyperlink" Target="https://www.webgis.net/va/botetourtco/?id=Parcels%7CLINK%7C88(26)3" TargetMode="External"/><Relationship Id="rId590" Type="http://schemas.openxmlformats.org/officeDocument/2006/relationships/hyperlink" Target="https://www.datacenterdynamics.com/en/news/karis-eyes-potential-data-center-development-outside-chicago-illinois/" TargetMode="External"/><Relationship Id="rId589" Type="http://schemas.openxmlformats.org/officeDocument/2006/relationships/hyperlink" Target="https://www.datacenterdynamics.com/en/news/36mw-data-center-denied-near-chicago-illinois/" TargetMode="External"/><Relationship Id="rId588" Type="http://schemas.openxmlformats.org/officeDocument/2006/relationships/hyperlink" Target="https://www.datacenterdynamics.com/en/news/karis-critical-plans-36mw-data-center-in-naperville-illinois/" TargetMode="External"/><Relationship Id="rId1170" Type="http://schemas.openxmlformats.org/officeDocument/2006/relationships/hyperlink" Target="https://www.foodandwaterwatch.org/wp-content/uploads/2026/03/RPT2_2602_DataCenterMoratorium.pdf" TargetMode="External"/><Relationship Id="rId1171" Type="http://schemas.openxmlformats.org/officeDocument/2006/relationships/hyperlink" Target="https://q.com/data-centers/east-windsor/" TargetMode="External"/><Relationship Id="rId583" Type="http://schemas.openxmlformats.org/officeDocument/2006/relationships/hyperlink" Target="https://www.datacenterdynamics.com/en/news/tract-expands-into-illinois-with-plans-for-1gw-data-center-park-outside-chicago/" TargetMode="External"/><Relationship Id="rId1172" Type="http://schemas.openxmlformats.org/officeDocument/2006/relationships/hyperlink" Target="https://www.east-windsor.nj.us/news/post/20342/" TargetMode="External"/><Relationship Id="rId582" Type="http://schemas.openxmlformats.org/officeDocument/2006/relationships/hyperlink" Target="https://www.datacenterdynamics.com/en/news/cielo-digital-infrastructure-plans-300mw-data-center-campus-in-south-carolina/" TargetMode="External"/><Relationship Id="rId1173" Type="http://schemas.openxmlformats.org/officeDocument/2006/relationships/hyperlink" Target="https://www.datacentermap.com/usa/new-jersey/princeton/qts-princeton/" TargetMode="External"/><Relationship Id="rId581" Type="http://schemas.openxmlformats.org/officeDocument/2006/relationships/hyperlink" Target="https://www.datacenterdynamics.com/en/news/t5-data-center-in-illinois-topped-out/" TargetMode="External"/><Relationship Id="rId1174" Type="http://schemas.openxmlformats.org/officeDocument/2006/relationships/hyperlink" Target="https://www.datacenterdynamics.com/en/news/decision-on-qts-planned-expansion-of-data-center-in-east-windsor-new-jersey-postponed/" TargetMode="External"/><Relationship Id="rId580" Type="http://schemas.openxmlformats.org/officeDocument/2006/relationships/hyperlink" Target="https://villageoflisle.civicweb.net/document/220244/25-1801.pdf?handle=E0E9A4C503DD44D3B92E78DB4DBED085" TargetMode="External"/><Relationship Id="rId1175" Type="http://schemas.openxmlformats.org/officeDocument/2006/relationships/hyperlink" Target="https://www.datacenterdynamics.com/en/news/us-department-of-the-air-force-accepting-proposals-for-ai-data-centers-in-military-bases/" TargetMode="External"/><Relationship Id="rId587" Type="http://schemas.openxmlformats.org/officeDocument/2006/relationships/hyperlink" Target="https://abc7chicago.com/amp/post/naperville-illinois-city-council-denies-plan-karis-critical-data-center-vacant-lucent-campus-off-warrenville-road/18442413/" TargetMode="External"/><Relationship Id="rId1176" Type="http://schemas.openxmlformats.org/officeDocument/2006/relationships/hyperlink" Target="https://dataverge.com/interconnected-colocation-new-york/" TargetMode="External"/><Relationship Id="rId586" Type="http://schemas.openxmlformats.org/officeDocument/2006/relationships/hyperlink" Target="https://www.dailyherald.com/20250901/news/backbone-of-the-digital-world-karis-details-plans-for-naperville-data-center-development/" TargetMode="External"/><Relationship Id="rId1177" Type="http://schemas.openxmlformats.org/officeDocument/2006/relationships/hyperlink" Target="https://www.mansfieldtwp.com/sites/g/files/vyhlif8026/f/news/mayor_statement-3-16-26.pdf" TargetMode="External"/><Relationship Id="rId585" Type="http://schemas.openxmlformats.org/officeDocument/2006/relationships/hyperlink" Target="https://www.change.org/p/naperville-planning-comission-stop-mega-housing-development-on-the-border-of-herrick-lake-and-danada-forest-preserves/u/34146049" TargetMode="External"/><Relationship Id="rId1178" Type="http://schemas.openxmlformats.org/officeDocument/2006/relationships/hyperlink" Target="https://www.datacenterdynamics.com/en/news/comcast-to-convert-former-bank-into-data-center-in-new-jersey/" TargetMode="External"/><Relationship Id="rId584" Type="http://schemas.openxmlformats.org/officeDocument/2006/relationships/hyperlink" Target="https://www.datacenterdynamics.com/en/news/ferc-approves-transmission-agreement-for-planned-1gw-tract-data-center-in-morris-illinois/" TargetMode="External"/><Relationship Id="rId1179" Type="http://schemas.openxmlformats.org/officeDocument/2006/relationships/hyperlink" Target="https://actionnetwork.org/petitions/stop-east-greenwich-data-center" TargetMode="External"/><Relationship Id="rId1169" Type="http://schemas.openxmlformats.org/officeDocument/2006/relationships/hyperlink" Target="https://www.mobilize.us/fwa/event/928996/" TargetMode="External"/><Relationship Id="rId579" Type="http://schemas.openxmlformats.org/officeDocument/2006/relationships/hyperlink" Target="https://www.datacenterdynamics.com/en/news/public-meeting-over-planned-data-center-project-in-lisle-illinois-postponed-due-to-large-number-of-attendees/" TargetMode="External"/><Relationship Id="rId578" Type="http://schemas.openxmlformats.org/officeDocument/2006/relationships/hyperlink" Target="https://www.illinoistimes.com/news/data-center-opposition/" TargetMode="External"/><Relationship Id="rId577" Type="http://schemas.openxmlformats.org/officeDocument/2006/relationships/hyperlink" Target="https://www.illinoistimes.com/news/logan-county-data-center-plans-delayed/" TargetMode="External"/><Relationship Id="rId2490" Type="http://schemas.openxmlformats.org/officeDocument/2006/relationships/hyperlink" Target="https://neighbors4change.com/" TargetMode="External"/><Relationship Id="rId1160" Type="http://schemas.openxmlformats.org/officeDocument/2006/relationships/hyperlink" Target="https://docs.google.com/spreadsheets/d/1v7zjT-c1Az7rPHQkQqd9kSZTf5wcMAKg7NFz317_l6s/edit?pli=1&amp;gid=1159825851" TargetMode="External"/><Relationship Id="rId2491" Type="http://schemas.openxmlformats.org/officeDocument/2006/relationships/hyperlink" Target="https://www.wtvr.com/news/local-news/hanover-data-center-proposal-sept-8-2025" TargetMode="External"/><Relationship Id="rId572" Type="http://schemas.openxmlformats.org/officeDocument/2006/relationships/hyperlink" Target="https://www.datacenterdynamics.com/en/news/data-center-proposal-rejected-in-pekin-illinois/" TargetMode="External"/><Relationship Id="rId1161" Type="http://schemas.openxmlformats.org/officeDocument/2006/relationships/hyperlink" Target="https://www.datacenterdynamics.com/en/news/h5-acquires-new-york-data-centers-from-yahoo-in-sale-leaseback-deal/" TargetMode="External"/><Relationship Id="rId2492" Type="http://schemas.openxmlformats.org/officeDocument/2006/relationships/hyperlink" Target="https://shows.acast.com/the-richmond-daily-news-now/episodes/hunting-hawk-golf-course-to-become-data-center" TargetMode="External"/><Relationship Id="rId571" Type="http://schemas.openxmlformats.org/officeDocument/2006/relationships/hyperlink" Target="https://www.datacenterdynamics.com/en/news/western-hospitality-partners-eyes-320-acre-data-center-campus-outside-peoria-illinois/" TargetMode="External"/><Relationship Id="rId1162" Type="http://schemas.openxmlformats.org/officeDocument/2006/relationships/hyperlink" Target="https://www.1011now.com/2025/05/05/lincoln-google-data-center-expected-be-service-by-fall/" TargetMode="External"/><Relationship Id="rId2493" Type="http://schemas.openxmlformats.org/officeDocument/2006/relationships/hyperlink" Target="https://www.datacenterdynamics.com/en/news/900mw-data-center-campus-plan-withdrawn-in-hanover-county-virginia/" TargetMode="External"/><Relationship Id="rId570" Type="http://schemas.openxmlformats.org/officeDocument/2006/relationships/hyperlink" Target="https://www.datacenterdynamics.com/en/news/t5-data-center-in-illinois-topped-out/" TargetMode="External"/><Relationship Id="rId1163" Type="http://schemas.openxmlformats.org/officeDocument/2006/relationships/hyperlink" Target="https://rbnenergy.com/i-know-places-tech-giants-may-be-the-surest-bets-for-data-center-power-demand" TargetMode="External"/><Relationship Id="rId2494" Type="http://schemas.openxmlformats.org/officeDocument/2006/relationships/hyperlink" Target="https://www.facebook.com/people/Stop-Hanover-Data-Centers/61584663185622/" TargetMode="External"/><Relationship Id="rId1164" Type="http://schemas.openxmlformats.org/officeDocument/2006/relationships/hyperlink" Target="https://epoch.ai/data/data-centers/satellite-explorer/GoogleOmahaNebraska?ref=404media.co" TargetMode="External"/><Relationship Id="rId2495" Type="http://schemas.openxmlformats.org/officeDocument/2006/relationships/hyperlink" Target="https://www.datacenterdynamics.com/en/news/tracts-430-acre-data-center-rejected-by-local-officials-in-hanover-county-virginia/" TargetMode="External"/><Relationship Id="rId576" Type="http://schemas.openxmlformats.org/officeDocument/2006/relationships/hyperlink" Target="https://www.wandtv.com/news/logan-co-residents-question-risks-of-proposed-hut-8-data-center-in-latham/article_5c7e3cb4-111d-4dcd-9c21-a261825314e4.html" TargetMode="External"/><Relationship Id="rId1165" Type="http://schemas.openxmlformats.org/officeDocument/2006/relationships/hyperlink" Target="https://www.datacenterdynamics.com/en/news/firstlight-expands-new-hampshire-data-center/" TargetMode="External"/><Relationship Id="rId2496" Type="http://schemas.openxmlformats.org/officeDocument/2006/relationships/hyperlink" Target="https://experience.arcgis.com/experience/72964533b5b14058835193306c7a33bc" TargetMode="External"/><Relationship Id="rId575" Type="http://schemas.openxmlformats.org/officeDocument/2006/relationships/hyperlink" Target="https://www.datacenterdynamics.com/en/news/approval-given-to-20bn-data-center-near-chicago-illinois/" TargetMode="External"/><Relationship Id="rId1166" Type="http://schemas.openxmlformats.org/officeDocument/2006/relationships/hyperlink" Target="https://www.change.org/p/stop-the-proposed-nottingham-nh-data-center" TargetMode="External"/><Relationship Id="rId2497" Type="http://schemas.openxmlformats.org/officeDocument/2006/relationships/hyperlink" Target="https://experience.arcgis.com/experience/72964533b5b14058835193306c7a33bc" TargetMode="External"/><Relationship Id="rId574" Type="http://schemas.openxmlformats.org/officeDocument/2006/relationships/hyperlink" Target="https://www.datacenterdynamics.com/en/news/proposal-for-20bn-data-center-outside-chicago-recommended-for-approval-by-local-planning-commission/" TargetMode="External"/><Relationship Id="rId1167" Type="http://schemas.openxmlformats.org/officeDocument/2006/relationships/hyperlink" Target="https://www.datacenterdynamics.com/en/news/proposal-for-data-center-in-nottingham-new-hampshire-withdrawn-after-facing-intense-opposition/" TargetMode="External"/><Relationship Id="rId2498" Type="http://schemas.openxmlformats.org/officeDocument/2006/relationships/hyperlink" Target="https://gis.vgsi.com/HarrisonburgVAMap/" TargetMode="External"/><Relationship Id="rId573" Type="http://schemas.openxmlformats.org/officeDocument/2006/relationships/hyperlink" Target="https://www.datacenterdynamics.com/en/news/developer-withdraws-data-center-proposal-in-pekin-illinois/" TargetMode="External"/><Relationship Id="rId1168" Type="http://schemas.openxmlformats.org/officeDocument/2006/relationships/hyperlink" Target="https://www.datacenterdynamics.com/en/news/comcast-to-convert-former-bank-into-data-center-in-new-jersey/" TargetMode="External"/><Relationship Id="rId2499" Type="http://schemas.openxmlformats.org/officeDocument/2006/relationships/hyperlink" Target="https://pwc.publicaccessnow.com/PropertyDetail.aspx?mpropertynumber=014988&amp;mtab=property&amp;p=014988" TargetMode="External"/><Relationship Id="rId1190" Type="http://schemas.openxmlformats.org/officeDocument/2006/relationships/hyperlink" Target="https://www.nj.com/news/2025/07/massive-ai-data-center-with-major-energy-needs-under-construction-in-south-jersey.html" TargetMode="External"/><Relationship Id="rId1191" Type="http://schemas.openxmlformats.org/officeDocument/2006/relationships/hyperlink" Target="https://www.silive.com/nation/2025/07/gigantic-artificial-intelligence-data-site-coming-to-northeast.html" TargetMode="External"/><Relationship Id="rId1192" Type="http://schemas.openxmlformats.org/officeDocument/2006/relationships/hyperlink" Target="https://www.fox29.com/news/residents-say-humming-from-new-ai-data-center-vineland-is-disrupting-daily-life" TargetMode="External"/><Relationship Id="rId1193" Type="http://schemas.openxmlformats.org/officeDocument/2006/relationships/hyperlink" Target="https://www.datacenterdynamics.com/en/news/njfx-plans-10mw-liquid-cooled-data-hall-in-new-jersey/" TargetMode="External"/><Relationship Id="rId1194" Type="http://schemas.openxmlformats.org/officeDocument/2006/relationships/hyperlink" Target="https://invest.jll.com/us/en/listings/special-purpose-facility/8-asset-switch-portfolio" TargetMode="External"/><Relationship Id="rId1195" Type="http://schemas.openxmlformats.org/officeDocument/2006/relationships/hyperlink" Target="https://www.datacenterdynamics.com/en/news/new-era-plans-7gw-ai-data-center-in-lea-county-new-mexico-powered-by-gas-and-nuclear/" TargetMode="External"/><Relationship Id="rId1196" Type="http://schemas.openxmlformats.org/officeDocument/2006/relationships/hyperlink" Target="https://www.datacenterdynamics.com/en/news/zenith-obtains-planning-approval-for-124gw-data-center-project-in-roswell-new-mexico/" TargetMode="External"/><Relationship Id="rId1197" Type="http://schemas.openxmlformats.org/officeDocument/2006/relationships/hyperlink" Target="https://empowernm.org/" TargetMode="External"/><Relationship Id="rId1198" Type="http://schemas.openxmlformats.org/officeDocument/2006/relationships/hyperlink" Target="https://www.facebook.com/groups/IndivisibleLASCRUCES/" TargetMode="External"/><Relationship Id="rId1199" Type="http://schemas.openxmlformats.org/officeDocument/2006/relationships/hyperlink" Target="https://nmelc.org/2026/01/20/nm-orgs-demand-public-transparency-and-access-concerning-project-jupiter-air-quality-permits/" TargetMode="External"/><Relationship Id="rId599" Type="http://schemas.openxmlformats.org/officeDocument/2006/relationships/hyperlink" Target="https://www.datacenterdynamics.com/en/news/illinois-man-arrested-after-threatening-local-authorities-to-stop-data-center-development/" TargetMode="External"/><Relationship Id="rId1180" Type="http://schemas.openxmlformats.org/officeDocument/2006/relationships/hyperlink" Target="https://www.datacenterdynamics.com/en/news/american-tower-withdraws-plans-for-data-center-in-new-jersey/" TargetMode="External"/><Relationship Id="rId1181" Type="http://schemas.openxmlformats.org/officeDocument/2006/relationships/hyperlink" Target="https://www.instagram.com/climaterevolutionnj/?utm_source=ig_embed&amp;ig_rid=2c789900-56ad-411d-b731-4bf9a380550f" TargetMode="External"/><Relationship Id="rId1182" Type="http://schemas.openxmlformats.org/officeDocument/2006/relationships/hyperlink" Target="https://www.datacenterdynamics.com/en/news/proposed-data-center-in-new-brunswick-new-jersey-denied-by-local-authorities/" TargetMode="External"/><Relationship Id="rId594" Type="http://schemas.openxmlformats.org/officeDocument/2006/relationships/hyperlink" Target="https://www.datacenterdynamics.com/en/news/head-of-north-pekin-illinois-says-that-former-amc-theater-will-not-be-turned-into-data-center/" TargetMode="External"/><Relationship Id="rId1183" Type="http://schemas.openxmlformats.org/officeDocument/2006/relationships/hyperlink" Target="https://www.nj.com/news/2026/05/a-huge-ai-data-center-could-be-coming-to-an-old-nj-airport-but-some-residents-are-fighting-back.html" TargetMode="External"/><Relationship Id="rId593" Type="http://schemas.openxmlformats.org/officeDocument/2006/relationships/hyperlink" Target="https://www.datacenterdynamics.com/en/news/aligned-completes-first-chicago-data-center-breaks-ground-on-second/" TargetMode="External"/><Relationship Id="rId1184" Type="http://schemas.openxmlformats.org/officeDocument/2006/relationships/hyperlink" Target="https://www.msn.com/en-us/news/us/town-hall-meeting-erupts-in-cheers-as-plans-for-new-jersey-data-center-are-scrapped/ar-AA24oqHL" TargetMode="External"/><Relationship Id="rId592" Type="http://schemas.openxmlformats.org/officeDocument/2006/relationships/hyperlink" Target="https://www.datacenterdynamics.com/en/news/aligned-completes-first-chicago-data-center-breaks-ground-on-second/" TargetMode="External"/><Relationship Id="rId1185" Type="http://schemas.openxmlformats.org/officeDocument/2006/relationships/hyperlink" Target="https://nj1015.com/andover-township-data-center-ban/" TargetMode="External"/><Relationship Id="rId591" Type="http://schemas.openxmlformats.org/officeDocument/2006/relationships/hyperlink" Target="https://www.datacenterdynamics.com/en/news/cielo-digital-infrastructure-plans-300mw-data-center-campus-in-south-carolina/" TargetMode="External"/><Relationship Id="rId1186" Type="http://schemas.openxmlformats.org/officeDocument/2006/relationships/hyperlink" Target="https://www.datacenterdynamics.com/en/news/gi-partners-acquires-130000-sq-ft-data-center-in-nutley-new-jersey/" TargetMode="External"/><Relationship Id="rId598" Type="http://schemas.openxmlformats.org/officeDocument/2006/relationships/hyperlink" Target="https://www.datacenterdynamics.com/en/news/cloverleaf-infrastructure-proposes-data-center-campus-near-st-louis-missouri/" TargetMode="External"/><Relationship Id="rId1187" Type="http://schemas.openxmlformats.org/officeDocument/2006/relationships/hyperlink" Target="https://www.datacenterdynamics.com/en/news/approval-for-major-data-center-development-granted-to-prism-capital-partners-in-nutley-new-jersey/" TargetMode="External"/><Relationship Id="rId597" Type="http://schemas.openxmlformats.org/officeDocument/2006/relationships/hyperlink" Target="https://www.change.org/p/reject-data-center-proposals-in-troy-illinois" TargetMode="External"/><Relationship Id="rId1188" Type="http://schemas.openxmlformats.org/officeDocument/2006/relationships/hyperlink" Target="https://www.change.org/p/stop-the-release-of-6-million-loan-for-ai-data-center-in-vineland-nj" TargetMode="External"/><Relationship Id="rId596" Type="http://schemas.openxmlformats.org/officeDocument/2006/relationships/hyperlink" Target="https://www.datacenterdynamics.com/en/news/closed-incinerator-near-chicago-eyed-for-potential-data-center-development/" TargetMode="External"/><Relationship Id="rId1189" Type="http://schemas.openxmlformats.org/officeDocument/2006/relationships/hyperlink" Target="https://www.msn.com/en-us/money/companies/massive-ai-data-center-with-major-energy-needs-under-construction-in-south-jersey/ar-AA1JwW6r" TargetMode="External"/><Relationship Id="rId595" Type="http://schemas.openxmlformats.org/officeDocument/2006/relationships/hyperlink" Target="https://www.datacenterdynamics.com/en/news/property-developer-eagle-rock-proposes-1gw-data-center-in-christian-county-illinois/" TargetMode="External"/><Relationship Id="rId1136" Type="http://schemas.openxmlformats.org/officeDocument/2006/relationships/hyperlink" Target="https://southerncoalition.org/wp-content/uploads/2026/03/2026-03-12-Complaint-and-Exhibits-Hairston-Clan-et-al-v-Stokes-Co.pdf" TargetMode="External"/><Relationship Id="rId2467" Type="http://schemas.openxmlformats.org/officeDocument/2006/relationships/hyperlink" Target="https://pwc.publicaccessnow.com/PropertyDetail.aspx?mtab=property&amp;mpropertynumber=265831" TargetMode="External"/><Relationship Id="rId1137" Type="http://schemas.openxmlformats.org/officeDocument/2006/relationships/hyperlink" Target="https://cwfnc.org/stokes/" TargetMode="External"/><Relationship Id="rId2468" Type="http://schemas.openxmlformats.org/officeDocument/2006/relationships/hyperlink" Target="https://www.datacenterdynamics.com/en/news/aws-qts-and-jk-land-holdings-planning-data-center-developments-in-virginias-prince-william-county/" TargetMode="External"/><Relationship Id="rId1138" Type="http://schemas.openxmlformats.org/officeDocument/2006/relationships/hyperlink" Target="https://actionnetwork.org/petitions/no-data-center-in-stokes-county/" TargetMode="External"/><Relationship Id="rId2469" Type="http://schemas.openxmlformats.org/officeDocument/2006/relationships/hyperlink" Target="https://pwc.publicaccessnow.com/PropertyDetail.aspx?mtab=property&amp;mpropertynumber=264261" TargetMode="External"/><Relationship Id="rId1139" Type="http://schemas.openxmlformats.org/officeDocument/2006/relationships/hyperlink" Target="https://www.datacenterdynamics.com/en/news/officials-in-north-carolina-county-void-data-center-rezoning-amid-legal-challenge/" TargetMode="External"/><Relationship Id="rId547" Type="http://schemas.openxmlformats.org/officeDocument/2006/relationships/hyperlink" Target="https://barringtonhills-il.gov/special-plan-commission-meeting-to-welcome-resident-input/" TargetMode="External"/><Relationship Id="rId546" Type="http://schemas.openxmlformats.org/officeDocument/2006/relationships/hyperlink" Target="https://www.datacenterdynamics.com/en/news/us-signal-acquires-data-center-in-aurora-illinois/" TargetMode="External"/><Relationship Id="rId545" Type="http://schemas.openxmlformats.org/officeDocument/2006/relationships/hyperlink" Target="https://datacenter.news/story/edged-expands-aurora-campus-with-waterless-ai-data-centre" TargetMode="External"/><Relationship Id="rId544" Type="http://schemas.openxmlformats.org/officeDocument/2006/relationships/hyperlink" Target="https://www.datacenterdynamics.com/en/news/first-nation-opposes-plan-for-ai-data-center-in-pocatello-idaho/" TargetMode="External"/><Relationship Id="rId549" Type="http://schemas.openxmlformats.org/officeDocument/2006/relationships/hyperlink" Target="https://www.shawlocal.com/northwest-herald/news/2026/01/29/2-billion-data-center-proposal-in-barrington-hills-withdrawn/" TargetMode="External"/><Relationship Id="rId548" Type="http://schemas.openxmlformats.org/officeDocument/2006/relationships/hyperlink" Target="https://www.change.org/p/deny-data-centers-in-barrington-hills" TargetMode="External"/><Relationship Id="rId2460" Type="http://schemas.openxmlformats.org/officeDocument/2006/relationships/hyperlink" Target="https://www.datacenterdynamics.com/en/news/10m-sq-ft-amazon-files-for-four-data-center-campuses-in-virginias-spotsylvania-and-caroline-counties/" TargetMode="External"/><Relationship Id="rId1130" Type="http://schemas.openxmlformats.org/officeDocument/2006/relationships/hyperlink" Target="https://ncejn.org/updates-on-the-fight-against-data-centers-edgecombe-county/" TargetMode="External"/><Relationship Id="rId2461" Type="http://schemas.openxmlformats.org/officeDocument/2006/relationships/hyperlink" Target="https://gis.spotsylvania.va.us/spotsylvania/" TargetMode="External"/><Relationship Id="rId1131" Type="http://schemas.openxmlformats.org/officeDocument/2006/relationships/hyperlink" Target="https://www.datacenterknowledge.com/build-design/developer-forges-ahead-with-38b-in-nc-data-center-builds?utm_source=chatgpt.com" TargetMode="External"/><Relationship Id="rId2462" Type="http://schemas.openxmlformats.org/officeDocument/2006/relationships/hyperlink" Target="https://www.spotsylvania.va.us/DocumentCenter/View/33280/1st-Submission-Narrative-22125" TargetMode="External"/><Relationship Id="rId543" Type="http://schemas.openxmlformats.org/officeDocument/2006/relationships/hyperlink" Target="https://www.datacenterdynamics.com/en/news/smr-developer-deep-atomic-proposes-nuclear-powered-ai-data-center-at-idaho-national-lab/" TargetMode="External"/><Relationship Id="rId1132" Type="http://schemas.openxmlformats.org/officeDocument/2006/relationships/hyperlink" Target="https://soundrivers.org/ai-data-center-community-meeting-kingsboro/" TargetMode="External"/><Relationship Id="rId2463" Type="http://schemas.openxmlformats.org/officeDocument/2006/relationships/hyperlink" Target="https://gis.spotsylvania.va.us/spotsylvania/" TargetMode="External"/><Relationship Id="rId542" Type="http://schemas.openxmlformats.org/officeDocument/2006/relationships/hyperlink" Target="https://www.change.org/p/say-no-to-nuclear-powered-ai-in-idaho-without-strong-climate-and-safety-protections" TargetMode="External"/><Relationship Id="rId1133" Type="http://schemas.openxmlformats.org/officeDocument/2006/relationships/hyperlink" Target="https://www.wfae.org/energy-environment/2025-12-02/proposed-edgecombe-county-data-center-draws-criticism-during-county-meeting" TargetMode="External"/><Relationship Id="rId2464" Type="http://schemas.openxmlformats.org/officeDocument/2006/relationships/hyperlink" Target="https://vantage-dc.com/company/contact-us/" TargetMode="External"/><Relationship Id="rId541" Type="http://schemas.openxmlformats.org/officeDocument/2006/relationships/hyperlink" Target="https://www.datacenterdynamics.com/en/news/microsoft-files-for-new-data-center-campus-in-des-moines-iowa/" TargetMode="External"/><Relationship Id="rId1134" Type="http://schemas.openxmlformats.org/officeDocument/2006/relationships/hyperlink" Target="https://www.wunc.org/2025-11-25/opposition-mounts-to-proposed-large-data-center-in-edgecombe-county?utm_source=chatgpt.com" TargetMode="External"/><Relationship Id="rId2465" Type="http://schemas.openxmlformats.org/officeDocument/2006/relationships/hyperlink" Target="https://pwc.publicaccessnow.com/PropertyDetail.aspx?mpropertynumber=091439&amp;mtab=property&amp;p=091439" TargetMode="External"/><Relationship Id="rId540" Type="http://schemas.openxmlformats.org/officeDocument/2006/relationships/hyperlink" Target="https://rbnenergy.com/i-know-places-tech-giants-may-be-the-surest-bets-for-data-center-power-demand" TargetMode="External"/><Relationship Id="rId1135" Type="http://schemas.openxmlformats.org/officeDocument/2006/relationships/hyperlink" Target="https://www.datacenterdynamics.com/en/news/north-carolina-ai-data-center-proposal-withdrawn-as-county-officials-mull-moratorium/" TargetMode="External"/><Relationship Id="rId2466" Type="http://schemas.openxmlformats.org/officeDocument/2006/relationships/hyperlink" Target="https://corscale.com/gainesville-crossing-data-center/" TargetMode="External"/><Relationship Id="rId1125" Type="http://schemas.openxmlformats.org/officeDocument/2006/relationships/hyperlink" Target="https://www.iredellfreenews.com/news-features/2025/statesville-planning-department-recommends-approval-of-rezoning-request-for-compass-data-centers-project/" TargetMode="External"/><Relationship Id="rId2456" Type="http://schemas.openxmlformats.org/officeDocument/2006/relationships/hyperlink" Target="https://va-stafford-assessor.publicaccessnow.com/PropertySearch/PropertyDetails.aspx?p=59%20%20%20%20%20%20%20%2075D&amp;a=58576" TargetMode="External"/><Relationship Id="rId1126" Type="http://schemas.openxmlformats.org/officeDocument/2006/relationships/hyperlink" Target="https://www.iredellfreenews.com/news-features/2025/breaking-news-statesville-council-unanimously-approves-rezoning-request-for-massive-data-center/" TargetMode="External"/><Relationship Id="rId2457" Type="http://schemas.openxmlformats.org/officeDocument/2006/relationships/hyperlink" Target="https://www.datacenterdynamics.com/en/news/data-center-campus-recommended-for-disapproval-by-fredericksburg-planning-commission/" TargetMode="External"/><Relationship Id="rId1127" Type="http://schemas.openxmlformats.org/officeDocument/2006/relationships/hyperlink" Target="https://www.charlotteobserver.com/news/business/development/article311792813.html" TargetMode="External"/><Relationship Id="rId2458" Type="http://schemas.openxmlformats.org/officeDocument/2006/relationships/hyperlink" Target="https://baxtel.com/data-center/amazon-summit-crossing-tech-campus" TargetMode="External"/><Relationship Id="rId1128" Type="http://schemas.openxmlformats.org/officeDocument/2006/relationships/hyperlink" Target="https://soundrivers.org/ai-data-center-community-meeting-kingsboro/" TargetMode="External"/><Relationship Id="rId2459" Type="http://schemas.openxmlformats.org/officeDocument/2006/relationships/hyperlink" Target="https://www.datacenterdynamics.com/en/news/10m-sq-ft-amazon-files-for-four-data-center-campuses-in-virginias-spotsylvania-and-caroline-counties/" TargetMode="External"/><Relationship Id="rId1129" Type="http://schemas.openxmlformats.org/officeDocument/2006/relationships/hyperlink" Target="https://www.facebook.com/groups/4550854725145782/" TargetMode="External"/><Relationship Id="rId536" Type="http://schemas.openxmlformats.org/officeDocument/2006/relationships/hyperlink" Target="https://www.datacenterdynamics.com/en/news/microsoft-files-for-new-data-center-campus-in-des-moines-iowa/" TargetMode="External"/><Relationship Id="rId535" Type="http://schemas.openxmlformats.org/officeDocument/2006/relationships/hyperlink" Target="https://www.datacenterdynamics.com/en/news/microsoft-granted-permit-for-new-data-center-in-des-moines-iowa/" TargetMode="External"/><Relationship Id="rId534" Type="http://schemas.openxmlformats.org/officeDocument/2006/relationships/hyperlink" Target="https://www.datacenterdynamics.com/en/news/microsoft-files-for-new-data-center-campus-in-des-moines-iowa/" TargetMode="External"/><Relationship Id="rId533" Type="http://schemas.openxmlformats.org/officeDocument/2006/relationships/hyperlink" Target="https://ground.news/article/us-signal-expands-national-infrastructure-footprint-with-major-data-center-and-fiber-investments?utm_source=chatgpt.com" TargetMode="External"/><Relationship Id="rId539" Type="http://schemas.openxmlformats.org/officeDocument/2006/relationships/hyperlink" Target="https://www.datacenterdynamics.com/en/news/microsoft-files-for-new-data-center-campus-in-des-moines-iowa/" TargetMode="External"/><Relationship Id="rId538" Type="http://schemas.openxmlformats.org/officeDocument/2006/relationships/hyperlink" Target="https://rbnenergy.com/i-know-places-tech-giants-may-be-the-surest-bets-for-data-center-power-demand" TargetMode="External"/><Relationship Id="rId537" Type="http://schemas.openxmlformats.org/officeDocument/2006/relationships/hyperlink" Target="https://www.datacenterdynamics.com/en/news/microsoft-files-for-new-data-center-campus-in-des-moines-iowa/" TargetMode="External"/><Relationship Id="rId2450" Type="http://schemas.openxmlformats.org/officeDocument/2006/relationships/hyperlink" Target="https://www.datacenterdynamics.com/en/news/data-center-campus-recommended-for-disapproval-by-fredericksburg-planning-commission/" TargetMode="External"/><Relationship Id="rId1120" Type="http://schemas.openxmlformats.org/officeDocument/2006/relationships/hyperlink" Target="https://www.datacenterdynamics.com/en/news/property-developer-drox-looking-to-build-129-acre-data-center-near-greensboro-north-carolina/" TargetMode="External"/><Relationship Id="rId2451" Type="http://schemas.openxmlformats.org/officeDocument/2006/relationships/hyperlink" Target="https://www.datacenterdynamics.com/en/news/powerhouse-plans-800mw-campus-in-virginias-spotsylvania-county/" TargetMode="External"/><Relationship Id="rId532" Type="http://schemas.openxmlformats.org/officeDocument/2006/relationships/hyperlink" Target="https://www.dbusiness.com/daily-news/us-signal-adding-3mw-of-commercial-computing-power-to-belleville-data-center/" TargetMode="External"/><Relationship Id="rId1121" Type="http://schemas.openxmlformats.org/officeDocument/2006/relationships/hyperlink" Target="https://insideclimatenews.org/news/01112025/north-carolina-natural-gas-well-data-center/" TargetMode="External"/><Relationship Id="rId2452" Type="http://schemas.openxmlformats.org/officeDocument/2006/relationships/hyperlink" Target="https://gis.spotsylvania.va.us/spotsylvania/" TargetMode="External"/><Relationship Id="rId531" Type="http://schemas.openxmlformats.org/officeDocument/2006/relationships/hyperlink" Target="https://www.datacenterdynamics.com/en/news/us-signal-to-expand-capacity-at-data-centers-in-michigan-detroit/" TargetMode="External"/><Relationship Id="rId1122" Type="http://schemas.openxmlformats.org/officeDocument/2006/relationships/hyperlink" Target="https://cwfnc.org/nofracklee/" TargetMode="External"/><Relationship Id="rId2453" Type="http://schemas.openxmlformats.org/officeDocument/2006/relationships/hyperlink" Target="https://www.datacenterdynamics.com/en/news/powerhouse-files-to-develop-second-phase-of-spotsylvania-data-center-campus-in-virginia/" TargetMode="External"/><Relationship Id="rId530" Type="http://schemas.openxmlformats.org/officeDocument/2006/relationships/hyperlink" Target="https://www.datacenterdynamics.com/en/news/900-acre-data-center-could-be-built-in-salix-iowa/" TargetMode="External"/><Relationship Id="rId1123" Type="http://schemas.openxmlformats.org/officeDocument/2006/relationships/hyperlink" Target="https://www.change.org/p/prevent-data-center-construction-in-iredell-county-residential-agricultural-area" TargetMode="External"/><Relationship Id="rId2454" Type="http://schemas.openxmlformats.org/officeDocument/2006/relationships/hyperlink" Target="https://www.nao.usace.army.mil/Media/Public-Notices/Article/4391426/nao-2021-03032-powerhouse95-data-center-phase-ii-spotsylvania-county-virginia/" TargetMode="External"/><Relationship Id="rId1124" Type="http://schemas.openxmlformats.org/officeDocument/2006/relationships/hyperlink" Target="https://www.datacenterdynamics.com/en/news/compass-datacenters-proposes-333-acre-campus-in-statesville-north-carolina/" TargetMode="External"/><Relationship Id="rId2455" Type="http://schemas.openxmlformats.org/officeDocument/2006/relationships/hyperlink" Target="https://app.sharebase.com/" TargetMode="External"/><Relationship Id="rId1158" Type="http://schemas.openxmlformats.org/officeDocument/2006/relationships/hyperlink" Target="https://www.datacenterdynamics.com/en/news/nebraska-carbon-black-plant-set-to-host-data-center/" TargetMode="External"/><Relationship Id="rId2489" Type="http://schemas.openxmlformats.org/officeDocument/2006/relationships/hyperlink" Target="https://smartdevtaskforce.com/" TargetMode="External"/><Relationship Id="rId1159" Type="http://schemas.openxmlformats.org/officeDocument/2006/relationships/hyperlink" Target="https://www.datacenterdynamics.com/en/news/sequitor-edge-to-build-data-center-on-16-acre-land-parcel-in-kearney-nebraska/" TargetMode="External"/><Relationship Id="rId569" Type="http://schemas.openxmlformats.org/officeDocument/2006/relationships/hyperlink" Target="https://www.datacenterdynamics.com/en/news/aligned-stream-and-nexstar-planning-data-center-campuses-in-elk-grove-area-of-chicago/" TargetMode="External"/><Relationship Id="rId568" Type="http://schemas.openxmlformats.org/officeDocument/2006/relationships/hyperlink" Target="https://www.datacenterdynamics.com/en/news/aligned-stream-and-nexstar-planning-data-center-campuses-in-elk-grove-area-of-chicago/" TargetMode="External"/><Relationship Id="rId567" Type="http://schemas.openxmlformats.org/officeDocument/2006/relationships/hyperlink" Target="https://www.datacenterdynamics.com/en/news/aligned-stream-and-nexstar-planning-data-center-campuses-in-elk-grove-area-of-chicago/" TargetMode="External"/><Relationship Id="rId566" Type="http://schemas.openxmlformats.org/officeDocument/2006/relationships/hyperlink" Target="https://www.datacenterdynamics.com/en/news/aligned-stream-and-nexstar-planning-data-center-campuses-in-elk-grove-area-of-chicago/" TargetMode="External"/><Relationship Id="rId2480" Type="http://schemas.openxmlformats.org/officeDocument/2006/relationships/hyperlink" Target="https://www.potomaclocal.com/2026/03/31/digital-gateway-projects-halted-court-rules-oak-valley-rezonings-invalid-in-major-resident-victory" TargetMode="External"/><Relationship Id="rId561" Type="http://schemas.openxmlformats.org/officeDocument/2006/relationships/hyperlink" Target="https://www.yahoo.com/news/articles/environmentally-friendly-data-center-coming-045900554.html" TargetMode="External"/><Relationship Id="rId1150" Type="http://schemas.openxmlformats.org/officeDocument/2006/relationships/hyperlink" Target="https://www.inforum.com/news/fargo/construction-begins-on-3-billion-ai-data-center-near-fargo" TargetMode="External"/><Relationship Id="rId2481" Type="http://schemas.openxmlformats.org/officeDocument/2006/relationships/hyperlink" Target="https://www.fauquiernow.com/news/business/digital-gateway-alert-judges-rule-in-favor-of-prince-william-residents/article_bbc1fa3b-cfea-5a99-9498-6b82a4535201.html" TargetMode="External"/><Relationship Id="rId560" Type="http://schemas.openxmlformats.org/officeDocument/2006/relationships/hyperlink" Target="https://www.idcnova.com/html/1/59/153/4755.html" TargetMode="External"/><Relationship Id="rId1151" Type="http://schemas.openxmlformats.org/officeDocument/2006/relationships/hyperlink" Target="https://www.inforum.com/news/fargo/fargo-withdraws-annexation-attempts-of-3-billion-ai-data-center-near-harwood" TargetMode="External"/><Relationship Id="rId2482" Type="http://schemas.openxmlformats.org/officeDocument/2006/relationships/hyperlink" Target="https://www.datacenterdynamics.com/en/news/officials-in-virginias-prince-william-county-drop-support-for-qtscompass-digital-gateway-data-center-project/?ms=emailcbzoom250715" TargetMode="External"/><Relationship Id="rId1152" Type="http://schemas.openxmlformats.org/officeDocument/2006/relationships/hyperlink" Target="https://www.datacenterdynamics.com/en/news/applied-digital-signs-250mw-agreement-with-coreweave-for-capacity-at-ellendale-campus-north-dakota/" TargetMode="External"/><Relationship Id="rId2483" Type="http://schemas.openxmlformats.org/officeDocument/2006/relationships/hyperlink" Target="https://www.fox5dc.com/news/qts-drops-appeal-ending-plans-massive-prince-william-county-data-center" TargetMode="External"/><Relationship Id="rId1153" Type="http://schemas.openxmlformats.org/officeDocument/2006/relationships/hyperlink" Target="https://www.inforum.com/business/large-scale-crypto-mining-data-center-planned-for-western-north-dakota-oil-patch" TargetMode="External"/><Relationship Id="rId2484" Type="http://schemas.openxmlformats.org/officeDocument/2006/relationships/hyperlink" Target="https://egcss.pwcgov.org/SelfService" TargetMode="External"/><Relationship Id="rId565" Type="http://schemas.openxmlformats.org/officeDocument/2006/relationships/hyperlink" Target="https://www.datacenterdynamics.com/en/news/aligned-stream-and-nexstar-planning-data-center-campuses-in-elk-grove-area-of-chicago/" TargetMode="External"/><Relationship Id="rId1154" Type="http://schemas.openxmlformats.org/officeDocument/2006/relationships/hyperlink" Target="https://cryptosaurus.tech/williams-co-residents-frustrated-by-no-crackdown-on-crypto-mine-state-says-its-a-local-issue/" TargetMode="External"/><Relationship Id="rId2485" Type="http://schemas.openxmlformats.org/officeDocument/2006/relationships/hyperlink" Target="https://pwc.publicaccessnow.com/PropertyDetail.aspx?mtab=property&amp;mpropertynumber=263077" TargetMode="External"/><Relationship Id="rId564" Type="http://schemas.openxmlformats.org/officeDocument/2006/relationships/hyperlink" Target="https://www.datacenterdynamics.com/en/news/aligned-stream-and-nexstar-planning-data-center-campuses-in-elk-grove-area-of-chicago/" TargetMode="External"/><Relationship Id="rId1155" Type="http://schemas.openxmlformats.org/officeDocument/2006/relationships/hyperlink" Target="https://www.kfyrtv.com/2024/03/20/court-hears-arguments-over-atlas-power-data-center-civil-lawsuit/?tbref=hp" TargetMode="External"/><Relationship Id="rId2486" Type="http://schemas.openxmlformats.org/officeDocument/2006/relationships/hyperlink" Target="https://www.datacenterdynamics.com/en/news/data-center-campus-gets-rezoning-approval-in-prince-william-county-virginia/" TargetMode="External"/><Relationship Id="rId563" Type="http://schemas.openxmlformats.org/officeDocument/2006/relationships/hyperlink" Target="https://therealdeal.com/chicago/2023/05/09/data-center-developer-aligned-assembles-26-acres-near-ohare/" TargetMode="External"/><Relationship Id="rId1156" Type="http://schemas.openxmlformats.org/officeDocument/2006/relationships/hyperlink" Target="https://www.kfyrtv.com/2025/06/17/settlement-reached-atlas-power-data-center-civil-lawsuit/" TargetMode="External"/><Relationship Id="rId2487" Type="http://schemas.openxmlformats.org/officeDocument/2006/relationships/hyperlink" Target="https://pwc.publicaccessnow.com/PropertyDetail.aspx?mtab=property&amp;mpropertynumber=229695" TargetMode="External"/><Relationship Id="rId562" Type="http://schemas.openxmlformats.org/officeDocument/2006/relationships/hyperlink" Target="https://www.datacenterdynamics.com/en/news/aligned-stream-and-nexstar-planning-data-center-campuses-in-elk-grove-area-of-chicago/" TargetMode="External"/><Relationship Id="rId1157" Type="http://schemas.openxmlformats.org/officeDocument/2006/relationships/hyperlink" Target="https://www.datacenterdynamics.com/en/news/455mw-data-center-campus-proposed-in-north-dakota/" TargetMode="External"/><Relationship Id="rId2488" Type="http://schemas.openxmlformats.org/officeDocument/2006/relationships/hyperlink" Target="https://realestate.henrico.us/ords/cam/f?p=510101:5:::NO::P5_PARCEL_ID,P5_SEARCH_TYPE:750-765-9452,0" TargetMode="External"/><Relationship Id="rId1147" Type="http://schemas.openxmlformats.org/officeDocument/2006/relationships/hyperlink" Target="https://www.datacenterdynamics.com/en/news/nixxy-and-tachyon-9-plan-up-to-1gw-data-center-campus-in-north-dakota/" TargetMode="External"/><Relationship Id="rId2478" Type="http://schemas.openxmlformats.org/officeDocument/2006/relationships/hyperlink" Target="https://egcss.pwcgov.org/SelfService" TargetMode="External"/><Relationship Id="rId1148" Type="http://schemas.openxmlformats.org/officeDocument/2006/relationships/hyperlink" Target="https://www.datacenterdynamics.com/en/news/applied-digital-plans-280mw-ai-data-center-campus-in-north-dakota/" TargetMode="External"/><Relationship Id="rId2479" Type="http://schemas.openxmlformats.org/officeDocument/2006/relationships/hyperlink" Target="https://www.pecva.org/resources/press/pec-statement-on-prince-william-digital-gateway-latest-legal-win" TargetMode="External"/><Relationship Id="rId1149" Type="http://schemas.openxmlformats.org/officeDocument/2006/relationships/hyperlink" Target="https://www.inforum.com/news/fargo/despite-calls-to-postpone-decision-harwood-greenlights-3-billion-ai-center" TargetMode="External"/><Relationship Id="rId558" Type="http://schemas.openxmlformats.org/officeDocument/2006/relationships/hyperlink" Target="https://www.datacenterdynamics.com/en/news/karis-withdraws-rezoning-request-for-data-center-in-hoffman-estates-illinois/" TargetMode="External"/><Relationship Id="rId557" Type="http://schemas.openxmlformats.org/officeDocument/2006/relationships/hyperlink" Target="https://usdatamap.com/facility/meta-dekalb-il-il-meta-8" TargetMode="External"/><Relationship Id="rId556" Type="http://schemas.openxmlformats.org/officeDocument/2006/relationships/hyperlink" Target="https://poweredbywho.com/projects/meta-dekalb-data-center-fc313cee" TargetMode="External"/><Relationship Id="rId555" Type="http://schemas.openxmlformats.org/officeDocument/2006/relationships/hyperlink" Target="https://datacenters.atmeta.com/2023/11/dekalb-we-are-online/" TargetMode="External"/><Relationship Id="rId559" Type="http://schemas.openxmlformats.org/officeDocument/2006/relationships/hyperlink" Target="https://www.effinghamdailynews.com/news/environmentally-friendly-data-center-coming-to-effingham/article_7f38e269-f40d-49d8-b607-55f26c7d4bf3.html" TargetMode="External"/><Relationship Id="rId550" Type="http://schemas.openxmlformats.org/officeDocument/2006/relationships/hyperlink" Target="https://www.datacenterdynamics.com/en/news/brennan-investment-group-withdraws-plans-for-2bn-data-center-outside-chicago-illinois/" TargetMode="External"/><Relationship Id="rId2470" Type="http://schemas.openxmlformats.org/officeDocument/2006/relationships/hyperlink" Target="https://pwc.publicaccessnow.com/PropertyDetail.aspx?mpropertynumber=252670&amp;mtab=property&amp;p=252670" TargetMode="External"/><Relationship Id="rId1140" Type="http://schemas.openxmlformats.org/officeDocument/2006/relationships/hyperlink" Target="https://www.yahoo.com/news/articles/stokes-county-votes-start-proposed-193733203.html" TargetMode="External"/><Relationship Id="rId2471" Type="http://schemas.openxmlformats.org/officeDocument/2006/relationships/hyperlink" Target="https://pwc.publicaccessnow.com/PropertyDetail.aspx?mpropertynumber=026368&amp;mtab=property&amp;p=026368" TargetMode="External"/><Relationship Id="rId1141" Type="http://schemas.openxmlformats.org/officeDocument/2006/relationships/hyperlink" Target="https://www.datacenterdynamics.com/en/news/company-eyes-300-acre-data-center-development-in-bismarck-north-dakota/" TargetMode="External"/><Relationship Id="rId2472" Type="http://schemas.openxmlformats.org/officeDocument/2006/relationships/hyperlink" Target="https://www.datacenterdynamics.com/en/news/data-center-granted-rezoning-and-special-use-permission-in-prince-william-county-virginia/" TargetMode="External"/><Relationship Id="rId1142" Type="http://schemas.openxmlformats.org/officeDocument/2006/relationships/hyperlink" Target="https://www.datacenterdynamics.com/en/news/applied-digital-signs-250mw-agreement-with-coreweave-for-capacity-at-ellendale-campus-north-dakota/" TargetMode="External"/><Relationship Id="rId2473" Type="http://schemas.openxmlformats.org/officeDocument/2006/relationships/hyperlink" Target="https://pwc.publicaccessnow.com/PropertyDetail.aspx?mtab=property&amp;mpropertynumber=013273" TargetMode="External"/><Relationship Id="rId554" Type="http://schemas.openxmlformats.org/officeDocument/2006/relationships/hyperlink" Target="https://www.datacenterdynamics.com/en/news/seven-building-data-center-campus-gets-preliminary-ok-from-illinois-planning-commission/" TargetMode="External"/><Relationship Id="rId1143" Type="http://schemas.openxmlformats.org/officeDocument/2006/relationships/hyperlink" Target="https://www.datacenterdynamics.com/en/news/applied-digital-plans-280mw-ai-data-center-campus-in-north-dakota/" TargetMode="External"/><Relationship Id="rId2474" Type="http://schemas.openxmlformats.org/officeDocument/2006/relationships/hyperlink" Target="https://egcss.pwcgov.org/SelfService" TargetMode="External"/><Relationship Id="rId553" Type="http://schemas.openxmlformats.org/officeDocument/2006/relationships/hyperlink" Target="https://www.datacenterdynamics.com/en/news/new-firm-announces-plans-for-20mw-liquid-cooled-data-center-in-chicago/" TargetMode="External"/><Relationship Id="rId1144" Type="http://schemas.openxmlformats.org/officeDocument/2006/relationships/hyperlink" Target="https://fargoinc.com/applied-digitals-high-performance-compute-expansion-in-north-dakota/" TargetMode="External"/><Relationship Id="rId2475" Type="http://schemas.openxmlformats.org/officeDocument/2006/relationships/hyperlink" Target="https://pwc.publicaccessnow.com/PropertyDetail.aspx?mpropertynumber=114169&amp;mtab=property&amp;p=114169" TargetMode="External"/><Relationship Id="rId552" Type="http://schemas.openxmlformats.org/officeDocument/2006/relationships/hyperlink" Target="https://www.change.org/p/regulate-ai-data-centers-in-chicago" TargetMode="External"/><Relationship Id="rId1145" Type="http://schemas.openxmlformats.org/officeDocument/2006/relationships/hyperlink" Target="https://www.datacenterdynamics.com/en/news/applied-digital-completes-first-data-center-building-at-north-dakota-campus/" TargetMode="External"/><Relationship Id="rId2476" Type="http://schemas.openxmlformats.org/officeDocument/2006/relationships/hyperlink" Target="https://www.datacenterdynamics.com/en/news/ntt-secures-four-data-center-leases-in-us-totaling-115mw/" TargetMode="External"/><Relationship Id="rId551" Type="http://schemas.openxmlformats.org/officeDocument/2006/relationships/hyperlink" Target="https://www.datacenterdynamics.com/en/news/planned-data-center-project-outside-chicago-illinois-paused-due-to-energy-infrastructure/" TargetMode="External"/><Relationship Id="rId1146" Type="http://schemas.openxmlformats.org/officeDocument/2006/relationships/hyperlink" Target="https://www.datacenterdynamics.com/en/news/applied-digital-completes-second-building-at-north-dakota-data-center-campus/" TargetMode="External"/><Relationship Id="rId2477" Type="http://schemas.openxmlformats.org/officeDocument/2006/relationships/hyperlink" Target="https://pwc.publicaccessnow.com/PropertyDetail.aspx?mpropertynumber=204354&amp;mtab=property&amp;p=204354" TargetMode="External"/><Relationship Id="rId495" Type="http://schemas.openxmlformats.org/officeDocument/2006/relationships/hyperlink" Target="https://apps.dca.ga.gov/DRI/AppSummary.aspx?driid=4315" TargetMode="External"/><Relationship Id="rId494" Type="http://schemas.openxmlformats.org/officeDocument/2006/relationships/hyperlink" Target="https://www.datacenterdynamics.com/en/news/ta-realty-files-for-1-million-sq-ft-data-center-campus-outside-atlanta-georgia/" TargetMode="External"/><Relationship Id="rId493" Type="http://schemas.openxmlformats.org/officeDocument/2006/relationships/hyperlink" Target="https://apps.dca.ga.gov/DRI/AppSummary.aspx?driid=4094" TargetMode="External"/><Relationship Id="rId492" Type="http://schemas.openxmlformats.org/officeDocument/2006/relationships/hyperlink" Target="https://www.datacenterdynamics.com/en/news/microsoft-confirms-plans-for-data-center-in-tyrone-georgia/" TargetMode="External"/><Relationship Id="rId499" Type="http://schemas.openxmlformats.org/officeDocument/2006/relationships/hyperlink" Target="https://www.datacenterdynamics.com/en/news/atlas-files-for-428-acre-technology-and-data-park-outside-atlanta-georgia/" TargetMode="External"/><Relationship Id="rId498" Type="http://schemas.openxmlformats.org/officeDocument/2006/relationships/hyperlink" Target="https://cms2.revize.com/revize/villaricaga/Documents/Government/Boards%20and%20Committees/Planning%20and%20Zoning/2024/Agenda/PlanningandZoningCommissionPacket08-20-24031218092024PM1371.pdf" TargetMode="External"/><Relationship Id="rId497" Type="http://schemas.openxmlformats.org/officeDocument/2006/relationships/hyperlink" Target="https://www.datacenterdynamics.com/en/news/atlas-files-for-428-acre-technology-and-data-park-outside-atlanta-georgia/" TargetMode="External"/><Relationship Id="rId496" Type="http://schemas.openxmlformats.org/officeDocument/2006/relationships/hyperlink" Target="https://share.newsbreak.com/f5k7f69n?s=i3" TargetMode="External"/><Relationship Id="rId1213" Type="http://schemas.openxmlformats.org/officeDocument/2006/relationships/hyperlink" Target="https://www.datacenterdynamics.com/en/news/170mw-data-center-campus-proposed-in-boulder-nevada/" TargetMode="External"/><Relationship Id="rId2544" Type="http://schemas.openxmlformats.org/officeDocument/2006/relationships/hyperlink" Target="https://dgtlinfra.com/blackchamber-group-data-centers-northern-virginia/" TargetMode="External"/><Relationship Id="rId1214" Type="http://schemas.openxmlformats.org/officeDocument/2006/relationships/hyperlink" Target="https://www.datacenterdynamics.com/en/news/170mw-data-center-project-outside-las-vegas-set-to-move-from-city-owned-to-federal-land/" TargetMode="External"/><Relationship Id="rId2545" Type="http://schemas.openxmlformats.org/officeDocument/2006/relationships/hyperlink" Target="https://reparcelasmt.loudoun.gov/pt/Datalets/Datalet.aspx?UseSearch=no&amp;mode=profileall&amp;pin=150151774000&amp;jur=107&amp;taxyr=2024" TargetMode="External"/><Relationship Id="rId1215" Type="http://schemas.openxmlformats.org/officeDocument/2006/relationships/hyperlink" Target="https://www.datacenterdynamics.com/en/news/novva-data-centers-buys-205-acres-of-land-in-las-vegas-nevada/" TargetMode="External"/><Relationship Id="rId2546" Type="http://schemas.openxmlformats.org/officeDocument/2006/relationships/hyperlink" Target="https://baxtel.com/data-center/tuscarora-crossing-campus" TargetMode="External"/><Relationship Id="rId1216" Type="http://schemas.openxmlformats.org/officeDocument/2006/relationships/hyperlink" Target="https://www.datacenterdynamics.com/en/news/novva-data-centers-buys-205-acres-of-land-in-las-vegas-nevada/" TargetMode="External"/><Relationship Id="rId2547" Type="http://schemas.openxmlformats.org/officeDocument/2006/relationships/hyperlink" Target="https://www.loudountimes.com/0local-or-not/1local/leesburg-town-council-approves-first-data-center/article_568da46e-d674-11ee-90ca-17b0a49acf18.html" TargetMode="External"/><Relationship Id="rId1217" Type="http://schemas.openxmlformats.org/officeDocument/2006/relationships/hyperlink" Target="https://www.cityofnorthlasvegas.com/business/economic-development/apex-industrial-park" TargetMode="External"/><Relationship Id="rId2548" Type="http://schemas.openxmlformats.org/officeDocument/2006/relationships/hyperlink" Target="https://reparcelasmt.loudoun.gov/pt/Datalets/Datalet.aspx?UseSearch=no&amp;mode=profileall&amp;pin=149192542000&amp;jur=107&amp;taxyr=2024" TargetMode="External"/><Relationship Id="rId1218" Type="http://schemas.openxmlformats.org/officeDocument/2006/relationships/hyperlink" Target="https://www.datacenterdynamics.com/en/news/switch-buys-another-site-outside-las-vegas/" TargetMode="External"/><Relationship Id="rId2549" Type="http://schemas.openxmlformats.org/officeDocument/2006/relationships/hyperlink" Target="https://loudouncountyvaeg.tylerhost.net/prod/selfservice" TargetMode="External"/><Relationship Id="rId1219" Type="http://schemas.openxmlformats.org/officeDocument/2006/relationships/hyperlink" Target="https://www.datacenterdynamics.com/en/news/switch-buys-176-acres-at-apex-industrial-park-las-vegas/" TargetMode="External"/><Relationship Id="rId2540" Type="http://schemas.openxmlformats.org/officeDocument/2006/relationships/hyperlink" Target="https://loudouncountyvaeg.tylerhost.net/prod/selfservice" TargetMode="External"/><Relationship Id="rId1210" Type="http://schemas.openxmlformats.org/officeDocument/2006/relationships/hyperlink" Target="https://www.datacenterdynamics.com/en/news/2gw-data-center-could-come-to-socorro-new-mexico/" TargetMode="External"/><Relationship Id="rId2541" Type="http://schemas.openxmlformats.org/officeDocument/2006/relationships/hyperlink" Target="https://reparcelasmt.loudoun.gov/pt/Datalets/Datalet.aspx?UseSearch=no&amp;mode=profileall&amp;pin=193186982000&amp;jur=107&amp;taxyr=2024" TargetMode="External"/><Relationship Id="rId1211" Type="http://schemas.openxmlformats.org/officeDocument/2006/relationships/hyperlink" Target="https://www.datacenterdynamics.com/en/news/plans-for-10000-acre-data-center-scrapped-in-socorro-new-mexico//" TargetMode="External"/><Relationship Id="rId2542" Type="http://schemas.openxmlformats.org/officeDocument/2006/relationships/hyperlink" Target="https://loudouncountyvaeg.tylerhost.net/prod/selfservice" TargetMode="External"/><Relationship Id="rId1212" Type="http://schemas.openxmlformats.org/officeDocument/2006/relationships/hyperlink" Target="https://www.change.org/p/no-data-centers-in-boulder-city" TargetMode="External"/><Relationship Id="rId2543" Type="http://schemas.openxmlformats.org/officeDocument/2006/relationships/hyperlink" Target="https://reparcelasmt.loudoun.gov/pt/Datalets/Datalet.aspx?UseSearch=no&amp;mode=profileall&amp;pin=193186982000&amp;jur=107&amp;taxyr=2024" TargetMode="External"/><Relationship Id="rId1202" Type="http://schemas.openxmlformats.org/officeDocument/2006/relationships/hyperlink" Target="https://kfoxtv.com/newsletter-daily/residents-demands-transparency-for-165-billion-santa-teresa-data-center-new-mexico-nm-dona-ana-county-project-jupiter-borderplex-digital" TargetMode="External"/><Relationship Id="rId2533" Type="http://schemas.openxmlformats.org/officeDocument/2006/relationships/hyperlink" Target="https://reparcelasmt.loudoun.gov/pt/datalets/datalet.aspx?mode=commercial&amp;UseSearch=no&amp;pin=234371847002&amp;jur=107&amp;taxyr=2025&amp;LMparent=20" TargetMode="External"/><Relationship Id="rId1203" Type="http://schemas.openxmlformats.org/officeDocument/2006/relationships/hyperlink" Target="https://elpasomatters.org/2025/09/19/project-jupiter-data-center-santa-teresa-approved-dona-ana-commissioners/" TargetMode="External"/><Relationship Id="rId2534" Type="http://schemas.openxmlformats.org/officeDocument/2006/relationships/hyperlink" Target="https://loudouncountyvaeg.tylerhost.net/prod/selfservice" TargetMode="External"/><Relationship Id="rId1204" Type="http://schemas.openxmlformats.org/officeDocument/2006/relationships/hyperlink" Target="https://www.bloomberg.com/news/articles/2025-09-19/ai-data-center-gets-approval-for-165-billion-phantom-debt-deal" TargetMode="External"/><Relationship Id="rId2535" Type="http://schemas.openxmlformats.org/officeDocument/2006/relationships/hyperlink" Target="https://reparcelasmt.loudoun.gov/pt/datalets/datalet.aspx?mode=land_summary&amp;UseSearch=no&amp;pin=234371847001&amp;jur=107&amp;taxyr=2025&amp;LMparent=20" TargetMode="External"/><Relationship Id="rId1205" Type="http://schemas.openxmlformats.org/officeDocument/2006/relationships/hyperlink" Target="https://elpasomatters.org/2025/09/25/stargate-open-ai-oracle-project-jupiter-data-center-dona-ana-new-mexico-el-paso-texas/" TargetMode="External"/><Relationship Id="rId2536" Type="http://schemas.openxmlformats.org/officeDocument/2006/relationships/hyperlink" Target="https://www.loudountimes.com/0local-or-not/1local/oaklawn-data-center-affordable-housing-proposal-faces-public-pushback/article_d731930a-5a9a-11ef-bb44-0f2c1a71197b.html" TargetMode="External"/><Relationship Id="rId1206" Type="http://schemas.openxmlformats.org/officeDocument/2006/relationships/hyperlink" Target="https://www.datacenterdynamics.com/en/news/groups-sue-to-stall-data-center-project-in-do%C3%B1a-ana-county-new-mexico/" TargetMode="External"/><Relationship Id="rId2537" Type="http://schemas.openxmlformats.org/officeDocument/2006/relationships/hyperlink" Target="https://reparcelasmt.loudoun.gov/pt/Datalets/Datalet.aspx?sIndex=3&amp;idx=1" TargetMode="External"/><Relationship Id="rId1207" Type="http://schemas.openxmlformats.org/officeDocument/2006/relationships/hyperlink" Target="https://www.datacenterdynamics.com/en/news/oracle-revealed-as-tenant-of-project-jupiter-data-center-campus-in-new-mexico/" TargetMode="External"/><Relationship Id="rId2538" Type="http://schemas.openxmlformats.org/officeDocument/2006/relationships/hyperlink" Target="https://loudouncountyvaeg.tylerhost.net/prod/selfservice" TargetMode="External"/><Relationship Id="rId1208" Type="http://schemas.openxmlformats.org/officeDocument/2006/relationships/hyperlink" Target="https://www.facebook.com/groups/467857417314430/posts/2172515400181948/" TargetMode="External"/><Relationship Id="rId2539" Type="http://schemas.openxmlformats.org/officeDocument/2006/relationships/hyperlink" Target="https://reparcelasmt.loudoun.gov/pt/Datalets/Datalet.aspx?UseSearch=no&amp;mode=profileall&amp;pin=236387331000&amp;jur=107&amp;taxyr=2024" TargetMode="External"/><Relationship Id="rId1209" Type="http://schemas.openxmlformats.org/officeDocument/2006/relationships/hyperlink" Target="https://www.change.org/p/no-data-center-in-socorro-nm-behind-m-mountain" TargetMode="External"/><Relationship Id="rId2530" Type="http://schemas.openxmlformats.org/officeDocument/2006/relationships/hyperlink" Target="https://www.pecva.org/region/loudoun/leesburg-gateway/" TargetMode="External"/><Relationship Id="rId1200" Type="http://schemas.openxmlformats.org/officeDocument/2006/relationships/hyperlink" Target="https://elpasomatters.org/2025/08/27/dona-ana-billion-dollar-data-center-santa-teresa-el-paso-water-meta/" TargetMode="External"/><Relationship Id="rId2531" Type="http://schemas.openxmlformats.org/officeDocument/2006/relationships/hyperlink" Target="https://www.datacenterdynamics.com/en/news/peterson-co-plots-three-building-data-center-campus-in-leesburg-virginia/" TargetMode="External"/><Relationship Id="rId1201" Type="http://schemas.openxmlformats.org/officeDocument/2006/relationships/hyperlink" Target="https://elpasomatters.org/2025/09/10/project-jupiter-data-center-santa-teresa-new-mexico-el-paso-texas-water-electricity/" TargetMode="External"/><Relationship Id="rId2532" Type="http://schemas.openxmlformats.org/officeDocument/2006/relationships/hyperlink" Target="https://loudouncountyvaeg.tylerhost.net/prod/selfservice" TargetMode="External"/><Relationship Id="rId1235" Type="http://schemas.openxmlformats.org/officeDocument/2006/relationships/hyperlink" Target="https://www.tract.com/project/peru-ridge/" TargetMode="External"/><Relationship Id="rId2566" Type="http://schemas.openxmlformats.org/officeDocument/2006/relationships/hyperlink" Target="https://pwc.publicaccessnow.com/PropertyDetail.aspx?mtab=property&amp;mpropertynumber=026258" TargetMode="External"/><Relationship Id="rId1236" Type="http://schemas.openxmlformats.org/officeDocument/2006/relationships/hyperlink" Target="https://www.datacenterdynamics.com/en/news/fleet-breaks-ground-on-data-center-outside-reno-nevada/" TargetMode="External"/><Relationship Id="rId2567" Type="http://schemas.openxmlformats.org/officeDocument/2006/relationships/hyperlink" Target="https://egcss.pwcgov.org/SelfService" TargetMode="External"/><Relationship Id="rId1237" Type="http://schemas.openxmlformats.org/officeDocument/2006/relationships/hyperlink" Target="https://www.datacenterdynamics.com/en/news/tract-acquires-8590-acres-in-reno-nevada-for-data-center-park/" TargetMode="External"/><Relationship Id="rId2568" Type="http://schemas.openxmlformats.org/officeDocument/2006/relationships/hyperlink" Target="https://pwc.publicaccessnow.com/PropertyDetail.aspx?mtab=property&amp;mpropertynumber=248324" TargetMode="External"/><Relationship Id="rId1238" Type="http://schemas.openxmlformats.org/officeDocument/2006/relationships/hyperlink" Target="https://www.tract.com/project/south-valley/" TargetMode="External"/><Relationship Id="rId2569" Type="http://schemas.openxmlformats.org/officeDocument/2006/relationships/hyperlink" Target="https://pwc.publicaccessnow.com/PropertyDetail.aspx?mtab=property&amp;mpropertynumber=248324" TargetMode="External"/><Relationship Id="rId1239" Type="http://schemas.openxmlformats.org/officeDocument/2006/relationships/hyperlink" Target="https://alliesoftsn.weebly.com/no-data-centers-at-stamp.html" TargetMode="External"/><Relationship Id="rId409" Type="http://schemas.openxmlformats.org/officeDocument/2006/relationships/hyperlink" Target="https://www.facebook.com/groups/1469043077373264/" TargetMode="External"/><Relationship Id="rId404" Type="http://schemas.openxmlformats.org/officeDocument/2006/relationships/hyperlink" Target="https://www.datacenterdynamics.com/en/news/125-million-sq-ft-data-center-proposed-outside-atlanta-georgia" TargetMode="External"/><Relationship Id="rId403" Type="http://schemas.openxmlformats.org/officeDocument/2006/relationships/hyperlink" Target="https://apps.dca.ga.gov/DRI/InitialForm.aspx?driid=4599" TargetMode="External"/><Relationship Id="rId402" Type="http://schemas.openxmlformats.org/officeDocument/2006/relationships/hyperlink" Target="https://www.datacenterdynamics.com/en/news/application-filed-for-5-million-sq-ft-data-center-campus-outside-atlanta-georgia/" TargetMode="External"/><Relationship Id="rId401" Type="http://schemas.openxmlformats.org/officeDocument/2006/relationships/hyperlink" Target="https://www.datacenterdynamics.com/en/news/land-rezoning-for-georgia-data-center-recommended-for-approval/" TargetMode="External"/><Relationship Id="rId408" Type="http://schemas.openxmlformats.org/officeDocument/2006/relationships/hyperlink" Target="https://www.facebook.com/groups/1345806563919459/" TargetMode="External"/><Relationship Id="rId407" Type="http://schemas.openxmlformats.org/officeDocument/2006/relationships/hyperlink" Target="https://www.change.org/p/citizens-opposed-to-data-centers-in-henry-county-ga" TargetMode="External"/><Relationship Id="rId406" Type="http://schemas.openxmlformats.org/officeDocument/2006/relationships/hyperlink" Target="https://henryga.news/2025/03/28/data-center-approved-to-locate-off-georgia-20-in-hampton/" TargetMode="External"/><Relationship Id="rId405" Type="http://schemas.openxmlformats.org/officeDocument/2006/relationships/hyperlink" Target="https://www.change.org/p/citizens-opposed-to-data-centers-in-henry-county-ga" TargetMode="External"/><Relationship Id="rId2560" Type="http://schemas.openxmlformats.org/officeDocument/2006/relationships/hyperlink" Target="https://www.datacenterdynamics.com/en/news/data-center-plan-for-campbell-county-virginia-rejected/" TargetMode="External"/><Relationship Id="rId1230" Type="http://schemas.openxmlformats.org/officeDocument/2006/relationships/hyperlink" Target="https://www.datacenterdynamics.com/en/news/tract-acquires-1000-acres-in-nevada-for-16gw-data-center-park/" TargetMode="External"/><Relationship Id="rId2561" Type="http://schemas.openxmlformats.org/officeDocument/2006/relationships/hyperlink" Target="https://wset.com/news/local/campbell-county-faces-data-center-proposals-as-residents-call-for-stricter-regulations-route-460-concord-cabin-field-road-mesh-capital-llc-supervisor-matthew-kline-november-2025" TargetMode="External"/><Relationship Id="rId400" Type="http://schemas.openxmlformats.org/officeDocument/2006/relationships/hyperlink" Target="https://www.datacenterdynamics.com/en/news/application-filed-for-5-million-sq-ft-data-center-campus-outside-atlanta-georgia/" TargetMode="External"/><Relationship Id="rId1231" Type="http://schemas.openxmlformats.org/officeDocument/2006/relationships/hyperlink" Target="https://www.datacenterdynamics.com/en/news/vantage-announces-224mw-data-center-campus-in-reno-nevada/" TargetMode="External"/><Relationship Id="rId2562" Type="http://schemas.openxmlformats.org/officeDocument/2006/relationships/hyperlink" Target="https://egcss.pwcgov.org/SelfService" TargetMode="External"/><Relationship Id="rId1232" Type="http://schemas.openxmlformats.org/officeDocument/2006/relationships/hyperlink" Target="https://www.datacenterdynamics.com/en/news/tract-acquires-1000-acres-in-nevada-for-16gw-data-center-park/" TargetMode="External"/><Relationship Id="rId2563" Type="http://schemas.openxmlformats.org/officeDocument/2006/relationships/hyperlink" Target="https://pwc.publicaccessnow.com/PropertyDetail.aspx?mtab=property&amp;mpropertynumber=114479" TargetMode="External"/><Relationship Id="rId1233" Type="http://schemas.openxmlformats.org/officeDocument/2006/relationships/hyperlink" Target="https://www.datacenterdynamics.com/en/news/tract-acquires-8590-acres-in-reno-nevada-for-data-center-park/" TargetMode="External"/><Relationship Id="rId2564" Type="http://schemas.openxmlformats.org/officeDocument/2006/relationships/hyperlink" Target="https://pwc.publicaccessnow.com/PropertyDetail.aspx?mpropertynumber=257650&amp;mtab=property&amp;p=257650" TargetMode="External"/><Relationship Id="rId1234" Type="http://schemas.openxmlformats.org/officeDocument/2006/relationships/hyperlink" Target="https://www.datacenterdynamics.com/en/news/tract-acquires-8590-acres-in-reno-nevada-for-data-center-park/" TargetMode="External"/><Relationship Id="rId2565" Type="http://schemas.openxmlformats.org/officeDocument/2006/relationships/hyperlink" Target="https://pwc.publicaccessnow.com/PropertyDetail.aspx?mtab=property&amp;mpropertynumber=026258" TargetMode="External"/><Relationship Id="rId1224" Type="http://schemas.openxmlformats.org/officeDocument/2006/relationships/hyperlink" Target="https://www.rgj.com/story/news/government/2025/03/14/north-valleys-data-center-approved-reno-nevada/82372711007/" TargetMode="External"/><Relationship Id="rId2555" Type="http://schemas.openxmlformats.org/officeDocument/2006/relationships/hyperlink" Target="https://www.bisnow.com/national/news/data-center/amazon-planning-1370-acre-virginia-data-center-campus-129714" TargetMode="External"/><Relationship Id="rId1225" Type="http://schemas.openxmlformats.org/officeDocument/2006/relationships/hyperlink" Target="https://www.rgj.com/story/news/2025/01/29/reno-council-allows-data-center-despite-environmental-groupblocks/77939893007/" TargetMode="External"/><Relationship Id="rId2556" Type="http://schemas.openxmlformats.org/officeDocument/2006/relationships/hyperlink" Target="https://tammypurcell.substack.com/p/breaking-amazon-proposes-third-data" TargetMode="External"/><Relationship Id="rId1226" Type="http://schemas.openxmlformats.org/officeDocument/2006/relationships/hyperlink" Target="https://www.rgj.com/story/news/government/2025/03/14/north-valleys-data-center-approved-reno-nevada/82372711007/" TargetMode="External"/><Relationship Id="rId2557" Type="http://schemas.openxmlformats.org/officeDocument/2006/relationships/hyperlink" Target="https://virginiamercury.com/2025/07/28/amazon-pulls-louisa-county-data-center-proposal-after-strong-resistance/" TargetMode="External"/><Relationship Id="rId1227" Type="http://schemas.openxmlformats.org/officeDocument/2006/relationships/hyperlink" Target="https://www.datacenterdynamics.com/en/news/tract-acquires-8590-acres-in-reno-nevada-for-data-center-park/" TargetMode="External"/><Relationship Id="rId2558" Type="http://schemas.openxmlformats.org/officeDocument/2006/relationships/hyperlink" Target="https://www.datacenterdynamics.com/en/news/aws-seeks-permit-for-another-data-center-campus-in-louisa-county-virginia/" TargetMode="External"/><Relationship Id="rId1228" Type="http://schemas.openxmlformats.org/officeDocument/2006/relationships/hyperlink" Target="https://www.tract.com/project/south-valley/" TargetMode="External"/><Relationship Id="rId2559" Type="http://schemas.openxmlformats.org/officeDocument/2006/relationships/hyperlink" Target="https://wset.com/news/local/campbell-county-supervisors-urged-to-reject-data-center-proposal-amid-concerns-september-2025-cabin-field-road-concord-route-460" TargetMode="External"/><Relationship Id="rId1229" Type="http://schemas.openxmlformats.org/officeDocument/2006/relationships/hyperlink" Target="https://www.datacenterdynamics.com/en/news/fleet-breaks-ground-on-data-center-outside-reno-nevada/" TargetMode="External"/><Relationship Id="rId2550" Type="http://schemas.openxmlformats.org/officeDocument/2006/relationships/hyperlink" Target="https://reparcelasmt.loudoun.gov/pt/Datalets/Datalet.aspx?UseSearch=no&amp;mode=profileall&amp;pin=241270467000&amp;jur=107&amp;taxyr=2025" TargetMode="External"/><Relationship Id="rId1220" Type="http://schemas.openxmlformats.org/officeDocument/2006/relationships/hyperlink" Target="http://jet.ai" TargetMode="External"/><Relationship Id="rId2551" Type="http://schemas.openxmlformats.org/officeDocument/2006/relationships/hyperlink" Target="https://www.battlefields.org/preserve/speak-out/fight-continues-wilderness-battlefield" TargetMode="External"/><Relationship Id="rId1221" Type="http://schemas.openxmlformats.org/officeDocument/2006/relationships/hyperlink" Target="https://www.datacenterdynamics.com/en/news/jetai-cce-form-jv-to-develop-50mw-data-center-in-clark-county-nevada/" TargetMode="External"/><Relationship Id="rId2552" Type="http://schemas.openxmlformats.org/officeDocument/2006/relationships/hyperlink" Target="https://orange.cama.concisesystems.com/PropertyPage.aspx?id=5295&amp;direct=1" TargetMode="External"/><Relationship Id="rId1222" Type="http://schemas.openxmlformats.org/officeDocument/2006/relationships/hyperlink" Target="https://www.datacenterdynamics.com/en/news/centra-breaks-ground-on-second-reno-data-center/" TargetMode="External"/><Relationship Id="rId2553" Type="http://schemas.openxmlformats.org/officeDocument/2006/relationships/hyperlink" Target="https://www.datacenterdynamics.com/en/news/amazon-files-for-38-million-sq-ft-data-center-campus-in-louisa-county-virginia/" TargetMode="External"/><Relationship Id="rId1223" Type="http://schemas.openxmlformats.org/officeDocument/2006/relationships/hyperlink" Target="https://www.rgj.com/story/news/government/2025/09/22/reno-planning-commission-approves-existing-minor-data-center/86250213007/" TargetMode="External"/><Relationship Id="rId2554" Type="http://schemas.openxmlformats.org/officeDocument/2006/relationships/hyperlink" Target="https://www.louisacounty.gov/faq.aspx?qid=275" TargetMode="External"/><Relationship Id="rId2500" Type="http://schemas.openxmlformats.org/officeDocument/2006/relationships/hyperlink" Target="https://pwc.publicaccessnow.com/PropertyDetail.aspx?mtab=property&amp;mpropertynumber=014988" TargetMode="External"/><Relationship Id="rId2501" Type="http://schemas.openxmlformats.org/officeDocument/2006/relationships/hyperlink" Target="https://pwc.publicaccessnow.com/PropertyDetail.aspx?mpropertynumber=211089&amp;mtab=property&amp;p=211089" TargetMode="External"/><Relationship Id="rId2502" Type="http://schemas.openxmlformats.org/officeDocument/2006/relationships/hyperlink" Target="https://realestate.henrico.us/ords/cam/f?p=510101:5:::NO::P5_PARCEL_ID,P5_SEARCH_TYPE:781-757-7788,0" TargetMode="External"/><Relationship Id="rId2503" Type="http://schemas.openxmlformats.org/officeDocument/2006/relationships/hyperlink" Target="https://realestate.henrico.us/ords/cam/f?p=510101:5:::NO::P5_PARCEL_ID,P5_SEARCH_TYPE:771-752-8623,0" TargetMode="External"/><Relationship Id="rId2504" Type="http://schemas.openxmlformats.org/officeDocument/2006/relationships/hyperlink" Target="https://www.goochlandva.us/1480/Tuckahoe-Technology-Park" TargetMode="External"/><Relationship Id="rId2505" Type="http://schemas.openxmlformats.org/officeDocument/2006/relationships/hyperlink" Target="https://richmondbizsense.com/2026/06/11/tuckahoe-tech-park-data-center-campus-planned-on-900-acre-tract-in-goochland/" TargetMode="External"/><Relationship Id="rId2506" Type="http://schemas.openxmlformats.org/officeDocument/2006/relationships/hyperlink" Target="https://icare.fairfaxcounty.gov/ffxcare/Datalets/Datalet.aspx?mode=&amp;UseSearch=no&amp;pin=0162%2054%20%200002&amp;jur=129&amp;taxyr=2025" TargetMode="External"/><Relationship Id="rId2507" Type="http://schemas.openxmlformats.org/officeDocument/2006/relationships/hyperlink" Target="https://www.fairfaxcounty.gov/planning-development/sites/planning-development/files/Assets/Documents/PDF/data-centers-report.pdf" TargetMode="External"/><Relationship Id="rId2508" Type="http://schemas.openxmlformats.org/officeDocument/2006/relationships/hyperlink" Target="https://icare.fairfaxcounty.gov/ffxcare/Datalets/Datalet.aspx?mode=&amp;UseSearch=no&amp;pin=0242%2014%20%200004&amp;jur=129&amp;taxyr=2025" TargetMode="External"/><Relationship Id="rId2509" Type="http://schemas.openxmlformats.org/officeDocument/2006/relationships/hyperlink" Target="https://www.datacenterdynamics.com/en/news/former-ethanol-plant-outside-richmond-virginia-eyed-for-20mw-data-center/" TargetMode="External"/><Relationship Id="rId2522" Type="http://schemas.openxmlformats.org/officeDocument/2006/relationships/hyperlink" Target="https://loudouncountyvaeg.tylerhost.net/prod/selfservice" TargetMode="External"/><Relationship Id="rId2523" Type="http://schemas.openxmlformats.org/officeDocument/2006/relationships/hyperlink" Target="https://reparcelasmt.loudoun.gov/pt/Datalets/Datalet.aspx?UseSearch=no&amp;mode=profileall&amp;pin=237395293000&amp;jur=107&amp;taxyr=2024" TargetMode="External"/><Relationship Id="rId2524" Type="http://schemas.openxmlformats.org/officeDocument/2006/relationships/hyperlink" Target="https://loudouncountyvaeg.tylerhost.net/prod/selfservice" TargetMode="External"/><Relationship Id="rId2525" Type="http://schemas.openxmlformats.org/officeDocument/2006/relationships/hyperlink" Target="https://reparcelasmt.loudoun.gov/pt/Datalets/Datalet.aspx?UseSearch=no&amp;mode=profileall&amp;pin=194498227000&amp;jur=107&amp;taxyr=2024" TargetMode="External"/><Relationship Id="rId2526" Type="http://schemas.openxmlformats.org/officeDocument/2006/relationships/hyperlink" Target="https://reparcelasmt.loudoun.gov/pt/Datalets/Datalet.aspx?UseSearch=no&amp;mode=profileall&amp;pin=235297431000&amp;jur=107&amp;taxyr=2024" TargetMode="External"/><Relationship Id="rId2527" Type="http://schemas.openxmlformats.org/officeDocument/2006/relationships/hyperlink" Target="https://www.datacenterdynamics.com/en/news/amazon-acquires-100-acres-in-leesburg-virginia-for-potential-data-center-development/" TargetMode="External"/><Relationship Id="rId2528" Type="http://schemas.openxmlformats.org/officeDocument/2006/relationships/hyperlink" Target="https://www.loudountimes.com/news/google-purchases-148-acres-in-loudoun-county-for-two-new-data-centers/article_9ea96f08-75b1-5779-9fcf-e2b1dec8429e.html" TargetMode="External"/><Relationship Id="rId2529" Type="http://schemas.openxmlformats.org/officeDocument/2006/relationships/hyperlink" Target="https://reparcelasmt.loudoun.gov/pt/Datalets/Datalet.aspx?UseSearch=no&amp;mode=profileall&amp;pin=148350679000&amp;jur=107&amp;taxyr=2024" TargetMode="External"/><Relationship Id="rId2520" Type="http://schemas.openxmlformats.org/officeDocument/2006/relationships/hyperlink" Target="https://www.datacenterdynamics.com/en/news/proposal-for-data-center-in-leesburg-virginia-approved/" TargetMode="External"/><Relationship Id="rId2521" Type="http://schemas.openxmlformats.org/officeDocument/2006/relationships/hyperlink" Target="https://www.datacenterdynamics.com/en/news/two-building-data-center-campus-eyed-outside-leesburg-virginia/" TargetMode="External"/><Relationship Id="rId2511" Type="http://schemas.openxmlformats.org/officeDocument/2006/relationships/hyperlink" Target="https://pwc.publicaccessnow.com/PropertyDetail.aspx?mtab=property&amp;mpropertynumber=248431" TargetMode="External"/><Relationship Id="rId2512" Type="http://schemas.openxmlformats.org/officeDocument/2006/relationships/hyperlink" Target="https://www.datacenterdynamics.com/en/news/edgecore-to-develop-11gw-data-center-in-louisa-county-virginia/" TargetMode="External"/><Relationship Id="rId2513" Type="http://schemas.openxmlformats.org/officeDocument/2006/relationships/hyperlink" Target="https://www.datacenterdynamics.com/en/news/virginias-king-george-county-looks-to-approve-75m-sq-ft-data-center-park-for-amazon/" TargetMode="External"/><Relationship Id="rId2514" Type="http://schemas.openxmlformats.org/officeDocument/2006/relationships/hyperlink" Target="https://www.datacenterdynamics.com/en/news/9-million-sq-ft-data-center-campus-proposed-in-virginias-king-george-county/" TargetMode="External"/><Relationship Id="rId2515" Type="http://schemas.openxmlformats.org/officeDocument/2006/relationships/hyperlink" Target="https://loudouncountyvaeg.tylerhost.net/prod/selfservice" TargetMode="External"/><Relationship Id="rId2516" Type="http://schemas.openxmlformats.org/officeDocument/2006/relationships/hyperlink" Target="https://reparcelasmt.loudoun.gov/pt/datalets/datalet.aspx?mode=profileall&amp;UseSearch=no&amp;pin=194103673001&amp;jur=107&amp;taxyr=2024&amp;LMparent=20" TargetMode="External"/><Relationship Id="rId2517" Type="http://schemas.openxmlformats.org/officeDocument/2006/relationships/hyperlink" Target="https://loudouncountyvaeg.tylerhost.net/prod/selfservice" TargetMode="External"/><Relationship Id="rId2518" Type="http://schemas.openxmlformats.org/officeDocument/2006/relationships/hyperlink" Target="https://reparcelasmt.loudoun.gov/pt/Datalets/Datalet.aspx?UseSearch=no&amp;mode=profileall&amp;pin=192163918000&amp;jur=107&amp;taxyr=2024" TargetMode="External"/><Relationship Id="rId2519" Type="http://schemas.openxmlformats.org/officeDocument/2006/relationships/hyperlink" Target="https://www.loudounnow.com/news/supervisors-narrowly-approve-data-center-near-leesburg/article_3e355c29-4dbc-42df-bdb9-37d86f3013ad.html" TargetMode="External"/><Relationship Id="rId2510" Type="http://schemas.openxmlformats.org/officeDocument/2006/relationships/hyperlink" Target="https://egcss.pwcgov.org/SelfService" TargetMode="External"/><Relationship Id="rId469" Type="http://schemas.openxmlformats.org/officeDocument/2006/relationships/hyperlink" Target="https://www.datacenterdynamics.com/en/news/atlas-named-as-developer-on-project-sassy-in-rome-georgia/" TargetMode="External"/><Relationship Id="rId468" Type="http://schemas.openxmlformats.org/officeDocument/2006/relationships/hyperlink" Target="https://www.datacenterdynamics.com/en/news/atlas-plans-24-million-sq-ft-data-center-campus-outside-rome-georgia/" TargetMode="External"/><Relationship Id="rId467" Type="http://schemas.openxmlformats.org/officeDocument/2006/relationships/hyperlink" Target="https://www.datacenterdynamics.com/en/news/microsoft-to-develop-350-acre-data-center-campus-in-rome-georgia/" TargetMode="External"/><Relationship Id="rId1290" Type="http://schemas.openxmlformats.org/officeDocument/2006/relationships/hyperlink" Target="https://www.datacenterdynamics.com/en/news/st-lawrence-county-planning-board-approves-conversion-sears-store-data-center/" TargetMode="External"/><Relationship Id="rId1291" Type="http://schemas.openxmlformats.org/officeDocument/2006/relationships/hyperlink" Target="https://www.govtech.com/policy/upstate-new-york-planning-board-converts-sears-to-data-center.html" TargetMode="External"/><Relationship Id="rId1292" Type="http://schemas.openxmlformats.org/officeDocument/2006/relationships/hyperlink" Target="https://finance.yahoo.com/news/former-massena-mall-now-industrial-035900751.html" TargetMode="External"/><Relationship Id="rId462" Type="http://schemas.openxmlformats.org/officeDocument/2006/relationships/hyperlink" Target="https://www.datacenterdynamics.com/en/news/t5-requests-permission-for-3-million-sq-ft-campus-outside-atlanta-georgia/" TargetMode="External"/><Relationship Id="rId1293" Type="http://schemas.openxmlformats.org/officeDocument/2006/relationships/hyperlink" Target="https://www.interconnection.fyi/project/nyiso-1719" TargetMode="External"/><Relationship Id="rId461" Type="http://schemas.openxmlformats.org/officeDocument/2006/relationships/hyperlink" Target="https://apps.dca.ga.gov/DRI/AppSummary.aspx?driid=4301" TargetMode="External"/><Relationship Id="rId1294" Type="http://schemas.openxmlformats.org/officeDocument/2006/relationships/hyperlink" Target="https://northcountrynow.com/stories/north-country-data-centers-future-thwarted-by-proposed-regulations,236005" TargetMode="External"/><Relationship Id="rId460" Type="http://schemas.openxmlformats.org/officeDocument/2006/relationships/hyperlink" Target="https://www.datacenterdynamics.com/en/news/strategic-files-for-21m-sq-ft-data-center-campus-outside-atlanta-georgia/" TargetMode="External"/><Relationship Id="rId1295" Type="http://schemas.openxmlformats.org/officeDocument/2006/relationships/hyperlink" Target="https://www.nyiso.com/documents/20142/2226333/2025-Gold-Book-Public.pdf/088438e1-02f1-5316-211b-dbca17c01b4b" TargetMode="External"/><Relationship Id="rId1296" Type="http://schemas.openxmlformats.org/officeDocument/2006/relationships/hyperlink" Target="https://www.datacenterdynamics.com/en/news/nydig-looks-to-expand-data-center-at-massena-site-new-york/" TargetMode="External"/><Relationship Id="rId466" Type="http://schemas.openxmlformats.org/officeDocument/2006/relationships/hyperlink" Target="https://www.facebook.com/bartowcountygeorgiamediagroup/posts/things-are-heating-up-in-floyd-county-over-data-centers-and-open-meeting-complai/871398232192995/" TargetMode="External"/><Relationship Id="rId1297" Type="http://schemas.openxmlformats.org/officeDocument/2006/relationships/hyperlink" Target="https://www.yahoo.com/news/land-clearing-underway-massena-data-045900706.html" TargetMode="External"/><Relationship Id="rId465" Type="http://schemas.openxmlformats.org/officeDocument/2006/relationships/hyperlink" Target="https://www.northwestgeorgianews.com/rome/news/local/battey-business-complex-demolition-to-start-next-summer/article_4916b177-51d6-4d8e-98e4-8e312609878b.html" TargetMode="External"/><Relationship Id="rId1298" Type="http://schemas.openxmlformats.org/officeDocument/2006/relationships/hyperlink" Target="https://www.nyiso.com/documents/20142/2226333/2025-Gold-Book-Public.pdf/088438e1-02f1-5316-211b-dbca17c01b4b" TargetMode="External"/><Relationship Id="rId464" Type="http://schemas.openxmlformats.org/officeDocument/2006/relationships/hyperlink" Target="https://www.datacenterdynamics.com/en/news/data-center-planned-on-114-acre-plot-in-rome-georgia/" TargetMode="External"/><Relationship Id="rId1299" Type="http://schemas.openxmlformats.org/officeDocument/2006/relationships/hyperlink" Target="https://www.databank.com/data-centers/new-york-city/" TargetMode="External"/><Relationship Id="rId463" Type="http://schemas.openxmlformats.org/officeDocument/2006/relationships/hyperlink" Target="https://www.facebook.com/groups/wesayno/" TargetMode="External"/><Relationship Id="rId459" Type="http://schemas.openxmlformats.org/officeDocument/2006/relationships/hyperlink" Target="https://apps.dca.ga.gov/DRI/AppSummary.aspx?driid=3576" TargetMode="External"/><Relationship Id="rId458" Type="http://schemas.openxmlformats.org/officeDocument/2006/relationships/hyperlink" Target="https://www.datacenterdynamics.com/en/news/plans-filed-for-14-million-sq-ft-data-center-campus-outside-atlanta-georgia/" TargetMode="External"/><Relationship Id="rId457" Type="http://schemas.openxmlformats.org/officeDocument/2006/relationships/hyperlink" Target="https://cleanview.co/public/data-centers/georgia/2231/project-arrowhead" TargetMode="External"/><Relationship Id="rId456" Type="http://schemas.openxmlformats.org/officeDocument/2006/relationships/hyperlink" Target="https://apps.dca.ga.gov/DRI/AppSummary.aspx?driid=4689" TargetMode="External"/><Relationship Id="rId1280" Type="http://schemas.openxmlformats.org/officeDocument/2006/relationships/hyperlink" Target="https://waterfrontonline.blog/2019/05/17/cayuga-power-plant-wants-to-shut-down-convert-to-power-hungry-data-center/" TargetMode="External"/><Relationship Id="rId1281" Type="http://schemas.openxmlformats.org/officeDocument/2006/relationships/hyperlink" Target="https://ithacavoice.org/2025/09/environmentalists-sound-alarm-as-plan-to-convert-cayuga-power-plant-to-data-center-advances/" TargetMode="External"/><Relationship Id="rId451" Type="http://schemas.openxmlformats.org/officeDocument/2006/relationships/hyperlink" Target="https://www.ajc.com/news/business/project-sail-a-17b-data-center-project-pitched-south-of-atlanta/D33GKROJBJEEPATVVCT3OVZR2Q/" TargetMode="External"/><Relationship Id="rId1282" Type="http://schemas.openxmlformats.org/officeDocument/2006/relationships/hyperlink" Target="https://tompkinsweekly.com/articles/cayuga-data-campus-lansing/" TargetMode="External"/><Relationship Id="rId450" Type="http://schemas.openxmlformats.org/officeDocument/2006/relationships/hyperlink" Target="https://www.datacenterdynamics.com/en/news/project-sail-data-center-newnan-atlanta-georgia/" TargetMode="External"/><Relationship Id="rId1283" Type="http://schemas.openxmlformats.org/officeDocument/2006/relationships/hyperlink" Target="https://ithacavoice.org/2026/01/local-groups-file-suit-against-terawulf-lansing-zoning-board-over-data-center/" TargetMode="External"/><Relationship Id="rId1284" Type="http://schemas.openxmlformats.org/officeDocument/2006/relationships/hyperlink" Target="https://www.ithaca.com/news/lansing/flx-strong-clean-file-lawsuit-against-lansing-zba-terawulf-to-block-data-center/article_97b45f0f-c849-497c-9daa-6040f1f1710b.html" TargetMode="External"/><Relationship Id="rId1285" Type="http://schemas.openxmlformats.org/officeDocument/2006/relationships/hyperlink" Target="https://www.datacenterdynamics.com/en/news/h5-acquires-new-york-data-centers-from-yahoo-in-sale-leaseback-deal/" TargetMode="External"/><Relationship Id="rId455" Type="http://schemas.openxmlformats.org/officeDocument/2006/relationships/hyperlink" Target="https://www.change.org/p/protect-irwin-county-from-data-centers" TargetMode="External"/><Relationship Id="rId1286" Type="http://schemas.openxmlformats.org/officeDocument/2006/relationships/hyperlink" Target="https://www.petitions.com/data_center_moratorium_in_lysander_ny" TargetMode="External"/><Relationship Id="rId454" Type="http://schemas.openxmlformats.org/officeDocument/2006/relationships/hyperlink" Target="https://baxtel.com/data-center/flexential-atlanta-norcross" TargetMode="External"/><Relationship Id="rId1287" Type="http://schemas.openxmlformats.org/officeDocument/2006/relationships/hyperlink" Target="https://www.syracuse.com/news/2025/11/prominent-syracuse-developer-plans-for-data-center-at-suburban-site-of-scuttled-warehouse.html" TargetMode="External"/><Relationship Id="rId453" Type="http://schemas.openxmlformats.org/officeDocument/2006/relationships/hyperlink" Target="https://apps.dca.ga.gov/DRI/AppSummary.aspx?driid=4079" TargetMode="External"/><Relationship Id="rId1288" Type="http://schemas.openxmlformats.org/officeDocument/2006/relationships/hyperlink" Target="https://cnycentral.com/news/local/lysander-residents-challenge-potential-data-cen" TargetMode="External"/><Relationship Id="rId452" Type="http://schemas.openxmlformats.org/officeDocument/2006/relationships/hyperlink" Target="https://www.datacenterdynamics.com/en/news/prologis-900mw-project-sail-gets-the-go-ahead-in-coweta-county-georgia/" TargetMode="External"/><Relationship Id="rId1289" Type="http://schemas.openxmlformats.org/officeDocument/2006/relationships/hyperlink" Target="https://www.syracuse.com/news/2026/04/lysander-town-board-moves-forward-on-data-center-moratorium-as-massive-project-looms.html" TargetMode="External"/><Relationship Id="rId3018" Type="http://schemas.openxmlformats.org/officeDocument/2006/relationships/hyperlink" Target="https://www.weau.com/2025/09/23/proposed-menomonie-data-center-put-hold/" TargetMode="External"/><Relationship Id="rId3017" Type="http://schemas.openxmlformats.org/officeDocument/2006/relationships/hyperlink" Target="https://www.datacenterdynamics.com/en/news/data-center-in-red-cedar-wisconsin-could-be-16bn-investment/" TargetMode="External"/><Relationship Id="rId3019" Type="http://schemas.openxmlformats.org/officeDocument/2006/relationships/hyperlink" Target="https://biztimes.com/microsoft-gets-approval-for-third-portion-of-mount-pleasant-data-center-campus/" TargetMode="External"/><Relationship Id="rId491" Type="http://schemas.openxmlformats.org/officeDocument/2006/relationships/hyperlink" Target="https://www.datacenterdynamics.com/en/news/200-acre-project-azalea-data-center-approved/" TargetMode="External"/><Relationship Id="rId490" Type="http://schemas.openxmlformats.org/officeDocument/2006/relationships/hyperlink" Target="https://www.datacenterdynamics.com/en/news/plans-filed-for-six-building-data-center-campus-outside-augusta-georgia/" TargetMode="External"/><Relationship Id="rId489" Type="http://schemas.openxmlformats.org/officeDocument/2006/relationships/hyperlink" Target="https://share.google/8BEoDdGqZgnG90m4o" TargetMode="External"/><Relationship Id="rId484" Type="http://schemas.openxmlformats.org/officeDocument/2006/relationships/hyperlink" Target="https://www.facebook.com/groups/882581394736535/" TargetMode="External"/><Relationship Id="rId3010" Type="http://schemas.openxmlformats.org/officeDocument/2006/relationships/hyperlink" Target="https://www.jsonline.com/story/money/business/2025/10/09/microsoft-changed-its-data-center-plans-because-of-these-issues/86603358007" TargetMode="External"/><Relationship Id="rId483" Type="http://schemas.openxmlformats.org/officeDocument/2006/relationships/hyperlink" Target="https://www.facebook.com/groups/cclandnlegacy/" TargetMode="External"/><Relationship Id="rId482" Type="http://schemas.openxmlformats.org/officeDocument/2006/relationships/hyperlink" Target="https://www.datacenterdynamics.com/en/news/qts-targets-two-data-center-campuses-in-georgia/" TargetMode="External"/><Relationship Id="rId3012" Type="http://schemas.openxmlformats.org/officeDocument/2006/relationships/hyperlink" Target="https://www.facebook.com/groups/4247210148843416/?rdid=OLjFLf1thwgvxa3c&amp;share_url=https%3A%2F%2Fwww.facebook.com%2Fshare%2Fg%2F19qZqaSKJZ%2F" TargetMode="External"/><Relationship Id="rId481" Type="http://schemas.openxmlformats.org/officeDocument/2006/relationships/hyperlink" Target="https://qtsdatacenters.com/data-centers/suwanee-1/" TargetMode="External"/><Relationship Id="rId3011" Type="http://schemas.openxmlformats.org/officeDocument/2006/relationships/hyperlink" Target="https://www.wpr.org/news/microsoft-caledonia-data-center-site-ozaukee-county" TargetMode="External"/><Relationship Id="rId488" Type="http://schemas.openxmlformats.org/officeDocument/2006/relationships/hyperlink" Target="https://www.paxtonmedia.com/news/the_times_georgian/temple-data-center-proposal-pulled/article_ca408658-2271-5b4e-b2ff-94efbf252d54.html" TargetMode="External"/><Relationship Id="rId3014" Type="http://schemas.openxmlformats.org/officeDocument/2006/relationships/hyperlink" Target="https://www.wqow.com/news/what-are-the-next-steps-for-menomonies-proposed-data-center-after-council-vote/article_41821a71-23cb-4ef8-b8e4-58d72b234a37.html" TargetMode="External"/><Relationship Id="rId487" Type="http://schemas.openxmlformats.org/officeDocument/2006/relationships/hyperlink" Target="https://apps.dca.ga.gov/DRI/InitialForm.aspx?driid=4606" TargetMode="External"/><Relationship Id="rId3013" Type="http://schemas.openxmlformats.org/officeDocument/2006/relationships/hyperlink" Target="https://www.wqow.com/news/menomonie-city-council-votes-to-adopt-proposed-land-annexation-and-rezoning/article_6f2fb583-9a77-463a-863d-01cbaddc8833.html" TargetMode="External"/><Relationship Id="rId486" Type="http://schemas.openxmlformats.org/officeDocument/2006/relationships/hyperlink" Target="https://www.datacenterdynamics.com/en/news/atlas-development-files-for-12-building-data-center-campus-in-temple-georgia/" TargetMode="External"/><Relationship Id="rId3016" Type="http://schemas.openxmlformats.org/officeDocument/2006/relationships/hyperlink" Target="https://www.datacenterdynamics.com/en/news/menomonie-city-council-approves-land-rezone-for-data-center-in-red-cedar-wisconsin/" TargetMode="External"/><Relationship Id="rId485" Type="http://schemas.openxmlformats.org/officeDocument/2006/relationships/hyperlink" Target="https://www.change.org/p/stop-data-center-from-being-built-in-carroll-county-georgia" TargetMode="External"/><Relationship Id="rId3015" Type="http://schemas.openxmlformats.org/officeDocument/2006/relationships/hyperlink" Target="https://www.menomonieminute.com/post/menomonie-receives-petition-to-annex-324-acres-for-proposed-data-center" TargetMode="External"/><Relationship Id="rId3007" Type="http://schemas.openxmlformats.org/officeDocument/2006/relationships/hyperlink" Target="https://www.datacenterdynamics.com/en/news/vantage-tops-out-second-building-at-openais-lighthouse-campus-in-wisconsin/" TargetMode="External"/><Relationship Id="rId3006" Type="http://schemas.openxmlformats.org/officeDocument/2006/relationships/hyperlink" Target="https://www.widatacenterfacts.org/communities/port-washington-fact-checking-the-mayors-fact-checking" TargetMode="External"/><Relationship Id="rId3009" Type="http://schemas.openxmlformats.org/officeDocument/2006/relationships/hyperlink" Target="https://www.datacenterdynamics.com/en/news/244-acre-data-center-campus-proposed-outside-milwaukee-wisconsin/" TargetMode="External"/><Relationship Id="rId3008" Type="http://schemas.openxmlformats.org/officeDocument/2006/relationships/hyperlink" Target="https://www.cleanwisconsin.org/" TargetMode="External"/><Relationship Id="rId480" Type="http://schemas.openxmlformats.org/officeDocument/2006/relationships/hyperlink" Target="https://qtsdatacenters.com/data-centers/suwanee-1/" TargetMode="External"/><Relationship Id="rId479" Type="http://schemas.openxmlformats.org/officeDocument/2006/relationships/hyperlink" Target="https://qtsdatacenters.com/data-centers/suwanee-1/" TargetMode="External"/><Relationship Id="rId478" Type="http://schemas.openxmlformats.org/officeDocument/2006/relationships/hyperlink" Target="https://baxtel.com/data-center/qts-atlanta-suwanee" TargetMode="External"/><Relationship Id="rId473" Type="http://schemas.openxmlformats.org/officeDocument/2006/relationships/hyperlink" Target="https://365datacenters.com/wp-content/uploads/2023/05/365_CUTSHEET_FINAL_SMYRNA_V3.pdf" TargetMode="External"/><Relationship Id="rId472" Type="http://schemas.openxmlformats.org/officeDocument/2006/relationships/hyperlink" Target="https://www.accgov.com/CivicSend/ViewMessage/message/206304" TargetMode="External"/><Relationship Id="rId471" Type="http://schemas.openxmlformats.org/officeDocument/2006/relationships/hyperlink" Target="https://www.datacenterdynamics.com/en/news/cleanspark-secures-tenant-with-20-year-lease-for-data-center-in-sandersville-georgia/" TargetMode="External"/><Relationship Id="rId3001" Type="http://schemas.openxmlformats.org/officeDocument/2006/relationships/hyperlink" Target="https://www.datacenterdynamics.com/en/news/vantage-seeking-13gw-grid-connection-for-data-center-in-port-washington-wisconsin/" TargetMode="External"/><Relationship Id="rId470" Type="http://schemas.openxmlformats.org/officeDocument/2006/relationships/hyperlink" Target="https://www.datacenterdynamics.com/en/news/microsoft-to-develop-350-acre-data-center-campus-in-rome-georgia/" TargetMode="External"/><Relationship Id="rId3000" Type="http://schemas.openxmlformats.org/officeDocument/2006/relationships/hyperlink" Target="https://www.datacenterdynamics.com/en/news/cloverleaf-reveals-plans-for-1000-acre-data-center-campus-in-port-washington-wisconsin/" TargetMode="External"/><Relationship Id="rId477" Type="http://schemas.openxmlformats.org/officeDocument/2006/relationships/hyperlink" Target="https://baxtel.com/data-center/server-farm-atlanta" TargetMode="External"/><Relationship Id="rId3003" Type="http://schemas.openxmlformats.org/officeDocument/2006/relationships/hyperlink" Target="https://www.jsonline.com/story/communities/north/2025/11/18/port-washington-approves-data-center-tif-as-residents-continue-to-raise-red-flags/87092084007/" TargetMode="External"/><Relationship Id="rId476" Type="http://schemas.openxmlformats.org/officeDocument/2006/relationships/hyperlink" Target="https://apps.dca.ga.gov/DRI/AppSummary.aspx?driid=4256" TargetMode="External"/><Relationship Id="rId3002" Type="http://schemas.openxmlformats.org/officeDocument/2006/relationships/hyperlink" Target="https://www.fox6now.com/news/port-washington-data-center-residents-unite-against-proposed-powerline-routes" TargetMode="External"/><Relationship Id="rId475" Type="http://schemas.openxmlformats.org/officeDocument/2006/relationships/hyperlink" Target="https://www.bgr.com/1990532/meta-new-aid-data-center-size-70-football-fields-residents-scared-water/" TargetMode="External"/><Relationship Id="rId3005" Type="http://schemas.openxmlformats.org/officeDocument/2006/relationships/hyperlink" Target="https://www.widatacenterfacts.org/communities/port-washington" TargetMode="External"/><Relationship Id="rId474" Type="http://schemas.openxmlformats.org/officeDocument/2006/relationships/hyperlink" Target="https://plateauexcavation.com/projects/newton-data-center/" TargetMode="External"/><Relationship Id="rId3004" Type="http://schemas.openxmlformats.org/officeDocument/2006/relationships/hyperlink" Target="https://www.widatacenterfacts.org/communities/video-lighthouse-campus-part-1" TargetMode="External"/><Relationship Id="rId1257" Type="http://schemas.openxmlformats.org/officeDocument/2006/relationships/hyperlink" Target="https://dataverge.com/interconnected-colocation-new-york/" TargetMode="External"/><Relationship Id="rId2588" Type="http://schemas.openxmlformats.org/officeDocument/2006/relationships/hyperlink" Target="https://gisweb.pwcgov.org/webapps/countymapper/index.html?Layer=Parcel&amp;GPIN=7695-53-7717" TargetMode="External"/><Relationship Id="rId1258" Type="http://schemas.openxmlformats.org/officeDocument/2006/relationships/hyperlink" Target="https://www.nyiso.com/documents/20142/2226333/2025-Gold-Book-Public.pdf/088438e1-02f1-5316-211b-dbca17c01b4b" TargetMode="External"/><Relationship Id="rId2589" Type="http://schemas.openxmlformats.org/officeDocument/2006/relationships/hyperlink" Target="https://pwc.publicaccessnow.com/PropertyDetail.aspx?mtab=property&amp;mpropertynumber=081573" TargetMode="External"/><Relationship Id="rId1259" Type="http://schemas.openxmlformats.org/officeDocument/2006/relationships/hyperlink" Target="https://holtecinternational.com/2025/07/31/hh-40-16/" TargetMode="External"/><Relationship Id="rId426" Type="http://schemas.openxmlformats.org/officeDocument/2006/relationships/hyperlink" Target="https://www.datacenterdynamics.com/en/news/microsoft-aiming-to-build-1-million-sq-ft-data-center-in-douglasville-ga-for-east-us-3/" TargetMode="External"/><Relationship Id="rId425" Type="http://schemas.openxmlformats.org/officeDocument/2006/relationships/hyperlink" Target="https://baxtel.com/data-center/google-douglas-county-georgia" TargetMode="External"/><Relationship Id="rId424" Type="http://schemas.openxmlformats.org/officeDocument/2006/relationships/hyperlink" Target="https://go2.digitalrealty.com/rs/087-YZJ-646/images/DS_Digital_Realty_2401_ATL11_Property_Factsheet_EN.pdf?_ga=2.250737478.1597358513.1726764384-1666570387.1726591142" TargetMode="External"/><Relationship Id="rId423" Type="http://schemas.openxmlformats.org/officeDocument/2006/relationships/hyperlink" Target="https://www.datacenterdynamics.com/en/news/digital-realty-files-to-develop-two-building-campus-outside-atlanta-georgia/" TargetMode="External"/><Relationship Id="rId429" Type="http://schemas.openxmlformats.org/officeDocument/2006/relationships/hyperlink" Target="https://apps.dca.ga.gov/DRI/AppSummary.aspx?driid=4078" TargetMode="External"/><Relationship Id="rId428" Type="http://schemas.openxmlformats.org/officeDocument/2006/relationships/hyperlink" Target="https://www.datacenterdynamics.com/en/news/t5-requests-permission-for-3-million-sq-ft-campus-outside-atlanta-georgia/" TargetMode="External"/><Relationship Id="rId427" Type="http://schemas.openxmlformats.org/officeDocument/2006/relationships/hyperlink" Target="https://baxtel.com/data-center/pwc-lithia-springs" TargetMode="External"/><Relationship Id="rId2580" Type="http://schemas.openxmlformats.org/officeDocument/2006/relationships/hyperlink" Target="https://pwc.publicaccessnow.com/PropertyDetail.aspx?mpropertynumber=078744&amp;mtab=property&amp;p=078744" TargetMode="External"/><Relationship Id="rId1250" Type="http://schemas.openxmlformats.org/officeDocument/2006/relationships/hyperlink" Target="https://investors.terawulf.com/news-events/press-releases/detail/100/terawulf-announces-december-2024-production-and-operations" TargetMode="External"/><Relationship Id="rId2581" Type="http://schemas.openxmlformats.org/officeDocument/2006/relationships/hyperlink" Target="https://pwc.publicaccessnow.com/PropertyDetail.aspx?mpropertynumber=257269&amp;mtab=property&amp;p=257269" TargetMode="External"/><Relationship Id="rId1251" Type="http://schemas.openxmlformats.org/officeDocument/2006/relationships/hyperlink" Target="https://www.globenewswire.com/news-release/2025/08/14/3133308/0/en/TeraWulf-Signs-200-MW-10-Year-AI-Hosting-Agreements-with-Fluidstack.html" TargetMode="External"/><Relationship Id="rId2582" Type="http://schemas.openxmlformats.org/officeDocument/2006/relationships/hyperlink" Target="https://datacenterhawk.com/marketplace/providers/cloudhq/10400-harry-j-parrish-blvd/mdc" TargetMode="External"/><Relationship Id="rId1252" Type="http://schemas.openxmlformats.org/officeDocument/2006/relationships/hyperlink" Target="https://www.morningstar.com/news/dow-jones/202508182652/google-lifting-stake-in-terawulf-with-additional-14-billion-backstop" TargetMode="External"/><Relationship Id="rId2583" Type="http://schemas.openxmlformats.org/officeDocument/2006/relationships/hyperlink" Target="https://pwc.publicaccessnow.com/PropertyDetail.aspx?mtab=property&amp;mpropertynumber=251263" TargetMode="External"/><Relationship Id="rId422" Type="http://schemas.openxmlformats.org/officeDocument/2006/relationships/hyperlink" Target="https://www.dcblox.com/data-centers/atlanta-data-centers/douglas-county-ga-hyperscale-data-center-campus/" TargetMode="External"/><Relationship Id="rId1253" Type="http://schemas.openxmlformats.org/officeDocument/2006/relationships/hyperlink" Target="https://www.datacenterdynamics.com/en/news/fluidstack-to-lease-another-160mw-of-capacity-from-terawulf-at-new-york-campus-google-to-increase-stake-in-cryptominer/" TargetMode="External"/><Relationship Id="rId2584" Type="http://schemas.openxmlformats.org/officeDocument/2006/relationships/hyperlink" Target="https://www.datacenterdynamics.com/en/news/data-center-developer-black-chamber-looks-to-buy-virginia-church-next-to-planned-aws-campus/" TargetMode="External"/><Relationship Id="rId421" Type="http://schemas.openxmlformats.org/officeDocument/2006/relationships/hyperlink" Target="https://www.databank.com/data-centers/atlanta/lithia-springs/atl5/" TargetMode="External"/><Relationship Id="rId1254" Type="http://schemas.openxmlformats.org/officeDocument/2006/relationships/hyperlink" Target="https://www.datacenterdynamics.com/en/news/terawulf-tops-out-latest-data-center-at-lake-mariner-campus-in-new-york/" TargetMode="External"/><Relationship Id="rId2585" Type="http://schemas.openxmlformats.org/officeDocument/2006/relationships/hyperlink" Target="https://pwc.publicaccessnow.com/PropertyDetail.aspx?mpropertynumber=254673&amp;mtab=property&amp;p=254673" TargetMode="External"/><Relationship Id="rId420" Type="http://schemas.openxmlformats.org/officeDocument/2006/relationships/hyperlink" Target="https://www.datacenterdynamics.com/en/news/amazon-acquires-1000-acres-of-land-outside-atlanta-georgia/" TargetMode="External"/><Relationship Id="rId1255" Type="http://schemas.openxmlformats.org/officeDocument/2006/relationships/hyperlink" Target="https://www.datacenterdynamics.com/en/news/core42-expands-ai-cluster-by-42mw-in-buffalo-new-york/" TargetMode="External"/><Relationship Id="rId2586" Type="http://schemas.openxmlformats.org/officeDocument/2006/relationships/hyperlink" Target="https://pwc.publicaccessnow.com/PropertyDetail.aspx?mpropertynumber=228234&amp;mtab=property&amp;p=228234" TargetMode="External"/><Relationship Id="rId1256" Type="http://schemas.openxmlformats.org/officeDocument/2006/relationships/hyperlink" Target="https://www.fingerlakes1.com/2026/05/27/foild-emails-fuel-concern-over-possible-data-center-interest-at-former-camp-monterey-site/" TargetMode="External"/><Relationship Id="rId2587" Type="http://schemas.openxmlformats.org/officeDocument/2006/relationships/hyperlink" Target="https://pwc.publicaccessnow.com/PropertyDetail.aspx?mpropertynumber=225337&amp;mtab=property&amp;p=225337" TargetMode="External"/><Relationship Id="rId1246" Type="http://schemas.openxmlformats.org/officeDocument/2006/relationships/hyperlink" Target="https://www.thedailynewsonline.com/news/stream-u-s-submits-seqr-application-for-2-2-million-square-foot-data-center-at/article_c1dc5183-19aa-42ba-ab8b-8808b354bcf7.html" TargetMode="External"/><Relationship Id="rId2577" Type="http://schemas.openxmlformats.org/officeDocument/2006/relationships/hyperlink" Target="https://www.princewilliamtimes.com/news/manassas-to-net-28-million-in-land-sale-for-amazon-data-center-but-the-money/article_9be9a116-a505-11ee-a48c-e7a38d4609f7.html" TargetMode="External"/><Relationship Id="rId1247" Type="http://schemas.openxmlformats.org/officeDocument/2006/relationships/hyperlink" Target="https://truthout.org/articles/new-york-residents-are-fighting-a-data-center-backed-by-a-billionaire-trump-ally/" TargetMode="External"/><Relationship Id="rId2578" Type="http://schemas.openxmlformats.org/officeDocument/2006/relationships/hyperlink" Target="https://pwc.publicaccessnow.com/PropertyDetail.aspx?mpropertynumber=257270&amp;mtab=property&amp;p=257270" TargetMode="External"/><Relationship Id="rId1248" Type="http://schemas.openxmlformats.org/officeDocument/2006/relationships/hyperlink" Target="https://www.nytimes.com/2026/03/17/nyregion/ai-data-center-new-york.html" TargetMode="External"/><Relationship Id="rId2579" Type="http://schemas.openxmlformats.org/officeDocument/2006/relationships/hyperlink" Target="https://pwc.publicaccessnow.com/PropertyDetail.aspx?mpropertynumber=255831&amp;mtab=property&amp;p=255831" TargetMode="External"/><Relationship Id="rId1249" Type="http://schemas.openxmlformats.org/officeDocument/2006/relationships/hyperlink" Target="https://drive.google.com/file/d/1vVzC512mN4V8rhcgZoehh_pgZ-5OZIwx/view" TargetMode="External"/><Relationship Id="rId415" Type="http://schemas.openxmlformats.org/officeDocument/2006/relationships/hyperlink" Target="https://www.ajc.com/business/2025/10/10b-hospital-project-backed-by-burt-jones-includes-sea-of-data-centers/" TargetMode="External"/><Relationship Id="rId414" Type="http://schemas.openxmlformats.org/officeDocument/2006/relationships/hyperlink" Target="https://www.lagrangenews.com/news/hogansville-residents-protest-against-proposed-data-center-c8f47f93" TargetMode="External"/><Relationship Id="rId413" Type="http://schemas.openxmlformats.org/officeDocument/2006/relationships/hyperlink" Target="https://www.nytimes.com/2025/11/30/us/politics/data-centers-electric-bills-georgia.html" TargetMode="External"/><Relationship Id="rId412" Type="http://schemas.openxmlformats.org/officeDocument/2006/relationships/hyperlink" Target="https://www.gpb.org/news/2025/11/26/why-are-troup-county-residents-saying-no-600-mw-data-center-in-hogansville" TargetMode="External"/><Relationship Id="rId419" Type="http://schemas.openxmlformats.org/officeDocument/2006/relationships/hyperlink" Target="https://www.fox5atlanta.com/news/data-center-campus-proposed-troup-county-jobs" TargetMode="External"/><Relationship Id="rId418" Type="http://schemas.openxmlformats.org/officeDocument/2006/relationships/hyperlink" Target="https://www.datacenterdynamics.com/en/news/google-confirms-plans-for-data-center-in-lagrange-georgia/" TargetMode="External"/><Relationship Id="rId417" Type="http://schemas.openxmlformats.org/officeDocument/2006/relationships/hyperlink" Target="https://www.datacenterdynamics.com/en/news/thor-equities-buys-270-acres-in-georgia-for-data-center/" TargetMode="External"/><Relationship Id="rId416" Type="http://schemas.openxmlformats.org/officeDocument/2006/relationships/hyperlink" Target="https://www.form8tion.net/wp-content/uploads/2024/12/Form8tion-LGA1.pdf" TargetMode="External"/><Relationship Id="rId2570" Type="http://schemas.openxmlformats.org/officeDocument/2006/relationships/hyperlink" Target="https://egcss.pwcgov.org/SelfService" TargetMode="External"/><Relationship Id="rId1240" Type="http://schemas.openxmlformats.org/officeDocument/2006/relationships/hyperlink" Target="https://www.change.org/p/prevent-stamp-from-destroying-vital-wetlands-in-iroquois-nwr-no-data-centers?source_location=topics_page" TargetMode="External"/><Relationship Id="rId2571" Type="http://schemas.openxmlformats.org/officeDocument/2006/relationships/hyperlink" Target="https://pwc.publicaccessnow.com/PropertyDetail.aspx?mtab=property&amp;mpropertynumber=227933" TargetMode="External"/><Relationship Id="rId1241" Type="http://schemas.openxmlformats.org/officeDocument/2006/relationships/hyperlink" Target="https://www.wxxinews.org/local-news/2025-03-03/stamp-board-to-consider-proposal-for-regions-largest-data-center" TargetMode="External"/><Relationship Id="rId2572" Type="http://schemas.openxmlformats.org/officeDocument/2006/relationships/hyperlink" Target="https://www.datacenterdynamics.com/en/news/amazon-acquires-140-acres-of-land-in-manassas-virginia/" TargetMode="External"/><Relationship Id="rId411" Type="http://schemas.openxmlformats.org/officeDocument/2006/relationships/hyperlink" Target="https://www.facebook.com/groups/24200940622890970/" TargetMode="External"/><Relationship Id="rId1242" Type="http://schemas.openxmlformats.org/officeDocument/2006/relationships/hyperlink" Target="https://www.datacenterdynamics.com/en/news/jll-to-develop-data-center-on-stamp-site-in-genesee-county-new-york/" TargetMode="External"/><Relationship Id="rId2573" Type="http://schemas.openxmlformats.org/officeDocument/2006/relationships/hyperlink" Target="https://pwc.publicaccessnow.com/PropertyDetail.aspx?mtab=property&amp;mpropertynumber=265829" TargetMode="External"/><Relationship Id="rId410" Type="http://schemas.openxmlformats.org/officeDocument/2006/relationships/hyperlink" Target="https://www.wrdw.com/2026/02/16/columbia-co-data-center-plans-3-construction-exits-420-acre-site/" TargetMode="External"/><Relationship Id="rId1243" Type="http://schemas.openxmlformats.org/officeDocument/2006/relationships/hyperlink" Target="https://act.nyrenews.org/tell-nysdec-to-take-lead-agency-status-for-project-double-reed" TargetMode="External"/><Relationship Id="rId2574" Type="http://schemas.openxmlformats.org/officeDocument/2006/relationships/hyperlink" Target="https://www.datacenterdynamics.com/en/news/amazon-acquires-140-acres-of-land-in-manassas-virginia/" TargetMode="External"/><Relationship Id="rId1244" Type="http://schemas.openxmlformats.org/officeDocument/2006/relationships/hyperlink" Target="https://www.democratandchronicle.com/story/news/2025/09/20/proposed-data-center-in-genesee-county-could-grow-after-approvals-rescinded/86245696007/" TargetMode="External"/><Relationship Id="rId2575" Type="http://schemas.openxmlformats.org/officeDocument/2006/relationships/hyperlink" Target="https://pwc.publicaccessnow.com/PropertyDetail.aspx?mtab=property&amp;mpropertynumber=265828" TargetMode="External"/><Relationship Id="rId1245" Type="http://schemas.openxmlformats.org/officeDocument/2006/relationships/hyperlink" Target="https://www.thebatavian.com/howard-owens/dozens-of-speakers-tell-gcedc-proposed-data-centers-pose-big-environmental-threat-for" TargetMode="External"/><Relationship Id="rId2576" Type="http://schemas.openxmlformats.org/officeDocument/2006/relationships/hyperlink" Target="https://pwc.publicaccessnow.com/PropertyDetail.aspx?mtab=property&amp;mpropertynumber=022195" TargetMode="External"/><Relationship Id="rId1279" Type="http://schemas.openxmlformats.org/officeDocument/2006/relationships/hyperlink" Target="https://www.lansingtownny.gov/sites/default/files/fileattachments/town_board/meeting/3576/m121824.pdf" TargetMode="External"/><Relationship Id="rId448" Type="http://schemas.openxmlformats.org/officeDocument/2006/relationships/hyperlink" Target="https://www.times-herald.com/news/new-proposed-4-billion-data-center-development-under-review-in-coweta/article_2fad1ded-9f1c-4b67-9be1-29a4f027a3d3.html" TargetMode="External"/><Relationship Id="rId447" Type="http://schemas.openxmlformats.org/officeDocument/2006/relationships/hyperlink" Target="https://accessnorthga.com/news/citizens-fight-back-as-maysville-cancels-special-meeting-regarding-data-center" TargetMode="External"/><Relationship Id="rId446" Type="http://schemas.openxmlformats.org/officeDocument/2006/relationships/hyperlink" Target="https://youtu.be/dGPgLtTRUC4?si=SoRMfJP1pCCPNLMm" TargetMode="External"/><Relationship Id="rId445" Type="http://schemas.openxmlformats.org/officeDocument/2006/relationships/hyperlink" Target="https://www.datacenterdynamics.com/en/news/northern-data-to-develop-120mw-hpc-data-center-in-georgia/" TargetMode="External"/><Relationship Id="rId449" Type="http://schemas.openxmlformats.org/officeDocument/2006/relationships/hyperlink" Target="https://stopsail.com/" TargetMode="External"/><Relationship Id="rId1270" Type="http://schemas.openxmlformats.org/officeDocument/2006/relationships/hyperlink" Target="https://www.nyiso.com/documents/20142/1407078/NYISO-Interconnection-Queue.xlsx" TargetMode="External"/><Relationship Id="rId440" Type="http://schemas.openxmlformats.org/officeDocument/2006/relationships/hyperlink" Target="https://www.datacenterdynamics.com/en/news/108mw-data-center-campus-granted-zoning-approval-outside-atlanta-georgia/" TargetMode="External"/><Relationship Id="rId1271" Type="http://schemas.openxmlformats.org/officeDocument/2006/relationships/hyperlink" Target="https://www.lohud.com/story/news/local/2026/05/07/this-new-dutchess-county-ny-data-center-project-would-use-as-much-power-as-a-city/89935200007/" TargetMode="External"/><Relationship Id="rId1272" Type="http://schemas.openxmlformats.org/officeDocument/2006/relationships/hyperlink" Target="https://www.timesunion.com/hudsonvalley/news/article/east-fishkill-data-center-plan-sparks-backlash-22270553.php" TargetMode="External"/><Relationship Id="rId1273" Type="http://schemas.openxmlformats.org/officeDocument/2006/relationships/hyperlink" Target="https://www.datacenterdynamics.com/en/news/three-year-data-center-moratorium-passed-in-town-of-east-fishkill-new-york-state-blocking-planned-campus/" TargetMode="External"/><Relationship Id="rId1274" Type="http://schemas.openxmlformats.org/officeDocument/2006/relationships/hyperlink" Target="https://www.change.org/p/oppose-large-scale-ai-data-center-development-in-the-mohawk-valley" TargetMode="External"/><Relationship Id="rId444" Type="http://schemas.openxmlformats.org/officeDocument/2006/relationships/hyperlink" Target="https://www.facebook.com/groups/2372799773209620/posts/2397059260783671/" TargetMode="External"/><Relationship Id="rId1275" Type="http://schemas.openxmlformats.org/officeDocument/2006/relationships/hyperlink" Target="https://www.datacenterdynamics.com/en/news/former-remington-gun-factory-in-new-york-set-to-become-200mw-data-center/" TargetMode="External"/><Relationship Id="rId443" Type="http://schemas.openxmlformats.org/officeDocument/2006/relationships/hyperlink" Target="https://maysvilleneighbor.com/" TargetMode="External"/><Relationship Id="rId1276" Type="http://schemas.openxmlformats.org/officeDocument/2006/relationships/hyperlink" Target="https://www.nodatacenterflx.com/" TargetMode="External"/><Relationship Id="rId442" Type="http://schemas.openxmlformats.org/officeDocument/2006/relationships/hyperlink" Target="https://www.datacenterdynamics.com/en/news/self-storage-facility-in-marietta-georgia-targeted-for-18mw-data-center/" TargetMode="External"/><Relationship Id="rId1277" Type="http://schemas.openxmlformats.org/officeDocument/2006/relationships/hyperlink" Target="https://actionnetwork.org/petitions/reject-the-development-of-an-ai-data-center-on-cayuga-lake" TargetMode="External"/><Relationship Id="rId441" Type="http://schemas.openxmlformats.org/officeDocument/2006/relationships/hyperlink" Target="https://www.datacenterdynamics.com/en/news/108mw-data-center-campus-granted-zoning-approval-outside-atlanta-georgia/" TargetMode="External"/><Relationship Id="rId1278" Type="http://schemas.openxmlformats.org/officeDocument/2006/relationships/hyperlink" Target="https://www.globenewswire.com/news-release/2025/08/14/3133326/0/en/TeraWulf-Secures-Long-Term-Ground-Lease-at-Cayuga-Site-to-Expand-High-Performance-Computing-Infrastructure.html" TargetMode="External"/><Relationship Id="rId1268" Type="http://schemas.openxmlformats.org/officeDocument/2006/relationships/hyperlink" Target="https://www.mytwintiers.com/news-cat/local-news/locals-say-a-dresden-bitcoin-mining-operation-is-ruining-seneca-lake/" TargetMode="External"/><Relationship Id="rId2599" Type="http://schemas.openxmlformats.org/officeDocument/2006/relationships/hyperlink" Target="https://pwc.publicaccessnow.com/PropertyDetail.aspx?mtab=property&amp;mpropertynumber=246599" TargetMode="External"/><Relationship Id="rId1269" Type="http://schemas.openxmlformats.org/officeDocument/2006/relationships/hyperlink" Target="https://www.datacenterdynamics.com/en/news/global-ai-set-to-develop-data-center-outside-denver-colorado/" TargetMode="External"/><Relationship Id="rId437" Type="http://schemas.openxmlformats.org/officeDocument/2006/relationships/hyperlink" Target="https://www.datacenterdynamics.com/en/news/rezoning-proposal-for-12gw-data-center-campus-outside-macon-georgia-denied-recommendation-for-approval/" TargetMode="External"/><Relationship Id="rId436" Type="http://schemas.openxmlformats.org/officeDocument/2006/relationships/hyperlink" Target="https://www.datacenterdynamics.com/en/news/900mw-data-center-campus-proposed-outside-macon-georgia/" TargetMode="External"/><Relationship Id="rId435" Type="http://schemas.openxmlformats.org/officeDocument/2006/relationships/hyperlink" Target="https://www.datacenterdynamics.com/en/news/t5-requests-permission-for-3-million-sq-ft-campus-outside-atlanta-georgia/" TargetMode="External"/><Relationship Id="rId434" Type="http://schemas.openxmlformats.org/officeDocument/2006/relationships/hyperlink" Target="https://apps.dca.ga.gov/DRI/AppSummary.aspx?driid=3747" TargetMode="External"/><Relationship Id="rId439" Type="http://schemas.openxmlformats.org/officeDocument/2006/relationships/hyperlink" Target="https://baxtel.com/data-center/datasite-atlanta" TargetMode="External"/><Relationship Id="rId438" Type="http://schemas.openxmlformats.org/officeDocument/2006/relationships/hyperlink" Target="https://www.macon.com/news/politics-government/article311600981.html" TargetMode="External"/><Relationship Id="rId2590" Type="http://schemas.openxmlformats.org/officeDocument/2006/relationships/hyperlink" Target="https://pwc.publicaccessnow.com/PropertyDetail.aspx?mpropertynumber=094465&amp;mtab=property&amp;p=094465" TargetMode="External"/><Relationship Id="rId1260" Type="http://schemas.openxmlformats.org/officeDocument/2006/relationships/hyperlink" Target="https://www.datacenters.com/365-bu1-buffalo" TargetMode="External"/><Relationship Id="rId2591" Type="http://schemas.openxmlformats.org/officeDocument/2006/relationships/hyperlink" Target="https://pwc.publicaccessnow.com/PropertyDetail.aspx?mpropertynumber=083773&amp;mtab=property&amp;p=083773" TargetMode="External"/><Relationship Id="rId1261" Type="http://schemas.openxmlformats.org/officeDocument/2006/relationships/hyperlink" Target="https://h5datacenters.com/buffalo-III-data-center.html" TargetMode="External"/><Relationship Id="rId2592" Type="http://schemas.openxmlformats.org/officeDocument/2006/relationships/hyperlink" Target="https://egcss.pwcgov.org/SelfService" TargetMode="External"/><Relationship Id="rId1262" Type="http://schemas.openxmlformats.org/officeDocument/2006/relationships/hyperlink" Target="https://www.datacenterdynamics.com/en/news/h5-and-novacap-launch-new-data-center-platform-acquire-three-carrier-hotels-from-365/" TargetMode="External"/><Relationship Id="rId2593" Type="http://schemas.openxmlformats.org/officeDocument/2006/relationships/hyperlink" Target="https://datacenterhawk.com/marketplace/providers/iron-mountain-data-centers/11500-prince-william-parkway/va-7" TargetMode="External"/><Relationship Id="rId1263" Type="http://schemas.openxmlformats.org/officeDocument/2006/relationships/hyperlink" Target="https://www.wgrz.com/article/money/business/tesla-halts-dojo-project-buffalo-supercomputing-plans/71-76c01060-0511-4fbd-aac7-284d0d7795aa" TargetMode="External"/><Relationship Id="rId2594" Type="http://schemas.openxmlformats.org/officeDocument/2006/relationships/hyperlink" Target="https://pwc.publicaccessnow.com/PropertyDetail.aspx?mtab=property&amp;mpropertynumber=090673" TargetMode="External"/><Relationship Id="rId433" Type="http://schemas.openxmlformats.org/officeDocument/2006/relationships/hyperlink" Target="https://www.switch.com/atlanta/?utm_source=google&amp;utm_medium=Yext" TargetMode="External"/><Relationship Id="rId1264" Type="http://schemas.openxmlformats.org/officeDocument/2006/relationships/hyperlink" Target="https://techcrunch.com/2025/09/02/tesla-dojo-the-rise-and-fall-of-elon-musks-ai-supercomputer/" TargetMode="External"/><Relationship Id="rId2595" Type="http://schemas.openxmlformats.org/officeDocument/2006/relationships/hyperlink" Target="https://www.datacenterdynamics.com/en/news/iron-mountain-starts-work-on-data-center-campus-near-richmond-virginia/" TargetMode="External"/><Relationship Id="rId432" Type="http://schemas.openxmlformats.org/officeDocument/2006/relationships/hyperlink" Target="https://www.stackinfra.com/locations/americas/atlanta/atl02/" TargetMode="External"/><Relationship Id="rId1265" Type="http://schemas.openxmlformats.org/officeDocument/2006/relationships/hyperlink" Target="https://senecalakeguardian.org/" TargetMode="External"/><Relationship Id="rId2596" Type="http://schemas.openxmlformats.org/officeDocument/2006/relationships/hyperlink" Target="https://pwc.publicaccessnow.com/PropertyDetail.aspx?mpropertynumber=228118&amp;mtab=property&amp;p=228118" TargetMode="External"/><Relationship Id="rId431" Type="http://schemas.openxmlformats.org/officeDocument/2006/relationships/hyperlink" Target="https://baxtel.com/data-center/stack-atlanta-atl02" TargetMode="External"/><Relationship Id="rId1266" Type="http://schemas.openxmlformats.org/officeDocument/2006/relationships/hyperlink" Target="https://insideclimatenews.org/news/10052025/new-york-bitcoin-mines-buying-up-power-plants/" TargetMode="External"/><Relationship Id="rId2597" Type="http://schemas.openxmlformats.org/officeDocument/2006/relationships/hyperlink" Target="https://www.insidenova.com/headlines/prince-william-supervisors-approve-va-8-9-data-center-rezoning-to-extend-iron-mountain-campus/article_96d99fd1-7c5f-40df-aa5f-23b7357c819c.html" TargetMode="External"/><Relationship Id="rId430" Type="http://schemas.openxmlformats.org/officeDocument/2006/relationships/hyperlink" Target="https://www.datacenterdynamics.com/en/news/stack-files-to-build-two-more-data-centers-outside-atlanta-georgia/" TargetMode="External"/><Relationship Id="rId1267" Type="http://schemas.openxmlformats.org/officeDocument/2006/relationships/hyperlink" Target="https://www.nytimes.com/2023/04/09/business/bitcoin-mining-electricity-pollution.html" TargetMode="External"/><Relationship Id="rId2598" Type="http://schemas.openxmlformats.org/officeDocument/2006/relationships/hyperlink" Target="https://www.datacenterdynamics.com/en/news/iron-mountain-files-to-expand-manassas-data-center-campus/" TargetMode="External"/><Relationship Id="rId3070" Type="http://schemas.openxmlformats.org/officeDocument/2006/relationships/hyperlink" Target="https://www.crusoe.ai/resources/newsroom/crusoe-and-tallgrass-announce-ai-data-center-in-wyoming" TargetMode="External"/><Relationship Id="rId3072" Type="http://schemas.openxmlformats.org/officeDocument/2006/relationships/hyperlink" Target="https://www.datacenterdynamics.com/en/news/crusoe-gets-go-ahead-for-18gw-data-center-campus-and-power-plant-in-cheyenne-wyoming/" TargetMode="External"/><Relationship Id="rId3071" Type="http://schemas.openxmlformats.org/officeDocument/2006/relationships/hyperlink" Target="https://www.wyomingnews.com/news/local_news/county-commissioners-approve-data-center-power-plant-facilities-south-of-cheyenne/article_8dd9c94a-32c0-4ab5-9ea4-066936c81562.html" TargetMode="External"/><Relationship Id="rId3074" Type="http://schemas.openxmlformats.org/officeDocument/2006/relationships/hyperlink" Target="https://www.datacenterdynamics.com/en/news/google-is-customer-behind-27gw-data-center-campus-near-cheyenne-wyoming/" TargetMode="External"/><Relationship Id="rId3073" Type="http://schemas.openxmlformats.org/officeDocument/2006/relationships/hyperlink" Target="https://www.datacenterdynamics.com/en/news/crusoe-pauses-work-on-18gw-cheyenne-wyoming-data-center-at-the-request-of-our-customer/" TargetMode="External"/><Relationship Id="rId3076" Type="http://schemas.openxmlformats.org/officeDocument/2006/relationships/hyperlink" Target="https://www.datacenterdynamics.com/en/news/related-digital-breaks-ground-on-12bn-data-center-in-cheyenne-wyoming-will-host-coreweave-servers/" TargetMode="External"/><Relationship Id="rId3075" Type="http://schemas.openxmlformats.org/officeDocument/2006/relationships/hyperlink" Target="https://oilcity.news/statewide/2025/10/07/1-2-billion-data-center-breaks-ground-in-cheyenne-promises-water-free-operations/" TargetMode="External"/><Relationship Id="rId3078" Type="http://schemas.openxmlformats.org/officeDocument/2006/relationships/hyperlink" Target="https://www.datacenterdynamics.com/en/news/prometheus-hyperscale-secures-planning-approval-for-gigawatt-data-center-campus-in-wyoming/" TargetMode="External"/><Relationship Id="rId3077" Type="http://schemas.openxmlformats.org/officeDocument/2006/relationships/hyperlink" Target="https://cheyenneleads.org/wp-content/uploads/2025/03/11x17-Business-Parks-Map-2024.jpg" TargetMode="External"/><Relationship Id="rId3079" Type="http://schemas.openxmlformats.org/officeDocument/2006/relationships/hyperlink" Target="https://www.datacenterfrontier.com/hyperscale/article/21437203/wyoming-hyperscale-the-future-of-the-data-center" TargetMode="External"/><Relationship Id="rId3061" Type="http://schemas.openxmlformats.org/officeDocument/2006/relationships/hyperlink" Target="https://ohiorivervalleyinstitute.org/adams-fork-energy-whats-happening-with-the-worlds-largest-proposed-ammonia-plant/" TargetMode="External"/><Relationship Id="rId3060" Type="http://schemas.openxmlformats.org/officeDocument/2006/relationships/hyperlink" Target="https://dep-auth.wv.gov/daq/permitting/Documents/Transgas-Adams-Fork/059-00134_EVAL_13-3715%20draft.pdf" TargetMode="External"/><Relationship Id="rId3063" Type="http://schemas.openxmlformats.org/officeDocument/2006/relationships/hyperlink" Target="https://www.newsfromthestates.com/article/enough-devastation-mingo-logan-residents-worry-about-proposed-power-plants-data-centers-wv" TargetMode="External"/><Relationship Id="rId3062" Type="http://schemas.openxmlformats.org/officeDocument/2006/relationships/hyperlink" Target="https://ohiorivervalleyinstitute.org/adams-fork-is-a-giant-waste-of-energy/" TargetMode="External"/><Relationship Id="rId3065" Type="http://schemas.openxmlformats.org/officeDocument/2006/relationships/hyperlink" Target="https://silicon.foundation/datacenter.html" TargetMode="External"/><Relationship Id="rId3064" Type="http://schemas.openxmlformats.org/officeDocument/2006/relationships/hyperlink" Target="https://www.datacenterdynamics.com/en/news/100mw-data-center-could-be-built-in-wheeling-west-virginia/" TargetMode="External"/><Relationship Id="rId3067" Type="http://schemas.openxmlformats.org/officeDocument/2006/relationships/hyperlink" Target="https://www.datacenterdynamics.com/en/news/microsoft-plans-to-buy-3200-acres-of-land-for-data-center-project-in-cheyenne-wyoming/" TargetMode="External"/><Relationship Id="rId3066" Type="http://schemas.openxmlformats.org/officeDocument/2006/relationships/hyperlink" Target="https://www.datacenterdynamics.com/en/news/meta-named-as-company-behind-945-acre-data-center-development-in-cheyenne-wyoming/" TargetMode="External"/><Relationship Id="rId3069" Type="http://schemas.openxmlformats.org/officeDocument/2006/relationships/hyperlink" Target="https://www.washingtonpost.com/climate-environment/interactive/2025/giant-data-centers-energy-pollution" TargetMode="External"/><Relationship Id="rId3068" Type="http://schemas.openxmlformats.org/officeDocument/2006/relationships/hyperlink" Target="https://capcity.news/community/county-community/county-government/2025/10/09/laramie-county-oks-zoning-to-allow-massive-switchgrass-industrial-park-for-data-center-power-plant/" TargetMode="External"/><Relationship Id="rId3080" Type="http://schemas.openxmlformats.org/officeDocument/2006/relationships/drawing" Target="../drawings/drawing1.xml"/><Relationship Id="rId3039" Type="http://schemas.openxmlformats.org/officeDocument/2006/relationships/hyperlink" Target="https://images.zoomprospector.com/client/properties/WESTVIRGINIA/fa9b81d6-cded-431e-bf70-975c6ccf3111.pdf" TargetMode="External"/><Relationship Id="rId1" Type="http://schemas.openxmlformats.org/officeDocument/2006/relationships/hyperlink" Target="https://www.datacenterdynamics.com/en/news/developer-of-edge-data-centers-helipads-and-parking-garages-proposes-project-on-former-fairground-in-calistoga-california/" TargetMode="External"/><Relationship Id="rId2" Type="http://schemas.openxmlformats.org/officeDocument/2006/relationships/hyperlink" Target="https://calistoga.civicweb.net/document/116181/Global%20Stack%20Opportunity%20Overview.pdf?handle=92DF9DCF83B442A68B3263107EF2411A" TargetMode="External"/><Relationship Id="rId3" Type="http://schemas.openxmlformats.org/officeDocument/2006/relationships/hyperlink" Target="https://www.datacenterdynamics.com/en/news/stak-energy-proposes-3gw-natural-gas-powered-data-center-in-alaskas-north-slope/" TargetMode="External"/><Relationship Id="rId4" Type="http://schemas.openxmlformats.org/officeDocument/2006/relationships/hyperlink" Target="https://www.cbc.ca/news/canada/north/yukon-alaska-data-centre-indigenous-environment-9.7239464" TargetMode="External"/><Relationship Id="rId3030" Type="http://schemas.openxmlformats.org/officeDocument/2006/relationships/hyperlink" Target="https://friendsofblackwater.org/" TargetMode="External"/><Relationship Id="rId9" Type="http://schemas.openxmlformats.org/officeDocument/2006/relationships/hyperlink" Target="https://www.deltaplexnews.com/local-news/data-center-for-grant-county-not-close-yet-to-determine-possible-user/" TargetMode="External"/><Relationship Id="rId3032" Type="http://schemas.openxmlformats.org/officeDocument/2006/relationships/hyperlink" Target="https://westvirginiawatch.com/2025/05/28/it-will-destroy-this-place-tucker-county-residents-fight-for-future-against-proposed-data-center/" TargetMode="External"/><Relationship Id="rId3031" Type="http://schemas.openxmlformats.org/officeDocument/2006/relationships/hyperlink" Target="https://wvmetronews.com/2025/07/01/tucker-county-residents-rise-up-to-oppose-data-center/" TargetMode="External"/><Relationship Id="rId3034" Type="http://schemas.openxmlformats.org/officeDocument/2006/relationships/hyperlink" Target="https://wvmetronews.com/2025/09/17/environmental-groups-mount-a-challenge-to-data-center-power-permit/" TargetMode="External"/><Relationship Id="rId3033" Type="http://schemas.openxmlformats.org/officeDocument/2006/relationships/hyperlink" Target="https://steadystate.org/tucker-county-yellowstone-of-the-east-or-appalachias-cancer-valley/" TargetMode="External"/><Relationship Id="rId5" Type="http://schemas.openxmlformats.org/officeDocument/2006/relationships/hyperlink" Target="https://www.fn-digital.com/data-center" TargetMode="External"/><Relationship Id="rId3036" Type="http://schemas.openxmlformats.org/officeDocument/2006/relationships/hyperlink" Target="https://dep.wv.gov/daq/permitting/Documents/Fundamental%20Data%20LLC;%20Ridgeline%20Facility/093-00034_APPL_13-3713.pdf" TargetMode="External"/><Relationship Id="rId6" Type="http://schemas.openxmlformats.org/officeDocument/2006/relationships/hyperlink" Target="https://www.datacenterdynamics.com/en/news/stak-energy-proposes-3gw-natural-gas-powered-data-center-in-alaskas-north-slope/" TargetMode="External"/><Relationship Id="rId3035" Type="http://schemas.openxmlformats.org/officeDocument/2006/relationships/hyperlink" Target="https://www.yahoo.com/news/articles/hope-rest-wv-watching-tucker-110032778.html" TargetMode="External"/><Relationship Id="rId7" Type="http://schemas.openxmlformats.org/officeDocument/2006/relationships/hyperlink" Target="https://www.facebook.com/groups/1489861802232589/" TargetMode="External"/><Relationship Id="rId3038" Type="http://schemas.openxmlformats.org/officeDocument/2006/relationships/hyperlink" Target="https://www.wboy.com/news/marion/local-company-looking-at-developing-data-center-near-white-hall/" TargetMode="External"/><Relationship Id="rId8" Type="http://schemas.openxmlformats.org/officeDocument/2006/relationships/hyperlink" Target="https://www.change.org/p/ban-new-data-centers-on-farmland-and-in-towns" TargetMode="External"/><Relationship Id="rId3037" Type="http://schemas.openxmlformats.org/officeDocument/2006/relationships/hyperlink" Target="https://wajr.com/2026/05/06/data-center-study-underway-in-marion-county/" TargetMode="External"/><Relationship Id="rId3029" Type="http://schemas.openxmlformats.org/officeDocument/2006/relationships/hyperlink" Target="https://www.tuckerunited.com/" TargetMode="External"/><Relationship Id="rId3028" Type="http://schemas.openxmlformats.org/officeDocument/2006/relationships/hyperlink" Target="https://www.newsandsentinel.com/news/business/2026/03/feeling-lucky-google-data-center-project-in-the-works-for-putnam-county/" TargetMode="External"/><Relationship Id="rId3021" Type="http://schemas.openxmlformats.org/officeDocument/2006/relationships/hyperlink" Target="https://www.datacenterdynamics.com/en/news/microsoft-buys-another-70-acres-in-mount-pleasant-wisconsin/" TargetMode="External"/><Relationship Id="rId3020" Type="http://schemas.openxmlformats.org/officeDocument/2006/relationships/hyperlink" Target="https://www.datacenterdynamics.com/en/news/microsoft-buys-another-160-acres-in-racine-county-wisconsin-for-mount-pleasant-data-center-campus/" TargetMode="External"/><Relationship Id="rId3023" Type="http://schemas.openxmlformats.org/officeDocument/2006/relationships/hyperlink" Target="https://www.datacenterdynamics.com/en/news/dpo-secures-land-and-power-supply-for-20mw-hpc-data-center-in-wisconsin/" TargetMode="External"/><Relationship Id="rId3022" Type="http://schemas.openxmlformats.org/officeDocument/2006/relationships/hyperlink" Target="https://www.jsonline.com/story/money/real-estate/commercial/2024/07/29/microsoft-buys-more-land-near-milwaukee-area-data-center-development/74557810007/" TargetMode="External"/><Relationship Id="rId3025" Type="http://schemas.openxmlformats.org/officeDocument/2006/relationships/hyperlink" Target="https://www.wisconsinrapidstribune.com/story/money/2025/07/23/digital-power-optimization-no-longer-plans-to-open-200-million-ai-data-center-in-wisconsin-rapids/85340839007/" TargetMode="External"/><Relationship Id="rId3024" Type="http://schemas.openxmlformats.org/officeDocument/2006/relationships/hyperlink" Target="https://www.wisconsinrapidstribune.com/story/money/2025/01/27/ai-computing-facility-wisconsin-rapids-digital-power-optimization/77969465007/" TargetMode="External"/><Relationship Id="rId3027" Type="http://schemas.openxmlformats.org/officeDocument/2006/relationships/hyperlink" Target="https://wchstv.com/news/local/google-has-acquired-land-for-potential-data-center-in-putnam-county-officials-announce" TargetMode="External"/><Relationship Id="rId3026" Type="http://schemas.openxmlformats.org/officeDocument/2006/relationships/hyperlink" Target="https://www.datacenterdynamics.com/en/news/google-purchases-land-for-data-center-in-putnam-county-west-virginia/" TargetMode="External"/><Relationship Id="rId3050" Type="http://schemas.openxmlformats.org/officeDocument/2006/relationships/hyperlink" Target="https://wvpublic.org/story/energy-environment/morgantown-federal-energy-lab-could-host-data-center-for-ai/" TargetMode="External"/><Relationship Id="rId3052" Type="http://schemas.openxmlformats.org/officeDocument/2006/relationships/hyperlink" Target="https://www.wsaz.com/2025/03/04/new-facility-set-bring-thousands-jobs-mason-county/" TargetMode="External"/><Relationship Id="rId3051" Type="http://schemas.openxmlformats.org/officeDocument/2006/relationships/hyperlink" Target="https://netl.doe.gov/node/14819" TargetMode="External"/><Relationship Id="rId3054" Type="http://schemas.openxmlformats.org/officeDocument/2006/relationships/hyperlink" Target="https://eda.wv.gov/wp-content/uploads/2024/01/Mountaineer-GigaSystem-LLC-Final-Approval-8-16-2023-High-Impact.pdf" TargetMode="External"/><Relationship Id="rId3053" Type="http://schemas.openxmlformats.org/officeDocument/2006/relationships/hyperlink" Target="https://fidelisinfra.com/project/monarch-compute-campus/" TargetMode="External"/><Relationship Id="rId3056" Type="http://schemas.openxmlformats.org/officeDocument/2006/relationships/hyperlink" Target="https://www.datacenterdynamics.com/en/news/nscale-in-talks-to-acquire-8gw-monarch-compute-campus-in-west-virginia-report/" TargetMode="External"/><Relationship Id="rId3055" Type="http://schemas.openxmlformats.org/officeDocument/2006/relationships/hyperlink" Target="https://www.prnewswire.com/news-releases/fidelis-and-bw-join-forces-at-mountaineer-gigasystem-site-for-brightloop-facility-to-process-coal-into-low-carbon-energy-302382849.html" TargetMode="External"/><Relationship Id="rId3058" Type="http://schemas.openxmlformats.org/officeDocument/2006/relationships/hyperlink" Target="https://wvcag.org/" TargetMode="External"/><Relationship Id="rId3057" Type="http://schemas.openxmlformats.org/officeDocument/2006/relationships/hyperlink" Target="https://www.prnewswire.com/news-releases/american-intelligence--power-forms-strategic-alliance-with-caterpillar-and-boyd-cat-to-deploy-2-gigawatts-of-dedicated-power-for-hyperscale-ai-infrastructure-302673060.html" TargetMode="External"/><Relationship Id="rId3059" Type="http://schemas.openxmlformats.org/officeDocument/2006/relationships/hyperlink" Target="https://wvrivers.org/" TargetMode="External"/><Relationship Id="rId3041" Type="http://schemas.openxmlformats.org/officeDocument/2006/relationships/hyperlink" Target="https://www.wvnews.com/statejournal/news/noaa-s-100m-rhea-supercomputer-coming-to-fairmont-boosting-west-virginia-tech-growth/article_5726208a-d3d7-404b-9eed-4cbb10cd26eb.html" TargetMode="External"/><Relationship Id="rId3040" Type="http://schemas.openxmlformats.org/officeDocument/2006/relationships/hyperlink" Target="https://www.wvnews.com/statejournal/news/noaa-s-100m-rhea-supercomputer-coming-to-fairmont-boosting-west-virginia-tech-growth/article_5726208a-d3d7-404b-9eed-4cbb10cd26eb.html" TargetMode="External"/><Relationship Id="rId3043" Type="http://schemas.openxmlformats.org/officeDocument/2006/relationships/hyperlink" Target="https://wvrivers.org/" TargetMode="External"/><Relationship Id="rId3042" Type="http://schemas.openxmlformats.org/officeDocument/2006/relationships/hyperlink" Target="https://wvcag.org/" TargetMode="External"/><Relationship Id="rId3045" Type="http://schemas.openxmlformats.org/officeDocument/2006/relationships/hyperlink" Target="https://ohiorivervalleyinstitute.org/adams-fork-is-a-giant-waste-of-energy/" TargetMode="External"/><Relationship Id="rId3044" Type="http://schemas.openxmlformats.org/officeDocument/2006/relationships/hyperlink" Target="https://dep.wv.gov/daq/permitting/Documents/Transgas-Adams-Fork-Harless/059-00133_APPL_13-3714%20rev.pdf" TargetMode="External"/><Relationship Id="rId3047" Type="http://schemas.openxmlformats.org/officeDocument/2006/relationships/hyperlink" Target="https://www.datacenterdynamics.com/en/news/alpha-technologies-to-convert-office-to-data-center-in-west-virginia/" TargetMode="External"/><Relationship Id="rId3046" Type="http://schemas.openxmlformats.org/officeDocument/2006/relationships/hyperlink" Target="https://www.newsfromthestates.com/article/enough-devastation-mingo-logan-residents-worry-about-proposed-power-plants-data-centers-wv" TargetMode="External"/><Relationship Id="rId3049" Type="http://schemas.openxmlformats.org/officeDocument/2006/relationships/hyperlink" Target="https://www.datacenterdynamics.com/en/news/penzance-targets-600mw-data-center-campus-in-west-virginia/" TargetMode="External"/><Relationship Id="rId3048" Type="http://schemas.openxmlformats.org/officeDocument/2006/relationships/hyperlink" Target="https://observerwv.com/plan-for-data-center-complex-near-kearneysville-approved/" TargetMode="External"/><Relationship Id="rId2600" Type="http://schemas.openxmlformats.org/officeDocument/2006/relationships/hyperlink" Target="https://eservice.pwcgov.org/planning/documents/REZ2021-00022.pdf" TargetMode="External"/><Relationship Id="rId2601" Type="http://schemas.openxmlformats.org/officeDocument/2006/relationships/hyperlink" Target="https://pwc.publicaccessnow.com/PropertyDetail.aspx?mtab=property&amp;mpropertynumber=264279" TargetMode="External"/><Relationship Id="rId2602" Type="http://schemas.openxmlformats.org/officeDocument/2006/relationships/hyperlink" Target="https://pwc.publicaccessnow.com/PropertyDetail.aspx?mpropertynumber=228119&amp;mtab=property&amp;p=228119" TargetMode="External"/><Relationship Id="rId2603" Type="http://schemas.openxmlformats.org/officeDocument/2006/relationships/hyperlink" Target="https://egcss.pwcgov.org/SelfService" TargetMode="External"/><Relationship Id="rId2604" Type="http://schemas.openxmlformats.org/officeDocument/2006/relationships/hyperlink" Target="https://www.pwcva.gov/department/planning-office/data-centers" TargetMode="External"/><Relationship Id="rId2605" Type="http://schemas.openxmlformats.org/officeDocument/2006/relationships/hyperlink" Target="https://wtop.com/prince-william-county/2025/07/prince-william-county-residents-push-back-against-recommendation-of-another-data-center/" TargetMode="External"/><Relationship Id="rId2606" Type="http://schemas.openxmlformats.org/officeDocument/2006/relationships/hyperlink" Target="https://eservice.pwcgov.org/planning/documents/REZ2023-00001.pdf" TargetMode="External"/><Relationship Id="rId808" Type="http://schemas.openxmlformats.org/officeDocument/2006/relationships/hyperlink" Target="https://wtop.com/montgomery-county/2026/02/coming-at-us-way-too-fast-public-comment-on-data-centers-in-montgomery-county/" TargetMode="External"/><Relationship Id="rId2607" Type="http://schemas.openxmlformats.org/officeDocument/2006/relationships/hyperlink" Target="https://egcss.pwcgov.org/SelfService" TargetMode="External"/><Relationship Id="rId807" Type="http://schemas.openxmlformats.org/officeDocument/2006/relationships/hyperlink" Target="https://www.thebanner.com/economy/growth-development/data-centers-agricultural-reserve-development-dickerson-battery-storage-potomac-river-IENOJKGJKJGDLL7DU53KSKMQ2U/" TargetMode="External"/><Relationship Id="rId2608" Type="http://schemas.openxmlformats.org/officeDocument/2006/relationships/hyperlink" Target="https://pwc.publicaccessnow.com/PropertyDetail.aspx?mtab=property&amp;mpropertynumber=202724" TargetMode="External"/><Relationship Id="rId806" Type="http://schemas.openxmlformats.org/officeDocument/2006/relationships/hyperlink" Target="https://www.facebook.com/groups/283244782323144/" TargetMode="External"/><Relationship Id="rId2609" Type="http://schemas.openxmlformats.org/officeDocument/2006/relationships/hyperlink" Target="https://pwc.publicaccessnow.com/PropertyDetail.aspx?mpropertynumber=025267&amp;mtab=property&amp;p=025267" TargetMode="External"/><Relationship Id="rId805" Type="http://schemas.openxmlformats.org/officeDocument/2006/relationships/hyperlink" Target="https://www.mocoalliance.org/news/dickerson-data-centers-how-much-water-how-much-power-how-much-diesel" TargetMode="External"/><Relationship Id="rId809" Type="http://schemas.openxmlformats.org/officeDocument/2006/relationships/hyperlink" Target="https://www.datacenterdynamics.com/en/news/aligned-tops-out-maryland-data-center/" TargetMode="External"/><Relationship Id="rId800" Type="http://schemas.openxmlformats.org/officeDocument/2006/relationships/hyperlink" Target="https://www.expedient.com/data-centers/boston/" TargetMode="External"/><Relationship Id="rId804" Type="http://schemas.openxmlformats.org/officeDocument/2006/relationships/hyperlink" Target="https://www.datacenterdynamics.com/en/news/new-york-based-mag-partners-may-build-data-centers-on-235-acre-site-in-baltimore/" TargetMode="External"/><Relationship Id="rId803" Type="http://schemas.openxmlformats.org/officeDocument/2006/relationships/hyperlink" Target="https://www.expedient.com/data-centers/baltimore/" TargetMode="External"/><Relationship Id="rId802" Type="http://schemas.openxmlformats.org/officeDocument/2006/relationships/hyperlink" Target="https://www.nbcboston.com/news/local/massive-multi-billion-dollar-data-center-campus-planned-in-western-massachusetts/3795016/" TargetMode="External"/><Relationship Id="rId801" Type="http://schemas.openxmlformats.org/officeDocument/2006/relationships/hyperlink" Target="https://theshoestring.org/2025/12/30/ai-hallucination-proposed-westfield-data-center-appears-abandoned-by-developers/" TargetMode="External"/><Relationship Id="rId1334" Type="http://schemas.openxmlformats.org/officeDocument/2006/relationships/hyperlink" Target="https://www.datacenterdynamics.com/en/news/local-authorities-in-ashville-ohio-deny-annexation-request-for-data-center-project/" TargetMode="External"/><Relationship Id="rId2665" Type="http://schemas.openxmlformats.org/officeDocument/2006/relationships/hyperlink" Target="https://www.chesterfield.gov/828/Real-Estate-Assessment-Data" TargetMode="External"/><Relationship Id="rId1335" Type="http://schemas.openxmlformats.org/officeDocument/2006/relationships/hyperlink" Target="https://www.sciotopost.com/ashville-council-rejects-data-center-annexation-emphasizes-regional-cooperation-and-updated-ceda-agreement/" TargetMode="External"/><Relationship Id="rId2666" Type="http://schemas.openxmlformats.org/officeDocument/2006/relationships/hyperlink" Target="https://www.datacenterdynamics.com/en/news/3bn-data-center-proposed-outside-richmond-in-powhatan-county-virginia/" TargetMode="External"/><Relationship Id="rId1336" Type="http://schemas.openxmlformats.org/officeDocument/2006/relationships/hyperlink" Target="https://www.change.org/p/stop-construction-of-project-triton-in-norton-and-barberton-residential-areas" TargetMode="External"/><Relationship Id="rId2667" Type="http://schemas.openxmlformats.org/officeDocument/2006/relationships/hyperlink" Target="https://powhatanvarealestate.org/ParcelViewer/" TargetMode="External"/><Relationship Id="rId1337" Type="http://schemas.openxmlformats.org/officeDocument/2006/relationships/hyperlink" Target="https://www.wkyc.com/article/news/local/summit-county/norton-residents-push-back-proposed-data-center-quantum-hpc/95-bded910f-b3ba-496f-8a62-f41b5a0506c0" TargetMode="External"/><Relationship Id="rId2668" Type="http://schemas.openxmlformats.org/officeDocument/2006/relationships/hyperlink" Target="https://www.datacenterdynamics.com/en/news/province-group-data-center-campus-gets-green-light-in-powhatan-county-virginia/" TargetMode="External"/><Relationship Id="rId1338" Type="http://schemas.openxmlformats.org/officeDocument/2006/relationships/hyperlink" Target="https://www.qhpcnorton.com/" TargetMode="External"/><Relationship Id="rId2669" Type="http://schemas.openxmlformats.org/officeDocument/2006/relationships/hyperlink" Target="https://www.jll.com/en-us/newsroom/powhatan-county-approves-180-acre-data-center-development" TargetMode="External"/><Relationship Id="rId1339" Type="http://schemas.openxmlformats.org/officeDocument/2006/relationships/hyperlink" Target="https://www.beaconjournal.com/story/news/2025/10/13/norton-to-host-meeting-to-discuss-proposed-data-center-at-mine-site/86585723007/" TargetMode="External"/><Relationship Id="rId745" Type="http://schemas.openxmlformats.org/officeDocument/2006/relationships/hyperlink" Target="https://www.weareoldhamcounty.com/" TargetMode="External"/><Relationship Id="rId744" Type="http://schemas.openxmlformats.org/officeDocument/2006/relationships/hyperlink" Target="https://www.cnbc.com/2026/07/06/anthropic-terawulf-data-center-ai.html" TargetMode="External"/><Relationship Id="rId743" Type="http://schemas.openxmlformats.org/officeDocument/2006/relationships/hyperlink" Target="https://seekingalpha.com/news/4545877-terawulf-to-develop-former-century-aluminum-plant-into-digital-infrastructure-campus" TargetMode="External"/><Relationship Id="rId742" Type="http://schemas.openxmlformats.org/officeDocument/2006/relationships/hyperlink" Target="https://investors.terawulf.com/news-events/press-releases/detail/129/terawulf-expands-digital-and-power-infrastructure-portfolio" TargetMode="External"/><Relationship Id="rId749" Type="http://schemas.openxmlformats.org/officeDocument/2006/relationships/hyperlink" Target="https://www.whas11.com/article/money/business/sauerbeck-family-drive-in-relocate-oldham-county-data-center-kentucky/417-3b414238-07a3-4aa2-a181-b3d0a3fd003b" TargetMode="External"/><Relationship Id="rId748" Type="http://schemas.openxmlformats.org/officeDocument/2006/relationships/hyperlink" Target="https://www.whas11.com/article/news/local/oldham-county-data-center-proposal-opposition/417-793370d3-51be-451a-847c-efcc84c2b48c" TargetMode="External"/><Relationship Id="rId747" Type="http://schemas.openxmlformats.org/officeDocument/2006/relationships/hyperlink" Target="https://www.wlky.com/article/zoning-dispute-erupts-over-proposed-data-center-oldham-county/64844247" TargetMode="External"/><Relationship Id="rId746" Type="http://schemas.openxmlformats.org/officeDocument/2006/relationships/hyperlink" Target="https://www.datacenterdynamics.com/en/news/kentuckys-oldham-county-passes-150-day-data-center-moratorium/" TargetMode="External"/><Relationship Id="rId2660" Type="http://schemas.openxmlformats.org/officeDocument/2006/relationships/hyperlink" Target="https://egcss.pwcgov.org/SelfService" TargetMode="External"/><Relationship Id="rId741" Type="http://schemas.openxmlformats.org/officeDocument/2006/relationships/hyperlink" Target="https://spectrumnews1.com/ky/louisville/news/2026/02/22/mercer-county-residents-petition-against-data-center" TargetMode="External"/><Relationship Id="rId1330" Type="http://schemas.openxmlformats.org/officeDocument/2006/relationships/hyperlink" Target="https://www.pjm.com/-/media/DotCom/committees-groups/committees/teac/2026/20260203/20260203-item-06---dayton-supplemental-projects.pdf" TargetMode="External"/><Relationship Id="rId2661" Type="http://schemas.openxmlformats.org/officeDocument/2006/relationships/hyperlink" Target="https://www.fairfaxcounty.gov/planning-development/sites/planning-development/files/Assets/Documents/PDF/data-centers-report.pdf" TargetMode="External"/><Relationship Id="rId740" Type="http://schemas.openxmlformats.org/officeDocument/2006/relationships/hyperlink" Target="https://www.linkedin.com/posts/chicagodatacenterbroker_exciting-opportunity-in-mercer-county-kentucky-activity-7359582503759745025-9DPs" TargetMode="External"/><Relationship Id="rId1331" Type="http://schemas.openxmlformats.org/officeDocument/2006/relationships/hyperlink" Target="https://www.vikingdata.io/" TargetMode="External"/><Relationship Id="rId2662" Type="http://schemas.openxmlformats.org/officeDocument/2006/relationships/hyperlink" Target="https://icare.fairfaxcounty.gov/ffxcare/Datalets/Datalet.aspx?mode=&amp;UseSearch=no&amp;pin=0294%2006%20%200105&amp;jur=129&amp;taxyr=2025" TargetMode="External"/><Relationship Id="rId1332" Type="http://schemas.openxmlformats.org/officeDocument/2006/relationships/hyperlink" Target="https://abc6onyourside.com/news/local/ashville-ohio-residents-push-back-against-proposed-edgeconnex-project-data-center-at-packed-council-meeting" TargetMode="External"/><Relationship Id="rId2663" Type="http://schemas.openxmlformats.org/officeDocument/2006/relationships/hyperlink" Target="https://frdnet.fcva.us/applications/COR_ViewPropertyCards/View_Detail.aspx?mrecno=28249" TargetMode="External"/><Relationship Id="rId1333" Type="http://schemas.openxmlformats.org/officeDocument/2006/relationships/hyperlink" Target="https://www.datacenterdynamics.com/en/news/proposed-edgeconnex-data-center-in-pickaway-county-ohio-facing-criticism/" TargetMode="External"/><Relationship Id="rId2664" Type="http://schemas.openxmlformats.org/officeDocument/2006/relationships/hyperlink" Target="https://chesterfieldfits.com/site/wp-content/uploads/2025/05/25SN1040-Watkins.-Proffers.-Executed.-5.9.25-01718951xBE3E4.pdf" TargetMode="External"/><Relationship Id="rId1323" Type="http://schemas.openxmlformats.org/officeDocument/2006/relationships/hyperlink" Target="https://www.cacwny.org/2024/10/we-want-renewable-power-generation-not-data-centers-at-tonawanda-coke/" TargetMode="External"/><Relationship Id="rId2654" Type="http://schemas.openxmlformats.org/officeDocument/2006/relationships/hyperlink" Target="https://egcss.pwcgov.org/SelfService" TargetMode="External"/><Relationship Id="rId1324" Type="http://schemas.openxmlformats.org/officeDocument/2006/relationships/hyperlink" Target="https://www.wgrz.com/article/news/local/data-center-proposed-for-tonawanda-coke-site-now-on-hold/71-eea5beb5-20cd-41e8-ab68-af42f7507770" TargetMode="External"/><Relationship Id="rId2655" Type="http://schemas.openxmlformats.org/officeDocument/2006/relationships/hyperlink" Target="https://pwc.publicaccessnow.com/PropertyDetail.aspx?mtab=property&amp;mpropertynumber=019605" TargetMode="External"/><Relationship Id="rId1325" Type="http://schemas.openxmlformats.org/officeDocument/2006/relationships/hyperlink" Target="http://www.riverviewtechcampus.com/" TargetMode="External"/><Relationship Id="rId2656" Type="http://schemas.openxmlformats.org/officeDocument/2006/relationships/hyperlink" Target="https://egcss.pwcgov.org/SelfService" TargetMode="External"/><Relationship Id="rId1326" Type="http://schemas.openxmlformats.org/officeDocument/2006/relationships/hyperlink" Target="https://www.datacenterdynamics.com/en/news/developer-buys-new-york-coal-plant-data-center-project/" TargetMode="External"/><Relationship Id="rId2657" Type="http://schemas.openxmlformats.org/officeDocument/2006/relationships/hyperlink" Target="https://egcss.pwcgov.org/SelfService" TargetMode="External"/><Relationship Id="rId1327" Type="http://schemas.openxmlformats.org/officeDocument/2006/relationships/hyperlink" Target="https://archive.ph/Y2kcW" TargetMode="External"/><Relationship Id="rId2658" Type="http://schemas.openxmlformats.org/officeDocument/2006/relationships/hyperlink" Target="https://www.datacenterdynamics.com/en/news/microsoft-to-build-new-data-center-in-manassas-virginia/" TargetMode="External"/><Relationship Id="rId1328" Type="http://schemas.openxmlformats.org/officeDocument/2006/relationships/hyperlink" Target="https://www.newsday.com/long-island/computer-data-center-warehouse-yaphank-hfdnl8i8" TargetMode="External"/><Relationship Id="rId2659" Type="http://schemas.openxmlformats.org/officeDocument/2006/relationships/hyperlink" Target="https://pwc.publicaccessnow.com/PropertyDetail.aspx?mtab=property&amp;mpropertynumber=246592" TargetMode="External"/><Relationship Id="rId1329" Type="http://schemas.openxmlformats.org/officeDocument/2006/relationships/hyperlink" Target="https://www.datacenterdynamics.com/en/news/new-data-center-construction-confirmed-in-adams-county-ohio/" TargetMode="External"/><Relationship Id="rId739" Type="http://schemas.openxmlformats.org/officeDocument/2006/relationships/hyperlink" Target="https://fox56news.com/news/local/proposal-to-build-data-center-in-mercer-county-sparks-debate-among-community-members/" TargetMode="External"/><Relationship Id="rId734" Type="http://schemas.openxmlformats.org/officeDocument/2006/relationships/hyperlink" Target="https://tenkeydatacenter.com/" TargetMode="External"/><Relationship Id="rId733" Type="http://schemas.openxmlformats.org/officeDocument/2006/relationships/hyperlink" Target="https://www.datacenterdynamics.com/en/news/data-center-proposal-in-franklin-kentucky-gets-approval-from-planning-and-zoning-commission/" TargetMode="External"/><Relationship Id="rId732" Type="http://schemas.openxmlformats.org/officeDocument/2006/relationships/hyperlink" Target="https://www.datacenterdynamics.com/en/news/officials-in-meade-county-kentucky-reject-data-center-rezoning-plan/" TargetMode="External"/><Relationship Id="rId731" Type="http://schemas.openxmlformats.org/officeDocument/2006/relationships/hyperlink" Target="https://www.change.org/p/stop-the-ai-data-center-construction-in-ekron-ky" TargetMode="External"/><Relationship Id="rId738" Type="http://schemas.openxmlformats.org/officeDocument/2006/relationships/hyperlink" Target="https://www.yahoo.com/news/articles/mercer-county-residents-speak-proposed-115252446.html" TargetMode="External"/><Relationship Id="rId737" Type="http://schemas.openxmlformats.org/officeDocument/2006/relationships/hyperlink" Target="https://www.change.org/p/stop-the-construction-of-data-centers-in-rural-mercer-co-ky" TargetMode="External"/><Relationship Id="rId736" Type="http://schemas.openxmlformats.org/officeDocument/2006/relationships/hyperlink" Target="http://wearemercercountyky.org" TargetMode="External"/><Relationship Id="rId735" Type="http://schemas.openxmlformats.org/officeDocument/2006/relationships/hyperlink" Target="https://www.franklinfavorite.com/news/article_a847db4f-a029-58aa-baee-cb01774ca008.html" TargetMode="External"/><Relationship Id="rId730" Type="http://schemas.openxmlformats.org/officeDocument/2006/relationships/hyperlink" Target="https://www.datacenterdynamics.com/en/news/data-center-moratorium-blocking-gigawatt-campus-challenged-in-cave-city-kentucky/" TargetMode="External"/><Relationship Id="rId2650" Type="http://schemas.openxmlformats.org/officeDocument/2006/relationships/hyperlink" Target="https://egcss.pwcgov.org/SelfService" TargetMode="External"/><Relationship Id="rId1320" Type="http://schemas.openxmlformats.org/officeDocument/2006/relationships/hyperlink" Target="https://www.datacenterdynamics.com/en/news/databank-launches-20mw-data-center-in-orangeburg-new-york/" TargetMode="External"/><Relationship Id="rId2651" Type="http://schemas.openxmlformats.org/officeDocument/2006/relationships/hyperlink" Target="https://pwc.publicaccessnow.com/PropertyDetail.aspx?mtab=property&amp;mpropertynumber=254675" TargetMode="External"/><Relationship Id="rId1321" Type="http://schemas.openxmlformats.org/officeDocument/2006/relationships/hyperlink" Target="https://www.databank.com/data-centers/new-york-city/" TargetMode="External"/><Relationship Id="rId2652" Type="http://schemas.openxmlformats.org/officeDocument/2006/relationships/hyperlink" Target="https://egcss.pwcgov.org/SelfService" TargetMode="External"/><Relationship Id="rId1322" Type="http://schemas.openxmlformats.org/officeDocument/2006/relationships/hyperlink" Target="https://newsroom.ibm.com/2024-09-26-ibm-expands-quantum-data-center-in-poughkeepsie,-new-york-to-advance-algorithm-discovery-globally" TargetMode="External"/><Relationship Id="rId2653" Type="http://schemas.openxmlformats.org/officeDocument/2006/relationships/hyperlink" Target="https://pwc.publicaccessnow.com/PropertyDetail.aspx?mtab=property&amp;mpropertynumber=270074" TargetMode="External"/><Relationship Id="rId1356" Type="http://schemas.openxmlformats.org/officeDocument/2006/relationships/hyperlink" Target="https://www.expedient.com/data-centers/cleveland/" TargetMode="External"/><Relationship Id="rId2687" Type="http://schemas.openxmlformats.org/officeDocument/2006/relationships/hyperlink" Target="https://www.fauquier.com/news/gigaland-pitches-new-data-center-complex-near-remington/article_54a84456-c63e-11ee-9791-af00814cfeff.html?emci=b70cb8e1-97c6-ee11-85f9-002248223794&amp;emdi=9a5bec2c-b0c6-ee11-85f9-002248223794&amp;ceid=11786847" TargetMode="External"/><Relationship Id="rId1357" Type="http://schemas.openxmlformats.org/officeDocument/2006/relationships/hyperlink" Target="https://www.datacenterdynamics.com/en/news/developers-file-application-for-16bn-data-center-in-cleveland-ohio/" TargetMode="External"/><Relationship Id="rId2688" Type="http://schemas.openxmlformats.org/officeDocument/2006/relationships/hyperlink" Target="https://gis.vgsi.com/fauquierva/Parcel.aspx?pid=7982" TargetMode="External"/><Relationship Id="rId1358" Type="http://schemas.openxmlformats.org/officeDocument/2006/relationships/hyperlink" Target="https://www.datacenterdynamics.com/en/news/16bn-data-center-plan-rejected-in-cleveland-ohio/" TargetMode="External"/><Relationship Id="rId2689" Type="http://schemas.openxmlformats.org/officeDocument/2006/relationships/hyperlink" Target="https://commdevpay.fauquiercounty.gov/Energov_Prod/SelfService" TargetMode="External"/><Relationship Id="rId1359" Type="http://schemas.openxmlformats.org/officeDocument/2006/relationships/hyperlink" Target="https://neo-trans.blog/2026/05/06/1-6b-data-center-planned-in-cleveland/" TargetMode="External"/><Relationship Id="rId767" Type="http://schemas.openxmlformats.org/officeDocument/2006/relationships/hyperlink" Target="https://www.wpsdlocal6.com/newsletter_stories/city-leaders-hope-to-fill-space-after-cryptocurrency-company-leaves-amerisourcebergen-building-in-paducah/article_6d9aefce-e236-11ec-b493-2ba86b7b6a5b.html" TargetMode="External"/><Relationship Id="rId766" Type="http://schemas.openxmlformats.org/officeDocument/2006/relationships/hyperlink" Target="https://www.datacenterdynamics.com/en/news/riot-to-convert-cryptomine-site-in-texas-to-hpc-signs-25mw-lease-with-amd/" TargetMode="External"/><Relationship Id="rId765" Type="http://schemas.openxmlformats.org/officeDocument/2006/relationships/hyperlink" Target="https://www.datacenterdynamics.com/en/news/soluna-to-develop-two-new-data-centers-in-texas-with-a-combined-capacity-of-350mw/" TargetMode="External"/><Relationship Id="rId764" Type="http://schemas.openxmlformats.org/officeDocument/2006/relationships/hyperlink" Target="https://baxtel.com/data-center/soluna-project-sophie?lat=36.54308464821985&amp;lng=-88.36226063424738&amp;distance=27294.14912016671" TargetMode="External"/><Relationship Id="rId769" Type="http://schemas.openxmlformats.org/officeDocument/2006/relationships/hyperlink" Target="https://www.datacenterdynamics.com/en/news/data-center-planned-near-shreveport-louisiana-report/" TargetMode="External"/><Relationship Id="rId768" Type="http://schemas.openxmlformats.org/officeDocument/2006/relationships/hyperlink" Target="https://www.datacenterdynamics.com/en/news/riot-to-convert-cryptomine-site-in-texas-to-hpc-signs-25mw-lease-with-amd/" TargetMode="External"/><Relationship Id="rId2680" Type="http://schemas.openxmlformats.org/officeDocument/2006/relationships/hyperlink" Target="https://air.norfolk.gov/" TargetMode="External"/><Relationship Id="rId1350" Type="http://schemas.openxmlformats.org/officeDocument/2006/relationships/hyperlink" Target="https://www.change.org/p/abolish-the-data-center-in-fulton-county-illinois" TargetMode="External"/><Relationship Id="rId2681" Type="http://schemas.openxmlformats.org/officeDocument/2006/relationships/hyperlink" Target="https://www.fairfaxcounty.gov/planning-development/sites/planning-development/files/Assets/Documents/PDF/data-centers-report.pdf" TargetMode="External"/><Relationship Id="rId1351" Type="http://schemas.openxmlformats.org/officeDocument/2006/relationships/hyperlink" Target="https://www.datacenterdynamics.com/en/news/carter-validus-mission-critical-reit-ii-acquires-canton-data-center-94-million/?utm_source=chatgpt.com" TargetMode="External"/><Relationship Id="rId2682" Type="http://schemas.openxmlformats.org/officeDocument/2006/relationships/hyperlink" Target="https://icare.fairfaxcounty.gov/ffxcare/Datalets/Datalet.aspx?mode=&amp;UseSearch=no&amp;pin=0244%2001%20%200006B8&amp;jur=129&amp;taxyr=2025" TargetMode="External"/><Relationship Id="rId763" Type="http://schemas.openxmlformats.org/officeDocument/2006/relationships/hyperlink" Target="https://local12.com/news/local/northern-kentucky-family-declines-26-million-bid-data-center-plans-advance-maysville-ai-tech-technology-construction-farm-farmland-property-deal-purchase-sell-google-meta-amazon-mason-county-market-value-cincinnati" TargetMode="External"/><Relationship Id="rId1352" Type="http://schemas.openxmlformats.org/officeDocument/2006/relationships/hyperlink" Target="https://www.datacenterdynamics.com/en/news/involta-acquires-securedata-365-takes-over-data-center-in-canton-ohio/" TargetMode="External"/><Relationship Id="rId2683" Type="http://schemas.openxmlformats.org/officeDocument/2006/relationships/hyperlink" Target="https://commdevpay.fauquiercounty.gov/Energov_Prod/SelfService" TargetMode="External"/><Relationship Id="rId762" Type="http://schemas.openxmlformats.org/officeDocument/2006/relationships/hyperlink" Target="https://cms5.revize.com/revize/maysville/Document%20Center/Forms/New%20node/Planning%20&amp;%20Zoning/Mason%20County%20Data%20Center%20Site%20Maps.pdf?t=202603161623080&amp;t=202603161623080" TargetMode="External"/><Relationship Id="rId1353" Type="http://schemas.openxmlformats.org/officeDocument/2006/relationships/hyperlink" Target="https://local12.com/news/local/texas-company-expand-downtown-cincinnati-data-center-following-250-million-dollars-infusion-dartpoints-hpc-megawatts" TargetMode="External"/><Relationship Id="rId2684" Type="http://schemas.openxmlformats.org/officeDocument/2006/relationships/hyperlink" Target="https://commdevpay.fauquiercounty.gov/Energov_Prod/SelfService" TargetMode="External"/><Relationship Id="rId761" Type="http://schemas.openxmlformats.org/officeDocument/2006/relationships/hyperlink" Target="https://www.cityofmaysvilleky.gov/departments/codes_department/data_center.php" TargetMode="External"/><Relationship Id="rId1354" Type="http://schemas.openxmlformats.org/officeDocument/2006/relationships/hyperlink" Target="https://www.datacenterdynamics.com/en/news/h5-data-centers-acquires-data-center-in-cincinnati-ohio/" TargetMode="External"/><Relationship Id="rId2685" Type="http://schemas.openxmlformats.org/officeDocument/2006/relationships/hyperlink" Target="https://www.fauquiernow.com/news/gigaland-developers-weigh-smaller-footprint-for-remington-data-center/article_1b71d125-88f6-4ca9-9992-3cc5b3f789cc.html" TargetMode="External"/><Relationship Id="rId760" Type="http://schemas.openxmlformats.org/officeDocument/2006/relationships/hyperlink" Target="https://local12.com/news/local/nky-officials-hear-plan-2000-acre-hyperscale-data-center-complex-tech-technology-special-meeting-maysville-kentucky-fortune-50-company-contracts-property-owners-selling-land-rights-job-jobs-cost-consturction-renderings-nda-corporations" TargetMode="External"/><Relationship Id="rId1355" Type="http://schemas.openxmlformats.org/officeDocument/2006/relationships/hyperlink" Target="https://www.expedient.com/data-centers/cleveland/" TargetMode="External"/><Relationship Id="rId2686" Type="http://schemas.openxmlformats.org/officeDocument/2006/relationships/hyperlink" Target="https://www.datacenterdynamics.com/en/news/plans-for-800mw-gigaland-data-center-campus-withdrawn-in-fauquier-county-virginia/" TargetMode="External"/><Relationship Id="rId1345" Type="http://schemas.openxmlformats.org/officeDocument/2006/relationships/hyperlink" Target="https://bgindependentmedia.org/power-plant-for-meta-data-center-in-wood-county-fast-tracked-approved-with-no-public-hearings/" TargetMode="External"/><Relationship Id="rId2676" Type="http://schemas.openxmlformats.org/officeDocument/2006/relationships/hyperlink" Target="https://chesterfieldfits.com/site/wp-content/uploads/2025/05/East.Proffers.Executed.04-09-25-01709493xBE3E4.pdf" TargetMode="External"/><Relationship Id="rId1346" Type="http://schemas.openxmlformats.org/officeDocument/2006/relationships/hyperlink" Target="https://opsb.ohio.gov/news/opsb-authorizes-construction-of-wood-county-power-plant" TargetMode="External"/><Relationship Id="rId2677" Type="http://schemas.openxmlformats.org/officeDocument/2006/relationships/hyperlink" Target="https://www.chesterfield.gov/828/Real-Estate-Assessment-Data" TargetMode="External"/><Relationship Id="rId1347" Type="http://schemas.openxmlformats.org/officeDocument/2006/relationships/hyperlink" Target="https://www.constructionowners.com/news/ohio-data-center-gas-plant-sparks-backlash" TargetMode="External"/><Relationship Id="rId2678" Type="http://schemas.openxmlformats.org/officeDocument/2006/relationships/hyperlink" Target="https://chesterfieldfits.com/site/wp-content/uploads/2025/05/25SN1038.West-Tract-A.-Proffers.-Executed.-5.9.25-01718952xBE3E4.pdf" TargetMode="External"/><Relationship Id="rId1348" Type="http://schemas.openxmlformats.org/officeDocument/2006/relationships/hyperlink" Target="https://oilandgaswatch.org/facility/rec_d5eiru1uih89upkga2qg" TargetMode="External"/><Relationship Id="rId2679" Type="http://schemas.openxmlformats.org/officeDocument/2006/relationships/hyperlink" Target="https://www.chesterfield.gov/828/Real-Estate-Assessment-Data" TargetMode="External"/><Relationship Id="rId1349" Type="http://schemas.openxmlformats.org/officeDocument/2006/relationships/hyperlink" Target="https://bgindependentmedia.org/meta-data-center-how-it-went-from-economic-development-coup-to-project-local-residents-rue/" TargetMode="External"/><Relationship Id="rId756" Type="http://schemas.openxmlformats.org/officeDocument/2006/relationships/hyperlink" Target="https://www.datacenterdynamics.com/en/news/planning-commission-recommends-approval-for-16m-sq-ft-planned-data-center-in-louisville-kentucky/" TargetMode="External"/><Relationship Id="rId755" Type="http://schemas.openxmlformats.org/officeDocument/2006/relationships/hyperlink" Target="https://www.wdrb.com/in-depth/louisville-data-center-plan-advances-after-unanimous-vote/article_23d6a67c-2e0c-4b28-88d5-75aec98cd1ff.html" TargetMode="External"/><Relationship Id="rId754" Type="http://schemas.openxmlformats.org/officeDocument/2006/relationships/hyperlink" Target="https://www.datacenterdynamics.com/en/news/powerhouse-plans-400mw-data-center-campus-in-louisville-kentucky/" TargetMode="External"/><Relationship Id="rId753" Type="http://schemas.openxmlformats.org/officeDocument/2006/relationships/hyperlink" Target="https://invest.jll.com/us/en/listings/special-purpose-facility/8-asset-switch-portfolio" TargetMode="External"/><Relationship Id="rId759" Type="http://schemas.openxmlformats.org/officeDocument/2006/relationships/hyperlink" Target="https://www.lpm.org/news/2026-03-05/west-louisville-data-center-approved-despite-opposition" TargetMode="External"/><Relationship Id="rId758" Type="http://schemas.openxmlformats.org/officeDocument/2006/relationships/hyperlink" Target="https://www.powerhousedata.com/news/developers-unveil-plans-for-large-tech-data-center-in-louisville" TargetMode="External"/><Relationship Id="rId757" Type="http://schemas.openxmlformats.org/officeDocument/2006/relationships/hyperlink" Target="https://www.americanrepartners.com/news/lets-go-build-some-data-centers-powerhouse-drives-hyperscale-and-ai-infrastructure-across-north-america" TargetMode="External"/><Relationship Id="rId2670" Type="http://schemas.openxmlformats.org/officeDocument/2006/relationships/hyperlink" Target="https://www.wric.com/news/local-news/powhatan-county/data-center-campus-eastern-powhatan/" TargetMode="External"/><Relationship Id="rId1340" Type="http://schemas.openxmlformats.org/officeDocument/2006/relationships/hyperlink" Target="https://cityofnorton.org/DocumentCenter/View/4031/Data-Center-Background-Information23985548_1" TargetMode="External"/><Relationship Id="rId2671" Type="http://schemas.openxmlformats.org/officeDocument/2006/relationships/hyperlink" Target="https://richmondbizsense.com/2025/07/14/sites-slated-for-mystery-data-center-projects-in-chesterfield-sell-for-nearly-60m/" TargetMode="External"/><Relationship Id="rId752" Type="http://schemas.openxmlformats.org/officeDocument/2006/relationships/hyperlink" Target="https://www.lpm.org/news/2025-06-03/oldham-county-data-center-switches-sites-reduces-size-amid-local-resistance" TargetMode="External"/><Relationship Id="rId1341" Type="http://schemas.openxmlformats.org/officeDocument/2006/relationships/hyperlink" Target="https://www.cityofnorton.org/DocumentCenter/View/4025/Triton-400132701-Site-Plan-2025-10-0923967014_1" TargetMode="External"/><Relationship Id="rId2672" Type="http://schemas.openxmlformats.org/officeDocument/2006/relationships/hyperlink" Target="https://richmondbizsense.com/2025/08/28/chesterfield-scores-a-google-trifecta-tech-giant-reveals-ties-to-3-massive-sites-across-the-county/" TargetMode="External"/><Relationship Id="rId751" Type="http://schemas.openxmlformats.org/officeDocument/2006/relationships/hyperlink" Target="https://www.datacenterdynamics.com/en/news/kentuckys-oldham-county-passes-150-day-data-center-moratorium/" TargetMode="External"/><Relationship Id="rId1342" Type="http://schemas.openxmlformats.org/officeDocument/2006/relationships/hyperlink" Target="https://datacenters.atmeta.com/2025/04/hello-bowling-green/" TargetMode="External"/><Relationship Id="rId2673" Type="http://schemas.openxmlformats.org/officeDocument/2006/relationships/hyperlink" Target="https://tammypurcell.substack.com/p/more-details-emerge-about-plans-for?utm_source=substack&amp;utm_medium=email" TargetMode="External"/><Relationship Id="rId750" Type="http://schemas.openxmlformats.org/officeDocument/2006/relationships/hyperlink" Target="https://www.bizjournals.com/louisville/news/2025/07/03/whp-oldham-county-data-stalled.html" TargetMode="External"/><Relationship Id="rId1343" Type="http://schemas.openxmlformats.org/officeDocument/2006/relationships/hyperlink" Target="https://www.datacenterdynamics.com/en/news/meta-to-develop-data-center-campus-outside-toledo-ohio/" TargetMode="External"/><Relationship Id="rId2674" Type="http://schemas.openxmlformats.org/officeDocument/2006/relationships/hyperlink" Target="https://richmondbizsense.com/2025/07/14/sites-slated-for-mystery-data-center-projects-in-chesterfield-sell-for-nearly-60m/" TargetMode="External"/><Relationship Id="rId1344" Type="http://schemas.openxmlformats.org/officeDocument/2006/relationships/hyperlink" Target="https://web.archive.org/web/20250910163909/https://www.toledoblade.com/local/suburbs/2025/09/09/rezoning-request-around-middleton-twp-data-center-withdrawn/stories/20250909109" TargetMode="External"/><Relationship Id="rId2675" Type="http://schemas.openxmlformats.org/officeDocument/2006/relationships/hyperlink" Target="https://richmondbizsense.com/2025/08/28/chesterfield-scores-a-google-trifecta-tech-giant-reveals-ties-to-3-massive-sites-across-the-county/" TargetMode="External"/><Relationship Id="rId2621" Type="http://schemas.openxmlformats.org/officeDocument/2006/relationships/hyperlink" Target="https://pwc.publicaccessnow.com/PropertyDetail.aspx?mtab=property&amp;mpropertynumber=264056" TargetMode="External"/><Relationship Id="rId2622" Type="http://schemas.openxmlformats.org/officeDocument/2006/relationships/hyperlink" Target="https://www.insidenova.com/headlines/stack-infrastructure-finalizes-1-8m-square-feet-in-bristow/article_557b56ba-8289-11ed-8ad6-ebd8be2d9699.html" TargetMode="External"/><Relationship Id="rId2623" Type="http://schemas.openxmlformats.org/officeDocument/2006/relationships/hyperlink" Target="https://pwc.publicaccessnow.com/PropertyDetail.aspx?mtab=property&amp;mpropertynumber=001510" TargetMode="External"/><Relationship Id="rId2624" Type="http://schemas.openxmlformats.org/officeDocument/2006/relationships/hyperlink" Target="https://egcss.pwcgov.org/SelfService" TargetMode="External"/><Relationship Id="rId2625" Type="http://schemas.openxmlformats.org/officeDocument/2006/relationships/hyperlink" Target="https://pwc.publicaccessnow.com/PropertyDetail.aspx?mtab=property&amp;mpropertynumber=099464" TargetMode="External"/><Relationship Id="rId2626" Type="http://schemas.openxmlformats.org/officeDocument/2006/relationships/hyperlink" Target="https://egcss.pwcgov.org/SelfService/PWCePortal" TargetMode="External"/><Relationship Id="rId2627" Type="http://schemas.openxmlformats.org/officeDocument/2006/relationships/hyperlink" Target="https://pwc.publicaccessnow.com/PropertyDetail.aspx?mpropertynumber=264531&amp;mtab=property&amp;p=264531" TargetMode="External"/><Relationship Id="rId2628" Type="http://schemas.openxmlformats.org/officeDocument/2006/relationships/hyperlink" Target="https://www.datacenterdynamics.com/en/news/developer-withdraws-plan-for-160-acre-data-center-in-prince-william-county-virginia/" TargetMode="External"/><Relationship Id="rId709" Type="http://schemas.openxmlformats.org/officeDocument/2006/relationships/hyperlink" Target="https://www.kctv5.com/2025/08/19/de-soto-city-council-consider-50-billion-incentives-data-center-project/" TargetMode="External"/><Relationship Id="rId2629" Type="http://schemas.openxmlformats.org/officeDocument/2006/relationships/hyperlink" Target="https://pwc.publicaccessnow.com/PropertyDetail.aspx?mpropertynumber=248042&amp;mtab=property&amp;p=248042" TargetMode="External"/><Relationship Id="rId708" Type="http://schemas.openxmlformats.org/officeDocument/2006/relationships/hyperlink" Target="https://www2.ljworld.com/weblogs/town_talk/2025/aug/21/a-big-data-center-may-be-douglas-countys-newest-neighbor-plans-call-for-700m-center-along-k-10/" TargetMode="External"/><Relationship Id="rId707" Type="http://schemas.openxmlformats.org/officeDocument/2006/relationships/hyperlink" Target="https://www.datacenterdynamics.com/en/news/digital-realty-plans-600mw-campus-in-kansas-acquires-investment-firm-columbia-capital/" TargetMode="External"/><Relationship Id="rId706" Type="http://schemas.openxmlformats.org/officeDocument/2006/relationships/hyperlink" Target="https://www.jconline.com/story/news/local/indiana/2026/07/01/white-county-residents-question-developer-of-planned-data-center/90751134007" TargetMode="External"/><Relationship Id="rId701" Type="http://schemas.openxmlformats.org/officeDocument/2006/relationships/hyperlink" Target="https://www.datacenterdynamics.com/en/news/indianas-city-of-valparaiso-pulls-the-plug-on-agincourt-data-center-project/" TargetMode="External"/><Relationship Id="rId700" Type="http://schemas.openxmlformats.org/officeDocument/2006/relationships/hyperlink" Target="https://www.datacenterdynamics.com/en/news/qts-cans-data-center-scheme-in-porter-county-indiana-after-protests/" TargetMode="External"/><Relationship Id="rId705" Type="http://schemas.openxmlformats.org/officeDocument/2006/relationships/hyperlink" Target="https://www.wolcottdatacenter.com/" TargetMode="External"/><Relationship Id="rId704" Type="http://schemas.openxmlformats.org/officeDocument/2006/relationships/hyperlink" Target="https://www.datacenterdynamics.com/en/news/322-acre-data-center-could-be-built-in-white-county-indiana/" TargetMode="External"/><Relationship Id="rId703" Type="http://schemas.openxmlformats.org/officeDocument/2006/relationships/hyperlink" Target="https://www.datacenterdynamics.com/en/news/amazon-plans-nine-building-data-center-campus-in-wheatfield-indiana/" TargetMode="External"/><Relationship Id="rId702" Type="http://schemas.openxmlformats.org/officeDocument/2006/relationships/hyperlink" Target="https://www.chicagotribune.com/2025/03/11/citizens-outcry-for-transparency-impact-of-potential-data-center-development-in-valparaiso/" TargetMode="External"/><Relationship Id="rId2620" Type="http://schemas.openxmlformats.org/officeDocument/2006/relationships/hyperlink" Target="https://www.insidenova.com/headlines/stack-infrastructure-finalizes-1-8m-square-feet-in-bristow/article_557b56ba-8289-11ed-8ad6-ebd8be2d9699.html" TargetMode="External"/><Relationship Id="rId2610" Type="http://schemas.openxmlformats.org/officeDocument/2006/relationships/hyperlink" Target="https://egcss.pwcgov.org/SelfService" TargetMode="External"/><Relationship Id="rId2611" Type="http://schemas.openxmlformats.org/officeDocument/2006/relationships/hyperlink" Target="https://pwc.publicaccessnow.com/PropertyDetail.aspx?mtab=property&amp;mpropertynumber=022171" TargetMode="External"/><Relationship Id="rId2612" Type="http://schemas.openxmlformats.org/officeDocument/2006/relationships/hyperlink" Target="https://pwc.publicaccessnow.com/PropertyDetail.aspx?mpropertynumber=214426&amp;mtab=property&amp;p=214426" TargetMode="External"/><Relationship Id="rId2613" Type="http://schemas.openxmlformats.org/officeDocument/2006/relationships/hyperlink" Target="https://datacenterhawk.com/marketplace/providers/cloudhq/10740-airman-avenue/mcc5" TargetMode="External"/><Relationship Id="rId2614" Type="http://schemas.openxmlformats.org/officeDocument/2006/relationships/hyperlink" Target="https://pwc.publicaccessnow.com/PropertyDetail.aspx?mpropertynumber=094463" TargetMode="External"/><Relationship Id="rId2615" Type="http://schemas.openxmlformats.org/officeDocument/2006/relationships/hyperlink" Target="https://pwc.publicaccessnow.com/PropertyDetail.aspx?mpropertynumber=201953&amp;mtab=property&amp;p=201953" TargetMode="External"/><Relationship Id="rId2616" Type="http://schemas.openxmlformats.org/officeDocument/2006/relationships/hyperlink" Target="https://egcss.pwcgov.org/SelfService" TargetMode="External"/><Relationship Id="rId2617" Type="http://schemas.openxmlformats.org/officeDocument/2006/relationships/hyperlink" Target="https://pwc.publicaccessnow.com/PropertyDetail.aspx?mpropertynumber=155883&amp;mtab=property&amp;p=155883" TargetMode="External"/><Relationship Id="rId2618" Type="http://schemas.openxmlformats.org/officeDocument/2006/relationships/hyperlink" Target="https://egcss.pwcgov.org/SelfService" TargetMode="External"/><Relationship Id="rId2619" Type="http://schemas.openxmlformats.org/officeDocument/2006/relationships/hyperlink" Target="https://pwc.publicaccessnow.com/PropertyDetail.aspx?mtab=property&amp;mpropertynumber=023467" TargetMode="External"/><Relationship Id="rId1312" Type="http://schemas.openxmlformats.org/officeDocument/2006/relationships/hyperlink" Target="https://www.wgrz.com/article/news/local/digihost-crypto-mining-facility-fortistar-power-plant-money-business/71-9fbc4c21-8f47-4cf4-951e-32513d3090a9" TargetMode="External"/><Relationship Id="rId2643" Type="http://schemas.openxmlformats.org/officeDocument/2006/relationships/hyperlink" Target="https://pwc.publicaccessnow.com/PropertyDetail.aspx?mtab=property&amp;mpropertynumber=265450" TargetMode="External"/><Relationship Id="rId1313" Type="http://schemas.openxmlformats.org/officeDocument/2006/relationships/hyperlink" Target="https://buffalonews.com/news/local/article_6fb79889-7e52-49e3-9016-7b91fed9b05b.html" TargetMode="External"/><Relationship Id="rId2644" Type="http://schemas.openxmlformats.org/officeDocument/2006/relationships/hyperlink" Target="https://pwc.publicaccessnow.com/PropertyDetail.aspx?mtab=property&amp;mpropertynumber=265451" TargetMode="External"/><Relationship Id="rId1314" Type="http://schemas.openxmlformats.org/officeDocument/2006/relationships/hyperlink" Target="https://www.facebook.com/groups/143492322411081/posts/25299508549716111/" TargetMode="External"/><Relationship Id="rId2645" Type="http://schemas.openxmlformats.org/officeDocument/2006/relationships/hyperlink" Target="https://pwc.publicaccessnow.com/PropertyDetail.aspx?mpropertynumber=265452&amp;mtab=property&amp;p=265452" TargetMode="External"/><Relationship Id="rId1315" Type="http://schemas.openxmlformats.org/officeDocument/2006/relationships/hyperlink" Target="https://www.facebook.com/otsego2000/posts/the-eco-yotta-proposal-for-the-town-of-oneonta-was-never-about-farming-and-hydro/1149697390645539/" TargetMode="External"/><Relationship Id="rId2646" Type="http://schemas.openxmlformats.org/officeDocument/2006/relationships/hyperlink" Target="https://www.insidenova.com/headlines/planners-support-linton-hall-data-center-proposal/article_a70fa594-176e-11ec-995a-7f53ce2a867d.html" TargetMode="External"/><Relationship Id="rId1316" Type="http://schemas.openxmlformats.org/officeDocument/2006/relationships/hyperlink" Target="https://www.allotsego.com/residents-oppose-data-center-proposal-in-heated-board-meeting/" TargetMode="External"/><Relationship Id="rId2647" Type="http://schemas.openxmlformats.org/officeDocument/2006/relationships/hyperlink" Target="https://pwc.publicaccessnow.com/PropertyDetail.aspx?mtab=property&amp;mpropertynumber=225070" TargetMode="External"/><Relationship Id="rId1317" Type="http://schemas.openxmlformats.org/officeDocument/2006/relationships/hyperlink" Target="https://russodevelopment.com/property/rdc-purpose-built-data-center/" TargetMode="External"/><Relationship Id="rId2648" Type="http://schemas.openxmlformats.org/officeDocument/2006/relationships/hyperlink" Target="https://egcss.pwcgov.org/SelfService" TargetMode="External"/><Relationship Id="rId1318" Type="http://schemas.openxmlformats.org/officeDocument/2006/relationships/hyperlink" Target="https://baxtel.com/data-center/bloomberg-orangetown" TargetMode="External"/><Relationship Id="rId2649" Type="http://schemas.openxmlformats.org/officeDocument/2006/relationships/hyperlink" Target="https://pwc.publicaccessnow.com/PropertyDetail.aspx?mtab=property&amp;mpropertynumber=023779" TargetMode="External"/><Relationship Id="rId1319" Type="http://schemas.openxmlformats.org/officeDocument/2006/relationships/hyperlink" Target="https://www.databank.com/data-centers/new-york-city/orangeburg-campus/lga3/" TargetMode="External"/><Relationship Id="rId729" Type="http://schemas.openxmlformats.org/officeDocument/2006/relationships/hyperlink" Target="https://fivco.org/wp-content/uploads/2016/10/eastpark-SITE_B-102516.pdf" TargetMode="External"/><Relationship Id="rId728" Type="http://schemas.openxmlformats.org/officeDocument/2006/relationships/hyperlink" Target="https://fivco.org/economic-development/eastpark-industrial-park/" TargetMode="External"/><Relationship Id="rId723" Type="http://schemas.openxmlformats.org/officeDocument/2006/relationships/hyperlink" Target="https://www.datacenterdynamics.com/en/news/developer-withdraws-plan-to-build-316-acre-data-center-in-spring-hill-kansas/" TargetMode="External"/><Relationship Id="rId722" Type="http://schemas.openxmlformats.org/officeDocument/2006/relationships/hyperlink" Target="https://www.datacenterdynamics.com/en/news/planning-decision-on-rochelle-illinois-data-center-postponed/" TargetMode="External"/><Relationship Id="rId721" Type="http://schemas.openxmlformats.org/officeDocument/2006/relationships/hyperlink" Target="https://mapcarta.com/W153632025" TargetMode="External"/><Relationship Id="rId720" Type="http://schemas.openxmlformats.org/officeDocument/2006/relationships/hyperlink" Target="https://www.datacenterdynamics.com/en/news/20mw-data-center-eyed-in-parsons-kansas/" TargetMode="External"/><Relationship Id="rId727" Type="http://schemas.openxmlformats.org/officeDocument/2006/relationships/hyperlink" Target="https://investors.terawulf.com/news-events/press-releases/detail/141/terawulf-expands-infrastructure-platform-with-acquisition-of-1-gw-eastern-kentucky-hpc-campus" TargetMode="External"/><Relationship Id="rId726" Type="http://schemas.openxmlformats.org/officeDocument/2006/relationships/hyperlink" Target="https://cleanview.co/data-centers/kansas/2295/project-bluestem" TargetMode="External"/><Relationship Id="rId725" Type="http://schemas.openxmlformats.org/officeDocument/2006/relationships/hyperlink" Target="https://www.kshb.com/news/local-news/kansas/leavenworth-county/hyperscale-data-center-proposed-in-tonganoxie-county-commissioners-discuss-project-with-developer" TargetMode="External"/><Relationship Id="rId724" Type="http://schemas.openxmlformats.org/officeDocument/2006/relationships/hyperlink" Target="https://bluestemdatacenter.com/" TargetMode="External"/><Relationship Id="rId2640" Type="http://schemas.openxmlformats.org/officeDocument/2006/relationships/hyperlink" Target="https://pwc.publicaccessnow.com/PropertyDetail.aspx?mpropertynumber=263807&amp;mtab=property&amp;p=263807" TargetMode="External"/><Relationship Id="rId1310" Type="http://schemas.openxmlformats.org/officeDocument/2006/relationships/hyperlink" Target="https://www.cacwny.org/campaigns/north-tonawanda/" TargetMode="External"/><Relationship Id="rId2641" Type="http://schemas.openxmlformats.org/officeDocument/2006/relationships/hyperlink" Target="https://pwc.publicaccessnow.com/PropertyDetail.aspx?mtab=property&amp;mpropertynumber=264057" TargetMode="External"/><Relationship Id="rId1311" Type="http://schemas.openxmlformats.org/officeDocument/2006/relationships/hyperlink" Target="https://actionnetwork.org/petitions/north-tonawanda-common-council-regulate-cryptocurrency-mining?nowrapper=true&amp;referrer=&amp;source=" TargetMode="External"/><Relationship Id="rId2642" Type="http://schemas.openxmlformats.org/officeDocument/2006/relationships/hyperlink" Target="https://pwc.publicaccessnow.com/PropertyDetail.aspx?mpropertynumber=265449&amp;mtab=property&amp;p=265449" TargetMode="External"/><Relationship Id="rId1301" Type="http://schemas.openxmlformats.org/officeDocument/2006/relationships/hyperlink" Target="https://www.datacenterdynamics.com/en/news/oxford-quantum-circuits-deploys-quantum-computer-at-quantum-ai-data-center-in-new-york-city/" TargetMode="External"/><Relationship Id="rId2632" Type="http://schemas.openxmlformats.org/officeDocument/2006/relationships/hyperlink" Target="https://pwc.publicaccessnow.com/PropertyDetail.aspx?mpropertynumber=261328&amp;mtab=property&amp;p=261328" TargetMode="External"/><Relationship Id="rId1302" Type="http://schemas.openxmlformats.org/officeDocument/2006/relationships/hyperlink" Target="https://www.datacenterdynamics.com/en/news/9ldg-plans-ai-data-center-at-niagara-falls" TargetMode="External"/><Relationship Id="rId2633" Type="http://schemas.openxmlformats.org/officeDocument/2006/relationships/hyperlink" Target="https://pwc.publicaccessnow.com/PropertyDetail.aspx?mpropertynumber=248323&amp;mtab=property&amp;p=248323" TargetMode="External"/><Relationship Id="rId1303" Type="http://schemas.openxmlformats.org/officeDocument/2006/relationships/hyperlink" Target="https://finance.yahoo.com/news/blockfusion-wins-approval-reopen-bitcoin-035900770.html" TargetMode="External"/><Relationship Id="rId2634" Type="http://schemas.openxmlformats.org/officeDocument/2006/relationships/hyperlink" Target="https://pwc.publicaccessnow.com/PropertyDetail.aspx?mpropertynumber=246763&amp;mtab=property" TargetMode="External"/><Relationship Id="rId1304" Type="http://schemas.openxmlformats.org/officeDocument/2006/relationships/hyperlink" Target="https://cms3.revize.com/revize/repository/niagarafallsny/Documents/Government/Department/Planning%20And%20Environmental/Block%20Fusion%20FEIS/Final%20Environmental%20Impact%20Statement_7.17.25(12819203.1).pdf?908" TargetMode="External"/><Relationship Id="rId2635" Type="http://schemas.openxmlformats.org/officeDocument/2006/relationships/hyperlink" Target="https://pwc.publicaccessnow.com/PropertyDetail.aspx?mtab=property&amp;mpropertynumber=246763" TargetMode="External"/><Relationship Id="rId1305" Type="http://schemas.openxmlformats.org/officeDocument/2006/relationships/hyperlink" Target="https://www.nyiso.com/documents/20142/2226333/2025-Gold-Book-Public.pdf/088438e1-02f1-5316-211b-dbca17c01b4b" TargetMode="External"/><Relationship Id="rId2636" Type="http://schemas.openxmlformats.org/officeDocument/2006/relationships/hyperlink" Target="https://egcss.pwcgov.org/SelfService" TargetMode="External"/><Relationship Id="rId1306" Type="http://schemas.openxmlformats.org/officeDocument/2006/relationships/hyperlink" Target="https://cms3.revize.com/revize/niagarafallsny/Documents/Government/Department/Planning%20And%20Environmental/PUD%20PETITION_FULL_5.14.2025.pdf" TargetMode="External"/><Relationship Id="rId2637" Type="http://schemas.openxmlformats.org/officeDocument/2006/relationships/hyperlink" Target="https://egcss.pwcgov.org/SelfService" TargetMode="External"/><Relationship Id="rId1307" Type="http://schemas.openxmlformats.org/officeDocument/2006/relationships/hyperlink" Target="https://finance.yahoo.com/news/nfr-submits-proposed-plans-data-035900195.html" TargetMode="External"/><Relationship Id="rId2638" Type="http://schemas.openxmlformats.org/officeDocument/2006/relationships/hyperlink" Target="https://pwc.publicaccessnow.com/PropertyDetail.aspx?mtab=property&amp;mpropertynumber=081575" TargetMode="External"/><Relationship Id="rId1308" Type="http://schemas.openxmlformats.org/officeDocument/2006/relationships/hyperlink" Target="https://www.datacentermap.com/usa/new-york/buffalo/niagara-digital-campus/" TargetMode="External"/><Relationship Id="rId2639" Type="http://schemas.openxmlformats.org/officeDocument/2006/relationships/hyperlink" Target="https://pwc.publicaccessnow.com/PropertyDetail.aspx?mpropertynumber=263058&amp;mtab=property&amp;p=263058" TargetMode="External"/><Relationship Id="rId1309" Type="http://schemas.openxmlformats.org/officeDocument/2006/relationships/hyperlink" Target="https://www.wgrz.com/article/news/local/niagara-falls-city-council-approves-settlement-with-nfr-new-data-center-to-move-forward/71-6ea0cd08-f43a-4ebc-9628-2700cef83f6c" TargetMode="External"/><Relationship Id="rId719" Type="http://schemas.openxmlformats.org/officeDocument/2006/relationships/hyperlink" Target="https://www.datacenterdynamics.com/en/news/115-acre-data-center-could-come-to-osawatomie-kansas-says-local-government/" TargetMode="External"/><Relationship Id="rId718" Type="http://schemas.openxmlformats.org/officeDocument/2006/relationships/hyperlink" Target="https://www.kcur.org/environment-agriculture/2025-11-09/data-center-kansas-city-wyandotte-county" TargetMode="External"/><Relationship Id="rId717" Type="http://schemas.openxmlformats.org/officeDocument/2006/relationships/hyperlink" Target="https://www.datacenterdynamics.com/en/news/600mw-data-center-campus-proposed-outside-kansas-city-kansas/" TargetMode="External"/><Relationship Id="rId712" Type="http://schemas.openxmlformats.org/officeDocument/2006/relationships/hyperlink" Target="https://www.datacenterdynamics.com/en/news/beale-infrastructure-buys-land-parcel-for-project-pilot-in-de-soto-kansas/" TargetMode="External"/><Relationship Id="rId711" Type="http://schemas.openxmlformats.org/officeDocument/2006/relationships/hyperlink" Target="https://www.datacenterdynamics.com/en/news/de-soto-kansas-approves-700m-data-center/" TargetMode="External"/><Relationship Id="rId710" Type="http://schemas.openxmlformats.org/officeDocument/2006/relationships/hyperlink" Target="https://www.bizjournals.com/kansascity/news/2025/08/20/de-soto-data-center-bonds-flint-commerce-panasonic.html" TargetMode="External"/><Relationship Id="rId716" Type="http://schemas.openxmlformats.org/officeDocument/2006/relationships/hyperlink" Target="https://www.kshb.com/news/local-news/multibillion-dollar-data-center-proposal-makes-its-way-to-kansas-city-kansas" TargetMode="External"/><Relationship Id="rId715" Type="http://schemas.openxmlformats.org/officeDocument/2006/relationships/hyperlink" Target="https://www.sierraclub.org/kansas" TargetMode="External"/><Relationship Id="rId714" Type="http://schemas.openxmlformats.org/officeDocument/2006/relationships/hyperlink" Target="https://www.datacenterdynamics.com/en/news/gigawatt-scale-data-center-campus-proposed-in-kansas/" TargetMode="External"/><Relationship Id="rId713" Type="http://schemas.openxmlformats.org/officeDocument/2006/relationships/hyperlink" Target="https://www.datacenterdynamics.com/en/news/beale-targets-two-campuses-outside-kansas-city-kansas/" TargetMode="External"/><Relationship Id="rId2630" Type="http://schemas.openxmlformats.org/officeDocument/2006/relationships/hyperlink" Target="https://egcss.pwcgov.org/SelfService" TargetMode="External"/><Relationship Id="rId1300" Type="http://schemas.openxmlformats.org/officeDocument/2006/relationships/hyperlink" Target="https://www.databank.com/data-centers/new-york-city/" TargetMode="External"/><Relationship Id="rId2631" Type="http://schemas.openxmlformats.org/officeDocument/2006/relationships/hyperlink" Target="https://pwc.publicaccessnow.com/PropertyDetail.aspx?mtab=property&amp;mpropertynumber=094151" TargetMode="External"/><Relationship Id="rId1378" Type="http://schemas.openxmlformats.org/officeDocument/2006/relationships/hyperlink" Target="https://www.change.org/p/no-tax-incentives-for-data-center" TargetMode="External"/><Relationship Id="rId1379" Type="http://schemas.openxmlformats.org/officeDocument/2006/relationships/hyperlink" Target="https://www.datacenterdynamics.com/en/news/google-confirmed-as-company-behind-500000-sq-ft-data-center-in-scioto-county-ohio/" TargetMode="External"/><Relationship Id="rId789" Type="http://schemas.openxmlformats.org/officeDocument/2006/relationships/hyperlink" Target="https://www.datacenterdynamics.com/en/news/hut-8-selling-325bn-in-bonds-to-finance-google-and-anthropic-backed-river-bend-ai-data-center-campus/" TargetMode="External"/><Relationship Id="rId788" Type="http://schemas.openxmlformats.org/officeDocument/2006/relationships/hyperlink" Target="https://www.govtech.com/products/data-center-deal-could-net-louisiana-parish-90m-a-year" TargetMode="External"/><Relationship Id="rId787" Type="http://schemas.openxmlformats.org/officeDocument/2006/relationships/hyperlink" Target="https://www.datacenterdynamics.com/en/news/hut-8-secures-592-acres-for-300mw-bitcoin-and-ai-data-center/" TargetMode="External"/><Relationship Id="rId786" Type="http://schemas.openxmlformats.org/officeDocument/2006/relationships/hyperlink" Target="https://web.archive.org/web/20250912021859/https://www.shreveportbossieradvocate.com/business/west-shreveport-tapped-for-one-million-square-foot-data-center/article_f58624b7-a568-433b-8943-9200c28cde51.html" TargetMode="External"/><Relationship Id="rId781" Type="http://schemas.openxmlformats.org/officeDocument/2006/relationships/hyperlink" Target="https://www.datacenterdynamics.com/en/news/entergy-obtains-approval-to-construct-three-gas-facilities-to-serve-metas-2gw-data-center-in-louisiana/" TargetMode="External"/><Relationship Id="rId1370" Type="http://schemas.openxmlformats.org/officeDocument/2006/relationships/hyperlink" Target="https://marcellusdrilling.com/2025/04/microsoft-hits-pause-button-on-1b-data-centers-near-columbus-oh/" TargetMode="External"/><Relationship Id="rId780" Type="http://schemas.openxmlformats.org/officeDocument/2006/relationships/hyperlink" Target="https://www.datacenterdynamics.com/en/news/entergy-to-build-12bn-500kv-transmission-line-to-serve-meta-mega-data-center-in-louisiana/" TargetMode="External"/><Relationship Id="rId1371" Type="http://schemas.openxmlformats.org/officeDocument/2006/relationships/hyperlink" Target="https://www.dispatch.com/story/business/2025/04/07/microsoft-backs-out-of-plans-to-build-data-centers-in-licking-county/82973097007/" TargetMode="External"/><Relationship Id="rId1372" Type="http://schemas.openxmlformats.org/officeDocument/2006/relationships/hyperlink" Target="https://www.datacenterdynamics.com/en/news/aligned-acquires-third-site-in-ohio-for-data-center-development-report/" TargetMode="External"/><Relationship Id="rId1373" Type="http://schemas.openxmlformats.org/officeDocument/2006/relationships/hyperlink" Target="https://www.datacenterdynamics.com/en/news/aligned-to-develop-200-acre-data-center-campus-in-coshocton-ohio/" TargetMode="External"/><Relationship Id="rId785" Type="http://schemas.openxmlformats.org/officeDocument/2006/relationships/hyperlink" Target="https://dartpoints.com/locations/louisiana3/" TargetMode="External"/><Relationship Id="rId1374" Type="http://schemas.openxmlformats.org/officeDocument/2006/relationships/hyperlink" Target="https://www.expedient.com/data-centers/columbus/" TargetMode="External"/><Relationship Id="rId784" Type="http://schemas.openxmlformats.org/officeDocument/2006/relationships/hyperlink" Target="https://www.datacenterdynamics.com/en/news/meta-purchases-additional-1400-acres-for-hyperion-mega-data-center-expansion/" TargetMode="External"/><Relationship Id="rId1375" Type="http://schemas.openxmlformats.org/officeDocument/2006/relationships/hyperlink" Target="https://dartpoints.com/locations/ohio2/" TargetMode="External"/><Relationship Id="rId783" Type="http://schemas.openxmlformats.org/officeDocument/2006/relationships/hyperlink" Target="https://lailluminator.com/briefs/entergy-builds-power-plant-for-data-center/" TargetMode="External"/><Relationship Id="rId1376" Type="http://schemas.openxmlformats.org/officeDocument/2006/relationships/hyperlink" Target="https://www.datacenterdynamics.com/en/news/300-acres-of-land-in-preble-county-ohio-could-host-data-center-campus/" TargetMode="External"/><Relationship Id="rId782" Type="http://schemas.openxmlformats.org/officeDocument/2006/relationships/hyperlink" Target="https://www.bgr.com/1990532/meta-new-aid-data-center-size-70-football-fields-residents-scared-water/" TargetMode="External"/><Relationship Id="rId1377" Type="http://schemas.openxmlformats.org/officeDocument/2006/relationships/hyperlink" Target="https://www.wdtn.com/news/300-acres-of-farmland-could-be-rezoned-for-new-data-center-near-i-70/" TargetMode="External"/><Relationship Id="rId1367" Type="http://schemas.openxmlformats.org/officeDocument/2006/relationships/hyperlink" Target="https://www.datacenterdynamics.com/en/news/aligned-acquires-third-site-in-ohio-for-data-center-development-report/" TargetMode="External"/><Relationship Id="rId2698" Type="http://schemas.openxmlformats.org/officeDocument/2006/relationships/hyperlink" Target="https://icare.fairfaxcounty.gov/ffxcare/Datalets/Datalet.aspx?mode=&amp;UseSearch=no&amp;pin=0183%2008%20%200009A&amp;jur=129&amp;taxyr=2025" TargetMode="External"/><Relationship Id="rId1368" Type="http://schemas.openxmlformats.org/officeDocument/2006/relationships/hyperlink" Target="https://marcellusdrilling.com/2025/04/microsoft-hits-pause-button-on-1b-data-centers-near-columbus-oh/" TargetMode="External"/><Relationship Id="rId2699" Type="http://schemas.openxmlformats.org/officeDocument/2006/relationships/hyperlink" Target="https://icare.fairfaxcounty.gov/ffxcare/Datalets/Datalet.aspx?mode=&amp;UseSearch=no&amp;pin=0183%2005%20%200010&amp;jur=129&amp;taxyr=2025" TargetMode="External"/><Relationship Id="rId1369" Type="http://schemas.openxmlformats.org/officeDocument/2006/relationships/hyperlink" Target="https://www.dispatch.com/story/business/2025/04/07/microsoft-backs-out-of-plans-to-build-data-centers-in-licking-county/82973097007/" TargetMode="External"/><Relationship Id="rId778" Type="http://schemas.openxmlformats.org/officeDocument/2006/relationships/hyperlink" Target="https://louisianasiteselection.com/api/Upload/FileDownload?guid=56ec41afe38d458282a61cebe1b47c3e" TargetMode="External"/><Relationship Id="rId777" Type="http://schemas.openxmlformats.org/officeDocument/2006/relationships/hyperlink" Target="https://www.datacenterdynamics.com/en/news/meta-announces-4-million-sq-ft-louisiana-data-center-campus/" TargetMode="External"/><Relationship Id="rId776" Type="http://schemas.openxmlformats.org/officeDocument/2006/relationships/hyperlink" Target="https://capitalbnews.org/meta-richland-parish-ai-data-center/" TargetMode="External"/><Relationship Id="rId775" Type="http://schemas.openxmlformats.org/officeDocument/2006/relationships/hyperlink" Target="https://www.wwltv.com/article/news/local/its-very-concerning-to-the-community-neighbors-push-back-against-proposed-new-orleans-east-data-center/289-6872cdeb-ea95-4eef-b5e0-f83193ecfe00" TargetMode="External"/><Relationship Id="rId779" Type="http://schemas.openxmlformats.org/officeDocument/2006/relationships/hyperlink" Target="https://www.opportunitylouisiana.gov/news/meta-selects-northeast-louisiana-as-site-of-10-billion-artificial-intelligence-optimized-data-center-governor-jeff-landry-calls-investment-a-new-chapter-for-state" TargetMode="External"/><Relationship Id="rId770" Type="http://schemas.openxmlformats.org/officeDocument/2006/relationships/hyperlink" Target="https://www.datacenterdynamics.com/en/news/data-center-planned-near-shreveport-louisiana-report/" TargetMode="External"/><Relationship Id="rId2690" Type="http://schemas.openxmlformats.org/officeDocument/2006/relationships/hyperlink" Target="https://gis.vgsi.com/fauquierva/Parcel.aspx?pid=8404" TargetMode="External"/><Relationship Id="rId1360" Type="http://schemas.openxmlformats.org/officeDocument/2006/relationships/hyperlink" Target="https://www.cleveland19.com/2026/05/07/neighbors-raise-concerns-about-proposed-cleveland-data-center/" TargetMode="External"/><Relationship Id="rId2691" Type="http://schemas.openxmlformats.org/officeDocument/2006/relationships/hyperlink" Target="https://commdevpay.fauquiercounty.gov/Energov_Prod/SelfService" TargetMode="External"/><Relationship Id="rId1361" Type="http://schemas.openxmlformats.org/officeDocument/2006/relationships/hyperlink" Target="https://marcellusdrilling.com/2025/04/microsoft-hits-pause-button-on-1b-data-centers-near-columbus-oh/" TargetMode="External"/><Relationship Id="rId2692" Type="http://schemas.openxmlformats.org/officeDocument/2006/relationships/hyperlink" Target="https://gis.vgsi.com/fauquierva/Parcel.aspx?pid=8405" TargetMode="External"/><Relationship Id="rId1362" Type="http://schemas.openxmlformats.org/officeDocument/2006/relationships/hyperlink" Target="https://www.dispatch.com/story/business/2025/04/07/microsoft-backs-out-of-plans-to-build-data-centers-in-licking-county/82973097007/" TargetMode="External"/><Relationship Id="rId2693" Type="http://schemas.openxmlformats.org/officeDocument/2006/relationships/hyperlink" Target="https://commdevpay.fauquiercounty.gov/Energov_Prod/SelfService" TargetMode="External"/><Relationship Id="rId774" Type="http://schemas.openxmlformats.org/officeDocument/2006/relationships/hyperlink" Target="https://wgno.com/news/louisiana/orleans-parish/new-orleans-city-council-pauses-proposed-data-center-in-new-orleans-east/" TargetMode="External"/><Relationship Id="rId1363" Type="http://schemas.openxmlformats.org/officeDocument/2006/relationships/hyperlink" Target="https://cologix.com/data-centers/columbus/" TargetMode="External"/><Relationship Id="rId2694" Type="http://schemas.openxmlformats.org/officeDocument/2006/relationships/hyperlink" Target="https://www.actdatascout.com/RealProperty/ParcelView" TargetMode="External"/><Relationship Id="rId773" Type="http://schemas.openxmlformats.org/officeDocument/2006/relationships/hyperlink" Target="https://www.all4energy.org/watchdog/statement-on-data-centers-in-nola/" TargetMode="External"/><Relationship Id="rId1364" Type="http://schemas.openxmlformats.org/officeDocument/2006/relationships/hyperlink" Target="https://cologix.com/data-centers/columbus/" TargetMode="External"/><Relationship Id="rId2695" Type="http://schemas.openxmlformats.org/officeDocument/2006/relationships/hyperlink" Target="https://www.fairfaxcounty.gov/planning-development/sites/planning-development/files/Assets/Documents/PDF/data-centers-report.pdf" TargetMode="External"/><Relationship Id="rId772" Type="http://schemas.openxmlformats.org/officeDocument/2006/relationships/hyperlink" Target="https://veritenews.org/2026/01/28/data-centers-ban-new-orleans-council/" TargetMode="External"/><Relationship Id="rId1365" Type="http://schemas.openxmlformats.org/officeDocument/2006/relationships/hyperlink" Target="https://cologix.com/data-centers/columbus/" TargetMode="External"/><Relationship Id="rId2696" Type="http://schemas.openxmlformats.org/officeDocument/2006/relationships/hyperlink" Target="https://icare.fairfaxcounty.gov/ffxcare/Datalets/Datalet.aspx?mode=&amp;UseSearch=no&amp;pin=0173%2001%20%200032A&amp;jur=129&amp;taxyr=2025" TargetMode="External"/><Relationship Id="rId771" Type="http://schemas.openxmlformats.org/officeDocument/2006/relationships/hyperlink" Target="https://www.all4energy.org/watchdog/statement-on-data-centers-in-nola/" TargetMode="External"/><Relationship Id="rId1366" Type="http://schemas.openxmlformats.org/officeDocument/2006/relationships/hyperlink" Target="https://cologix.com/data-centers/columbus/" TargetMode="External"/><Relationship Id="rId2697" Type="http://schemas.openxmlformats.org/officeDocument/2006/relationships/hyperlink" Target="https://www.fairfaxcounty.gov/planning-development/sites/planning-development/files/Assets/Documents/PDF/data-centers-report.pdf" TargetMode="External"/><Relationship Id="rId1390" Type="http://schemas.openxmlformats.org/officeDocument/2006/relationships/hyperlink" Target="https://www.datacenterdynamics.com/en/news/mara-acquires-505mw-gas-plant-in-ohio-intends-to-construct-200mw-data-center-at-site/" TargetMode="External"/><Relationship Id="rId1391" Type="http://schemas.openxmlformats.org/officeDocument/2006/relationships/hyperlink" Target="https://hilliardcleanair.org/" TargetMode="External"/><Relationship Id="rId1392" Type="http://schemas.openxmlformats.org/officeDocument/2006/relationships/hyperlink" Target="https://www.dispatch.com/story/news/local/communities/hilliard/2022/05/27/amazon-plans-build-third-data-center-scioto-darby-road-and-270/9962923002/" TargetMode="External"/><Relationship Id="rId1393" Type="http://schemas.openxmlformats.org/officeDocument/2006/relationships/hyperlink" Target="https://hilliardohio.gov/state-law-overrides-local-review-for-aws-fuel-cell-system-in-hilliard/" TargetMode="External"/><Relationship Id="rId1394" Type="http://schemas.openxmlformats.org/officeDocument/2006/relationships/hyperlink" Target="https://www.10tv.com/article/news/local/hilliard-residents-concerns-amazon-data-center-diesel-generators/530-ccb1ea66-fad0-403b-9baf-76110d65f2fd" TargetMode="External"/><Relationship Id="rId1395" Type="http://schemas.openxmlformats.org/officeDocument/2006/relationships/hyperlink" Target="https://www.datacenterdynamics.com/en/news/city-of-hilliard-challenges-amazon-fuel-cell-project-at-ohio-data-center-report/" TargetMode="External"/><Relationship Id="rId1396" Type="http://schemas.openxmlformats.org/officeDocument/2006/relationships/hyperlink" Target="https://www.change.org/p/stop-the-ai-data-centers-in-lawrence-county-ohio" TargetMode="External"/><Relationship Id="rId1397" Type="http://schemas.openxmlformats.org/officeDocument/2006/relationships/hyperlink" Target="https://www.datacenterdynamics.com/en/news/data-center-project-in-lawrence-county-ohio-sparks-calls-for-moratorium-in-neighboring-city/" TargetMode="External"/><Relationship Id="rId1398" Type="http://schemas.openxmlformats.org/officeDocument/2006/relationships/hyperlink" Target="https://www.datacenterdynamics.com/en/news/aws-weighing-up-data-center-project-in-fayette-county-ohio/" TargetMode="External"/><Relationship Id="rId1399" Type="http://schemas.openxmlformats.org/officeDocument/2006/relationships/hyperlink" Target="https://www.datacenterdynamics.com/en/news/aws-weighing-up-data-center-project-in-fayette-county-ohio/" TargetMode="External"/><Relationship Id="rId1389" Type="http://schemas.openxmlformats.org/officeDocument/2006/relationships/hyperlink" Target="https://www.wvxu.org/environment/2025-12-03/developers-data-center-butler-county" TargetMode="External"/><Relationship Id="rId799" Type="http://schemas.openxmlformats.org/officeDocument/2006/relationships/hyperlink" Target="https://www.cbsnews.com/boston/news/inside-lowell-markley-data-center" TargetMode="External"/><Relationship Id="rId798" Type="http://schemas.openxmlformats.org/officeDocument/2006/relationships/hyperlink" Target="https://www.yahoo.com/news/articles/25-investigates-raised-concerns-mass-230539627.html" TargetMode="External"/><Relationship Id="rId797" Type="http://schemas.openxmlformats.org/officeDocument/2006/relationships/hyperlink" Target="https://www.lowellsun.com/2025/06/25/lowell-city-council-approves-markley-groups-diesel-fueled-expansion/" TargetMode="External"/><Relationship Id="rId1380" Type="http://schemas.openxmlformats.org/officeDocument/2006/relationships/hyperlink" Target="https://www.datacenterdynamics.com/en/news/aws-plans-2bn-data-center-campus-in-sunbury-ohio/" TargetMode="External"/><Relationship Id="rId792" Type="http://schemas.openxmlformats.org/officeDocument/2006/relationships/hyperlink" Target="https://www.datacenters.com/markley-group-boston" TargetMode="External"/><Relationship Id="rId1381" Type="http://schemas.openxmlformats.org/officeDocument/2006/relationships/hyperlink" Target="https://www.journal-news.com/news/residents-say-no-on-1b-data-center-project-wants-hamilton-to-do-the-same/L3YUSLLR2VHMDFXVBXKPBTOHCA/" TargetMode="External"/><Relationship Id="rId791" Type="http://schemas.openxmlformats.org/officeDocument/2006/relationships/hyperlink" Target="https://www.markleygroup.com/data-center" TargetMode="External"/><Relationship Id="rId1382" Type="http://schemas.openxmlformats.org/officeDocument/2006/relationships/hyperlink" Target="https://www.bizjournals.com/cincinnati/news/2025/09/08/hyperscale-ai-data-center-hamilton-logistix.html" TargetMode="External"/><Relationship Id="rId790" Type="http://schemas.openxmlformats.org/officeDocument/2006/relationships/hyperlink" Target="https://www.datacenterdynamics.com/en/news/hut-8-signs-245mw-capacity-deal-with-fluidstack-as-part-of-multi-gigawatt-partnership-with-anthropic/" TargetMode="External"/><Relationship Id="rId1383" Type="http://schemas.openxmlformats.org/officeDocument/2006/relationships/hyperlink" Target="https://local12.com/news/local/plans-1-billion-cincinnati-hamilton-ohio-data-center-advance-despite-environmental-energy-concerns-bills-usage-cost-customers-residents-logistix-property-group-consumption-natural-gas-hydroelectric-solar-wind-generators-technology-hub-tech-computers" TargetMode="External"/><Relationship Id="rId1384" Type="http://schemas.openxmlformats.org/officeDocument/2006/relationships/hyperlink" Target="https://www.thebcfa.org/ignitebutler/featured-news-articles/p/item/64490/1b-hyperscale-data-center-could-break-ground-in-city-of-hamilton-in-2026" TargetMode="External"/><Relationship Id="rId796" Type="http://schemas.openxmlformats.org/officeDocument/2006/relationships/hyperlink" Target="https://www.govtech.com/analytics/massachusetts-residents-protest-data-farm-expansion" TargetMode="External"/><Relationship Id="rId1385" Type="http://schemas.openxmlformats.org/officeDocument/2006/relationships/hyperlink" Target="https://www.journal-news.com/news/residents-say-no-on-1b-data-center-project-wants-hamilton-to-do-the-same/L3YUSLLR2VHMDFXVBXKPBTOHCA/" TargetMode="External"/><Relationship Id="rId795" Type="http://schemas.openxmlformats.org/officeDocument/2006/relationships/hyperlink" Target="https://www.datacenters.com/markley-group-boston" TargetMode="External"/><Relationship Id="rId1386" Type="http://schemas.openxmlformats.org/officeDocument/2006/relationships/hyperlink" Target="https://www.thebcfa.org/ignitebutler/featured-news-articles/p/item/64490/1b-hyperscale-data-center-could-break-ground-in-city-of-hamilton-in-2026" TargetMode="External"/><Relationship Id="rId794" Type="http://schemas.openxmlformats.org/officeDocument/2006/relationships/hyperlink" Target="https://www.markleygroup.com/data-center" TargetMode="External"/><Relationship Id="rId1387" Type="http://schemas.openxmlformats.org/officeDocument/2006/relationships/hyperlink" Target="https://www.bizjournals.com/cincinnati/news/2025/09/08/hyperscale-ai-data-center-hamilton-logistix.html" TargetMode="External"/><Relationship Id="rId793" Type="http://schemas.openxmlformats.org/officeDocument/2006/relationships/hyperlink" Target="https://advocatenews.net/everett/news/city-councillors-question-plan-for-data-center-in-docklands-innovation-district/" TargetMode="External"/><Relationship Id="rId1388" Type="http://schemas.openxmlformats.org/officeDocument/2006/relationships/hyperlink" Target="https://www.journal-news.com/news/residents-say-no-on-1b-data-center-project-wants-hamilton-to-do-the-same/L3YUSLLR2VHMDFXVBXKPBTOHCA/" TargetMode="External"/><Relationship Id="rId2700" Type="http://schemas.openxmlformats.org/officeDocument/2006/relationships/hyperlink" Target="https://icare.fairfaxcounty.gov/ffxcare/datalets/datalet.aspx?mode=com_combined&amp;UseSearch=no&amp;pin=0173%2001%20%200005&amp;jur=129&amp;taxyr=2025&amp;LMparent=138" TargetMode="External"/><Relationship Id="rId2701" Type="http://schemas.openxmlformats.org/officeDocument/2006/relationships/hyperlink" Target="https://www.fairfaxcounty.gov/planning-development/sites/planning-development/files/Assets/Documents/PDF/data-centers-report.pdf" TargetMode="External"/><Relationship Id="rId2702" Type="http://schemas.openxmlformats.org/officeDocument/2006/relationships/hyperlink" Target="https://icare.fairfaxcounty.gov/ffxcare/datalets/datalet.aspx?mode=profileall&amp;sIndex=0&amp;idx=1&amp;LMparent=138" TargetMode="External"/><Relationship Id="rId2703" Type="http://schemas.openxmlformats.org/officeDocument/2006/relationships/hyperlink" Target="https://www.datacenterdynamics.com/en/news/proposals-for-two-data-center-projects-in-richmond-virginia-deferred-by-local-officials/" TargetMode="External"/><Relationship Id="rId2704" Type="http://schemas.openxmlformats.org/officeDocument/2006/relationships/hyperlink" Target="https://realestate.henrico.us/ords/cam/f?p=510101:5:::NO::P5_PARCEL_ID,P5_SEARCH_TYPE:795-746-5940,0" TargetMode="External"/><Relationship Id="rId2705" Type="http://schemas.openxmlformats.org/officeDocument/2006/relationships/hyperlink" Target="https://realestate.henrico.us/ords/cam/f?p=510101:5:::NO::P5_PARCEL_ID,P5_SEARCH_TYPE:780-748-2431,0" TargetMode="External"/><Relationship Id="rId2706" Type="http://schemas.openxmlformats.org/officeDocument/2006/relationships/hyperlink" Target="https://realestate.henrico.us/ords/cam/f?p=510101:5:::NO::P5_PARCEL_ID,P5_SEARCH_TYPE:790-760-2582,0" TargetMode="External"/><Relationship Id="rId2707" Type="http://schemas.openxmlformats.org/officeDocument/2006/relationships/hyperlink" Target="https://www.vpm.org/listen/2025-02-21/bizsense-beat-magnolia-green-azalea-flea-market" TargetMode="External"/><Relationship Id="rId2708" Type="http://schemas.openxmlformats.org/officeDocument/2006/relationships/hyperlink" Target="https://www.datacenterdynamics.com/en/news/planners-oppose-data-center-campus-in-varina-virginia/" TargetMode="External"/><Relationship Id="rId2709" Type="http://schemas.openxmlformats.org/officeDocument/2006/relationships/hyperlink" Target="https://www.roanokerambler.com/with-1-billion-google-data-center-deal-inked-the-roanoke-valley-enters-the-game/" TargetMode="External"/><Relationship Id="rId2720" Type="http://schemas.openxmlformats.org/officeDocument/2006/relationships/hyperlink" Target="https://co.caroline.va.us/DocumentCenter/View/10428/SPEX-08-2025-Caroline-Ctr-for-Innov-North---Reedy-Church" TargetMode="External"/><Relationship Id="rId2721" Type="http://schemas.openxmlformats.org/officeDocument/2006/relationships/hyperlink" Target="https://www.datacenterdynamics.com/en/news/cleanarc-gets-green-light-for-600mw-data-center-campus-in-caroline-county-virginia/" TargetMode="External"/><Relationship Id="rId2722" Type="http://schemas.openxmlformats.org/officeDocument/2006/relationships/hyperlink" Target="https://www.datacenterdynamics.com/en/news/cleanarc-breaks-ground-on-900mw-data-center-campus-in-virginia/" TargetMode="External"/><Relationship Id="rId2723" Type="http://schemas.openxmlformats.org/officeDocument/2006/relationships/hyperlink" Target="https://www.governor.virginia.gov/newsroom/news-releases/2025/november/name-1071533-en.html" TargetMode="External"/><Relationship Id="rId2724" Type="http://schemas.openxmlformats.org/officeDocument/2006/relationships/hyperlink" Target="https://co.caroline.va.us/DocumentCenter/View/10426/RZ-03-2025-Thornberry-LLC-Reedy-Church" TargetMode="External"/><Relationship Id="rId2725" Type="http://schemas.openxmlformats.org/officeDocument/2006/relationships/hyperlink" Target="https://co.caroline.va.us/AgendaCenter/ViewFile/Item/5593?fileID=9447" TargetMode="External"/><Relationship Id="rId2726" Type="http://schemas.openxmlformats.org/officeDocument/2006/relationships/hyperlink" Target="https://www.datacenterdynamics.com/en/news/10m-sq-ft-amazon-files-for-four-data-center-campuses-in-virginias-spotsylvania-and-caroline-counties/" TargetMode="External"/><Relationship Id="rId2727" Type="http://schemas.openxmlformats.org/officeDocument/2006/relationships/hyperlink" Target="https://icare.fairfaxcounty.gov/ffxcare/Datalets/Datalet.aspx?mode=&amp;UseSearch=no&amp;pin=0292%2015%20%20%20%20%20%20C1&amp;jur=129&amp;taxyr=2025" TargetMode="External"/><Relationship Id="rId2728" Type="http://schemas.openxmlformats.org/officeDocument/2006/relationships/hyperlink" Target="https://www.roanokerambler.com/with-1-billion-google-data-center-deal-inked-the-roanoke-valley-enters-the-game/" TargetMode="External"/><Relationship Id="rId2729" Type="http://schemas.openxmlformats.org/officeDocument/2006/relationships/hyperlink" Target="https://www.datacenterdynamics.com/en/news/hourigan-files-for-320-acre-data-center-campus-outside-richmond-virginia/?emci=44212ab4-0fa0-ee11-bea1-002248223f36&amp;emdi=712e0f52-37a0-ee11-bea1-002248223f36&amp;ceid=11786847" TargetMode="External"/><Relationship Id="rId2710" Type="http://schemas.openxmlformats.org/officeDocument/2006/relationships/hyperlink" Target="https://roanoke.org/real-estate/roanoke-county-center-for-research-technology/" TargetMode="External"/><Relationship Id="rId2711" Type="http://schemas.openxmlformats.org/officeDocument/2006/relationships/hyperlink" Target="https://www.roanokerambler.com/with-1-billion-google-data-center-deal-inked-the-roanoke-valley-enters-the-game/" TargetMode="External"/><Relationship Id="rId2712" Type="http://schemas.openxmlformats.org/officeDocument/2006/relationships/hyperlink" Target="https://www.yesfranklincountyva.org/228/Summit-View-Business-Park" TargetMode="External"/><Relationship Id="rId2713" Type="http://schemas.openxmlformats.org/officeDocument/2006/relationships/hyperlink" Target="https://www.datacenterdynamics.com/en/news/crusoe-linked-to-potential-data-center-project-in-franklin-county-virginia/" TargetMode="External"/><Relationship Id="rId2714" Type="http://schemas.openxmlformats.org/officeDocument/2006/relationships/hyperlink" Target="https://www.datacenterfrontier.com/energy/article/33010239/onsite-energy-plans-for-new-data-center-projects-reflect-industrys-decarbonization-investment" TargetMode="External"/><Relationship Id="rId2715" Type="http://schemas.openxmlformats.org/officeDocument/2006/relationships/hyperlink" Target="https://co.caroline.va.us/DocumentCenter/View/10347/RZ-02-2025-SPEX-06-2025-Ladysmith-Data-Hub?bidId=" TargetMode="External"/><Relationship Id="rId2716" Type="http://schemas.openxmlformats.org/officeDocument/2006/relationships/hyperlink" Target="https://sites.vedp.org/virginia/propertyid/286091" TargetMode="External"/><Relationship Id="rId2717" Type="http://schemas.openxmlformats.org/officeDocument/2006/relationships/hyperlink" Target="https://co.caroline.va.us/DocumentCenter/View/9366/RZ-03-2023--Carmel-Church-Data-Hub" TargetMode="External"/><Relationship Id="rId2718" Type="http://schemas.openxmlformats.org/officeDocument/2006/relationships/hyperlink" Target="https://co.caroline.va.us/DocumentCenter/View/9994/RZ-06-2024-Luck-Stone-CTEC" TargetMode="External"/><Relationship Id="rId2719" Type="http://schemas.openxmlformats.org/officeDocument/2006/relationships/hyperlink" Target="https://co.caroline.va.us/DocumentCenter/View/10157/RZ-01-2025-Caroline-Ctr-for-Innovation" TargetMode="External"/><Relationship Id="rId1455" Type="http://schemas.openxmlformats.org/officeDocument/2006/relationships/hyperlink" Target="https://www.wlwt.com/article/trenton-ohio-butler-county-data-center-reaction/69267723" TargetMode="External"/><Relationship Id="rId2786" Type="http://schemas.openxmlformats.org/officeDocument/2006/relationships/hyperlink" Target="https://reparcelasmt.loudoun.gov/pt/datalets/datalet.aspx?mode=profileall&amp;UseSearch=no&amp;pin=045175529000&amp;jur=107&amp;taxyr=2024&amp;LMparent=20" TargetMode="External"/><Relationship Id="rId1456" Type="http://schemas.openxmlformats.org/officeDocument/2006/relationships/hyperlink" Target="https://www.journal-news.com/news/1-million-square-foot-data-center-proposed-for-141-acres-in-trenton/B5H4QD67PZGVRJY7HAVVSTJJBI/" TargetMode="External"/><Relationship Id="rId2787" Type="http://schemas.openxmlformats.org/officeDocument/2006/relationships/hyperlink" Target="https://reparcelasmt.loudoun.gov/pt/datalets/datalet.aspx?mode=profileall&amp;UseSearch=no&amp;pin=030393965001&amp;jur=107&amp;taxyr=2024&amp;LMparent=20" TargetMode="External"/><Relationship Id="rId1457" Type="http://schemas.openxmlformats.org/officeDocument/2006/relationships/hyperlink" Target="https://www.datacenterdynamics.com/en/news/prologis-details-plans-for-data-center-campus-outside-cincinnati-ohio/" TargetMode="External"/><Relationship Id="rId2788" Type="http://schemas.openxmlformats.org/officeDocument/2006/relationships/hyperlink" Target="https://loudouncountyvaeg.tylerhost.net/prod/selfservice" TargetMode="External"/><Relationship Id="rId1458" Type="http://schemas.openxmlformats.org/officeDocument/2006/relationships/hyperlink" Target="https://www.expedient.com/data-centers/columbus/" TargetMode="External"/><Relationship Id="rId2789" Type="http://schemas.openxmlformats.org/officeDocument/2006/relationships/hyperlink" Target="https://reparcelasmt.loudoun.gov/pt/datalets/datalet.aspx?mode=land_summary&amp;UseSearch=no&amp;pin=041398662000&amp;jur=107&amp;taxyr=2025&amp;LMparent=20" TargetMode="External"/><Relationship Id="rId1459" Type="http://schemas.openxmlformats.org/officeDocument/2006/relationships/hyperlink" Target="https://www.change.org/p/stop-the-data-center-from-opening-in-urbana" TargetMode="External"/><Relationship Id="rId629" Type="http://schemas.openxmlformats.org/officeDocument/2006/relationships/hyperlink" Target="https://projectshirleylakecounty.com/" TargetMode="External"/><Relationship Id="rId624" Type="http://schemas.openxmlformats.org/officeDocument/2006/relationships/hyperlink" Target="https://www.datacenterdynamics.com/en/news/coreweave-to-develop-180mw-data-center-at-digital-crossroads-campus-in-hammond-indiana/" TargetMode="External"/><Relationship Id="rId623" Type="http://schemas.openxmlformats.org/officeDocument/2006/relationships/hyperlink" Target="https://baxtel.com/data-center/jumping-bison-greensburg-in?lat=39.37234142555886&amp;lng=-85.51474217656732&amp;distance=4286.716935410502" TargetMode="External"/><Relationship Id="rId622" Type="http://schemas.openxmlformats.org/officeDocument/2006/relationships/hyperlink" Target="https://www.yahoo.com/news/development-coming-greensburg-011600861.html" TargetMode="External"/><Relationship Id="rId621" Type="http://schemas.openxmlformats.org/officeDocument/2006/relationships/hyperlink" Target="https://wrbiradio.com/greensburg-council-approves-era-establishment-data-center-abatement/" TargetMode="External"/><Relationship Id="rId628" Type="http://schemas.openxmlformats.org/officeDocument/2006/relationships/hyperlink" Target="https://www.latitudemedia.com/news/in-indiana-an-anatomy-of-data-center-opposition/" TargetMode="External"/><Relationship Id="rId627" Type="http://schemas.openxmlformats.org/officeDocument/2006/relationships/hyperlink" Target="https://web.archive.org/web/20260419222133/https://www.chicagotribune.com/2026/04/17/developers-answer-questions-about-potential-lowell-area-data-center/" TargetMode="External"/><Relationship Id="rId626" Type="http://schemas.openxmlformats.org/officeDocument/2006/relationships/hyperlink" Target="https://dailyjournal.net/2025/06/26/iedc-board-approves-incentives-for-four-planned-data-center-projects/" TargetMode="External"/><Relationship Id="rId625" Type="http://schemas.openxmlformats.org/officeDocument/2006/relationships/hyperlink" Target="https://www.datacenterdynamics.com/en/news/digital-crossroad-plans-expansion-of-hammond-data-center-campus-outside-chicago/" TargetMode="External"/><Relationship Id="rId2780" Type="http://schemas.openxmlformats.org/officeDocument/2006/relationships/hyperlink" Target="https://cloudandcolocation.com/datacenters/cyxtera-sterling-data-center-iad1-b/" TargetMode="External"/><Relationship Id="rId1450" Type="http://schemas.openxmlformats.org/officeDocument/2006/relationships/hyperlink" Target="https://www.datacenterdynamics.com/en/news/aligned-acquires-130-acres-in-ohio-for-data-center-campus/" TargetMode="External"/><Relationship Id="rId2781" Type="http://schemas.openxmlformats.org/officeDocument/2006/relationships/hyperlink" Target="https://reparcelasmt.loudoun.gov/pt/Datalets/Datalet.aspx?UseSearch=no&amp;mode=profileall&amp;pin=030391106000&amp;jur=107&amp;taxyr=2024" TargetMode="External"/><Relationship Id="rId620" Type="http://schemas.openxmlformats.org/officeDocument/2006/relationships/hyperlink" Target="https://www.change.org/p/say-no-to-ai-data-centers-in-decatur-county" TargetMode="External"/><Relationship Id="rId1451" Type="http://schemas.openxmlformats.org/officeDocument/2006/relationships/hyperlink" Target="https://www.whio.com/news/local/city-approves-30-year-tax-break-amazon-data-center/IXCXV6ZWABADDFZ3XYHMYB7YUQ/" TargetMode="External"/><Relationship Id="rId2782" Type="http://schemas.openxmlformats.org/officeDocument/2006/relationships/hyperlink" Target="https://www.datacenterdynamics.com/en/news/aligned-files-to-extend-second-sterling-campus-in-virginia/" TargetMode="External"/><Relationship Id="rId1452" Type="http://schemas.openxmlformats.org/officeDocument/2006/relationships/hyperlink" Target="https://www.datacenterdynamics.com/en/news/amazon-secures-tax-break-for-3bn-data-center-campus-in-sidney-ohio/" TargetMode="External"/><Relationship Id="rId2783" Type="http://schemas.openxmlformats.org/officeDocument/2006/relationships/hyperlink" Target="https://loudouncountyvaeg.tylerhost.net/prod/selfservice" TargetMode="External"/><Relationship Id="rId1453" Type="http://schemas.openxmlformats.org/officeDocument/2006/relationships/hyperlink" Target="https://www.facebook.com/groups/816721210681323" TargetMode="External"/><Relationship Id="rId2784" Type="http://schemas.openxmlformats.org/officeDocument/2006/relationships/hyperlink" Target="https://reparcelasmt.loudoun.gov/pt/Datalets/Datalet.aspx?UseSearch=no&amp;mode=profileall&amp;pin=045279612000&amp;jur=107&amp;taxyr=2024" TargetMode="External"/><Relationship Id="rId1454" Type="http://schemas.openxmlformats.org/officeDocument/2006/relationships/hyperlink" Target="https://www.datacenterdynamics.com/en/news/prologis-acquires-land-outside-cincinnati-ohio-for-potential-data-center/" TargetMode="External"/><Relationship Id="rId2785" Type="http://schemas.openxmlformats.org/officeDocument/2006/relationships/hyperlink" Target="https://www.datacenterdynamics.com/en/news/aligned-files-to-extend-second-sterling-campus-in-virginia/" TargetMode="External"/><Relationship Id="rId1444" Type="http://schemas.openxmlformats.org/officeDocument/2006/relationships/hyperlink" Target="https://www.wowktv.com/news/ohio/japan-trade-deal-to-bring-billion-dollar-natural-gas-project-to-southeast-ohio/" TargetMode="External"/><Relationship Id="rId2775" Type="http://schemas.openxmlformats.org/officeDocument/2006/relationships/hyperlink" Target="https://reparcelasmt.loudoun.gov/pt/datalets/datalet.aspx?mode=commercial&amp;UseSearch=no&amp;pin=044193385000&amp;jur=107&amp;taxyr=2024&amp;LMparent=20" TargetMode="External"/><Relationship Id="rId1445" Type="http://schemas.openxmlformats.org/officeDocument/2006/relationships/hyperlink" Target="https://www.commerce.gov/news/fact-sheets/2026/02/fact-sheet-us-japan-trade-deal" TargetMode="External"/><Relationship Id="rId2776" Type="http://schemas.openxmlformats.org/officeDocument/2006/relationships/hyperlink" Target="https://www.datacenterdynamics.com/en/news/prologis-seeks-rezoning-of-land-sterling-virginia-possibly-for-data-centers/" TargetMode="External"/><Relationship Id="rId1446" Type="http://schemas.openxmlformats.org/officeDocument/2006/relationships/hyperlink" Target="https://www.datacenterdynamics.com/en/news/openai-in-talks-to-lease-10gw-data-center-from-sb-energy-in-ohio/" TargetMode="External"/><Relationship Id="rId2777" Type="http://schemas.openxmlformats.org/officeDocument/2006/relationships/hyperlink" Target="https://reparcelasmt.loudoun.gov/pt/Datalets/Datalet.aspx?UseSearch=no&amp;mode=profileall&amp;pin=045274849000&amp;jur=107&amp;taxyr=2024" TargetMode="External"/><Relationship Id="rId1447" Type="http://schemas.openxmlformats.org/officeDocument/2006/relationships/hyperlink" Target="https://miamivalleytoday.com/piqua-commission-hears-plans-for-new-data-center/" TargetMode="External"/><Relationship Id="rId2778" Type="http://schemas.openxmlformats.org/officeDocument/2006/relationships/hyperlink" Target="https://reparcelasmt.loudoun.gov/pt/Datalets/Datalet.aspx?UseSearch=no&amp;mode=profileall&amp;pin=034357851000&amp;jur=107&amp;taxyr=2024" TargetMode="External"/><Relationship Id="rId1448" Type="http://schemas.openxmlformats.org/officeDocument/2006/relationships/hyperlink" Target="https://www.datacenterdynamics.com/en/news/data-center-project-coming-to-piqua-ohio/" TargetMode="External"/><Relationship Id="rId2779" Type="http://schemas.openxmlformats.org/officeDocument/2006/relationships/hyperlink" Target="https://reparcelasmt.loudoun.gov/pt/datalets/datalet.aspx?mode=profileall&amp;UseSearch=no&amp;pin=034263373000&amp;jur=107&amp;taxyr=2024&amp;LMparent=20" TargetMode="External"/><Relationship Id="rId1449" Type="http://schemas.openxmlformats.org/officeDocument/2006/relationships/hyperlink" Target="https://cleanview.co/public/data-centers/ohio/1895/j5-piqua-data-center" TargetMode="External"/><Relationship Id="rId619" Type="http://schemas.openxmlformats.org/officeDocument/2006/relationships/hyperlink" Target="https://www.facebook.com/p/Coalition-to-Protect-Decatur-County-Against-AI-Data-Center-61580212506454/" TargetMode="External"/><Relationship Id="rId618" Type="http://schemas.openxmlformats.org/officeDocument/2006/relationships/hyperlink" Target="https://www.insideindianabusiness.com/articles/new-data-center-project-being-proposed-for-new-carlisle" TargetMode="External"/><Relationship Id="rId613" Type="http://schemas.openxmlformats.org/officeDocument/2006/relationships/hyperlink" Target="https://www.datacenterdynamics.com/en/news/google-announces-2bn-campus-in-fort-wayne-indiana/" TargetMode="External"/><Relationship Id="rId612" Type="http://schemas.openxmlformats.org/officeDocument/2006/relationships/hyperlink" Target="https://www.datacenterdynamics.com/en/news/4bn-data-center-in-indianapolis-indiana-gets-go-ahead/" TargetMode="External"/><Relationship Id="rId611" Type="http://schemas.openxmlformats.org/officeDocument/2006/relationships/hyperlink" Target="https://www.govtech.com/artificial-intelligence/2b-in-data-center-projects-planned-for-merrillville-ind" TargetMode="External"/><Relationship Id="rId610" Type="http://schemas.openxmlformats.org/officeDocument/2006/relationships/hyperlink" Target="https://www.govtech.com/artificial-intelligence/2b-in-data-center-projects-planned-for-merrillville-ind" TargetMode="External"/><Relationship Id="rId617" Type="http://schemas.openxmlformats.org/officeDocument/2006/relationships/hyperlink" Target="https://www.datacenterdynamics.com/en/news/land-rezoning-proposal-for-300mw-data-center-in-frankfort-indiana-rescinded-by-developer/" TargetMode="External"/><Relationship Id="rId616" Type="http://schemas.openxmlformats.org/officeDocument/2006/relationships/hyperlink" Target="https://www.datacenterdynamics.com/en/news/indiana-approves-expanding-googles-fort-wayne-data-center-campus-onto-protected-wetlands-despite-local-opposition/" TargetMode="External"/><Relationship Id="rId615" Type="http://schemas.openxmlformats.org/officeDocument/2006/relationships/hyperlink" Target="https://www.21alivenews.com/2025/09/19/googles-plan-build-protected-wetlands-fort-wayne-data-center-greenlit/" TargetMode="External"/><Relationship Id="rId614" Type="http://schemas.openxmlformats.org/officeDocument/2006/relationships/hyperlink" Target="https://rbnenergy.com/i-know-places-tech-giants-may-be-the-surest-bets-for-data-center-power-demand" TargetMode="External"/><Relationship Id="rId2770" Type="http://schemas.openxmlformats.org/officeDocument/2006/relationships/hyperlink" Target="https://reparcelasmt.loudoun.gov/pt/datalets/datalet.aspx?mode=profileall&amp;UseSearch=no&amp;pin=042295813000&amp;jur=107&amp;taxyr=2024&amp;LMparent=20" TargetMode="External"/><Relationship Id="rId1440" Type="http://schemas.openxmlformats.org/officeDocument/2006/relationships/hyperlink" Target="https://abc6onyourside.com/news/local/pataskala-residents-rally-at-city-hall-to-fight-aligned-data-center-seek-petition-drive-ohio" TargetMode="External"/><Relationship Id="rId2771" Type="http://schemas.openxmlformats.org/officeDocument/2006/relationships/hyperlink" Target="https://loudouncountyvaeg.tylerhost.net/prod/selfservice" TargetMode="External"/><Relationship Id="rId1441" Type="http://schemas.openxmlformats.org/officeDocument/2006/relationships/hyperlink" Target="https://edocpub.epa.ohio.gov/publicportal/ViewDocument.aspx?docid=4170748" TargetMode="External"/><Relationship Id="rId2772" Type="http://schemas.openxmlformats.org/officeDocument/2006/relationships/hyperlink" Target="https://reparcelasmt.loudoun.gov/pt/Datalets/Datalet.aspx?UseSearch=no&amp;mode=profileall&amp;pin=045465016000&amp;jur=107&amp;taxyr=2024" TargetMode="External"/><Relationship Id="rId1442" Type="http://schemas.openxmlformats.org/officeDocument/2006/relationships/hyperlink" Target="https://www.datacenterdynamics.com/en/news/softbank-eyes-10gw-data-center-at-former-doe-nuclear-enrichment-site-in-ohio/" TargetMode="External"/><Relationship Id="rId2773" Type="http://schemas.openxmlformats.org/officeDocument/2006/relationships/hyperlink" Target="https://reparcelasmt.loudoun.gov/pt/datalets/datalet.aspx?mode=profileall&amp;UseSearch=no&amp;pin=043482656000&amp;jur=107&amp;taxyr=2024&amp;LMparent=20" TargetMode="External"/><Relationship Id="rId1443" Type="http://schemas.openxmlformats.org/officeDocument/2006/relationships/hyperlink" Target="https://www.cleveland.com/news/2026/03/massive-33-billion-natural-gas-power-plant-breaks-ground-in-southern-ohio.html?fbclid=IwY2xjawRUs1VleHRuA2FlbQIxMABicmlkETFGSG1JY25kVUlQZHlHWFJKc3J0YwZhcHBfaWQQMjIyMDM5MTc4ODIwMDg5MgABHnJASD_NlMNAc-EUiBtXvr0UR3FsZjhpgBo9Xk-7n5zBDmVytNajtNK229Nu_aem_r3hbtXqGcji4DTrUmS2wTQ" TargetMode="External"/><Relationship Id="rId2774" Type="http://schemas.openxmlformats.org/officeDocument/2006/relationships/hyperlink" Target="https://reparcelasmt.loudoun.gov/pt/datalets/datalet.aspx?mode=commercial&amp;UseSearch=no&amp;pin=045494813000&amp;jur=107&amp;taxyr=2024&amp;LMparent=20" TargetMode="External"/><Relationship Id="rId1477" Type="http://schemas.openxmlformats.org/officeDocument/2006/relationships/hyperlink" Target="https://www.datacenterdynamics.com/en/news/340-acre-data-center-campus-planned-in-tulsa-oklahoma/" TargetMode="External"/><Relationship Id="rId1478" Type="http://schemas.openxmlformats.org/officeDocument/2006/relationships/hyperlink" Target="https://nationaltoday.com/us/ok/tulsa/news/2026/03/30/project-anthem-withdraws-tulsa-data-center-rezoning/" TargetMode="External"/><Relationship Id="rId1479" Type="http://schemas.openxmlformats.org/officeDocument/2006/relationships/hyperlink" Target="https://www.fox23.com/news/company-behind-project-anthem-data-center-withdraws-phase-2-rezoning-request/article_5c3efda4-19ec-4f59-b668-261f04f8e88c.html" TargetMode="External"/><Relationship Id="rId646" Type="http://schemas.openxmlformats.org/officeDocument/2006/relationships/hyperlink" Target="https://www.change.org/p/reject-the-dc-blox-data-center-and-protect-irvington-s-future" TargetMode="External"/><Relationship Id="rId645" Type="http://schemas.openxmlformats.org/officeDocument/2006/relationships/hyperlink" Target="https://www.datacenterdynamics.com/en/news/netrality-acquires-lifeline-facility-at-indy-telcom-center-campus-in-indianapolis/" TargetMode="External"/><Relationship Id="rId644" Type="http://schemas.openxmlformats.org/officeDocument/2006/relationships/hyperlink" Target="https://www.datacenterdynamics.com/en/news/netrality-acquires-lifeline-facility-at-indy-telcom-center-campus-in-indianapolis/" TargetMode="External"/><Relationship Id="rId643" Type="http://schemas.openxmlformats.org/officeDocument/2006/relationships/hyperlink" Target="https://www.datacenterdynamics.com/en/news/500m-data-center-approved-for-construction-outside-indianapolis/" TargetMode="External"/><Relationship Id="rId649" Type="http://schemas.openxmlformats.org/officeDocument/2006/relationships/hyperlink" Target="https://www.datacenterdynamics.com/en/news/us-signal-acquires-data-center-in-indianapolis-indiana/" TargetMode="External"/><Relationship Id="rId648" Type="http://schemas.openxmlformats.org/officeDocument/2006/relationships/hyperlink" Target="https://www.datacenterdynamics.com/en/news/dc-blox-data-center-in-eastern-indianapolis-receives-recommendation-for-approval/" TargetMode="External"/><Relationship Id="rId647" Type="http://schemas.openxmlformats.org/officeDocument/2006/relationships/hyperlink" Target="https://www.datacenterdynamics.com/en/news/dc-blox-to-expand-into-indiana-targets-data-center-campus-in-indianapolis/" TargetMode="External"/><Relationship Id="rId1470" Type="http://schemas.openxmlformats.org/officeDocument/2006/relationships/hyperlink" Target="https://www.stayinspirednews.com/she-refuses-to-stay-quiet-about-a-4-billion-ai-data-center-coming-to-her-small-town-in-wilmington-ohio/" TargetMode="External"/><Relationship Id="rId1471" Type="http://schemas.openxmlformats.org/officeDocument/2006/relationships/hyperlink" Target="https://www.stayinspirednews.com/content/files/2025/12/Wilmington-Ohio-Open-Letter-Dec-15-2025-FINAL.pdf" TargetMode="External"/><Relationship Id="rId1472" Type="http://schemas.openxmlformats.org/officeDocument/2006/relationships/hyperlink" Target="https://www.datacenterdynamics.com/en/news/aws-data-center-project-tabled-in-wilmington-ohio/" TargetMode="External"/><Relationship Id="rId642" Type="http://schemas.openxmlformats.org/officeDocument/2006/relationships/hyperlink" Target="https://mirrorindy.org/metrobloks-files-re-zoning-proposal-for-martindale-brightwood-data-center/" TargetMode="External"/><Relationship Id="rId1473" Type="http://schemas.openxmlformats.org/officeDocument/2006/relationships/hyperlink" Target="https://www.theintelligencer.net/news/community/2025/06/opportunities-eyed-for-former-w-h-sammis-plant-site-in-stratton/" TargetMode="External"/><Relationship Id="rId641" Type="http://schemas.openxmlformats.org/officeDocument/2006/relationships/hyperlink" Target="https://cinematreasures.org/theaters/34206" TargetMode="External"/><Relationship Id="rId1474" Type="http://schemas.openxmlformats.org/officeDocument/2006/relationships/hyperlink" Target="https://www.noawdatacenters.org/" TargetMode="External"/><Relationship Id="rId640" Type="http://schemas.openxmlformats.org/officeDocument/2006/relationships/hyperlink" Target="https://www.wthr.com/article/news/local/data-center-could-move-into-site-of-former-indy-drive-in/531-46d3f8ac-1c6d-4f7c-a6e1-04a2c704c33a" TargetMode="External"/><Relationship Id="rId1475" Type="http://schemas.openxmlformats.org/officeDocument/2006/relationships/hyperlink" Target="https://www.toledoblade.com/local/suburbs/2026/04/23/data-center-discussion-company-is-interested-waterville-township/stories/20260423024" TargetMode="External"/><Relationship Id="rId1476" Type="http://schemas.openxmlformats.org/officeDocument/2006/relationships/hyperlink" Target="https://www.datacenterdynamics.com/en/news/developer-eyes-broken-arrow-oklahoma-for-new-data-center-development/" TargetMode="External"/><Relationship Id="rId1466" Type="http://schemas.openxmlformats.org/officeDocument/2006/relationships/hyperlink" Target="https://www.wfmj.com/story/53208675/lordstown-leaders-consider-ban-tonight-on-planned-dollar36b-ai-data-center" TargetMode="External"/><Relationship Id="rId2797" Type="http://schemas.openxmlformats.org/officeDocument/2006/relationships/hyperlink" Target="https://loudouncountyvaeg.tylerhost.net/prod/selfservice" TargetMode="External"/><Relationship Id="rId1467" Type="http://schemas.openxmlformats.org/officeDocument/2006/relationships/hyperlink" Target="https://www.facebook.com/groups/wilmingtondatacenter" TargetMode="External"/><Relationship Id="rId2798" Type="http://schemas.openxmlformats.org/officeDocument/2006/relationships/hyperlink" Target="https://reparcelasmt.loudoun.gov/pt/Datalets/Datalet.aspx?UseSearch=no&amp;mode=profileall&amp;pin=045282657000&amp;jur=107&amp;taxyr=2025" TargetMode="External"/><Relationship Id="rId1468" Type="http://schemas.openxmlformats.org/officeDocument/2006/relationships/hyperlink" Target="https://wilmingtondatacenter.org/" TargetMode="External"/><Relationship Id="rId2799" Type="http://schemas.openxmlformats.org/officeDocument/2006/relationships/hyperlink" Target="https://loudouncountyvaeg.tylerhost.net/prod/selfservice" TargetMode="External"/><Relationship Id="rId1469" Type="http://schemas.openxmlformats.org/officeDocument/2006/relationships/hyperlink" Target="https://www.datacenterdynamics.com/en/news/wilmington-city-council-postpones-vote-on-aws-data-center-in-southwest-ohio/" TargetMode="External"/><Relationship Id="rId635" Type="http://schemas.openxmlformats.org/officeDocument/2006/relationships/hyperlink" Target="https://www.inkfreenews.com/2025/11/28/amazon-plans-15b-data-center-investment-in-hobart-northern-indiana/" TargetMode="External"/><Relationship Id="rId634" Type="http://schemas.openxmlformats.org/officeDocument/2006/relationships/hyperlink" Target="https://www.datacenterdynamics.com/en/news/aws-data-center-coming-to-hobart-indiana/" TargetMode="External"/><Relationship Id="rId633" Type="http://schemas.openxmlformats.org/officeDocument/2006/relationships/hyperlink" Target="https://www.datacenterdynamics.com/en/news/data-center-in-hobart-indiana-gets-green-light-for-rezoning/" TargetMode="External"/><Relationship Id="rId632" Type="http://schemas.openxmlformats.org/officeDocument/2006/relationships/hyperlink" Target="https://www.change.org/p/protect-hobart-from-unwanted-rezoning-for-data-center" TargetMode="External"/><Relationship Id="rId639" Type="http://schemas.openxmlformats.org/officeDocument/2006/relationships/hyperlink" Target="https://www.onevoicemb.org/" TargetMode="External"/><Relationship Id="rId638" Type="http://schemas.openxmlformats.org/officeDocument/2006/relationships/hyperlink" Target="https://www.datacenterdynamics.com/en/news/american-tower-pauses-plans-for-edge-data-center-in-indianapolis-indiana/" TargetMode="External"/><Relationship Id="rId637" Type="http://schemas.openxmlformats.org/officeDocument/2006/relationships/hyperlink" Target="https://www.facebook.com/profile.php?id=61583877714923" TargetMode="External"/><Relationship Id="rId636" Type="http://schemas.openxmlformats.org/officeDocument/2006/relationships/hyperlink" Target="https://bloximages.chicago2.vip.townnews.com/nwitimes.com/content/tncms/assets/v3/editorial/8/de/8dee9730-d423-11ef-849c-47d4ba7a57ea/67892ef12e340.image.png" TargetMode="External"/><Relationship Id="rId2790" Type="http://schemas.openxmlformats.org/officeDocument/2006/relationships/hyperlink" Target="https://reparcelasmt.loudoun.gov/pt/datalets/datalet.aspx?mode=profileall&amp;UseSearch=no&amp;pin=033201325000&amp;jur=107&amp;taxyr=2024&amp;LMparent=20" TargetMode="External"/><Relationship Id="rId1460" Type="http://schemas.openxmlformats.org/officeDocument/2006/relationships/hyperlink" Target="https://www.datacenterdynamics.com/en/news/thor-equities-looks-to-build-460000-sq-ft-data-center-campus-near-urbana-ohio/" TargetMode="External"/><Relationship Id="rId2791" Type="http://schemas.openxmlformats.org/officeDocument/2006/relationships/hyperlink" Target="https://cloudandcolocation.com/datacenters/cyxtera-sterling-data-center-iad1-c/" TargetMode="External"/><Relationship Id="rId1461" Type="http://schemas.openxmlformats.org/officeDocument/2006/relationships/hyperlink" Target="https://www.urbanaohiodatacenter.com/" TargetMode="External"/><Relationship Id="rId2792" Type="http://schemas.openxmlformats.org/officeDocument/2006/relationships/hyperlink" Target="https://reparcelasmt.loudoun.gov/pt/datalets/datalet.aspx?mode=profileall&amp;UseSearch=no&amp;pin=030399036000&amp;jur=107&amp;taxyr=2024&amp;LMparent=20" TargetMode="External"/><Relationship Id="rId631" Type="http://schemas.openxmlformats.org/officeDocument/2006/relationships/hyperlink" Target="https://www.gofundme.com/f/defend-hobarts-future-no-data-centers" TargetMode="External"/><Relationship Id="rId1462" Type="http://schemas.openxmlformats.org/officeDocument/2006/relationships/hyperlink" Target="https://www.wkbn.com/news/local-news/lordstown-news/hearing-could-determine-data-center-future-in-lordstown/" TargetMode="External"/><Relationship Id="rId2793" Type="http://schemas.openxmlformats.org/officeDocument/2006/relationships/hyperlink" Target="https://cloudandcolocation.com/datacenters/cyxtera-sterling-data-center-iad1-a/" TargetMode="External"/><Relationship Id="rId630" Type="http://schemas.openxmlformats.org/officeDocument/2006/relationships/hyperlink" Target="https://www.facebook.com/groups/2637079693295650" TargetMode="External"/><Relationship Id="rId1463" Type="http://schemas.openxmlformats.org/officeDocument/2006/relationships/hyperlink" Target="https://www.chron.com/business/article/openai-texas-stargate-ai-hub-21065041.php" TargetMode="External"/><Relationship Id="rId2794" Type="http://schemas.openxmlformats.org/officeDocument/2006/relationships/hyperlink" Target="https://reparcelasmt.loudoun.gov/pt/datalets/datalet.aspx?mode=profileall&amp;UseSearch=no&amp;pin=030297084000&amp;jur=107&amp;taxyr=2024&amp;LMparent=20" TargetMode="External"/><Relationship Id="rId1464" Type="http://schemas.openxmlformats.org/officeDocument/2006/relationships/hyperlink" Target="https://www.wfmj.com/story/53109325/lordstown-part-of-mammoth-dollar500-billion-artificial-intelligence-data-center-project" TargetMode="External"/><Relationship Id="rId2795" Type="http://schemas.openxmlformats.org/officeDocument/2006/relationships/hyperlink" Target="https://reparcelasmt.loudoun.gov/pt/datalets/datalet.aspx?mode=commercial&amp;UseSearch=no&amp;pin=045358110000&amp;jur=107&amp;taxyr=2024&amp;LMparent=20" TargetMode="External"/><Relationship Id="rId1465" Type="http://schemas.openxmlformats.org/officeDocument/2006/relationships/hyperlink" Target="https://www.wfmj.com/story/53113377/data-center-to-occupy-small-part-of-lordstown-ai-hub-feature-advanced-design" TargetMode="External"/><Relationship Id="rId2796" Type="http://schemas.openxmlformats.org/officeDocument/2006/relationships/hyperlink" Target="https://reparcelasmt.loudoun.gov/pt/datalets/datalet.aspx?mode=profileall&amp;UseSearch=no&amp;pin=042197707000&amp;jur=107&amp;taxyr=2024&amp;LMparent=20" TargetMode="External"/><Relationship Id="rId1411" Type="http://schemas.openxmlformats.org/officeDocument/2006/relationships/hyperlink" Target="https://www.expedient.com/data-centers/columbus/" TargetMode="External"/><Relationship Id="rId2742" Type="http://schemas.openxmlformats.org/officeDocument/2006/relationships/hyperlink" Target="https://mecklenburg.cama.concisesystems.com/PropertyPage.aspx?id=39166&amp;direct=1" TargetMode="External"/><Relationship Id="rId1412" Type="http://schemas.openxmlformats.org/officeDocument/2006/relationships/hyperlink" Target="https://cologix.com/data-centers/columbus/" TargetMode="External"/><Relationship Id="rId2743" Type="http://schemas.openxmlformats.org/officeDocument/2006/relationships/hyperlink" Target="https://www.levelset.com/property-owners/microsoft-corporation/project-history/" TargetMode="External"/><Relationship Id="rId1413" Type="http://schemas.openxmlformats.org/officeDocument/2006/relationships/hyperlink" Target="https://www.limaohio.com/top-stories/2025/08/14/company-behind-data-center-completes-land-purchases/" TargetMode="External"/><Relationship Id="rId2744" Type="http://schemas.openxmlformats.org/officeDocument/2006/relationships/hyperlink" Target="https://www.datacenterdynamics.com/en/news/microsoft-files-for-another-virginia-campus-in-mecklenburg-county/" TargetMode="External"/><Relationship Id="rId1414" Type="http://schemas.openxmlformats.org/officeDocument/2006/relationships/hyperlink" Target="https://www.datacenterdynamics.com/en/news/google-confirmed-as-company-behind-500m-data-center-in-lima-ohio/" TargetMode="External"/><Relationship Id="rId2745" Type="http://schemas.openxmlformats.org/officeDocument/2006/relationships/hyperlink" Target="https://www.loudountimes.com/news/loudoun-planning-commission-signs-off-on-amazon-data-center-project/article_0e17ff90-d1be-11ea-9103-bb61a9f22c3a.html" TargetMode="External"/><Relationship Id="rId1415" Type="http://schemas.openxmlformats.org/officeDocument/2006/relationships/hyperlink" Target="https://www.datacenterdynamics.com/en/news/proposed-data-center-in-guernsey-county-ohio-could-go-ahead-despite-local-government-opposition/" TargetMode="External"/><Relationship Id="rId2746" Type="http://schemas.openxmlformats.org/officeDocument/2006/relationships/hyperlink" Target="https://reparcelasmt.loudoun.gov/pt/Datalets/Datalet.aspx?UseSearch=no&amp;mode=profileall&amp;pin=096183926000&amp;jur=107&amp;taxyr=2024" TargetMode="External"/><Relationship Id="rId1416" Type="http://schemas.openxmlformats.org/officeDocument/2006/relationships/hyperlink" Target="https://auditor.guernseycounty.gov/SearchResults?SortColumn=Owner&amp;ResultsPerPage=8&amp;pageNumber=1" TargetMode="External"/><Relationship Id="rId2747" Type="http://schemas.openxmlformats.org/officeDocument/2006/relationships/hyperlink" Target="https://loudouncountyvaeg.tylerhost.net/prod/selfservice" TargetMode="External"/><Relationship Id="rId1417" Type="http://schemas.openxmlformats.org/officeDocument/2006/relationships/hyperlink" Target="https://woub.org/2026/06/23/guernsey-county-proposal-data-center/" TargetMode="External"/><Relationship Id="rId2748" Type="http://schemas.openxmlformats.org/officeDocument/2006/relationships/hyperlink" Target="https://loudouncountyvaeg.tylerhost.net/prod/selfservice" TargetMode="External"/><Relationship Id="rId1418" Type="http://schemas.openxmlformats.org/officeDocument/2006/relationships/hyperlink" Target="https://www.datacenterdynamics.com/en/news/bitdeer-looks-to-develop-750mw-data-center-campus-in-ohio/" TargetMode="External"/><Relationship Id="rId2749" Type="http://schemas.openxmlformats.org/officeDocument/2006/relationships/hyperlink" Target="https://reparcelasmt.loudoun.gov/pt/Datalets/Datalet.aspx?UseSearch=no&amp;mode=profileall&amp;pin=097409598000&amp;jur=107&amp;taxyr=2024" TargetMode="External"/><Relationship Id="rId1419" Type="http://schemas.openxmlformats.org/officeDocument/2006/relationships/hyperlink" Target="https://www.neohioprojectinfo.com/" TargetMode="External"/><Relationship Id="rId2740" Type="http://schemas.openxmlformats.org/officeDocument/2006/relationships/hyperlink" Target="https://www.datacenterdynamics.com/en/news/qts-files-to-expand-richmond-data-center-campus-in-virginia/" TargetMode="External"/><Relationship Id="rId1410" Type="http://schemas.openxmlformats.org/officeDocument/2006/relationships/hyperlink" Target="https://www.datacenterdynamics.com/en/news/google-to-build-two-more-data-centers-in-columbus-ohio/" TargetMode="External"/><Relationship Id="rId2741" Type="http://schemas.openxmlformats.org/officeDocument/2006/relationships/hyperlink" Target="https://www.datacenterdynamics.com/en/news/microsoft-files-for-permit-to-build-data-center-campus-in-mecklenburg-county-virginia/" TargetMode="External"/><Relationship Id="rId1400" Type="http://schemas.openxmlformats.org/officeDocument/2006/relationships/hyperlink" Target="https://www.nbc4i.com/intel-in-ohio/amazon-purchases-nearly-600-acres-in-fayette-county-for-new-data-center/" TargetMode="External"/><Relationship Id="rId2731" Type="http://schemas.openxmlformats.org/officeDocument/2006/relationships/hyperlink" Target="https://realestate.henrico.us/ords/cam/f?p=510101:5:::NO::P5_PARCEL_ID,P5_SEARCH_TYPE:849-706-0950,0" TargetMode="External"/><Relationship Id="rId1401" Type="http://schemas.openxmlformats.org/officeDocument/2006/relationships/hyperlink" Target="https://oilandgaswatch.org/facility/rec_d4f1u58q7easr8ra1eeg" TargetMode="External"/><Relationship Id="rId2732" Type="http://schemas.openxmlformats.org/officeDocument/2006/relationships/hyperlink" Target="https://realestate.henrico.us/ords/cam/f?p=510101:5:::NO:::" TargetMode="External"/><Relationship Id="rId1402" Type="http://schemas.openxmlformats.org/officeDocument/2006/relationships/hyperlink" Target="https://www.datacenterdynamics.com/en/news/cyrusone-breaks-ground-on-new-albany-ohio-data-center/" TargetMode="External"/><Relationship Id="rId2733" Type="http://schemas.openxmlformats.org/officeDocument/2006/relationships/hyperlink" Target="https://realestate.henrico.us/ords/cam/f?p=510101:5:::NO::P5_PARCEL_ID,P5_SEARCH_TYPE:852-700-2714,0" TargetMode="External"/><Relationship Id="rId1403" Type="http://schemas.openxmlformats.org/officeDocument/2006/relationships/hyperlink" Target="https://www.datacenterdynamics.com/en/news/edgeconnex-files-to-convert-warehouse-and-build-new-700000-sq-ft-data-center-in-new-albany-ohio/" TargetMode="External"/><Relationship Id="rId2734" Type="http://schemas.openxmlformats.org/officeDocument/2006/relationships/hyperlink" Target="https://www3.co.henrico.va.us/comments/main.php?Permit=POD2022-00605&amp;Action=related&amp;Submit=Submit" TargetMode="External"/><Relationship Id="rId1404" Type="http://schemas.openxmlformats.org/officeDocument/2006/relationships/hyperlink" Target="https://www.datacenterdynamics.com/en/news/edgeconnex-affiliate-proposes-430mw-natural-gas-plant-to-power-data-center-campus-in-new-albany-ohio/" TargetMode="External"/><Relationship Id="rId2735" Type="http://schemas.openxmlformats.org/officeDocument/2006/relationships/hyperlink" Target="https://realestate.henrico.us/ords/cam/f?p=510101:5:::NO::P5_PARCEL_ID,P5_SEARCH_TYPE:850-698-1623,0" TargetMode="External"/><Relationship Id="rId1405" Type="http://schemas.openxmlformats.org/officeDocument/2006/relationships/hyperlink" Target="https://www.datacenterdynamics.com/en/news/amazon-plans-five-building-data-center-campus-in-new-albany-ohio/" TargetMode="External"/><Relationship Id="rId2736" Type="http://schemas.openxmlformats.org/officeDocument/2006/relationships/hyperlink" Target="https://www.datacenterdynamics.com/en/news/iron-mountain-starts-work-on-data-center-campus-near-richmond-virginia/" TargetMode="External"/><Relationship Id="rId1406" Type="http://schemas.openxmlformats.org/officeDocument/2006/relationships/hyperlink" Target="https://www.datacenterdynamics.com/en/news/amazon-buys-112-acre-plot-new-data-center-new-albany-ohio/" TargetMode="External"/><Relationship Id="rId2737" Type="http://schemas.openxmlformats.org/officeDocument/2006/relationships/hyperlink" Target="https://www.datacenterdynamics.com/en/news/qts-files-to-expand-richmond-data-center-campus-in-virginia/" TargetMode="External"/><Relationship Id="rId1407" Type="http://schemas.openxmlformats.org/officeDocument/2006/relationships/hyperlink" Target="https://www.datacenterdynamics.com/en/news/amazon-plans-five-building-data-center-campus-in-new-albany-ohio/" TargetMode="External"/><Relationship Id="rId2738" Type="http://schemas.openxmlformats.org/officeDocument/2006/relationships/hyperlink" Target="https://realestate.henrico.us/ords/cam/f?p=510101:5:::NO::P5_PARCEL_ID,P5_SEARCH_TYPE:846-703-0495,0" TargetMode="External"/><Relationship Id="rId1408" Type="http://schemas.openxmlformats.org/officeDocument/2006/relationships/hyperlink" Target="https://www.datacenterdynamics.com/en/news/amazon-plans-five-building-data-center-campus-in-new-albany-ohio/" TargetMode="External"/><Relationship Id="rId2739" Type="http://schemas.openxmlformats.org/officeDocument/2006/relationships/hyperlink" Target="https://richmondbizsense.com/2026/05/18/data-center-giant-qts-preparing-1100-acre-expansion-that-would-add-17-buildings-to-its-henrico-hub/" TargetMode="External"/><Relationship Id="rId1409" Type="http://schemas.openxmlformats.org/officeDocument/2006/relationships/hyperlink" Target="https://www.datacenterdynamics.com/en/news/karis-critical-purchases-115-acres-for-data-center-in-new-albany-ohio/" TargetMode="External"/><Relationship Id="rId2730" Type="http://schemas.openxmlformats.org/officeDocument/2006/relationships/hyperlink" Target="https://realestate.henrico.us/ords/cam/f?p=510101:5:::NO::P5_PARCEL_ID,P5_SEARCH_TYPE:840-713-3163,0" TargetMode="External"/><Relationship Id="rId1433" Type="http://schemas.openxmlformats.org/officeDocument/2006/relationships/hyperlink" Target="https://rbnenergy.com/i-know-places-tech-giants-may-be-the-surest-bets-for-data-center-power-demand" TargetMode="External"/><Relationship Id="rId2764" Type="http://schemas.openxmlformats.org/officeDocument/2006/relationships/hyperlink" Target="https://staffordcountyva.gov/government/departments_p-z/planning_and_zoning/long_range/rezonings,_cups,_comp_plan_amendments/development_review_meetings_new_applications.php" TargetMode="External"/><Relationship Id="rId1434" Type="http://schemas.openxmlformats.org/officeDocument/2006/relationships/hyperlink" Target="https://engineering.fb.com/2025/09/29/data-infrastructure/metas-infrastructure-evolution-and-the-advent-of-ai/" TargetMode="External"/><Relationship Id="rId2765" Type="http://schemas.openxmlformats.org/officeDocument/2006/relationships/hyperlink" Target="https://www.datacenterdynamics.com/en/news/stack-plans-1gw-campus-in-stafford-county-virginia/" TargetMode="External"/><Relationship Id="rId1435" Type="http://schemas.openxmlformats.org/officeDocument/2006/relationships/hyperlink" Target="https://www.bbc.com/news/articles/c1e02vx55wpo" TargetMode="External"/><Relationship Id="rId2766" Type="http://schemas.openxmlformats.org/officeDocument/2006/relationships/hyperlink" Target="https://staffordcountyva.gov/government/departments_p-z/planning_and_zoning/long_range/rezonings,_cups,_comp_plan_amendments/development_review_meetings_new_applications.php" TargetMode="External"/><Relationship Id="rId1436" Type="http://schemas.openxmlformats.org/officeDocument/2006/relationships/hyperlink" Target="https://epoch.ai/data/data-centers/satellite-explorer/MetaPrometheusNewAlbanyOhio?ref=404media.co" TargetMode="External"/><Relationship Id="rId2767" Type="http://schemas.openxmlformats.org/officeDocument/2006/relationships/hyperlink" Target="https://www.datacenterdynamics.com/en/news/prologis-seeks-rezoning-of-land-sterling-virginia-possibly-for-data-centers/" TargetMode="External"/><Relationship Id="rId1437" Type="http://schemas.openxmlformats.org/officeDocument/2006/relationships/hyperlink" Target="https://oilandgaswatch.org/facility/rec_d4f1u60q7easr8ra1g3g" TargetMode="External"/><Relationship Id="rId2768" Type="http://schemas.openxmlformats.org/officeDocument/2006/relationships/hyperlink" Target="https://reparcelasmt.loudoun.gov/pt/Datalets/Datalet.aspx?mode=commercial&amp;UseSearch=no&amp;pin=045269479000&amp;jur=107&amp;taxyr=2024&amp;card=2&amp;item=0&amp;State=1%7C1%7C1%7C1%7C1&amp;items=4" TargetMode="External"/><Relationship Id="rId1438" Type="http://schemas.openxmlformats.org/officeDocument/2006/relationships/hyperlink" Target="https://oilandgaswatch.org/facility/rec_d4f1u60q7easr8ra1g30" TargetMode="External"/><Relationship Id="rId2769" Type="http://schemas.openxmlformats.org/officeDocument/2006/relationships/hyperlink" Target="https://reparcelasmt.loudoun.gov/pt/datalets/datalet.aspx?mode=profileall&amp;UseSearch=no&amp;pin=042295813000&amp;jur=107&amp;taxyr=2024&amp;LMparent=20" TargetMode="External"/><Relationship Id="rId1439" Type="http://schemas.openxmlformats.org/officeDocument/2006/relationships/hyperlink" Target="https://www.datacenterdynamics.com/en/news/rezoning-requests-approved-for-data-center-outside-toledo-ohio/" TargetMode="External"/><Relationship Id="rId609" Type="http://schemas.openxmlformats.org/officeDocument/2006/relationships/hyperlink" Target="https://nwindianabusiness.com/community/business-news/merrillville-committee-endorses-data-center/67103/" TargetMode="External"/><Relationship Id="rId608" Type="http://schemas.openxmlformats.org/officeDocument/2006/relationships/hyperlink" Target="https://www.datacenterwatch.org/report" TargetMode="External"/><Relationship Id="rId607" Type="http://schemas.openxmlformats.org/officeDocument/2006/relationships/hyperlink" Target="https://www.datacenterdynamics.com/en/news/application-for-13bn-data-center-in-chesterton-indiana-withdrawn/" TargetMode="External"/><Relationship Id="rId602" Type="http://schemas.openxmlformats.org/officeDocument/2006/relationships/hyperlink" Target="https://www.wspynews.com/news/local/cyrusone-proposes-second-yorkville-data-center-campus/article_2bc2768f-42c9-469f-80cf-f057a490fa1b.html" TargetMode="External"/><Relationship Id="rId601" Type="http://schemas.openxmlformats.org/officeDocument/2006/relationships/hyperlink" Target="https://www.datacenterdynamics.com/en/news/cyrusone-gets-go-ahead-for-data-center-in-sangamon-illinois/" TargetMode="External"/><Relationship Id="rId600" Type="http://schemas.openxmlformats.org/officeDocument/2006/relationships/hyperlink" Target="https://www.illinoistimes.com/news/first-data-center-in-sangamon-county/" TargetMode="External"/><Relationship Id="rId606" Type="http://schemas.openxmlformats.org/officeDocument/2006/relationships/hyperlink" Target="https://www.datacenterdynamics.com/en/news/105m-data-center-could-be-built-in-charlestown-indiana/" TargetMode="External"/><Relationship Id="rId605" Type="http://schemas.openxmlformats.org/officeDocument/2006/relationships/hyperlink" Target="https://www.wdrb.com/news/neighbors-warn-proposed-105m-charlestown-data-center-could-bring-increased-noise-traffic/article_98004a9f-df7b-4cc5-a18c-d44584c5bc7f.html" TargetMode="External"/><Relationship Id="rId604" Type="http://schemas.openxmlformats.org/officeDocument/2006/relationships/hyperlink" Target="https://www.expedient.com/data-centers/indianapolis/" TargetMode="External"/><Relationship Id="rId603" Type="http://schemas.openxmlformats.org/officeDocument/2006/relationships/hyperlink" Target="https://www.shawlocal.com/kendall-county-now/2025/09/19/new-data-center-proposal-in-yorkville-more-than-4-times-the-size-of-niu-football-complex/" TargetMode="External"/><Relationship Id="rId2760" Type="http://schemas.openxmlformats.org/officeDocument/2006/relationships/hyperlink" Target="https://www.fredericksburgfreepress.com/2025/01/22/biz-beat-roundup-more-data-centers-proposed-in-stafford/" TargetMode="External"/><Relationship Id="rId1430" Type="http://schemas.openxmlformats.org/officeDocument/2006/relationships/hyperlink" Target="https://www.datacenterdynamics.com/en/news/muhlenberg-ohio-introduces-year-long-moratorium-on-new-data-centers/" TargetMode="External"/><Relationship Id="rId2761" Type="http://schemas.openxmlformats.org/officeDocument/2006/relationships/hyperlink" Target="https://va-stafford-assessor.publicaccessnow.com/PropertySearch/PropertyDetails.aspx?p=38%20%20%20%20%20%20%20%2068&amp;a=23899" TargetMode="External"/><Relationship Id="rId1431" Type="http://schemas.openxmlformats.org/officeDocument/2006/relationships/hyperlink" Target="https://epoch.ai/data/data-centers/satellite-explorer/GoogleNewAlbanyOhio?ref=404media.co" TargetMode="External"/><Relationship Id="rId2762" Type="http://schemas.openxmlformats.org/officeDocument/2006/relationships/hyperlink" Target="https://www.fxbgadvance.com/p/developer-seeks-rezoning-for-79-million" TargetMode="External"/><Relationship Id="rId1432" Type="http://schemas.openxmlformats.org/officeDocument/2006/relationships/hyperlink" Target="https://www.datacenterdynamics.com/en/news/facebook-launches-ohio-data-center/" TargetMode="External"/><Relationship Id="rId2763" Type="http://schemas.openxmlformats.org/officeDocument/2006/relationships/hyperlink" Target="https://va-stafford-assessor.publicaccessnow.com/PropertySearch/PropertyDetails.aspx?p=29%20%20%20%20%20%20%20%2082&amp;a=18107" TargetMode="External"/><Relationship Id="rId1422" Type="http://schemas.openxmlformats.org/officeDocument/2006/relationships/hyperlink" Target="https://www.datacenterdynamics.com/en/news/fire-damages-two-building-at-bitdeers-ohio-bitcoin-mine-construction-site/" TargetMode="External"/><Relationship Id="rId2753" Type="http://schemas.openxmlformats.org/officeDocument/2006/relationships/hyperlink" Target="https://www.datacenterdynamics.com/en/news/new-29-million-sq-ft-technology-park-proposed-in-spotsylvania-county-virginia/" TargetMode="External"/><Relationship Id="rId1423" Type="http://schemas.openxmlformats.org/officeDocument/2006/relationships/hyperlink" Target="https://www.dispatch.com/story/news/2025/05/30/vantage-data-center-campus-millersport-ohio-tech/83921180007/" TargetMode="External"/><Relationship Id="rId2754" Type="http://schemas.openxmlformats.org/officeDocument/2006/relationships/hyperlink" Target="https://www.datacenterdynamics.com/en/news/powerhouse-plans-800mw-campus-in-virginias-spotsylvania-county/" TargetMode="External"/><Relationship Id="rId1424" Type="http://schemas.openxmlformats.org/officeDocument/2006/relationships/hyperlink" Target="https://www.nbc4i.com/news/local-news/fairfield-county/some-residents-hesitant-about-new-1-billion-data-center-headed-for-central-ohio/" TargetMode="External"/><Relationship Id="rId2755" Type="http://schemas.openxmlformats.org/officeDocument/2006/relationships/hyperlink" Target="https://www.fairfaxcounty.gov/planning-development/sites/planning-development/files/Assets/Documents/PDF/data-centers-report.pdf" TargetMode="External"/><Relationship Id="rId1425" Type="http://schemas.openxmlformats.org/officeDocument/2006/relationships/hyperlink" Target="https://cleanview.co/public/data-centers/ohio/1895/j5-piqua-data-center" TargetMode="External"/><Relationship Id="rId2756" Type="http://schemas.openxmlformats.org/officeDocument/2006/relationships/hyperlink" Target="https://icare.fairfaxcounty.gov/ffxcare/Datalets/Datalet.aspx?mode=&amp;UseSearch=no&amp;pin=0992%2001%20%200008A&amp;jur=129&amp;taxyr=2025" TargetMode="External"/><Relationship Id="rId1426" Type="http://schemas.openxmlformats.org/officeDocument/2006/relationships/hyperlink" Target="https://www.nbc4i.com/news/local-news/fairfield-county/2-1-billion-vantage-data-center-announced-for-fairfield-county/" TargetMode="External"/><Relationship Id="rId2757" Type="http://schemas.openxmlformats.org/officeDocument/2006/relationships/hyperlink" Target="https://icare.fairfaxcounty.gov/ffxcare/Datalets/Datalet.aspx?mode=&amp;UseSearch=no&amp;pin=0991%2012%20%200010&amp;jur=129&amp;taxyr=2025" TargetMode="External"/><Relationship Id="rId1427" Type="http://schemas.openxmlformats.org/officeDocument/2006/relationships/hyperlink" Target="https://www.noawdatacenters.org/" TargetMode="External"/><Relationship Id="rId2758" Type="http://schemas.openxmlformats.org/officeDocument/2006/relationships/hyperlink" Target="https://cdn.staffordcountyva.gov/Planning%20and%20Zoning/Development%20Review%20Meetings-Applications/December%202024/Accokeek%20Reclass/4-%20%20Generalized%20Development%20Plan%20(GDP)%20-%20Accokeek%20Center.pdf" TargetMode="External"/><Relationship Id="rId1428" Type="http://schemas.openxmlformats.org/officeDocument/2006/relationships/hyperlink" Target="https://www.toledoblade.com/local/suburbs/2026/03/16/monclova-township-residents-wary-prospective-data-centers-backyard/stories/20260316097" TargetMode="External"/><Relationship Id="rId2759" Type="http://schemas.openxmlformats.org/officeDocument/2006/relationships/hyperlink" Target="https://va-stafford-assessor.publicaccessnow.com/PropertySearch/PropertyDetails.aspx?p=38%20%20%20%20%20%20%20%2096&amp;a=23952" TargetMode="External"/><Relationship Id="rId1429" Type="http://schemas.openxmlformats.org/officeDocument/2006/relationships/hyperlink" Target="https://www.change.org/p/muhlenberg-twp-and-community-against-data-center-and-or-power-distribution-build" TargetMode="External"/><Relationship Id="rId2750" Type="http://schemas.openxmlformats.org/officeDocument/2006/relationships/hyperlink" Target="https://reparcelasmt.loudoun.gov/pt/datalets/datalet.aspx?mode=profileall&amp;UseSearch=no&amp;pin=097398776000&amp;jur=107&amp;taxyr=2024&amp;LMparent=20" TargetMode="External"/><Relationship Id="rId1420" Type="http://schemas.openxmlformats.org/officeDocument/2006/relationships/hyperlink" Target="https://actionnetwork.org/petitions/petition-to-stop-the-data-center-from-being-built-in-p-35" TargetMode="External"/><Relationship Id="rId2751" Type="http://schemas.openxmlformats.org/officeDocument/2006/relationships/hyperlink" Target="https://www.spotsylvania.va.us/DocumentCenter/View/24117/Executed-Proffer-Statement-" TargetMode="External"/><Relationship Id="rId1421" Type="http://schemas.openxmlformats.org/officeDocument/2006/relationships/hyperlink" Target="https://www.datacenterdynamics.com/en/news/amazon-eyes-another-data-center-campus-outside-columbus-ohio/" TargetMode="External"/><Relationship Id="rId2752" Type="http://schemas.openxmlformats.org/officeDocument/2006/relationships/hyperlink" Target="https://gis.spotsylvania.va.us/spotsylvania/" TargetMode="External"/><Relationship Id="rId699" Type="http://schemas.openxmlformats.org/officeDocument/2006/relationships/hyperlink" Target="https://www.portercountyin.gov/DocumentCenter/View/51340/Neighborhood-Meeting-County-Presentation-Post" TargetMode="External"/><Relationship Id="rId698" Type="http://schemas.openxmlformats.org/officeDocument/2006/relationships/hyperlink" Target="https://www.datacenterdynamics.com/en/news/qts-cans-data-center-scheme-in-porter-county-indiana-after-protests/" TargetMode="External"/><Relationship Id="rId693" Type="http://schemas.openxmlformats.org/officeDocument/2006/relationships/hyperlink" Target="https://www.datacenterdynamics.com/en/news/radiusdc-announces-24mw-data-center-campus-outside-indianapolis-indiana/" TargetMode="External"/><Relationship Id="rId692" Type="http://schemas.openxmlformats.org/officeDocument/2006/relationships/hyperlink" Target="https://www.datacenterdynamics.com/en/news/radiusdc-looks-to-build-two-data-centers-outside-indianapolis-indiana/" TargetMode="External"/><Relationship Id="rId691" Type="http://schemas.openxmlformats.org/officeDocument/2006/relationships/hyperlink" Target="https://www.change.org/p/stop-the-construction-of-a-data-center-in-plainfield-indiana" TargetMode="External"/><Relationship Id="rId690" Type="http://schemas.openxmlformats.org/officeDocument/2006/relationships/hyperlink" Target="https://epoch.ai/data/data-centers/satellite-explorer/AnthropicAmazonProjectRainierNewCarlisleIndiana?ref=404media.co" TargetMode="External"/><Relationship Id="rId697" Type="http://schemas.openxmlformats.org/officeDocument/2006/relationships/hyperlink" Target="https://www.portercountyin.gov/DocumentCenter/View/51340/Neighborhood-Meeting-County-Presentation-Post" TargetMode="External"/><Relationship Id="rId696" Type="http://schemas.openxmlformats.org/officeDocument/2006/relationships/hyperlink" Target="https://www.datacenterdynamics.com/en/news/industrial-real-estate-giant-prologis-is-planning-a-large-data-center-development-in-illinois-first-reported-by-local-news-including-shelbyville-news-and-fox-prologis-is-filing-to-develop-a-campus-in-the-city-of-shelbyville-in-central-illinois-lorm/" TargetMode="External"/><Relationship Id="rId695" Type="http://schemas.openxmlformats.org/officeDocument/2006/relationships/hyperlink" Target="https://www.change.org/p/halt-the-annexation-and-rezoning-of-429-acres-in-shelbyville-in" TargetMode="External"/><Relationship Id="rId694" Type="http://schemas.openxmlformats.org/officeDocument/2006/relationships/hyperlink" Target="https://www.datacenterdynamics.com/en/news/provident-realty-proposes-seven-building-campus-in-burns-harbor-indiana/" TargetMode="External"/><Relationship Id="rId1499" Type="http://schemas.openxmlformats.org/officeDocument/2006/relationships/hyperlink" Target="https://www.datacenterdynamics.com/en/news/beale-infrastructure-plans-second-data-center-campus-outside-tucson-arizona-and-two-outside-tulsa-oklahoma/" TargetMode="External"/><Relationship Id="rId668" Type="http://schemas.openxmlformats.org/officeDocument/2006/relationships/hyperlink" Target="https://www.insideindianabusiness.com/articles/michigan-city-mayor-shuts-down-talk-of-data-center-project" TargetMode="External"/><Relationship Id="rId667" Type="http://schemas.openxmlformats.org/officeDocument/2006/relationships/hyperlink" Target="https://indianaeconomicdigest.net/Content/Default/Major-Indiana-News/Article/-832-million-data-center-proposed-for-LaPorte-County/-3/5308/119418" TargetMode="External"/><Relationship Id="rId666" Type="http://schemas.openxmlformats.org/officeDocument/2006/relationships/hyperlink" Target="https://dailyjournal.net/2025/06/26/iedc-board-approves-incentives-for-four-planned-data-center-projects/" TargetMode="External"/><Relationship Id="rId665" Type="http://schemas.openxmlformats.org/officeDocument/2006/relationships/hyperlink" Target="https://www.datacenterdynamics.com/en/news/nine-building-data-center-campus-proposed-in-northwest-indiana/" TargetMode="External"/><Relationship Id="rId669" Type="http://schemas.openxmlformats.org/officeDocument/2006/relationships/hyperlink" Target="https://www.datacenterdynamics.com/en/news/no-plans-to-pursue-832m-project-maize-data-center-says-michigan-city-mayor/" TargetMode="External"/><Relationship Id="rId1490" Type="http://schemas.openxmlformats.org/officeDocument/2006/relationships/hyperlink" Target="https://okcfox.com/news/local/an-enormous-concern-luther-residents-concerned-over-potential-data-center-in-their-town-ai" TargetMode="External"/><Relationship Id="rId660" Type="http://schemas.openxmlformats.org/officeDocument/2006/relationships/hyperlink" Target="https://www.whas11.com/article/news/local/southern-indiana-data-center-farm-selling-land/417-474f70f2-c68b-42b3-ac69-e28680fb66d3" TargetMode="External"/><Relationship Id="rId1491" Type="http://schemas.openxmlformats.org/officeDocument/2006/relationships/hyperlink" Target="https://www.news9.com/oklahoma-city-news/luther-residents-oppose-data-center" TargetMode="External"/><Relationship Id="rId1492" Type="http://schemas.openxmlformats.org/officeDocument/2006/relationships/hyperlink" Target="https://www.datacenterdynamics.com/en/news/cerebras-opens-10mw-data-center-in-oklahoma-city/" TargetMode="External"/><Relationship Id="rId1493" Type="http://schemas.openxmlformats.org/officeDocument/2006/relationships/hyperlink" Target="https://kfor.com/news/local/new-tornado-proof-data-center-in-okc/" TargetMode="External"/><Relationship Id="rId1494" Type="http://schemas.openxmlformats.org/officeDocument/2006/relationships/hyperlink" Target="https://www.youtube.com/watch?v=0-sxYsKe6co&amp;ab_channel=KOKH-FOX25" TargetMode="External"/><Relationship Id="rId664" Type="http://schemas.openxmlformats.org/officeDocument/2006/relationships/hyperlink" Target="https://www.govtech.com/artificial-intelligence/2b-in-data-center-projects-planned-for-merrillville-ind" TargetMode="External"/><Relationship Id="rId1495" Type="http://schemas.openxmlformats.org/officeDocument/2006/relationships/hyperlink" Target="https://tulsaflyer.org/2026/01/06/government/post/dozens-coweta-residents-speak-out-against-data-center/" TargetMode="External"/><Relationship Id="rId663" Type="http://schemas.openxmlformats.org/officeDocument/2006/relationships/hyperlink" Target="https://www.wthr.com/article/money/business/application-withdrawn-surge-development-hancock-county-greenfield-data-center-tuttle-orchards/531-48204cbc-eba5-4666-bd66-6e88cb6d2412" TargetMode="External"/><Relationship Id="rId1496" Type="http://schemas.openxmlformats.org/officeDocument/2006/relationships/hyperlink" Target="https://www.facebook.com/groups/831852505867215/posts/938898438495954/" TargetMode="External"/><Relationship Id="rId662" Type="http://schemas.openxmlformats.org/officeDocument/2006/relationships/hyperlink" Target="https://www.wthr.com/article/news/local/public-meeting-set-for-proposed-data-center-campus-in-rural-hancock-county-tuttle-orchards/531-83634bf4-6c95-4d7a-994c-ea114fa0de2c" TargetMode="External"/><Relationship Id="rId1497" Type="http://schemas.openxmlformats.org/officeDocument/2006/relationships/hyperlink" Target="https://www.change.org/p/stop-the-data-center-from-coming-to-coweta-ok" TargetMode="External"/><Relationship Id="rId661" Type="http://schemas.openxmlformats.org/officeDocument/2006/relationships/hyperlink" Target="https://www.jeffersoncounty.in.gov/m/newsflash/home/detail/170" TargetMode="External"/><Relationship Id="rId1498" Type="http://schemas.openxmlformats.org/officeDocument/2006/relationships/hyperlink" Target="https://www.datacenterdynamics.com/en/news/beale-infrastructure-in-talks-to-build-data-center-campus-outside-tulsa-oklahoma/" TargetMode="External"/><Relationship Id="rId1488" Type="http://schemas.openxmlformats.org/officeDocument/2006/relationships/hyperlink" Target="https://www.okenergytoday.com/2026/01/luther-residents-rally-against-a-proposed-data-center/" TargetMode="External"/><Relationship Id="rId1489" Type="http://schemas.openxmlformats.org/officeDocument/2006/relationships/hyperlink" Target="https://www.datacenterdynamics.com/en/news/data-center-proposal-in-luther-oklahoma-faces-opposition-prior-to-official-filing/" TargetMode="External"/><Relationship Id="rId657" Type="http://schemas.openxmlformats.org/officeDocument/2006/relationships/hyperlink" Target="https://www.datacenterdynamics.com/en/news/meta-announces-1gw-data-center-campus-in-indiana/" TargetMode="External"/><Relationship Id="rId656" Type="http://schemas.openxmlformats.org/officeDocument/2006/relationships/hyperlink" Target="https://fox59.com/indiana-news/metas-1500-acre-data-center-marches-forward-in-lebanon/" TargetMode="External"/><Relationship Id="rId655" Type="http://schemas.openxmlformats.org/officeDocument/2006/relationships/hyperlink" Target="https://www.datacenterdynamics.com/en/news/meta-set-to-develop-1500-acre-data-center-campus-outside-indianapolis-indiana/" TargetMode="External"/><Relationship Id="rId654" Type="http://schemas.openxmlformats.org/officeDocument/2006/relationships/hyperlink" Target="https://www.datacenterdynamics.com/en/news/microsoft-breaks-ground-on-data-center-campus-in-la-porte-indiana/" TargetMode="External"/><Relationship Id="rId659" Type="http://schemas.openxmlformats.org/officeDocument/2006/relationships/hyperlink" Target="https://wsbt.com/news/local/proposed-data-center-kosciusko-county-denied-planning-commission-rezone-550-acres-farmland-mystery-company-project-property-facility-people-crowd-signatures-petitioner-transmission-power-bolt-lines-indiana" TargetMode="External"/><Relationship Id="rId658" Type="http://schemas.openxmlformats.org/officeDocument/2006/relationships/hyperlink" Target="https://www.datacenterdynamics.com/en/news/prologis-data-center-proposal-in-kosciusko-county-indiana-denied/" TargetMode="External"/><Relationship Id="rId1480" Type="http://schemas.openxmlformats.org/officeDocument/2006/relationships/hyperlink" Target="https://www.datacenterdynamics.com/en/news/developer-withdraws-plans-to-build-second-phase-of-500-acre-data-center-in-tulsa-oklahoma/" TargetMode="External"/><Relationship Id="rId1481" Type="http://schemas.openxmlformats.org/officeDocument/2006/relationships/hyperlink" Target="https://ktul.com/news/local/claremore-residents-speak-out-against-project-mustang-data-center" TargetMode="External"/><Relationship Id="rId1482" Type="http://schemas.openxmlformats.org/officeDocument/2006/relationships/hyperlink" Target="https://www.change.org/p/ban-ai-data-centers-in-rogers-county-permanently" TargetMode="External"/><Relationship Id="rId1483" Type="http://schemas.openxmlformats.org/officeDocument/2006/relationships/hyperlink" Target="https://www.datacenterdynamics.com/en/news/beale-infrastructure-in-talks-to-build-data-center-campus-outside-tulsa-oklahoma/" TargetMode="External"/><Relationship Id="rId653" Type="http://schemas.openxmlformats.org/officeDocument/2006/relationships/hyperlink" Target="https://www.datacenterdynamics.com/en/news/microsoft-expands-plans-for-la-porte-indiana-data-center-campus/" TargetMode="External"/><Relationship Id="rId1484" Type="http://schemas.openxmlformats.org/officeDocument/2006/relationships/hyperlink" Target="https://morestartshere.com/site-selection/claremore-industrial-park/" TargetMode="External"/><Relationship Id="rId652" Type="http://schemas.openxmlformats.org/officeDocument/2006/relationships/hyperlink" Target="https://www.wndu.com/2024/06/04/1-billion-microsoft-data-center-coming-laporte/" TargetMode="External"/><Relationship Id="rId1485" Type="http://schemas.openxmlformats.org/officeDocument/2006/relationships/hyperlink" Target="https://constructionreviewonline.com/beale-infrastructure-in-talks-to-build-project-mustang-data-center-campus-outside-tulsa-oklahoma/" TargetMode="External"/><Relationship Id="rId651" Type="http://schemas.openxmlformats.org/officeDocument/2006/relationships/hyperlink" Target="https://www.datacenterdynamics.com/en/news/meta-announces-1gw-data-center-campus-in-indiana/" TargetMode="External"/><Relationship Id="rId1486" Type="http://schemas.openxmlformats.org/officeDocument/2006/relationships/hyperlink" Target="https://epoch.ai/data/data-centers/satellite-explorer/GooglePryorOklahoma?ref=404media.co" TargetMode="External"/><Relationship Id="rId650" Type="http://schemas.openxmlformats.org/officeDocument/2006/relationships/hyperlink" Target="https://www.datacenterdynamics.com/en/news/meta-to-develop-data-center-campus-in-jeffersonville-indiana/" TargetMode="External"/><Relationship Id="rId1487" Type="http://schemas.openxmlformats.org/officeDocument/2006/relationships/hyperlink" Target="https://docs.google.com/spreadsheets/d/1t7cRs2OukCKSz88qEnyF7vlGWdgY5MpVOLcd79nFdnQ/edit?gid=2132985834" TargetMode="External"/><Relationship Id="rId689" Type="http://schemas.openxmlformats.org/officeDocument/2006/relationships/hyperlink" Target="https://www.aboutamazon.com/news/aws/aws-project-rainier-ai-trainium-chips-compute-cluster" TargetMode="External"/><Relationship Id="rId688" Type="http://schemas.openxmlformats.org/officeDocument/2006/relationships/hyperlink" Target="https://rbnenergy.com/i-know-places-tech-giants-may-be-the-surest-bets-for-data-center-power-demand" TargetMode="External"/><Relationship Id="rId687" Type="http://schemas.openxmlformats.org/officeDocument/2006/relationships/hyperlink" Target="https://www.insideindianabusiness.com/articles/new-data-center-project-being-proposed-for-new-carlisle" TargetMode="External"/><Relationship Id="rId682" Type="http://schemas.openxmlformats.org/officeDocument/2006/relationships/hyperlink" Target="https://www.wndu.com/2025/10/29/proposed-12-billion-data-center-gets-unfavorable-recommendation-st-joe-county-committee/" TargetMode="External"/><Relationship Id="rId681" Type="http://schemas.openxmlformats.org/officeDocument/2006/relationships/hyperlink" Target="https://indianaeconomicdigest.net/Content/Default/Major-Indiana-News/Article/-12-billion-data-center-proposed-in-New-Carlisle-in-St-Joseph-County/-3/5308/119966" TargetMode="External"/><Relationship Id="rId680" Type="http://schemas.openxmlformats.org/officeDocument/2006/relationships/hyperlink" Target="https://www.wndu.com/2025/09/16/proposed-12-billion-data-center-st-joseph-county-gets-unfavorable-recommendation/" TargetMode="External"/><Relationship Id="rId686" Type="http://schemas.openxmlformats.org/officeDocument/2006/relationships/hyperlink" Target="https://wsbt.com/news/local/st-joseph-county-council-members-discuss-rezoning-1000-acres-land-plot-north-new-carlisle-agricultural-industrial-change-pave-way-new-data-center-amazon-proposal-project-petitioners-public-request-rezoning-timothy-spruce-road-indiana" TargetMode="External"/><Relationship Id="rId685" Type="http://schemas.openxmlformats.org/officeDocument/2006/relationships/hyperlink" Target="https://baxtel.com/data-center/amazon-new-carlisle-in?lat=41.68406491925343&amp;lng=-86.47056731272178&amp;distance=1750.2145393378237" TargetMode="External"/><Relationship Id="rId684" Type="http://schemas.openxmlformats.org/officeDocument/2006/relationships/hyperlink" Target="https://wsbt.com/news/local/st-joseph-county-council-denies-rezoning-of-land-for-data-center-votes-7-2-marathon-meeting-hours-long-public-opinion-13-billion-dollar-project-amazon-new-carlisle-approval-process-plan-commission-st-joseph-county-indiana" TargetMode="External"/><Relationship Id="rId683" Type="http://schemas.openxmlformats.org/officeDocument/2006/relationships/hyperlink" Target="https://www.wndu.com/2025/10/23/new-carlisle-town-council-opposes-proposed-12-billion-data-center/" TargetMode="External"/><Relationship Id="rId679" Type="http://schemas.openxmlformats.org/officeDocument/2006/relationships/hyperlink" Target="https://wsbt.com/news/local/new-data-center-receives-unfavorable-recommendation-st-joseph-county-area-plan-commission-farm-land-12-billion-dollar-project-indiana" TargetMode="External"/><Relationship Id="rId678" Type="http://schemas.openxmlformats.org/officeDocument/2006/relationships/hyperlink" Target="https://www.indystar.com/story/news/local/marion-county/2025/09/22/google-withdraws-controversial-data-center-in-franklin-township-indianapolis-city-county-council/86165695007/" TargetMode="External"/><Relationship Id="rId677" Type="http://schemas.openxmlformats.org/officeDocument/2006/relationships/hyperlink" Target="https://www.wishtv.com/news/i-team-8/google-data-center-franklin-township/" TargetMode="External"/><Relationship Id="rId676" Type="http://schemas.openxmlformats.org/officeDocument/2006/relationships/hyperlink" Target="https://www.datacenterdynamics.com/en/news/google-gets-approval-for-data-center-campus-in-franklin-township-indiana/" TargetMode="External"/><Relationship Id="rId671" Type="http://schemas.openxmlformats.org/officeDocument/2006/relationships/hyperlink" Target="https://www.datacenterdynamics.com/en/news/391-acre-data-center-campus-proposed-in-morgan-county-indiana/" TargetMode="External"/><Relationship Id="rId670" Type="http://schemas.openxmlformats.org/officeDocument/2006/relationships/hyperlink" Target="https://www.datacenterdynamics.com/en/news/google-takes-over-project-maize-data-center-campus-in-michigan-city-indiana/" TargetMode="External"/><Relationship Id="rId675" Type="http://schemas.openxmlformats.org/officeDocument/2006/relationships/hyperlink" Target="https://www.wthr.com/article/news/local/indiana-growing-data-center-industry-sparks-concerns-over-environmental-and-economic-impact/531-b8d36bba-91f7-446d-af05-ed79fee1dad8" TargetMode="External"/><Relationship Id="rId674" Type="http://schemas.openxmlformats.org/officeDocument/2006/relationships/hyperlink" Target="https://www.wthr.com/article/news/local/how-franklin-township-residents-can-learn-more-about-a-proposed-data-center-indianapolis/531-09357d99-247e-46e7-b9a4-b43d01cef1da" TargetMode="External"/><Relationship Id="rId673" Type="http://schemas.openxmlformats.org/officeDocument/2006/relationships/hyperlink" Target="https://www.wthr.com/article/news/local/franklin-township-data-center-plan-rezoning/531-790888f0-3aca-4dec-baa0-f47fc350f2c0" TargetMode="External"/><Relationship Id="rId672" Type="http://schemas.openxmlformats.org/officeDocument/2006/relationships/hyperlink" Target="https://dailyjournal.net/2025/06/26/iedc-board-approves-incentives-for-four-planned-data-center-projects/" TargetMode="External"/><Relationship Id="rId190" Type="http://schemas.openxmlformats.org/officeDocument/2006/relationships/hyperlink" Target="https://www.datacenterdynamics.com/en/news/50mw-data-center-could-be-built-in-colorado-springs/" TargetMode="External"/><Relationship Id="rId194" Type="http://schemas.openxmlformats.org/officeDocument/2006/relationships/hyperlink" Target="https://www.ges-coalition.org/" TargetMode="External"/><Relationship Id="rId193" Type="http://schemas.openxmlformats.org/officeDocument/2006/relationships/hyperlink" Target="https://www.coresite.com/news/coresite-achieves-key-construction-milestone-for-new-de3-data-center-in-denver" TargetMode="External"/><Relationship Id="rId192" Type="http://schemas.openxmlformats.org/officeDocument/2006/relationships/hyperlink" Target="https://www.coresite.com/news/coresite-achieves-key-construction-milestone-for-new-de3-data-center-in-denver" TargetMode="External"/><Relationship Id="rId191" Type="http://schemas.openxmlformats.org/officeDocument/2006/relationships/hyperlink" Target="https://www.datacenterdynamics.com/en/news/50mw-project-taurus-data-center-gets-go-ahead-in-colorado/" TargetMode="External"/><Relationship Id="rId187" Type="http://schemas.openxmlformats.org/officeDocument/2006/relationships/hyperlink" Target="https://www.youtube.com/watch?v=T-UnB0MIz3g" TargetMode="External"/><Relationship Id="rId186" Type="http://schemas.openxmlformats.org/officeDocument/2006/relationships/hyperlink" Target="https://inflect.com/building/1780-jet-stream-drive-colorado-springs/uniti/datacenter/colorado-springs" TargetMode="External"/><Relationship Id="rId185" Type="http://schemas.openxmlformats.org/officeDocument/2006/relationships/hyperlink" Target="https://invest.jll.com/us/en/listings/special-purpose-facility/8-asset-switch-portfolio" TargetMode="External"/><Relationship Id="rId184" Type="http://schemas.openxmlformats.org/officeDocument/2006/relationships/hyperlink" Target="https://www.expedient.com/data-centers/denver/" TargetMode="External"/><Relationship Id="rId189" Type="http://schemas.openxmlformats.org/officeDocument/2006/relationships/hyperlink" Target="https://www.facebook.com/groups/942876081944302/" TargetMode="External"/><Relationship Id="rId188" Type="http://schemas.openxmlformats.org/officeDocument/2006/relationships/hyperlink" Target="https://www.nodatacentercos.com" TargetMode="External"/><Relationship Id="rId183" Type="http://schemas.openxmlformats.org/officeDocument/2006/relationships/hyperlink" Target="https://www.cpr.org/2026/07/08/qts-aurora-data-center-diesel-generators/" TargetMode="External"/><Relationship Id="rId182" Type="http://schemas.openxmlformats.org/officeDocument/2006/relationships/hyperlink" Target="https://www.ocolo.io/colocation/qts-data-centers/aurora-denver-campus/" TargetMode="External"/><Relationship Id="rId181" Type="http://schemas.openxmlformats.org/officeDocument/2006/relationships/hyperlink" Target="https://q.com/data-centers/denver/" TargetMode="External"/><Relationship Id="rId180" Type="http://schemas.openxmlformats.org/officeDocument/2006/relationships/hyperlink" Target="https://www.datacenterdynamics.com/en/news/digital-realty-buys-land-in-los-angeles-for-32mw-data-center/" TargetMode="External"/><Relationship Id="rId176" Type="http://schemas.openxmlformats.org/officeDocument/2006/relationships/hyperlink" Target="https://www.cerebras.ai/press-release/cerebras-announces-six-new-ai-datacenters-across-north-america-and-europe-to-deliver-industry-s" TargetMode="External"/><Relationship Id="rId175" Type="http://schemas.openxmlformats.org/officeDocument/2006/relationships/hyperlink" Target="https://www.cerebras.ai/press-release/cerebras-announces-six-new-ai-datacenters-across-north-america-and-europe-to-deliver-industry-s" TargetMode="External"/><Relationship Id="rId174" Type="http://schemas.openxmlformats.org/officeDocument/2006/relationships/hyperlink" Target="https://www.datacenterdynamics.com/en/news/coresite-acquires-silicon-valley-office-property-zoned-for-data-center-redevelopment/" TargetMode="External"/><Relationship Id="rId173" Type="http://schemas.openxmlformats.org/officeDocument/2006/relationships/hyperlink" Target="https://www.datacenterdynamics.com/en/news/edgecore-opens-silicon-valley-data-center/" TargetMode="External"/><Relationship Id="rId179" Type="http://schemas.openxmlformats.org/officeDocument/2006/relationships/hyperlink" Target="https://www.datacenterdynamics.com/en/news/canadas-beacon-dc-targets-275mw-data-center-campus-on-california-oil-field/" TargetMode="External"/><Relationship Id="rId178" Type="http://schemas.openxmlformats.org/officeDocument/2006/relationships/hyperlink" Target="https://www.datacenterdynamics.com/en/news/menlo-equities-pivots-office-site-in-silicon-valley-to-data-center-development/" TargetMode="External"/><Relationship Id="rId177" Type="http://schemas.openxmlformats.org/officeDocument/2006/relationships/hyperlink" Target="https://www.datacenterdynamics.com/en/news/cerebras-plans-six-new-ai-data-centers-in-north-america-and-europe/" TargetMode="External"/><Relationship Id="rId198" Type="http://schemas.openxmlformats.org/officeDocument/2006/relationships/hyperlink" Target="https://www.coloradopolitics.com/2026/02/25/denvers-elyria-swansea-residents-fight-new-data-center/" TargetMode="External"/><Relationship Id="rId197" Type="http://schemas.openxmlformats.org/officeDocument/2006/relationships/hyperlink" Target="https://www.coresite.com/news/coresite-achieves-key-construction-milestone-for-new-de3-data-center-in-denver" TargetMode="External"/><Relationship Id="rId196" Type="http://schemas.openxmlformats.org/officeDocument/2006/relationships/hyperlink" Target="https://www.cpr.org/2025/10/14/ai-air-quality-impact/" TargetMode="External"/><Relationship Id="rId195" Type="http://schemas.openxmlformats.org/officeDocument/2006/relationships/hyperlink" Target="https://www.denver7.com/money/science-and-tech/ai-data-center-could-use-more-power-than-dia-leaving-neighbors-worried-about-power-and-water-bills" TargetMode="External"/><Relationship Id="rId199" Type="http://schemas.openxmlformats.org/officeDocument/2006/relationships/hyperlink" Target="https://www.datacenterdynamics.com/en/news/cielo-digital-infrastructure-plans-300mw-data-center-campus-in-south-carolina/" TargetMode="External"/><Relationship Id="rId150" Type="http://schemas.openxmlformats.org/officeDocument/2006/relationships/hyperlink" Target="https://www.pasadenastarnews.com/2026/04/01/developer-withdraws-monterey-park-data-center-project-after-community-pushback/" TargetMode="External"/><Relationship Id="rId149" Type="http://schemas.openxmlformats.org/officeDocument/2006/relationships/hyperlink" Target="https://www.sfgate.com/tech/article/monterey-park-data-center-21958037.php" TargetMode="External"/><Relationship Id="rId148" Type="http://schemas.openxmlformats.org/officeDocument/2006/relationships/hyperlink" Target="https://www.montereypark.ca.gov/1710/Data-Center-Information" TargetMode="External"/><Relationship Id="rId143" Type="http://schemas.openxmlformats.org/officeDocument/2006/relationships/hyperlink" Target="https://www.facebook.com/groups/1373626604509288/" TargetMode="External"/><Relationship Id="rId142" Type="http://schemas.openxmlformats.org/officeDocument/2006/relationships/hyperlink" Target="https://www.datacenterdynamics.com/en/news/newyork-greencloud-acquires-californian-biomass-facility-for-carbon-negative-ai-data-center/" TargetMode="External"/><Relationship Id="rId141" Type="http://schemas.openxmlformats.org/officeDocument/2006/relationships/hyperlink" Target="https://www.datacenterdynamics.com/en/news/99mw-data-center-proposed-in-kern-county-california/" TargetMode="External"/><Relationship Id="rId140" Type="http://schemas.openxmlformats.org/officeDocument/2006/relationships/hyperlink" Target="https://www.change.org/p/sign-the-petition-to-stop-the-rb-inyokern-data-center" TargetMode="External"/><Relationship Id="rId147" Type="http://schemas.openxmlformats.org/officeDocument/2006/relationships/hyperlink" Target="https://www.datacenterdynamics.com/en/news/proposal-for-250000-sq-ft-data-center-in-monterey-park-california-facing-opposition/" TargetMode="External"/><Relationship Id="rId146" Type="http://schemas.openxmlformats.org/officeDocument/2006/relationships/hyperlink" Target="https://www.theguardian.com/us-news/2026/feb/07/california-monterey-park-stop-datacenter-construction" TargetMode="External"/><Relationship Id="rId145" Type="http://schemas.openxmlformats.org/officeDocument/2006/relationships/hyperlink" Target="https://actionnetwork.org/petitions/no-data-centers-in-monterey-park?source=direct_link&amp;" TargetMode="External"/><Relationship Id="rId144" Type="http://schemas.openxmlformats.org/officeDocument/2006/relationships/hyperlink" Target="https://www.nodatacentermpk.org/" TargetMode="External"/><Relationship Id="rId139" Type="http://schemas.openxmlformats.org/officeDocument/2006/relationships/hyperlink" Target="https://www.kpbs.org/news/environment/2026/04/07/imperial-county-supervisors-clear-path-for-massive-data-center-complex-amid-fierce-opposition?utm_source=substack&amp;utm_medium=email" TargetMode="External"/><Relationship Id="rId138" Type="http://schemas.openxmlformats.org/officeDocument/2006/relationships/hyperlink" Target="https://www.kpbs.org/news/environment/2026/01/21/the-plan-to-build-a-massive-data-center-in-imperial-county-without-environmental-review" TargetMode="External"/><Relationship Id="rId137" Type="http://schemas.openxmlformats.org/officeDocument/2006/relationships/hyperlink" Target="https://www.imperialdatacenter.com/" TargetMode="External"/><Relationship Id="rId132" Type="http://schemas.openxmlformats.org/officeDocument/2006/relationships/hyperlink" Target="https://www.cityofgilroy.org/1019/15010/Gilroy-Data-Center-by-AWS" TargetMode="External"/><Relationship Id="rId131" Type="http://schemas.openxmlformats.org/officeDocument/2006/relationships/hyperlink" Target="https://www.datacenterdynamics.com/en/news/amazon-data-services-gains-approval-for-data-center-on-56-acres-in-gilroy-california/" TargetMode="External"/><Relationship Id="rId130" Type="http://schemas.openxmlformats.org/officeDocument/2006/relationships/hyperlink" Target="https://www.change.org/p/banning-regulating-data-centers-in-gilroy?recruiter=938425783&amp;recruited_by_id=33993410-37fe-11e9-999d-091836f5a8c4&amp;utm_source=share_petition&amp;utm_campaign=petition_dashboard&amp;utm_medium=copylink&amp;share_id=RTdL9LSmrc" TargetMode="External"/><Relationship Id="rId136" Type="http://schemas.openxmlformats.org/officeDocument/2006/relationships/hyperlink" Target="https://www.datacenterdynamics.com/en/news/330mw-google-linked-data-center-proposed-in-southern-california/" TargetMode="External"/><Relationship Id="rId135" Type="http://schemas.openxmlformats.org/officeDocument/2006/relationships/hyperlink" Target="https://www.change.org/p/stop-the-construction-of-the-data-center-at-aten-rd-and-clark-rd" TargetMode="External"/><Relationship Id="rId134" Type="http://schemas.openxmlformats.org/officeDocument/2006/relationships/hyperlink" Target="https://www.facebook.com/profile.php?id=61585227101244" TargetMode="External"/><Relationship Id="rId133" Type="http://schemas.openxmlformats.org/officeDocument/2006/relationships/hyperlink" Target="https://www.kron4.com/news/technology-ai/gilroy-community-fights-against-amazon-from-constructing-data-center/" TargetMode="External"/><Relationship Id="rId172" Type="http://schemas.openxmlformats.org/officeDocument/2006/relationships/hyperlink" Target="https://www.edgeconnex.com/locations/americas/santa-clara-ca/" TargetMode="External"/><Relationship Id="rId171" Type="http://schemas.openxmlformats.org/officeDocument/2006/relationships/hyperlink" Target="https://www.datacenters.com/digital-realty-silicon-valley-sjc37" TargetMode="External"/><Relationship Id="rId170" Type="http://schemas.openxmlformats.org/officeDocument/2006/relationships/hyperlink" Target="https://www.digitalrealty.com/data-centers/americas/silicon-valley/sjc37" TargetMode="External"/><Relationship Id="rId165" Type="http://schemas.openxmlformats.org/officeDocument/2006/relationships/hyperlink" Target="https://www.datacenterdynamics.com/en/news/prologis-files-to-build-99mw-data-center-in-san-jose-california/" TargetMode="External"/><Relationship Id="rId164" Type="http://schemas.openxmlformats.org/officeDocument/2006/relationships/hyperlink" Target="https://www.datacenterdynamics.com/en/news/400mw-prologis-data-center-campus-chosen-as-preferred-project-on-city-owned-land-in-san-jose-california/" TargetMode="External"/><Relationship Id="rId163" Type="http://schemas.openxmlformats.org/officeDocument/2006/relationships/hyperlink" Target="https://www.datacenterdynamics.com/en/news/microsoft-breaks-ground-on-alviso-data-center-campus-in-san-jose-california/" TargetMode="External"/><Relationship Id="rId162" Type="http://schemas.openxmlformats.org/officeDocument/2006/relationships/hyperlink" Target="https://www.datacenterdynamics.com/en/news/two-data-centers-proposed-for-vacant-lot-in-san-jose-california/" TargetMode="External"/><Relationship Id="rId169" Type="http://schemas.openxmlformats.org/officeDocument/2006/relationships/hyperlink" Target="https://www.datacenters.com/digital-realty-silicon-valley-sjc37" TargetMode="External"/><Relationship Id="rId168" Type="http://schemas.openxmlformats.org/officeDocument/2006/relationships/hyperlink" Target="https://www.datacenterdynamics.com/en/news/coresite-launches-santa-clara-data-center-california/" TargetMode="External"/><Relationship Id="rId167" Type="http://schemas.openxmlformats.org/officeDocument/2006/relationships/hyperlink" Target="https://www.datacenterdynamics.com/en/news/colovore-plans-data-center-in-austin-texas/" TargetMode="External"/><Relationship Id="rId166" Type="http://schemas.openxmlformats.org/officeDocument/2006/relationships/hyperlink" Target="https://www.datacenterdynamics.com/en/news/colovore-plans-data-center-in-austin-texas/" TargetMode="External"/><Relationship Id="rId161" Type="http://schemas.openxmlformats.org/officeDocument/2006/relationships/hyperlink" Target="https://www.mercurynews.com/2025/07/08/san-jose-tech-build-data-internet-property-real-estate-develop-economy/" TargetMode="External"/><Relationship Id="rId160" Type="http://schemas.openxmlformats.org/officeDocument/2006/relationships/hyperlink" Target="https://www.datacenterdynamics.com/en/news/equinix-launches-data-center-in-san-jose-california/" TargetMode="External"/><Relationship Id="rId159" Type="http://schemas.openxmlformats.org/officeDocument/2006/relationships/hyperlink" Target="https://www.edgeconnex.com/locations/americas/sacramento-ca/" TargetMode="External"/><Relationship Id="rId154" Type="http://schemas.openxmlformats.org/officeDocument/2006/relationships/hyperlink" Target="https://www.datacenterdynamics.com/en/news/aws-plans-another-quantum-research-center-in-pasadena-california/" TargetMode="External"/><Relationship Id="rId153" Type="http://schemas.openxmlformats.org/officeDocument/2006/relationships/hyperlink" Target="https://www.datacenterdynamics.com/en/news/unnamed-data-center-developer-eyeing-former-crystal-geyser-bottling-site-in-mount-shasta-california/" TargetMode="External"/><Relationship Id="rId152" Type="http://schemas.openxmlformats.org/officeDocument/2006/relationships/hyperlink" Target="https://www.activenorcal.com/mount-shasta-rejects-a-proposed-ai-data-center-drinking-its-famous-water/" TargetMode="External"/><Relationship Id="rId151" Type="http://schemas.openxmlformats.org/officeDocument/2006/relationships/hyperlink" Target="https://www.ijpr.org/environment-energy-and-transportation/2026-06-26/mount-shasta-ai-data-center-proposal-water-concerns" TargetMode="External"/><Relationship Id="rId158" Type="http://schemas.openxmlformats.org/officeDocument/2006/relationships/hyperlink" Target="https://contracosta.news/2024/12/03/avaio-digital-partners-achieves-major-milestone-for-pittsburg-technology-park-perseus-data-center-project/" TargetMode="External"/><Relationship Id="rId157" Type="http://schemas.openxmlformats.org/officeDocument/2006/relationships/hyperlink" Target="https://www.avaiodigital.com/developments/pittsburg-california" TargetMode="External"/><Relationship Id="rId156" Type="http://schemas.openxmlformats.org/officeDocument/2006/relationships/hyperlink" Target="https://www.pittsburgca.gov/services/community-development/planning/advanced-planning-special-projects/pittsburg-technology-park-specific-plan-project" TargetMode="External"/><Relationship Id="rId155" Type="http://schemas.openxmlformats.org/officeDocument/2006/relationships/hyperlink" Target="https://www.change.org/NoDataCenterPittsburgCA" TargetMode="External"/><Relationship Id="rId2820" Type="http://schemas.openxmlformats.org/officeDocument/2006/relationships/hyperlink" Target="https://reparcelasmt.loudoun.gov/pt/datalets/datalet.aspx?mode=land_summary&amp;UseSearch=no&amp;pin=045399350000&amp;jur=107&amp;taxyr=2025&amp;LMparent=20" TargetMode="External"/><Relationship Id="rId2821" Type="http://schemas.openxmlformats.org/officeDocument/2006/relationships/hyperlink" Target="https://reparcelasmt.loudoun.gov/pt/datalets/datalet.aspx?mode=commercial&amp;UseSearch=no&amp;pin=045195615000&amp;jur=107&amp;taxyr=2025&amp;LMparent=20" TargetMode="External"/><Relationship Id="rId2822" Type="http://schemas.openxmlformats.org/officeDocument/2006/relationships/hyperlink" Target="https://cloudandcolocation.com/datacenters/cyxtera-sterling-data-center-iad2-a/" TargetMode="External"/><Relationship Id="rId2823" Type="http://schemas.openxmlformats.org/officeDocument/2006/relationships/hyperlink" Target="https://reparcelasmt.loudoun.gov/pt/datalets/datalet.aspx?mode=profileall&amp;UseSearch=no&amp;pin=034468458000&amp;jur=107&amp;taxyr=2024&amp;LMparent=20" TargetMode="External"/><Relationship Id="rId2824" Type="http://schemas.openxmlformats.org/officeDocument/2006/relationships/hyperlink" Target="https://reparcelasmt.loudoun.gov/pt/datalets/datalet.aspx?mode=profileall&amp;UseSearch=no&amp;pin=046368231000&amp;jur=107&amp;taxyr=2024&amp;LMparent=20" TargetMode="External"/><Relationship Id="rId2825" Type="http://schemas.openxmlformats.org/officeDocument/2006/relationships/hyperlink" Target="https://www.datacenterdynamics.com/en/news/aligned-files-to-extend-second-sterling-campus-in-virginia/" TargetMode="External"/><Relationship Id="rId2826" Type="http://schemas.openxmlformats.org/officeDocument/2006/relationships/hyperlink" Target="https://reparcelasmt.loudoun.gov/pt/datalets/datalet.aspx?mode=profileall&amp;UseSearch=no&amp;pin=045352692000&amp;jur=107&amp;taxyr=2024&amp;LMparent=20" TargetMode="External"/><Relationship Id="rId2827" Type="http://schemas.openxmlformats.org/officeDocument/2006/relationships/hyperlink" Target="https://loudouncountyvaeg.tylerhost.net/prod/selfservice" TargetMode="External"/><Relationship Id="rId2828" Type="http://schemas.openxmlformats.org/officeDocument/2006/relationships/hyperlink" Target="https://reparcelasmt.loudoun.gov/pt/datalets/datalet.aspx?mode=profileall&amp;UseSearch=no&amp;pin=203295737000&amp;jur=107&amp;taxyr=2025&amp;LMparent=20" TargetMode="External"/><Relationship Id="rId2829" Type="http://schemas.openxmlformats.org/officeDocument/2006/relationships/hyperlink" Target="https://www.datacenterdynamics.com/en/news/amazon-to-demolish-nine-office-buildings-in-sterling-virginia-and-build-four-data-centers/" TargetMode="External"/><Relationship Id="rId2810" Type="http://schemas.openxmlformats.org/officeDocument/2006/relationships/hyperlink" Target="https://reparcelasmt.loudoun.gov/pt/Datalets/Datalet.aspx?UseSearch=no&amp;mode=profileall&amp;pin=034365461000&amp;jur=107&amp;taxyr=2024" TargetMode="External"/><Relationship Id="rId2811" Type="http://schemas.openxmlformats.org/officeDocument/2006/relationships/hyperlink" Target="https://www.bizjournals.com/washington/news/2023/01/30/saul-centers-dulles-north-corporate-park.html" TargetMode="External"/><Relationship Id="rId2812" Type="http://schemas.openxmlformats.org/officeDocument/2006/relationships/hyperlink" Target="https://reparcelasmt.loudoun.gov/pt/Datalets/Datalet.aspx?UseSearch=no&amp;mode=profileall&amp;pin=045402669000&amp;jur=107&amp;taxyr=2024" TargetMode="External"/><Relationship Id="rId2813" Type="http://schemas.openxmlformats.org/officeDocument/2006/relationships/hyperlink" Target="https://loudouncountyvaeg.tylerhost.net/prod/selfservice" TargetMode="External"/><Relationship Id="rId2814" Type="http://schemas.openxmlformats.org/officeDocument/2006/relationships/hyperlink" Target="https://reparcelasmt.loudoun.gov/pt/Datalets/Datalet.aspx?UseSearch=no&amp;mode=profileall&amp;pin=161170879000&amp;jur=107&amp;taxyr=2024" TargetMode="External"/><Relationship Id="rId2815" Type="http://schemas.openxmlformats.org/officeDocument/2006/relationships/hyperlink" Target="https://reparcelasmt.loudoun.gov/pt/datalets/datalet.aspx?mode=profileall&amp;UseSearch=no&amp;pin=045159083000&amp;jur=107&amp;taxyr=2024&amp;LMparent=20" TargetMode="External"/><Relationship Id="rId2816" Type="http://schemas.openxmlformats.org/officeDocument/2006/relationships/hyperlink" Target="https://reparcelasmt.loudoun.gov/pt/datalets/datalet.aspx?mode=profileall&amp;UseSearch=no&amp;pin=042200988000&amp;jur=107&amp;taxyr=2024&amp;LMparent=20" TargetMode="External"/><Relationship Id="rId2817" Type="http://schemas.openxmlformats.org/officeDocument/2006/relationships/hyperlink" Target="https://loudouncountyvaeg.tylerhost.net/prod/selfservice" TargetMode="External"/><Relationship Id="rId2818" Type="http://schemas.openxmlformats.org/officeDocument/2006/relationships/hyperlink" Target="https://reparcelasmt.loudoun.gov/pt/Datalets/Datalet.aspx?UseSearch=no&amp;mode=profileall&amp;pin=030300991000&amp;jur=107&amp;taxyr=2025" TargetMode="External"/><Relationship Id="rId2819" Type="http://schemas.openxmlformats.org/officeDocument/2006/relationships/hyperlink" Target="https://datacenterhawk.com/marketplace/providers/aligned-data-centers/22715-relocation-drive/iad03" TargetMode="External"/><Relationship Id="rId1510" Type="http://schemas.openxmlformats.org/officeDocument/2006/relationships/hyperlink" Target="https://www.datacenterdynamics.com/en/news/beale-infrastructure-plans-second-data-center-campus-outside-tucson-arizona-and-two-outside-tulsa-oklahoma/" TargetMode="External"/><Relationship Id="rId2841" Type="http://schemas.openxmlformats.org/officeDocument/2006/relationships/hyperlink" Target="https://reparcelasmt.loudoun.gov/pt/datalets/datalet.aspx?mode=commercial&amp;UseSearch=no&amp;pin=041108666000&amp;jur=107&amp;taxyr=2024&amp;LMparent=20" TargetMode="External"/><Relationship Id="rId1511" Type="http://schemas.openxmlformats.org/officeDocument/2006/relationships/hyperlink" Target="https://tulsaplanning.org/tmapc/TAC/Project%20Clydesdale%20submittal.pdf" TargetMode="External"/><Relationship Id="rId2842" Type="http://schemas.openxmlformats.org/officeDocument/2006/relationships/hyperlink" Target="https://loudouncountyvaeg.tylerhost.net/prod/selfservice" TargetMode="External"/><Relationship Id="rId1512" Type="http://schemas.openxmlformats.org/officeDocument/2006/relationships/hyperlink" Target="https://www.datacenterdynamics.com/en/news/tierpoint-completes-fourth-data-center-in-oklahoma/" TargetMode="External"/><Relationship Id="rId2843" Type="http://schemas.openxmlformats.org/officeDocument/2006/relationships/hyperlink" Target="https://reparcelasmt.loudoun.gov/pt/Datalets/Datalet.aspx?UseSearch=no&amp;mode=profileall&amp;pin=044267923000&amp;jur=107&amp;taxyr=2025" TargetMode="External"/><Relationship Id="rId1513" Type="http://schemas.openxmlformats.org/officeDocument/2006/relationships/hyperlink" Target="https://www.datacenterdynamics.com/en/news/amazon-expanding-data-center-presence-in-oregon-buys-400-acres/" TargetMode="External"/><Relationship Id="rId2844" Type="http://schemas.openxmlformats.org/officeDocument/2006/relationships/hyperlink" Target="https://reparcelasmt.loudoun.gov/pt/datalets/datalet.aspx?mode=profileall&amp;UseSearch=no&amp;pin=034462865000&amp;jur=107&amp;taxyr=2024&amp;LMparent=20" TargetMode="External"/><Relationship Id="rId1514" Type="http://schemas.openxmlformats.org/officeDocument/2006/relationships/hyperlink" Target="https://www.geekwire.com/2026/report-amazon-buys-1300-acres-near-columbia-river-that-could-become-a-giant-data-center/" TargetMode="External"/><Relationship Id="rId2845" Type="http://schemas.openxmlformats.org/officeDocument/2006/relationships/hyperlink" Target="https://reparcelasmt.loudoun.gov/pt/Datalets/Datalet.aspx?UseSearch=no&amp;mode=profileall&amp;pin=030296913000&amp;jur=107&amp;taxyr=2024" TargetMode="External"/><Relationship Id="rId1515" Type="http://schemas.openxmlformats.org/officeDocument/2006/relationships/hyperlink" Target="https://www.datacenterdynamics.com/en/news/amazon-purchases-1300-acres-in-morrow-county-oregon/" TargetMode="External"/><Relationship Id="rId2846" Type="http://schemas.openxmlformats.org/officeDocument/2006/relationships/hyperlink" Target="https://loudouncountyvaeg.tylerhost.net/prod/selfservice" TargetMode="External"/><Relationship Id="rId1516" Type="http://schemas.openxmlformats.org/officeDocument/2006/relationships/hyperlink" Target="https://www.oregonlive.com/silicon-forest/2023/07/cascade-locks-rejects-plan-for-100-million-data-center-in-the-columbia-river-gorge.html" TargetMode="External"/><Relationship Id="rId2847" Type="http://schemas.openxmlformats.org/officeDocument/2006/relationships/hyperlink" Target="https://reparcelasmt.loudoun.gov/pt/datalets/datalet.aspx?mode=profileall&amp;UseSearch=no&amp;pin=124369522000&amp;jur=107&amp;taxyr=2024&amp;LMparent=20" TargetMode="External"/><Relationship Id="rId1517" Type="http://schemas.openxmlformats.org/officeDocument/2006/relationships/hyperlink" Target="https://www.oregonlive.com/silicon-forest/2023/03/startup-pitches-100-million-data-center-in-cascade-locks.html" TargetMode="External"/><Relationship Id="rId2848" Type="http://schemas.openxmlformats.org/officeDocument/2006/relationships/hyperlink" Target="https://reparcelasmt.loudoun.gov/pt/datalets/datalet.aspx?mode=profileall&amp;UseSearch=no&amp;pin=044261032000&amp;jur=107&amp;taxyr=2024&amp;LMparent=20" TargetMode="External"/><Relationship Id="rId1518" Type="http://schemas.openxmlformats.org/officeDocument/2006/relationships/hyperlink" Target="https://www.oregonlive.com/silicon-forest/2023/07/cascade-locks-rejects-plan-for-100-million-data-center-in-the-columbia-river-gorge.html" TargetMode="External"/><Relationship Id="rId2849" Type="http://schemas.openxmlformats.org/officeDocument/2006/relationships/hyperlink" Target="https://loudouncountyvaeg.tylerhost.net/prod/selfservice" TargetMode="External"/><Relationship Id="rId1519" Type="http://schemas.openxmlformats.org/officeDocument/2006/relationships/hyperlink" Target="https://protectpwc.org/2023/07/24/bisnow-local-opposition-kills-100m-data-center-project-in-hot-oregon-market/" TargetMode="External"/><Relationship Id="rId2840" Type="http://schemas.openxmlformats.org/officeDocument/2006/relationships/hyperlink" Target="https://reparcelasmt.loudoun.gov/pt/datalets/datalet.aspx?mode=commercial&amp;UseSearch=no&amp;pin=041108666000&amp;jur=107&amp;taxyr=2024&amp;LMparent=20" TargetMode="External"/><Relationship Id="rId2830" Type="http://schemas.openxmlformats.org/officeDocument/2006/relationships/hyperlink" Target="https://reparcelasmt.loudoun.gov/pt/Datalets/Datalet.aspx?UseSearch=no&amp;mode=profileall&amp;pin=030208833000&amp;jur=107&amp;taxyr=2024" TargetMode="External"/><Relationship Id="rId1500" Type="http://schemas.openxmlformats.org/officeDocument/2006/relationships/hyperlink" Target="https://www.datacenterdynamics.com/en/news/project-atlas-data-center-application-withdrawn-in-coweta-oklahoma/" TargetMode="External"/><Relationship Id="rId2831" Type="http://schemas.openxmlformats.org/officeDocument/2006/relationships/hyperlink" Target="https://www.datacenterdynamics.com/en/news/amazon-to-demolish-nine-office-buildings-in-sterling-virginia-and-build-four-data-centers/" TargetMode="External"/><Relationship Id="rId1501" Type="http://schemas.openxmlformats.org/officeDocument/2006/relationships/hyperlink" Target="https://www.gofundme.com/f/Protect-sand-springs-alliance" TargetMode="External"/><Relationship Id="rId2832" Type="http://schemas.openxmlformats.org/officeDocument/2006/relationships/hyperlink" Target="https://reparcelasmt.loudoun.gov/pt/Datalets/Datalet.aspx?UseSearch=no&amp;mode=profileall&amp;pin=030309421000&amp;jur=107&amp;taxyr=2024" TargetMode="External"/><Relationship Id="rId1502" Type="http://schemas.openxmlformats.org/officeDocument/2006/relationships/hyperlink" Target="https://www.change.org/p/stop-the-data-center-f340a791-4f7e-4da8-a997-b0b2ce26319a" TargetMode="External"/><Relationship Id="rId2833" Type="http://schemas.openxmlformats.org/officeDocument/2006/relationships/hyperlink" Target="https://reparcelasmt.loudoun.gov/pt/Datalets/Datalet.aspx?UseSearch=no&amp;mode=profileall&amp;pin=030382006000&amp;jur=107&amp;taxyr=2024" TargetMode="External"/><Relationship Id="rId1503" Type="http://schemas.openxmlformats.org/officeDocument/2006/relationships/hyperlink" Target="https://www.datacenterdynamics.com/en/news/sand-springs-oklahoma-to-consider-project-spring-data-center-proposal/" TargetMode="External"/><Relationship Id="rId2834" Type="http://schemas.openxmlformats.org/officeDocument/2006/relationships/hyperlink" Target="https://reparcelasmt.loudoun.gov/pt/datalets/datalet.aspx?mode=commercial&amp;UseSearch=no&amp;pin=030455548000&amp;jur=107&amp;taxyr=2024&amp;LMparent=20" TargetMode="External"/><Relationship Id="rId1504" Type="http://schemas.openxmlformats.org/officeDocument/2006/relationships/hyperlink" Target="https://protectss.org/home" TargetMode="External"/><Relationship Id="rId2835" Type="http://schemas.openxmlformats.org/officeDocument/2006/relationships/hyperlink" Target="https://reparcelasmt.loudoun.gov/pt/datalets/datalet.aspx?mode=commercial&amp;UseSearch=no&amp;pin=030455548000&amp;jur=107&amp;taxyr=2024&amp;LMparent=20" TargetMode="External"/><Relationship Id="rId1505" Type="http://schemas.openxmlformats.org/officeDocument/2006/relationships/hyperlink" Target="https://www.fox23.com/news/sand-springs-city-leaders-postpone-action-on-proposed-data-center-project/article_73ae54df-1dc1-4440-8511-87e2064374a8.html" TargetMode="External"/><Relationship Id="rId2836" Type="http://schemas.openxmlformats.org/officeDocument/2006/relationships/hyperlink" Target="https://www.datacenterdynamics.com/en/news/edgecore-buys-land-in-virginia-plans-36mw-data-center/" TargetMode="External"/><Relationship Id="rId1506" Type="http://schemas.openxmlformats.org/officeDocument/2006/relationships/hyperlink" Target="https://www.fox23.com/news/special-meetings-set-for-proposed-data-center-in-sand-springs/article_e36b744c-371c-4d41-9476-dbdeb04b1a9c.html" TargetMode="External"/><Relationship Id="rId2837" Type="http://schemas.openxmlformats.org/officeDocument/2006/relationships/hyperlink" Target="https://reparcelasmt.loudoun.gov/pt/datalets/datalet.aspx?mode=profileall&amp;UseSearch=no&amp;pin=030292034000&amp;jur=107&amp;taxyr=2024&amp;LMparent=20" TargetMode="External"/><Relationship Id="rId1507" Type="http://schemas.openxmlformats.org/officeDocument/2006/relationships/hyperlink" Target="https://www.datacenterdynamics.com/en/news/google-gets-greenlight-for-data-center-in-tulsa-oklahoma/" TargetMode="External"/><Relationship Id="rId2838" Type="http://schemas.openxmlformats.org/officeDocument/2006/relationships/hyperlink" Target="https://reparcelasmt.loudoun.gov/pt/datalets/datalet.aspx?mode=land_summary&amp;UseSearch=no&amp;pin=029151508000&amp;jur=107&amp;taxyr=2024&amp;LMparent=20" TargetMode="External"/><Relationship Id="rId1508" Type="http://schemas.openxmlformats.org/officeDocument/2006/relationships/hyperlink" Target="https://www.datacenterdynamics.com/en/news/500-acre-data-center-campus-planned-in-tulsa-oklahoma/" TargetMode="External"/><Relationship Id="rId2839" Type="http://schemas.openxmlformats.org/officeDocument/2006/relationships/hyperlink" Target="https://reparcelasmt.loudoun.gov/pt/datalets/datalet.aspx?mode=land_summary&amp;UseSearch=no&amp;pin=029151508000&amp;jur=107&amp;taxyr=2024&amp;LMparent=20" TargetMode="External"/><Relationship Id="rId1509" Type="http://schemas.openxmlformats.org/officeDocument/2006/relationships/hyperlink" Target="https://www.kjrh.com/news/local-news/tulsa-county-residents-concerned-about-plans-for-data-center" TargetMode="External"/><Relationship Id="rId2800" Type="http://schemas.openxmlformats.org/officeDocument/2006/relationships/hyperlink" Target="https://reparcelasmt.loudoun.gov/pt/Datalets/Datalet.aspx?UseSearch=no&amp;mode=profileall&amp;pin=045391908000&amp;jur=107&amp;taxyr=2025" TargetMode="External"/><Relationship Id="rId2801" Type="http://schemas.openxmlformats.org/officeDocument/2006/relationships/hyperlink" Target="https://reparcelasmt.loudoun.gov/pt/Datalets/Datalet.aspx?UseSearch=no&amp;mode=profileall&amp;pin=045391908000&amp;jur=107&amp;taxyr=2025" TargetMode="External"/><Relationship Id="rId2802" Type="http://schemas.openxmlformats.org/officeDocument/2006/relationships/hyperlink" Target="https://reparcelasmt.loudoun.gov/pt/datalets/datalet.aspx?mode=profileall&amp;UseSearch=no&amp;pin=045254455000&amp;jur=107&amp;taxyr=2024&amp;LMparent=20" TargetMode="External"/><Relationship Id="rId2803" Type="http://schemas.openxmlformats.org/officeDocument/2006/relationships/hyperlink" Target="https://reparcelasmt.loudoun.gov/pt/Datalets/Datalet.aspx?sIndex=0&amp;idx=1" TargetMode="External"/><Relationship Id="rId2804" Type="http://schemas.openxmlformats.org/officeDocument/2006/relationships/hyperlink" Target="https://loudouncountyvaeg.tylerhost.net/prod/selfservice" TargetMode="External"/><Relationship Id="rId2805" Type="http://schemas.openxmlformats.org/officeDocument/2006/relationships/hyperlink" Target="https://reparcelasmt.loudoun.gov/pt/datalets/datalet.aspx?mode=profileall&amp;UseSearch=no&amp;pin=035457494000&amp;jur=107&amp;taxyr=2024&amp;LMparent=20" TargetMode="External"/><Relationship Id="rId2806" Type="http://schemas.openxmlformats.org/officeDocument/2006/relationships/hyperlink" Target="https://www.datacenterdynamics.com/en/news/zoning-change-approved-in-sterling-virginia-paving-way-for-685000-sq-ft-data-center-development/" TargetMode="External"/><Relationship Id="rId2807" Type="http://schemas.openxmlformats.org/officeDocument/2006/relationships/hyperlink" Target="https://reparcelasmt.loudoun.gov/pt/datalets/datalet.aspx?mode=profileall&amp;UseSearch=no&amp;pin=043171795000&amp;jur=107&amp;taxyr=2025&amp;LMparent=20" TargetMode="External"/><Relationship Id="rId2808" Type="http://schemas.openxmlformats.org/officeDocument/2006/relationships/hyperlink" Target="https://loudouncountyvaeg.tylerhost.net/prod/selfservice" TargetMode="External"/><Relationship Id="rId2809" Type="http://schemas.openxmlformats.org/officeDocument/2006/relationships/hyperlink" Target="https://reparcelasmt.loudoun.gov/pt/Datalets/Datalet.aspx?UseSearch=no&amp;mode=profileall&amp;pin=124398485000&amp;jur=107&amp;taxyr=2025" TargetMode="External"/><Relationship Id="rId1576" Type="http://schemas.openxmlformats.org/officeDocument/2006/relationships/hyperlink" Target="https://www.tierpoint.com/data-centers/pennsylvania/bethlehem/" TargetMode="External"/><Relationship Id="rId1577" Type="http://schemas.openxmlformats.org/officeDocument/2006/relationships/hyperlink" Target="https://www.tierpoint.com/data-centers/pennsylvania/lehigh-valley/" TargetMode="External"/><Relationship Id="rId1578" Type="http://schemas.openxmlformats.org/officeDocument/2006/relationships/hyperlink" Target="https://www.yahoo.com/news/articles/convenience-store-developer-proposes-ai-000500338.html" TargetMode="External"/><Relationship Id="rId1579" Type="http://schemas.openxmlformats.org/officeDocument/2006/relationships/hyperlink" Target="https://www.thetimes-tribune.com/2025/08/13/blakely-data-center-meeting-draws-large-crowd-opposition/" TargetMode="External"/><Relationship Id="rId987" Type="http://schemas.openxmlformats.org/officeDocument/2006/relationships/hyperlink" Target="https://baxtel.com/data-center/meta-kansas-city" TargetMode="External"/><Relationship Id="rId986" Type="http://schemas.openxmlformats.org/officeDocument/2006/relationships/hyperlink" Target="https://about.fb.com/news/2025/08/metas-kansas-city-data-center/" TargetMode="External"/><Relationship Id="rId985" Type="http://schemas.openxmlformats.org/officeDocument/2006/relationships/hyperlink" Target="https://www.datacenterdynamics.com/en/news/cielo-digital-infrastructure-plans-300mw-data-center-campus-in-south-carolina/" TargetMode="External"/><Relationship Id="rId984" Type="http://schemas.openxmlformats.org/officeDocument/2006/relationships/hyperlink" Target="https://www.datacenterdynamics.com/en/news/officials-in-joplin-missouri-greenlight-rezoning-request-for-potential-data-center/" TargetMode="External"/><Relationship Id="rId989" Type="http://schemas.openxmlformats.org/officeDocument/2006/relationships/hyperlink" Target="https://www.kshb.com/news/local-news/tech-firm-eyes-development-for-6-data-centers-north-of-kansas-city-international-airport" TargetMode="External"/><Relationship Id="rId988" Type="http://schemas.openxmlformats.org/officeDocument/2006/relationships/hyperlink" Target="https://www.datacenterdynamics.com/en/news/meta-acquires-500-more-acres-in-diodes-golden-plains-park-in-kansas-city-missouri/" TargetMode="External"/><Relationship Id="rId1570" Type="http://schemas.openxmlformats.org/officeDocument/2006/relationships/hyperlink" Target="https://www.msn.com/en-us/news/us/archbald-votes-no-to-new-data-center-ordinance/ar-AA1NQbGM" TargetMode="External"/><Relationship Id="rId1571" Type="http://schemas.openxmlformats.org/officeDocument/2006/relationships/hyperlink" Target="https://www.thetimes-tribune.com/2025/10/31/developer-applies-for-22-more-data-center-buildings-in-archbald/" TargetMode="External"/><Relationship Id="rId983" Type="http://schemas.openxmlformats.org/officeDocument/2006/relationships/hyperlink" Target="https://www.change.org/p/stop-the-wildwood-ranch-data-center-project-in-joplin-mo" TargetMode="External"/><Relationship Id="rId1572" Type="http://schemas.openxmlformats.org/officeDocument/2006/relationships/hyperlink" Target="https://fox56.com/news/local/archbald-residents-unite-against-unanswered-questions-on-data-centers" TargetMode="External"/><Relationship Id="rId982" Type="http://schemas.openxmlformats.org/officeDocument/2006/relationships/hyperlink" Target="https://www.datacenterdynamics.com/en/news/patmos-to-build-new-data-center-in-independence-missouri-as-city-moratorium-discussed/" TargetMode="External"/><Relationship Id="rId1573" Type="http://schemas.openxmlformats.org/officeDocument/2006/relationships/hyperlink" Target="https://www.spotlightpa.org/news/2026/03/pennsylvania-data-centers-archbald-ai-evictions-environment/?utm_source=ActiveCampaign&amp;utm_medium=email&amp;utm_content=6%20data%20centers%20%20One%20PA%20borough&amp;utm_campaign=PA%20Post%2003%2019%2026%20%28Copy%29" TargetMode="External"/><Relationship Id="rId981" Type="http://schemas.openxmlformats.org/officeDocument/2006/relationships/hyperlink" Target="https://www.datacenterdynamics.com/en/news/nebius-breaks-ground-on-400-acre-data-center-campus-in-independence-missouri/" TargetMode="External"/><Relationship Id="rId1574" Type="http://schemas.openxmlformats.org/officeDocument/2006/relationships/hyperlink" Target="https://investors.terawulf.com/news-events/press-releases/detail/85/terawulf-announces-august-2024-production-and-operations" TargetMode="External"/><Relationship Id="rId980" Type="http://schemas.openxmlformats.org/officeDocument/2006/relationships/hyperlink" Target="https://www.datacenterdynamics.com/en/news/150bn-in-industrial-development-revenue-bonds-tax-breaks-approved-for-800mw-nebius-data-center-in-missouri/" TargetMode="External"/><Relationship Id="rId1575" Type="http://schemas.openxmlformats.org/officeDocument/2006/relationships/hyperlink" Target="https://www.datacenterdynamics.com/en/news/qts-acquires-1700-acres-of-land-in-pennsylvania-for-data-center-development/" TargetMode="External"/><Relationship Id="rId1565" Type="http://schemas.openxmlformats.org/officeDocument/2006/relationships/hyperlink" Target="https://grist.org/energy/the-ai-boom-has-plunged-a-small-pennsylvania-town-into-chaos/" TargetMode="External"/><Relationship Id="rId2896" Type="http://schemas.openxmlformats.org/officeDocument/2006/relationships/hyperlink" Target="https://reparcelasmt.loudoun.gov/pt/Datalets/Datalet.aspx?UseSearch=no&amp;mode=profileall&amp;pin=091482155000&amp;jur=107&amp;taxyr=2025" TargetMode="External"/><Relationship Id="rId1566" Type="http://schemas.openxmlformats.org/officeDocument/2006/relationships/hyperlink" Target="https://www.thetimes-tribune.com/2026/03/11/wildcat-ridge-data-center-campus-faces-major-opposition-in-archbald/" TargetMode="External"/><Relationship Id="rId2897" Type="http://schemas.openxmlformats.org/officeDocument/2006/relationships/hyperlink" Target="https://loudouncountyvaeg.tylerhost.net/prod/selfservice" TargetMode="External"/><Relationship Id="rId1567" Type="http://schemas.openxmlformats.org/officeDocument/2006/relationships/hyperlink" Target="https://www.datacenterdynamics.com/en/news/plans-filed-for-16-million-sq-ft-data-center-campus-in-northeast-pennsylvania/" TargetMode="External"/><Relationship Id="rId2898" Type="http://schemas.openxmlformats.org/officeDocument/2006/relationships/hyperlink" Target="https://reparcelasmt.loudoun.gov/pt/Datalets/Datalet.aspx?UseSearch=no&amp;mode=profileall&amp;pin=091490220000&amp;jur=107&amp;taxyr=2025" TargetMode="External"/><Relationship Id="rId1568" Type="http://schemas.openxmlformats.org/officeDocument/2006/relationships/hyperlink" Target="https://www.datacenterdynamics.com/en/news/21bn-data-center-campus-proposed-in-archbald-pennsylvania/" TargetMode="External"/><Relationship Id="rId2899" Type="http://schemas.openxmlformats.org/officeDocument/2006/relationships/hyperlink" Target="https://loudouncountyvaeg.tylerhost.net/prod/selfservice" TargetMode="External"/><Relationship Id="rId1569" Type="http://schemas.openxmlformats.org/officeDocument/2006/relationships/hyperlink" Target="https://www.thetimes-tribune.com/2025/05/18/data-centers-could-reshape-landscape-in-nepa/" TargetMode="External"/><Relationship Id="rId976" Type="http://schemas.openxmlformats.org/officeDocument/2006/relationships/hyperlink" Target="https://www.change.org/p/stop-the-ai-datacenter-in-independence-missouri" TargetMode="External"/><Relationship Id="rId975" Type="http://schemas.openxmlformats.org/officeDocument/2006/relationships/hyperlink" Target="https://www.stlpr.org/government-politics-issues/2026-04-10/data-center-opposition-group-sues-city-festus-proposed-developer" TargetMode="External"/><Relationship Id="rId974" Type="http://schemas.openxmlformats.org/officeDocument/2006/relationships/hyperlink" Target="https://www.stlpr.org/government-politics-issues/2026-02-27/festus-leaders-next-step-approving-proposed-data-center" TargetMode="External"/><Relationship Id="rId973" Type="http://schemas.openxmlformats.org/officeDocument/2006/relationships/hyperlink" Target="https://www.stlpr.org/government-politics-issues/2026-02-27/festus-leaders-next-step-approving-proposed-data-center" TargetMode="External"/><Relationship Id="rId979" Type="http://schemas.openxmlformats.org/officeDocument/2006/relationships/hyperlink" Target="https://nebius.com/blog/posts/nebius-opens-first-availability-zone-in-us" TargetMode="External"/><Relationship Id="rId978" Type="http://schemas.openxmlformats.org/officeDocument/2006/relationships/hyperlink" Target="https://www.kmbc.com/article/independence-nebius-data-center-construction-electricity-approval-resident-concerns/70082962" TargetMode="External"/><Relationship Id="rId977" Type="http://schemas.openxmlformats.org/officeDocument/2006/relationships/hyperlink" Target="https://www.datacenterdynamics.com/en/news/nebius-plans-800mw-data-center-campus-in-kansas-city-missouri/" TargetMode="External"/><Relationship Id="rId2890" Type="http://schemas.openxmlformats.org/officeDocument/2006/relationships/hyperlink" Target="https://reparcelasmt.loudoun.gov/pt/Datalets/Datalet.aspx?UseSearch=no&amp;mode=profileall&amp;pin=033258399000&amp;jur=107&amp;taxyr=2025" TargetMode="External"/><Relationship Id="rId1560" Type="http://schemas.openxmlformats.org/officeDocument/2006/relationships/hyperlink" Target="https://trackdatacenters.com/state/pennsylvania" TargetMode="External"/><Relationship Id="rId2891" Type="http://schemas.openxmlformats.org/officeDocument/2006/relationships/hyperlink" Target="https://loudouncountyvaeg.tylerhost.net/prod/selfservice" TargetMode="External"/><Relationship Id="rId972" Type="http://schemas.openxmlformats.org/officeDocument/2006/relationships/hyperlink" Target="https://www.komu.com/news/midmissourinews/columbia-residents-speak-against-rezoning-farm-land-for-possible-data-center/article_c4429655-ed89-51d3-a5df-6e57681b2548.html" TargetMode="External"/><Relationship Id="rId1561" Type="http://schemas.openxmlformats.org/officeDocument/2006/relationships/hyperlink" Target="https://www.thetimes-tribune.com/2026/03/20/archbald-hearing-reveals-project-green-mountains-ties-to-other-data-center/" TargetMode="External"/><Relationship Id="rId2892" Type="http://schemas.openxmlformats.org/officeDocument/2006/relationships/hyperlink" Target="https://reparcelasmt.loudoun.gov/pt/Datalets/Datalet.aspx?UseSearch=no&amp;mode=profileall&amp;pin=033292608000&amp;jur=107&amp;taxyr=2025" TargetMode="External"/><Relationship Id="rId971" Type="http://schemas.openxmlformats.org/officeDocument/2006/relationships/hyperlink" Target="https://gocolumbiamo.legistar.com/View.ashx?M=F&amp;ID=14838831&amp;GUID=CD9D24B9-05B4-4203-B9BA-8DC02DA95B03" TargetMode="External"/><Relationship Id="rId1562" Type="http://schemas.openxmlformats.org/officeDocument/2006/relationships/hyperlink" Target="https://www.spotlightpa.org/news/2026/03/pennsylvania-data-centers-archbald-ai-evictions-environment" TargetMode="External"/><Relationship Id="rId2893" Type="http://schemas.openxmlformats.org/officeDocument/2006/relationships/hyperlink" Target="https://loudouncountyvaeg.tylerhost.net/prod/selfservice" TargetMode="External"/><Relationship Id="rId970" Type="http://schemas.openxmlformats.org/officeDocument/2006/relationships/hyperlink" Target="https://www.datacenterdynamics.com/en/news/4bn-data-center-rejected-by-nobles-county-minnesota/" TargetMode="External"/><Relationship Id="rId1563" Type="http://schemas.openxmlformats.org/officeDocument/2006/relationships/hyperlink" Target="https://grist.org/energy/the-ai-boom-has-plunged-a-small-pennsylvania-town-into-chaos/" TargetMode="External"/><Relationship Id="rId2894" Type="http://schemas.openxmlformats.org/officeDocument/2006/relationships/hyperlink" Target="https://reparcelasmt.loudoun.gov/pt/Datalets/Datalet.aspx?UseSearch=no&amp;mode=profileall&amp;pin=091493983000&amp;jur=107&amp;taxyr=2025" TargetMode="External"/><Relationship Id="rId1564" Type="http://schemas.openxmlformats.org/officeDocument/2006/relationships/hyperlink" Target="https://www.spotlightpa.org/news/2026/03/pennsylvania-data-centers-archbald-ai-evictions-environment" TargetMode="External"/><Relationship Id="rId2895" Type="http://schemas.openxmlformats.org/officeDocument/2006/relationships/hyperlink" Target="https://loudouncountyvaeg.tylerhost.net/prod/selfservice" TargetMode="External"/><Relationship Id="rId1598" Type="http://schemas.openxmlformats.org/officeDocument/2006/relationships/hyperlink" Target="https://www.datacenterdynamics.com/en/news/two-building-data-center-campus-proposed-in-northeast-pennsylvania/" TargetMode="External"/><Relationship Id="rId1599" Type="http://schemas.openxmlformats.org/officeDocument/2006/relationships/hyperlink" Target="https://www.wvia.org/news/local/2026-04-10/proposed-newton-data-center-campus-is-10th-planned-for-lackawanna-county" TargetMode="External"/><Relationship Id="rId1590" Type="http://schemas.openxmlformats.org/officeDocument/2006/relationships/hyperlink" Target="https://www.bizjournals.com/pittsburgh/news/2026/03/27/heres-where-the-big-data-project-centers-are.html" TargetMode="External"/><Relationship Id="rId1591" Type="http://schemas.openxmlformats.org/officeDocument/2006/relationships/hyperlink" Target="https://www.pennlive.com/news/2025/06/another-central-pa-community-creates-space-for-a-data-center.html" TargetMode="External"/><Relationship Id="rId1592" Type="http://schemas.openxmlformats.org/officeDocument/2006/relationships/hyperlink" Target="https://www.pennlive.com/business/2025/07/26-billion-in-data-center-projects-coming-to-central-pa.html" TargetMode="External"/><Relationship Id="rId1593" Type="http://schemas.openxmlformats.org/officeDocument/2006/relationships/hyperlink" Target="https://www.datacenterdynamics.com/en/news/powerhouse-eyes-700-acre-data-center-campus-in-south-central-pennsylvania-report/" TargetMode="External"/><Relationship Id="rId1594" Type="http://schemas.openxmlformats.org/officeDocument/2006/relationships/hyperlink" Target="https://www.wgal.com/article/pennsylvania-digital-1-project-details/65629251" TargetMode="External"/><Relationship Id="rId1595" Type="http://schemas.openxmlformats.org/officeDocument/2006/relationships/hyperlink" Target="https://local21news.com/news/local/a-new-data-center-might-be-build-in-cumberland-county-and-its-700-acres-ai-carlisle-artificial-intelligence-pennsylvania-data-center-partners-powerhouse-pa" TargetMode="External"/><Relationship Id="rId1596" Type="http://schemas.openxmlformats.org/officeDocument/2006/relationships/hyperlink" Target="https://www.datacenterdynamics.com/en/news/data-center-and-energy-firms-plan-90bn-investment-in-pennsylvania/" TargetMode="External"/><Relationship Id="rId1597" Type="http://schemas.openxmlformats.org/officeDocument/2006/relationships/hyperlink" Target="https://www.fox43.com/article/news/local/cumberland-county/pennsylvania-data-centers-cumberland-county-middlesex-township/521-e1751c89-dc9c-4727-8ddd-45a27e7a0556" TargetMode="External"/><Relationship Id="rId1587" Type="http://schemas.openxmlformats.org/officeDocument/2006/relationships/hyperlink" Target="https://www.tierpoint.com/data-centers/pennsylvania/allentown-tekpark/" TargetMode="External"/><Relationship Id="rId1588" Type="http://schemas.openxmlformats.org/officeDocument/2006/relationships/hyperlink" Target="https://www.weirtondailytimes.com/news/business/2024/12/starpointe-industrial-park-sale-is-finalized/" TargetMode="External"/><Relationship Id="rId1589" Type="http://schemas.openxmlformats.org/officeDocument/2006/relationships/hyperlink" Target="https://www.msn.com/en-us/news/us/hanover-township-passes-ordinance-to-regulate-potential-data-centers/ar-AA1ZM2Fc" TargetMode="External"/><Relationship Id="rId998" Type="http://schemas.openxmlformats.org/officeDocument/2006/relationships/hyperlink" Target="https://www.datacenterdynamics.com/en/news/former-newspaper-building-in-kansas-city-eyed-for-20-story-data-center-development/" TargetMode="External"/><Relationship Id="rId997" Type="http://schemas.openxmlformats.org/officeDocument/2006/relationships/hyperlink" Target="https://www.datacenterdynamics.com/en/news/google-affiliated-company-buys-430-acres-of-land-in-kansas-city-missouri/" TargetMode="External"/><Relationship Id="rId996" Type="http://schemas.openxmlformats.org/officeDocument/2006/relationships/hyperlink" Target="https://www.datacenterdynamics.com/en/news/officials-grant-data-center-project-in-kansas-city-tax-breaks/" TargetMode="External"/><Relationship Id="rId995" Type="http://schemas.openxmlformats.org/officeDocument/2006/relationships/hyperlink" Target="https://www.datacenterdynamics.com/en/news/construction-begins-at-googles-second-data-center-campus-in-kansas-city-missouri/" TargetMode="External"/><Relationship Id="rId999" Type="http://schemas.openxmlformats.org/officeDocument/2006/relationships/hyperlink" Target="https://www.datacenterdynamics.com/en/news/google-affiliated-company-buys-430-acres-of-land-in-kansas-city-missouri/" TargetMode="External"/><Relationship Id="rId990" Type="http://schemas.openxmlformats.org/officeDocument/2006/relationships/hyperlink" Target="https://fox4kc.com/news/100-billion-data-center-coming-to-kansas-citys-northland/" TargetMode="External"/><Relationship Id="rId1580" Type="http://schemas.openxmlformats.org/officeDocument/2006/relationships/hyperlink" Target="https://www.wnep.com/article/news/local/lackawanna-county/data-center-developer-withdraws-proposal-for-blakely-construction/523-976b3357-7ae2-4da0-b0f5-55eb44fb7afa" TargetMode="External"/><Relationship Id="rId1581" Type="http://schemas.openxmlformats.org/officeDocument/2006/relationships/hyperlink" Target="https://blakelydata.com/" TargetMode="External"/><Relationship Id="rId1582" Type="http://schemas.openxmlformats.org/officeDocument/2006/relationships/hyperlink" Target="https://www.wnep.com/article/news/local/lackawanna-county/data-center-lackawanna-county-archbald-blakely-jessup-council-votes/523-627d1d15-f8e2-436e-be39-732ec3ee3b26" TargetMode="External"/><Relationship Id="rId994" Type="http://schemas.openxmlformats.org/officeDocument/2006/relationships/hyperlink" Target="https://baxtel.com/data-center/google-project-mica" TargetMode="External"/><Relationship Id="rId1583" Type="http://schemas.openxmlformats.org/officeDocument/2006/relationships/hyperlink" Target="https://www.spotlightpa.org/news/2026/03/pennsylvania-data-centers-archbald-ai-evictions-environment" TargetMode="External"/><Relationship Id="rId993" Type="http://schemas.openxmlformats.org/officeDocument/2006/relationships/hyperlink" Target="https://www.datacenterdynamics.com/en/news/google-files-final-plans-for-rocky-branch-creek-technology-park-in-kansas-city-missouri/" TargetMode="External"/><Relationship Id="rId1584" Type="http://schemas.openxmlformats.org/officeDocument/2006/relationships/hyperlink" Target="https://trackdatacenters.com/state/pennsylvania" TargetMode="External"/><Relationship Id="rId992" Type="http://schemas.openxmlformats.org/officeDocument/2006/relationships/hyperlink" Target="https://www.datacenterdynamics.com/en/news/google-affiliated-company-buys-430-acres-of-land-in-kansas-city-missouri/" TargetMode="External"/><Relationship Id="rId1585" Type="http://schemas.openxmlformats.org/officeDocument/2006/relationships/hyperlink" Target="https://www.ironmountain.com/data-centers/locations/pennsylvania-data-center" TargetMode="External"/><Relationship Id="rId991" Type="http://schemas.openxmlformats.org/officeDocument/2006/relationships/hyperlink" Target="https://fox4kc.com/news/100-billion-data-center-coming-to-kansas-citys-northland/" TargetMode="External"/><Relationship Id="rId1586" Type="http://schemas.openxmlformats.org/officeDocument/2006/relationships/hyperlink" Target="https://www.ironmountain.com/data-centers/about/news-and-events/news/2024/december/data-centers-inside-the-underground-iron-mountain-in-butler-county" TargetMode="External"/><Relationship Id="rId1532" Type="http://schemas.openxmlformats.org/officeDocument/2006/relationships/hyperlink" Target="https://www.datacenterdynamics.com/en/news/data-center-developer-stack-to-expand-hillsboro-campus-by-121mw/" TargetMode="External"/><Relationship Id="rId2863" Type="http://schemas.openxmlformats.org/officeDocument/2006/relationships/hyperlink" Target="https://reparcelasmt.loudoun.gov/pt/datalets/datalet.aspx?mode=land_summary&amp;UseSearch=no&amp;pin=030306633000&amp;jur=107&amp;taxyr=2025&amp;LMparent=20" TargetMode="External"/><Relationship Id="rId1533" Type="http://schemas.openxmlformats.org/officeDocument/2006/relationships/hyperlink" Target="https://www.stackinfra.com/locations/americas/portland/por03/" TargetMode="External"/><Relationship Id="rId2864" Type="http://schemas.openxmlformats.org/officeDocument/2006/relationships/hyperlink" Target="https://loudouncountyvaeg.tylerhost.net/prod/selfservice" TargetMode="External"/><Relationship Id="rId1534" Type="http://schemas.openxmlformats.org/officeDocument/2006/relationships/hyperlink" Target="https://www.bendsource.com/news/localnews/after-pushback-to-la-pine-data-center-community-developers-await-next-steps/" TargetMode="External"/><Relationship Id="rId2865" Type="http://schemas.openxmlformats.org/officeDocument/2006/relationships/hyperlink" Target="https://reparcelasmt.loudoun.gov/pt/Datalets/Datalet.aspx?UseSearch=no&amp;mode=profileall&amp;pin=034372453000&amp;jur=107&amp;taxyr=2025" TargetMode="External"/><Relationship Id="rId1535" Type="http://schemas.openxmlformats.org/officeDocument/2006/relationships/hyperlink" Target="https://www.youtube.com/watch?v=X1y2Cqedtmk" TargetMode="External"/><Relationship Id="rId2866" Type="http://schemas.openxmlformats.org/officeDocument/2006/relationships/hyperlink" Target="https://www.datacenterdynamics.com/en/news/aligned-files-to-extend-second-sterling-campus-in-virginia/" TargetMode="External"/><Relationship Id="rId1536" Type="http://schemas.openxmlformats.org/officeDocument/2006/relationships/hyperlink" Target="https://www.lapineoregon.gov/community/page/city-release-proposed-data-center" TargetMode="External"/><Relationship Id="rId2867" Type="http://schemas.openxmlformats.org/officeDocument/2006/relationships/hyperlink" Target="https://reparcelasmt.loudoun.gov/pt/datalets/datalet.aspx?mode=commercial&amp;UseSearch=no&amp;pin=042394385003&amp;jur=107&amp;taxyr=2025&amp;LMparent=20" TargetMode="External"/><Relationship Id="rId1537" Type="http://schemas.openxmlformats.org/officeDocument/2006/relationships/hyperlink" Target="https://www.datacenters.com/facebook-prineville" TargetMode="External"/><Relationship Id="rId2868" Type="http://schemas.openxmlformats.org/officeDocument/2006/relationships/hyperlink" Target="https://loudouncountyvaeg.tylerhost.net/prod/selfservice" TargetMode="External"/><Relationship Id="rId1538" Type="http://schemas.openxmlformats.org/officeDocument/2006/relationships/hyperlink" Target="https://www.datacenterdynamics.com/en/news/alphabet-spin-out-verrus-plans-three-building-data-center-campus-outside-portland-oregon/" TargetMode="External"/><Relationship Id="rId2869" Type="http://schemas.openxmlformats.org/officeDocument/2006/relationships/hyperlink" Target="https://reparcelasmt.loudoun.gov/pt/datalets/datalet.aspx?mode=land_summary&amp;UseSearch=no&amp;pin=030465708000&amp;jur=107&amp;taxyr=2025&amp;LMparent=20" TargetMode="External"/><Relationship Id="rId1539" Type="http://schemas.openxmlformats.org/officeDocument/2006/relationships/hyperlink" Target="https://www.datacenterdynamics.com/en/news/google-to-upgrade-its-original-data-center-in-oregon/" TargetMode="External"/><Relationship Id="rId949" Type="http://schemas.openxmlformats.org/officeDocument/2006/relationships/hyperlink" Target="https://stopthehermantowndatacenter.org/" TargetMode="External"/><Relationship Id="rId948" Type="http://schemas.openxmlformats.org/officeDocument/2006/relationships/hyperlink" Target="https://finance-commerce.com/2025/07/cannon-falls-data-center-tract-auar-review/" TargetMode="External"/><Relationship Id="rId943" Type="http://schemas.openxmlformats.org/officeDocument/2006/relationships/hyperlink" Target="https://www.kttc.com/2025/08/27/cannon-falls-explores-major-data-center-project-following-land-annexation/" TargetMode="External"/><Relationship Id="rId942" Type="http://schemas.openxmlformats.org/officeDocument/2006/relationships/hyperlink" Target="https://www.datacenterdynamics.com/en/news/amazon-web-services-suspends-plans-for-minnesota-data-center/" TargetMode="External"/><Relationship Id="rId941" Type="http://schemas.openxmlformats.org/officeDocument/2006/relationships/hyperlink" Target="https://www.fox9.com/news/amazon-becker-data-center" TargetMode="External"/><Relationship Id="rId940" Type="http://schemas.openxmlformats.org/officeDocument/2006/relationships/hyperlink" Target="https://www.msn.com/en-us/money/companies/amazon-suspends-minnesota-data-center-as-lawmakers-plan-to-reduce-big-tech-tax-breaks/ar-AA1Fj3re" TargetMode="External"/><Relationship Id="rId947" Type="http://schemas.openxmlformats.org/officeDocument/2006/relationships/hyperlink" Target="https://www.datacenterdynamics.com/en/news/officials-in-elk-river-minnesota-deny-data-center-application-consider-moratorium/" TargetMode="External"/><Relationship Id="rId946" Type="http://schemas.openxmlformats.org/officeDocument/2006/relationships/hyperlink" Target="https://www.datacenterdynamics.com/en/news/centra-breaks-ground-on-data-center-redevelopment-in-minneapolis-minnesota/" TargetMode="External"/><Relationship Id="rId945" Type="http://schemas.openxmlformats.org/officeDocument/2006/relationships/hyperlink" Target="https://www.datacenterdynamics.com/en/news/cielo-digital-infrastructure-plans-300mw-data-center-campus-in-south-carolina/" TargetMode="External"/><Relationship Id="rId944" Type="http://schemas.openxmlformats.org/officeDocument/2006/relationships/hyperlink" Target="https://finance-commerce.com/2025/07/cannon-falls-data-center-tract-auar-review/" TargetMode="External"/><Relationship Id="rId2860" Type="http://schemas.openxmlformats.org/officeDocument/2006/relationships/hyperlink" Target="https://reparcelasmt.loudoun.gov/pt/datalets/datalet.aspx?mode=profileall&amp;UseSearch=no&amp;pin=063498140000&amp;jur=107&amp;taxyr=2024&amp;LMparent=20" TargetMode="External"/><Relationship Id="rId1530" Type="http://schemas.openxmlformats.org/officeDocument/2006/relationships/hyperlink" Target="https://www.edgeconnex.com/locations/americas/portland-or/" TargetMode="External"/><Relationship Id="rId2861" Type="http://schemas.openxmlformats.org/officeDocument/2006/relationships/hyperlink" Target="https://reparcelasmt.loudoun.gov/pt/datalets/datalet.aspx?mode=profileall&amp;UseSearch=no&amp;pin=063494014000&amp;jur=107&amp;taxyr=2024&amp;LMparent=20" TargetMode="External"/><Relationship Id="rId1531" Type="http://schemas.openxmlformats.org/officeDocument/2006/relationships/hyperlink" Target="https://www.datacenterdynamics.com/en/news/data-center-developer-stack-to-expand-hillsboro-campus-by-121mw/" TargetMode="External"/><Relationship Id="rId2862" Type="http://schemas.openxmlformats.org/officeDocument/2006/relationships/hyperlink" Target="https://loudouncountyvaeg.tylerhost.net/prod/selfservice" TargetMode="External"/><Relationship Id="rId1521" Type="http://schemas.openxmlformats.org/officeDocument/2006/relationships/hyperlink" Target="https://www.datacenterdynamics.com/en/news/planning-commission-greenlights-crane-dcs-forest-grove-data-center-in-northwest-oregon-again/" TargetMode="External"/><Relationship Id="rId2852" Type="http://schemas.openxmlformats.org/officeDocument/2006/relationships/hyperlink" Target="https://reparcelasmt.loudoun.gov/pt/Datalets/Datalet.aspx?UseSearch=no&amp;mode=profileall&amp;pin=124105978000&amp;jur=107&amp;taxyr=2025" TargetMode="External"/><Relationship Id="rId1522" Type="http://schemas.openxmlformats.org/officeDocument/2006/relationships/hyperlink" Target="https://www.datacenterdynamics.com/en/news/amazon-acquires-shovel-ready-12gw-solar-and-storage-facility-in-oregon-report/" TargetMode="External"/><Relationship Id="rId2853" Type="http://schemas.openxmlformats.org/officeDocument/2006/relationships/hyperlink" Target="https://reparcelasmt.loudoun.gov/pt/Datalets/Datalet.aspx?UseSearch=no&amp;mode=profileall&amp;pin=124299328000&amp;jur=107&amp;taxyr=2024" TargetMode="External"/><Relationship Id="rId1523" Type="http://schemas.openxmlformats.org/officeDocument/2006/relationships/hyperlink" Target="https://www.oregon.gov/energy/facilities-safety/facilities/Facilities%20library/2024-05-15-ESP-ASC-Location.pdf" TargetMode="External"/><Relationship Id="rId2854" Type="http://schemas.openxmlformats.org/officeDocument/2006/relationships/hyperlink" Target="https://dgtlinfra.com/prologis-skybox-data-center-northern-virginia/" TargetMode="External"/><Relationship Id="rId1524" Type="http://schemas.openxmlformats.org/officeDocument/2006/relationships/hyperlink" Target="https://hillsboroherald.com/flexentials-new-hillsboro-6-data-center-marks-a-shift-from-jobs-to-joules/" TargetMode="External"/><Relationship Id="rId2855" Type="http://schemas.openxmlformats.org/officeDocument/2006/relationships/hyperlink" Target="https://reparcelasmt.loudoun.gov/pt/datalets/datalet.aspx?mode=profileall&amp;UseSearch=no&amp;pin=045252512000&amp;jur=107&amp;taxyr=2024&amp;LMparent=20" TargetMode="External"/><Relationship Id="rId1525" Type="http://schemas.openxmlformats.org/officeDocument/2006/relationships/hyperlink" Target="https://hillsboroherald.com/flexentials-new-hillsboro-6-data-center-marks-a-shift-from-jobs-to-joules/" TargetMode="External"/><Relationship Id="rId2856" Type="http://schemas.openxmlformats.org/officeDocument/2006/relationships/hyperlink" Target="https://www.datacenterdynamics.com/en/news/prologis-seeks-rezoning-of-land-sterling-virginia-possibly-for-data-centers/" TargetMode="External"/><Relationship Id="rId1526" Type="http://schemas.openxmlformats.org/officeDocument/2006/relationships/hyperlink" Target="https://hillsboroherald.com/flexentials-new-hillsboro-6-data-center-marks-a-shift-from-jobs-to-joules/" TargetMode="External"/><Relationship Id="rId2857" Type="http://schemas.openxmlformats.org/officeDocument/2006/relationships/hyperlink" Target="https://reparcelasmt.loudoun.gov/pt/datalets/datalet.aspx?mode=profileall&amp;UseSearch=no&amp;pin=045185843002&amp;jur=107&amp;taxyr=2024&amp;LMparent=20" TargetMode="External"/><Relationship Id="rId1527" Type="http://schemas.openxmlformats.org/officeDocument/2006/relationships/hyperlink" Target="https://hillsboroherald.com/flexentials-new-hillsboro-6-data-center-marks-a-shift-from-jobs-to-joules/" TargetMode="External"/><Relationship Id="rId2858" Type="http://schemas.openxmlformats.org/officeDocument/2006/relationships/hyperlink" Target="https://reparcelasmt.loudoun.gov/pt/datalets/datalet.aspx?mode=profileall&amp;UseSearch=no&amp;pin=045458114000&amp;jur=107&amp;taxyr=2024&amp;LMparent=20" TargetMode="External"/><Relationship Id="rId1528" Type="http://schemas.openxmlformats.org/officeDocument/2006/relationships/hyperlink" Target="https://hillsboroherald.com/flexentials-new-hillsboro-6-data-center-marks-a-shift-from-jobs-to-joules/" TargetMode="External"/><Relationship Id="rId2859" Type="http://schemas.openxmlformats.org/officeDocument/2006/relationships/hyperlink" Target="https://reparcelasmt.loudoun.gov/pt/datalets/datalet.aspx?mode=profileall&amp;UseSearch=no&amp;pin=044152877000&amp;jur=107&amp;taxyr=2024&amp;LMparent=20" TargetMode="External"/><Relationship Id="rId1529" Type="http://schemas.openxmlformats.org/officeDocument/2006/relationships/hyperlink" Target="https://hillsboroherald.com/flexentials-new-hillsboro-6-data-center-marks-a-shift-from-jobs-to-joules/" TargetMode="External"/><Relationship Id="rId939" Type="http://schemas.openxmlformats.org/officeDocument/2006/relationships/hyperlink" Target="https://www.michigandaily.com/news/news-briefs/los-alamos-confirms-umich-data-center-to-be-used-for-nuclear-weapons-research/" TargetMode="External"/><Relationship Id="rId938" Type="http://schemas.openxmlformats.org/officeDocument/2006/relationships/hyperlink" Target="https://planetdetroit.org/2025/12/university-of-michigan-data-center-funding/" TargetMode="External"/><Relationship Id="rId937" Type="http://schemas.openxmlformats.org/officeDocument/2006/relationships/hyperlink" Target="https://www.datacenterdynamics.com/en/news/opposition-calls-to-relocate-12bn-university-of-michigan-data-centers/" TargetMode="External"/><Relationship Id="rId932" Type="http://schemas.openxmlformats.org/officeDocument/2006/relationships/hyperlink" Target="https://www.datacenterdynamics.com/en/news/google-confirms-1gw-data-center-campus-near-detroit-michigan-partners-with-dte-energy-on-27gw-power-generation/" TargetMode="External"/><Relationship Id="rId931" Type="http://schemas.openxmlformats.org/officeDocument/2006/relationships/hyperlink" Target="https://planetdetroit.org/2026/03/google-dte-data-center-van-buren/" TargetMode="External"/><Relationship Id="rId930" Type="http://schemas.openxmlformats.org/officeDocument/2006/relationships/hyperlink" Target="https://planetdetroit.org/2026/02/project-cannoli-preliminary-site-plan/" TargetMode="External"/><Relationship Id="rId936" Type="http://schemas.openxmlformats.org/officeDocument/2006/relationships/hyperlink" Target="https://www.mlive.com/news/ann-arbor/2024/12/price-tag-is-12b-for-university-of-michigan-los-alamos-project-to-build-fastest-computer.html" TargetMode="External"/><Relationship Id="rId935" Type="http://schemas.openxmlformats.org/officeDocument/2006/relationships/hyperlink" Target="https://www.mlive.com/news/2025/05/protesters-disrupt-talk-on-university-of-michigans-proposed-12b-data-center.html" TargetMode="External"/><Relationship Id="rId934" Type="http://schemas.openxmlformats.org/officeDocument/2006/relationships/hyperlink" Target="https://planetdetroit.org/2025/12/washington-township-data-center-hearing/" TargetMode="External"/><Relationship Id="rId933" Type="http://schemas.openxmlformats.org/officeDocument/2006/relationships/hyperlink" Target="https://www.facebook.com/groups/1507890697089577/" TargetMode="External"/><Relationship Id="rId2850" Type="http://schemas.openxmlformats.org/officeDocument/2006/relationships/hyperlink" Target="https://reparcelasmt.loudoun.gov/pt/Datalets/Datalet.aspx?UseSearch=no&amp;mode=profileall&amp;pin=043395471000&amp;jur=107&amp;taxyr=2024" TargetMode="External"/><Relationship Id="rId1520" Type="http://schemas.openxmlformats.org/officeDocument/2006/relationships/hyperlink" Target="https://www.oregonlive.com/news/2025/07/it-blocks-out-the-sky-data-centers-big-plans-rile-neighbors-in-small-town-forest-grove.html" TargetMode="External"/><Relationship Id="rId2851" Type="http://schemas.openxmlformats.org/officeDocument/2006/relationships/hyperlink" Target="https://loudouncountyvaeg.tylerhost.net/prod/selfservice" TargetMode="External"/><Relationship Id="rId1554" Type="http://schemas.openxmlformats.org/officeDocument/2006/relationships/hyperlink" Target="https://www.msn.com/en-us/news/us/archbald-votes-no-to-new-data-center-ordinance/ar-AA1NQbGM" TargetMode="External"/><Relationship Id="rId2885" Type="http://schemas.openxmlformats.org/officeDocument/2006/relationships/hyperlink" Target="https://loudouncountyvaeg.tylerhost.net/prod/selfservice" TargetMode="External"/><Relationship Id="rId1555" Type="http://schemas.openxmlformats.org/officeDocument/2006/relationships/hyperlink" Target="https://www.thetimes-tribune.com/2025/10/31/developer-applies-for-22-more-data-center-buildings-in-archbald/" TargetMode="External"/><Relationship Id="rId2886" Type="http://schemas.openxmlformats.org/officeDocument/2006/relationships/hyperlink" Target="https://reparcelasmt.loudoun.gov/pt/Datalets/Datalet.aspx?UseSearch=no&amp;mode=profileall&amp;pin=046278993000&amp;jur=107&amp;taxyr=2025" TargetMode="External"/><Relationship Id="rId1556" Type="http://schemas.openxmlformats.org/officeDocument/2006/relationships/hyperlink" Target="https://fox56.com/news/local/archbald-residents-unite-against-unanswered-questions-on-data-centers" TargetMode="External"/><Relationship Id="rId2887" Type="http://schemas.openxmlformats.org/officeDocument/2006/relationships/hyperlink" Target="https://loudouncountyvaeg.tylerhost.net/prod/selfservice" TargetMode="External"/><Relationship Id="rId1557" Type="http://schemas.openxmlformats.org/officeDocument/2006/relationships/hyperlink" Target="https://www.thetimes-tribune.com/2025/08/19/data-center-developer-to-buy-mobile-home-park-in-archbald/" TargetMode="External"/><Relationship Id="rId2888" Type="http://schemas.openxmlformats.org/officeDocument/2006/relationships/hyperlink" Target="https://reparcelasmt.loudoun.gov/pt/datalets/datalet.aspx?mode=commercial&amp;UseSearch=no&amp;pin=046275921000&amp;jur=107&amp;taxyr=2025&amp;LMparent=20" TargetMode="External"/><Relationship Id="rId1558" Type="http://schemas.openxmlformats.org/officeDocument/2006/relationships/hyperlink" Target="https://paenvironmentdaily.blogspot.com/2025/12/dep-to-host-jan-6-public-information.html" TargetMode="External"/><Relationship Id="rId2889" Type="http://schemas.openxmlformats.org/officeDocument/2006/relationships/hyperlink" Target="https://loudouncountyvaeg.tylerhost.net/prod/selfservice" TargetMode="External"/><Relationship Id="rId1559" Type="http://schemas.openxmlformats.org/officeDocument/2006/relationships/hyperlink" Target="https://www.wvia.org/news/local/2026-05-01/fast-track-no-more-pa-kicks-archbald-data-center-campus-off-permit-program" TargetMode="External"/><Relationship Id="rId965" Type="http://schemas.openxmlformats.org/officeDocument/2006/relationships/hyperlink" Target="https://finance-commerce.com/2025/03/ryan-cos-tech-industrial-hub-pine-island/" TargetMode="External"/><Relationship Id="rId964" Type="http://schemas.openxmlformats.org/officeDocument/2006/relationships/hyperlink" Target="https://www.change.org/decision-makers/colton-wright-pine-island-city-council" TargetMode="External"/><Relationship Id="rId963" Type="http://schemas.openxmlformats.org/officeDocument/2006/relationships/hyperlink" Target="https://www.facebook.com/groups/1117176807284432/about/" TargetMode="External"/><Relationship Id="rId962" Type="http://schemas.openxmlformats.org/officeDocument/2006/relationships/hyperlink" Target="https://www.hometownsource.com/monticello_times/data-center-proposal-still-in-discovery-phase-as-key-decisions-loom/article_376c5bca-1104-47c5-8204-32de45982728.html" TargetMode="External"/><Relationship Id="rId969" Type="http://schemas.openxmlformats.org/officeDocument/2006/relationships/hyperlink" Target="https://www.datacenterdynamics.com/en/news/geronimo-power-proposes-data-center-in-nobles-county-minnesota/" TargetMode="External"/><Relationship Id="rId968" Type="http://schemas.openxmlformats.org/officeDocument/2006/relationships/hyperlink" Target="https://www.datacenterdynamics.com/en/news/google-announces-first-data-center-in-minnesota/" TargetMode="External"/><Relationship Id="rId967" Type="http://schemas.openxmlformats.org/officeDocument/2006/relationships/hyperlink" Target="https://www.kttc.com/2026/02/05/pine-island-city-council-approves-financial-incentives-data-center-project/" TargetMode="External"/><Relationship Id="rId966" Type="http://schemas.openxmlformats.org/officeDocument/2006/relationships/hyperlink" Target="https://pineislandmn.gov/vertical/sites/%7B52A5D060-3422-4069-8E86-A961C2752B7F%7D/uploads/Project_Skyway_Scoping_EAW-Appendices_2025.02.27.pdf" TargetMode="External"/><Relationship Id="rId2880" Type="http://schemas.openxmlformats.org/officeDocument/2006/relationships/hyperlink" Target="https://reparcelasmt.loudoun.gov/pt/Datalets/Datalet.aspx?UseSearch=no&amp;mode=profileall&amp;pin=033385671000&amp;jur=107&amp;taxyr=2025" TargetMode="External"/><Relationship Id="rId961" Type="http://schemas.openxmlformats.org/officeDocument/2006/relationships/hyperlink" Target="https://www.datacenterdynamics.com/en/news/two-data-center-projects-planned-for-monticello-minnesota/" TargetMode="External"/><Relationship Id="rId1550" Type="http://schemas.openxmlformats.org/officeDocument/2006/relationships/hyperlink" Target="https://www.datacenterdynamics.com/en/news/plans-for-pennsylvania-data-center-scrapped/" TargetMode="External"/><Relationship Id="rId2881" Type="http://schemas.openxmlformats.org/officeDocument/2006/relationships/hyperlink" Target="https://loudouncountyvaeg.tylerhost.net/prod/selfservice" TargetMode="External"/><Relationship Id="rId960" Type="http://schemas.openxmlformats.org/officeDocument/2006/relationships/hyperlink" Target="https://www.change.org/p/no-data-center-monticello-mn" TargetMode="External"/><Relationship Id="rId1551" Type="http://schemas.openxmlformats.org/officeDocument/2006/relationships/hyperlink" Target="https://www.thetimes-tribune.com/2025/08/19/data-center-developer-to-buy-mobile-home-park-in-archbald/" TargetMode="External"/><Relationship Id="rId2882" Type="http://schemas.openxmlformats.org/officeDocument/2006/relationships/hyperlink" Target="https://reparcelasmt.loudoun.gov/pt/Datalets/Datalet.aspx?UseSearch=no&amp;mode=profileall&amp;pin=162151929000&amp;jur=107&amp;taxyr=2024" TargetMode="External"/><Relationship Id="rId1552" Type="http://schemas.openxmlformats.org/officeDocument/2006/relationships/hyperlink" Target="https://www.datacenterdynamics.com/en/news/plans-filed-for-16-million-sq-ft-data-center-campus-in-northeast-pennsylvania/" TargetMode="External"/><Relationship Id="rId2883" Type="http://schemas.openxmlformats.org/officeDocument/2006/relationships/hyperlink" Target="https://www.datacenterdynamics.com/en/news/arep-launches-powerhouse-data-centers-plans-21-million-sq-ft-338mw-across-virginias-loudoun-county/" TargetMode="External"/><Relationship Id="rId1553" Type="http://schemas.openxmlformats.org/officeDocument/2006/relationships/hyperlink" Target="https://www.thetimes-tribune.com/2025/05/18/data-centers-could-reshape-landscape-in-nepa/" TargetMode="External"/><Relationship Id="rId2884" Type="http://schemas.openxmlformats.org/officeDocument/2006/relationships/hyperlink" Target="https://reparcelasmt.loudoun.gov/pt/Datalets/Datalet.aspx?UseSearch=no&amp;mode=profileall&amp;pin=044461959000&amp;jur=107&amp;taxyr=2024" TargetMode="External"/><Relationship Id="rId1543" Type="http://schemas.openxmlformats.org/officeDocument/2006/relationships/hyperlink" Target="https://www.change.org/p/oppose-the-atlas-data-center-south-whitehall-township-pa" TargetMode="External"/><Relationship Id="rId2874" Type="http://schemas.openxmlformats.org/officeDocument/2006/relationships/hyperlink" Target="https://www.datacenterdynamics.com/en/news/vantage-files-to-develop-second-virginia-campus-in-sterling/" TargetMode="External"/><Relationship Id="rId1544" Type="http://schemas.openxmlformats.org/officeDocument/2006/relationships/hyperlink" Target="https://www.wfmz.com/news/area/lehighvalley/lehigh-county/western-lehigh-county/plans-for-massive-new-data-center-campus-near-parkland-high-school-emerge/article_813c3592-8181-423a-a089-699018952712.html?utm_source=SND&amp;utm_medium=social&amp;utm_campaign=WFMZ-Facebook" TargetMode="External"/><Relationship Id="rId2875" Type="http://schemas.openxmlformats.org/officeDocument/2006/relationships/hyperlink" Target="https://reparcelasmt.loudoun.gov/pt/Datalets/Datalet.aspx?UseSearch=no&amp;mode=profileall&amp;pin=032155119000&amp;jur=107&amp;taxyr=2024" TargetMode="External"/><Relationship Id="rId1545" Type="http://schemas.openxmlformats.org/officeDocument/2006/relationships/hyperlink" Target="https://www.msn.com/en-us/money/news/lehigh-valley-planners-get-a-look-at-another-massive-data-center-project/ar-AA1UvwCJ" TargetMode="External"/><Relationship Id="rId2876" Type="http://schemas.openxmlformats.org/officeDocument/2006/relationships/hyperlink" Target="https://reparcelasmt.loudoun.gov/pt/datalets/datalet.aspx?mode=profileall&amp;UseSearch=no&amp;pin=044174648000&amp;jur=107&amp;taxyr=2024&amp;LMparent=20" TargetMode="External"/><Relationship Id="rId1546" Type="http://schemas.openxmlformats.org/officeDocument/2006/relationships/hyperlink" Target="https://www.mcall.com/2026/01/20/i-do-not-want-this-in-my-backyard-south-whitehall-residents-push-back-against-proposed-data-center-at-lehigh-valley-planners-meeting/" TargetMode="External"/><Relationship Id="rId2877" Type="http://schemas.openxmlformats.org/officeDocument/2006/relationships/hyperlink" Target="https://www.bizjournals.com/washington/news/2024/02/27/sterling-digital-realty-trust-western-lands-dulles.html" TargetMode="External"/><Relationship Id="rId1547" Type="http://schemas.openxmlformats.org/officeDocument/2006/relationships/hyperlink" Target="https://www.change.org/p/oppose-the-atlas-data-center-south-whitehall-township-pa" TargetMode="External"/><Relationship Id="rId2878" Type="http://schemas.openxmlformats.org/officeDocument/2006/relationships/hyperlink" Target="https://reparcelasmt.loudoun.gov/pt/datalets/datalet.aspx?mode=profileall&amp;UseSearch=no&amp;pin=093185459000&amp;jur=107&amp;taxyr=2024&amp;LMparent=20" TargetMode="External"/><Relationship Id="rId1548" Type="http://schemas.openxmlformats.org/officeDocument/2006/relationships/hyperlink" Target="https://www.datacenterdynamics.com/en/news/edged-eyes-725mw-data-center-campus-in-pennsylvania/" TargetMode="External"/><Relationship Id="rId2879" Type="http://schemas.openxmlformats.org/officeDocument/2006/relationships/hyperlink" Target="https://loudouncountyvaeg.tylerhost.net/prod/selfservice" TargetMode="External"/><Relationship Id="rId1549" Type="http://schemas.openxmlformats.org/officeDocument/2006/relationships/hyperlink" Target="https://projectatlaspa.com/" TargetMode="External"/><Relationship Id="rId959" Type="http://schemas.openxmlformats.org/officeDocument/2006/relationships/hyperlink" Target="https://www.datacenterdynamics.com/en/news/minnesota-abortion-clinic-site-set-to-be-turned-into-data-center-pro-life-memorial-held/" TargetMode="External"/><Relationship Id="rId954" Type="http://schemas.openxmlformats.org/officeDocument/2006/relationships/hyperlink" Target="https://www.duluthnewstribune.com/news/local/charged-debate-over-hermantown-data-center-draws-crowd" TargetMode="External"/><Relationship Id="rId953" Type="http://schemas.openxmlformats.org/officeDocument/2006/relationships/hyperlink" Target="https://www.fox9.com/news/hermantown-city-council-data-center" TargetMode="External"/><Relationship Id="rId952" Type="http://schemas.openxmlformats.org/officeDocument/2006/relationships/hyperlink" Target="https://hermantownmn.com/project/" TargetMode="External"/><Relationship Id="rId951" Type="http://schemas.openxmlformats.org/officeDocument/2006/relationships/hyperlink" Target="https://web.archive.org/web/20250923222004/https://www.startribune.com/northern-minnesota-mystery-project-identified-as-data-center-in-communications-to-city/601477059" TargetMode="External"/><Relationship Id="rId958" Type="http://schemas.openxmlformats.org/officeDocument/2006/relationships/hyperlink" Target="https://www.datacenterdynamics.com/en/news/google-confirms-it-is-behind-403-acre-data-center-campus-in-hermantown-minnesota/" TargetMode="External"/><Relationship Id="rId957" Type="http://schemas.openxmlformats.org/officeDocument/2006/relationships/hyperlink" Target="https://www.mprnews.org/story/2025/11/14/hermantown-data-center-developer-plans-public-meeting" TargetMode="External"/><Relationship Id="rId956" Type="http://schemas.openxmlformats.org/officeDocument/2006/relationships/hyperlink" Target="https://www.mprnews.org/story/2025/10/22/hermantown-delays-permits-for-disputed-data-center" TargetMode="External"/><Relationship Id="rId955" Type="http://schemas.openxmlformats.org/officeDocument/2006/relationships/hyperlink" Target="https://www.mprnews.org/story/2025/10/21/hermantown-data-center-moves-forward-despite-opposition" TargetMode="External"/><Relationship Id="rId950" Type="http://schemas.openxmlformats.org/officeDocument/2006/relationships/hyperlink" Target="https://www.change.org/p/stop-the-hermantown-data-center-protect-our-community-and-environment" TargetMode="External"/><Relationship Id="rId2870" Type="http://schemas.openxmlformats.org/officeDocument/2006/relationships/hyperlink" Target="https://www.datacenterdynamics.com/en/news/ta-realty-buys-data-center-zoned-land-in-sterling-virginia/" TargetMode="External"/><Relationship Id="rId1540" Type="http://schemas.openxmlformats.org/officeDocument/2006/relationships/hyperlink" Target="https://aliquippapa.gov/wp-content/uploads/2025/02/doc07611720250225144324.pdf" TargetMode="External"/><Relationship Id="rId2871" Type="http://schemas.openxmlformats.org/officeDocument/2006/relationships/hyperlink" Target="https://datacenterhawk.com/marketplace/providers/vantage-data-centers/45200-vantage-data-plaza/va11" TargetMode="External"/><Relationship Id="rId1541" Type="http://schemas.openxmlformats.org/officeDocument/2006/relationships/hyperlink" Target="https://www.datacenterknowledge.com/energy-power-supply/pennsylvania-s-70-billion-race-for-america-s-data-centers" TargetMode="External"/><Relationship Id="rId2872" Type="http://schemas.openxmlformats.org/officeDocument/2006/relationships/hyperlink" Target="https://reparcelasmt.loudoun.gov/pt/datalets/datalet.aspx?mode=profileall&amp;UseSearch=no&amp;pin=044288975001&amp;jur=107&amp;taxyr=2024&amp;LMparent=20" TargetMode="External"/><Relationship Id="rId1542" Type="http://schemas.openxmlformats.org/officeDocument/2006/relationships/hyperlink" Target="https://www.facebook.com/groups/whitehallwhiners/posts/2314717255718484/" TargetMode="External"/><Relationship Id="rId2873" Type="http://schemas.openxmlformats.org/officeDocument/2006/relationships/hyperlink" Target="https://reparcelasmt.loudoun.gov/pt/datalets/datalet.aspx?mode=profileall&amp;UseSearch=no&amp;pin=044288975002&amp;jur=107&amp;taxyr=2024&amp;LMparent=20" TargetMode="External"/><Relationship Id="rId2027" Type="http://schemas.openxmlformats.org/officeDocument/2006/relationships/hyperlink" Target="https://www.kbtx.com/2025/12/24/leon-county-bracing-1500-megawatt-data-center/" TargetMode="External"/><Relationship Id="rId2028" Type="http://schemas.openxmlformats.org/officeDocument/2006/relationships/hyperlink" Target="https://www.knowleoncounty.org/docs/Project-Kahla-Leon-County.pdf" TargetMode="External"/><Relationship Id="rId2029" Type="http://schemas.openxmlformats.org/officeDocument/2006/relationships/hyperlink" Target="https://www.datacenterdynamics.com/en/news/barrio-energy-plans-sites-for-two-10mw-data-centers-in-matagorda-county-texas/" TargetMode="External"/><Relationship Id="rId107" Type="http://schemas.openxmlformats.org/officeDocument/2006/relationships/hyperlink" Target="https://www.datacenterdynamics.com/en/news/prime-data-centers-breaks-ground-on-three-out-of-five-buildings-at-its-240mw-campus-in-phoenix-arizona/" TargetMode="External"/><Relationship Id="rId106" Type="http://schemas.openxmlformats.org/officeDocument/2006/relationships/hyperlink" Target="https://www.datacenterdynamics.com/en/news/prime-and-vantage-buy-land-phoenix-arizona/" TargetMode="External"/><Relationship Id="rId105" Type="http://schemas.openxmlformats.org/officeDocument/2006/relationships/hyperlink" Target="https://www.datacenterdynamics.com/en/news/land-developer-vermaland-plans-33bn-data-center-in-arizona/" TargetMode="External"/><Relationship Id="rId104" Type="http://schemas.openxmlformats.org/officeDocument/2006/relationships/hyperlink" Target="https://azbigmedia.com/business/33-billion-data-center-industrial-park-coming-to-pinal-county/" TargetMode="External"/><Relationship Id="rId109" Type="http://schemas.openxmlformats.org/officeDocument/2006/relationships/hyperlink" Target="https://www.datacenterdynamics.com/en/news/arizona-land-consulting-buys-land-for-potential-15gw-data-center/" TargetMode="External"/><Relationship Id="rId108" Type="http://schemas.openxmlformats.org/officeDocument/2006/relationships/hyperlink" Target="https://www.bloomberg.com/news/articles/2025-05-27/palihapitiya-buys-stake-in-arizona-property-for-data-center-bet" TargetMode="External"/><Relationship Id="rId2020" Type="http://schemas.openxmlformats.org/officeDocument/2006/relationships/hyperlink" Target="https://www.datacenterdynamics.com/en/news/data-center-to-be-built-in-lueders-texas/" TargetMode="External"/><Relationship Id="rId2021" Type="http://schemas.openxmlformats.org/officeDocument/2006/relationships/hyperlink" Target="https://www.datacenterdynamics.com/en/news/hyperdatagrid-eyes-data-center-outside-lufkin-texas/" TargetMode="External"/><Relationship Id="rId2022" Type="http://schemas.openxmlformats.org/officeDocument/2006/relationships/hyperlink" Target="https://lufkindailynews.com/news/local/ai-data-center-planned-on-1-000-acres-at-former-southland-paper-mill-site/article_ff9e97bf-361d-5649-835b-68a75818bd94.html" TargetMode="External"/><Relationship Id="rId103" Type="http://schemas.openxmlformats.org/officeDocument/2006/relationships/hyperlink" Target="https://www.azcentral.com/story/news/local/pinal/2025/07/30/developer-plans-33-billion-data-center-in-pinal-county/85381868007/" TargetMode="External"/><Relationship Id="rId2023" Type="http://schemas.openxmlformats.org/officeDocument/2006/relationships/hyperlink" Target="https://www.datacenterdynamics.com/en/news/multi-gigawatt-data-center-campus-planned-in-east-texas/" TargetMode="External"/><Relationship Id="rId102" Type="http://schemas.openxmlformats.org/officeDocument/2006/relationships/hyperlink" Target="https://www.bizjournals.com/phoenix/news/2025/08/01/vermaland-proposed-pinal-county-data-center.html" TargetMode="External"/><Relationship Id="rId2024" Type="http://schemas.openxmlformats.org/officeDocument/2006/relationships/hyperlink" Target="https://www.datacenterdynamics.com/en/news/rowan-secures-500m-for-300mw-texas-data-center-project/" TargetMode="External"/><Relationship Id="rId101" Type="http://schemas.openxmlformats.org/officeDocument/2006/relationships/hyperlink" Target="https://menlo-digital.com/portfolio/md-phx1-phoenix/" TargetMode="External"/><Relationship Id="rId2025" Type="http://schemas.openxmlformats.org/officeDocument/2006/relationships/hyperlink" Target="https://www.datacentermap.com/usa/texas/san-antonio/rowan-cinco/" TargetMode="External"/><Relationship Id="rId100" Type="http://schemas.openxmlformats.org/officeDocument/2006/relationships/hyperlink" Target="https://www.datacenterdynamics.com/en/news/menlo-equities-plans-five-building-data-center-campus-in-phoenix-arizona/" TargetMode="External"/><Relationship Id="rId2026" Type="http://schemas.openxmlformats.org/officeDocument/2006/relationships/hyperlink" Target="https://www.datacenterdynamics.com/en/news/legacy-investing-eyes-50mw-data-center-outside-san-antonio-texas/" TargetMode="External"/><Relationship Id="rId2016" Type="http://schemas.openxmlformats.org/officeDocument/2006/relationships/hyperlink" Target="https://www.datacenterdynamics.com/en/news/qts-files-to-add-another-building-to-wilmer-data-center-campus-texas/" TargetMode="External"/><Relationship Id="rId2017" Type="http://schemas.openxmlformats.org/officeDocument/2006/relationships/hyperlink" Target="https://www.datacenterdynamics.com/en/news/medical-equipment-manufacturer-pivots-chemical-plant-to-data-center-and-manufacturing-campus/" TargetMode="External"/><Relationship Id="rId2018" Type="http://schemas.openxmlformats.org/officeDocument/2006/relationships/hyperlink" Target="https://www.tract.com/project/caldwellvalley/" TargetMode="External"/><Relationship Id="rId2019" Type="http://schemas.openxmlformats.org/officeDocument/2006/relationships/hyperlink" Target="https://www.datacenterdynamics.com/en/news/tract-expands-austin-data-center-park-to-3000-acres/" TargetMode="External"/><Relationship Id="rId2010" Type="http://schemas.openxmlformats.org/officeDocument/2006/relationships/hyperlink" Target="https://www.datacenterdynamics.com/en/news/infrakey-city-of-lacy-lakeview-unveil-925mw-data-center-district-in-mclennan-county-texas/" TargetMode="External"/><Relationship Id="rId2011" Type="http://schemas.openxmlformats.org/officeDocument/2006/relationships/hyperlink" Target="https://www.datacenterdynamics.com/en/news/yondr-expands-into-texas-plans-550mw-data-center-in-dallas/" TargetMode="External"/><Relationship Id="rId2012" Type="http://schemas.openxmlformats.org/officeDocument/2006/relationships/hyperlink" Target="https://comptroller.texas.gov/taxes/data-centers/data-center-lists.php" TargetMode="External"/><Relationship Id="rId2013" Type="http://schemas.openxmlformats.org/officeDocument/2006/relationships/hyperlink" Target="https://baxtel.com/data-center/skybox-powercampus-dallas" TargetMode="External"/><Relationship Id="rId2014" Type="http://schemas.openxmlformats.org/officeDocument/2006/relationships/hyperlink" Target="https://www.datacenterdynamics.com/en/news/large-data-center-campus-proposed-in-lancaster-area-of-dallas-texas/" TargetMode="External"/><Relationship Id="rId2015" Type="http://schemas.openxmlformats.org/officeDocument/2006/relationships/hyperlink" Target="https://www.datacenterdynamics.com/en/news/large-data-center-campus-proposed-in-lancaster-area-of-dallas-texas/" TargetMode="External"/><Relationship Id="rId2049" Type="http://schemas.openxmlformats.org/officeDocument/2006/relationships/hyperlink" Target="https://www.datacenterdynamics.com/en/news/cielo-digital-infrastructure-plans-300mw-data-center-campus-in-south-carolina/" TargetMode="External"/><Relationship Id="rId129" Type="http://schemas.openxmlformats.org/officeDocument/2006/relationships/hyperlink" Target="https://www.facebook.com/profile.php?id=61585975718358" TargetMode="External"/><Relationship Id="rId128" Type="http://schemas.openxmlformats.org/officeDocument/2006/relationships/hyperlink" Target="https://www.instagram.com/stopgilroydatacenternow/?hl=en" TargetMode="External"/><Relationship Id="rId127" Type="http://schemas.openxmlformats.org/officeDocument/2006/relationships/hyperlink" Target="https://www.datacenterdynamics.com/en/news/developer-withdraws-plan-to-replace-hotel-with-data-center-in-el-segundo-california/" TargetMode="External"/><Relationship Id="rId126" Type="http://schemas.openxmlformats.org/officeDocument/2006/relationships/hyperlink" Target="https://www.datacenterdynamics.com/en/news/us-department-of-the-air-force-accepting-proposals-for-ai-data-centers-in-military-bases/" TargetMode="External"/><Relationship Id="rId2040" Type="http://schemas.openxmlformats.org/officeDocument/2006/relationships/hyperlink" Target="https://www.mrt.com/business/article/midland-data-centers-320-acres-21049718.php" TargetMode="External"/><Relationship Id="rId121" Type="http://schemas.openxmlformats.org/officeDocument/2006/relationships/hyperlink" Target="https://www.datacenterdynamics.com/en/news/160-acre-project-baccara-is-recommended-for-approval-in-maricopa-county-arizona/" TargetMode="External"/><Relationship Id="rId2041" Type="http://schemas.openxmlformats.org/officeDocument/2006/relationships/hyperlink" Target="https://www.powerhousedata.com/data-center/powerhouse-grand-prairie" TargetMode="External"/><Relationship Id="rId120" Type="http://schemas.openxmlformats.org/officeDocument/2006/relationships/hyperlink" Target="https://www.datacenterdynamics.com/en/news/two-data-center-projects-proposed-near-phoenix-arizona/" TargetMode="External"/><Relationship Id="rId2042" Type="http://schemas.openxmlformats.org/officeDocument/2006/relationships/hyperlink" Target="https://www.tdlr.texas.gov/TABS/Projects/TABS2026016734" TargetMode="External"/><Relationship Id="rId2043" Type="http://schemas.openxmlformats.org/officeDocument/2006/relationships/hyperlink" Target="https://baxtel.com/news/texas-critical-data-centers-signs-mou-for-ai-data-center" TargetMode="External"/><Relationship Id="rId2044" Type="http://schemas.openxmlformats.org/officeDocument/2006/relationships/hyperlink" Target="https://finance.yahoo.com/news/north-texas-city-earmarked-nearly-220200323.html" TargetMode="External"/><Relationship Id="rId125" Type="http://schemas.openxmlformats.org/officeDocument/2006/relationships/hyperlink" Target="https://www.businessinsider.com/coachella-considers-halting-a-major-data-center-project-amid-protests-2026-5?utm_campaign=inventions-link-post&amp;utm_medium=social&amp;utm_source=facebook" TargetMode="External"/><Relationship Id="rId2045" Type="http://schemas.openxmlformats.org/officeDocument/2006/relationships/hyperlink" Target="https://www.datacenterdynamics.com/en/news/google-files-for-fifth-data-center-at-midlothian-campus-in-texas/" TargetMode="External"/><Relationship Id="rId124" Type="http://schemas.openxmlformats.org/officeDocument/2006/relationships/hyperlink" Target="https://www.datacenterdynamics.com/en/news/600mw-data-center-could-be-built-in-coachella-california/" TargetMode="External"/><Relationship Id="rId2046" Type="http://schemas.openxmlformats.org/officeDocument/2006/relationships/hyperlink" Target="https://www.datacenterdynamics.com/en/news/google-is-behind-500m-sharka-data-center-in-midlothian-texas/" TargetMode="External"/><Relationship Id="rId123" Type="http://schemas.openxmlformats.org/officeDocument/2006/relationships/hyperlink" Target="https://www.change.org/p/stop-the-proposed-coachella-data-center-project" TargetMode="External"/><Relationship Id="rId2047" Type="http://schemas.openxmlformats.org/officeDocument/2006/relationships/hyperlink" Target="https://www.energy.gov/policy/articles/first-made-usa-solar-plant-set-power-google-data-centers-boosting-local-economy-and" TargetMode="External"/><Relationship Id="rId122" Type="http://schemas.openxmlformats.org/officeDocument/2006/relationships/hyperlink" Target="https://www.datacenterdynamics.com/en/news/proposed-data-center-scaled-down-amid-environmental-concerns-near-san-francisco-california/" TargetMode="External"/><Relationship Id="rId2048" Type="http://schemas.openxmlformats.org/officeDocument/2006/relationships/hyperlink" Target="https://www.bizjournals.com/austin/news/2025/05/12/sb-energy-milam-county-data-center-orion-solar.html" TargetMode="External"/><Relationship Id="rId2038" Type="http://schemas.openxmlformats.org/officeDocument/2006/relationships/hyperlink" Target="https://www.zabalist.com/projects/TABS2026011989" TargetMode="External"/><Relationship Id="rId2039" Type="http://schemas.openxmlformats.org/officeDocument/2006/relationships/hyperlink" Target="https://www.tdlr.texas.gov/TABS/Search/Project/TABS2026011989" TargetMode="External"/><Relationship Id="rId118" Type="http://schemas.openxmlformats.org/officeDocument/2006/relationships/hyperlink" Target="https://www.datacenterdynamics.com/en/news/aligned-breaks-ground-on-data-center-in-phoenix-arizona/" TargetMode="External"/><Relationship Id="rId117" Type="http://schemas.openxmlformats.org/officeDocument/2006/relationships/hyperlink" Target="https://news.azpm.org/p/azpmnews/2026/5/28/229919-arizona-water-officials-approve-wells-tied-to-project-blue-data-center/" TargetMode="External"/><Relationship Id="rId116" Type="http://schemas.openxmlformats.org/officeDocument/2006/relationships/hyperlink" Target="https://www.kgun9.com/news/local-news/project-blue-moves-to-build-despite-opposition" TargetMode="External"/><Relationship Id="rId115" Type="http://schemas.openxmlformats.org/officeDocument/2006/relationships/hyperlink" Target="https://apnews.com/article/tucson-data-management-and-storage-arizona-general-news-environmental-conservation-42c1e554b02b4293685a08a4574db9f0" TargetMode="External"/><Relationship Id="rId119" Type="http://schemas.openxmlformats.org/officeDocument/2006/relationships/hyperlink" Target="https://www.facebook.com/groups/1067323452056728/" TargetMode="External"/><Relationship Id="rId110" Type="http://schemas.openxmlformats.org/officeDocument/2006/relationships/hyperlink" Target="https://www.datacenterdynamics.com/en/news/us-department-of-the-air-force-accepting-proposals-for-ai-data-centers-in-military-bases/" TargetMode="External"/><Relationship Id="rId2030" Type="http://schemas.openxmlformats.org/officeDocument/2006/relationships/hyperlink" Target="https://www.wjbf.com/business/press-releases/cision/20250813DA50630/barrio-energy-announces-two-new-10mw-data-center-developments-in-matagorda-county-tx/" TargetMode="External"/><Relationship Id="rId2031" Type="http://schemas.openxmlformats.org/officeDocument/2006/relationships/hyperlink" Target="https://www.datacenterdynamics.com/en/news/edged-files-to-develop-2-million-sq-ft-data-center-campus-outside-austin-texas/" TargetMode="External"/><Relationship Id="rId2032" Type="http://schemas.openxmlformats.org/officeDocument/2006/relationships/hyperlink" Target="https://www.datacenterdynamics.com/en/news/prime-files-to-build-two-data-centers-outside-austin-texas/" TargetMode="External"/><Relationship Id="rId2033" Type="http://schemas.openxmlformats.org/officeDocument/2006/relationships/hyperlink" Target="https://www.mysanantonio.com/business/article/1547-mctx1-data-center-mcallen-20802823.php" TargetMode="External"/><Relationship Id="rId114" Type="http://schemas.openxmlformats.org/officeDocument/2006/relationships/hyperlink" Target="https://www.foxbusiness.com/economy/arizona-city-defeats-massive-data-center-project-over-water-energy-concerns" TargetMode="External"/><Relationship Id="rId2034" Type="http://schemas.openxmlformats.org/officeDocument/2006/relationships/hyperlink" Target="https://www.datacenterdynamics.com/en/news/galaxy-digital-eyes-second-texas-data-center-site-buys-land-outside-waco/" TargetMode="External"/><Relationship Id="rId113" Type="http://schemas.openxmlformats.org/officeDocument/2006/relationships/hyperlink" Target="https://www.datacenterdynamics.com/en/news/amazon-named-as-company-behind-290-acre-data-center-campus-in-tuscson-arizona/" TargetMode="External"/><Relationship Id="rId2035" Type="http://schemas.openxmlformats.org/officeDocument/2006/relationships/hyperlink" Target="https://gis-tceq.opendata.arcgis.com/datasets/daece6e3181140f69093ab69cf9ae0ba/explore?layer=0&amp;showTable=true" TargetMode="External"/><Relationship Id="rId112" Type="http://schemas.openxmlformats.org/officeDocument/2006/relationships/hyperlink" Target="https://www.datacenterdynamics.com/en/news/arizona-land-parcel-rezoned-and-sold-to-develop-project-blue-data-center/" TargetMode="External"/><Relationship Id="rId2036" Type="http://schemas.openxmlformats.org/officeDocument/2006/relationships/hyperlink" Target="https://www.datacenterdynamics.com/en/news/microsoft-to-invest-52m-in-data-centers-in-medina-texas/" TargetMode="External"/><Relationship Id="rId111" Type="http://schemas.openxmlformats.org/officeDocument/2006/relationships/hyperlink" Target="https://www.datacenterdynamics.com/en/news/eia-retired-military-jet-engines-could-be-repurposed-to-power-data-centers/" TargetMode="External"/><Relationship Id="rId2037" Type="http://schemas.openxmlformats.org/officeDocument/2006/relationships/hyperlink" Target="https://www.datacenterdynamics.com/en/news/intersect-is-being-acquired-by-googles-parent-company-alphabet/" TargetMode="External"/><Relationship Id="rId2005" Type="http://schemas.openxmlformats.org/officeDocument/2006/relationships/hyperlink" Target="https://www.youtube.com/watch?v=a89iVxblu9I" TargetMode="External"/><Relationship Id="rId2006" Type="http://schemas.openxmlformats.org/officeDocument/2006/relationships/hyperlink" Target="https://www.datacenterdynamics.com/en/news/30m-data-center-near-austin-texas-fails-to-get-recommendation-for-approval-from-pz-commission/" TargetMode="External"/><Relationship Id="rId2007" Type="http://schemas.openxmlformats.org/officeDocument/2006/relationships/hyperlink" Target="https://www.kxxv.com/news/local-news/in-your-neighborhood/we-dont-want-this-lacy-lakeview-approves-data-center-agreement-despite-neighbors-opposition" TargetMode="External"/><Relationship Id="rId2008" Type="http://schemas.openxmlformats.org/officeDocument/2006/relationships/hyperlink" Target="https://www.change.org/p/stop-infrakey-data-center-from-building-in-lacy-lakeview" TargetMode="External"/><Relationship Id="rId2009" Type="http://schemas.openxmlformats.org/officeDocument/2006/relationships/hyperlink" Target="https://www.datacenterdynamics.com/en/news/10bn-data-center-project-recieves-approval-in-lacy-lakeview-texas/" TargetMode="External"/><Relationship Id="rId2000" Type="http://schemas.openxmlformats.org/officeDocument/2006/relationships/hyperlink" Target="https://www.bizjournals.com/austin/news/2025/08/27/data-center-jarrell-austin-development-power-water.html" TargetMode="External"/><Relationship Id="rId2001" Type="http://schemas.openxmlformats.org/officeDocument/2006/relationships/hyperlink" Target="https://elementcritical.com/data-centers/houston-data-center/" TargetMode="External"/><Relationship Id="rId2002" Type="http://schemas.openxmlformats.org/officeDocument/2006/relationships/hyperlink" Target="https://www.prnewswire.com/news-releases/element-critical-adds-10mw-of-ai-ready-capacity-at-houston-one-campus-302619374.html" TargetMode="External"/><Relationship Id="rId2003" Type="http://schemas.openxmlformats.org/officeDocument/2006/relationships/hyperlink" Target="https://kdhnews.com/news/local/killeen-planning-and-zoning-commission-to-consider-approving-data-center-in-south-killeen/article_5539153b-752e-4def-9ab1-bf4cc7ad9e46.html" TargetMode="External"/><Relationship Id="rId2004" Type="http://schemas.openxmlformats.org/officeDocument/2006/relationships/hyperlink" Target="https://www.kcentv.com/video/news/local/killeen-planning-commission-rejects-30m-data-center-project/500-8b6dcb99-d07d-4d47-ba71-43d10e942a01" TargetMode="External"/><Relationship Id="rId2090" Type="http://schemas.openxmlformats.org/officeDocument/2006/relationships/hyperlink" Target="https://www.datacenterdynamics.com/en/news/aws-rockfish-planning-documents-reveal-three-amazon-data-centers-in-texas/" TargetMode="External"/><Relationship Id="rId2091" Type="http://schemas.openxmlformats.org/officeDocument/2006/relationships/hyperlink" Target="https://www.tdlr.texas.gov/TABS/Search/Project/TABS2021003294" TargetMode="External"/><Relationship Id="rId2092" Type="http://schemas.openxmlformats.org/officeDocument/2006/relationships/hyperlink" Target="https://www.datacenterdynamics.com/en/news/aws-rockfish-planning-documents-reveal-three-amazon-data-centers-in-texas/" TargetMode="External"/><Relationship Id="rId2093" Type="http://schemas.openxmlformats.org/officeDocument/2006/relationships/hyperlink" Target="https://www.datacenterdynamics.com/en/news/aws-rockfish-planning-documents-reveal-three-amazon-data-centers-in-texas/" TargetMode="External"/><Relationship Id="rId2094" Type="http://schemas.openxmlformats.org/officeDocument/2006/relationships/hyperlink" Target="https://gis-tceq.opendata.arcgis.com/datasets/daece6e3181140f69093ab69cf9ae0ba/explore?layer=0&amp;showTable=true" TargetMode="External"/><Relationship Id="rId2095" Type="http://schemas.openxmlformats.org/officeDocument/2006/relationships/hyperlink" Target="https://gis-tceq.opendata.arcgis.com/datasets/daece6e3181140f69093ab69cf9ae0ba/explore?layer=0&amp;showTable=true" TargetMode="External"/><Relationship Id="rId2096" Type="http://schemas.openxmlformats.org/officeDocument/2006/relationships/hyperlink" Target="https://www.expressnews.com/business/article/san-antonio-microsoft-west-side-data-centers-21061920.php" TargetMode="External"/><Relationship Id="rId2097" Type="http://schemas.openxmlformats.org/officeDocument/2006/relationships/hyperlink" Target="https://www.datacenterdynamics.com/en/news/vantage-buys-two-land-plots-in-san-antonio-texas/" TargetMode="External"/><Relationship Id="rId2098" Type="http://schemas.openxmlformats.org/officeDocument/2006/relationships/hyperlink" Target="https://www.datacenterdynamics.com/en/news/microsoft-planning-another-data-center-in-san-antonio-texas/" TargetMode="External"/><Relationship Id="rId2099" Type="http://schemas.openxmlformats.org/officeDocument/2006/relationships/hyperlink" Target="https://www.datacenterdynamics.com/en/news/vantage-buys-two-land-plots-in-san-antonio-texas/" TargetMode="External"/><Relationship Id="rId2060" Type="http://schemas.openxmlformats.org/officeDocument/2006/relationships/hyperlink" Target="https://www.datacenterdynamics.com/en/news/soluna-to-develop-two-new-data-centers-in-texas-with-a-combined-capacity-of-350mw/" TargetMode="External"/><Relationship Id="rId2061" Type="http://schemas.openxmlformats.org/officeDocument/2006/relationships/hyperlink" Target="https://www.datacenterdynamics.com/en/news/core-scientific-secures-300mw-capacity-at-pecos-data-center-in-texas-looks-to-behind-the-meter-power/" TargetMode="External"/><Relationship Id="rId2062" Type="http://schemas.openxmlformats.org/officeDocument/2006/relationships/hyperlink" Target="https://www.datacenterdynamics.com/en/news/pacifico-energy-unveils-5gw-offgrid-natural-gas-project-in-texas-slated-to-serve-a-hyperscale-data-center/" TargetMode="External"/><Relationship Id="rId2063" Type="http://schemas.openxmlformats.org/officeDocument/2006/relationships/hyperlink" Target="https://www.pacificoenergy.com/gw-ranch" TargetMode="External"/><Relationship Id="rId2064" Type="http://schemas.openxmlformats.org/officeDocument/2006/relationships/hyperlink" Target="https://finance.yahoo.com/news/pacifico-energy-secures-7-65-120000106.html" TargetMode="External"/><Relationship Id="rId2065" Type="http://schemas.openxmlformats.org/officeDocument/2006/relationships/hyperlink" Target="https://www.tdlr.texas.gov/TABS/Search/Project/TABS2024016342" TargetMode="External"/><Relationship Id="rId2066" Type="http://schemas.openxmlformats.org/officeDocument/2006/relationships/hyperlink" Target="https://www.mysanantonio.com/business/article/skybox-datacenter-hutto-pflugerville-19411678.php" TargetMode="External"/><Relationship Id="rId2067" Type="http://schemas.openxmlformats.org/officeDocument/2006/relationships/hyperlink" Target="https://www.datacenterdynamics.com/en/news/powered-land-company-cloverleaf-proposing-633-acre-data-center-in-canadian-county-oklahoma/" TargetMode="External"/><Relationship Id="rId2068" Type="http://schemas.openxmlformats.org/officeDocument/2006/relationships/hyperlink" Target="https://www.datacenterdynamics.com/en/news/aligned-announces-second-data-center-at-plano-campus-in-texas/" TargetMode="External"/><Relationship Id="rId2069" Type="http://schemas.openxmlformats.org/officeDocument/2006/relationships/hyperlink" Target="https://comptroller.texas.gov/taxes/data-centers/data-center-lists.php" TargetMode="External"/><Relationship Id="rId2050" Type="http://schemas.openxmlformats.org/officeDocument/2006/relationships/hyperlink" Target="https://www.datacenterdynamics.com/en/news/soluna-to-develop-two-new-data-centers-in-texas-with-a-combined-capacity-of-350mw/" TargetMode="External"/><Relationship Id="rId2051" Type="http://schemas.openxmlformats.org/officeDocument/2006/relationships/hyperlink" Target="https://www.datacenterdynamics.com/en/news/soluna-to-develop-two-new-data-centers-in-texas-with-a-combined-capacity-of-350mw/" TargetMode="External"/><Relationship Id="rId2052" Type="http://schemas.openxmlformats.org/officeDocument/2006/relationships/hyperlink" Target="https://www.solunacomputing.com/news/project-hedy-term-sheet/" TargetMode="External"/><Relationship Id="rId2053" Type="http://schemas.openxmlformats.org/officeDocument/2006/relationships/hyperlink" Target="https://www.datacenterdynamics.com/en/news/soluna-to-develop-two-new-data-centers-in-texas-with-a-combined-capacity-of-350mw/" TargetMode="External"/><Relationship Id="rId2054" Type="http://schemas.openxmlformats.org/officeDocument/2006/relationships/hyperlink" Target="https://www.datacenterdynamics.com/en/news/soluna-to-develop-two-new-data-centers-in-texas-with-a-combined-capacity-of-350mw/" TargetMode="External"/><Relationship Id="rId2055" Type="http://schemas.openxmlformats.org/officeDocument/2006/relationships/hyperlink" Target="https://www.yahoo.com/news/hays-county-says-ai-data-231555198.html" TargetMode="External"/><Relationship Id="rId2056" Type="http://schemas.openxmlformats.org/officeDocument/2006/relationships/hyperlink" Target="https://www.facebook.com/statesman/posts/hays-county-residents-packed-a-courtroom-tuesday-to-hear-some-of-the-first-infor/1112782817556071/" TargetMode="External"/><Relationship Id="rId2057" Type="http://schemas.openxmlformats.org/officeDocument/2006/relationships/hyperlink" Target="https://www.kut.org/energy-environment/2025-06-04/hays-county-texas-data-center-ai" TargetMode="External"/><Relationship Id="rId2058" Type="http://schemas.openxmlformats.org/officeDocument/2006/relationships/hyperlink" Target="https://www.datacenterdynamics.com/en/news/apr-energy-obtains-approval-for-800-acre-natural-gas-powered-data-center-in-pampa-texas/" TargetMode="External"/><Relationship Id="rId2059" Type="http://schemas.openxmlformats.org/officeDocument/2006/relationships/hyperlink" Target="https://www.monarchprivate.com/impact-investing-projects/view/tyson-nick-solar/" TargetMode="External"/><Relationship Id="rId2080" Type="http://schemas.openxmlformats.org/officeDocument/2006/relationships/hyperlink" Target="https://www.tdlr.texas.gov/TABS/Search/Project/TABS2020019741" TargetMode="External"/><Relationship Id="rId2081" Type="http://schemas.openxmlformats.org/officeDocument/2006/relationships/hyperlink" Target="https://www.datacenterdynamics.com/en/news/prime-and-vantage-buy-land-phoenix-arizona/" TargetMode="External"/><Relationship Id="rId2082" Type="http://schemas.openxmlformats.org/officeDocument/2006/relationships/hyperlink" Target="https://www.datacenterdynamics.com/en/news/cipher-looks-to-build-500mw-campus-near-coal-plant-outside-waco-texas/" TargetMode="External"/><Relationship Id="rId2083" Type="http://schemas.openxmlformats.org/officeDocument/2006/relationships/hyperlink" Target="https://gis-tceq.opendata.arcgis.com/datasets/daece6e3181140f69093ab69cf9ae0ba/explore?layer=0&amp;showTable=true" TargetMode="External"/><Relationship Id="rId2084" Type="http://schemas.openxmlformats.org/officeDocument/2006/relationships/hyperlink" Target="https://www.datacenterdynamics.com/en/news/hut-8-signs-352mw-data-center-lease-in-texas-with-investment-grade-tenant/" TargetMode="External"/><Relationship Id="rId2085" Type="http://schemas.openxmlformats.org/officeDocument/2006/relationships/hyperlink" Target="https://protectroundrock.org/" TargetMode="External"/><Relationship Id="rId2086" Type="http://schemas.openxmlformats.org/officeDocument/2006/relationships/hyperlink" Target="https://www.roundrocktexas.gov/city-departments/administration/data-centers-in-round-rock/" TargetMode="External"/><Relationship Id="rId2087" Type="http://schemas.openxmlformats.org/officeDocument/2006/relationships/hyperlink" Target="https://cbsaustin.com/news/local/round-rock-council-hears-hours-of-testimony-thursday-on-skybox-rezoning-plan" TargetMode="External"/><Relationship Id="rId2088" Type="http://schemas.openxmlformats.org/officeDocument/2006/relationships/hyperlink" Target="https://www.datacenterdynamics.com/en/news/skybox-eyes-six-building-data-center-campus-in-san-angelo-texas/" TargetMode="External"/><Relationship Id="rId2089" Type="http://schemas.openxmlformats.org/officeDocument/2006/relationships/hyperlink" Target="https://www.datacenterdynamics.com/en/news/aws-files-to-develop-data-centers-in-san-antonio-texas/" TargetMode="External"/><Relationship Id="rId2070" Type="http://schemas.openxmlformats.org/officeDocument/2006/relationships/hyperlink" Target="https://itbrief.news/story/aligned-lambda-join-forces-on-ai-ready-data-centre-in-texas" TargetMode="External"/><Relationship Id="rId2071" Type="http://schemas.openxmlformats.org/officeDocument/2006/relationships/hyperlink" Target="https://www.datacenterdynamics.com/en/news/lambda-cloud-to-take-capacity-at-aligneds-dfw-04-dallas-fort-worth-data-center/" TargetMode="External"/><Relationship Id="rId2072" Type="http://schemas.openxmlformats.org/officeDocument/2006/relationships/hyperlink" Target="https://aligneddc.com/dallas/" TargetMode="External"/><Relationship Id="rId2073" Type="http://schemas.openxmlformats.org/officeDocument/2006/relationships/hyperlink" Target="https://genesisdigitalassets.com/our-work-and-impact/" TargetMode="External"/><Relationship Id="rId2074" Type="http://schemas.openxmlformats.org/officeDocument/2006/relationships/hyperlink" Target="https://www.datacenterdynamics.com/en/news/core-scientific-buys-land-outside-dallas-texas-for-285mw-data-center-campus/" TargetMode="External"/><Relationship Id="rId2075" Type="http://schemas.openxmlformats.org/officeDocument/2006/relationships/hyperlink" Target="https://www.datacenterdynamics.com/en/news/databank-files-to-develop-two-more-data-centers-at-upcoming-red-oak-texas-campus/" TargetMode="External"/><Relationship Id="rId2076" Type="http://schemas.openxmlformats.org/officeDocument/2006/relationships/hyperlink" Target="https://www.datacenterdynamics.com/en/news/google-announces-plans-for-red-oak-data-center-campus-in-texas/" TargetMode="External"/><Relationship Id="rId2077" Type="http://schemas.openxmlformats.org/officeDocument/2006/relationships/hyperlink" Target="https://comptroller.texas.gov/taxes/data-centers/data-center-lists.php" TargetMode="External"/><Relationship Id="rId2078" Type="http://schemas.openxmlformats.org/officeDocument/2006/relationships/hyperlink" Target="https://baxtel.com/data-center/google-red-oak-tx" TargetMode="External"/><Relationship Id="rId2079" Type="http://schemas.openxmlformats.org/officeDocument/2006/relationships/hyperlink" Target="https://www.datacenterdynamics.com/en/news/compass-buys-land-second-dallas-campus/" TargetMode="External"/><Relationship Id="rId2940" Type="http://schemas.openxmlformats.org/officeDocument/2006/relationships/hyperlink" Target="https://www.datacenterdynamics.com/en/news/h5-acquires-new-york-data-centers-from-yahoo-in-sale-leaseback-deal/" TargetMode="External"/><Relationship Id="rId1610" Type="http://schemas.openxmlformats.org/officeDocument/2006/relationships/hyperlink" Target="https://datacenterwatch.substack.com/p/briefing-11212025" TargetMode="External"/><Relationship Id="rId2941" Type="http://schemas.openxmlformats.org/officeDocument/2006/relationships/hyperlink" Target="https://www.datacenterdynamics.com/en/news/six-building-data-center-campus-proposed-in-washington-by-fertilizer-company/" TargetMode="External"/><Relationship Id="rId1611" Type="http://schemas.openxmlformats.org/officeDocument/2006/relationships/hyperlink" Target="https://www.datacenterdynamics.com/en/news/energy-capital-partners-announces-plans-for-5bn-pennsylvania-data-center/" TargetMode="External"/><Relationship Id="rId2942" Type="http://schemas.openxmlformats.org/officeDocument/2006/relationships/hyperlink" Target="https://www.datacenterdynamics.com/en/news/digital-realty-plans-data-center-in-seattle-washington/" TargetMode="External"/><Relationship Id="rId1612" Type="http://schemas.openxmlformats.org/officeDocument/2006/relationships/hyperlink" Target="https://www.yorkdispatch.com/story/news/local/2025/07/18/york-county-to-host-5-billion-data-center-in-peach-bottom/85270282007/" TargetMode="External"/><Relationship Id="rId2943" Type="http://schemas.openxmlformats.org/officeDocument/2006/relationships/hyperlink" Target="https://www.datacenterdynamics.com/en/news/digital-realty-plans-data-center-in-seattle-washington/" TargetMode="External"/><Relationship Id="rId1613" Type="http://schemas.openxmlformats.org/officeDocument/2006/relationships/hyperlink" Target="https://www.datacenterdynamics.com/en/news/developer-may-build-data-center-instead-of-warehouse-in-perry-county-pennsylvania/" TargetMode="External"/><Relationship Id="rId2944" Type="http://schemas.openxmlformats.org/officeDocument/2006/relationships/hyperlink" Target="https://www.edgeconnex.com/locations/americas/seattle-wa/" TargetMode="External"/><Relationship Id="rId1614" Type="http://schemas.openxmlformats.org/officeDocument/2006/relationships/hyperlink" Target="https://www.change.org/p/stop-the-massive-data-center-in-east-stroudsburg-pa" TargetMode="External"/><Relationship Id="rId2945" Type="http://schemas.openxmlformats.org/officeDocument/2006/relationships/hyperlink" Target="https://www.datacenterdynamics.com/en/news/20mw-data-center-proposed-in-starbucks-seattle-hq-building-in-washington/" TargetMode="External"/><Relationship Id="rId1615" Type="http://schemas.openxmlformats.org/officeDocument/2006/relationships/hyperlink" Target="https://www.datacenterdynamics.com/en/news/data-center-could-come-to-stroudsburg-pennsylvania/" TargetMode="External"/><Relationship Id="rId2946" Type="http://schemas.openxmlformats.org/officeDocument/2006/relationships/hyperlink" Target="https://www.facebook.com/groups/24901633966193019" TargetMode="External"/><Relationship Id="rId1616" Type="http://schemas.openxmlformats.org/officeDocument/2006/relationships/hyperlink" Target="https://smithfieldtownship.com/odp/gatewaysketch/" TargetMode="External"/><Relationship Id="rId2947" Type="http://schemas.openxmlformats.org/officeDocument/2006/relationships/hyperlink" Target="https://www.datacenterdynamics.com/en/news/520-acre-data-center-campus-planned-in-beaver-dam-wisconsin/" TargetMode="External"/><Relationship Id="rId907" Type="http://schemas.openxmlformats.org/officeDocument/2006/relationships/hyperlink" Target="https://www.wxyz.com/news/region/oakland-county/lyon-township-residents-blindsided-by-ai-data-center-approval-near-homes" TargetMode="External"/><Relationship Id="rId1617" Type="http://schemas.openxmlformats.org/officeDocument/2006/relationships/hyperlink" Target="https://vilogics.com/" TargetMode="External"/><Relationship Id="rId2948" Type="http://schemas.openxmlformats.org/officeDocument/2006/relationships/hyperlink" Target="https://www.tmj4.com/news/dodge-county/its-really-scary-beaver-dam-residents-raise-water-concerns-about-metas-ai-data-center" TargetMode="External"/><Relationship Id="rId906" Type="http://schemas.openxmlformats.org/officeDocument/2006/relationships/hyperlink" Target="https://www.facebook.com/groups/nodatacenterinlyontownship/?sorting_setting=CHRONOLOGICAL" TargetMode="External"/><Relationship Id="rId1618" Type="http://schemas.openxmlformats.org/officeDocument/2006/relationships/hyperlink" Target="https://www.datacenterdynamics.com/en/news/developer-says-it-will-build-larger-data-center-if-plans-for-smaller-facility-near-philadelphia-go-unapproved/" TargetMode="External"/><Relationship Id="rId2949" Type="http://schemas.openxmlformats.org/officeDocument/2006/relationships/hyperlink" Target="https://about.fb.com/news/2025/11/metas-30th-data-center-delivering-ai-supporting-wetlands-restoration/" TargetMode="External"/><Relationship Id="rId905" Type="http://schemas.openxmlformats.org/officeDocument/2006/relationships/hyperlink" Target="https://choose-marshall.s3.amazonaws.com/images/economic-development-images/BrooksIndParkINFASTRUCTURE.jpg?v=1757959619" TargetMode="External"/><Relationship Id="rId1619" Type="http://schemas.openxmlformats.org/officeDocument/2006/relationships/hyperlink" Target="https://www.spotlightpa.org/news/2026/03/pennsylvania-data-centers-archbald-ai-evictions-environment/" TargetMode="External"/><Relationship Id="rId904" Type="http://schemas.openxmlformats.org/officeDocument/2006/relationships/hyperlink" Target="https://www.mlive.com/news/jackson/2025/12/marshall-approves-112m-land-sale-for-data-center-gas-plant-project.html" TargetMode="External"/><Relationship Id="rId909" Type="http://schemas.openxmlformats.org/officeDocument/2006/relationships/hyperlink" Target="https://planetdetroit.org/2025/12/michigan-data-center-news-roundup/" TargetMode="External"/><Relationship Id="rId908" Type="http://schemas.openxmlformats.org/officeDocument/2006/relationships/hyperlink" Target="https://www.hometownlife.com/story/news/2025/12/12/lyon-township-data-center-business-park/87734299007/" TargetMode="External"/><Relationship Id="rId903" Type="http://schemas.openxmlformats.org/officeDocument/2006/relationships/hyperlink" Target="https://www.datacenterdynamics.com/en/news/michigan-utility-consumers-energy-to-provide-1gw-of-power-to-new-hyperscale-data-center/" TargetMode="External"/><Relationship Id="rId902" Type="http://schemas.openxmlformats.org/officeDocument/2006/relationships/hyperlink" Target="https://www.datacenterdynamics.com/en/news/microsoft-plans-data-centers-in-dorr-and-lowell-townships-applies-for-property-rezoning-in-gaines-townships/" TargetMode="External"/><Relationship Id="rId901" Type="http://schemas.openxmlformats.org/officeDocument/2006/relationships/hyperlink" Target="https://www.wzzm13.com/article/news/local/microsoft-proposed-lowell-data-center/69-7cdddbc3-6793-4fbc-bd27-1d99f2a76e8e" TargetMode="External"/><Relationship Id="rId900" Type="http://schemas.openxmlformats.org/officeDocument/2006/relationships/hyperlink" Target="https://www.datacenterdynamics.com/en/news/developer-in-lowell-township-michigan-withdraws-data-center-application-following-opposition/" TargetMode="External"/><Relationship Id="rId2930" Type="http://schemas.openxmlformats.org/officeDocument/2006/relationships/hyperlink" Target="https://wisecova.interactivegis.com/jtf/35364" TargetMode="External"/><Relationship Id="rId1600" Type="http://schemas.openxmlformats.org/officeDocument/2006/relationships/hyperlink" Target="https://nodatacenter.net/" TargetMode="External"/><Relationship Id="rId2931" Type="http://schemas.openxmlformats.org/officeDocument/2006/relationships/hyperlink" Target="https://www.datacenterdynamics.com/en/news/10m-sq-ft-amazon-files-for-four-data-center-campuses-in-virginias-spotsylvania-and-caroline-counties/" TargetMode="External"/><Relationship Id="rId1601" Type="http://schemas.openxmlformats.org/officeDocument/2006/relationships/hyperlink" Target="https://www.datacenterdynamics.com/en/news/15gw-data-center-campus-proposed-in-pennsylvania/" TargetMode="External"/><Relationship Id="rId2932" Type="http://schemas.openxmlformats.org/officeDocument/2006/relationships/hyperlink" Target="https://fredericksburg.com/news/local/data-center-proposals-pile-up-in-spotsylvania/article_0b3a873c-ff26-11ed-97a1-df0bb17d1b49.html" TargetMode="External"/><Relationship Id="rId1602" Type="http://schemas.openxmlformats.org/officeDocument/2006/relationships/hyperlink" Target="https://www.citizensvoice.com/2025/08/11/senate-data-center-hearing-at-valley-view-largely-touts-benefits/" TargetMode="External"/><Relationship Id="rId2933" Type="http://schemas.openxmlformats.org/officeDocument/2006/relationships/hyperlink" Target="https://co.caroline.va.us/DocumentCenter/View/7255/RZ-02-2023-Orrock-Tech-Camus?bidId=" TargetMode="External"/><Relationship Id="rId1603" Type="http://schemas.openxmlformats.org/officeDocument/2006/relationships/hyperlink" Target="https://trackdatacenters.com/state/pennsylvania" TargetMode="External"/><Relationship Id="rId2934" Type="http://schemas.openxmlformats.org/officeDocument/2006/relationships/hyperlink" Target="https://www.datacenterdynamics.com/en/news/stack-commits-735bn-investment-into-data-center-campus-in-berry-hill-virginia/" TargetMode="External"/><Relationship Id="rId1604" Type="http://schemas.openxmlformats.org/officeDocument/2006/relationships/hyperlink" Target="https://www.flexential.com/data-centers/pa/philadelphia/collegeville-data-center" TargetMode="External"/><Relationship Id="rId2935" Type="http://schemas.openxmlformats.org/officeDocument/2006/relationships/hyperlink" Target="https://www.datacenterdynamics.com/en/news/microsoft-to-buy-more-than-100-acres-in-chelan-county-washington/" TargetMode="External"/><Relationship Id="rId1605" Type="http://schemas.openxmlformats.org/officeDocument/2006/relationships/hyperlink" Target="https://www.change.org/p/no-conshy-or-plymouth-data-centers" TargetMode="External"/><Relationship Id="rId2936" Type="http://schemas.openxmlformats.org/officeDocument/2006/relationships/hyperlink" Target="https://www.datacenterdynamics.com/en/news/microsoft-secures-power-supply-for-data-center-project-in-malaga-washington/" TargetMode="External"/><Relationship Id="rId1606" Type="http://schemas.openxmlformats.org/officeDocument/2006/relationships/hyperlink" Target="https://www.datacenterdynamics.com/en/news/planning-agency-of-plymouth-township-pennsylvania-votes-not-to-recommend-data-center-proposal/" TargetMode="External"/><Relationship Id="rId2937" Type="http://schemas.openxmlformats.org/officeDocument/2006/relationships/hyperlink" Target="https://www.tomshardware.com/tech-industry/cryptomining/major-bitcoin-mining-firm-pivoting-to-ai-plans-to-fully-abandon-crypto-mining-by-2027-bitfarm-to-leverage-341-megawatt-capacity-for-ai-following-usd46-million-q3-loss" TargetMode="External"/><Relationship Id="rId1607" Type="http://schemas.openxmlformats.org/officeDocument/2006/relationships/hyperlink" Target="https://whyy.org/articles/conshohocken-pennsylvania-residents-pushback-data-center-proposal/" TargetMode="External"/><Relationship Id="rId2938" Type="http://schemas.openxmlformats.org/officeDocument/2006/relationships/hyperlink" Target="https://bitfarms.com/our-portfolio/data-centers/north-america/" TargetMode="External"/><Relationship Id="rId1608" Type="http://schemas.openxmlformats.org/officeDocument/2006/relationships/hyperlink" Target="https://vista.today/2025/11/fight-against-conshohocken-data-center/" TargetMode="External"/><Relationship Id="rId2939" Type="http://schemas.openxmlformats.org/officeDocument/2006/relationships/hyperlink" Target="https://www.datacenterdynamics.com/en/news/bitfarms-to-convert-washington-cryptomine-to-hpcai-hosting/" TargetMode="External"/><Relationship Id="rId1609" Type="http://schemas.openxmlformats.org/officeDocument/2006/relationships/hyperlink" Target="https://www.inquirer.com/news/pennsylvania/ai-data-center-construction-conshohocken-proposal-withdrawn-20251118.html" TargetMode="External"/><Relationship Id="rId1631" Type="http://schemas.openxmlformats.org/officeDocument/2006/relationships/hyperlink" Target="https://www.fox43.com/article/news/local/dauphin-county/dauphin-highlands-golf-course-to-be-sold-456-million-to-build-new-data-center/521-0b9bf4e4-3d23-438f-a74f-4d373640f428" TargetMode="External"/><Relationship Id="rId2962" Type="http://schemas.openxmlformats.org/officeDocument/2006/relationships/hyperlink" Target="https://www.facebook.com/groups/1140996281561878/?ref=share&amp;mibextid=NSMWBT" TargetMode="External"/><Relationship Id="rId1632" Type="http://schemas.openxmlformats.org/officeDocument/2006/relationships/hyperlink" Target="https://fox56.com/news/local/crowd-of-100-gathers-in-hazle-twp-as-supervisor-board-votes-down-proposed-data-center" TargetMode="External"/><Relationship Id="rId2963" Type="http://schemas.openxmlformats.org/officeDocument/2006/relationships/hyperlink" Target="https://www.facebook.com/groups/1140996281561878/" TargetMode="External"/><Relationship Id="rId1633" Type="http://schemas.openxmlformats.org/officeDocument/2006/relationships/hyperlink" Target="https://www.foodandwaterwatch.org/" TargetMode="External"/><Relationship Id="rId2964" Type="http://schemas.openxmlformats.org/officeDocument/2006/relationships/hyperlink" Target="https://www.datacenterdynamics.com/en/news/qts-plans-15-building-data-center-campus-in-madison-wisconsin/" TargetMode="External"/><Relationship Id="rId1634" Type="http://schemas.openxmlformats.org/officeDocument/2006/relationships/hyperlink" Target="https://www.facebook.com/share/g/1MmD3egK9Z/" TargetMode="External"/><Relationship Id="rId2965" Type="http://schemas.openxmlformats.org/officeDocument/2006/relationships/hyperlink" Target="https://www.wpr.org/news/developer-qts-data-centers-looks-build-data-campus-dane-county-vienna" TargetMode="External"/><Relationship Id="rId1635" Type="http://schemas.openxmlformats.org/officeDocument/2006/relationships/hyperlink" Target="https://www.timesleader.com/news/1685632/luzerne-county-real-estate-tax-break-requested-for-15-building-data-center-in-hazle-township" TargetMode="External"/><Relationship Id="rId2966" Type="http://schemas.openxmlformats.org/officeDocument/2006/relationships/hyperlink" Target="https://www.wmtv15news.com/2025/07/31/large-data-center-proposal-raises-questions-rural-dane-county/" TargetMode="External"/><Relationship Id="rId1636" Type="http://schemas.openxmlformats.org/officeDocument/2006/relationships/hyperlink" Target="https://www.foodandwaterwatch.org/2025/11/18/hazle-township-pa-unanimously-rejects-data-center-campus/" TargetMode="External"/><Relationship Id="rId2967" Type="http://schemas.openxmlformats.org/officeDocument/2006/relationships/hyperlink" Target="https://www.datacenterdynamics.com/en/news/qts-data-centers-looks-to-build-another-facility-near-madison-wisconsin/" TargetMode="External"/><Relationship Id="rId1637" Type="http://schemas.openxmlformats.org/officeDocument/2006/relationships/hyperlink" Target="https://www.2822news.com/news/local-news/outcry-grows-over-proposed-data-center-campus/" TargetMode="External"/><Relationship Id="rId2968" Type="http://schemas.openxmlformats.org/officeDocument/2006/relationships/hyperlink" Target="https://www.datacenterdynamics.com/en/news/qts-drops-plan-for-data-center-near-madison-wisconsin-amid-opposition-from-local-officials/" TargetMode="External"/><Relationship Id="rId1638" Type="http://schemas.openxmlformats.org/officeDocument/2006/relationships/hyperlink" Target="https://www.foodandwaterwatch.org/2025/11/18/hazle-township-pa-unanimously-rejects-data-center-campus/" TargetMode="External"/><Relationship Id="rId2969" Type="http://schemas.openxmlformats.org/officeDocument/2006/relationships/hyperlink" Target="https://www.datacenterdynamics.com/en/news/qts-drops-plan-for-data-center-near-madison-wisconsin-amid-opposition-from-local-officials/" TargetMode="External"/><Relationship Id="rId929" Type="http://schemas.openxmlformats.org/officeDocument/2006/relationships/hyperlink" Target="https://planetdetroit.org/2026/01/van-buren-data-center-protest/" TargetMode="External"/><Relationship Id="rId1639" Type="http://schemas.openxmlformats.org/officeDocument/2006/relationships/hyperlink" Target="https://www.concernedresidentsofwesternpa.com/" TargetMode="External"/><Relationship Id="rId928" Type="http://schemas.openxmlformats.org/officeDocument/2006/relationships/hyperlink" Target="https://planetdetroit.org/2025/12/van-buren-data-center-pitch/" TargetMode="External"/><Relationship Id="rId927" Type="http://schemas.openxmlformats.org/officeDocument/2006/relationships/hyperlink" Target="https://www.wemu.org/wemu-news/2025-12-12/big-crowd-in-van-buren-township-looks-for-answers-on-proposed-data-center" TargetMode="External"/><Relationship Id="rId926" Type="http://schemas.openxmlformats.org/officeDocument/2006/relationships/hyperlink" Target="https://www.datacenterdynamics.com/en/news/panattoni-looks-to-develop-1gw-data-center-campus-outside-detroit-michigan/" TargetMode="External"/><Relationship Id="rId921" Type="http://schemas.openxmlformats.org/officeDocument/2006/relationships/hyperlink" Target="https://www.mlive.com/news/ann-arbor/2025/10/rural-residents-in-an-uproar-over-openais-massive-data-center-project-in-saline-township.html" TargetMode="External"/><Relationship Id="rId920" Type="http://schemas.openxmlformats.org/officeDocument/2006/relationships/hyperlink" Target="https://www.mlive.com/news/ann-arbor/2025/09/data-center-for-ai-computing-rejected-in-farming-community-near-ann-arbor.html" TargetMode="External"/><Relationship Id="rId925" Type="http://schemas.openxmlformats.org/officeDocument/2006/relationships/hyperlink" Target="https://www.change.org/p/stop-the-massive-data-center-in-van-buren-township-michigan" TargetMode="External"/><Relationship Id="rId924" Type="http://schemas.openxmlformats.org/officeDocument/2006/relationships/hyperlink" Target="https://www.datacenterdynamics.com/en/news/or/" TargetMode="External"/><Relationship Id="rId923" Type="http://schemas.openxmlformats.org/officeDocument/2006/relationships/hyperlink" Target="https://planetdetroit.org/2026/02/saline-data-center-air-wetlands-permits/" TargetMode="External"/><Relationship Id="rId922" Type="http://schemas.openxmlformats.org/officeDocument/2006/relationships/hyperlink" Target="https://www.mlive.com/news/2025/11/dte-asks-to-rush-approval-of-massive-data-center-deal-avoiding-hearings.html" TargetMode="External"/><Relationship Id="rId2960" Type="http://schemas.openxmlformats.org/officeDocument/2006/relationships/hyperlink" Target="https://wisconsinwatch.org/2026/04/wisconsin-data-center-rural-town-cassville-rejects-plan-driftless-area-zoning/" TargetMode="External"/><Relationship Id="rId1630" Type="http://schemas.openxmlformats.org/officeDocument/2006/relationships/hyperlink" Target="https://www.fox43.com/article/news/local/dauphin-county/dauphin-highlands-golf-course-to-be-sold-456-million-to-build-new-data-center/521-0b9bf4e4-3d23-438f-a74f-4d373640f428" TargetMode="External"/><Relationship Id="rId2961" Type="http://schemas.openxmlformats.org/officeDocument/2006/relationships/hyperlink" Target="https://www.thecooldown.com/green-tech/data-center-plan-grant-county-opposition/" TargetMode="External"/><Relationship Id="rId1620" Type="http://schemas.openxmlformats.org/officeDocument/2006/relationships/hyperlink" Target="https://www.thetimes-tribune.com/2025/05/14/developer-seeks-to-convert-archbald-junkyard-to-data-centers/" TargetMode="External"/><Relationship Id="rId2951" Type="http://schemas.openxmlformats.org/officeDocument/2006/relationships/hyperlink" Target="https://www.widatacenterfacts.org/communities/beaver-dam" TargetMode="External"/><Relationship Id="rId1621" Type="http://schemas.openxmlformats.org/officeDocument/2006/relationships/hyperlink" Target="https://www.wnep.com/article/news/local/lackawanna-county/data-center-lackawanna-county-archbald-blakely-jessup-council-votes/523-627d1d15-f8e2-436e-be39-732ec3ee3b26" TargetMode="External"/><Relationship Id="rId2952" Type="http://schemas.openxmlformats.org/officeDocument/2006/relationships/hyperlink" Target="https://www.jsonline.com/story/news/environment/2025/12/10/suit-demands-energy-use-projections-at-metas-beaver-dam-data-center/87703071007/" TargetMode="External"/><Relationship Id="rId1622" Type="http://schemas.openxmlformats.org/officeDocument/2006/relationships/hyperlink" Target="https://www.datacenterdynamics.com/en/news/junkyard-in-pennsylvania-acquired-developer-files-to-develop-data-center-campus/" TargetMode="External"/><Relationship Id="rId2953" Type="http://schemas.openxmlformats.org/officeDocument/2006/relationships/hyperlink" Target="https://www.datacenterdynamics.com/en/news/real-estate-developer-panattoni-takes-over-meta-backed-data-center-proposal-in-southern-wisconsin/" TargetMode="External"/><Relationship Id="rId1623" Type="http://schemas.openxmlformats.org/officeDocument/2006/relationships/hyperlink" Target="https://www.pennlive.com/business/2025/07/750000-square-foot-data-center-planned-along-interstate-83.html" TargetMode="External"/><Relationship Id="rId2954" Type="http://schemas.openxmlformats.org/officeDocument/2006/relationships/hyperlink" Target="https://www.datacenterdynamics.com/en/news/oppidan-targets-edge-data-center-in-beaver-dam-wisconsin/" TargetMode="External"/><Relationship Id="rId1624" Type="http://schemas.openxmlformats.org/officeDocument/2006/relationships/hyperlink" Target="https://www.datacenterdynamics.com/en/news/750000-sq-ft-data-center-could-be-built-in-fairview-township-pennsylvania/" TargetMode="External"/><Relationship Id="rId2955" Type="http://schemas.openxmlformats.org/officeDocument/2006/relationships/hyperlink" Target="https://www.facebook.com/groups/1347060293852060/" TargetMode="External"/><Relationship Id="rId1625" Type="http://schemas.openxmlformats.org/officeDocument/2006/relationships/hyperlink" Target="https://www.fox43.com/article/news/local/york-county/500-million-data-center-fairview-township-york-county/521-81526e0c-e19d-4211-adaf-d2cee8ecda8f" TargetMode="External"/><Relationship Id="rId2956" Type="http://schemas.openxmlformats.org/officeDocument/2006/relationships/hyperlink" Target="https://www.datacenterdynamics.com/en/news/meta-signs-pre-development-agreement-for-data-center-in-beloit-wisconsin/" TargetMode="External"/><Relationship Id="rId1626" Type="http://schemas.openxmlformats.org/officeDocument/2006/relationships/hyperlink" Target="https://twp.fairview.pa.us/Portals/0/Documents/Ordinances/Ord_%202025-03%20Zoning%20Text%20Amendment-Data%20Centers.pdf?ver=lnIE88kB2GVscYisHhcOOA%3d%3d" TargetMode="External"/><Relationship Id="rId2957" Type="http://schemas.openxmlformats.org/officeDocument/2006/relationships/hyperlink" Target="https://www.datacenterdynamics.com/en/news/cloverleaf-walks-away-from-data-center-site-project-in-kewaunee-wisconsin/" TargetMode="External"/><Relationship Id="rId1627" Type="http://schemas.openxmlformats.org/officeDocument/2006/relationships/hyperlink" Target="https://www.arkdna.com/data-centers/pennsylvania/" TargetMode="External"/><Relationship Id="rId2958" Type="http://schemas.openxmlformats.org/officeDocument/2006/relationships/hyperlink" Target="https://pbswisconsin.org/news-item/kewaunee-county-town-staves-off-plan-for-a-land-purchase-by-a-data-center-developer/" TargetMode="External"/><Relationship Id="rId918" Type="http://schemas.openxmlformats.org/officeDocument/2006/relationships/hyperlink" Target="https://www.datacenterdynamics.com/en/news/related-pitches-575-acre-data-center-campus-outside-detroit-michigan/" TargetMode="External"/><Relationship Id="rId1628" Type="http://schemas.openxmlformats.org/officeDocument/2006/relationships/hyperlink" Target="https://www.datacenterfrontier.com/site-selection/article/55281341/pennsylvanias-homer-city-energy-campus-a-brownfield-transformed-for-data-center-innovation" TargetMode="External"/><Relationship Id="rId2959" Type="http://schemas.openxmlformats.org/officeDocument/2006/relationships/hyperlink" Target="https://wisconsinwatch.org/2026/06/a-2-billion-proposal-then-silence-how-a-driftless-area-data-center-deal-fell-apart/" TargetMode="External"/><Relationship Id="rId917" Type="http://schemas.openxmlformats.org/officeDocument/2006/relationships/hyperlink" Target="https://www.datacenterdynamics.com/en/news/oracle-and-openai-start-construction-on-stargate-data-center-campus-in-saline-township-michigan/" TargetMode="External"/><Relationship Id="rId1629" Type="http://schemas.openxmlformats.org/officeDocument/2006/relationships/hyperlink" Target="https://www.datacenterdynamics.com/en/news/golf-course-set-to-become-data-center-in-dauphin-county-pennsylvania/" TargetMode="External"/><Relationship Id="rId916" Type="http://schemas.openxmlformats.org/officeDocument/2006/relationships/hyperlink" Target="https://thesalinepost.com/g/saline-mi/n/358617/city-saline-institutes-temporary-moratorium-data-centers" TargetMode="External"/><Relationship Id="rId915" Type="http://schemas.openxmlformats.org/officeDocument/2006/relationships/hyperlink" Target="https://www.datacenterdynamics.com/en/news/michigans-oakland-university-board-votes-to-move-ahead-with-data-center-project/" TargetMode="External"/><Relationship Id="rId919" Type="http://schemas.openxmlformats.org/officeDocument/2006/relationships/hyperlink" Target="https://www.msn.com/en-us/money/realestate/proposal-to-build-computer-data-center-near-saline-sparks-debate/ar-AA1KqiDZ?apiversion=v2&amp;noservercache=1&amp;domshim=1&amp;renderwebcomponents=1&amp;wcseo=1&amp;batchservertelemetry=1&amp;noservertelemetry=1" TargetMode="External"/><Relationship Id="rId910" Type="http://schemas.openxmlformats.org/officeDocument/2006/relationships/hyperlink" Target="https://planetdetroit.org/2026/01/lyon-township-data-center-plan/" TargetMode="External"/><Relationship Id="rId914" Type="http://schemas.openxmlformats.org/officeDocument/2006/relationships/hyperlink" Target="https://www.datacenterdynamics.com/en/news/michigans-oakland-university-puts-out-call-for-data-center-proposals/" TargetMode="External"/><Relationship Id="rId913" Type="http://schemas.openxmlformats.org/officeDocument/2006/relationships/hyperlink" Target="https://www.datacenterdynamics.com/en/news/alphabet-spin-out-verrus-plans-three-building-data-center-campus-outside-portland-oregon/" TargetMode="External"/><Relationship Id="rId912" Type="http://schemas.openxmlformats.org/officeDocument/2006/relationships/hyperlink" Target="https://www.crainsdetroit.com/technology/cdb-anthropic-projectflex-datacenter-20260414/?utm_id=gfta-ur-260414&amp;share-code=F4JNH5GIING7NDXCBOJBJ5QVZM&amp;user_id=9885400&amp;customer_secondary_source=cdb_articleGifting&amp;fbclid=IwdGRjcARLdD9jbGNrBEt0NmV4dG4DYWVtAjExAHNydGMGYXBwX2lkDDM1MDY4NTUzMTcyOAABHuy4NDQbhkRm0MqYKNA8xHVyzE_IEbw7Q63iYC4OtY7wS2VOuDb-HW1V_hun_aem_aeBEd6Vy6DKHXUxdtutdIw" TargetMode="External"/><Relationship Id="rId911" Type="http://schemas.openxmlformats.org/officeDocument/2006/relationships/hyperlink" Target="https://www.datacenterdynamics.com/en/news/180-acre-data-center-set-to-be-built-in-lyon-township-michigan/" TargetMode="External"/><Relationship Id="rId2950" Type="http://schemas.openxmlformats.org/officeDocument/2006/relationships/hyperlink" Target="https://www.newsbreak.com/jim-delillo-1721389/4350500248657-a-1-billion-warning-meta-s-new-wisconsin-ai-data-center-could-change-beaver-dam-forever" TargetMode="External"/><Relationship Id="rId2900" Type="http://schemas.openxmlformats.org/officeDocument/2006/relationships/hyperlink" Target="https://reparcelasmt.loudoun.gov/pt/datalets/datalet.aspx?mode=profileall&amp;UseSearch=no&amp;pin=044175589000&amp;jur=107&amp;taxyr=2025&amp;LMparent=20" TargetMode="External"/><Relationship Id="rId2901" Type="http://schemas.openxmlformats.org/officeDocument/2006/relationships/hyperlink" Target="https://go.boarddocs.com/va/tocva/Board.nsf/files/CTNP796180C4/$file/Copper%20Ridge%20Data%20Center_RZStaffReport.pdf" TargetMode="External"/><Relationship Id="rId2902" Type="http://schemas.openxmlformats.org/officeDocument/2006/relationships/hyperlink" Target="https://gis.vgsi.com/culpeperva/Parcel.aspx?pid=10215" TargetMode="External"/><Relationship Id="rId2903" Type="http://schemas.openxmlformats.org/officeDocument/2006/relationships/hyperlink" Target="https://loudouncountyvaeg.tylerhost.net/prod/selfservice" TargetMode="External"/><Relationship Id="rId2904" Type="http://schemas.openxmlformats.org/officeDocument/2006/relationships/hyperlink" Target="https://reparcelasmt.loudoun.gov/pt/Datalets/Datalet.aspx?UseSearch=no&amp;mode=profileall&amp;pin=203172023000&amp;jur=107&amp;taxyr=2024" TargetMode="External"/><Relationship Id="rId2905" Type="http://schemas.openxmlformats.org/officeDocument/2006/relationships/hyperlink" Target="https://reparcelasmt.loudoun.gov/pt/datalets/datalet.aspx?mode=profileall&amp;UseSearch=no&amp;pin=203354208000&amp;jur=107&amp;taxyr=2024&amp;LMparent=20" TargetMode="External"/><Relationship Id="rId2906" Type="http://schemas.openxmlformats.org/officeDocument/2006/relationships/hyperlink" Target="https://www.datacenterdynamics.com/en/news/aws-sells-land-in-manassas-to-stack-buys-land-data-centers-in-loudoun-county-from-stack-owner-ipi/" TargetMode="External"/><Relationship Id="rId2907" Type="http://schemas.openxmlformats.org/officeDocument/2006/relationships/hyperlink" Target="https://reparcelasmt.loudoun.gov/pt/Datalets/Datalet.aspx?mode=commercial&amp;UseSearch=no&amp;pin=246203645000&amp;jur=107&amp;taxyr=2024&amp;card=1&amp;item=0&amp;State=2%7C1%7C1%7C1%7C1%7C&amp;items=4" TargetMode="External"/><Relationship Id="rId2908" Type="http://schemas.openxmlformats.org/officeDocument/2006/relationships/hyperlink" Target="https://www.ipetitions.com/petition/petition-no-data-centers-yes-to-rural/" TargetMode="External"/><Relationship Id="rId2909" Type="http://schemas.openxmlformats.org/officeDocument/2006/relationships/hyperlink" Target="https://www.datacenterdynamics.com/en/news/87-acre-project-tallmadge-to-be-built-in-strasburg-virginia/" TargetMode="External"/><Relationship Id="rId2920" Type="http://schemas.openxmlformats.org/officeDocument/2006/relationships/hyperlink" Target="https://propertysearch.virginiabeach.gov/" TargetMode="External"/><Relationship Id="rId2921" Type="http://schemas.openxmlformats.org/officeDocument/2006/relationships/hyperlink" Target="https://www.fauquiernow.com/news/data-center-database-where-projects-stand-across-fauquier-county/article_18be50e8-49f6-11ef-95cf-3b45407fea55.html" TargetMode="External"/><Relationship Id="rId2922" Type="http://schemas.openxmlformats.org/officeDocument/2006/relationships/hyperlink" Target="https://gis.vgsi.com/fauquierva/Parcel.aspx?pid=46425" TargetMode="External"/><Relationship Id="rId2923" Type="http://schemas.openxmlformats.org/officeDocument/2006/relationships/hyperlink" Target="https://commdevpay.fauquiercounty.gov/Energov_Prod/SelfService" TargetMode="External"/><Relationship Id="rId2924" Type="http://schemas.openxmlformats.org/officeDocument/2006/relationships/hyperlink" Target="https://www.fauquier.com/news/article_55011450-b2d5-11ed-bd87-df7e49eb5e4a.html" TargetMode="External"/><Relationship Id="rId2925" Type="http://schemas.openxmlformats.org/officeDocument/2006/relationships/hyperlink" Target="https://www.datacenterdynamics.com/en/news/two-sites-in-virginias-fauquier-county-bought-by-data-center-developer/" TargetMode="External"/><Relationship Id="rId2926" Type="http://schemas.openxmlformats.org/officeDocument/2006/relationships/hyperlink" Target="https://gis.vgsi.com/fauquierva/Parcel.aspx?pid=46540" TargetMode="External"/><Relationship Id="rId2927" Type="http://schemas.openxmlformats.org/officeDocument/2006/relationships/hyperlink" Target="https://commdevpay.fauquiercounty.gov/Energov_Prod/SelfService" TargetMode="External"/><Relationship Id="rId2928" Type="http://schemas.openxmlformats.org/officeDocument/2006/relationships/hyperlink" Target="https://commdevpay.fauquiercounty.gov/Energov_Prod/SelfService" TargetMode="External"/><Relationship Id="rId2929" Type="http://schemas.openxmlformats.org/officeDocument/2006/relationships/hyperlink" Target="https://www.dpfacilities.com/markets/wise-va/" TargetMode="External"/><Relationship Id="rId2910" Type="http://schemas.openxmlformats.org/officeDocument/2006/relationships/hyperlink" Target="https://www.strasburgva.com/administration/project/data-center-informatione-built-in-strasburg-virginia/" TargetMode="External"/><Relationship Id="rId2911" Type="http://schemas.openxmlformats.org/officeDocument/2006/relationships/hyperlink" Target="https://cardinalnews.org/2025/06/24/google-buys-botetourt-county-land-for-data-center-plans/" TargetMode="External"/><Relationship Id="rId2912" Type="http://schemas.openxmlformats.org/officeDocument/2006/relationships/hyperlink" Target="https://www.wsls.com/news/local/2025/09/12/western-virginia-water-authority-planning-ahead-as-google-builds-new-data-center-in-botetourt-county/" TargetMode="External"/><Relationship Id="rId2913" Type="http://schemas.openxmlformats.org/officeDocument/2006/relationships/hyperlink" Target="https://www.datacenterdynamics.com/en/news/google-details-planned-data-center-in-botetourt-county-virginia/" TargetMode="External"/><Relationship Id="rId2914" Type="http://schemas.openxmlformats.org/officeDocument/2006/relationships/hyperlink" Target="https://www.fairfaxcounty.gov/planning-development/sites/planning-development/files/Assets/Documents/PDF/data-centers-report.pdf" TargetMode="External"/><Relationship Id="rId2915" Type="http://schemas.openxmlformats.org/officeDocument/2006/relationships/hyperlink" Target="https://icare.fairfaxcounty.gov/ffxcare/Datalets/Datalet.aspx?mode=&amp;UseSearch=no&amp;pin=0294%2006%20%200097F&amp;jur=129&amp;taxyr=2025" TargetMode="External"/><Relationship Id="rId2916" Type="http://schemas.openxmlformats.org/officeDocument/2006/relationships/hyperlink" Target="https://www.fairfaxcounty.gov/planning-development/sites/planning-development/files/Assets/Documents/PDF/data-centers-report.pdf" TargetMode="External"/><Relationship Id="rId2917" Type="http://schemas.openxmlformats.org/officeDocument/2006/relationships/hyperlink" Target="https://www.datacenterdynamics.com/en/news/serverfarm-enters-virginia-targets-data-center-in-tysons-corner/" TargetMode="External"/><Relationship Id="rId2918" Type="http://schemas.openxmlformats.org/officeDocument/2006/relationships/hyperlink" Target="https://propertysearch.virginiabeach.gov/" TargetMode="External"/><Relationship Id="rId2919" Type="http://schemas.openxmlformats.org/officeDocument/2006/relationships/hyperlink" Target="https://baxtel.com/data-center/telxius-cable-landing-station-virginia-beach" TargetMode="External"/><Relationship Id="rId1697" Type="http://schemas.openxmlformats.org/officeDocument/2006/relationships/hyperlink" Target="https://www.prnewswire.com/news-releases/tecfusions-unveils-massive-1400-acre-data-center-project-in-pennsylvania-revitalizing-former-industrial-plant-302350041.html" TargetMode="External"/><Relationship Id="rId1698" Type="http://schemas.openxmlformats.org/officeDocument/2006/relationships/hyperlink" Target="https://triblive.com/local/valley-news-dispatch/upper-burrell-data-center-to-use-natural-gas-for-more-than-2-gigawatts-of-power-generation/" TargetMode="External"/><Relationship Id="rId1699" Type="http://schemas.openxmlformats.org/officeDocument/2006/relationships/hyperlink" Target="https://www.spotlightpa.org/news/2025/10/pennsylvania-data-centers-community-opposition-ai-development-environment/" TargetMode="External"/><Relationship Id="rId866" Type="http://schemas.openxmlformats.org/officeDocument/2006/relationships/hyperlink" Target="https://www.change.org/p/prevent-the-construction-of-a-data-center-in-dundee-mi" TargetMode="External"/><Relationship Id="rId865" Type="http://schemas.openxmlformats.org/officeDocument/2006/relationships/hyperlink" Target="https://www.datacenterdynamics.com/en/news/hyperscale-data-completes-land-acquisition-to-expand-michigan-campus/" TargetMode="External"/><Relationship Id="rId864" Type="http://schemas.openxmlformats.org/officeDocument/2006/relationships/hyperlink" Target="https://www.datacenterdynamics.com/en/news/hyperscale-data-signs-20mw-capacity-agreement-with-neocloud-customer-at-its-michigan-data-center/" TargetMode="External"/><Relationship Id="rId863" Type="http://schemas.openxmlformats.org/officeDocument/2006/relationships/hyperlink" Target="https://www.mlive.com/news/kalamazoo/2026/06/a-prison-in-our-own-yard-life-next-to-a-data-center-and-its-never-ending-noise.html" TargetMode="External"/><Relationship Id="rId869" Type="http://schemas.openxmlformats.org/officeDocument/2006/relationships/hyperlink" Target="https://www.cbsnews.com/detroit/news/southfield-data-center-proposal-city-council-vote/" TargetMode="External"/><Relationship Id="rId868" Type="http://schemas.openxmlformats.org/officeDocument/2006/relationships/hyperlink" Target="https://www.fox2detroit.com/news/new-ai-data-center-proposed-southfield-amid-others-across-metro-detroit" TargetMode="External"/><Relationship Id="rId867" Type="http://schemas.openxmlformats.org/officeDocument/2006/relationships/hyperlink" Target="https://www.datacenterdynamics.com/en/news/cloverleaf-drops-initial-plans-for-michigan-data-center-council-votes-to-block-water-supply/" TargetMode="External"/><Relationship Id="rId1690" Type="http://schemas.openxmlformats.org/officeDocument/2006/relationships/hyperlink" Target="https://paenvironmentdaily.blogspot.com/2025/08/bitfarms-announces-partnership-to.html" TargetMode="External"/><Relationship Id="rId1691" Type="http://schemas.openxmlformats.org/officeDocument/2006/relationships/hyperlink" Target="https://investor.bitfarms.com/news-releases/news-release-details/bitfarms-announces-partnership-t5-data-centers-advance-hpcai" TargetMode="External"/><Relationship Id="rId1692" Type="http://schemas.openxmlformats.org/officeDocument/2006/relationships/hyperlink" Target="https://www.tnonline.com/20251120/bitfarms-details-data-center-plan-job-potential/" TargetMode="External"/><Relationship Id="rId862" Type="http://schemas.openxmlformats.org/officeDocument/2006/relationships/hyperlink" Target="https://www.datacenterdynamics.com/en/news/hyperscale-data-purchases-485-acres-in-southwest-michigan-to-expand-data-center-campus/" TargetMode="External"/><Relationship Id="rId1693" Type="http://schemas.openxmlformats.org/officeDocument/2006/relationships/hyperlink" Target="https://www.change.org/p/preserve-the-rural-character-of-mahoning-township-and-surrounding-area-in-lawrence-county" TargetMode="External"/><Relationship Id="rId861" Type="http://schemas.openxmlformats.org/officeDocument/2006/relationships/hyperlink" Target="https://www.dbusiness.com/daily-news/hyperscale-data-planning-major-expansion-of-michigan-ai-data-center-by-2029/" TargetMode="External"/><Relationship Id="rId1694" Type="http://schemas.openxmlformats.org/officeDocument/2006/relationships/hyperlink" Target="https://www.datacenterdynamics.com/en/news/data-center-campus-proposed-at-former-dynamite-factory-site-in-lawrence-county-pennsylvania/" TargetMode="External"/><Relationship Id="rId860" Type="http://schemas.openxmlformats.org/officeDocument/2006/relationships/hyperlink" Target="https://www.datacenterdynamics.com/en/news/microsoft-plans-data-centers-in-dorr-and-lowell-townships-applies-for-property-rezoning-in-gaines-townships/" TargetMode="External"/><Relationship Id="rId1695" Type="http://schemas.openxmlformats.org/officeDocument/2006/relationships/hyperlink" Target="https://www.facebook.com/photo?fbid=10237319121305210&amp;set=gm.1273615847314795&amp;idorvanity=400148284661560" TargetMode="External"/><Relationship Id="rId1696" Type="http://schemas.openxmlformats.org/officeDocument/2006/relationships/hyperlink" Target="https://www.protectpt.org/data-center" TargetMode="External"/><Relationship Id="rId1686" Type="http://schemas.openxmlformats.org/officeDocument/2006/relationships/hyperlink" Target="https://www.sungazette.com/uncategorized/2026/06/data-center-proposed-in-muncy-township/" TargetMode="External"/><Relationship Id="rId1687" Type="http://schemas.openxmlformats.org/officeDocument/2006/relationships/hyperlink" Target="https://www.sungazette.com/news/top-news/2026/07/muncy-township-solicitor-data-center-filings-are-inconsistent/" TargetMode="External"/><Relationship Id="rId1688" Type="http://schemas.openxmlformats.org/officeDocument/2006/relationships/hyperlink" Target="https://www.tomshardware.com/tech-industry/cryptomining/major-bitcoin-mining-firm-pivoting-to-ai-plans-to-fully-abandon-crypto-mining-by-2027-bitfarm-to-leverage-341-megawatt-capacity-for-ai-following-usd46-million-q3-loss" TargetMode="External"/><Relationship Id="rId1689" Type="http://schemas.openxmlformats.org/officeDocument/2006/relationships/hyperlink" Target="https://bitfarms.com/our-portfolio/data-centers/north-america/" TargetMode="External"/><Relationship Id="rId855" Type="http://schemas.openxmlformats.org/officeDocument/2006/relationships/hyperlink" Target="https://www.datacenterdynamics.com/en/news/mystery-tech-firm-looks-to-build-800-acre-data-center-campus-outside-grand-rapids-michigan/" TargetMode="External"/><Relationship Id="rId854" Type="http://schemas.openxmlformats.org/officeDocument/2006/relationships/hyperlink" Target="https://www.datacenterdynamics.com/en/news/switch-plans-second-expansion-of-pyramid-data-center-campus-in-grand-rapids-michigan/" TargetMode="External"/><Relationship Id="rId853" Type="http://schemas.openxmlformats.org/officeDocument/2006/relationships/hyperlink" Target="https://www.datacenterdynamics.com/en/news/microsoft-looks-to-buy-578-additional-acres-in-gaines-township-michigan/" TargetMode="External"/><Relationship Id="rId852" Type="http://schemas.openxmlformats.org/officeDocument/2006/relationships/hyperlink" Target="https://www.datacenterdynamics.com/en/news/panattoni-looks-to-develop-1gw-data-center-campus-outside-detroit-michigan/" TargetMode="External"/><Relationship Id="rId859" Type="http://schemas.openxmlformats.org/officeDocument/2006/relationships/hyperlink" Target="https://docs.google.com/viewerng/viewer?url=https://www.hayestownshipmi.gov/wp-content/uploads/2026/06/PSA-and-E-mail-Response_Hayes-Twp_FINAL-1.pdf&amp;hl=en_US" TargetMode="External"/><Relationship Id="rId858" Type="http://schemas.openxmlformats.org/officeDocument/2006/relationships/hyperlink" Target="https://www.mlive.com/environment/2026/03/northern-michigan-township-extends-data-center-pause-amid-concerns-over-big-rock-point.html" TargetMode="External"/><Relationship Id="rId857" Type="http://schemas.openxmlformats.org/officeDocument/2006/relationships/hyperlink" Target="https://www.mlive.com/environment/2026/02/former-nuclear-plant-site-draws-data-center-concerns-in-northern-michigan.html" TargetMode="External"/><Relationship Id="rId856" Type="http://schemas.openxmlformats.org/officeDocument/2006/relationships/hyperlink" Target="https://nocharlevoixdatacenter.org/" TargetMode="External"/><Relationship Id="rId1680" Type="http://schemas.openxmlformats.org/officeDocument/2006/relationships/hyperlink" Target="https://www.fallstwp.com/resources/news/article/?id=10070" TargetMode="External"/><Relationship Id="rId1681" Type="http://schemas.openxmlformats.org/officeDocument/2006/relationships/hyperlink" Target="https://www.gofundme.com/f/support-our-fight-against-data-center-development" TargetMode="External"/><Relationship Id="rId851" Type="http://schemas.openxmlformats.org/officeDocument/2006/relationships/hyperlink" Target="https://ussignal.com/data-centers/mi03-detroit/" TargetMode="External"/><Relationship Id="rId1682" Type="http://schemas.openxmlformats.org/officeDocument/2006/relationships/hyperlink" Target="https://www.datacenterdynamics.com/en/news/municipal-leaders-debate-data-center-zoning-ordinance-in-dorrance-township-pennsylvania/" TargetMode="External"/><Relationship Id="rId850" Type="http://schemas.openxmlformats.org/officeDocument/2006/relationships/hyperlink" Target="https://www.datacenterdynamics.com/en/news/us-signal-to-expand-capacity-at-data-centers-in-michigan-detroit/" TargetMode="External"/><Relationship Id="rId1683" Type="http://schemas.openxmlformats.org/officeDocument/2006/relationships/hyperlink" Target="https://web.archive.org/web/20251010033215/https://www.citizensvoice.com/2025/10/08/developer-challenges-dorrance-twp-zoning-ordinance-arguing-it-unlawfully-excluded-data-centers/" TargetMode="External"/><Relationship Id="rId1684" Type="http://schemas.openxmlformats.org/officeDocument/2006/relationships/hyperlink" Target="https://www.gofundme.com/f/support-our-fight-against-data-center-development" TargetMode="External"/><Relationship Id="rId1685" Type="http://schemas.openxmlformats.org/officeDocument/2006/relationships/hyperlink" Target="https://www.northcentralpa.com/business/williamsport-company-proposes-data-center-in-muncy-township/article_003d97a3-bddd-4d12-ba00-8efb4ba98fa4.html" TargetMode="External"/><Relationship Id="rId888" Type="http://schemas.openxmlformats.org/officeDocument/2006/relationships/hyperlink" Target="https://www.datacenterdynamics.com/en/news/opposition-leads-developer-to-withdraw-data-center-proposal-in-kalkaska-county-michigan/" TargetMode="External"/><Relationship Id="rId887" Type="http://schemas.openxmlformats.org/officeDocument/2006/relationships/hyperlink" Target="https://wwmt.com/news/local/data-center-indistrial-hub-pavilion-township-community-concerns-halt-project-kalamazoo-county-franklin-partners-llc" TargetMode="External"/><Relationship Id="rId886" Type="http://schemas.openxmlformats.org/officeDocument/2006/relationships/hyperlink" Target="https://www.youtube.com/watch?v=7TLuvv42Hjo" TargetMode="External"/><Relationship Id="rId885" Type="http://schemas.openxmlformats.org/officeDocument/2006/relationships/hyperlink" Target="https://www.facebook.com/groups/1291506282276814/" TargetMode="External"/><Relationship Id="rId889" Type="http://schemas.openxmlformats.org/officeDocument/2006/relationships/hyperlink" Target="https://www.interlochenpublicradio.org/2025-11-19/yall-should-stop-crowd-gives-cold-response-to-kalkaska-data-center-idea" TargetMode="External"/><Relationship Id="rId880" Type="http://schemas.openxmlformats.org/officeDocument/2006/relationships/hyperlink" Target="https://www.whmi.com/news/article/developers-withdraw-re-zoning-application-for-proposed-data-center-in-howell-twp?fbclid=IwY2xjawOjxD5leHRuA2FlbQIxMABicmlkETFGTWdNTnFwVzhHUFAxcXRrc3J0YwZhcHBfaWQQMjIyMDM5MTc4ODIwMDg5MgABHqbt42SjPESM_B2BmdYNZGnBkWqqW2rX4bXuiVk3lYnyLj84qbo_n3pDm2Yp_aem_SOH2yzjxxo5bOquwuYeBEw" TargetMode="External"/><Relationship Id="rId884" Type="http://schemas.openxmlformats.org/officeDocument/2006/relationships/hyperlink" Target="https://www.datacenterdynamics.com/en/news/owners-of-indoor-cannabis-farm-in-michigan-offer-site-up-for-data-center-use/" TargetMode="External"/><Relationship Id="rId883" Type="http://schemas.openxmlformats.org/officeDocument/2006/relationships/hyperlink" Target="https://www.datacenterdynamics.com/en/news/microsoft-confirms-plans-for-data-center-in-grand-rapids-michigan/" TargetMode="External"/><Relationship Id="rId882" Type="http://schemas.openxmlformats.org/officeDocument/2006/relationships/hyperlink" Target="https://planetdetroit.org/2025/12/billion-dollar-data-center-paused/" TargetMode="External"/><Relationship Id="rId881" Type="http://schemas.openxmlformats.org/officeDocument/2006/relationships/hyperlink" Target="https://www.whmi.com/news/article/vangilder-family-farm-data-center" TargetMode="External"/><Relationship Id="rId877" Type="http://schemas.openxmlformats.org/officeDocument/2006/relationships/hyperlink" Target="https://www.cbsnews.com/detroit/news/howell-township-data-center-developer-withdraws-project-application/" TargetMode="External"/><Relationship Id="rId876" Type="http://schemas.openxmlformats.org/officeDocument/2006/relationships/hyperlink" Target="https://planetdetroit.org/2025/09/data-center-rezoning-howell/" TargetMode="External"/><Relationship Id="rId875" Type="http://schemas.openxmlformats.org/officeDocument/2006/relationships/hyperlink" Target="https://www.datacenterdynamics.com/en/news/1000-acre-data-center-campus-planned-outside-detroit-michigan-set-to-be-blocked/" TargetMode="External"/><Relationship Id="rId874" Type="http://schemas.openxmlformats.org/officeDocument/2006/relationships/hyperlink" Target="https://www.change.org/p/demand-the-howell-township-board-enact-a-6-month-moratorium-on-rezoning" TargetMode="External"/><Relationship Id="rId879" Type="http://schemas.openxmlformats.org/officeDocument/2006/relationships/hyperlink" Target="https://www.mlive.com/news/ann-arbor/2025/11/meta-behind-1b-data-center-project-near-howell-trustee-confirms.html" TargetMode="External"/><Relationship Id="rId878" Type="http://schemas.openxmlformats.org/officeDocument/2006/relationships/hyperlink" Target="https://michiganadvance.com/2025/11/21/local-michigan-township-trustee-says-meta-is-behind-data-center-project-planned-near-howell/" TargetMode="External"/><Relationship Id="rId873" Type="http://schemas.openxmlformats.org/officeDocument/2006/relationships/hyperlink" Target="https://www.change.org/p/stop-the-construction-of-michigan-s-largest-data-center-in-howell" TargetMode="External"/><Relationship Id="rId872" Type="http://schemas.openxmlformats.org/officeDocument/2006/relationships/hyperlink" Target="https://www.facebook.com/groups/1890995838502334/" TargetMode="External"/><Relationship Id="rId871" Type="http://schemas.openxmlformats.org/officeDocument/2006/relationships/hyperlink" Target="https://www.wxyz.com/news/southfield-residents-voice-concerns-over-proposed-data-center-at-packed-council-meeting" TargetMode="External"/><Relationship Id="rId870" Type="http://schemas.openxmlformats.org/officeDocument/2006/relationships/hyperlink" Target="https://planetdetroit.org/2025/12/southfield-data-center-approval/" TargetMode="External"/><Relationship Id="rId1653" Type="http://schemas.openxmlformats.org/officeDocument/2006/relationships/hyperlink" Target="https://www.facebook.com/p/Penn-Forest-Residents-Against-Data-Center-61580305181244/" TargetMode="External"/><Relationship Id="rId2984" Type="http://schemas.openxmlformats.org/officeDocument/2006/relationships/hyperlink" Target="https://www.facebook.com/people/Kenoshans-Unite-Against-Microsoft-Data-Center/61583067017308/" TargetMode="External"/><Relationship Id="rId1654" Type="http://schemas.openxmlformats.org/officeDocument/2006/relationships/hyperlink" Target="https://www.wfmz.com/news/area/poconos-coal/carbon-county/penn-forest-community-discusses-potential-data-center/article_266fe14e-2bc7-474d-88a1-f309707f90af.html" TargetMode="External"/><Relationship Id="rId2985" Type="http://schemas.openxmlformats.org/officeDocument/2006/relationships/hyperlink" Target="https://www.change.org/p/stop-the-opening-of-the-microsoft-data-center-in-kenosha?" TargetMode="External"/><Relationship Id="rId1655" Type="http://schemas.openxmlformats.org/officeDocument/2006/relationships/hyperlink" Target="https://www.tnonline.com/20250911/data-center-on-rt-903-discussed/" TargetMode="External"/><Relationship Id="rId2986" Type="http://schemas.openxmlformats.org/officeDocument/2006/relationships/hyperlink" Target="https://biztimes.com/microsoft-buys-240-acres-of-land-in-kenosha-for-data-center-development/" TargetMode="External"/><Relationship Id="rId1656" Type="http://schemas.openxmlformats.org/officeDocument/2006/relationships/hyperlink" Target="https://www.tomshardware.com/tech-industry/cryptomining/major-bitcoin-mining-firm-pivoting-to-ai-plans-to-fully-abandon-crypto-mining-by-2027-bitfarm-to-leverage-341-megawatt-capacity-for-ai-following-usd46-million-q3-loss" TargetMode="External"/><Relationship Id="rId2987" Type="http://schemas.openxmlformats.org/officeDocument/2006/relationships/hyperlink" Target="https://www.kaba.org/news-item/psc-approves-natural-gas-power-plants-planned-in-oak-creek-and-kenosha-county/" TargetMode="External"/><Relationship Id="rId1657" Type="http://schemas.openxmlformats.org/officeDocument/2006/relationships/hyperlink" Target="https://bitfarms.com/our-portfolio/data-centers/north-america/" TargetMode="External"/><Relationship Id="rId2988" Type="http://schemas.openxmlformats.org/officeDocument/2006/relationships/hyperlink" Target="https://www.datacenterdynamics.com/en/news/former-walmart-in-milwaukee-wisconsin-could-become-data-center/" TargetMode="External"/><Relationship Id="rId1658" Type="http://schemas.openxmlformats.org/officeDocument/2006/relationships/hyperlink" Target="https://dastorllc.com/locations/" TargetMode="External"/><Relationship Id="rId2989" Type="http://schemas.openxmlformats.org/officeDocument/2006/relationships/hyperlink" Target="https://www.datacenterdynamics.com/en/news/plans-for-milwaukee-wisconsin-data-center-in-former-walmart-building-shelved-amid-strong-local-opposition/" TargetMode="External"/><Relationship Id="rId1659" Type="http://schemas.openxmlformats.org/officeDocument/2006/relationships/hyperlink" Target="https://www.datacenterdynamics.com/en/news/coreweave-plans-6bn-data-center-in-lancaster-pennsylvania/" TargetMode="External"/><Relationship Id="rId829" Type="http://schemas.openxmlformats.org/officeDocument/2006/relationships/hyperlink" Target="https://www.datacenterdynamics.com/en/news/150mw-data-center-proposed-for-baltimore-county-maryland/" TargetMode="External"/><Relationship Id="rId828" Type="http://schemas.openxmlformats.org/officeDocument/2006/relationships/hyperlink" Target="https://www.datacenterdynamics.com/en/news/data-center-in-maryland-sold-to-local-real-estate-group/" TargetMode="External"/><Relationship Id="rId827" Type="http://schemas.openxmlformats.org/officeDocument/2006/relationships/hyperlink" Target="https://www.datacenterdynamics.com/en/news/harrison-street-sells-two-powered-shell-data-center-sites-in-maryland/" TargetMode="External"/><Relationship Id="rId822" Type="http://schemas.openxmlformats.org/officeDocument/2006/relationships/hyperlink" Target="https://actionnetwork.org/groups/charles-county-against-data-centers" TargetMode="External"/><Relationship Id="rId821" Type="http://schemas.openxmlformats.org/officeDocument/2006/relationships/hyperlink" Target="https://www.datacenterdynamics.com/en/news/aws-proposes-data-center-campus-next-to-nuclear-plant-in-calvert-county-maryland/" TargetMode="External"/><Relationship Id="rId820" Type="http://schemas.openxmlformats.org/officeDocument/2006/relationships/hyperlink" Target="https://www.datacenterdynamics.com/en/news/harrison-street-sells-two-powered-shell-data-center-sites-in-maryland/" TargetMode="External"/><Relationship Id="rId826" Type="http://schemas.openxmlformats.org/officeDocument/2006/relationships/hyperlink" Target="https://www.expedient.com/data-centers/baltimore/" TargetMode="External"/><Relationship Id="rId825" Type="http://schemas.openxmlformats.org/officeDocument/2006/relationships/hyperlink" Target="https://investors.terawulf.com/news-events/press-releases/detail/129/terawulf-expands-digital-and-power-infrastructure-portfolio" TargetMode="External"/><Relationship Id="rId824" Type="http://schemas.openxmlformats.org/officeDocument/2006/relationships/hyperlink" Target="https://thebaynet.com/charles-countys-morgantown-plant-being-bought-by-data-infrastructure-company/" TargetMode="External"/><Relationship Id="rId823" Type="http://schemas.openxmlformats.org/officeDocument/2006/relationships/hyperlink" Target="https://www.change.org/p/reject-zta-25-187-data-centers-we-want-more-transparency-and-community-involvement" TargetMode="External"/><Relationship Id="rId2980" Type="http://schemas.openxmlformats.org/officeDocument/2006/relationships/hyperlink" Target="https://www.widatacenterfacts.org/communities/janesville-fact-checking-the-citys-fact-checking" TargetMode="External"/><Relationship Id="rId1650" Type="http://schemas.openxmlformats.org/officeDocument/2006/relationships/hyperlink" Target="https://www.citizensvoice.com/2025/08/11/senate-data-center-hearing-at-valley-view-largely-touts-benefits/" TargetMode="External"/><Relationship Id="rId2981" Type="http://schemas.openxmlformats.org/officeDocument/2006/relationships/hyperlink" Target="https://www.facebook.com/people/No-Janesville-Data-Center/61580624576545/" TargetMode="External"/><Relationship Id="rId1651" Type="http://schemas.openxmlformats.org/officeDocument/2006/relationships/hyperlink" Target="https://www.thetimes-tribune.com/2025/05/18/data-centers-could-reshape-landscape-in-nepa/" TargetMode="External"/><Relationship Id="rId2982" Type="http://schemas.openxmlformats.org/officeDocument/2006/relationships/hyperlink" Target="https://www.facebook.com/groups/1347060293852060/" TargetMode="External"/><Relationship Id="rId1652" Type="http://schemas.openxmlformats.org/officeDocument/2006/relationships/hyperlink" Target="https://web.archive.org/web/20250917231914/https://www.thetimes-tribune.com/2025/09/16/developer-shifts-from-warehouse-to-data-center-by-power-plant-in-jessup/" TargetMode="External"/><Relationship Id="rId2983" Type="http://schemas.openxmlformats.org/officeDocument/2006/relationships/hyperlink" Target="https://www.datacenterdynamics.com/en/news/developer-panattoni-seeks-to-claw-back-cash-from-town-of-turtle-wisconsin-for-430-acre-data-center/" TargetMode="External"/><Relationship Id="rId1642" Type="http://schemas.openxmlformats.org/officeDocument/2006/relationships/hyperlink" Target="https://www.datacenterdynamics.com/en/news/homer-city-and-kiewit-unveil-plans-for-45gw-natural-gas-powered-ai-data-center-in-pennsylvania/" TargetMode="External"/><Relationship Id="rId2973" Type="http://schemas.openxmlformats.org/officeDocument/2006/relationships/hyperlink" Target="https://www.gannett-cdn.com/authoring/authoring-images/2025/04/29/PMJS/83351569007-mjs-250422-data-center-p-15.jpg" TargetMode="External"/><Relationship Id="rId1643" Type="http://schemas.openxmlformats.org/officeDocument/2006/relationships/hyperlink" Target="https://triblive.com/local/regional/dep-gives-preliminary-nod-to-homer-city-plant-but-enviromental-group-sounds-alarm-regarding-pollution/" TargetMode="External"/><Relationship Id="rId2974" Type="http://schemas.openxmlformats.org/officeDocument/2006/relationships/hyperlink" Target="https://www.facebook.com/groups/2066040647465173/_join_/" TargetMode="External"/><Relationship Id="rId1644" Type="http://schemas.openxmlformats.org/officeDocument/2006/relationships/hyperlink" Target="https://www.homercityredevelopment.com/project-overview" TargetMode="External"/><Relationship Id="rId2975" Type="http://schemas.openxmlformats.org/officeDocument/2006/relationships/hyperlink" Target="https://www.datacenterdynamics.com/en/news/residents-of-greenleaf-wisconsin-offered-up-to-120000-per-acre-to-sell-land-for-data-center-report/" TargetMode="External"/><Relationship Id="rId1645" Type="http://schemas.openxmlformats.org/officeDocument/2006/relationships/hyperlink" Target="https://www.datacenterfrontier.com/site-selection/article/55281341/pennsylvanias-homer-city-energy-campus-a-brownfield-transformed-for-data-center-innovation" TargetMode="External"/><Relationship Id="rId2976" Type="http://schemas.openxmlformats.org/officeDocument/2006/relationships/hyperlink" Target="https://www.datacenterdynamics.com/en/news/cloverleaf-backs-out-of-data-center-project-in-greenleaf-wisconsin/" TargetMode="External"/><Relationship Id="rId1646" Type="http://schemas.openxmlformats.org/officeDocument/2006/relationships/hyperlink" Target="https://www.indianagazette.com/news/environmental-advocates-pa-youths-appeal-permit-for-homer-city-energy-campus/article_7a34ee2f-e81a-41e0-9138-a25f5cbd9de4.html?fbclid=IwY2xjawPp60BleHRuA2FlbQIxMQBzcnRjBmFwcF9pZBAyMjIwMzkxNzg4MjAwODkyAAEeRuDRB7oOPRZeqxrV5GLOlv4YEkleEG7D6Ml3jQPSw4r0bhIaswlYqUZ15sg_aem_7zjyQqhwcx_teLrh61aVDA" TargetMode="External"/><Relationship Id="rId2977" Type="http://schemas.openxmlformats.org/officeDocument/2006/relationships/hyperlink" Target="https://spectrumnews1.com/wi/milwaukee/news/2026/01/13/data-center-withdraws-plans-to-build-in-brown-county-following-community-pushback-greenleaf-" TargetMode="External"/><Relationship Id="rId1647" Type="http://schemas.openxmlformats.org/officeDocument/2006/relationships/hyperlink" Target="https://www.businesswire.com/news/home/20260401716982/en/Homer-City-Redevelopment-Crosses-the-First-Steel-Threshold" TargetMode="External"/><Relationship Id="rId2978" Type="http://schemas.openxmlformats.org/officeDocument/2006/relationships/hyperlink" Target="https://www.change.org/p/no-janesville-data-center" TargetMode="External"/><Relationship Id="rId1648" Type="http://schemas.openxmlformats.org/officeDocument/2006/relationships/hyperlink" Target="https://www.datacenterdynamics.com/en/news/data-centers-planned-at-former-quarry-in-dauphin-county-pennsylvania/" TargetMode="External"/><Relationship Id="rId2979" Type="http://schemas.openxmlformats.org/officeDocument/2006/relationships/hyperlink" Target="https://www.datacenterdynamics.com/en/news/officials-in-janesville-wisconsin-seek-data-center-partner-for-former-gm-auto-assembly-plant/" TargetMode="External"/><Relationship Id="rId1649" Type="http://schemas.openxmlformats.org/officeDocument/2006/relationships/hyperlink" Target="https://www.yahoo.com/news/articles/convenience-store-developer-proposes-ai-000500338.html" TargetMode="External"/><Relationship Id="rId819" Type="http://schemas.openxmlformats.org/officeDocument/2006/relationships/hyperlink" Target="https://www.washingtoninformer.com/landover-data-center-protest/" TargetMode="External"/><Relationship Id="rId818" Type="http://schemas.openxmlformats.org/officeDocument/2006/relationships/hyperlink" Target="https://web.archive.org/web/20250401004408/https://www.pgcedc.com/latest-pgcedc-news/2024/10/29/5b-data-center-campus-on-former-landover-mall-footprint-could-break-ground-by-2026" TargetMode="External"/><Relationship Id="rId817" Type="http://schemas.openxmlformats.org/officeDocument/2006/relationships/hyperlink" Target="https://www.washingtoninformer.com/landover-data-center-protest/" TargetMode="External"/><Relationship Id="rId816" Type="http://schemas.openxmlformats.org/officeDocument/2006/relationships/hyperlink" Target="https://www.nbcwashington.com/news/local/prince-georges-county-to-pause-data-center-development/3988847/" TargetMode="External"/><Relationship Id="rId811" Type="http://schemas.openxmlformats.org/officeDocument/2006/relationships/hyperlink" Target="https://www.change.org/p/prohibit-data-centers-in-the-sugarloaf-plan-area/u/33486187" TargetMode="External"/><Relationship Id="rId810" Type="http://schemas.openxmlformats.org/officeDocument/2006/relationships/hyperlink" Target="https://www.sugarloaf-alliance.com/" TargetMode="External"/><Relationship Id="rId815" Type="http://schemas.openxmlformats.org/officeDocument/2006/relationships/hyperlink" Target="https://www.change.org/p/stop-data-center-at-former-landover-mall-site" TargetMode="External"/><Relationship Id="rId814" Type="http://schemas.openxmlformats.org/officeDocument/2006/relationships/hyperlink" Target="https://www.wypr.org/wypr-news/2025-09-19/maryland-organizations-put-spotlight-on-data-center-industry" TargetMode="External"/><Relationship Id="rId813" Type="http://schemas.openxmlformats.org/officeDocument/2006/relationships/hyperlink" Target="https://news.alcoa.com/press-releases/press-release-details/2021/Alcoa-Sells-Former-Eastalco-Site-for-100-Million-Buyer-to-Use-Repurposed-Land-for-Next-Generation-Data-Centers/default.aspx" TargetMode="External"/><Relationship Id="rId812" Type="http://schemas.openxmlformats.org/officeDocument/2006/relationships/hyperlink" Target="https://www.datacenterdynamics.com/en/news/aligned-looks-to-develop-three-more-data-centers-at-quantum-frederick-park-in-maryland/" TargetMode="External"/><Relationship Id="rId2970" Type="http://schemas.openxmlformats.org/officeDocument/2006/relationships/hyperlink" Target="https://pbswisconsin.org/news-item/the-local-battles-over-data-center-developments-in-wisconsin/?fbclid=IwY2xjawQb89xleHRuA2FlbQIxMQBzcnRjBmFwcF9pZBAyMjIwMzkxNzg4MjAwODkyAAEe_9n-9GXVsrmup4ro8JcBXofGIGDBBJOvEis3IhU4EDbZm0ChkaEapPFbbd8_aem_HvzltHtS42i2Jp2jBPjrRA" TargetMode="External"/><Relationship Id="rId1640" Type="http://schemas.openxmlformats.org/officeDocument/2006/relationships/hyperlink" Target="https://www.protectpt.org/data-center" TargetMode="External"/><Relationship Id="rId2971" Type="http://schemas.openxmlformats.org/officeDocument/2006/relationships/hyperlink" Target="https://www.expedient.com/data-centers/milwaukee/" TargetMode="External"/><Relationship Id="rId1641" Type="http://schemas.openxmlformats.org/officeDocument/2006/relationships/hyperlink" Target="https://triblive.com/local/regional/developers-offer-details-on-planned-natural-gas-fueled-power-generating-plant-in-homer-city/" TargetMode="External"/><Relationship Id="rId2972" Type="http://schemas.openxmlformats.org/officeDocument/2006/relationships/hyperlink" Target="https://www.jsonline.com/story/communities/north/2025/04/08/port-washington-takes-up-zoning-standards-for-proposed-data-center/82774695007/" TargetMode="External"/><Relationship Id="rId1675" Type="http://schemas.openxmlformats.org/officeDocument/2006/relationships/hyperlink" Target="https://www.heraldstandard.com/gcm/2025/oct/16/data-center-project-announced-for-greene-county/" TargetMode="External"/><Relationship Id="rId1676" Type="http://schemas.openxmlformats.org/officeDocument/2006/relationships/hyperlink" Target="https://www.observer-reporter.com/uncategorized/2025/oct/16/data-center-project-announced-for-greene-county/" TargetMode="External"/><Relationship Id="rId1677" Type="http://schemas.openxmlformats.org/officeDocument/2006/relationships/hyperlink" Target="https://www.observer-reporter.com/uncategorized/2025/dec/19/greene-county-planners-ok-early-work-on-proposed-data-center-site/" TargetMode="External"/><Relationship Id="rId1678" Type="http://schemas.openxmlformats.org/officeDocument/2006/relationships/hyperlink" Target="https://www.datacenterdynamics.com/en/news/falls-township-approves-nda-for-data-center-project-outside-philadelphia-in-pennsylvania/" TargetMode="External"/><Relationship Id="rId1679" Type="http://schemas.openxmlformats.org/officeDocument/2006/relationships/hyperlink" Target="https://technical.ly/civics/amazon-20b-pennsylvania-cloud-ai/" TargetMode="External"/><Relationship Id="rId849" Type="http://schemas.openxmlformats.org/officeDocument/2006/relationships/hyperlink" Target="https://bridgemi.com/michigan-environment-watch/tiny-michigan-town-hopes-to-stop-data-center-with-ballot-initiative/" TargetMode="External"/><Relationship Id="rId844" Type="http://schemas.openxmlformats.org/officeDocument/2006/relationships/hyperlink" Target="https://planetdetroit.org/2026/01/allen-park-postpones-data-center-decision/" TargetMode="External"/><Relationship Id="rId843" Type="http://schemas.openxmlformats.org/officeDocument/2006/relationships/hyperlink" Target="https://planetdetroit.org/2026/01/allen-park-data-center-proposal/" TargetMode="External"/><Relationship Id="rId842" Type="http://schemas.openxmlformats.org/officeDocument/2006/relationships/hyperlink" Target="https://cms3.revize.com/revize/allenparkmi/Documents/Departments/Building%20and%20Engineering/Development%20Projects%20&amp;%20Public%20Hearings/2026/2026.01.08%20Data%20Center/SD-SPBG01-ZZ-Z-BGT-RP-Z-80412%20Report%20for%20PC.pdf?t=202601051514460&amp;t=202601051514460" TargetMode="External"/><Relationship Id="rId841" Type="http://schemas.openxmlformats.org/officeDocument/2006/relationships/hyperlink" Target="https://cityofallenpark.org/departments/building_and_engineering/faq.php" TargetMode="External"/><Relationship Id="rId848" Type="http://schemas.openxmlformats.org/officeDocument/2006/relationships/hyperlink" Target="https://augustatownship.org/wp-content/uploads/2025/05/Data_Center_Review.pdf" TargetMode="External"/><Relationship Id="rId847" Type="http://schemas.openxmlformats.org/officeDocument/2006/relationships/hyperlink" Target="https://www.datacenterdynamics.com/en/news/local-officials-recommend-denial-of-thor-equities-data-center-in-michigan/" TargetMode="External"/><Relationship Id="rId846" Type="http://schemas.openxmlformats.org/officeDocument/2006/relationships/hyperlink" Target="https://www.mlive.com/news/ann-arbor/2025/07/farmland-rezoned-for-proposed-1b-data-center-in-southeast-washtenaw-county.html" TargetMode="External"/><Relationship Id="rId845" Type="http://schemas.openxmlformats.org/officeDocument/2006/relationships/hyperlink" Target="https://www.datacenterdynamics.com/en/news/oppidan-data-center-outside-minneapolis-rejected/" TargetMode="External"/><Relationship Id="rId1670" Type="http://schemas.openxmlformats.org/officeDocument/2006/relationships/hyperlink" Target="https://www.datacenterdynamics.com/en/news/northern-data-launches-data-center-in-pittsburgh-pennsylvania/" TargetMode="External"/><Relationship Id="rId840" Type="http://schemas.openxmlformats.org/officeDocument/2006/relationships/hyperlink" Target="https://www.thenewsherald.com/2025/12/08/data-center-proposed-in-allen-park-to-be-considered-by-planners/" TargetMode="External"/><Relationship Id="rId1671" Type="http://schemas.openxmlformats.org/officeDocument/2006/relationships/hyperlink" Target="https://www.gem.wiki/Mawson_Infrastructure_Group_Beaver_County_facility" TargetMode="External"/><Relationship Id="rId1672" Type="http://schemas.openxmlformats.org/officeDocument/2006/relationships/hyperlink" Target="https://www.post-gazette.com/business/tech-news/2026/02/08/beaver-valley-data-centers-shippingport-aligned/stories/202602080033" TargetMode="External"/><Relationship Id="rId1673" Type="http://schemas.openxmlformats.org/officeDocument/2006/relationships/hyperlink" Target="https://www.cbsnews.com/pittsburgh/news/ai-infrastructure-beaver-valley/" TargetMode="External"/><Relationship Id="rId1674" Type="http://schemas.openxmlformats.org/officeDocument/2006/relationships/hyperlink" Target="https://centerforcoalfieldjustice.org/" TargetMode="External"/><Relationship Id="rId1664" Type="http://schemas.openxmlformats.org/officeDocument/2006/relationships/hyperlink" Target="https://www.datacenterdynamics.com/en/news/plans-for-data-center-submitted-in-mifflin-county-pennsylvania-just-two-days-before-local-moratorium-vote/" TargetMode="External"/><Relationship Id="rId2995" Type="http://schemas.openxmlformats.org/officeDocument/2006/relationships/hyperlink" Target="https://www.tomshardware.com/tech-industry/artificial-intelligence/microsoft-announces-worlds-most-powerful-ai-data-center-315-acre-site-to-house-hundreds-of-thousands-of-nvidia-gpus-and-enough-fiber-to-circle-the-earth-4-5-times" TargetMode="External"/><Relationship Id="rId1665" Type="http://schemas.openxmlformats.org/officeDocument/2006/relationships/hyperlink" Target="https://www.datacenterdynamics.com/en/news/aws-plans-25-million-sq-ft-data-center-campus-in-kline-township-pennsylvania/" TargetMode="External"/><Relationship Id="rId2996" Type="http://schemas.openxmlformats.org/officeDocument/2006/relationships/hyperlink" Target="https://epoch.ai/data/data-centers/satellite-explorer/MicrosoftFairwaterMountPleasantWisconsin?ref=404media.co" TargetMode="External"/><Relationship Id="rId1666" Type="http://schemas.openxmlformats.org/officeDocument/2006/relationships/hyperlink" Target="https://www.robinsonwater.com/" TargetMode="External"/><Relationship Id="rId2997" Type="http://schemas.openxmlformats.org/officeDocument/2006/relationships/hyperlink" Target="https://www.wisn.com/article/whats-that-sound-its-mount-pleasants-new-ai-data-center/70850595" TargetMode="External"/><Relationship Id="rId1667" Type="http://schemas.openxmlformats.org/officeDocument/2006/relationships/hyperlink" Target="https://centerforcoalfieldjustice.org/" TargetMode="External"/><Relationship Id="rId2998" Type="http://schemas.openxmlformats.org/officeDocument/2006/relationships/hyperlink" Target="https://www.facebook.com/GreatLakesNeighborsUnited" TargetMode="External"/><Relationship Id="rId1668" Type="http://schemas.openxmlformats.org/officeDocument/2006/relationships/hyperlink" Target="https://imperialland.com/fort-cherry-development-district/" TargetMode="External"/><Relationship Id="rId2999" Type="http://schemas.openxmlformats.org/officeDocument/2006/relationships/hyperlink" Target="https://www.change.org/p/stop-the-port-washington-wi-data-center" TargetMode="External"/><Relationship Id="rId1669" Type="http://schemas.openxmlformats.org/officeDocument/2006/relationships/hyperlink" Target="https://www.datacenterdynamics.com/en/news/liberty-energy-range-resources-ilc-to-build-gas-plant-for-data-centers-in-pennsylvania/" TargetMode="External"/><Relationship Id="rId839" Type="http://schemas.openxmlformats.org/officeDocument/2006/relationships/hyperlink" Target="https://www.change.org/p/non-allen-park-mi-residents-help-keep-ai-data-centers-out-of-wayne-county-cities-listed" TargetMode="External"/><Relationship Id="rId838" Type="http://schemas.openxmlformats.org/officeDocument/2006/relationships/hyperlink" Target="https://tockify.com/miresistevents/detail/1285/1767913200000" TargetMode="External"/><Relationship Id="rId833" Type="http://schemas.openxmlformats.org/officeDocument/2006/relationships/hyperlink" Target="https://www.datacenterdynamics.com/en/news/tier-iii-ai-data-center-proposed-for-lewiston-bates-mill-in-maine/" TargetMode="External"/><Relationship Id="rId832" Type="http://schemas.openxmlformats.org/officeDocument/2006/relationships/hyperlink" Target="https://www.facebook.com/groups/881401921000636/" TargetMode="External"/><Relationship Id="rId831" Type="http://schemas.openxmlformats.org/officeDocument/2006/relationships/hyperlink" Target="https://www.datacenterdynamics.com/en/news/underwater-data-center-powered-by-tidal-energy-proposed-off-the-coast-of-maine/" TargetMode="External"/><Relationship Id="rId830" Type="http://schemas.openxmlformats.org/officeDocument/2006/relationships/hyperlink" Target="https://www.facebook.com/groups/286077786303933/posts/1307011727543862/" TargetMode="External"/><Relationship Id="rId837" Type="http://schemas.openxmlformats.org/officeDocument/2006/relationships/hyperlink" Target="https://www.datacenterdynamics.com/en/news/vampire-data-center-scheme-irks-residents-in-wiscasset-maine/" TargetMode="External"/><Relationship Id="rId836" Type="http://schemas.openxmlformats.org/officeDocument/2006/relationships/hyperlink" Target="https://insideclimatenews.org/news/26112025/maine-data-center-green-innovation" TargetMode="External"/><Relationship Id="rId835" Type="http://schemas.openxmlformats.org/officeDocument/2006/relationships/hyperlink" Target="https://www.newscentermaine.com/article/news/local/lewiston-auburn/lewiston-city-councilors-unanimously-vote-down-ai-data-center-proposal/97-392ae679-b55b-430c-b1b3-8dd641dd3489" TargetMode="External"/><Relationship Id="rId834" Type="http://schemas.openxmlformats.org/officeDocument/2006/relationships/hyperlink" Target="https://www.mainepublic.org/business-and-economy/2025-12-17/lewiston-city-council-shoots-down-data-center-proposal" TargetMode="External"/><Relationship Id="rId2990" Type="http://schemas.openxmlformats.org/officeDocument/2006/relationships/hyperlink" Target="https://www.datacenterdynamics.com/en/news/microsoft-pauses-construction-on-part-of-data-center-site-in-mount-pleasant-wisconsin/" TargetMode="External"/><Relationship Id="rId1660" Type="http://schemas.openxmlformats.org/officeDocument/2006/relationships/hyperlink" Target="https://web.archive.org/web/20250727192710/https://lancasteronline.com/opinion/editorials/we-have-numerous-questions-about-the-new-data-center-planned-for-lancaster-city-editorial/article_c2cf2479-33f1-4425-921f-1fac8b46f7df.html" TargetMode="External"/><Relationship Id="rId2991" Type="http://schemas.openxmlformats.org/officeDocument/2006/relationships/hyperlink" Target="https://www.datacenterdynamics.com/en/news/racine-county-wisconsin-approves-microsofts-1000-acre-expansion-of-mount-pleasant-campus/" TargetMode="External"/><Relationship Id="rId1661" Type="http://schemas.openxmlformats.org/officeDocument/2006/relationships/hyperlink" Target="https://www.fox43.com/article/news/local/lancaster-outlines-new-community-agreement-with-data-centers-communty-lancaster-county/521-ff141d3b-7896-472f-9351-6c74a4c85bd1" TargetMode="External"/><Relationship Id="rId2992" Type="http://schemas.openxmlformats.org/officeDocument/2006/relationships/hyperlink" Target="https://www.datacenterdynamics.com/en/news/microsoft-breaks-ground-on-1bn-data-center-in-wisconsin/" TargetMode="External"/><Relationship Id="rId1662" Type="http://schemas.openxmlformats.org/officeDocument/2006/relationships/hyperlink" Target="https://www.datacenterdynamics.com/en/news/coreweave-plans-6bn-data-center-in-lancaster-pennsylvania/" TargetMode="External"/><Relationship Id="rId2993" Type="http://schemas.openxmlformats.org/officeDocument/2006/relationships/hyperlink" Target="https://rbnenergy.com/i-know-places-tech-giants-may-be-the-surest-bets-for-data-center-power-demand" TargetMode="External"/><Relationship Id="rId1663" Type="http://schemas.openxmlformats.org/officeDocument/2006/relationships/hyperlink" Target="https://www.fox43.com/article/news/local/lancaster-outlines-new-community-agreement-with-data-centers-communty-lancaster-county/521-ff141d3b-7896-472f-9351-6c74a4c85bd1" TargetMode="External"/><Relationship Id="rId2994" Type="http://schemas.openxmlformats.org/officeDocument/2006/relationships/hyperlink" Target="https://www.jsonline.com/story/news/local/2025/09/15/suit-filed-to-learn-lake-michigan-water-use-at-microsoft-data-center/86161113007/" TargetMode="External"/><Relationship Id="rId2148" Type="http://schemas.openxmlformats.org/officeDocument/2006/relationships/hyperlink" Target="https://www.datacenterdynamics.com/en/news/powerhouse-looking-to-build-500-acre-data-center-near-austin-texas/" TargetMode="External"/><Relationship Id="rId2149" Type="http://schemas.openxmlformats.org/officeDocument/2006/relationships/hyperlink" Target="https://www.datacentermap.com/usa/texas/austin/tract-uhland/" TargetMode="External"/><Relationship Id="rId2140" Type="http://schemas.openxmlformats.org/officeDocument/2006/relationships/hyperlink" Target="https://www.kcentv.com/video/news/local/700-million-data-center-coming-to-temple/500-f7b6d768-127b-4b2d-aacb-b83bf46572cb" TargetMode="External"/><Relationship Id="rId2141" Type="http://schemas.openxmlformats.org/officeDocument/2006/relationships/hyperlink" Target="https://invest.jll.com/us/en/listings/special-purpose-facility/8-asset-switch-portfolio" TargetMode="External"/><Relationship Id="rId2142" Type="http://schemas.openxmlformats.org/officeDocument/2006/relationships/hyperlink" Target="https://www.datacenterdynamics.com/en/news/5000-acre-plot-listed-for-sale-for-data-center-development-in-the-texas-panhandle/" TargetMode="External"/><Relationship Id="rId2143" Type="http://schemas.openxmlformats.org/officeDocument/2006/relationships/hyperlink" Target="https://www.nbcdfw.com/news/local/hood-county-residents-concerned-about-proposed-data-center/3967981/" TargetMode="External"/><Relationship Id="rId2144" Type="http://schemas.openxmlformats.org/officeDocument/2006/relationships/hyperlink" Target="https://www.youtube.com/watch?v=8ecYhZEItYA" TargetMode="External"/><Relationship Id="rId2145" Type="http://schemas.openxmlformats.org/officeDocument/2006/relationships/hyperlink" Target="https://www.texastribune.org/2026/06/02/texas-data-centers-hood-county-local-control-rural-water-power/" TargetMode="External"/><Relationship Id="rId2146" Type="http://schemas.openxmlformats.org/officeDocument/2006/relationships/hyperlink" Target="https://www.keranews.org/government/2026-06-09/hood-county-approves-comanche-circle-data-center-without-conditions-after-contentious-meeting" TargetMode="External"/><Relationship Id="rId2147" Type="http://schemas.openxmlformats.org/officeDocument/2006/relationships/hyperlink" Target="https://www.datacenterdynamics.com/en/news/tyler-texas-rejects-bitcoin-mining-data-center/" TargetMode="External"/><Relationship Id="rId2137" Type="http://schemas.openxmlformats.org/officeDocument/2006/relationships/hyperlink" Target="https://www.kcentv.com/article/news/local/temple-city-council-moves-forward-plan-data-center/500-8ae0ede9-cbff-4d47-a390-209ecb44043e" TargetMode="External"/><Relationship Id="rId2138" Type="http://schemas.openxmlformats.org/officeDocument/2006/relationships/hyperlink" Target="https://www.datacenterdynamics.com/en/news/rowan-closes-3bn-green-financing-for-texas-data-center-campus/" TargetMode="External"/><Relationship Id="rId2139" Type="http://schemas.openxmlformats.org/officeDocument/2006/relationships/hyperlink" Target="https://www.rowantemple.com/faqs" TargetMode="External"/><Relationship Id="rId2130" Type="http://schemas.openxmlformats.org/officeDocument/2006/relationships/hyperlink" Target="https://trerc.tamu.edu/news-talk/development-underway-on-metas-temple-data-center/" TargetMode="External"/><Relationship Id="rId2131" Type="http://schemas.openxmlformats.org/officeDocument/2006/relationships/hyperlink" Target="https://jedunn.com/projects/meta-temple-data-center/" TargetMode="External"/><Relationship Id="rId2132" Type="http://schemas.openxmlformats.org/officeDocument/2006/relationships/hyperlink" Target="https://dgtlinfra.com/polmer-800m-temple-texas-data-center/" TargetMode="External"/><Relationship Id="rId2133" Type="http://schemas.openxmlformats.org/officeDocument/2006/relationships/hyperlink" Target="https://www.tdlr.texas.gov/TABS/Search/Project/TABS2025007641" TargetMode="External"/><Relationship Id="rId2134" Type="http://schemas.openxmlformats.org/officeDocument/2006/relationships/hyperlink" Target="https://www.bizjournals.com/austin/news/2025/09/15/rowan-temple-data-center-campus-austin-market-meta.html" TargetMode="External"/><Relationship Id="rId2135" Type="http://schemas.openxmlformats.org/officeDocument/2006/relationships/hyperlink" Target="https://www.rowantemple.com/faqs" TargetMode="External"/><Relationship Id="rId2136" Type="http://schemas.openxmlformats.org/officeDocument/2006/relationships/hyperlink" Target="https://www.datacenterdynamics.com/en/news/rowan-starts-work-on-300mw-data-center-in-temple-texas/" TargetMode="External"/><Relationship Id="rId2160" Type="http://schemas.openxmlformats.org/officeDocument/2006/relationships/hyperlink" Target="https://www.datacenterdynamics.com/en/news/crusoe-taps-blue-energy-to-supply-nuclear-power-for-up-to-15gw-data-center-in-port-of-victoria-texas/" TargetMode="External"/><Relationship Id="rId2161" Type="http://schemas.openxmlformats.org/officeDocument/2006/relationships/hyperlink" Target="https://www.datacenterdynamics.com/en/news/cyrusone-partners-with-constellation-for-760mw-data-center-campus-in-texas/" TargetMode="External"/><Relationship Id="rId2162" Type="http://schemas.openxmlformats.org/officeDocument/2006/relationships/hyperlink" Target="https://www.datacenterdynamics.com/en/news/cyrusone-signs-210mw-energy-deal-with-calpine-for-texas-data-center-campus/" TargetMode="External"/><Relationship Id="rId2163" Type="http://schemas.openxmlformats.org/officeDocument/2006/relationships/hyperlink" Target="https://www.datacenterdynamics.com/en/news/cyrusone-tops-out-latest-texas-data-center/" TargetMode="External"/><Relationship Id="rId2164" Type="http://schemas.openxmlformats.org/officeDocument/2006/relationships/hyperlink" Target="https://www.dallasnews.com/business/energy/2025/07/30/cyrusone-calpine-to-develop-a-12b-hyperscale-data-center-campus-in-central-texas/" TargetMode="External"/><Relationship Id="rId2165" Type="http://schemas.openxmlformats.org/officeDocument/2006/relationships/hyperlink" Target="https://www.power-eng.com/gas/calpine-lands-190-mw-agreement-for-new-hyperscale-data-center-in-texas/" TargetMode="External"/><Relationship Id="rId2166" Type="http://schemas.openxmlformats.org/officeDocument/2006/relationships/hyperlink" Target="https://www.datacenterdynamics.com/en/news/comcast-to-convert-former-bank-into-data-center-in-new-jersey/" TargetMode="External"/><Relationship Id="rId2167" Type="http://schemas.openxmlformats.org/officeDocument/2006/relationships/hyperlink" Target="https://www.tdlr.texas.gov/TABS/Search/Project/TABS2024025831" TargetMode="External"/><Relationship Id="rId2168" Type="http://schemas.openxmlformats.org/officeDocument/2006/relationships/hyperlink" Target="https://www.datacenterdynamics.com/en/news/cipher-mining-to-develop-300mw-cryptomining-data-center-site-in-west-texas/" TargetMode="External"/><Relationship Id="rId2169" Type="http://schemas.openxmlformats.org/officeDocument/2006/relationships/hyperlink" Target="https://www.tdlr.texas.gov/TABS/Search/Project/TABS2025001763" TargetMode="External"/><Relationship Id="rId2159" Type="http://schemas.openxmlformats.org/officeDocument/2006/relationships/hyperlink" Target="https://www.crusoe.ai/resources/newsroom/blue-energy-and-crusoe-partner-to-develop-nuclear-powered-ai-data-center" TargetMode="External"/><Relationship Id="rId2150" Type="http://schemas.openxmlformats.org/officeDocument/2006/relationships/hyperlink" Target="https://www.datacenterdynamics.com/en/news/black-mountain-power-buys-432-acres-in-san-antonio-texas/" TargetMode="External"/><Relationship Id="rId2151" Type="http://schemas.openxmlformats.org/officeDocument/2006/relationships/hyperlink" Target="https://8888cre.com/Data-center-land-for-sale-in-tax-incentive-zone-data-center-land-for-sale-with-power-substation-access-megawatt-powerline-near-Dallas-Texas-Fort-Worth-TX.pdf" TargetMode="External"/><Relationship Id="rId2152" Type="http://schemas.openxmlformats.org/officeDocument/2006/relationships/hyperlink" Target="https://8888cre.com/Data-center-land-for-sale-in-tax-incentive-zone-data-center-land-for-sale-with-power-substation-access-megawatt-powerline-near-Dallas-Texas-Fort-Worth-TX.pdf" TargetMode="External"/><Relationship Id="rId2153" Type="http://schemas.openxmlformats.org/officeDocument/2006/relationships/hyperlink" Target="https://8888cre.com/Data-center-land-for-sale-in-tax-incentive-zone-data-center-land-for-sale-with-power-substation-access-megawatt-powerline-near-Dallas-Texas-Fort-Worth-TX.pdf" TargetMode="External"/><Relationship Id="rId2154" Type="http://schemas.openxmlformats.org/officeDocument/2006/relationships/hyperlink" Target="https://8888cre.com/Data-center-land-for-sale-in-tax-incentive-zone-data-center-land-for-sale-with-power-substation-access-megawatt-powerline-near-Dallas-Texas-Fort-Worth-TX.pdf" TargetMode="External"/><Relationship Id="rId2155" Type="http://schemas.openxmlformats.org/officeDocument/2006/relationships/hyperlink" Target="https://8888cre.com/Data-center-land-for-sale-in-tax-incentive-zone-data-center-land-for-sale-with-power-substation-access-megawatt-powerline-near-Dallas-Texas-Fort-Worth-TX.pdf" TargetMode="External"/><Relationship Id="rId2156" Type="http://schemas.openxmlformats.org/officeDocument/2006/relationships/hyperlink" Target="https://8888cre.com/Data-center-land-for-sale-in-tax-incentive-zone-data-center-land-for-sale-with-power-substation-access-megawatt-powerline-near-Dallas-Texas-Fort-Worth-TX.pdf" TargetMode="External"/><Relationship Id="rId2157" Type="http://schemas.openxmlformats.org/officeDocument/2006/relationships/hyperlink" Target="https://cityofvenus.diligent.community/document/feb4f78c-9858-42f6-b202-88862555f9a3/" TargetMode="External"/><Relationship Id="rId2158" Type="http://schemas.openxmlformats.org/officeDocument/2006/relationships/hyperlink" Target="https://www.datacenterdynamics.com/en/news/soluna-breaks-ground-on-50mw-cryptomine-data-center-expansion-in-texas/" TargetMode="External"/><Relationship Id="rId2104" Type="http://schemas.openxmlformats.org/officeDocument/2006/relationships/hyperlink" Target="https://www.datacenterdynamics.com/en/news/microsoft-files-for-data-center-campus-outside-san-antonio/" TargetMode="External"/><Relationship Id="rId2105" Type="http://schemas.openxmlformats.org/officeDocument/2006/relationships/hyperlink" Target="https://www.datacenterdynamics.com/en/news/vantage-files-plans-for-san-antonio-data-center/" TargetMode="External"/><Relationship Id="rId2106" Type="http://schemas.openxmlformats.org/officeDocument/2006/relationships/hyperlink" Target="https://www.datacenterdynamics.com/en/news/vantage-buys-two-land-plots-in-san-antonio-texas/" TargetMode="External"/><Relationship Id="rId2107" Type="http://schemas.openxmlformats.org/officeDocument/2006/relationships/hyperlink" Target="https://www.datacenterdynamics.com/en/news/vantage-files-to-build-second-san-antonio-data-center-in-texas/" TargetMode="External"/><Relationship Id="rId2108" Type="http://schemas.openxmlformats.org/officeDocument/2006/relationships/hyperlink" Target="https://www.datacenterdynamics.com/en/news/vantage-buys-two-land-plots-in-san-antonio-texas/" TargetMode="External"/><Relationship Id="rId2109" Type="http://schemas.openxmlformats.org/officeDocument/2006/relationships/hyperlink" Target="https://www.datacenterdynamics.com/en/news/vantage-files-to-build-another-data-center-in-san-antonio-texas/" TargetMode="External"/><Relationship Id="rId2100" Type="http://schemas.openxmlformats.org/officeDocument/2006/relationships/hyperlink" Target="https://www.datacenterdynamics.com/en/news/vantage-buys-two-land-plots-in-san-antonio-texas/" TargetMode="External"/><Relationship Id="rId2101" Type="http://schemas.openxmlformats.org/officeDocument/2006/relationships/hyperlink" Target="https://www.datacenterdynamics.com/en/news/vantage-files-to-build-another-data-center-in-san-antonio-texas/" TargetMode="External"/><Relationship Id="rId2102" Type="http://schemas.openxmlformats.org/officeDocument/2006/relationships/hyperlink" Target="https://gis-tceq.opendata.arcgis.com/datasets/daece6e3181140f69093ab69cf9ae0ba/explore?layer=0&amp;showTable=true" TargetMode="External"/><Relationship Id="rId2103" Type="http://schemas.openxmlformats.org/officeDocument/2006/relationships/hyperlink" Target="https://gis-tceq.opendata.arcgis.com/datasets/daece6e3181140f69093ab69cf9ae0ba/explore?layer=0&amp;showTable=true" TargetMode="External"/><Relationship Id="rId899" Type="http://schemas.openxmlformats.org/officeDocument/2006/relationships/hyperlink" Target="https://www.change.org/p/big-tech-wants-our-community-lowell-mi-and-great-lakes-allies-say-no" TargetMode="External"/><Relationship Id="rId898" Type="http://schemas.openxmlformats.org/officeDocument/2006/relationships/hyperlink" Target="https://www.mlive.com/news/grand-rapids/2025/12/why-a-top-10-company-is-eyeing-a-data-center-in-this-west-michigan-town.html" TargetMode="External"/><Relationship Id="rId897" Type="http://schemas.openxmlformats.org/officeDocument/2006/relationships/hyperlink" Target="https://www.change.org/p/no-lowell-data-center" TargetMode="External"/><Relationship Id="rId896" Type="http://schemas.openxmlformats.org/officeDocument/2006/relationships/hyperlink" Target="https://linktr.ee/residentsunitedlowell" TargetMode="External"/><Relationship Id="rId891" Type="http://schemas.openxmlformats.org/officeDocument/2006/relationships/hyperlink" Target="https://www.lansingstatejournal.com/story/money/business/2025/11/05/lansing-data-center-deep-green-bwl/87051236007/" TargetMode="External"/><Relationship Id="rId890" Type="http://schemas.openxmlformats.org/officeDocument/2006/relationships/hyperlink" Target="https://www.9and10news.com/2025/11/17/residents-voice-concerns-over-proposed-data-center-in-kalkaska-county" TargetMode="External"/><Relationship Id="rId895" Type="http://schemas.openxmlformats.org/officeDocument/2006/relationships/hyperlink" Target="https://www.facebook.com/residentsunitedlowell" TargetMode="External"/><Relationship Id="rId894" Type="http://schemas.openxmlformats.org/officeDocument/2006/relationships/hyperlink" Target="https://www.datacenterdynamics.com/en/news/uks-deep-green-withdraws-proposals-for-data-center-project-in-michigan/" TargetMode="External"/><Relationship Id="rId893" Type="http://schemas.openxmlformats.org/officeDocument/2006/relationships/hyperlink" Target="https://www.datacenterdynamics.com/en/news/lansing-michigan-sends-mixed-messages-regarding-120m-data-center/" TargetMode="External"/><Relationship Id="rId892" Type="http://schemas.openxmlformats.org/officeDocument/2006/relationships/hyperlink" Target="https://www.wilx.com/2025/11/19/citizens-call-data-center-contract-transparency-lansing/" TargetMode="External"/><Relationship Id="rId2126" Type="http://schemas.openxmlformats.org/officeDocument/2006/relationships/hyperlink" Target="https://www.404media.co/a-farmer-donated-land-to-turn-into-a-park-the-city-is-building-a-massive-data-center-instead/" TargetMode="External"/><Relationship Id="rId2127" Type="http://schemas.openxmlformats.org/officeDocument/2006/relationships/hyperlink" Target="https://www.datacenterdynamics.com/en/news/360mw-data-center-to-be-built-outside-austin-texas/" TargetMode="External"/><Relationship Id="rId2128" Type="http://schemas.openxmlformats.org/officeDocument/2006/relationships/hyperlink" Target="https://www.statesman.com/business/technology/article/taylor-data-center-samsung-22153681.php" TargetMode="External"/><Relationship Id="rId2129" Type="http://schemas.openxmlformats.org/officeDocument/2006/relationships/hyperlink" Target="https://rbnenergy.com/i-know-places-tech-giants-may-be-the-surest-bets-for-data-center-power-demand" TargetMode="External"/><Relationship Id="rId2120" Type="http://schemas.openxmlformats.org/officeDocument/2006/relationships/hyperlink" Target="https://msbglobalservices.com/matrix-data-center-campus-breaks-ground-in-sulphur-springs-tx-a-new-era-for-net-zero-ai-infrastructure/" TargetMode="External"/><Relationship Id="rId2121" Type="http://schemas.openxmlformats.org/officeDocument/2006/relationships/hyperlink" Target="https://www.ketk.com/news/local-news/30-ai-data-centers-to-be-built-at-sulphur-springs-campus/" TargetMode="External"/><Relationship Id="rId2122" Type="http://schemas.openxmlformats.org/officeDocument/2006/relationships/hyperlink" Target="https://www.datacenterdynamics.com/en/news/iren-plans-75mw-liquid-cooled-ai-data-center-in-texas/" TargetMode="External"/><Relationship Id="rId2123" Type="http://schemas.openxmlformats.org/officeDocument/2006/relationships/hyperlink" Target="https://www.datacenterdynamics.com/en/news/360mw-data-center-to-be-built-outside-austin-texas/" TargetMode="External"/><Relationship Id="rId2124" Type="http://schemas.openxmlformats.org/officeDocument/2006/relationships/hyperlink" Target="https://www.datacenterdynamics.com/en/news/blueprint-projects-gets-greenlight-for-data-center-in-taylor-texas/" TargetMode="External"/><Relationship Id="rId2125" Type="http://schemas.openxmlformats.org/officeDocument/2006/relationships/hyperlink" Target="https://www.taylortx.gov/1293/Blueprint-Projects-Data-Center" TargetMode="External"/><Relationship Id="rId2115" Type="http://schemas.openxmlformats.org/officeDocument/2006/relationships/hyperlink" Target="https://www.datacenterdynamics.com/en/news/soluna-partners-with-metrobloks-for-texas-campus/" TargetMode="External"/><Relationship Id="rId2116" Type="http://schemas.openxmlformats.org/officeDocument/2006/relationships/hyperlink" Target="https://www.datacenterdynamics.com/en/news/soluna-to-develop-two-new-data-centers-in-texas-with-a-combined-capacity-of-350mw/" TargetMode="External"/><Relationship Id="rId2117" Type="http://schemas.openxmlformats.org/officeDocument/2006/relationships/hyperlink" Target="https://www.datacenterdynamics.com/en/news/soluna-to-develop-two-new-data-centers-in-texas-with-a-combined-capacity-of-350mw/" TargetMode="External"/><Relationship Id="rId2118" Type="http://schemas.openxmlformats.org/officeDocument/2006/relationships/hyperlink" Target="https://www.datacenterdynamics.com/en/news/oppidan-files-for-5mw-data-center-in-el-paso-texas/" TargetMode="External"/><Relationship Id="rId2119" Type="http://schemas.openxmlformats.org/officeDocument/2006/relationships/hyperlink" Target="https://invest.jll.com/us/en/listings/special-purpose-facility/8-asset-switch-portfolio" TargetMode="External"/><Relationship Id="rId2110" Type="http://schemas.openxmlformats.org/officeDocument/2006/relationships/hyperlink" Target="https://www.datacenterdynamics.com/en/news/vantage-files-to-build-another-data-center-in-san-antonio-texas/" TargetMode="External"/><Relationship Id="rId2111" Type="http://schemas.openxmlformats.org/officeDocument/2006/relationships/hyperlink" Target="https://www.datacenterdynamics.com/en/news/706-acre-data-center-approved-for-development-outside-san-antonio-texas/" TargetMode="External"/><Relationship Id="rId2112" Type="http://schemas.openxmlformats.org/officeDocument/2006/relationships/hyperlink" Target="https://www.datacenterdynamics.com/en/news/data-center-proposed-for-200-acre-site-in-san-marcos-texas/" TargetMode="External"/><Relationship Id="rId2113" Type="http://schemas.openxmlformats.org/officeDocument/2006/relationships/hyperlink" Target="https://www.datacenterdynamics.com/en/news/data-center-proposal-rejected-in-san-marcos-texas/" TargetMode="External"/><Relationship Id="rId2114" Type="http://schemas.openxmlformats.org/officeDocument/2006/relationships/hyperlink" Target="https://www.datacenterdynamics.com/en/news/soluna-to-develop-two-new-data-centers-in-texas-with-a-combined-capacity-of-350mw/" TargetMode="External"/></Relationships>
</file>

<file path=xl/worksheets/_rels/sheet2.xml.rels><?xml version="1.0" encoding="UTF-8" standalone="yes"?><Relationships xmlns="http://schemas.openxmlformats.org/package/2006/relationships"><Relationship Id="rId392" Type="http://schemas.openxmlformats.org/officeDocument/2006/relationships/hyperlink" Target="https://www.13wmaz.com/article/news/local/gray-jones/proposed-jones-county-data-center-axed-zoning-board-agenda-developers-withdraw/93-1cb42aca-7025-4d9c-b843-b1ada7cd7465" TargetMode="External"/><Relationship Id="rId391" Type="http://schemas.openxmlformats.org/officeDocument/2006/relationships/hyperlink" Target="https://www.facebook.com/groups/1699215814102745/" TargetMode="External"/><Relationship Id="rId390" Type="http://schemas.openxmlformats.org/officeDocument/2006/relationships/hyperlink" Target="https://www.13wmaz.com/article/news/local/600-acre-data-center-proposed-for-jones-county-faces-early-opposition/93-25e72bf8-9eed-47ae-a351-8b7a05ee723f" TargetMode="External"/><Relationship Id="rId2180" Type="http://schemas.openxmlformats.org/officeDocument/2006/relationships/hyperlink" Target="https://www.thecooldown.com/green-business/data-center-water-usage-utah-drought-concerns/" TargetMode="External"/><Relationship Id="rId2181" Type="http://schemas.openxmlformats.org/officeDocument/2006/relationships/hyperlink" Target="https://www.change.org/p/deny-zoning-and-permits-for-the-proposed-ai-data-center-in-mona" TargetMode="External"/><Relationship Id="rId2182" Type="http://schemas.openxmlformats.org/officeDocument/2006/relationships/hyperlink" Target="https://joulepower.ai/" TargetMode="External"/><Relationship Id="rId2183" Type="http://schemas.openxmlformats.org/officeDocument/2006/relationships/hyperlink" Target="https://www.yahoo.com/news/articles/groundbreaking-held-country-largest-data-002417981.html?guccounter=1&amp;guce_referrer=aHR0cHM6Ly93d3cuZ29vZ2xlLmNvbS8&amp;guce_referrer_sig=AQAAAHJQ5kLCaH1cL9pBxXcGRhLfJvBIQhy9OKt5wKJa772KdvFXzOzzs4lF4xlOa00cniFwgv2vbB4u2Pt314o9qAdd8zJqjHei-xyUxHSjpCL_IafaR24QdPC0pHn0u2WfN86jb-ptHsDqWyudECFa1z54u-TyfauKS2-UQnT55zzC" TargetMode="External"/><Relationship Id="rId385" Type="http://schemas.openxmlformats.org/officeDocument/2006/relationships/hyperlink" Target="https://apps.dca.ga.gov/DRI/AppSummary.aspx?driid=4308" TargetMode="External"/><Relationship Id="rId2184" Type="http://schemas.openxmlformats.org/officeDocument/2006/relationships/hyperlink" Target="https://www.yahoo.com/news/articles/millard-county-approves-solar-farm-041901922.html" TargetMode="External"/><Relationship Id="rId384" Type="http://schemas.openxmlformats.org/officeDocument/2006/relationships/hyperlink" Target="https://www.datacenterdynamics.com/en/news/google-purchases-950-acres-for-potential-data-center-in-monroe-county-georgia/" TargetMode="External"/><Relationship Id="rId2185" Type="http://schemas.openxmlformats.org/officeDocument/2006/relationships/hyperlink" Target="https://www.datacenterdynamics.com/en/news/warehouse-in-provo-utah-to-be-replaced-with-data-center/" TargetMode="External"/><Relationship Id="rId383" Type="http://schemas.openxmlformats.org/officeDocument/2006/relationships/hyperlink" Target="https://www.datacenterdynamics.com/en/news/12-building-42-million-sq-ft-data-center-campus-proposed-in-georgia/" TargetMode="External"/><Relationship Id="rId2186" Type="http://schemas.openxmlformats.org/officeDocument/2006/relationships/hyperlink" Target="https://www.datacenterdynamics.com/en/news/city-council-of-provo-utah-votes-against-data-center-rezoning-proposal/" TargetMode="External"/><Relationship Id="rId382" Type="http://schemas.openxmlformats.org/officeDocument/2006/relationships/hyperlink" Target="https://apps.dca.ga.gov/DRI/InitialForm.aspx?driid=4603" TargetMode="External"/><Relationship Id="rId2187" Type="http://schemas.openxmlformats.org/officeDocument/2006/relationships/hyperlink" Target="https://www.datacenterdynamics.com/en/news/20mw-off-grid-data-center-planned-outside-salt-lake-city-utah/" TargetMode="External"/><Relationship Id="rId389" Type="http://schemas.openxmlformats.org/officeDocument/2006/relationships/hyperlink" Target="https://www.datacenterdynamics.com/en/news/plans-filed-for-six-building-data-center-campus-outside-augusta-georgia/" TargetMode="External"/><Relationship Id="rId2188" Type="http://schemas.openxmlformats.org/officeDocument/2006/relationships/hyperlink" Target="https://www.ksl.com/article/51488565/utah-box-elder-county-officials-mull-plan-to-spur-energy-production-data-center-development" TargetMode="External"/><Relationship Id="rId388" Type="http://schemas.openxmlformats.org/officeDocument/2006/relationships/hyperlink" Target="https://www.fox5atlanta.com/news/hall-county-tables-vote-massive-data-center-project-after-residents-raise-concerns" TargetMode="External"/><Relationship Id="rId2189" Type="http://schemas.openxmlformats.org/officeDocument/2006/relationships/hyperlink" Target="https://utahcleanenergy.org/estimated-emissions-and-water-consumption-from-the-proposed-stratos-data-center/" TargetMode="External"/><Relationship Id="rId387" Type="http://schemas.openxmlformats.org/officeDocument/2006/relationships/hyperlink" Target="https://www.datacenterdynamics.com/en/news/company-files-for-project-turbo-data-center-campus-outside-atlanta-georgia/" TargetMode="External"/><Relationship Id="rId386" Type="http://schemas.openxmlformats.org/officeDocument/2006/relationships/hyperlink" Target="https://lakelanier.org/project-turbo-data-center/" TargetMode="External"/><Relationship Id="rId381" Type="http://schemas.openxmlformats.org/officeDocument/2006/relationships/hyperlink" Target="https://www.datacenterdynamics.com/en/news/qts-files-to-expand-fayetteville-data-center-campus-in-georgia/" TargetMode="External"/><Relationship Id="rId380" Type="http://schemas.openxmlformats.org/officeDocument/2006/relationships/hyperlink" Target="https://www.tomshardware.com/tech-industry/georgia-data-center-used-29-million-gallons-of-water" TargetMode="External"/><Relationship Id="rId379" Type="http://schemas.openxmlformats.org/officeDocument/2006/relationships/hyperlink" Target="https://www.ledger-enquirer.com/news/environment/article312215145.html" TargetMode="External"/><Relationship Id="rId2170" Type="http://schemas.openxmlformats.org/officeDocument/2006/relationships/hyperlink" Target="https://finance.yahoo.com/news/cipher-mining-pursues-2-billion-161628888.html" TargetMode="External"/><Relationship Id="rId2171" Type="http://schemas.openxmlformats.org/officeDocument/2006/relationships/hyperlink" Target="https://northwiseproject.com/cifr-stock-black-pearl-site/" TargetMode="External"/><Relationship Id="rId2172" Type="http://schemas.openxmlformats.org/officeDocument/2006/relationships/hyperlink" Target="https://www.datacenterdynamics.com/en/news/plans-filed-for-100000-sq-ft-data-center-outside-dallas-texas/" TargetMode="External"/><Relationship Id="rId374" Type="http://schemas.openxmlformats.org/officeDocument/2006/relationships/hyperlink" Target="https://roughdraftatlanta.com/2025/11/12/atlanta-fairwater-ai-data-center/" TargetMode="External"/><Relationship Id="rId2173" Type="http://schemas.openxmlformats.org/officeDocument/2006/relationships/hyperlink" Target="https://www.datacenterdynamics.com/en/news/640-acre-data-center-could-be-built-in-iron-county-utah/" TargetMode="External"/><Relationship Id="rId373" Type="http://schemas.openxmlformats.org/officeDocument/2006/relationships/hyperlink" Target="https://www.datacenterdynamics.com/en/news/microsoft-launches-atlanta-fairwater-data-center-two-stories-no-ups-or-gen-sets/" TargetMode="External"/><Relationship Id="rId2174" Type="http://schemas.openxmlformats.org/officeDocument/2006/relationships/hyperlink" Target="https://www.datacenterdynamics.com/en/news/proposal-to-build-640-acre-data-center-in-iron-county-utah-gets-the-go-ahead/" TargetMode="External"/><Relationship Id="rId372" Type="http://schemas.openxmlformats.org/officeDocument/2006/relationships/hyperlink" Target="https://tech.yahoo.com/ai/copilot/articles/microsoft-reveals-datacenter-atlanta-help-182309564.html" TargetMode="External"/><Relationship Id="rId2175" Type="http://schemas.openxmlformats.org/officeDocument/2006/relationships/hyperlink" Target="https://www.datacenterdynamics.com/en/news/blusky-ai-signs-letter-of-intent-for-25-acre-data-center/" TargetMode="External"/><Relationship Id="rId371" Type="http://schemas.openxmlformats.org/officeDocument/2006/relationships/hyperlink" Target="https://www.datacenterdynamics.com/en/news/developer-effectively-withdraws-application-for-data-center-in-fayetteville-georgia/" TargetMode="External"/><Relationship Id="rId2176" Type="http://schemas.openxmlformats.org/officeDocument/2006/relationships/hyperlink" Target="https://www.sltrib.com/news/2025/06/22/largest-data-center-campus-world/" TargetMode="External"/><Relationship Id="rId378" Type="http://schemas.openxmlformats.org/officeDocument/2006/relationships/hyperlink" Target="https://www.datacenterdynamics.com/en/news/project-excalibur-qts-planning-16-building-66-million-sq-ft-development-in-fayetteville-georgia/" TargetMode="External"/><Relationship Id="rId2177" Type="http://schemas.openxmlformats.org/officeDocument/2006/relationships/hyperlink" Target="https://www.datacenterdynamics.com/en/news/fibernet-ceo-eyes-multi-gigawatt-data-center-campus-in-utah/" TargetMode="External"/><Relationship Id="rId377" Type="http://schemas.openxmlformats.org/officeDocument/2006/relationships/hyperlink" Target="https://apps.dca.ga.gov/DRI/AppSummary.aspx?driid=3813" TargetMode="External"/><Relationship Id="rId2178" Type="http://schemas.openxmlformats.org/officeDocument/2006/relationships/hyperlink" Target="https://www.abc4.com/news/central-utah/worlds-largest-data-center-is-coming-to-this-rural-utah-county/" TargetMode="External"/><Relationship Id="rId376" Type="http://schemas.openxmlformats.org/officeDocument/2006/relationships/hyperlink" Target="https://cleanview.co/public/data-centers/georgia/1896/fairwater-2---atlanta" TargetMode="External"/><Relationship Id="rId2179" Type="http://schemas.openxmlformats.org/officeDocument/2006/relationships/hyperlink" Target="https://www.datacenterdynamics.com/en/news/millard-county-commission-in-utah-approves-data-center-land-rezoning-request/" TargetMode="External"/><Relationship Id="rId375" Type="http://schemas.openxmlformats.org/officeDocument/2006/relationships/hyperlink" Target="https://epoch.ai/data/data-centers/satellite-explorer/MicrosoftFairwaterFayettevilleGeorgia?ref=404media.co" TargetMode="External"/><Relationship Id="rId2190" Type="http://schemas.openxmlformats.org/officeDocument/2006/relationships/hyperlink" Target="https://www.sltrib.com/news/2026/04/27/hyperscale-data-center-project/" TargetMode="External"/><Relationship Id="rId2191" Type="http://schemas.openxmlformats.org/officeDocument/2006/relationships/hyperlink" Target="https://www.sltrib.com/news/environment/2026/05/07/utahs-data-center-could-create/" TargetMode="External"/><Relationship Id="rId2192" Type="http://schemas.openxmlformats.org/officeDocument/2006/relationships/hyperlink" Target="https://www.sltrib.com/news/2026/05/04/utah-data-center-final-vote-box/" TargetMode="External"/><Relationship Id="rId2193" Type="http://schemas.openxmlformats.org/officeDocument/2006/relationships/hyperlink" Target="https://www.ksl.com/article/51488565/utah-box-elder-county-officials-mull-plan-to-spur-energy-production-data-center-development" TargetMode="External"/><Relationship Id="rId2194" Type="http://schemas.openxmlformats.org/officeDocument/2006/relationships/hyperlink" Target="https://utahcleanenergy.org/estimated-emissions-and-water-consumption-from-the-proposed-stratos-data-center/" TargetMode="External"/><Relationship Id="rId396" Type="http://schemas.openxmlformats.org/officeDocument/2006/relationships/hyperlink" Target="https://apps.dca.ga.gov/DRI/InitialForm.aspx?driid=4607" TargetMode="External"/><Relationship Id="rId2195" Type="http://schemas.openxmlformats.org/officeDocument/2006/relationships/hyperlink" Target="https://www.sltrib.com/news/2026/04/27/hyperscale-data-center-project/" TargetMode="External"/><Relationship Id="rId395" Type="http://schemas.openxmlformats.org/officeDocument/2006/relationships/hyperlink" Target="https://www.facebook.com/groups/saveruralspalding/posts/1424956929359534/" TargetMode="External"/><Relationship Id="rId2196" Type="http://schemas.openxmlformats.org/officeDocument/2006/relationships/hyperlink" Target="https://www.sltrib.com/news/environment/2026/05/07/utahs-data-center-could-create/" TargetMode="External"/><Relationship Id="rId394" Type="http://schemas.openxmlformats.org/officeDocument/2006/relationships/hyperlink" Target="https://www.datacenterdynamics.com/en/news/hillwood-affiliate-files-to-develop-22-million-sq-ft-data-center-campus-outside-atlanta-georgia/" TargetMode="External"/><Relationship Id="rId2197" Type="http://schemas.openxmlformats.org/officeDocument/2006/relationships/hyperlink" Target="https://www.sltrib.com/news/2026/05/04/utah-data-center-final-vote-box/" TargetMode="External"/><Relationship Id="rId393" Type="http://schemas.openxmlformats.org/officeDocument/2006/relationships/hyperlink" Target="https://www.datacenterdynamics.com/en/news/data-center-developers-withdraw-plans-to-rezone-more-than-600-acres-in-jones-county-georgia-after-local-pushback/" TargetMode="External"/><Relationship Id="rId2198" Type="http://schemas.openxmlformats.org/officeDocument/2006/relationships/hyperlink" Target="https://www.datacenterdynamics.com/en/news/aligned-announces-plans-for-100mw-data-center-in-salt-lake-city-utah/" TargetMode="External"/><Relationship Id="rId2199" Type="http://schemas.openxmlformats.org/officeDocument/2006/relationships/hyperlink" Target="https://www.datacenterdynamics.com/en/news/aligned-opens-second-salt-lake-city-data-center/" TargetMode="External"/><Relationship Id="rId399" Type="http://schemas.openxmlformats.org/officeDocument/2006/relationships/hyperlink" Target="https://www.ajc.com/news/business/sprawling-data-center-campuses-proposed-south-and-east-of-atlanta/5QKZEN5W45GU5NCHUHGVYX4UUM/" TargetMode="External"/><Relationship Id="rId398" Type="http://schemas.openxmlformats.org/officeDocument/2006/relationships/hyperlink" Target="https://www.griffindailynews.com/news/spalding-county-resident-raises-alarm-about-a-proposed-data-center-on-high-falls-road/article_ec6873d9-ad5a-5327-b940-fbec3e36b16c.html" TargetMode="External"/><Relationship Id="rId397" Type="http://schemas.openxmlformats.org/officeDocument/2006/relationships/hyperlink" Target="https://www.datacenterdynamics.com/en/news/plans-filed-for-255-million-sq-ft-data-center-campus-outside-atlanta/" TargetMode="External"/><Relationship Id="rId1730" Type="http://schemas.openxmlformats.org/officeDocument/2006/relationships/hyperlink" Target="https://www.directltx.com/facility-information" TargetMode="External"/><Relationship Id="rId1731" Type="http://schemas.openxmlformats.org/officeDocument/2006/relationships/hyperlink" Target="https://omegasystemscorp.com/company/locations/" TargetMode="External"/><Relationship Id="rId1732" Type="http://schemas.openxmlformats.org/officeDocument/2006/relationships/hyperlink" Target="https://www.linkedin.com/posts/brian-patten-land_datacenter-hyperscaleinfrastructure-aiinfrastructure-activity-7437127674243792896-b8tM" TargetMode="External"/><Relationship Id="rId1733" Type="http://schemas.openxmlformats.org/officeDocument/2006/relationships/hyperlink" Target="https://www.instagram.com/p/DVs-cYRDQwE/" TargetMode="External"/><Relationship Id="rId1734" Type="http://schemas.openxmlformats.org/officeDocument/2006/relationships/hyperlink" Target="https://web.archive.org/web/20260122015716/https://www.thetimes-tribune.com/2025/12/12/data-center-developer-tied-to-projects-in-archbald-blakely-moves-to-dickson-city/" TargetMode="External"/><Relationship Id="rId1735" Type="http://schemas.openxmlformats.org/officeDocument/2006/relationships/hyperlink" Target="https://www.yahoo.com/news/articles/data-center-developer-tied-projects-010500418.html?guccounter=1&amp;guce_referrer=aHR0cHM6Ly93d3cuZ29vZ2xlLmNvbS8&amp;guce_referrer_sig=AQAAAGAfMKpS12TP6ZDloqn1sMuj2eDrOqFfWscZMBNm2rDp5hWip__GoHpNdhSqv5t3ApCn-ybzAaKm1iljvQAp8zHHZuk1aw_ypw6l-33IXEIL6uBs8IThHSEX_54eaWzlhSZ0aMc5p_T9oLqEil8ZpnExPyKQjBeLow6C-3jXK3Vd" TargetMode="External"/><Relationship Id="rId1736" Type="http://schemas.openxmlformats.org/officeDocument/2006/relationships/hyperlink" Target="https://web.archive.org/web/20260522005447/https://www.thetimes-tribune.com/2026/05/21/dickson-city-denies-data-center-developers-zoning-challenge/" TargetMode="External"/><Relationship Id="rId1737" Type="http://schemas.openxmlformats.org/officeDocument/2006/relationships/hyperlink" Target="https://www.tomshardware.com/tech-industry/cryptomining/major-bitcoin-mining-firm-pivoting-to-ai-plans-to-fully-abandon-crypto-mining-by-2027-bitfarm-to-leverage-341-megawatt-capacity-for-ai-following-usd46-million-q3-loss" TargetMode="External"/><Relationship Id="rId1738" Type="http://schemas.openxmlformats.org/officeDocument/2006/relationships/hyperlink" Target="https://bitfarms.com/our-portfolio/data-centers/north-america/" TargetMode="External"/><Relationship Id="rId1739" Type="http://schemas.openxmlformats.org/officeDocument/2006/relationships/hyperlink" Target="https://www.tomshardware.com/tech-industry/cryptomining/major-bitcoin-mining-firm-pivoting-to-ai-plans-to-fully-abandon-crypto-mining-by-2027-bitfarm-to-leverage-341-megawatt-capacity-for-ai-following-usd46-million-q3-loss" TargetMode="External"/><Relationship Id="rId1720" Type="http://schemas.openxmlformats.org/officeDocument/2006/relationships/hyperlink" Target="https://www.expedient.com/data-centers/pittsburgh/" TargetMode="External"/><Relationship Id="rId1721" Type="http://schemas.openxmlformats.org/officeDocument/2006/relationships/hyperlink" Target="https://h5datacenters.com/pittsburgh-data-center.html" TargetMode="External"/><Relationship Id="rId1722" Type="http://schemas.openxmlformats.org/officeDocument/2006/relationships/hyperlink" Target="https://www.datacenterdynamics.com/en/news/14-million-sq-ft-data-center-campus-planned-outside-philadelphia-pennsylvania/" TargetMode="External"/><Relationship Id="rId1723" Type="http://schemas.openxmlformats.org/officeDocument/2006/relationships/hyperlink" Target="https://eastcoventry-pa.gov/vertical/sites/%7BA2FA46C5-686F-4B16-8376-0BDF39FCC483%7D/uploads/Constellation_Application_BOS-25-002.pdf" TargetMode="External"/><Relationship Id="rId1724" Type="http://schemas.openxmlformats.org/officeDocument/2006/relationships/hyperlink" Target="https://www.change.org/p/oppose-data-centers-in-linfield-and-limerick" TargetMode="External"/><Relationship Id="rId1725" Type="http://schemas.openxmlformats.org/officeDocument/2006/relationships/hyperlink" Target="https://www.datacenterdynamics.com/en/news/14-million-sq-ft-data-center-campus-planned-outside-philadelphia-pennsylvania/" TargetMode="External"/><Relationship Id="rId1726" Type="http://schemas.openxmlformats.org/officeDocument/2006/relationships/hyperlink" Target="https://www.limerickpa.org/AgendaCenter/ViewFile/Agenda/_01082026-612?fbclid=IwZXh0bgNhZW0CMTAAYnJpZBExb3RUV2s2NlBnWW1GUU0xZXNydGMGYXBwX2lkEDIyMjAzOTE3ODgyMDA4OTIAAR4x3Vge5famrtF2lACHuKQJONinPG2f-bbYqqqmsfBMaiRHM4_ImgqrazahkQ_aem_wmrdy1BZYJs01DybQZ5gYA" TargetMode="External"/><Relationship Id="rId1727" Type="http://schemas.openxmlformats.org/officeDocument/2006/relationships/hyperlink" Target="https://www.facebook.com/groups/2297149624011296" TargetMode="External"/><Relationship Id="rId1728" Type="http://schemas.openxmlformats.org/officeDocument/2006/relationships/hyperlink" Target="https://www.datacenterdynamics.com/en/news/zoning-amendment-rejected-for-data-center-in-ransom-township-pennsylvania/" TargetMode="External"/><Relationship Id="rId1729" Type="http://schemas.openxmlformats.org/officeDocument/2006/relationships/hyperlink" Target="https://dastorllc.com/locations/" TargetMode="External"/><Relationship Id="rId1752" Type="http://schemas.openxmlformats.org/officeDocument/2006/relationships/hyperlink" Target="https://www.datacenterdynamics.com/en/news/17bn-data-center-could-be-built-in-lebanon-county-pennsylvania/" TargetMode="External"/><Relationship Id="rId1753" Type="http://schemas.openxmlformats.org/officeDocument/2006/relationships/hyperlink" Target="https://www.datacenterdynamics.com/en/news/plan-for-17bn-data-center-in-lebanon-county-pennsylvania-withdrawn-by-developer/" TargetMode="External"/><Relationship Id="rId1754" Type="http://schemas.openxmlformats.org/officeDocument/2006/relationships/hyperlink" Target="https://centerforcoalfieldjustice.org/" TargetMode="External"/><Relationship Id="rId1755" Type="http://schemas.openxmlformats.org/officeDocument/2006/relationships/hyperlink" Target="https://www.wesa.fm/environment-energy/2025-10-21/washington-county-carbon-neutral-data-center-development" TargetMode="External"/><Relationship Id="rId1756" Type="http://schemas.openxmlformats.org/officeDocument/2006/relationships/hyperlink" Target="https://www.cbsnews.com/pittsburgh/news/south-strabane-township-zediker-station-data-center/" TargetMode="External"/><Relationship Id="rId1757" Type="http://schemas.openxmlformats.org/officeDocument/2006/relationships/hyperlink" Target="https://www.observer-reporter.com/news/local-news/2025/dec/18/potential-data-center-dominates-conversation-in-south-strabane/?fbclid=IwY2xjawPp655leHRuA2FlbQIxMQBzcnRjBmFwcF9pZBAyMjIwMzkxNzg4MjAwODkyAAEeq1A8M0BwHyZlR_UBi_EQSCtxI3rupAP_Q32J3uclg7hvRecKWd_feP_nGMw_aem_fXhl6mY5DVAi72rRjvgz2Q" TargetMode="External"/><Relationship Id="rId1758" Type="http://schemas.openxmlformats.org/officeDocument/2006/relationships/hyperlink" Target="https://www.alleghenyfront.org/washington-county-data-center-development/" TargetMode="External"/><Relationship Id="rId1759" Type="http://schemas.openxmlformats.org/officeDocument/2006/relationships/hyperlink" Target="https://www.change.org/p/protect-pennhurst-from-data-center-development" TargetMode="External"/><Relationship Id="rId1750" Type="http://schemas.openxmlformats.org/officeDocument/2006/relationships/hyperlink" Target="https://www.alleghenyfront.org/meta-beaver-valley-nuclear-power-plant-ai-data-centers/" TargetMode="External"/><Relationship Id="rId1751" Type="http://schemas.openxmlformats.org/officeDocument/2006/relationships/hyperlink" Target="https://www.datacenterdynamics.com/en/news/shippingport-industrial-park/" TargetMode="External"/><Relationship Id="rId1741" Type="http://schemas.openxmlformats.org/officeDocument/2006/relationships/hyperlink" Target="https://www.datacenterdynamics.com/en/news/bitfarms-to-convert-washington-cryptomine-to-hpcai-hosting/" TargetMode="External"/><Relationship Id="rId1742" Type="http://schemas.openxmlformats.org/officeDocument/2006/relationships/hyperlink" Target="https://www.datacenterdynamics.com/en/news/zoning-board-of-sharon-pa-approves-planned-expansion-of-keel-infrastructures-existing-data-center-development/" TargetMode="External"/><Relationship Id="rId1743" Type="http://schemas.openxmlformats.org/officeDocument/2006/relationships/hyperlink" Target="https://www.marcellusawareness.org/" TargetMode="External"/><Relationship Id="rId1744" Type="http://schemas.openxmlformats.org/officeDocument/2006/relationships/hyperlink" Target="https://www.post-gazette.com/business/powersource/2025/08/03/shippingport-mansfield-data-center/stories/202508030081" TargetMode="External"/><Relationship Id="rId1745" Type="http://schemas.openxmlformats.org/officeDocument/2006/relationships/hyperlink" Target="https://frontier-companies.com/the-frontier-group-of-companies-to-transform-bruce-mansfield-power-plant-into-state-of-the-art-natural-gas-power-plant-supporting-americas-energy-goals-and-pennsylvanias-economic-gr/" TargetMode="External"/><Relationship Id="rId1746" Type="http://schemas.openxmlformats.org/officeDocument/2006/relationships/hyperlink" Target="https://www.businesswire.com/news/home/20250715103342/en/The-Frontier-Group-of-Companies-to-Transform-Bruce-Mansfield-Power-Plant-into-State-of-the-Art-Natural-Gas-Power-Plant-Supporting-Americas-Energy-Goals-and-Pennsylvanias-Economic-Growth" TargetMode="External"/><Relationship Id="rId1747" Type="http://schemas.openxmlformats.org/officeDocument/2006/relationships/hyperlink" Target="https://pioga.org/bruce-mansfield-plant-in-beaver-county-to-undergo-3-2-billion-transformation-into-natural-gas-power-plant/" TargetMode="External"/><Relationship Id="rId1748" Type="http://schemas.openxmlformats.org/officeDocument/2006/relationships/hyperlink" Target="https://www.post-gazette.com/business/tech-news/2026/02/08/beaver-valley-data-centers-shippingport-aligned/stories/202602080033" TargetMode="External"/><Relationship Id="rId1749" Type="http://schemas.openxmlformats.org/officeDocument/2006/relationships/hyperlink" Target="https://triblive.com/local/regional/sprawling-data-center-campus-proposed-next-to-old-bruce-mansfield-power-plant-in-shippingport/" TargetMode="External"/><Relationship Id="rId1740" Type="http://schemas.openxmlformats.org/officeDocument/2006/relationships/hyperlink" Target="https://bitfarms.com/our-portfolio/data-centers/north-america/" TargetMode="External"/><Relationship Id="rId1710" Type="http://schemas.openxmlformats.org/officeDocument/2006/relationships/hyperlink" Target="https://www.lumen.com/en-us/resources/network-maps.html" TargetMode="External"/><Relationship Id="rId1711" Type="http://schemas.openxmlformats.org/officeDocument/2006/relationships/hyperlink" Target="https://netrality.com/data-center/401-north-broad-philadelphia/" TargetMode="External"/><Relationship Id="rId1712" Type="http://schemas.openxmlformats.org/officeDocument/2006/relationships/hyperlink" Target="https://www.equinix.com/data-centers/americas-colocation/united-states-colocation/philadelphia-data-centers/ph1" TargetMode="External"/><Relationship Id="rId1713" Type="http://schemas.openxmlformats.org/officeDocument/2006/relationships/hyperlink" Target="http://property.compstak.com/2000-Kubach-Road-Philadelphia/p/72300" TargetMode="External"/><Relationship Id="rId1714" Type="http://schemas.openxmlformats.org/officeDocument/2006/relationships/hyperlink" Target="http://tierpoint.com/data-centers/pennsylvania/philadelphia/" TargetMode="External"/><Relationship Id="rId1715" Type="http://schemas.openxmlformats.org/officeDocument/2006/relationships/hyperlink" Target="https://365datacenters.com/philadelphia-data-center/" TargetMode="External"/><Relationship Id="rId1716" Type="http://schemas.openxmlformats.org/officeDocument/2006/relationships/hyperlink" Target="https://www.consolidated.com/business/medium-enterprise/data-center-services/locations/pennsylvania" TargetMode="External"/><Relationship Id="rId1717" Type="http://schemas.openxmlformats.org/officeDocument/2006/relationships/hyperlink" Target="https://www.databank.com/data-centers/pittsburgh/100-south-commons/" TargetMode="External"/><Relationship Id="rId1718" Type="http://schemas.openxmlformats.org/officeDocument/2006/relationships/hyperlink" Target="https://www.databank.com/data-centers/pittsburgh/summit-park-campus/" TargetMode="External"/><Relationship Id="rId1719" Type="http://schemas.openxmlformats.org/officeDocument/2006/relationships/hyperlink" Target="https://www.expedient.com/data-centers/pittsburgh/" TargetMode="External"/><Relationship Id="rId1700" Type="http://schemas.openxmlformats.org/officeDocument/2006/relationships/hyperlink" Target="https://www.datacenterdynamics.com/en/news/tecfusions-acquires-former-manufacturing-site-outside-pittsburgh-pennsylvania-for-3gw-data-center-site/" TargetMode="External"/><Relationship Id="rId1701" Type="http://schemas.openxmlformats.org/officeDocument/2006/relationships/hyperlink" Target="https://tecfusions.com/?clarksville" TargetMode="External"/><Relationship Id="rId1702" Type="http://schemas.openxmlformats.org/officeDocument/2006/relationships/hyperlink" Target="https://triblive.com/local/valley-news-dispatch/upper-burrell-data-center-nets-first-tenant-at-former-alcoa-research-site/" TargetMode="External"/><Relationship Id="rId1703" Type="http://schemas.openxmlformats.org/officeDocument/2006/relationships/hyperlink" Target="https://www.tierpoint.com/data-centers/pennsylvania/valley-forge/" TargetMode="External"/><Relationship Id="rId1704" Type="http://schemas.openxmlformats.org/officeDocument/2006/relationships/hyperlink" Target="https://365datacenters.com/philadelphia-data-center-2/" TargetMode="External"/><Relationship Id="rId1705" Type="http://schemas.openxmlformats.org/officeDocument/2006/relationships/hyperlink" Target="https://h5datacenters.com/philadelphia-data-center.html" TargetMode="External"/><Relationship Id="rId1706" Type="http://schemas.openxmlformats.org/officeDocument/2006/relationships/hyperlink" Target="https://h5datacenters.com/slick_philadelphia.pdf" TargetMode="External"/><Relationship Id="rId1707" Type="http://schemas.openxmlformats.org/officeDocument/2006/relationships/hyperlink" Target="https://www.lumen.com/en-us/resources/network-maps.html" TargetMode="External"/><Relationship Id="rId1708" Type="http://schemas.openxmlformats.org/officeDocument/2006/relationships/hyperlink" Target="https://www.lumen.com/en-us/resources/network-maps.html" TargetMode="External"/><Relationship Id="rId1709" Type="http://schemas.openxmlformats.org/officeDocument/2006/relationships/hyperlink" Target="https://www.lumen.com/en-us/resources/network-maps.html" TargetMode="External"/><Relationship Id="rId40" Type="http://schemas.openxmlformats.org/officeDocument/2006/relationships/hyperlink" Target="https://www.datacenterdynamics.com/en/news/serverfarm-targets-135-acre-data-center-campus-in-arkansas/" TargetMode="External"/><Relationship Id="rId42" Type="http://schemas.openxmlformats.org/officeDocument/2006/relationships/hyperlink" Target="https://www.datacenterdynamics.com/en/news/mystery-developer-plans-1bn-data-center-in-little-rock-arkansas/" TargetMode="External"/><Relationship Id="rId41" Type="http://schemas.openxmlformats.org/officeDocument/2006/relationships/hyperlink" Target="https://invest.jll.com/us/en/listings/special-purpose-facility/8-asset-switch-portfolio" TargetMode="External"/><Relationship Id="rId44" Type="http://schemas.openxmlformats.org/officeDocument/2006/relationships/hyperlink" Target="https://www.facebook.com/groups/881057251172141/" TargetMode="External"/><Relationship Id="rId43" Type="http://schemas.openxmlformats.org/officeDocument/2006/relationships/hyperlink" Target="https://www.kark.com/news/local-news/pulaski-county-sends-five-data-center-measures-to-planning-board-after-heated-debate-over-google-and-avaio-projects" TargetMode="External"/><Relationship Id="rId46" Type="http://schemas.openxmlformats.org/officeDocument/2006/relationships/hyperlink" Target="https://www.change.org/p/halt-construction-of-ai-data-center-in-little-rock-ar" TargetMode="External"/><Relationship Id="rId45" Type="http://schemas.openxmlformats.org/officeDocument/2006/relationships/hyperlink" Target="https://www.facebook.com/groups/4339680782970126" TargetMode="External"/><Relationship Id="rId48" Type="http://schemas.openxmlformats.org/officeDocument/2006/relationships/hyperlink" Target="https://www.arkansasonline.com/news/2026/jan/12/6b-data-center-announced-for-pulaski-county/" TargetMode="External"/><Relationship Id="rId47" Type="http://schemas.openxmlformats.org/officeDocument/2006/relationships/hyperlink" Target="https://www.datacenterdynamics.com/en/news/avaio-to-develop-6bn-data-center-campus-in-little-rock-arkansas/" TargetMode="External"/><Relationship Id="rId49" Type="http://schemas.openxmlformats.org/officeDocument/2006/relationships/hyperlink" Target="https://www.kark.com/news/local-news/pulaski-county-sends-five-data-center-measures-to-planning-board-after-heated-debate-over-google-and-avaio-projects" TargetMode="External"/><Relationship Id="rId31" Type="http://schemas.openxmlformats.org/officeDocument/2006/relationships/hyperlink" Target="https://abc3340.com/news/local/concerns-grow-in-childersburg-over-possible-data-center-at-industrial-park" TargetMode="External"/><Relationship Id="rId30" Type="http://schemas.openxmlformats.org/officeDocument/2006/relationships/hyperlink" Target="https://www.childersburg.org/childersburg-industrial-park" TargetMode="External"/><Relationship Id="rId33" Type="http://schemas.openxmlformats.org/officeDocument/2006/relationships/hyperlink" Target="https://www.datacenterdynamics.com/en/news/meta-to-build-800m-data-center-in-montgomery-alabama/" TargetMode="External"/><Relationship Id="rId32" Type="http://schemas.openxmlformats.org/officeDocument/2006/relationships/hyperlink" Target="https://www.datacenterdynamics.com/en/news/meta-to-build-800m-data-center-in-montgomery-alabama/" TargetMode="External"/><Relationship Id="rId35" Type="http://schemas.openxmlformats.org/officeDocument/2006/relationships/hyperlink" Target="https://www.datacenterdynamics.com/en/news/morgan-county-alabama-passes-data-center-moratorium-blocking-cryptomine-proposal/" TargetMode="External"/><Relationship Id="rId34" Type="http://schemas.openxmlformats.org/officeDocument/2006/relationships/hyperlink" Target="https://www.datacenterdynamics.com/en/news/canadas-beacon-details-plans-for-data-center-campus-in-alabama/" TargetMode="External"/><Relationship Id="rId37" Type="http://schemas.openxmlformats.org/officeDocument/2006/relationships/hyperlink" Target="https://alabamareflector.com/2025/08/24/wilsonville-residents-seek-preemptive-strike-against-massive-data-center-project/" TargetMode="External"/><Relationship Id="rId36" Type="http://schemas.openxmlformats.org/officeDocument/2006/relationships/hyperlink" Target="https://www.facebook.com/groups/4004296566505749/" TargetMode="External"/><Relationship Id="rId39" Type="http://schemas.openxmlformats.org/officeDocument/2006/relationships/hyperlink" Target="https://www.change.org/p/stop-the-mega-data-center-in-clarksville-arkansas?utm_source=chatgpt.com" TargetMode="External"/><Relationship Id="rId38" Type="http://schemas.openxmlformats.org/officeDocument/2006/relationships/hyperlink" Target="https://www.al.com/news/birmingham/2025/08/alabama-towns-residents-seek-preemptive-strike-against-massive-data-center-project.html" TargetMode="External"/><Relationship Id="rId2203" Type="http://schemas.openxmlformats.org/officeDocument/2006/relationships/hyperlink" Target="https://reparcelasmt.loudoun.gov/pt/datalets/datalet.aspx?mode=profileall&amp;UseSearch=no&amp;pin=246200886000&amp;jur=107&amp;taxyr=2024&amp;LMparent=20" TargetMode="External"/><Relationship Id="rId2204" Type="http://schemas.openxmlformats.org/officeDocument/2006/relationships/hyperlink" Target="https://loudouncountyvaeg.tylerhost.net/prod/selfservice" TargetMode="External"/><Relationship Id="rId20" Type="http://schemas.openxmlformats.org/officeDocument/2006/relationships/hyperlink" Target="https://www.wbrc.com/2025/11/19/bessemer-city-council-approves-149-billion-data-center-project-despite-transparency-concerns/?fbclid=IwY2xjawOKTxFleHRuA2FlbQIxMABicmlkETEwaFplSmJPZzc4OFJiUWo5c3J0YwZhcHBfaWQQMjIyMDM5MTc4ODIwMDg5MgABHvStxnxA58rPAQ18A844EkSUQ5kDNMyIy5_2P5dSogqkTSIEBa9p7N7V4Vr6_aem_ZzcqUxOQ-qztwhUEQJHxfQ" TargetMode="External"/><Relationship Id="rId2205" Type="http://schemas.openxmlformats.org/officeDocument/2006/relationships/hyperlink" Target="https://reparcelasmt.loudoun.gov/pt/Datalets/Datalet.aspx?UseSearch=no&amp;mode=profileall&amp;pin=202285740000&amp;jur=107&amp;taxyr=2025" TargetMode="External"/><Relationship Id="rId2206" Type="http://schemas.openxmlformats.org/officeDocument/2006/relationships/hyperlink" Target="https://reparcelasmt.loudoun.gov/pt/datalets/datalet.aspx?mode=profileall&amp;UseSearch=no&amp;pin=203371445000&amp;jur=107&amp;taxyr=2024&amp;LMparent=20" TargetMode="External"/><Relationship Id="rId22" Type="http://schemas.openxmlformats.org/officeDocument/2006/relationships/hyperlink" Target="https://abc3340.com/news/abc-3340-news-iteam/bessemer-unveils-revised-project-marvel-data-center-campus-plan-amid-ongoing-controversy" TargetMode="External"/><Relationship Id="rId2207" Type="http://schemas.openxmlformats.org/officeDocument/2006/relationships/hyperlink" Target="https://www.datacenterdynamics.com/en/news/starwood-re-proposes-data-center-in-alexandria-virginia/" TargetMode="External"/><Relationship Id="rId21" Type="http://schemas.openxmlformats.org/officeDocument/2006/relationships/hyperlink" Target="https://www.datacenterdynamics.com/en/news/alabamas-planned-14bn-project-marvel-data-center-could-double-in-size/" TargetMode="External"/><Relationship Id="rId2208" Type="http://schemas.openxmlformats.org/officeDocument/2006/relationships/hyperlink" Target="https://www.fairfaxcounty.gov/gisapps/ParcelInfoReportJade/ParcelInfoReport.aspx?ParcelID=0812010007" TargetMode="External"/><Relationship Id="rId24" Type="http://schemas.openxmlformats.org/officeDocument/2006/relationships/hyperlink" Target="https://www.datacenterdynamics.com/en/news/nebius-targets-data-center-development-in-birmingham-alabama/" TargetMode="External"/><Relationship Id="rId2209" Type="http://schemas.openxmlformats.org/officeDocument/2006/relationships/hyperlink" Target="https://avaiodigital.com/" TargetMode="External"/><Relationship Id="rId23" Type="http://schemas.openxmlformats.org/officeDocument/2006/relationships/hyperlink" Target="https://insideclimatenews.org/news/13112025/proposed-alabama-data-center-clashes-with-northern-beltline-birmingham-darter/" TargetMode="External"/><Relationship Id="rId26" Type="http://schemas.openxmlformats.org/officeDocument/2006/relationships/hyperlink" Target="https://www.madeinalabama.com/2018/04/google-kicks-off-construction-on-alabama-data-center/" TargetMode="External"/><Relationship Id="rId25" Type="http://schemas.openxmlformats.org/officeDocument/2006/relationships/hyperlink" Target="https://www.bhamyouthfirst.org/news/city-birmingham-proposes-temporary-pause-new-data-center-applications" TargetMode="External"/><Relationship Id="rId28" Type="http://schemas.openxmlformats.org/officeDocument/2006/relationships/hyperlink" Target="https://www.facebook.com/groups/904402025318961e" TargetMode="External"/><Relationship Id="rId27" Type="http://schemas.openxmlformats.org/officeDocument/2006/relationships/hyperlink" Target="https://claycorp.com/work/mission-critical" TargetMode="External"/><Relationship Id="rId29" Type="http://schemas.openxmlformats.org/officeDocument/2006/relationships/hyperlink" Target="https://www.datacenterdynamics.com/en/news/planned-data-center-project-outside-chicago-illinois-paused-due-to-energy-infrastructure/" TargetMode="External"/><Relationship Id="rId2200" Type="http://schemas.openxmlformats.org/officeDocument/2006/relationships/hyperlink" Target="https://co.caroline.va.us/DocumentCenter/View/9793/RZ-04-2024--Bull-Church-Data-Center" TargetMode="External"/><Relationship Id="rId2201" Type="http://schemas.openxmlformats.org/officeDocument/2006/relationships/hyperlink" Target="https://kinggeorgetechnologycenter.com/submissions/" TargetMode="External"/><Relationship Id="rId2202" Type="http://schemas.openxmlformats.org/officeDocument/2006/relationships/hyperlink" Target="https://co.caroline.va.us/DocumentCenter/View/10114/SP-26-2024--Ladysmith-Tech-Park--Port-Royal" TargetMode="External"/><Relationship Id="rId11" Type="http://schemas.openxmlformats.org/officeDocument/2006/relationships/hyperlink" Target="https://www.kark.com/news/local-news/people-protest-at-the-grant-county-courthouse-against-proposed-data-and-solar-center-near-sheridan/" TargetMode="External"/><Relationship Id="rId10" Type="http://schemas.openxmlformats.org/officeDocument/2006/relationships/hyperlink" Target="https://www.southarkansasreckoning.com/grant-county-data-center-opponents-to-protest-monday/" TargetMode="External"/><Relationship Id="rId13" Type="http://schemas.openxmlformats.org/officeDocument/2006/relationships/hyperlink" Target="https://www.kark.com/news/state-news/grant-county-residents-voice-concerns-over-proposed-data-solar-center/" TargetMode="External"/><Relationship Id="rId12" Type="http://schemas.openxmlformats.org/officeDocument/2006/relationships/hyperlink" Target="https://arktimes.com/arkansas-blog/2025/11/12/solar-project-in-grant-county-to-help-power-google-data-centers-details-are-scant-on-west-memphis-agreement" TargetMode="External"/><Relationship Id="rId15" Type="http://schemas.openxmlformats.org/officeDocument/2006/relationships/hyperlink" Target="https://www.facebook.com/groups/740748888833453" TargetMode="External"/><Relationship Id="rId14" Type="http://schemas.openxmlformats.org/officeDocument/2006/relationships/hyperlink" Target="https://www.facebook.com/groups/1153501246871845" TargetMode="External"/><Relationship Id="rId17" Type="http://schemas.openxmlformats.org/officeDocument/2006/relationships/hyperlink" Target="https://www.youtube.com/watch?v=ICSrvQ7meow&amp;ab_channel=InsideClimateNews" TargetMode="External"/><Relationship Id="rId16" Type="http://schemas.openxmlformats.org/officeDocument/2006/relationships/hyperlink" Target="https://www.datacenterdynamics.com/en/news/700-acre-data-center-in-bessemer-alabama-approved-despite-opposition/" TargetMode="External"/><Relationship Id="rId19" Type="http://schemas.openxmlformats.org/officeDocument/2006/relationships/hyperlink" Target="https://www.wbrc.com/2025/09/14/bessemer-residents-frustrated-over-proposed-data-center/" TargetMode="External"/><Relationship Id="rId18" Type="http://schemas.openxmlformats.org/officeDocument/2006/relationships/hyperlink" Target="https://www.al.com/news/2025/06/14-billion-proposed-data-center-near-birmingham-hits-another-hurdle.html" TargetMode="External"/><Relationship Id="rId84" Type="http://schemas.openxmlformats.org/officeDocument/2006/relationships/hyperlink" Target="https://www.datacenterdynamics.com/en/news/ntt-acquires-173-acre-planned-data-center-park-in-mesa-arizona-for-300m/" TargetMode="External"/><Relationship Id="rId1774" Type="http://schemas.openxmlformats.org/officeDocument/2006/relationships/hyperlink" Target="https://www.consolidated.com/business/medium-enterprise/data-center-services/locations/pennsylvania" TargetMode="External"/><Relationship Id="rId83" Type="http://schemas.openxmlformats.org/officeDocument/2006/relationships/hyperlink" Target="https://www.yourvalley.net/mesa-independent/stories/6th-building-planned-at-mesa-data-center,652356" TargetMode="External"/><Relationship Id="rId1775" Type="http://schemas.openxmlformats.org/officeDocument/2006/relationships/hyperlink" Target="https://www.datacenterdynamics.com/en/news/soltier-cryptomine-proposal-delayed-in-bradford-county-pennsylvania/" TargetMode="External"/><Relationship Id="rId86" Type="http://schemas.openxmlformats.org/officeDocument/2006/relationships/hyperlink" Target="https://www.facebook.com/groups/641796558723863/" TargetMode="External"/><Relationship Id="rId1776" Type="http://schemas.openxmlformats.org/officeDocument/2006/relationships/hyperlink" Target="https://www.mcall.com/2025/11/12/large-data-center-in-the-works-for-former-air-products-site-in-upper-macungie/" TargetMode="External"/><Relationship Id="rId85" Type="http://schemas.openxmlformats.org/officeDocument/2006/relationships/hyperlink" Target="https://www.datacenterdynamics.com/en/news/two-data-center-projects-proposed-near-phoenix-arizona/" TargetMode="External"/><Relationship Id="rId1777" Type="http://schemas.openxmlformats.org/officeDocument/2006/relationships/hyperlink" Target="https://www.mcall.com/2025/11/09/talking-business-with-becky-bradley-the-rise-of-data-centers-crypto-mines-and-smart-manufacturing-and-how-the-lehigh-valley-is-planning-for-it/" TargetMode="External"/><Relationship Id="rId88" Type="http://schemas.openxmlformats.org/officeDocument/2006/relationships/hyperlink" Target="https://www.change.org/p/no-data-center-in-page-az" TargetMode="External"/><Relationship Id="rId1778" Type="http://schemas.openxmlformats.org/officeDocument/2006/relationships/hyperlink" Target="https://www.wfmz.com/news/area/lehighvalley/lehigh-county/western-lehigh-county/like-spaghetti-on-the-wall-lvpc-finds-air-products-data-center-plans-lacking/article_6ef5e836-0002-445b-9e52-67f272b8c393.html" TargetMode="External"/><Relationship Id="rId87" Type="http://schemas.openxmlformats.org/officeDocument/2006/relationships/hyperlink" Target="https://www.facebook.com/groups/1117995533656453" TargetMode="External"/><Relationship Id="rId1779" Type="http://schemas.openxmlformats.org/officeDocument/2006/relationships/hyperlink" Target="https://www.msn.com/en-us/money/news/lehigh-valley-planners-get-a-look-at-another-massive-data-center-project/ar-AA1UvwCJ" TargetMode="External"/><Relationship Id="rId89" Type="http://schemas.openxmlformats.org/officeDocument/2006/relationships/hyperlink" Target="https://www.datacenterdynamics.com/en/news/data-center-proposed-for-500-acre-site-in-page-arizona/" TargetMode="External"/><Relationship Id="rId80" Type="http://schemas.openxmlformats.org/officeDocument/2006/relationships/hyperlink" Target="https://www.datacenterdynamics.com/en/news/google-files-to-build-second-data-center-at-mesa-campus-in-arizona/" TargetMode="External"/><Relationship Id="rId82" Type="http://schemas.openxmlformats.org/officeDocument/2006/relationships/hyperlink" Target="https://www.datacenterdynamics.com/en/news/two-data-center-projects-proposed-near-phoenix-arizona/" TargetMode="External"/><Relationship Id="rId81" Type="http://schemas.openxmlformats.org/officeDocument/2006/relationships/hyperlink" Target="https://www.datacenterdynamics.com/en/news/ntt-acquires-173-acre-planned-data-center-park-in-mesa-arizona-for-300m/" TargetMode="External"/><Relationship Id="rId1770" Type="http://schemas.openxmlformats.org/officeDocument/2006/relationships/hyperlink" Target="https://www.wesa.fm/environment-energy/2025-12-16/pittsburgh-area-hyperscale-data-center-gets-green-light" TargetMode="External"/><Relationship Id="rId1771" Type="http://schemas.openxmlformats.org/officeDocument/2006/relationships/hyperlink" Target="https://www.wpxi.com/news/local/developers-unveil-changes-springdale-data-center-plan/QWE2YJ2H4NAKLGV6MQUDMTOXYE/" TargetMode="External"/><Relationship Id="rId1772" Type="http://schemas.openxmlformats.org/officeDocument/2006/relationships/hyperlink" Target="https://www.cbsnews.com/pittsburgh/news/proposed-data-center-stowe-township/" TargetMode="External"/><Relationship Id="rId1773" Type="http://schemas.openxmlformats.org/officeDocument/2006/relationships/hyperlink" Target="https://www.standardspeaker.com/2025/07/16/this-is-a-real-onslaught/" TargetMode="External"/><Relationship Id="rId73" Type="http://schemas.openxmlformats.org/officeDocument/2006/relationships/hyperlink" Target="https://www.maranaaz.gov/files/assets/cityofmarana/v/2/development-services/documents/data-centers/luckett-data-center.pdf" TargetMode="External"/><Relationship Id="rId1763" Type="http://schemas.openxmlformats.org/officeDocument/2006/relationships/hyperlink" Target="https://6abc.com/post/east-vincent-township-pa-debates-data-center-ordinance-amid-community-concerns/18149953/" TargetMode="External"/><Relationship Id="rId72" Type="http://schemas.openxmlformats.org/officeDocument/2006/relationships/hyperlink" Target="https://news.azpm.org/s/102447-marana-town-council-approves-rezoning-for-luckett-road-project-600-acre-hyperscale-data-center/" TargetMode="External"/><Relationship Id="rId1764" Type="http://schemas.openxmlformats.org/officeDocument/2006/relationships/hyperlink" Target="https://www.protectpt.org/data-center" TargetMode="External"/><Relationship Id="rId75" Type="http://schemas.openxmlformats.org/officeDocument/2006/relationships/hyperlink" Target="https://www.datacenterdynamics.com/en/news/aws-plots-four-data-centers-in-mesa-arizona/" TargetMode="External"/><Relationship Id="rId1765" Type="http://schemas.openxmlformats.org/officeDocument/2006/relationships/hyperlink" Target="https://triblive.com/local/valley-news-dispatch/site-of-former-springdale-power-plant-to-be-sold-to-data-center-developer/" TargetMode="External"/><Relationship Id="rId74" Type="http://schemas.openxmlformats.org/officeDocument/2006/relationships/hyperlink" Target="https://www.tucsonaz.gov/files/sharedassets/public/v/1/government/city-manager-office/documents/project-blue_faq-responses_final.pdf" TargetMode="External"/><Relationship Id="rId1766" Type="http://schemas.openxmlformats.org/officeDocument/2006/relationships/hyperlink" Target="https://www.post-gazette.com/business/powersource/2025/05/13/nrg-data-center-gas-energy/stories/202505130085" TargetMode="External"/><Relationship Id="rId77" Type="http://schemas.openxmlformats.org/officeDocument/2006/relationships/hyperlink" Target="https://www.datacenterdynamics.com/en/news/aws-plots-four-data-centers-in-mesa-arizona/" TargetMode="External"/><Relationship Id="rId1767" Type="http://schemas.openxmlformats.org/officeDocument/2006/relationships/hyperlink" Target="https://triblive.com/local/valley-news-dispatch/springdale-planning-commission-to-review-plans-for-proposed-massive-data-center/" TargetMode="External"/><Relationship Id="rId76" Type="http://schemas.openxmlformats.org/officeDocument/2006/relationships/hyperlink" Target="https://www.datacenterdynamics.com/en/news/edged-launches-36mw-data-center-in-phoenix-arizona/" TargetMode="External"/><Relationship Id="rId1768" Type="http://schemas.openxmlformats.org/officeDocument/2006/relationships/hyperlink" Target="https://www.cbsnews.com/pittsburgh/news/proposed-ai-data-center-springdale/" TargetMode="External"/><Relationship Id="rId79" Type="http://schemas.openxmlformats.org/officeDocument/2006/relationships/hyperlink" Target="https://www.datacenterdynamics.com/en/news/aws-plots-four-data-centers-in-mesa-arizona/" TargetMode="External"/><Relationship Id="rId1769" Type="http://schemas.openxmlformats.org/officeDocument/2006/relationships/hyperlink" Target="https://triblive.com/local/valley-news-dispatch/springdale-planning-commission-oks-data-center-project-proposal-moves-to-council/" TargetMode="External"/><Relationship Id="rId78" Type="http://schemas.openxmlformats.org/officeDocument/2006/relationships/hyperlink" Target="https://azbex.com/planning-development/amazon-submits-docs-for-2-mesa-data-centers/" TargetMode="External"/><Relationship Id="rId71" Type="http://schemas.openxmlformats.org/officeDocument/2006/relationships/hyperlink" Target="https://tucson.com/news/local/government-politics/article_b7e0a874-021f-406b-9722-7c8ef05bf476.html" TargetMode="External"/><Relationship Id="rId70" Type="http://schemas.openxmlformats.org/officeDocument/2006/relationships/hyperlink" Target="https://tucson.com/news/local/environment/article_52f0d4ba-aa9e-4c17-b290-ca3c2ad8d011.html" TargetMode="External"/><Relationship Id="rId1760" Type="http://schemas.openxmlformats.org/officeDocument/2006/relationships/hyperlink" Target="https://www.datacenterdynamics.com/en/news/new-regulations-could-stall-plan-to-convert-former-psychiatric-hospital-near-philadelphia-into-data-center/" TargetMode="External"/><Relationship Id="rId1761" Type="http://schemas.openxmlformats.org/officeDocument/2006/relationships/hyperlink" Target="https://www.eastvincent.org/vertical/sites/%7B5B8F1E55-6CA8-450E-BB40-12A8385B1313%7D/uploads/Latest_Revised_Version_of_Data_Center_Ordinance_-10.5.25.pdf" TargetMode="External"/><Relationship Id="rId1762" Type="http://schemas.openxmlformats.org/officeDocument/2006/relationships/hyperlink" Target="https://www.eastvincent.org/index.asp?SEC=015E8651-3650-4039-87BA-9B4C74591337&amp;DE=66A36F14-8175-4B3D-8A4D-23727AFD8324" TargetMode="External"/><Relationship Id="rId62" Type="http://schemas.openxmlformats.org/officeDocument/2006/relationships/hyperlink" Target="https://azbigmedia.com/real-estate/phoenix-data-center-market-displays-remarkable-momentum/" TargetMode="External"/><Relationship Id="rId1796" Type="http://schemas.openxmlformats.org/officeDocument/2006/relationships/hyperlink" Target="https://www.newfortressenergy.com/klondike" TargetMode="External"/><Relationship Id="rId61" Type="http://schemas.openxmlformats.org/officeDocument/2006/relationships/hyperlink" Target="https://www.datacenterdynamics.com/en/news/compass-datacenters-starts-build-hyperscale-arizona-campus/" TargetMode="External"/><Relationship Id="rId1797" Type="http://schemas.openxmlformats.org/officeDocument/2006/relationships/hyperlink" Target="https://paenvironmentdaily.blogspot.com/2025/10/dep-issues-air-quality-permit-for-248.html" TargetMode="External"/><Relationship Id="rId64" Type="http://schemas.openxmlformats.org/officeDocument/2006/relationships/hyperlink" Target="https://www.datacenterdynamics.com/en/news/owners-of-indoor-cannabis-farm-in-michigan-offer-site-up-for-data-center-use/" TargetMode="External"/><Relationship Id="rId1798" Type="http://schemas.openxmlformats.org/officeDocument/2006/relationships/hyperlink" Target="https://www.datacenterdynamics.com/en/news/750000-sq-ft-data-center-could-be-built-in-fairview-township-pennsylvania/" TargetMode="External"/><Relationship Id="rId63" Type="http://schemas.openxmlformats.org/officeDocument/2006/relationships/hyperlink" Target="https://www.levelset.com/property-owners/microsoft-corporation/project-history/" TargetMode="External"/><Relationship Id="rId1799" Type="http://schemas.openxmlformats.org/officeDocument/2006/relationships/hyperlink" Target="https://www.pennlive.com/business/2025/07/750000-square-foot-data-center-planned-along-interstate-83.html" TargetMode="External"/><Relationship Id="rId66" Type="http://schemas.openxmlformats.org/officeDocument/2006/relationships/hyperlink" Target="https://www.datacenterdynamics.com/en/news/vantage-completes-construction-on-first-data-center-in-goodyear-arizona/" TargetMode="External"/><Relationship Id="rId65" Type="http://schemas.openxmlformats.org/officeDocument/2006/relationships/hyperlink" Target="https://www.datacenterdynamics.com/en/news/stream-dc-files-to-expand-phoenix-campus-to-200mw/" TargetMode="External"/><Relationship Id="rId68" Type="http://schemas.openxmlformats.org/officeDocument/2006/relationships/hyperlink" Target="https://www.datacenterdynamics.com/en/news/vintage-partners-scraps-phoenix-arizona-data-center-plans/" TargetMode="External"/><Relationship Id="rId67" Type="http://schemas.openxmlformats.org/officeDocument/2006/relationships/hyperlink" Target="https://vantage-dc.com/news/vantage-data-centers-and-mccarthy-building-companies-celebrate-topping-out-of-construction-on-phase-ii-of-major-data-center-project-in-goodyear-ariz/?utm_source=chatgpt.com" TargetMode="External"/><Relationship Id="rId60" Type="http://schemas.openxmlformats.org/officeDocument/2006/relationships/hyperlink" Target="https://www.datacenterdynamics.com/en/news/h5-data-centers-expanding-phoenix-data-center-by-30000-sq-ft/" TargetMode="External"/><Relationship Id="rId69" Type="http://schemas.openxmlformats.org/officeDocument/2006/relationships/hyperlink" Target="https://www.facebook.com/groups/1247158236748842/" TargetMode="External"/><Relationship Id="rId1790" Type="http://schemas.openxmlformats.org/officeDocument/2006/relationships/hyperlink" Target="https://www.datacenterdynamics.com/en/news/amazon-to-invest-20bn-in-data-centers-in-pennsylvania/" TargetMode="External"/><Relationship Id="rId1791" Type="http://schemas.openxmlformats.org/officeDocument/2006/relationships/hyperlink" Target="https://paenvironmentdaily.blogspot.com/2026/02/montour-county-commissioners-vote-to.html?utm_source=chatgpt.com" TargetMode="External"/><Relationship Id="rId1792" Type="http://schemas.openxmlformats.org/officeDocument/2006/relationships/hyperlink" Target="https://www.facebook.com/p/Concerned-Citizens-of-Montour-County-100064748140999/" TargetMode="External"/><Relationship Id="rId1793" Type="http://schemas.openxmlformats.org/officeDocument/2006/relationships/hyperlink" Target="https://www.datacenterdynamics.com/en/news/proposal-for-800-acre-data-center-in-central-pennsylvania-has-been-denied/?utm_source=chatgpt.com" TargetMode="External"/><Relationship Id="rId1794" Type="http://schemas.openxmlformats.org/officeDocument/2006/relationships/hyperlink" Target="https://www.reuters.com/sustainability/boards-policy-regulation/local-regulators-deny-rezoning-request-pennsylvania-data-center-development-2026-02-10/" TargetMode="External"/><Relationship Id="rId1795" Type="http://schemas.openxmlformats.org/officeDocument/2006/relationships/hyperlink" Target="https://www.datacenterdynamics.com/en/news/comcast-to-convert-former-bank-into-data-center-in-new-jersey/" TargetMode="External"/><Relationship Id="rId51" Type="http://schemas.openxmlformats.org/officeDocument/2006/relationships/hyperlink" Target="https://armoneyandpolitics.com/conway-1-billion-data-center-fortune-100/" TargetMode="External"/><Relationship Id="rId1785" Type="http://schemas.openxmlformats.org/officeDocument/2006/relationships/hyperlink" Target="https://technical.ly/civics/amazon-20b-pennsylvania-cloud-ai/" TargetMode="External"/><Relationship Id="rId50" Type="http://schemas.openxmlformats.org/officeDocument/2006/relationships/hyperlink" Target="https://katv.com/news/local/conway-residents-protest-proposed-1b-data-center-citing-tax-water-and-power-concerns-ai-lollie-road-city-citizens-fortune-100-investment-drain-resources" TargetMode="External"/><Relationship Id="rId1786" Type="http://schemas.openxmlformats.org/officeDocument/2006/relationships/hyperlink" Target="https://spectrum.ieee.org/amazon-data-center-nuclear-power" TargetMode="External"/><Relationship Id="rId53" Type="http://schemas.openxmlformats.org/officeDocument/2006/relationships/hyperlink" Target="https://www.datacenterdynamics.com/en/news/plans-for-300000-sq-ft-data-center-put-forward-in-conway-arkansas/" TargetMode="External"/><Relationship Id="rId1787" Type="http://schemas.openxmlformats.org/officeDocument/2006/relationships/hyperlink" Target="https://www.facebook.com/TheDailyItem/posts/danville-a-group-calling-itself-the-concerned-citizens-of-montour-county-has-for/1369932341805122/" TargetMode="External"/><Relationship Id="rId52" Type="http://schemas.openxmlformats.org/officeDocument/2006/relationships/hyperlink" Target="https://katv.com/news/local/conway-meeting-draws-crowd-demanding-answers-on-proposed-ai-data-center-near-lollie-road-billion-dollar-center-campus-facility-development-major-investment-benefits-cooling-operations-design-phase" TargetMode="External"/><Relationship Id="rId1788" Type="http://schemas.openxmlformats.org/officeDocument/2006/relationships/hyperlink" Target="https://www.thewellnews.com/energy/amazon-to-spend-20b-on-data-centers-including-one-next-to-a-nuclear-power-plant/" TargetMode="External"/><Relationship Id="rId55" Type="http://schemas.openxmlformats.org/officeDocument/2006/relationships/hyperlink" Target="https://wreg.com/news/local/data-center-deal-comes-as-area-emerges-as-tech-hub/" TargetMode="External"/><Relationship Id="rId1789" Type="http://schemas.openxmlformats.org/officeDocument/2006/relationships/hyperlink" Target="https://www.citizensvoice.com/2024/05/29/salem-twp-rezones-1582-acres-for-multibillion-dollar-amazon-data-center-campus-near-power-plants/" TargetMode="External"/><Relationship Id="rId54" Type="http://schemas.openxmlformats.org/officeDocument/2006/relationships/hyperlink" Target="https://www.datacenterdynamics.com/en/news/brightspeed-data-center-up-for-sale-leaseback-in-arkansas/" TargetMode="External"/><Relationship Id="rId57" Type="http://schemas.openxmlformats.org/officeDocument/2006/relationships/hyperlink" Target="https://www.arkansasedc.com/news-events/newsroom/detail/2025/10/02/google-locating-new-data-center-in-west-memphis--arkansas-with-multi-billion-dollar-investment" TargetMode="External"/><Relationship Id="rId56" Type="http://schemas.openxmlformats.org/officeDocument/2006/relationships/hyperlink" Target="https://rbnenergy.com/i-know-places-tech-giants-may-be-the-surest-bets-for-data-center-power-demand" TargetMode="External"/><Relationship Id="rId59" Type="http://schemas.openxmlformats.org/officeDocument/2006/relationships/hyperlink" Target="https://www.datacenterdynamics.com/en/news/australias-fortescue-could-get-zoning-permission-for-potential-data-center-near-phoenix-arizona/" TargetMode="External"/><Relationship Id="rId58" Type="http://schemas.openxmlformats.org/officeDocument/2006/relationships/hyperlink" Target="https://www.change.org/p/stop-the-building-of-a-data-center-in-our-community" TargetMode="External"/><Relationship Id="rId1780" Type="http://schemas.openxmlformats.org/officeDocument/2006/relationships/hyperlink" Target="https://www.change.org/p/save-pitt-race-from-closure/u/33957563" TargetMode="External"/><Relationship Id="rId1781" Type="http://schemas.openxmlformats.org/officeDocument/2006/relationships/hyperlink" Target="https://www.theautopian.com/one-of-the-east-coasts-best-race-tracks-is-reportedly-closing-for-good/" TargetMode="External"/><Relationship Id="rId1782" Type="http://schemas.openxmlformats.org/officeDocument/2006/relationships/hyperlink" Target="https://www.post-gazette.com/business/tech-news/2026/06/03/data-center-beaver-county-pitt-race/stories/202606030047" TargetMode="External"/><Relationship Id="rId1783" Type="http://schemas.openxmlformats.org/officeDocument/2006/relationships/hyperlink" Target="https://www.wtae.com/article/community-pushes-back-proposed-data-center-campus-big-beaver-borough/71477091" TargetMode="External"/><Relationship Id="rId1784" Type="http://schemas.openxmlformats.org/officeDocument/2006/relationships/hyperlink" Target="https://www.facebook.com/p/Concerned-Citizens-of-Montour-County-100064748140999/" TargetMode="External"/><Relationship Id="rId2269" Type="http://schemas.openxmlformats.org/officeDocument/2006/relationships/hyperlink" Target="https://www.datacenterdynamics.com/en/news/h5-breaks-ground-on-data-center-in-ashburn-virginia/" TargetMode="External"/><Relationship Id="rId349" Type="http://schemas.openxmlformats.org/officeDocument/2006/relationships/hyperlink" Target="https://www.gem.wiki/Core_Scientific_Whitfield_County_facility" TargetMode="External"/><Relationship Id="rId348" Type="http://schemas.openxmlformats.org/officeDocument/2006/relationships/hyperlink" Target="https://daltoncitizen.com/2025/03/11/whitfield-county-commissioners-approve-rezoning-for-data-center-despite-opposition/" TargetMode="External"/><Relationship Id="rId347" Type="http://schemas.openxmlformats.org/officeDocument/2006/relationships/hyperlink" Target="https://www.facebook.com/groups/931942845924036/about" TargetMode="External"/><Relationship Id="rId346" Type="http://schemas.openxmlformats.org/officeDocument/2006/relationships/hyperlink" Target="https://newschannel9.com/news/local/ai-data-center-to-occupy-10-acres-in-dalton-residents-worry-about-noise-and-disruption?fbclid=IwZXh0bgNhZW0CMTEAAR0qBKoGaPqCaC-SeXxvrxOiIw21X6S2k_Xwys5N4RXZP9MubzNyzEE1q9A_aem_GychPh4WLqAOKhyPihISPQ" TargetMode="External"/><Relationship Id="rId2260" Type="http://schemas.openxmlformats.org/officeDocument/2006/relationships/hyperlink" Target="https://reparcelasmt.loudoun.gov/pt/Datalets/Datalet.aspx?UseSearch=no&amp;mode=profileall&amp;pin=089382215000&amp;jur=107&amp;taxyr=2024" TargetMode="External"/><Relationship Id="rId341" Type="http://schemas.openxmlformats.org/officeDocument/2006/relationships/hyperlink" Target="https://www.ajc.com/news/business/sprawling-data-center-campuses-proposed-south-and-east-of-atlanta/5QKZEN5W45GU5NCHUHGVYX4UUM/" TargetMode="External"/><Relationship Id="rId2261" Type="http://schemas.openxmlformats.org/officeDocument/2006/relationships/hyperlink" Target="https://reparcelasmt.loudoun.gov/pt/datalets/datalet.aspx?mode=profileall&amp;UseSearch=no&amp;pin=061268762000&amp;jur=107&amp;taxyr=2024&amp;LMparent=20" TargetMode="External"/><Relationship Id="rId340" Type="http://schemas.openxmlformats.org/officeDocument/2006/relationships/hyperlink" Target="https://w.media/aws-plans-new-data-center-in-georgia-usa/" TargetMode="External"/><Relationship Id="rId2262" Type="http://schemas.openxmlformats.org/officeDocument/2006/relationships/hyperlink" Target="https://reparcelasmt.loudoun.gov/pt/datalets/datalet.aspx?mode=profileall&amp;UseSearch=no&amp;pin=062256361000&amp;jur=107&amp;taxyr=2024&amp;LMparent=20" TargetMode="External"/><Relationship Id="rId2263" Type="http://schemas.openxmlformats.org/officeDocument/2006/relationships/hyperlink" Target="https://reparcelasmt.loudoun.gov/pt/datalets/datalet.aspx?mode=profileall&amp;UseSearch=no&amp;pin=088200644000&amp;jur=107&amp;taxyr=2024&amp;LMparent=20" TargetMode="External"/><Relationship Id="rId2264" Type="http://schemas.openxmlformats.org/officeDocument/2006/relationships/hyperlink" Target="https://loudouncountyvaeg.tylerhost.net/prod/selfservice" TargetMode="External"/><Relationship Id="rId345" Type="http://schemas.openxmlformats.org/officeDocument/2006/relationships/hyperlink" Target="https://www.timesfreepress.com/news/2025/dec/22/a-new-georgia-data-center-could-be-powered-by/" TargetMode="External"/><Relationship Id="rId2265" Type="http://schemas.openxmlformats.org/officeDocument/2006/relationships/hyperlink" Target="https://reparcelasmt.loudoun.gov/pt/Datalets/Datalet.aspx?UseSearch=no&amp;mode=profileall&amp;pin=061301740000&amp;jur=107&amp;taxyr=2024" TargetMode="External"/><Relationship Id="rId344" Type="http://schemas.openxmlformats.org/officeDocument/2006/relationships/hyperlink" Target="https://www.datacenterdynamics.com/en/news/serverfarm-plans-natural-gas-powered-data-center-in-georgia/" TargetMode="External"/><Relationship Id="rId2266" Type="http://schemas.openxmlformats.org/officeDocument/2006/relationships/hyperlink" Target="https://reparcelasmt.loudoun.gov/pt/datalets/datalet.aspx?mode=profileall&amp;UseSearch=no&amp;pin=060108050000&amp;jur=107&amp;taxyr=2024&amp;LMparent=20" TargetMode="External"/><Relationship Id="rId343" Type="http://schemas.openxmlformats.org/officeDocument/2006/relationships/hyperlink" Target="https://www.datacenterdynamics.com/en/news/aws-plans-data-center-in-covington-georgia/" TargetMode="External"/><Relationship Id="rId2267" Type="http://schemas.openxmlformats.org/officeDocument/2006/relationships/hyperlink" Target="https://reparcelasmt.loudoun.gov/pt/Datalets/Datalet.aspx?UseSearch=no&amp;mode=profileall&amp;pin=061298643000&amp;jur=107&amp;taxyr=2024" TargetMode="External"/><Relationship Id="rId342" Type="http://schemas.openxmlformats.org/officeDocument/2006/relationships/hyperlink" Target="https://www.datacenterdynamics.com/en/news/plans-filed-for-14-million-sq-ft-data-center-campus-outside-atlanta-georgia/" TargetMode="External"/><Relationship Id="rId2268" Type="http://schemas.openxmlformats.org/officeDocument/2006/relationships/hyperlink" Target="https://reparcelasmt.loudoun.gov/pt/datalets/datalet.aspx?mode=profileall&amp;UseSearch=no&amp;pin=061483407000&amp;jur=107&amp;taxyr=2024&amp;LMparent=20" TargetMode="External"/><Relationship Id="rId2258" Type="http://schemas.openxmlformats.org/officeDocument/2006/relationships/hyperlink" Target="https://loudouncountyvaeg.tylerhost.net/prod/selfservice" TargetMode="External"/><Relationship Id="rId2259" Type="http://schemas.openxmlformats.org/officeDocument/2006/relationships/hyperlink" Target="https://reparcelasmt.loudoun.gov/pt/Datalets/Datalet.aspx?UseSearch=no&amp;mode=profileall&amp;pin=061394321000&amp;jur=107&amp;taxyr=2024" TargetMode="External"/><Relationship Id="rId338" Type="http://schemas.openxmlformats.org/officeDocument/2006/relationships/hyperlink" Target="https://www.datacenterdynamics.com/en/news/aws-plans-data-center-in-covington-georgia/" TargetMode="External"/><Relationship Id="rId337" Type="http://schemas.openxmlformats.org/officeDocument/2006/relationships/hyperlink" Target="https://www.datacenterdynamics.com/en/news/21-million-sq-ft-technology-campus-proposed-in-southern-georgia/" TargetMode="External"/><Relationship Id="rId336" Type="http://schemas.openxmlformats.org/officeDocument/2006/relationships/hyperlink" Target="https://www.11alive.com/article/tech/metro-atlanta-data-center-proposed-53-acre-site/85-ac4c267f-95ad-4670-85c6-bdae1b9a337a" TargetMode="External"/><Relationship Id="rId335" Type="http://schemas.openxmlformats.org/officeDocument/2006/relationships/hyperlink" Target="https://www.datacenterdynamics.com/en/news/dc-blox-secures-115bn-green-loan-for-atlanta-data-center-development/" TargetMode="External"/><Relationship Id="rId339" Type="http://schemas.openxmlformats.org/officeDocument/2006/relationships/hyperlink" Target="https://www.aboutamazon.com/news/aws/aws-investment-georgia-ai-cloud-infrastructure" TargetMode="External"/><Relationship Id="rId330" Type="http://schemas.openxmlformats.org/officeDocument/2006/relationships/hyperlink" Target="https://www.datacenterdynamics.com/en/news/21-million-sq-ft-data-center-campus-proposed-outside-atlanta-georgia/" TargetMode="External"/><Relationship Id="rId2250" Type="http://schemas.openxmlformats.org/officeDocument/2006/relationships/hyperlink" Target="https://reparcelasmt.loudoun.gov/pt/Datalets/Datalet.aspx?UseSearch=no&amp;mode=profileall&amp;pin=161269137000&amp;jur=107&amp;taxyr=2025" TargetMode="External"/><Relationship Id="rId2251" Type="http://schemas.openxmlformats.org/officeDocument/2006/relationships/hyperlink" Target="https://reparcelasmt.loudoun.gov/pt/Datalets/Datalet.aspx?UseSearch=no&amp;mode=profileall&amp;pin=061285496000&amp;jur=107&amp;taxyr=2024" TargetMode="External"/><Relationship Id="rId2252" Type="http://schemas.openxmlformats.org/officeDocument/2006/relationships/hyperlink" Target="https://loudouncountyvaeg.tylerhost.net/prod/selfservice" TargetMode="External"/><Relationship Id="rId2253" Type="http://schemas.openxmlformats.org/officeDocument/2006/relationships/hyperlink" Target="https://reparcelasmt.loudoun.gov/pt/Datalets/Datalet.aspx?UseSearch=no&amp;mode=profileall&amp;pin=154199491000&amp;jur=107&amp;taxyr=2025" TargetMode="External"/><Relationship Id="rId334" Type="http://schemas.openxmlformats.org/officeDocument/2006/relationships/hyperlink" Target="https://www.dcblox.com/data-centers/rockdale-county-ga-hyperscale-data-center-campus/" TargetMode="External"/><Relationship Id="rId2254" Type="http://schemas.openxmlformats.org/officeDocument/2006/relationships/hyperlink" Target="https://loudouncountyvaeg.tylerhost.net/prod/selfservice" TargetMode="External"/><Relationship Id="rId333" Type="http://schemas.openxmlformats.org/officeDocument/2006/relationships/hyperlink" Target="https://apps.dca.ga.gov/DRI/AppSummary.aspx?driid=4257" TargetMode="External"/><Relationship Id="rId2255" Type="http://schemas.openxmlformats.org/officeDocument/2006/relationships/hyperlink" Target="https://reparcelasmt.loudoun.gov/pt/datalets/datalet.aspx?mode=land_summary&amp;UseSearch=no&amp;pin=089496314001&amp;jur=107&amp;taxyr=2025&amp;LMparent=20" TargetMode="External"/><Relationship Id="rId332" Type="http://schemas.openxmlformats.org/officeDocument/2006/relationships/hyperlink" Target="https://www.datacenterfrontier.com/hyperscale/article/55126626/details-emerge-on-microsofts-18-billion-investment-in-atlanta-data-centers-amid-tax-development-wrangles" TargetMode="External"/><Relationship Id="rId2256" Type="http://schemas.openxmlformats.org/officeDocument/2006/relationships/hyperlink" Target="https://reparcelasmt.loudoun.gov/pt/Datalets/Datalet.aspx?UseSearch=no&amp;mode=profileall&amp;pin=060386530000&amp;jur=107&amp;taxyr=2024" TargetMode="External"/><Relationship Id="rId331" Type="http://schemas.openxmlformats.org/officeDocument/2006/relationships/hyperlink" Target="https://apps.dca.ga.gov/DRI/AppSummary.aspx?driid=4235" TargetMode="External"/><Relationship Id="rId2257" Type="http://schemas.openxmlformats.org/officeDocument/2006/relationships/hyperlink" Target="https://reparcelasmt.loudoun.gov/pt/Datalets/Datalet.aspx?UseSearch=no&amp;mode=profileall&amp;pin=060485060000&amp;jur=107&amp;taxyr=2024" TargetMode="External"/><Relationship Id="rId370" Type="http://schemas.openxmlformats.org/officeDocument/2006/relationships/hyperlink" Target="https://www.datacenterdynamics.com/en/news/t5-files-to-develop-data-center-campus-outside-atlanta-georgia/" TargetMode="External"/><Relationship Id="rId369" Type="http://schemas.openxmlformats.org/officeDocument/2006/relationships/hyperlink" Target="https://www.datacenterdynamics.com/en/news/large-data-center-campus-planned-outside-atlanta-georgia/" TargetMode="External"/><Relationship Id="rId368" Type="http://schemas.openxmlformats.org/officeDocument/2006/relationships/hyperlink" Target="https://www.decaturish.com/news/dekalb/tensions-flare-at-dekalb-zoning-meeting-about-data-centers/article_46a3dba1-11dd-4b2a-846f-543e3400b51d.html" TargetMode="External"/><Relationship Id="rId2280" Type="http://schemas.openxmlformats.org/officeDocument/2006/relationships/hyperlink" Target="https://reparcelasmt.loudoun.gov/pt/datalets/datalet.aspx?mode=profileall&amp;UseSearch=no&amp;pin=060202337000&amp;jur=107&amp;taxyr=2024&amp;LMparent=20" TargetMode="External"/><Relationship Id="rId2281" Type="http://schemas.openxmlformats.org/officeDocument/2006/relationships/hyperlink" Target="https://loudouncountyvaeg.tylerhost.net/prod/selfservice" TargetMode="External"/><Relationship Id="rId2282" Type="http://schemas.openxmlformats.org/officeDocument/2006/relationships/hyperlink" Target="https://reparcelasmt.loudoun.gov/pt/datalets/datalet.aspx?mode=profileall&amp;UseSearch=no&amp;pin=088407447000&amp;jur=107&amp;taxyr=2024&amp;LMparent=20" TargetMode="External"/><Relationship Id="rId363" Type="http://schemas.openxmlformats.org/officeDocument/2006/relationships/hyperlink" Target="https://www.datacenterdynamics.com/en/news/ta-realty-gets-green-light-for-data-center-outside-atlanta-georgia/" TargetMode="External"/><Relationship Id="rId2283" Type="http://schemas.openxmlformats.org/officeDocument/2006/relationships/hyperlink" Target="https://reparcelasmt.loudoun.gov/pt/datalets/datalet.aspx?mode=profileall&amp;UseSearch=no&amp;pin=042152579000&amp;jur=107&amp;taxyr=2024&amp;LMparent=20" TargetMode="External"/><Relationship Id="rId362" Type="http://schemas.openxmlformats.org/officeDocument/2006/relationships/hyperlink" Target="https://local.microsoft.com/blog/east-point-datacenter-project-overview/" TargetMode="External"/><Relationship Id="rId2284" Type="http://schemas.openxmlformats.org/officeDocument/2006/relationships/hyperlink" Target="https://reparcelasmt.loudoun.gov/pt/datalets/datalet.aspx?mode=profileall&amp;UseSearch=no&amp;pin=089100937000&amp;jur=107&amp;taxyr=2024&amp;LMparent=20" TargetMode="External"/><Relationship Id="rId361" Type="http://schemas.openxmlformats.org/officeDocument/2006/relationships/hyperlink" Target="https://www.41nbc.com/twiggs-county-data-center-rezoning-approval/" TargetMode="External"/><Relationship Id="rId2285" Type="http://schemas.openxmlformats.org/officeDocument/2006/relationships/hyperlink" Target="https://reparcelasmt.loudoun.gov/pt/datalets/datalet.aspx?mode=profileall&amp;UseSearch=no&amp;pin=060298548000&amp;jur=107&amp;taxyr=2024&amp;LMparent=20" TargetMode="External"/><Relationship Id="rId360" Type="http://schemas.openxmlformats.org/officeDocument/2006/relationships/hyperlink" Target="https://www.41nbc.com/twiggs-county-data-center-rezoning-approval/" TargetMode="External"/><Relationship Id="rId2286" Type="http://schemas.openxmlformats.org/officeDocument/2006/relationships/hyperlink" Target="https://reparcelasmt.loudoun.gov/pt/datalets/datalet.aspx?mode=profileall&amp;UseSearch=no&amp;pin=088392214000&amp;jur=107&amp;taxyr=2024&amp;LMparent=20" TargetMode="External"/><Relationship Id="rId367" Type="http://schemas.openxmlformats.org/officeDocument/2006/relationships/hyperlink" Target="https://www.datacenterdynamics.com/en/news/rezoning-proposal-for-95-acre-data-center-in-dekalb-county-georgia-deferred/" TargetMode="External"/><Relationship Id="rId2287" Type="http://schemas.openxmlformats.org/officeDocument/2006/relationships/hyperlink" Target="https://www.datacenterdynamics.com/en/news/432mw-data-center-campus-eyed-in-virginias-data-center-alley/" TargetMode="External"/><Relationship Id="rId366" Type="http://schemas.openxmlformats.org/officeDocument/2006/relationships/hyperlink" Target="https://www.decaturish.com/business/1-million-square-foot-data-center-proposed-in-south-dekalb/article_360e16a7-a411-4af9-91ed-1d8661aa37a5.html" TargetMode="External"/><Relationship Id="rId2288" Type="http://schemas.openxmlformats.org/officeDocument/2006/relationships/hyperlink" Target="https://www.datacenterdynamics.com/en/news/sabey-breaks-ground-on-third-building-at-ashburn-virginia-campus/" TargetMode="External"/><Relationship Id="rId365" Type="http://schemas.openxmlformats.org/officeDocument/2006/relationships/hyperlink" Target="https://www.change.org/p/no-data-centers-in-our-communities-georgia-fights-back" TargetMode="External"/><Relationship Id="rId2289" Type="http://schemas.openxmlformats.org/officeDocument/2006/relationships/hyperlink" Target="https://www.businesswire.com/news/home/20250624907578/en/Sabey-Data-Centers-Breaks-Ground-on-Final-Phase-of-Ashburn-Campus-Expansion" TargetMode="External"/><Relationship Id="rId364" Type="http://schemas.openxmlformats.org/officeDocument/2006/relationships/hyperlink" Target="https://www.ajc.com/news/2025/06/clayton-county-agency-approves-tax-break-for-1b-data-center/" TargetMode="External"/><Relationship Id="rId95" Type="http://schemas.openxmlformats.org/officeDocument/2006/relationships/hyperlink" Target="https://www.datacenterdynamics.com/en/news/qts-breaks-ground-on-data-center-in-phoenix-arizona/" TargetMode="External"/><Relationship Id="rId94" Type="http://schemas.openxmlformats.org/officeDocument/2006/relationships/hyperlink" Target="https://www.expedient.com/data-centers/phoenix/" TargetMode="External"/><Relationship Id="rId97" Type="http://schemas.openxmlformats.org/officeDocument/2006/relationships/hyperlink" Target="https://www.datacenterwatch.org/report" TargetMode="External"/><Relationship Id="rId96" Type="http://schemas.openxmlformats.org/officeDocument/2006/relationships/hyperlink" Target="https://www.datacenterdynamics.com/en/news/qts-breaks-ground-on-data-center-in-phoenix-arizona/" TargetMode="External"/><Relationship Id="rId99" Type="http://schemas.openxmlformats.org/officeDocument/2006/relationships/hyperlink" Target="https://www.facebook.com/groups/1757504565223476/" TargetMode="External"/><Relationship Id="rId98" Type="http://schemas.openxmlformats.org/officeDocument/2006/relationships/hyperlink" Target="https://www.tract.com/news/tract-closes-acquisition-of-2069-acres-in-buckeye-arizona/" TargetMode="External"/><Relationship Id="rId91" Type="http://schemas.openxmlformats.org/officeDocument/2006/relationships/hyperlink" Target="https://lakepowellchronicle.com/stories/international-development-company-proposes-10-billion-data-center-for-page,78901" TargetMode="External"/><Relationship Id="rId90" Type="http://schemas.openxmlformats.org/officeDocument/2006/relationships/hyperlink" Target="https://www.fox10phoenix.com/news/10b-data-center-plan-page-area-faces-pushback-from-residents" TargetMode="External"/><Relationship Id="rId93" Type="http://schemas.openxmlformats.org/officeDocument/2006/relationships/hyperlink" Target="https://www.datacenterdynamics.com/en/news/expedient-opens-data-center-in-phoenix-arizona/" TargetMode="External"/><Relationship Id="rId92" Type="http://schemas.openxmlformats.org/officeDocument/2006/relationships/hyperlink" Target="https://www.datacenterdynamics.com/en/news/aligned-acquires-two-plots-in-phoenix-plans-two-campuses-totaling-400mw/" TargetMode="External"/><Relationship Id="rId359" Type="http://schemas.openxmlformats.org/officeDocument/2006/relationships/hyperlink" Target="https://wgxa.tv/news/local/environmental-advocate-urges-twiggs-county-to-reject-data-center-plans-near-ocmulgee-river" TargetMode="External"/><Relationship Id="rId358" Type="http://schemas.openxmlformats.org/officeDocument/2006/relationships/hyperlink" Target="https://www.twiggscounty.us/wp-content/uploads/2025/08/Pine-Ridge-Data-Center-Facts-Sheet.pdf" TargetMode="External"/><Relationship Id="rId357" Type="http://schemas.openxmlformats.org/officeDocument/2006/relationships/hyperlink" Target="https://www.datacenterdynamics.com/en/news/data-center-proposed-in-twiggs-county-georgia/" TargetMode="External"/><Relationship Id="rId2270" Type="http://schemas.openxmlformats.org/officeDocument/2006/relationships/hyperlink" Target="https://reparcelasmt.loudoun.gov/pt/datalets/datalet.aspx?mode=profileall&amp;UseSearch=no&amp;pin=061307791000&amp;jur=107&amp;taxyr=2024&amp;LMparent=20" TargetMode="External"/><Relationship Id="rId2271" Type="http://schemas.openxmlformats.org/officeDocument/2006/relationships/hyperlink" Target="https://reparcelasmt.loudoun.gov/pt/datalets/datalet.aspx?mode=commercial&amp;UseSearch=no&amp;pin=059309091000&amp;jur=107&amp;taxyr=2024&amp;LMparent=20" TargetMode="External"/><Relationship Id="rId352" Type="http://schemas.openxmlformats.org/officeDocument/2006/relationships/hyperlink" Target="https://baxtel.com/data-center/microsoft-douglasville" TargetMode="External"/><Relationship Id="rId2272" Type="http://schemas.openxmlformats.org/officeDocument/2006/relationships/hyperlink" Target="https://reparcelasmt.loudoun.gov/pt/datalets/datalet.aspx?mode=profileall&amp;UseSearch=no&amp;pin=089278681000&amp;jur=107&amp;taxyr=2024&amp;LMparent=20" TargetMode="External"/><Relationship Id="rId351" Type="http://schemas.openxmlformats.org/officeDocument/2006/relationships/hyperlink" Target="https://invest.jll.com/us/en/listings/special-purpose-facility/8-asset-switch-portfolio" TargetMode="External"/><Relationship Id="rId2273" Type="http://schemas.openxmlformats.org/officeDocument/2006/relationships/hyperlink" Target="https://reparcelasmt.loudoun.gov/pt/datalets/datalet.aspx?mode=profileall&amp;UseSearch=no&amp;pin=089367531000&amp;jur=107&amp;taxyr=2024&amp;LMparent=20" TargetMode="External"/><Relationship Id="rId350" Type="http://schemas.openxmlformats.org/officeDocument/2006/relationships/hyperlink" Target="https://daltoncitizen.com/2025/09/27/dalton-whitfield-joint-development-authority-moves-forward-on-deal-for-data-center/" TargetMode="External"/><Relationship Id="rId2274" Type="http://schemas.openxmlformats.org/officeDocument/2006/relationships/hyperlink" Target="https://reparcelasmt.loudoun.gov/pt/datalets/datalet.aspx?mode=commercial&amp;UseSearch=no&amp;pin=089374763002&amp;jur=107&amp;taxyr=2024&amp;LMparent=20" TargetMode="External"/><Relationship Id="rId2275" Type="http://schemas.openxmlformats.org/officeDocument/2006/relationships/hyperlink" Target="https://reparcelasmt.loudoun.gov/pt/datalets/datalet.aspx?mode=profileall&amp;UseSearch=no&amp;pin=088481748000&amp;jur=107&amp;taxyr=2024&amp;LMparent=20" TargetMode="External"/><Relationship Id="rId356" Type="http://schemas.openxmlformats.org/officeDocument/2006/relationships/hyperlink" Target="https://wgxa.tv/news/local/local-farmer-has-growing-concern-over-rezoning-request-for-data-center-in-twiggs-county" TargetMode="External"/><Relationship Id="rId2276" Type="http://schemas.openxmlformats.org/officeDocument/2006/relationships/hyperlink" Target="https://reparcelasmt.loudoun.gov/pt/datalets/datalet.aspx?mode=profileall&amp;UseSearch=no&amp;pin=062493798000&amp;jur=107&amp;taxyr=2024&amp;LMparent=20" TargetMode="External"/><Relationship Id="rId355" Type="http://schemas.openxmlformats.org/officeDocument/2006/relationships/hyperlink" Target="https://www.13wmaz.com/article/news/local/twiggs-neighbors-fear-5b-proposed-data-center-will-drain-wells-endanger-wilderness/93-32db438f-a736-46b8-a899-d97f891206b4" TargetMode="External"/><Relationship Id="rId2277" Type="http://schemas.openxmlformats.org/officeDocument/2006/relationships/hyperlink" Target="https://reparcelasmt.loudoun.gov/pt/datalets/datalet.aspx?mode=profileall&amp;UseSearch=no&amp;pin=089291706000&amp;jur=107&amp;taxyr=2024&amp;LMparent=20" TargetMode="External"/><Relationship Id="rId354" Type="http://schemas.openxmlformats.org/officeDocument/2006/relationships/hyperlink" Target="https://www.13wmaz.com/article/news/local/twiggs/5-billion-data-center-proposed-for-rural-twiggs-county-mixed-reactions/93-8c88256d-72bf-47d8-83b7-992aa21475a1" TargetMode="External"/><Relationship Id="rId2278" Type="http://schemas.openxmlformats.org/officeDocument/2006/relationships/hyperlink" Target="https://reparcelasmt.loudoun.gov/pt/datalets/datalet.aspx?mode=profileall&amp;UseSearch=no&amp;pin=062462761000&amp;jur=107&amp;taxyr=2024&amp;LMparent=20" TargetMode="External"/><Relationship Id="rId353" Type="http://schemas.openxmlformats.org/officeDocument/2006/relationships/hyperlink" Target="https://www.datacenterdynamics.com/en/news/vantage-plots-data-center-campus-in-atlanta-georgia/" TargetMode="External"/><Relationship Id="rId2279" Type="http://schemas.openxmlformats.org/officeDocument/2006/relationships/hyperlink" Target="https://www.datacenters.com/cloudhq-lc1-united-states-northern-va?" TargetMode="External"/><Relationship Id="rId2225" Type="http://schemas.openxmlformats.org/officeDocument/2006/relationships/hyperlink" Target="https://reparcelasmt.loudoun.gov/pt/datalets/datalet.aspx?mode=commercial&amp;UseSearch=no&amp;pin=060182916002&amp;jur=107&amp;taxyr=2024&amp;LMparent=20" TargetMode="External"/><Relationship Id="rId2226" Type="http://schemas.openxmlformats.org/officeDocument/2006/relationships/hyperlink" Target="https://reparcelasmt.loudoun.gov/pt/Datalets/Datalet.aspx?UseSearch=no&amp;mode=profileall&amp;pin=060182916003&amp;jur=107&amp;taxyr=2024" TargetMode="External"/><Relationship Id="rId2227" Type="http://schemas.openxmlformats.org/officeDocument/2006/relationships/hyperlink" Target="https://reparcelasmt.loudoun.gov/pt/datalets/datalet.aspx?mode=profileall&amp;UseSearch=no&amp;pin=061275931000&amp;jur=107&amp;taxyr=2024&amp;LMparent=20" TargetMode="External"/><Relationship Id="rId2228" Type="http://schemas.openxmlformats.org/officeDocument/2006/relationships/hyperlink" Target="https://reparcelasmt.loudoun.gov/pt/Datalets/Datalet.aspx?UseSearch=no&amp;mode=profileall&amp;pin=060209652000&amp;jur=107&amp;taxyr=2024" TargetMode="External"/><Relationship Id="rId2229" Type="http://schemas.openxmlformats.org/officeDocument/2006/relationships/hyperlink" Target="https://loudouncountyvaeg.tylerhost.net/prod/selfservice" TargetMode="External"/><Relationship Id="rId305" Type="http://schemas.openxmlformats.org/officeDocument/2006/relationships/hyperlink" Target="https://www.datacenterdynamics.com/en/news/qts-targets-two-data-center-campuses-in-georgia/" TargetMode="External"/><Relationship Id="rId304" Type="http://schemas.openxmlformats.org/officeDocument/2006/relationships/hyperlink" Target="https://www.datacenterdynamics.com/en/news/microsoft-buys-125-acre-site-in-fulton-county-georgia/" TargetMode="External"/><Relationship Id="rId303" Type="http://schemas.openxmlformats.org/officeDocument/2006/relationships/hyperlink" Target="https://baxtel.com/data-center/level3-atlanta-doraville" TargetMode="External"/><Relationship Id="rId302" Type="http://schemas.openxmlformats.org/officeDocument/2006/relationships/hyperlink" Target="https://baxtel.com/data-center/level3-atlanta-874-dekalb" TargetMode="External"/><Relationship Id="rId309" Type="http://schemas.openxmlformats.org/officeDocument/2006/relationships/hyperlink" Target="https://www.datacenterdynamics.com/en/news/vantage-files-for-two-data-center-campuses-outside-atlanta-georgia/" TargetMode="External"/><Relationship Id="rId308" Type="http://schemas.openxmlformats.org/officeDocument/2006/relationships/hyperlink" Target="https://www.datacenterdynamics.com/en/news/vantage-files-for-two-data-center-campuses-outside-atlanta-georgia/" TargetMode="External"/><Relationship Id="rId307" Type="http://schemas.openxmlformats.org/officeDocument/2006/relationships/hyperlink" Target="https://baxtel.com/data-center/sungard-atlanta-1055" TargetMode="External"/><Relationship Id="rId306" Type="http://schemas.openxmlformats.org/officeDocument/2006/relationships/hyperlink" Target="https://baxtel.com/data-center/southern-telecom-atlanta" TargetMode="External"/><Relationship Id="rId2220" Type="http://schemas.openxmlformats.org/officeDocument/2006/relationships/hyperlink" Target="https://reparcelasmt.loudoun.gov/pt/Datalets/Datalet.aspx?UseSearch=no&amp;mode=profileall&amp;pin=060189720000&amp;jur=107&amp;taxyr=2024" TargetMode="External"/><Relationship Id="rId301" Type="http://schemas.openxmlformats.org/officeDocument/2006/relationships/hyperlink" Target="https://baxtel.com/data-center/level3-atlanta-953-donnelly" TargetMode="External"/><Relationship Id="rId2221" Type="http://schemas.openxmlformats.org/officeDocument/2006/relationships/hyperlink" Target="https://www.datacenterdynamics.com/en/news/cologix-acquires-land-in-ashburn-virginia-for-data-center/" TargetMode="External"/><Relationship Id="rId300" Type="http://schemas.openxmlformats.org/officeDocument/2006/relationships/hyperlink" Target="https://baxtel.com/data-center/level3-atlanta-180-peachtree" TargetMode="External"/><Relationship Id="rId2222" Type="http://schemas.openxmlformats.org/officeDocument/2006/relationships/hyperlink" Target="https://reparcelasmt.loudoun.gov/pt/datalets/datalet.aspx?mode=profileall&amp;UseSearch=no&amp;pin=088101859000&amp;jur=107&amp;taxyr=2024&amp;LMparent=20" TargetMode="External"/><Relationship Id="rId2223" Type="http://schemas.openxmlformats.org/officeDocument/2006/relationships/hyperlink" Target="https://reparcelasmt.loudoun.gov/pt/datalets/datalet.aspx?mode=profileall&amp;UseSearch=no&amp;pin=089372808000&amp;jur=107&amp;taxyr=2024&amp;LMparent=20" TargetMode="External"/><Relationship Id="rId2224" Type="http://schemas.openxmlformats.org/officeDocument/2006/relationships/hyperlink" Target="https://reparcelasmt.loudoun.gov/pt/datalets/datalet.aspx?mode=profileall&amp;UseSearch=no&amp;pin=060182916001&amp;jur=107&amp;taxyr=2024&amp;LMparent=20" TargetMode="External"/><Relationship Id="rId2214" Type="http://schemas.openxmlformats.org/officeDocument/2006/relationships/hyperlink" Target="https://reparcelasmt.loudoun.gov/pt/Datalets/Datalet.aspx?UseSearch=no&amp;mode=profileall&amp;pin=061303369000&amp;jur=107&amp;taxyr=2024" TargetMode="External"/><Relationship Id="rId2215" Type="http://schemas.openxmlformats.org/officeDocument/2006/relationships/hyperlink" Target="https://reparcelasmt.loudoun.gov/pt/Datalets/Datalet.aspx?UseSearch=no&amp;mode=profileall&amp;pin=061407107000&amp;jur=107&amp;taxyr=2024" TargetMode="External"/><Relationship Id="rId2216" Type="http://schemas.openxmlformats.org/officeDocument/2006/relationships/hyperlink" Target="https://www.datacenterdynamics.com/en/news/american-real-estate-partners-buys-land-plans-data-center-northern-virginia/" TargetMode="External"/><Relationship Id="rId2217" Type="http://schemas.openxmlformats.org/officeDocument/2006/relationships/hyperlink" Target="https://reparcelasmt.loudoun.gov/pt/Datalets/Datalet.aspx?UseSearch=no&amp;mode=profileall&amp;pin=061204719000&amp;jur=107&amp;taxyr=2024" TargetMode="External"/><Relationship Id="rId2218" Type="http://schemas.openxmlformats.org/officeDocument/2006/relationships/hyperlink" Target="https://baxtel.com/data-center/cologix-ashburn-ash1" TargetMode="External"/><Relationship Id="rId2219" Type="http://schemas.openxmlformats.org/officeDocument/2006/relationships/hyperlink" Target="https://reparcelasmt.loudoun.gov/pt/Datalets/Datalet.aspx?UseSearch=no&amp;mode=profileall&amp;pin=060189720000&amp;jur=107&amp;taxyr=2024" TargetMode="External"/><Relationship Id="rId2210" Type="http://schemas.openxmlformats.org/officeDocument/2006/relationships/hyperlink" Target="https://cardinalnews.org/2024/12/11/appomatox-county-strikes-deal-for-data-center/?utm_source=ActiveCampaign&amp;utm_medium=email&amp;utm_content=Caesars%20Virginia%20has%20made%20a%20big%20impact%20on%20Danville%2C%20even%20before%20opening%20its%20doors&amp;utm_campaign=Wednesday%2C%20Dec%20%2011%2C%202024" TargetMode="External"/><Relationship Id="rId2211" Type="http://schemas.openxmlformats.org/officeDocument/2006/relationships/hyperlink" Target="https://appomattoxgis.timmons.com/" TargetMode="External"/><Relationship Id="rId2212" Type="http://schemas.openxmlformats.org/officeDocument/2006/relationships/hyperlink" Target="https://www.datacenterdynamics.com/en/news/jk-land-holdings-buys-108-acres-for-data-center-development-in-ashburn-virginia/" TargetMode="External"/><Relationship Id="rId2213" Type="http://schemas.openxmlformats.org/officeDocument/2006/relationships/hyperlink" Target="https://reparcelasmt.loudoun.gov/pt/Datalets/Datalet.aspx?UseSearch=no&amp;mode=profileall&amp;pin=083359224000&amp;jur=107&amp;taxyr=2024" TargetMode="External"/><Relationship Id="rId2247" Type="http://schemas.openxmlformats.org/officeDocument/2006/relationships/hyperlink" Target="https://reparcelasmt.loudoun.gov/pt/Datalets/Datalet.aspx?UseSearch=no&amp;mode=profileall&amp;pin=113372932000&amp;jur=107&amp;taxyr=2024" TargetMode="External"/><Relationship Id="rId2248" Type="http://schemas.openxmlformats.org/officeDocument/2006/relationships/hyperlink" Target="https://reparcelasmt.loudoun.gov/pt/Datalets/Datalet.aspx?UseSearch=no&amp;mode=profileall&amp;pin=061361948000&amp;jur=107&amp;taxyr=2024" TargetMode="External"/><Relationship Id="rId2249" Type="http://schemas.openxmlformats.org/officeDocument/2006/relationships/hyperlink" Target="https://loudouncountyvaeg.tylerhost.net/prod/selfservice" TargetMode="External"/><Relationship Id="rId327" Type="http://schemas.openxmlformats.org/officeDocument/2006/relationships/hyperlink" Target="https://www.datacenterdynamics.com/en/news/switch-to-invest-772-million-in-second-georgia-campus-outside-atlanta/" TargetMode="External"/><Relationship Id="rId326" Type="http://schemas.openxmlformats.org/officeDocument/2006/relationships/hyperlink" Target="https://www.datacenterdynamics.com/en/news/databank-files-for-200mw-data-center-campus-outside-atlanta-georgia/" TargetMode="External"/><Relationship Id="rId325" Type="http://schemas.openxmlformats.org/officeDocument/2006/relationships/hyperlink" Target="https://www.ajc.com/news/business/19b-data-center-campus-proposed-northwest-of-atlanta/FPMRPJCYERGXLLAND6IZACSVEM/" TargetMode="External"/><Relationship Id="rId324" Type="http://schemas.openxmlformats.org/officeDocument/2006/relationships/hyperlink" Target="https://apps.dca.ga.gov/DRI/InitialForm.aspx?driid=4433" TargetMode="External"/><Relationship Id="rId329" Type="http://schemas.openxmlformats.org/officeDocument/2006/relationships/hyperlink" Target="https://locationofchoice.com/index.php/news/article/1046" TargetMode="External"/><Relationship Id="rId328" Type="http://schemas.openxmlformats.org/officeDocument/2006/relationships/hyperlink" Target="https://wbhfradio.org/126-acre-commercial-project-proposed-in-carter-grove/" TargetMode="External"/><Relationship Id="rId2240" Type="http://schemas.openxmlformats.org/officeDocument/2006/relationships/hyperlink" Target="https://reparcelasmt.loudoun.gov/pt/datalets/datalet.aspx?mode=profileall&amp;UseSearch=no&amp;pin=044155625000&amp;jur=107&amp;taxyr=2025&amp;LMparent=20" TargetMode="External"/><Relationship Id="rId2241" Type="http://schemas.openxmlformats.org/officeDocument/2006/relationships/hyperlink" Target="https://reparcelasmt.loudoun.gov/pt/datalets/datalet.aspx?mode=profileall&amp;UseSearch=no&amp;pin=089104437000&amp;jur=107&amp;taxyr=2024&amp;LMparent=20" TargetMode="External"/><Relationship Id="rId2242" Type="http://schemas.openxmlformats.org/officeDocument/2006/relationships/hyperlink" Target="https://loudouncountyvaeg.tylerhost.net/prod/selfservice" TargetMode="External"/><Relationship Id="rId323" Type="http://schemas.openxmlformats.org/officeDocument/2006/relationships/hyperlink" Target="https://www.datacenterdynamics.com/en/news/application-filed-for-86-million-sq-ft-data-center-project-outside-atlanta-georgia/" TargetMode="External"/><Relationship Id="rId2243" Type="http://schemas.openxmlformats.org/officeDocument/2006/relationships/hyperlink" Target="https://reparcelasmt.loudoun.gov/pt/Datalets/Datalet.aspx?UseSearch=no&amp;mode=profileall&amp;pin=042363888000&amp;jur=107&amp;taxyr=2025" TargetMode="External"/><Relationship Id="rId322" Type="http://schemas.openxmlformats.org/officeDocument/2006/relationships/hyperlink" Target="https://coosavalleynews.com/2026/04/calhoun-approves-90-day-moratorium-on-data-centers/" TargetMode="External"/><Relationship Id="rId2244" Type="http://schemas.openxmlformats.org/officeDocument/2006/relationships/hyperlink" Target="https://reparcelasmt.loudoun.gov/pt/Datalets/Datalet.aspx?UseSearch=no&amp;mode=profileall&amp;pin=060307119000&amp;jur=107&amp;taxyr=2024" TargetMode="External"/><Relationship Id="rId321" Type="http://schemas.openxmlformats.org/officeDocument/2006/relationships/hyperlink" Target="https://www.timesfreepress.com/news/2026/jun/27/calhoun-georgia-looks-to-understand-what-a-500k" TargetMode="External"/><Relationship Id="rId2245" Type="http://schemas.openxmlformats.org/officeDocument/2006/relationships/hyperlink" Target="https://reparcelasmt.loudoun.gov/pt/datalets/datalet.aspx?mode=profileall&amp;UseSearch=no&amp;pin=041352218000&amp;jur=107&amp;taxyr=2024&amp;LMparent=20" TargetMode="External"/><Relationship Id="rId320" Type="http://schemas.openxmlformats.org/officeDocument/2006/relationships/hyperlink" Target="https://www.wrbl.com/top-stories/columbus-city-council-discusses-proposed-5-18-billion-data-center-residents-voice-concern/" TargetMode="External"/><Relationship Id="rId2246" Type="http://schemas.openxmlformats.org/officeDocument/2006/relationships/hyperlink" Target="https://www.loudountimes.com/0local-or-not/1local/in-landmark-vote-board-of-supervisors-rejects-belmont-innovation-data-center-proposal/article_c7754884-e1ab-11ee-a0a9-0b7c20e6af27.html" TargetMode="External"/><Relationship Id="rId2236" Type="http://schemas.openxmlformats.org/officeDocument/2006/relationships/hyperlink" Target="https://www.databank.com/data-centers/northern-virginia/ashburn-campus/" TargetMode="External"/><Relationship Id="rId2237" Type="http://schemas.openxmlformats.org/officeDocument/2006/relationships/hyperlink" Target="https://reparcelasmt.loudoun.gov/pt/datalets/datalet.aspx?mode=profileall&amp;UseSearch=no&amp;pin=061355894000&amp;jur=107&amp;taxyr=2024&amp;LMparent=20" TargetMode="External"/><Relationship Id="rId2238" Type="http://schemas.openxmlformats.org/officeDocument/2006/relationships/hyperlink" Target="https://reparcelasmt.loudoun.gov/pt/datalets/datalet.aspx?mode=profileall&amp;UseSearch=no&amp;pin=088205761000&amp;jur=107&amp;taxyr=2024&amp;LMparent=20" TargetMode="External"/><Relationship Id="rId2239" Type="http://schemas.openxmlformats.org/officeDocument/2006/relationships/hyperlink" Target="https://loudouncountyvaeg.tylerhost.net/prod/selfservice" TargetMode="External"/><Relationship Id="rId316" Type="http://schemas.openxmlformats.org/officeDocument/2006/relationships/hyperlink" Target="https://qtsdatacenters.com/data-centers/blakely/" TargetMode="External"/><Relationship Id="rId315" Type="http://schemas.openxmlformats.org/officeDocument/2006/relationships/hyperlink" Target="https://www.developearly.com/post/top-10-most-faq-about-qts-blakely" TargetMode="External"/><Relationship Id="rId314" Type="http://schemas.openxmlformats.org/officeDocument/2006/relationships/hyperlink" Target="https://www.datacenterdynamics.com/en/news/1600-acre-data-center-approved-by-local-authorities-in-forsyth-georgia/" TargetMode="External"/><Relationship Id="rId313" Type="http://schemas.openxmlformats.org/officeDocument/2006/relationships/hyperlink" Target="https://www.datacenterdynamics.com/en/news/cbres-trammell-crow-files-to-develop-12-million-sq-ft-data-center-campus-outside-atlanta-georgia/" TargetMode="External"/><Relationship Id="rId319" Type="http://schemas.openxmlformats.org/officeDocument/2006/relationships/hyperlink" Target="https://www.ledger-enquirer.com/news/business/article314817948.html" TargetMode="External"/><Relationship Id="rId318" Type="http://schemas.openxmlformats.org/officeDocument/2006/relationships/hyperlink" Target="https://www.datacenterdynamics.com/en/news/qts-targets-two-data-center-campuses-in-georgia/" TargetMode="External"/><Relationship Id="rId317" Type="http://schemas.openxmlformats.org/officeDocument/2006/relationships/hyperlink" Target="https://www.earlycountynews.com/articles/qts-data-centers-considers-a-location-in-blakely/" TargetMode="External"/><Relationship Id="rId2230" Type="http://schemas.openxmlformats.org/officeDocument/2006/relationships/hyperlink" Target="https://reparcelasmt.loudoun.gov/pt/Datalets/Datalet.aspx?UseSearch=no&amp;mode=profileall&amp;pin=061373570000&amp;jur=107&amp;taxyr=2025" TargetMode="External"/><Relationship Id="rId2231" Type="http://schemas.openxmlformats.org/officeDocument/2006/relationships/hyperlink" Target="https://reparcelasmt.loudoun.gov/pt/Datalets/Datalet.aspx?UseSearch=no&amp;mode=profileall&amp;pin=060178810000&amp;jur=107&amp;taxyr=2024" TargetMode="External"/><Relationship Id="rId312" Type="http://schemas.openxmlformats.org/officeDocument/2006/relationships/hyperlink" Target="https://www.wabe.org/amazon-purchases-270-million-land-development-for-data-center-use-outside-of-atlanta/" TargetMode="External"/><Relationship Id="rId2232" Type="http://schemas.openxmlformats.org/officeDocument/2006/relationships/hyperlink" Target="https://reparcelasmt.loudoun.gov/pt/datalets/datalet.aspx?mode=profileall&amp;UseSearch=no&amp;pin=060170268000&amp;jur=107&amp;taxyr=2024&amp;LMparent=20" TargetMode="External"/><Relationship Id="rId311" Type="http://schemas.openxmlformats.org/officeDocument/2006/relationships/hyperlink" Target="https://www.blackenterprise.com/amazon-land-development-georgia-da" TargetMode="External"/><Relationship Id="rId2233" Type="http://schemas.openxmlformats.org/officeDocument/2006/relationships/hyperlink" Target="https://reparcelasmt.loudoun.gov/pt/datalets/datalet.aspx?mode=profileall&amp;UseSearch=no&amp;pin=061467942000&amp;jur=107&amp;taxyr=2024&amp;LMparent=20" TargetMode="External"/><Relationship Id="rId310" Type="http://schemas.openxmlformats.org/officeDocument/2006/relationships/hyperlink" Target="https://www.datacenterdynamics.com/en/news/plans-filed-to-expand-former-t5-campus-site-in-augusta-georgia/" TargetMode="External"/><Relationship Id="rId2234" Type="http://schemas.openxmlformats.org/officeDocument/2006/relationships/hyperlink" Target="https://loudouncountyvaeg.tylerhost.net/prod/selfservice" TargetMode="External"/><Relationship Id="rId2235" Type="http://schemas.openxmlformats.org/officeDocument/2006/relationships/hyperlink" Target="https://reparcelasmt.loudoun.gov/pt/Datalets/Datalet.aspx?UseSearch=no&amp;mode=profileall&amp;pin=088381788000&amp;jur=107&amp;taxyr=2024" TargetMode="External"/><Relationship Id="rId297" Type="http://schemas.openxmlformats.org/officeDocument/2006/relationships/hyperlink" Target="https://baxtel.com/data-center/equinix-atlanta-at2-at3" TargetMode="External"/><Relationship Id="rId296" Type="http://schemas.openxmlformats.org/officeDocument/2006/relationships/hyperlink" Target="https://baxtel.com/data-center/equinix-atlanta-at1" TargetMode="External"/><Relationship Id="rId295" Type="http://schemas.openxmlformats.org/officeDocument/2006/relationships/hyperlink" Target="https://www.datacenterdynamics.com/en/news/edged-tops-out-42mw-data-center-in-atlanta-georgia/" TargetMode="External"/><Relationship Id="rId294" Type="http://schemas.openxmlformats.org/officeDocument/2006/relationships/hyperlink" Target="https://www.edged.us/atlanta" TargetMode="External"/><Relationship Id="rId299" Type="http://schemas.openxmlformats.org/officeDocument/2006/relationships/hyperlink" Target="https://baxtel.com/data-center/h5-atlanta" TargetMode="External"/><Relationship Id="rId298" Type="http://schemas.openxmlformats.org/officeDocument/2006/relationships/hyperlink" Target="https://baxtel.com/data-center/fogo-atlanta" TargetMode="External"/><Relationship Id="rId271" Type="http://schemas.openxmlformats.org/officeDocument/2006/relationships/hyperlink" Target="https://qtsdatacenters.com/data-centers/atlanta-1/" TargetMode="External"/><Relationship Id="rId270" Type="http://schemas.openxmlformats.org/officeDocument/2006/relationships/hyperlink" Target="https://qtsdatacenters.com/-/media/resources/data-sheets/qts_data-sheet_atl1-dc2.pdf" TargetMode="External"/><Relationship Id="rId269" Type="http://schemas.openxmlformats.org/officeDocument/2006/relationships/hyperlink" Target="https://qtsdatacenters.com/data-centers/atlanta-1/" TargetMode="External"/><Relationship Id="rId264" Type="http://schemas.openxmlformats.org/officeDocument/2006/relationships/hyperlink" Target="https://www.hivelocity.net/wp-content/uploads/2024/08/Hivelocity_Atlanta.pdf" TargetMode="External"/><Relationship Id="rId263" Type="http://schemas.openxmlformats.org/officeDocument/2006/relationships/hyperlink" Target="https://baxtel.com/data-center/56-marietta-carrier-hotel-digital-realty" TargetMode="External"/><Relationship Id="rId262" Type="http://schemas.openxmlformats.org/officeDocument/2006/relationships/hyperlink" Target="https://baxtel.com/data-center/760-doug-davis-digital-realty" TargetMode="External"/><Relationship Id="rId261" Type="http://schemas.openxmlformats.org/officeDocument/2006/relationships/hyperlink" Target="https://baxtel.com/data-center/55-marietta" TargetMode="External"/><Relationship Id="rId268" Type="http://schemas.openxmlformats.org/officeDocument/2006/relationships/hyperlink" Target="https://qtsdatacenters.com/wp-content/uploads/2024/07/QTS_DataSheet_ATL1-DC1.pdf" TargetMode="External"/><Relationship Id="rId267" Type="http://schemas.openxmlformats.org/officeDocument/2006/relationships/hyperlink" Target="https://baxtel.com/data-center/digital-realty-atl14" TargetMode="External"/><Relationship Id="rId266" Type="http://schemas.openxmlformats.org/officeDocument/2006/relationships/hyperlink" Target="https://www.datacenterdynamics.com/en/news/digital-realty-files-to-develop-two-building-campus-outside-atlanta-georgia/" TargetMode="External"/><Relationship Id="rId265" Type="http://schemas.openxmlformats.org/officeDocument/2006/relationships/hyperlink" Target="https://www.datacenterdynamics.com/en/news/digital-realty-files-to-develop-two-building-campus-outside-atlanta-georgia/" TargetMode="External"/><Relationship Id="rId260" Type="http://schemas.openxmlformats.org/officeDocument/2006/relationships/hyperlink" Target="https://inflect.com/building/56-marietta-street-northwest-atlanta" TargetMode="External"/><Relationship Id="rId259" Type="http://schemas.openxmlformats.org/officeDocument/2006/relationships/hyperlink" Target="https://www.hivelocity.net/wp-content/uploads/2024/04/Hivelocity_Atlanta.pdf" TargetMode="External"/><Relationship Id="rId258" Type="http://schemas.openxmlformats.org/officeDocument/2006/relationships/hyperlink" Target="https://baxtel.com/data-center/40-perimeter-center-lincoln-rackhouse" TargetMode="External"/><Relationship Id="rId2290" Type="http://schemas.openxmlformats.org/officeDocument/2006/relationships/hyperlink" Target="https://sabeydatacenters.com/locations/ashburn-data-center" TargetMode="External"/><Relationship Id="rId2291" Type="http://schemas.openxmlformats.org/officeDocument/2006/relationships/hyperlink" Target="https://loudouncountyvaeg.tylerhost.net/prod/selfservice" TargetMode="External"/><Relationship Id="rId2292" Type="http://schemas.openxmlformats.org/officeDocument/2006/relationships/hyperlink" Target="https://reparcelasmt.loudoun.gov/pt/datalets/datalet.aspx?mode=profileall&amp;UseSearch=no&amp;pin=062159785000&amp;jur=107&amp;taxyr=2024&amp;LMparent=20" TargetMode="External"/><Relationship Id="rId2293" Type="http://schemas.openxmlformats.org/officeDocument/2006/relationships/hyperlink" Target="https://loudouncountyvaeg.tylerhost.net/prod/selfservice" TargetMode="External"/><Relationship Id="rId253" Type="http://schemas.openxmlformats.org/officeDocument/2006/relationships/hyperlink" Target="https://www.change.org/p/say-no-to-the-proposed-data-center-at-athena-studios" TargetMode="External"/><Relationship Id="rId2294" Type="http://schemas.openxmlformats.org/officeDocument/2006/relationships/hyperlink" Target="https://reparcelasmt.loudoun.gov/pt/datalets/datalet.aspx?mode=commercial&amp;UseSearch=no&amp;pin=062275493002&amp;jur=107&amp;taxyr=2025&amp;LMparent=20" TargetMode="External"/><Relationship Id="rId252" Type="http://schemas.openxmlformats.org/officeDocument/2006/relationships/hyperlink" Target="https://apps.dca.ga.gov/DRI/AppSummary.aspx?driid=4443" TargetMode="External"/><Relationship Id="rId2295" Type="http://schemas.openxmlformats.org/officeDocument/2006/relationships/hyperlink" Target="https://loudouncountyvaeg.tylerhost.net/prod/selfservice" TargetMode="External"/><Relationship Id="rId251" Type="http://schemas.openxmlformats.org/officeDocument/2006/relationships/hyperlink" Target="https://www.augustachronicle.com/story/business/2025/05/01/columbia-county-technology-park-project-valued-at-11-billion-data-centers-economic-development/83375427007/" TargetMode="External"/><Relationship Id="rId2296" Type="http://schemas.openxmlformats.org/officeDocument/2006/relationships/hyperlink" Target="https://reparcelasmt.loudoun.gov/pt/datalets/datalet.aspx?mode=land_summary&amp;UseSearch=no&amp;pin=062275493001&amp;jur=107&amp;taxyr=2025&amp;LMparent=20" TargetMode="External"/><Relationship Id="rId250" Type="http://schemas.openxmlformats.org/officeDocument/2006/relationships/hyperlink" Target="https://www.datacenterdynamics.com/en/news/att-occupied-data-center-up-for-sale-in-alpharetta-georgia/" TargetMode="External"/><Relationship Id="rId2297" Type="http://schemas.openxmlformats.org/officeDocument/2006/relationships/hyperlink" Target="https://loudouncountyvaeg.tylerhost.net/prod/selfservice" TargetMode="External"/><Relationship Id="rId257" Type="http://schemas.openxmlformats.org/officeDocument/2006/relationships/hyperlink" Target="https://www.yahoo.com/news/articles/data-center-atlanta-thought-dead-203000461.html" TargetMode="External"/><Relationship Id="rId2298" Type="http://schemas.openxmlformats.org/officeDocument/2006/relationships/hyperlink" Target="https://reparcelasmt.loudoun.gov/pt/datalets/datalet.aspx?mode=commercial&amp;UseSearch=no&amp;pin=062275493003&amp;jur=107&amp;taxyr=2025&amp;LMparent=20" TargetMode="External"/><Relationship Id="rId256" Type="http://schemas.openxmlformats.org/officeDocument/2006/relationships/hyperlink" Target="https://www.swarmatl.org/" TargetMode="External"/><Relationship Id="rId2299" Type="http://schemas.openxmlformats.org/officeDocument/2006/relationships/hyperlink" Target="https://www.datacenterdynamics.com/en/news/blackchamber-files-to-build-data-center-campus-in-northern-virginias-arcola/" TargetMode="External"/><Relationship Id="rId255" Type="http://schemas.openxmlformats.org/officeDocument/2006/relationships/hyperlink" Target="https://www.swarmatl.org/" TargetMode="External"/><Relationship Id="rId254" Type="http://schemas.openxmlformats.org/officeDocument/2006/relationships/hyperlink" Target="https://www.datacenterdynamics.com/en/news/georgia-based-film-studio-considers-converting-to-data-center/" TargetMode="External"/><Relationship Id="rId293" Type="http://schemas.openxmlformats.org/officeDocument/2006/relationships/hyperlink" Target="https://www.edged.us/news/edged-atlanta-begins-construction-on-180-mw-ultra-efficient-mega-project" TargetMode="External"/><Relationship Id="rId292" Type="http://schemas.openxmlformats.org/officeDocument/2006/relationships/hyperlink" Target="https://www.edged.us/atlanta" TargetMode="External"/><Relationship Id="rId291" Type="http://schemas.openxmlformats.org/officeDocument/2006/relationships/hyperlink" Target="https://www.edged.us/atlanta" TargetMode="External"/><Relationship Id="rId290" Type="http://schemas.openxmlformats.org/officeDocument/2006/relationships/hyperlink" Target="https://cdn.prod.website-files.com/62f4046c4606ae485a2c58ec/66c39e92b470df059c06bccf_ATL01-1_Spec%20Sheet_240814_Digital.pdf" TargetMode="External"/><Relationship Id="rId286" Type="http://schemas.openxmlformats.org/officeDocument/2006/relationships/hyperlink" Target="https://www.datacenterdynamics.com/en/news/digital-realty-plans-10-story-300000-sq-ft-data-center-in-atlanta/" TargetMode="External"/><Relationship Id="rId285" Type="http://schemas.openxmlformats.org/officeDocument/2006/relationships/hyperlink" Target="https://www.datacenterhawk.com/colo/databank/200-selig-drive-sw/atl4" TargetMode="External"/><Relationship Id="rId284" Type="http://schemas.openxmlformats.org/officeDocument/2006/relationships/hyperlink" Target="https://www.datacenterdynamics.com/en/news/databank-to-expand-atlanta-data-center/" TargetMode="External"/><Relationship Id="rId283" Type="http://schemas.openxmlformats.org/officeDocument/2006/relationships/hyperlink" Target="https://baxtel.com/data-center/zcolo-atlanta" TargetMode="External"/><Relationship Id="rId289" Type="http://schemas.openxmlformats.org/officeDocument/2006/relationships/hyperlink" Target="https://www.datacenterdynamics.com/en/news/ta-realty-files-for-1-million-sq-ft-data-center-campus-outside-atlanta-georgia/" TargetMode="External"/><Relationship Id="rId288" Type="http://schemas.openxmlformats.org/officeDocument/2006/relationships/hyperlink" Target="https://baxtel.com/data-center/edgeconnex-atl02" TargetMode="External"/><Relationship Id="rId287" Type="http://schemas.openxmlformats.org/officeDocument/2006/relationships/hyperlink" Target="https://baxtel.com/data-center/edgeconnex-atl01" TargetMode="External"/><Relationship Id="rId282" Type="http://schemas.openxmlformats.org/officeDocument/2006/relationships/hyperlink" Target="https://apps.dca.ga.gov/DRI/AppSummary.aspx?driid=2569" TargetMode="External"/><Relationship Id="rId281" Type="http://schemas.openxmlformats.org/officeDocument/2006/relationships/hyperlink" Target="https://baxtel.com/data-center/databank-atlanta-atl1" TargetMode="External"/><Relationship Id="rId280" Type="http://schemas.openxmlformats.org/officeDocument/2006/relationships/hyperlink" Target="https://www.colocrossing.com/wp-content/uploads/2017/01/CC-one-pagers-11.pdf" TargetMode="External"/><Relationship Id="rId275" Type="http://schemas.openxmlformats.org/officeDocument/2006/relationships/hyperlink" Target="https://qtsdatacenters.com/data-centers/atlanta-1/" TargetMode="External"/><Relationship Id="rId274" Type="http://schemas.openxmlformats.org/officeDocument/2006/relationships/hyperlink" Target="https://www.datacenters.com/qts-atlanta-4-dc1" TargetMode="External"/><Relationship Id="rId273" Type="http://schemas.openxmlformats.org/officeDocument/2006/relationships/hyperlink" Target="https://qtsdatacenters.com/data-centers/atlanta-1/" TargetMode="External"/><Relationship Id="rId272" Type="http://schemas.openxmlformats.org/officeDocument/2006/relationships/hyperlink" Target="https://www.datacenters.com/qts-atlanta-3-dc1" TargetMode="External"/><Relationship Id="rId279" Type="http://schemas.openxmlformats.org/officeDocument/2006/relationships/hyperlink" Target="https://baxtel.com/data-center/coloblox" TargetMode="External"/><Relationship Id="rId278" Type="http://schemas.openxmlformats.org/officeDocument/2006/relationships/hyperlink" Target="https://baxtel.com/data-center/cogent-atlanta-55-marietta" TargetMode="External"/><Relationship Id="rId277" Type="http://schemas.openxmlformats.org/officeDocument/2006/relationships/hyperlink" Target="https://baxtel.com/data-center/at-t-southern-bell-telephone-company-building" TargetMode="External"/><Relationship Id="rId276" Type="http://schemas.openxmlformats.org/officeDocument/2006/relationships/hyperlink" Target="https://baxtel.com/data-center/atldc-55-marietta" TargetMode="External"/><Relationship Id="rId1851" Type="http://schemas.openxmlformats.org/officeDocument/2006/relationships/hyperlink" Target="https://www.protectouraquifer.org/issues/xai-supercomputer" TargetMode="External"/><Relationship Id="rId1852" Type="http://schemas.openxmlformats.org/officeDocument/2006/relationships/hyperlink" Target="https://actionnetwork.org/petitions/shut-down-the-unpermitted-xai-power-plant-in-southaven" TargetMode="External"/><Relationship Id="rId1853" Type="http://schemas.openxmlformats.org/officeDocument/2006/relationships/hyperlink" Target="https://www.datacenterdynamics.com/en/news/elon-musks-xai-buys-one-million-sq-ft-site-for-second-memphis-data-center/" TargetMode="External"/><Relationship Id="rId1854" Type="http://schemas.openxmlformats.org/officeDocument/2006/relationships/hyperlink" Target="https://www.tomshardware.com/tech-industry/artificial-intelligence/elon-musk-xai-power-plant-overseas-to-power-1-million-gpus" TargetMode="External"/><Relationship Id="rId1855" Type="http://schemas.openxmlformats.org/officeDocument/2006/relationships/hyperlink" Target="https://epoch.ai/data/data-centers/satellite-explorer/xAIColossus2MemphisTennessee?ref=404media.co" TargetMode="External"/><Relationship Id="rId1856" Type="http://schemas.openxmlformats.org/officeDocument/2006/relationships/hyperlink" Target="https://www.datacenterdynamics.com/en/news/elon-musks-xai-to-spend-659m-on-new-building-for-memphis-data-center-cluster/" TargetMode="External"/><Relationship Id="rId1857" Type="http://schemas.openxmlformats.org/officeDocument/2006/relationships/hyperlink" Target="https://www.selc.org/news/xai-built-an-illegal-power-plant-to-power-its-data-center/" TargetMode="External"/><Relationship Id="rId1858" Type="http://schemas.openxmlformats.org/officeDocument/2006/relationships/hyperlink" Target="https://www.change.org/p/nashville-zoo-says-no-to-proposed-data-center" TargetMode="External"/><Relationship Id="rId1859" Type="http://schemas.openxmlformats.org/officeDocument/2006/relationships/hyperlink" Target="https://www.wkrn.com/news/local-news/nashville/160k-sign-petition-opposing-data-center-next-nashville-zoo/" TargetMode="External"/><Relationship Id="rId1850" Type="http://schemas.openxmlformats.org/officeDocument/2006/relationships/hyperlink" Target="https://www.memphiscap.org/mcapcampaigns/blog-post-title-three-4frah" TargetMode="External"/><Relationship Id="rId1840" Type="http://schemas.openxmlformats.org/officeDocument/2006/relationships/hyperlink" Target="https://www.chattanoogan.com/2026/3/18/516194/County-Commission-Approves-Lease-For.aspx" TargetMode="External"/><Relationship Id="rId1841" Type="http://schemas.openxmlformats.org/officeDocument/2006/relationships/hyperlink" Target="https://www.datacenterdynamics.com/en/news/cielo-digital-infrastructure-plans-300mw-data-center-campus-in-south-carolina/" TargetMode="External"/><Relationship Id="rId1842" Type="http://schemas.openxmlformats.org/officeDocument/2006/relationships/hyperlink" Target="https://www.datacenterdynamics.com/en/news/meta-to-expand-tennessee-data-center-campus/" TargetMode="External"/><Relationship Id="rId1843" Type="http://schemas.openxmlformats.org/officeDocument/2006/relationships/hyperlink" Target="https://www.datacenterdynamics.com/en/news/us-department-of-the-air-force-accepting-proposals-for-ai-data-centers-in-military-bases/" TargetMode="External"/><Relationship Id="rId1844" Type="http://schemas.openxmlformats.org/officeDocument/2006/relationships/hyperlink" Target="https://www.datacenterdynamics.com/en/news/25mw-ai-data-center-to-be-built-in-mcminnville-tennessee/" TargetMode="External"/><Relationship Id="rId1845" Type="http://schemas.openxmlformats.org/officeDocument/2006/relationships/hyperlink" Target="https://hixsondc.com/" TargetMode="External"/><Relationship Id="rId1846" Type="http://schemas.openxmlformats.org/officeDocument/2006/relationships/hyperlink" Target="https://warrencountyecd.com/site/mcminnville-warren-digital-site/" TargetMode="External"/><Relationship Id="rId1847" Type="http://schemas.openxmlformats.org/officeDocument/2006/relationships/hyperlink" Target="https://www.datacenterdynamics.com/en/news/xai-removes-some-of-controversial-gas-turbines-from-memphis-data-center/" TargetMode="External"/><Relationship Id="rId1848" Type="http://schemas.openxmlformats.org/officeDocument/2006/relationships/hyperlink" Target="https://epoch.ai/data/data-centers/satellite-explorer/xAIColossus1MemphisTennessee?ref=404media.co" TargetMode="External"/><Relationship Id="rId1849" Type="http://schemas.openxmlformats.org/officeDocument/2006/relationships/hyperlink" Target="https://www.selc.org/news/xai-built-an-illegal-power-plant-to-power-its-data-center/" TargetMode="External"/><Relationship Id="rId1873" Type="http://schemas.openxmlformats.org/officeDocument/2006/relationships/hyperlink" Target="https://techcratic.com/index.php/2025/05/23/oracle-reported-to-buy-400000-nvidia-chips-for-first-stargate-data-center/siliconangle/siliconangle/" TargetMode="External"/><Relationship Id="rId1874" Type="http://schemas.openxmlformats.org/officeDocument/2006/relationships/hyperlink" Target="https://www.bigcountryhomepage.com/news/stargate-abilene/abilenes-data-center-advances-swiftly-with-5000-workers/" TargetMode="External"/><Relationship Id="rId1875" Type="http://schemas.openxmlformats.org/officeDocument/2006/relationships/hyperlink" Target="https://www.chron.com/business/article/openai-texas-stargate-ai-hub-21065041.php" TargetMode="External"/><Relationship Id="rId1876" Type="http://schemas.openxmlformats.org/officeDocument/2006/relationships/hyperlink" Target="https://www.crusoe.ai/resources/newsroom/crusoe-expands-ai-data-center-campus-in-abilene-to-1-2-gigawatts" TargetMode="External"/><Relationship Id="rId1877" Type="http://schemas.openxmlformats.org/officeDocument/2006/relationships/hyperlink" Target="https://epoch.ai/data/data-centers/satellite-explorer/OpenAIOracleStargateAbileneTexas?ref=404media.co" TargetMode="External"/><Relationship Id="rId1878" Type="http://schemas.openxmlformats.org/officeDocument/2006/relationships/hyperlink" Target="https://www.datacenterdynamics.com/en/news/crusoe-confirms-microsoft-as-customer-at-campus-in-abilene-texas/" TargetMode="External"/><Relationship Id="rId1879" Type="http://schemas.openxmlformats.org/officeDocument/2006/relationships/hyperlink" Target="https://www.datacenterdynamics.com/en/news/oracleopenai-drop-plans-to-expand-flagship-abilene-stargate-site-meta-in-talks-to-pick-up-crusoe-capacity-with-nvidias-help/" TargetMode="External"/><Relationship Id="rId1870" Type="http://schemas.openxmlformats.org/officeDocument/2006/relationships/hyperlink" Target="https://vantage-dc.com/news/vantage-data-centers-unveils-plans-for-frontier-a-25b-mega-campus-in-texas-to-meet-unprecedented-ai-demand/" TargetMode="External"/><Relationship Id="rId1871" Type="http://schemas.openxmlformats.org/officeDocument/2006/relationships/hyperlink" Target="https://datacentremagazine.com/news/inside-vantages-us-25bn-ai-data-centre-mega-campus-in-texas" TargetMode="External"/><Relationship Id="rId1872" Type="http://schemas.openxmlformats.org/officeDocument/2006/relationships/hyperlink" Target="https://www.datacenterdynamics.com/en/news/vantage-breaks-ground-on-texas-gigawatt-data-center-campus-for-openai/" TargetMode="External"/><Relationship Id="rId1862" Type="http://schemas.openxmlformats.org/officeDocument/2006/relationships/hyperlink" Target="https://www.datacenterdynamics.com/en/news/h5-and-novacap-launch-new-data-center-platform-acquire-three-carrier-hotels-from-365/" TargetMode="External"/><Relationship Id="rId1863" Type="http://schemas.openxmlformats.org/officeDocument/2006/relationships/hyperlink" Target="https://www.datacenterdynamics.com/en/news/fisk-university-looks-to-build-data-center-in-nashville-tennessee/" TargetMode="External"/><Relationship Id="rId1864" Type="http://schemas.openxmlformats.org/officeDocument/2006/relationships/hyperlink" Target="https://www.datacenterdynamics.com/en/news/terawulf-and-fluidstack-to-develop-texas-data-center-in-google-backed-deal/" TargetMode="External"/><Relationship Id="rId1865" Type="http://schemas.openxmlformats.org/officeDocument/2006/relationships/hyperlink" Target="https://marketchameleon.com/articles/b/2025/12/19/terawulf-fluidstack-secure-168mw-hpc-project-financing-ai-data-center-growth" TargetMode="External"/><Relationship Id="rId1866" Type="http://schemas.openxmlformats.org/officeDocument/2006/relationships/hyperlink" Target="https://www.datacenterdynamics.com/en/news/aligned-breaks-ground-on-540mw-data-center-campus-in-texas/" TargetMode="External"/><Relationship Id="rId1867" Type="http://schemas.openxmlformats.org/officeDocument/2006/relationships/hyperlink" Target="https://aligneddc.com/locations/" TargetMode="External"/><Relationship Id="rId1868" Type="http://schemas.openxmlformats.org/officeDocument/2006/relationships/hyperlink" Target="https://www.thealbanynews.net/news/data-center-plans-move-forward-shackelford-county" TargetMode="External"/><Relationship Id="rId1869" Type="http://schemas.openxmlformats.org/officeDocument/2006/relationships/hyperlink" Target="https://www.datacenterdynamics.com/en/news/vantage-plots-14gw-data-center-campus-in-texas/" TargetMode="External"/><Relationship Id="rId1860" Type="http://schemas.openxmlformats.org/officeDocument/2006/relationships/hyperlink" Target="https://www.wsmv.com/2026/06/04/what-know-about-potential-data-center-next-nashville-zoo-facility-launches-petition-against-its-construction-feet-away-one-most-fragile-rare-collections-animals/" TargetMode="External"/><Relationship Id="rId1861" Type="http://schemas.openxmlformats.org/officeDocument/2006/relationships/hyperlink" Target="https://www.datacenterdynamics.com/en/news/dc-bloxs-proposed-24-acre-data-center-near-nashville-zoo-could-be-blocked-by-moratorium/" TargetMode="External"/><Relationship Id="rId1810" Type="http://schemas.openxmlformats.org/officeDocument/2006/relationships/hyperlink" Target="https://www.wmbfnews.com/2026/02/25/marion-county-data-center-qa-draws-concerns-over-energy-costs-local-hiring/" TargetMode="External"/><Relationship Id="rId1811" Type="http://schemas.openxmlformats.org/officeDocument/2006/relationships/hyperlink" Target="https://capitalbnews.org/secret-data-center-deal-marion-county-south-carolina/" TargetMode="External"/><Relationship Id="rId1812" Type="http://schemas.openxmlformats.org/officeDocument/2006/relationships/hyperlink" Target="https://www.datacenterdynamics.com/en/news/stream-data-centers-pulls-out-of-800m-south-carolina-data-center-says-utility-power-would-take-too-long/" TargetMode="External"/><Relationship Id="rId1813" Type="http://schemas.openxmlformats.org/officeDocument/2006/relationships/hyperlink" Target="https://www.facebook.com/groups/1354334266189772/" TargetMode="External"/><Relationship Id="rId1814" Type="http://schemas.openxmlformats.org/officeDocument/2006/relationships/hyperlink" Target="https://www.change.org/p/stop-data-centers-coming-to-upstate-sc" TargetMode="External"/><Relationship Id="rId1815" Type="http://schemas.openxmlformats.org/officeDocument/2006/relationships/hyperlink" Target="https://www.wyff4.com/article/ai-data-center-to-be-built-in-spartanburg-county/70180127" TargetMode="External"/><Relationship Id="rId1816" Type="http://schemas.openxmlformats.org/officeDocument/2006/relationships/hyperlink" Target="https://www.postandcourier.com/spartanburg/business/tigerdc-data-center-spartanburg-county-project-spero/article_08f63d91-4108-4439-92c9-51b51c081232.html" TargetMode="External"/><Relationship Id="rId1817" Type="http://schemas.openxmlformats.org/officeDocument/2006/relationships/hyperlink" Target="https://www.datacenterdynamics.com/en/news/proposal-for-3bn-data-center-faces-opposition-in-spartanburg-county-south-carolina/" TargetMode="External"/><Relationship Id="rId1818" Type="http://schemas.openxmlformats.org/officeDocument/2006/relationships/hyperlink" Target="https://www.wyff4.com/article/data-center-project-proposal-advances-spartanburg-county/70386777" TargetMode="External"/><Relationship Id="rId1819" Type="http://schemas.openxmlformats.org/officeDocument/2006/relationships/hyperlink" Target="https://www.datacenterdynamics.com/en/news/tigerdc-pulls-planned-data-center-project-from-south-carolina-county-after-officials-deny-tax-deal/" TargetMode="External"/><Relationship Id="rId1800" Type="http://schemas.openxmlformats.org/officeDocument/2006/relationships/hyperlink" Target="https://www.fox43.com/article/news/local/york-county/500-million-data-center-fairview-township-york-county/521-81526e0c-e19d-4211-adaf-d2cee8ecda8f" TargetMode="External"/><Relationship Id="rId1801" Type="http://schemas.openxmlformats.org/officeDocument/2006/relationships/hyperlink" Target="https://www.datacenterdynamics.com/en/news/plans-filed-for-data-center-site-outside-columbia-south-carolina/" TargetMode="External"/><Relationship Id="rId1802" Type="http://schemas.openxmlformats.org/officeDocument/2006/relationships/hyperlink" Target="https://www.datacenterdynamics.com/en/news/cielo-digital-infrastructure-plans-300mw-data-center-campus-in-south-carolina/" TargetMode="External"/><Relationship Id="rId1803" Type="http://schemas.openxmlformats.org/officeDocument/2006/relationships/hyperlink" Target="https://www.datacenterdynamics.com/en/news/meta-plans-800m-data-center-campus-in-aiken-county-south-carolina/" TargetMode="External"/><Relationship Id="rId1804" Type="http://schemas.openxmlformats.org/officeDocument/2006/relationships/hyperlink" Target="https://rbnenergy.com/i-know-places-tech-giants-may-be-the-surest-bets-for-data-center-power-demand" TargetMode="External"/><Relationship Id="rId1805" Type="http://schemas.openxmlformats.org/officeDocument/2006/relationships/hyperlink" Target="https://www.datacenterdynamics.com/en/news/meta-signs-100mw-solar-supply-deal-with-silicon-ranch-to-power-first-data-center-in-south-carolina/" TargetMode="External"/><Relationship Id="rId1806" Type="http://schemas.openxmlformats.org/officeDocument/2006/relationships/hyperlink" Target="https://www.facebook.com/share/g/1MmD3egK9Z/" TargetMode="External"/><Relationship Id="rId1807" Type="http://schemas.openxmlformats.org/officeDocument/2006/relationships/hyperlink" Target="http://www.theunitedpeopleproject.com" TargetMode="External"/><Relationship Id="rId1808" Type="http://schemas.openxmlformats.org/officeDocument/2006/relationships/hyperlink" Target="https://www.streamdatacenters.com/project-liberty/" TargetMode="External"/><Relationship Id="rId1809" Type="http://schemas.openxmlformats.org/officeDocument/2006/relationships/hyperlink" Target="https://www.postandcourier.com/pee-dee/news/marion-county-stream-data-center/article_fce64b6c-7e65-4d99-ba9a-4d1dc70d28e5.html" TargetMode="External"/><Relationship Id="rId1830" Type="http://schemas.openxmlformats.org/officeDocument/2006/relationships/hyperlink" Target="https://www.datacenterdynamics.com/en/news/sequitor-edge-targets-2mw-facility-in-rapid-city-south-dakota/" TargetMode="External"/><Relationship Id="rId1831" Type="http://schemas.openxmlformats.org/officeDocument/2006/relationships/hyperlink" Target="https://siouxfalls.business/hyperscale-data-center-seeking-city-approvals-to-build-northeast-of-sioux-falls/" TargetMode="External"/><Relationship Id="rId1832" Type="http://schemas.openxmlformats.org/officeDocument/2006/relationships/hyperlink" Target="https://www.siouxfallslive.com/news/sioux-falls/planned-hyperscale-data-center-moving-into-sioux-falls" TargetMode="External"/><Relationship Id="rId1833" Type="http://schemas.openxmlformats.org/officeDocument/2006/relationships/hyperlink" Target="https://www.datacenterdynamics.com/en/news/164-acre-data-center-could-come-to-sioux-falls-south-dakota/" TargetMode="External"/><Relationship Id="rId1834" Type="http://schemas.openxmlformats.org/officeDocument/2006/relationships/hyperlink" Target="https://curemn.org/" TargetMode="External"/><Relationship Id="rId1835" Type="http://schemas.openxmlformats.org/officeDocument/2006/relationships/hyperlink" Target="https://www.datacenterdynamics.com/en/news/applied-digital-proposes-multi-billion-dollar-data-center-in-south-dakota/" TargetMode="External"/><Relationship Id="rId1836" Type="http://schemas.openxmlformats.org/officeDocument/2006/relationships/hyperlink" Target="https://www.mykxlg.com/news/local/potential-14-billion-data-center-could-transform-deuel-countys-economy/article_2a031739-b2ae-4932-95f5-57e4f280b7c7.html" TargetMode="External"/><Relationship Id="rId1837" Type="http://schemas.openxmlformats.org/officeDocument/2006/relationships/hyperlink" Target="https://www.change.org/p/demand-public-input-opportunity-for-new-data-center-venture-in-downtown-chattanooga?recruiter=986853875" TargetMode="External"/><Relationship Id="rId1838" Type="http://schemas.openxmlformats.org/officeDocument/2006/relationships/hyperlink" Target="https://www.datacenterdynamics.com/en/news/former-jail-in-chattanooga-tennessee-targeted-for-production-space-and-data-center/" TargetMode="External"/><Relationship Id="rId1839" Type="http://schemas.openxmlformats.org/officeDocument/2006/relationships/hyperlink" Target="https://foxchattanooga.com/news/local/hamilton-county-advances-plan-to-convert-old-jail-into-ai-data-center-and-music-studio" TargetMode="External"/><Relationship Id="rId1820" Type="http://schemas.openxmlformats.org/officeDocument/2006/relationships/hyperlink" Target="https://www.datacenterdynamics.com/en/news/dc-blox-acquires-27-acres-in-south-carolina-for-45mw-data-center-campus/" TargetMode="External"/><Relationship Id="rId1821" Type="http://schemas.openxmlformats.org/officeDocument/2006/relationships/hyperlink" Target="https://www.change.org/p/halt-new-data-center-approvals-in-union-sc" TargetMode="External"/><Relationship Id="rId1822" Type="http://schemas.openxmlformats.org/officeDocument/2006/relationships/hyperlink" Target="https://cleanview.co/news/data-centers/volt-edge-energy-announces-49-mw-volt-edge-energy-project-alpaca-in-sc-20260417" TargetMode="External"/><Relationship Id="rId1823" Type="http://schemas.openxmlformats.org/officeDocument/2006/relationships/hyperlink" Target="https://www.wspa.com/news/residents-officials-react-to-proposed-data-center-in-union-county/" TargetMode="External"/><Relationship Id="rId1824" Type="http://schemas.openxmlformats.org/officeDocument/2006/relationships/hyperlink" Target="https://uniondevelopmentboard.com/union-midway-industrial-park/" TargetMode="External"/><Relationship Id="rId1825" Type="http://schemas.openxmlformats.org/officeDocument/2006/relationships/hyperlink" Target="https://www.change.org/p/stop-the-data-center-from-coming-to-walterboro-sc" TargetMode="External"/><Relationship Id="rId1826" Type="http://schemas.openxmlformats.org/officeDocument/2006/relationships/hyperlink" Target="https://www.live5news.com/2025/12/15/9-new-data-centers-proposed-colleton-county/" TargetMode="External"/><Relationship Id="rId1827" Type="http://schemas.openxmlformats.org/officeDocument/2006/relationships/hyperlink" Target="https://scdailygazette.com/2025/12/19/gigawatt-data-center-proposal-draws-opposition-from-sc-lowcountry-residents-politicians/" TargetMode="External"/><Relationship Id="rId1828" Type="http://schemas.openxmlformats.org/officeDocument/2006/relationships/hyperlink" Target="https://colletoncounty.maps.arcgis.com/apps/webappviewer/index.html?id=dcd2d7443dc9448ea910b9788a2c6b05" TargetMode="External"/><Relationship Id="rId1829" Type="http://schemas.openxmlformats.org/officeDocument/2006/relationships/hyperlink" Target="https://abcnews4.com/news/local/proposed-data-center-in-colleton-county-faces-environmental-pushback" TargetMode="External"/><Relationship Id="rId2302" Type="http://schemas.openxmlformats.org/officeDocument/2006/relationships/hyperlink" Target="https://loudouncountyvaeg.tylerhost.net/prod/selfservice" TargetMode="External"/><Relationship Id="rId2303" Type="http://schemas.openxmlformats.org/officeDocument/2006/relationships/hyperlink" Target="https://reparcelasmt.loudoun.gov/pt/Datalets/Datalet.aspx?UseSearch=no&amp;mode=profileall&amp;pin=113372932000&amp;jur=107&amp;taxyr=2024" TargetMode="External"/><Relationship Id="rId2304" Type="http://schemas.openxmlformats.org/officeDocument/2006/relationships/hyperlink" Target="https://reparcelasmt.loudoun.gov/pt/datalets/datalet.aspx?mode=commercial&amp;UseSearch=no&amp;pin=113272390000&amp;jur=107&amp;taxyr=2025&amp;LMparent=20" TargetMode="External"/><Relationship Id="rId2305" Type="http://schemas.openxmlformats.org/officeDocument/2006/relationships/hyperlink" Target="https://reparcelasmt.loudoun.gov/pt/datalets/datalet.aspx?mode=profileall&amp;UseSearch=no&amp;pin=040464286000&amp;jur=107&amp;taxyr=2024&amp;LMparent=20" TargetMode="External"/><Relationship Id="rId2306" Type="http://schemas.openxmlformats.org/officeDocument/2006/relationships/hyperlink" Target="https://loudouncountyvaeg.tylerhost.net/prod/selfservice" TargetMode="External"/><Relationship Id="rId2307" Type="http://schemas.openxmlformats.org/officeDocument/2006/relationships/hyperlink" Target="https://reparcelasmt.loudoun.gov/pt/Datalets/Datalet.aspx?UseSearch=no&amp;mode=profileall&amp;pin=089309997000&amp;jur=107&amp;taxyr=2024" TargetMode="External"/><Relationship Id="rId2308" Type="http://schemas.openxmlformats.org/officeDocument/2006/relationships/hyperlink" Target="https://loudouncountyvaeg.tylerhost.net/prod/selfservice" TargetMode="External"/><Relationship Id="rId2309" Type="http://schemas.openxmlformats.org/officeDocument/2006/relationships/hyperlink" Target="https://reparcelasmt.loudoun.gov/pt/Datalets/Datalet.aspx?UseSearch=no&amp;mode=profileall&amp;pin=161397058000&amp;jur=107&amp;taxyr=2025" TargetMode="External"/><Relationship Id="rId2300" Type="http://schemas.openxmlformats.org/officeDocument/2006/relationships/hyperlink" Target="https://reparcelasmt.loudoun.gov/pt/Datalets/Datalet.aspx?UseSearch=no&amp;mode=profileall&amp;pin=202104192000&amp;jur=107&amp;taxyr=2024" TargetMode="External"/><Relationship Id="rId2301" Type="http://schemas.openxmlformats.org/officeDocument/2006/relationships/hyperlink" Target="https://loudouncountyvaeg.tylerhost.net/prod/selfservice" TargetMode="External"/><Relationship Id="rId2324" Type="http://schemas.openxmlformats.org/officeDocument/2006/relationships/hyperlink" Target="https://egcss.pwcgov.org/SelfService" TargetMode="External"/><Relationship Id="rId2325" Type="http://schemas.openxmlformats.org/officeDocument/2006/relationships/hyperlink" Target="https://pwc.publicaccessnow.com/PropertyDetail.aspx?mtab=property&amp;mpropertynumber=264270" TargetMode="External"/><Relationship Id="rId2326" Type="http://schemas.openxmlformats.org/officeDocument/2006/relationships/hyperlink" Target="https://www.pwcva.gov/assets/2022-01/Frequently%20Asked%20Questions.1.20.22.pdf" TargetMode="External"/><Relationship Id="rId2327" Type="http://schemas.openxmlformats.org/officeDocument/2006/relationships/hyperlink" Target="https://pwc.publicaccessnow.com/PropertyDetail.aspx?mtab=property&amp;mpropertynumber=001468" TargetMode="External"/><Relationship Id="rId2328" Type="http://schemas.openxmlformats.org/officeDocument/2006/relationships/hyperlink" Target="https://egcss.pwcgov.org/SelfService" TargetMode="External"/><Relationship Id="rId2329" Type="http://schemas.openxmlformats.org/officeDocument/2006/relationships/hyperlink" Target="https://pwc.publicaccessnow.com/PropertyDetail.aspx?mpropertynumber=067772&amp;mtab=property&amp;p=067772" TargetMode="External"/><Relationship Id="rId2320" Type="http://schemas.openxmlformats.org/officeDocument/2006/relationships/hyperlink" Target="https://egcss.pwcgov.org/SelfService" TargetMode="External"/><Relationship Id="rId2321" Type="http://schemas.openxmlformats.org/officeDocument/2006/relationships/hyperlink" Target="https://pwc.publicaccessnow.com/PropertyDetail.aspx?mpropertynumber=001441&amp;mtab=property&amp;p=001441" TargetMode="External"/><Relationship Id="rId2322" Type="http://schemas.openxmlformats.org/officeDocument/2006/relationships/hyperlink" Target="https://egcss.pwcgov.org/SelfService" TargetMode="External"/><Relationship Id="rId2323" Type="http://schemas.openxmlformats.org/officeDocument/2006/relationships/hyperlink" Target="https://pwc.publicaccessnow.com/PropertyDetail.aspx?mtab=property&amp;mpropertynumber=264052" TargetMode="External"/><Relationship Id="rId2313" Type="http://schemas.openxmlformats.org/officeDocument/2006/relationships/hyperlink" Target="https://www.hanovercounty.gov/DocumentCenter/View/10884/REZ2022-00008-v" TargetMode="External"/><Relationship Id="rId2314" Type="http://schemas.openxmlformats.org/officeDocument/2006/relationships/hyperlink" Target="https://www.datacenterdynamics.com/en/news/behind-the-meter-data-center-proposed-outside-richmond-virginia/" TargetMode="External"/><Relationship Id="rId2315" Type="http://schemas.openxmlformats.org/officeDocument/2006/relationships/hyperlink" Target="https://parcelmap.hanovercounty.gov/" TargetMode="External"/><Relationship Id="rId2316" Type="http://schemas.openxmlformats.org/officeDocument/2006/relationships/hyperlink" Target="https://www.hanovercounty.gov/1314/Data-Center-Project-I-95Hickory-Hill-Roa" TargetMode="External"/><Relationship Id="rId2317" Type="http://schemas.openxmlformats.org/officeDocument/2006/relationships/hyperlink" Target="https://www.datacenterdynamics.com/en/news/westdulles-properties-files-for-3-million-sq-ft-data-center-park-outside-richmond-virginia/" TargetMode="External"/><Relationship Id="rId2318" Type="http://schemas.openxmlformats.org/officeDocument/2006/relationships/hyperlink" Target="https://realestate.montva.com/datalets/datalet.aspx?mode=profileall&amp;sIndex=2&amp;idx=2&amp;LMparent=20" TargetMode="External"/><Relationship Id="rId2319" Type="http://schemas.openxmlformats.org/officeDocument/2006/relationships/hyperlink" Target="https://mecklenburg.cama.concisesystems.com/PropertyPage.aspx?id=3675&amp;direct=1" TargetMode="External"/><Relationship Id="rId2310" Type="http://schemas.openxmlformats.org/officeDocument/2006/relationships/hyperlink" Target="https://richmondbizsense.com/2024/10/22/data-center-project-on-hanover-ashland-line-gets-town-approval-awaits-county-consideration/" TargetMode="External"/><Relationship Id="rId2311" Type="http://schemas.openxmlformats.org/officeDocument/2006/relationships/hyperlink" Target="https://parcelmap.hanovercounty.gov/" TargetMode="External"/><Relationship Id="rId2312" Type="http://schemas.openxmlformats.org/officeDocument/2006/relationships/hyperlink" Target="https://www.hanovercounty.gov/1270/Ironhorse-East-Ashland" TargetMode="External"/><Relationship Id="rId1895" Type="http://schemas.openxmlformats.org/officeDocument/2006/relationships/hyperlink" Target="https://gis-tceq.opendata.arcgis.com/datasets/daece6e3181140f69093ab69cf9ae0ba/explore?layer=0&amp;showTable=true" TargetMode="External"/><Relationship Id="rId1896" Type="http://schemas.openxmlformats.org/officeDocument/2006/relationships/hyperlink" Target="https://gis-tceq.opendata.arcgis.com/datasets/daece6e3181140f69093ab69cf9ae0ba/explore?layer=0&amp;showTable=true" TargetMode="External"/><Relationship Id="rId1897" Type="http://schemas.openxmlformats.org/officeDocument/2006/relationships/hyperlink" Target="https://gis-tceq.opendata.arcgis.com/datasets/daece6e3181140f69093ab69cf9ae0ba/explore?layer=0&amp;showTable=true" TargetMode="External"/><Relationship Id="rId1898" Type="http://schemas.openxmlformats.org/officeDocument/2006/relationships/hyperlink" Target="https://www.datacenterdynamics.com/en/news/cleanspark-expands-into-ai-data-center-development-with-270-acre-acquisition-outside-houston-texas/" TargetMode="External"/><Relationship Id="rId1899" Type="http://schemas.openxmlformats.org/officeDocument/2006/relationships/hyperlink" Target="https://www.linkedin.com/posts/garyveselka_ai-datacenters-gpu-activity-7389360383670587392-KElb/" TargetMode="External"/><Relationship Id="rId1890" Type="http://schemas.openxmlformats.org/officeDocument/2006/relationships/hyperlink" Target="https://www.datacenterdynamics.com/en/news/former-texas-governor-and-us-energy-sec-plans-11gw-data-center-campus-outside-amarillo-texas/" TargetMode="External"/><Relationship Id="rId1891" Type="http://schemas.openxmlformats.org/officeDocument/2006/relationships/hyperlink" Target="https://www.datacenterdynamics.com/en/news/fermi-westinghouse-to-finalize-licensing-application-for-nuclear-reactors-at-11gw-ai-campus-in-amarillo-texas/" TargetMode="External"/><Relationship Id="rId1892" Type="http://schemas.openxmlformats.org/officeDocument/2006/relationships/hyperlink" Target="https://mynews13.com/fl/orlando/news/2025/11/21/fermi-data-center" TargetMode="External"/><Relationship Id="rId1893" Type="http://schemas.openxmlformats.org/officeDocument/2006/relationships/hyperlink" Target="https://finance.yahoo.com/news/ai-power-darling-fermi-implodes-185100893.html" TargetMode="External"/><Relationship Id="rId1894" Type="http://schemas.openxmlformats.org/officeDocument/2006/relationships/hyperlink" Target="https://fermiamerica.com/" TargetMode="External"/><Relationship Id="rId1884" Type="http://schemas.openxmlformats.org/officeDocument/2006/relationships/hyperlink" Target="https://epoch.ai/data/data-centers/satellite-explorer/CoreweaveHeliosAftonTexas?ref=404media.co" TargetMode="External"/><Relationship Id="rId1885" Type="http://schemas.openxmlformats.org/officeDocument/2006/relationships/hyperlink" Target="https://www.datacenterdynamics.com/en/news/galaxy-digital-completes-first-phase-of-pivoting-cryptomine-to-ai-hosting/" TargetMode="External"/><Relationship Id="rId1886" Type="http://schemas.openxmlformats.org/officeDocument/2006/relationships/hyperlink" Target="https://gis-tceq.opendata.arcgis.com/datasets/daece6e3181140f69093ab69cf9ae0ba/explore?layer=0&amp;showTable=true" TargetMode="External"/><Relationship Id="rId1887" Type="http://schemas.openxmlformats.org/officeDocument/2006/relationships/hyperlink" Target="https://gis-tceq.opendata.arcgis.com/datasets/daece6e3181140f69093ab69cf9ae0ba/explore?layer=0&amp;showTable=true" TargetMode="External"/><Relationship Id="rId1888" Type="http://schemas.openxmlformats.org/officeDocument/2006/relationships/hyperlink" Target="https://actionnetwork.org/petitions/our-water-is-not-for-sale-protect-ogallalla-aquifer" TargetMode="External"/><Relationship Id="rId1889" Type="http://schemas.openxmlformats.org/officeDocument/2006/relationships/hyperlink" Target="https://www.datacenterdynamics.com/en/news/fermi-america-acquires-600mw-of-gas-turbines-for-11gw-ai-mega-campus-in-amarillo-texas/" TargetMode="External"/><Relationship Id="rId1880" Type="http://schemas.openxmlformats.org/officeDocument/2006/relationships/hyperlink" Target="https://news.bitcoin.com/solunas-project-kati-1-to-reach-83-mw-with-galaxy-bitcoin-miner-deployment/" TargetMode="External"/><Relationship Id="rId1881" Type="http://schemas.openxmlformats.org/officeDocument/2006/relationships/hyperlink" Target="https://www.everythinglubbock.com/news/local-news/galaxy-acquires-bitcoin-mining-facility-in-dickens-from-argo/" TargetMode="External"/><Relationship Id="rId1882" Type="http://schemas.openxmlformats.org/officeDocument/2006/relationships/hyperlink" Target="https://www.fox34.com/2022/05/06/new-bitcoin-mining-facility-boosting-economy-dickens-county/" TargetMode="External"/><Relationship Id="rId1883" Type="http://schemas.openxmlformats.org/officeDocument/2006/relationships/hyperlink" Target="https://www.everythinglubbock.com/news/local-news/crypto-cowboys-inside-the-new-300m-bitcoin-mining-facility-in-dickens-county/" TargetMode="External"/><Relationship Id="rId1059" Type="http://schemas.openxmlformats.org/officeDocument/2006/relationships/hyperlink" Target="https://epoch.ai/data/data-centers/satellite-explorer/AmazonRidgelandMississippi?ref=404media.co" TargetMode="External"/><Relationship Id="rId228" Type="http://schemas.openxmlformats.org/officeDocument/2006/relationships/hyperlink" Target="https://www.notoprojecttango.com/" TargetMode="External"/><Relationship Id="rId227" Type="http://schemas.openxmlformats.org/officeDocument/2006/relationships/hyperlink" Target="https://www.datacenterdynamics.com/en/news/600000-sq-ft-project-swan-data-center-could-be-built-in-lakeland-florida/" TargetMode="External"/><Relationship Id="rId226" Type="http://schemas.openxmlformats.org/officeDocument/2006/relationships/hyperlink" Target="https://www.datacenterdynamics.com/en/news/data-center-proposal-in-citrus-county-florida-withdrawn-by-developer/" TargetMode="External"/><Relationship Id="rId225" Type="http://schemas.openxmlformats.org/officeDocument/2006/relationships/hyperlink" Target="https://www.datacenterdynamics.com/en/news/planned-data-center-in-florida-held-back-by-lack-of-available-water-from-city/" TargetMode="External"/><Relationship Id="rId2380" Type="http://schemas.openxmlformats.org/officeDocument/2006/relationships/hyperlink" Target="https://www.chesterfield.gov/828/Real-Estate-Assessment-Data" TargetMode="External"/><Relationship Id="rId229" Type="http://schemas.openxmlformats.org/officeDocument/2006/relationships/hyperlink" Target="https://www.facebook.com/groups/1359906715176907/" TargetMode="External"/><Relationship Id="rId1050" Type="http://schemas.openxmlformats.org/officeDocument/2006/relationships/hyperlink" Target="https://buildingsandsites.com/rankinfirst/Property/Detail/13093/East-Metropolitan-Center" TargetMode="External"/><Relationship Id="rId2381" Type="http://schemas.openxmlformats.org/officeDocument/2006/relationships/hyperlink" Target="https://www.wric.com/news/local-news/chesterfield-county/tract-withdraws-data-center-application-after-chesterfield-recommends-against-it/" TargetMode="External"/><Relationship Id="rId220" Type="http://schemas.openxmlformats.org/officeDocument/2006/relationships/hyperlink" Target="https://www.datacenterdynamics.com/en/news/plans-to-build-1300-acre-data-center-in-fort-meade-florida-gets-go-ahead-from-officials/" TargetMode="External"/><Relationship Id="rId1051" Type="http://schemas.openxmlformats.org/officeDocument/2006/relationships/hyperlink" Target="https://www.datacenterdynamics.com/en/news/avaio-digital-partners-breaks-ground-on-6bn-data-center-in-mississippi/" TargetMode="External"/><Relationship Id="rId2382" Type="http://schemas.openxmlformats.org/officeDocument/2006/relationships/hyperlink" Target="https://www.chesterfield.gov/828/Real-Estate-Assessment-Data" TargetMode="External"/><Relationship Id="rId1052" Type="http://schemas.openxmlformats.org/officeDocument/2006/relationships/hyperlink" Target="https://epoch.ai/data/data-centers/satellite-explorer/AmazonCantonMississippi?ref=404media.co" TargetMode="External"/><Relationship Id="rId2383" Type="http://schemas.openxmlformats.org/officeDocument/2006/relationships/hyperlink" Target="https://www.datacenterdynamics.com/en/news/microsoft-files-for-another-virginia-campus-in-mecklenburg-county/" TargetMode="External"/><Relationship Id="rId1053" Type="http://schemas.openxmlformats.org/officeDocument/2006/relationships/hyperlink" Target="https://www.datacenterdynamics.com/en/news/648-acre-data-center-could-be-built-in-clarksdale-mississippi/" TargetMode="External"/><Relationship Id="rId2384" Type="http://schemas.openxmlformats.org/officeDocument/2006/relationships/hyperlink" Target="http://go.boarddocs.com/va/ccva/Board.nsf/goto?open&amp;id=CWBKLL525B17" TargetMode="External"/><Relationship Id="rId1054" Type="http://schemas.openxmlformats.org/officeDocument/2006/relationships/hyperlink" Target="https://www.datacenterdynamics.com/en/news/aws-likely-behind-plans-for-750m-data-center-in-clinton-mississippi/" TargetMode="External"/><Relationship Id="rId2385" Type="http://schemas.openxmlformats.org/officeDocument/2006/relationships/hyperlink" Target="https://gis.vgsi.com/culpeperva/Parcel.aspx?pid=3148" TargetMode="External"/><Relationship Id="rId224" Type="http://schemas.openxmlformats.org/officeDocument/2006/relationships/hyperlink" Target="https://www.datacenterdynamics.com/en/news/cielo-digital-infrastructure-plans-300mw-data-center-campus-in-south-carolina/" TargetMode="External"/><Relationship Id="rId1055" Type="http://schemas.openxmlformats.org/officeDocument/2006/relationships/hyperlink" Target="https://rbnenergy.com/i-know-places-tech-giants-may-be-the-surest-bets-for-data-center-power-demand" TargetMode="External"/><Relationship Id="rId2386" Type="http://schemas.openxmlformats.org/officeDocument/2006/relationships/hyperlink" Target="https://www.culpeperva.org/properties/cloudhq-culpeper/" TargetMode="External"/><Relationship Id="rId223" Type="http://schemas.openxmlformats.org/officeDocument/2006/relationships/hyperlink" Target="https://www.datacenterdynamics.com/en/news/data-center-developer-withdraws-application-in-florida-in-response-to-proposed-regulations/" TargetMode="External"/><Relationship Id="rId1056" Type="http://schemas.openxmlformats.org/officeDocument/2006/relationships/hyperlink" Target="https://baxtel.com/data-center/aws-madison-county-mega-site-campus" TargetMode="External"/><Relationship Id="rId2387" Type="http://schemas.openxmlformats.org/officeDocument/2006/relationships/hyperlink" Target="https://gis.vgsi.com/culpeperva/Parcel.aspx?pid=21853" TargetMode="External"/><Relationship Id="rId222" Type="http://schemas.openxmlformats.org/officeDocument/2006/relationships/hyperlink" Target="https://www.tcpalm.com/story/news/local/st-lucie-county/2025/10/23/13-billion-data-center-largest-in-florida-planned-on-treasure-coast/86770609007" TargetMode="External"/><Relationship Id="rId1057" Type="http://schemas.openxmlformats.org/officeDocument/2006/relationships/hyperlink" Target="https://www.clarionledger.com/story/business/2025/03/07/amazon-web-services-expanding-madison-county-ms-data-center-campus/81914950007/" TargetMode="External"/><Relationship Id="rId2388" Type="http://schemas.openxmlformats.org/officeDocument/2006/relationships/hyperlink" Target="https://datacenterdynamics.com/en/news/amazon-granted-rezoning-approval-for-data-centers-in-culpeper-county-virginia/" TargetMode="External"/><Relationship Id="rId221" Type="http://schemas.openxmlformats.org/officeDocument/2006/relationships/hyperlink" Target="https://www.datacenterdynamics.com/en/news/officials-fail-to-back-plans-for-1gw-data-center-campus-in-florida/" TargetMode="External"/><Relationship Id="rId1058" Type="http://schemas.openxmlformats.org/officeDocument/2006/relationships/hyperlink" Target="https://www.datacenterdynamics.com/en/news/aws-confirmed-as-company-behind-10bn-mississippi-data-center-development/" TargetMode="External"/><Relationship Id="rId2389" Type="http://schemas.openxmlformats.org/officeDocument/2006/relationships/hyperlink" Target="https://gis.vgsi.com/culpeperva/Parcel.aspx?pid=10698" TargetMode="External"/><Relationship Id="rId1048" Type="http://schemas.openxmlformats.org/officeDocument/2006/relationships/hyperlink" Target="https://www.change.org/p/petition-regarding-the-rankin-county-data-center-s-risks-to-the-community" TargetMode="External"/><Relationship Id="rId2379" Type="http://schemas.openxmlformats.org/officeDocument/2006/relationships/hyperlink" Target="https://www.datacenterdynamics.com/en/news/google-to-invest-9bn-in-virginia-data-centers-plans-new-campus-in-chesterfield-county/" TargetMode="External"/><Relationship Id="rId1049" Type="http://schemas.openxmlformats.org/officeDocument/2006/relationships/hyperlink" Target="https://www.clarionledger.com/story/business/2025/08/19/6-billion-dollar-avaio-digital-data-center-coming-to-brandon-mississippi/85722542007/" TargetMode="External"/><Relationship Id="rId217" Type="http://schemas.openxmlformats.org/officeDocument/2006/relationships/hyperlink" Target="https://watchdogsoffortmeade.com/" TargetMode="External"/><Relationship Id="rId216" Type="http://schemas.openxmlformats.org/officeDocument/2006/relationships/hyperlink" Target="https://spotlightdelaware.org/2026/03/26/delaware-city-data-center-environmental-denial-upheld-by-state-board/" TargetMode="External"/><Relationship Id="rId215" Type="http://schemas.openxmlformats.org/officeDocument/2006/relationships/hyperlink" Target="https://whyy.org/articles/delaware-city-data-center-setback-environment" TargetMode="External"/><Relationship Id="rId214" Type="http://schemas.openxmlformats.org/officeDocument/2006/relationships/hyperlink" Target="https://www.datacenterdynamics.com/en/news/applicant-appeals-data-center-rejection-in-delaware/" TargetMode="External"/><Relationship Id="rId219" Type="http://schemas.openxmlformats.org/officeDocument/2006/relationships/hyperlink" Target="https://www.datacenterdynamics.com/en/news/44-million-sq-ft-data-center-campus-gets-zoning-approval-in-fort-meade-florida/" TargetMode="External"/><Relationship Id="rId218" Type="http://schemas.openxmlformats.org/officeDocument/2006/relationships/hyperlink" Target="https://www.facebook.com/groups/1397482882419331/" TargetMode="External"/><Relationship Id="rId2370" Type="http://schemas.openxmlformats.org/officeDocument/2006/relationships/hyperlink" Target="https://cardinalnews.org/2025/04/14/a-grassroots-fight-against-data-centers-builds-in-rural-pittsylvania-county/" TargetMode="External"/><Relationship Id="rId1040" Type="http://schemas.openxmlformats.org/officeDocument/2006/relationships/hyperlink" Target="https://www.youtube.com/watch?v=wYBBZEKJWlk&amp;ab_channel=FOX2St.Louis" TargetMode="External"/><Relationship Id="rId2371" Type="http://schemas.openxmlformats.org/officeDocument/2006/relationships/hyperlink" Target="https://www.wtvr.com/news/local-news/google-chesterfield-data-center-aug-27-2025" TargetMode="External"/><Relationship Id="rId1041" Type="http://schemas.openxmlformats.org/officeDocument/2006/relationships/hyperlink" Target="https://www.firstalert4.com/2025/09/15/after-st-charles-pressed-pause-city-st-louis-considering-data-center-moratorium/" TargetMode="External"/><Relationship Id="rId2372" Type="http://schemas.openxmlformats.org/officeDocument/2006/relationships/hyperlink" Target="https://richmondbizsense.com/2025/08/27/breaking-news-google-planning-chesterfield-data-center-as-part-of-9b-expansion-in-virginia/" TargetMode="External"/><Relationship Id="rId1042" Type="http://schemas.openxmlformats.org/officeDocument/2006/relationships/hyperlink" Target="https://www.datacenterdynamics.com/en/news/crusoe-could-build-14-acre-data-center-in-unincorporated-missouri-land/" TargetMode="External"/><Relationship Id="rId2373" Type="http://schemas.openxmlformats.org/officeDocument/2006/relationships/hyperlink" Target="https://richmondbizsense.com/2025/08/28/chesterfield-scores-a-google-trifecta-tech-giant-reveals-ties-to-3-massive-sites-across-the-county/" TargetMode="External"/><Relationship Id="rId1043" Type="http://schemas.openxmlformats.org/officeDocument/2006/relationships/hyperlink" Target="https://www.facebook.com/groups/883134924331985/" TargetMode="External"/><Relationship Id="rId2374" Type="http://schemas.openxmlformats.org/officeDocument/2006/relationships/hyperlink" Target="https://www.wtvr.com/news/local-news/google-chesterfield-data-center-update-nov-11-2025" TargetMode="External"/><Relationship Id="rId213" Type="http://schemas.openxmlformats.org/officeDocument/2006/relationships/hyperlink" Target="https://www.delawareonline.com/story/money/business/2025/07/17/data-center-new-castle-county-delaware/85239325007/" TargetMode="External"/><Relationship Id="rId1044" Type="http://schemas.openxmlformats.org/officeDocument/2006/relationships/hyperlink" Target="https://www.stltoday.com/news/local/government-politics/article_250be47c-fd85-4340-966a-fcfa6c513609.html" TargetMode="External"/><Relationship Id="rId2375" Type="http://schemas.openxmlformats.org/officeDocument/2006/relationships/hyperlink" Target="https://www.reddit.com/r/Virginia/comments/1n34t0p/peanut_llc_in_chesterfield_data_center_will_be/" TargetMode="External"/><Relationship Id="rId212" Type="http://schemas.openxmlformats.org/officeDocument/2006/relationships/hyperlink" Target="https://www.datacenterdynamics.com/en/news/starwood-files-to-develop-12gw-11-building-data-center-campus-in-delaware/" TargetMode="External"/><Relationship Id="rId1045" Type="http://schemas.openxmlformats.org/officeDocument/2006/relationships/hyperlink" Target="https://www.datacenterdynamics.com/en/news/two-data-center-projects-debated-for-11-hours-at-planning-meeting-in-franklin-county-missouri/" TargetMode="External"/><Relationship Id="rId2376" Type="http://schemas.openxmlformats.org/officeDocument/2006/relationships/hyperlink" Target="https://www.wric.com/news/local-news/chesterfield-county/google-site-plan-project-peanut-data-center-chesterfield" TargetMode="External"/><Relationship Id="rId211" Type="http://schemas.openxmlformats.org/officeDocument/2006/relationships/hyperlink" Target="https://www.datacenterdynamics.com/en/news/groton-ct-blocks-large-scale-data-center-projects-thwarting-ne-edge/" TargetMode="External"/><Relationship Id="rId1046" Type="http://schemas.openxmlformats.org/officeDocument/2006/relationships/hyperlink" Target="https://fox2now.com/news/missouri/split-vote-on-data-center-re-zoning-from-franklin-county-pz/" TargetMode="External"/><Relationship Id="rId2377" Type="http://schemas.openxmlformats.org/officeDocument/2006/relationships/hyperlink" Target="https://www.datacenterdynamics.com/en/news/blue-owl-led-jv-secures-750m-to-build-out-data-centers-for-coreweave/" TargetMode="External"/><Relationship Id="rId210" Type="http://schemas.openxmlformats.org/officeDocument/2006/relationships/hyperlink" Target="https://www.datacenterdynamics.com/en/news/15gw-data-center-campus-proposed-in-pennsylvania/" TargetMode="External"/><Relationship Id="rId1047" Type="http://schemas.openxmlformats.org/officeDocument/2006/relationships/hyperlink" Target="https://www.datacenterdynamics.com/en/news/crusoe-data-center-could-be-built-west-of-st-louis-missouri/" TargetMode="External"/><Relationship Id="rId2378" Type="http://schemas.openxmlformats.org/officeDocument/2006/relationships/hyperlink" Target="https://www.chesterfield.gov/828/Real-Estate-Assessment-Data" TargetMode="External"/><Relationship Id="rId249" Type="http://schemas.openxmlformats.org/officeDocument/2006/relationships/hyperlink" Target="https://baxtel.com/data-center/flexential-atlanta-alpharetta" TargetMode="External"/><Relationship Id="rId248" Type="http://schemas.openxmlformats.org/officeDocument/2006/relationships/hyperlink" Target="https://baxtel.com/data-center/ascent-atlanta-atl1" TargetMode="External"/><Relationship Id="rId247" Type="http://schemas.openxmlformats.org/officeDocument/2006/relationships/hyperlink" Target="https://baxtel.com/data-center/sungard-atlanta-alpharetta" TargetMode="External"/><Relationship Id="rId1070" Type="http://schemas.openxmlformats.org/officeDocument/2006/relationships/hyperlink" Target="https://bigskyeconomicdevelopment.org/quantica-infrastructure-introduces-big-sky-digital-infrastructure-as-its-flagship-development-platform-in-montana/" TargetMode="External"/><Relationship Id="rId1071" Type="http://schemas.openxmlformats.org/officeDocument/2006/relationships/hyperlink" Target="https://bigskydigitalinfra.com/" TargetMode="External"/><Relationship Id="rId1072" Type="http://schemas.openxmlformats.org/officeDocument/2006/relationships/hyperlink" Target="https://www.datacenterdynamics.com/en/news/encap-backed-quantica-details-plans-for-1gw-campus-in-montana/" TargetMode="External"/><Relationship Id="rId242" Type="http://schemas.openxmlformats.org/officeDocument/2006/relationships/hyperlink" Target="https://www.datacenterdynamics.com/en/news/atlas-named-as-developer-on-project-sassy-in-rome-georgia/" TargetMode="External"/><Relationship Id="rId1073" Type="http://schemas.openxmlformats.org/officeDocument/2006/relationships/hyperlink" Target="https://meic.org/" TargetMode="External"/><Relationship Id="rId241" Type="http://schemas.openxmlformats.org/officeDocument/2006/relationships/hyperlink" Target="https://www.13wmaz.com/article/news/local/600-acre-data-center-proposed-for-jones-county-faces-early-opposition/93-25e72bf8-9eed-47ae-a351-8b7a05ee723f" TargetMode="External"/><Relationship Id="rId1074" Type="http://schemas.openxmlformats.org/officeDocument/2006/relationships/hyperlink" Target="https://nbcmontana.com/news/local/proposed-butte-data-center-stirs-debate" TargetMode="External"/><Relationship Id="rId240" Type="http://schemas.openxmlformats.org/officeDocument/2006/relationships/hyperlink" Target="https://www.facebook.com/groups/1699215814102745/" TargetMode="External"/><Relationship Id="rId1075" Type="http://schemas.openxmlformats.org/officeDocument/2006/relationships/hyperlink" Target="https://www.datacenterdynamics.com/en/news/sabey-backs-out-of-proposal-to-build-data-center-in-butte-montana/" TargetMode="External"/><Relationship Id="rId1076" Type="http://schemas.openxmlformats.org/officeDocument/2006/relationships/hyperlink" Target="https://www.datacenterdynamics.com/en/news/600mw-data-center-campus-proposed-in-montana/" TargetMode="External"/><Relationship Id="rId246" Type="http://schemas.openxmlformats.org/officeDocument/2006/relationships/hyperlink" Target="https://www.ajc.com/news/2025/06/as-data-centers-grow-larger-so-does-pushback-across-georgia/" TargetMode="External"/><Relationship Id="rId1077" Type="http://schemas.openxmlformats.org/officeDocument/2006/relationships/hyperlink" Target="https://www.datacenterdynamics.com/en/news/developer-krambu-looks-to-build-ai-data-center-in-missoula-county-montana/" TargetMode="External"/><Relationship Id="rId245" Type="http://schemas.openxmlformats.org/officeDocument/2006/relationships/hyperlink" Target="https://www.ajc.com/news/business/45b-project-springbank-joins-metro-atlantas-data-center-pipeline/2ZNPEXHMIZBXNPKIPWHJZ4FLH4/" TargetMode="External"/><Relationship Id="rId1078" Type="http://schemas.openxmlformats.org/officeDocument/2006/relationships/hyperlink" Target="https://missoulacountyvoice.com/bonner-data-center" TargetMode="External"/><Relationship Id="rId244" Type="http://schemas.openxmlformats.org/officeDocument/2006/relationships/hyperlink" Target="https://www.datacenterdynamics.com/en/news/two-million-sq-ft-data-center-campus-planned-outside-atlanta-georgia/" TargetMode="External"/><Relationship Id="rId1079" Type="http://schemas.openxmlformats.org/officeDocument/2006/relationships/hyperlink" Target="https://www.kpax.com/news/missoula-county/small-ai-data-center-proposed-for-bonner-mill-industrial-park" TargetMode="External"/><Relationship Id="rId243" Type="http://schemas.openxmlformats.org/officeDocument/2006/relationships/hyperlink" Target="https://www.facebook.com/groups/1072832508191794/" TargetMode="External"/><Relationship Id="rId239" Type="http://schemas.openxmlformats.org/officeDocument/2006/relationships/hyperlink" Target="https://www.datacenterdynamics.com/en/news/h5-and-novacap-launch-new-data-center-platform-acquire-three-carrier-hotels-from-365/" TargetMode="External"/><Relationship Id="rId238" Type="http://schemas.openxmlformats.org/officeDocument/2006/relationships/hyperlink" Target="https://cbs12.com/news/local/-florida-news-public-outcry-wins-okeechobee-scraps-data-center-project-special-technology-opportunity-centers-comprehensive-plan-future-land-use-transportation-housing-infrastructure-recreation-intergovernmental-coordination-capital-improve" TargetMode="External"/><Relationship Id="rId237" Type="http://schemas.openxmlformats.org/officeDocument/2006/relationships/hyperlink" Target="https://www.wgcu.org/section/science/2026-04-24/okeechobeeokee-onedoa" TargetMode="External"/><Relationship Id="rId236" Type="http://schemas.openxmlformats.org/officeDocument/2006/relationships/hyperlink" Target="https://www.wptv.com/news/treasure-coast/region-okeechobee-county/vote-by-okeechobee-county-commissioners-kills-controversial-okee-one-data-center-project" TargetMode="External"/><Relationship Id="rId2390" Type="http://schemas.openxmlformats.org/officeDocument/2006/relationships/hyperlink" Target="https://cieloinfra.com/insight/edgecore-acquires-cielo-data-center-project-in-culpeper-for-undisclosed-amount/" TargetMode="External"/><Relationship Id="rId1060" Type="http://schemas.openxmlformats.org/officeDocument/2006/relationships/hyperlink" Target="https://birdsongconst.com/portfolio/continental-tire/" TargetMode="External"/><Relationship Id="rId2391" Type="http://schemas.openxmlformats.org/officeDocument/2006/relationships/hyperlink" Target="https://www.bisnow.com/national/news/data-center/peterson-companies-developing-2m-sf-data-center-campus-in-northern-virginia-119735" TargetMode="External"/><Relationship Id="rId1061" Type="http://schemas.openxmlformats.org/officeDocument/2006/relationships/hyperlink" Target="https://actionnetwork.org/groups/safe-and-sound-coalition" TargetMode="External"/><Relationship Id="rId2392" Type="http://schemas.openxmlformats.org/officeDocument/2006/relationships/hyperlink" Target="https://gis.vgsi.com/culpeperva/Parcel.aspx?pid=19739" TargetMode="External"/><Relationship Id="rId231" Type="http://schemas.openxmlformats.org/officeDocument/2006/relationships/hyperlink" Target="https://www.datacenterdynamics.com/en/news/37-million-sq-ft-data-center-campus-gets-initial-ok-from-officials-in-florida/" TargetMode="External"/><Relationship Id="rId1062" Type="http://schemas.openxmlformats.org/officeDocument/2006/relationships/hyperlink" Target="https://mississippitoday.org/2025/12/31/elon-musk-mississippi-data-center-southaven-memphis/" TargetMode="External"/><Relationship Id="rId2393" Type="http://schemas.openxmlformats.org/officeDocument/2006/relationships/hyperlink" Target="http://go.boarddocs.com/va/ccva/Board.nsf/goto?open&amp;id=BD5H3G466E8A" TargetMode="External"/><Relationship Id="rId230" Type="http://schemas.openxmlformats.org/officeDocument/2006/relationships/hyperlink" Target="https://www.change.org/p/say-no-to-the-construction-of-project-tango-ai-data-center-in-palm-beach-county" TargetMode="External"/><Relationship Id="rId1063" Type="http://schemas.openxmlformats.org/officeDocument/2006/relationships/hyperlink" Target="https://mississippitoday.org/2025/11/24/southaven-residents-fear-pollution-complain-of-noise-from-elon-musks-xai-data-center-turbines/" TargetMode="External"/><Relationship Id="rId2394" Type="http://schemas.openxmlformats.org/officeDocument/2006/relationships/hyperlink" Target="https://gis.vgsi.com/culpeperva/Parcel.aspx?pid=11743" TargetMode="External"/><Relationship Id="rId1064" Type="http://schemas.openxmlformats.org/officeDocument/2006/relationships/hyperlink" Target="https://www.change.org/p/block-spruill-s-crypto-center" TargetMode="External"/><Relationship Id="rId2395" Type="http://schemas.openxmlformats.org/officeDocument/2006/relationships/hyperlink" Target="https://gis.vgsi.com/culpeperva/Parcel.aspx?pid=10680" TargetMode="External"/><Relationship Id="rId1065" Type="http://schemas.openxmlformats.org/officeDocument/2006/relationships/hyperlink" Target="https://www.datacenterdynamics.com/en/news/30mw-cryptomine-proposed-in-starkville-mississippi/" TargetMode="External"/><Relationship Id="rId2396" Type="http://schemas.openxmlformats.org/officeDocument/2006/relationships/hyperlink" Target="https://gis.vgsi.com/culpeperva/Parcel.aspx?pid=6279" TargetMode="External"/><Relationship Id="rId235" Type="http://schemas.openxmlformats.org/officeDocument/2006/relationships/hyperlink" Target="https://www.datacenterdynamics.com/en/news/iron-mountain-tops-outs-miami-data-center/" TargetMode="External"/><Relationship Id="rId1066" Type="http://schemas.openxmlformats.org/officeDocument/2006/relationships/hyperlink" Target="https://www.datacenterdynamics.com/en/news/amazon-to-build-3bn-data-center-campus-in-vicksburg-mississippi/" TargetMode="External"/><Relationship Id="rId2397" Type="http://schemas.openxmlformats.org/officeDocument/2006/relationships/hyperlink" Target="https://gis.vgsi.com/culpeperva/Parcel.aspx?pid=9903" TargetMode="External"/><Relationship Id="rId234" Type="http://schemas.openxmlformats.org/officeDocument/2006/relationships/hyperlink" Target="https://www.datacenterdynamics.com/en/news/hostdime-seeks-deadline-extension-for-data-center-in-eatonville-orlando/" TargetMode="External"/><Relationship Id="rId1067" Type="http://schemas.openxmlformats.org/officeDocument/2006/relationships/hyperlink" Target="https://www.vicksburgpost.com/news/community-discussion-on-data-centers-cd545011" TargetMode="External"/><Relationship Id="rId2398" Type="http://schemas.openxmlformats.org/officeDocument/2006/relationships/hyperlink" Target="https://gis.vgsi.com/culpeperva/Parcel.aspx?pid=7077" TargetMode="External"/><Relationship Id="rId233" Type="http://schemas.openxmlformats.org/officeDocument/2006/relationships/hyperlink" Target="https://cbs12.com/news/local/what-is-an-ai-data-center-palm-beach-county-debate-over-project-tango-explained" TargetMode="External"/><Relationship Id="rId1068" Type="http://schemas.openxmlformats.org/officeDocument/2006/relationships/hyperlink" Target="https://www.change.org/p/reject-permits-for-the-ai-data-center-in-bonner-mt" TargetMode="External"/><Relationship Id="rId2399" Type="http://schemas.openxmlformats.org/officeDocument/2006/relationships/hyperlink" Target="https://www.datacenterdynamics.com/en/news/google-buys-land-for-data-center-in-botetourt-county-west-virginia/" TargetMode="External"/><Relationship Id="rId232" Type="http://schemas.openxmlformats.org/officeDocument/2006/relationships/hyperlink" Target="https://www.centralparkcommercecenter.com/?gad_source=1&amp;gad_campaignid=23618902760&amp;gbraid=0AAAABDBJa97eBuMRlkuHAKrIbasfiOwuK&amp;gclid=CjwKCAjwjtTNBhB0EiwAuswYhj3-_K3T9s7db44QwVV6j0ZsEQnNwx_-C4jOldThZx7BgnJzaq_PSRoC62EQAvD_BwE" TargetMode="External"/><Relationship Id="rId1069" Type="http://schemas.openxmlformats.org/officeDocument/2006/relationships/hyperlink" Target="https://www.datacenterdynamics.com/en/news/plans-for-29mw-data-center-in-bonner-montana-dropped/" TargetMode="External"/><Relationship Id="rId1015" Type="http://schemas.openxmlformats.org/officeDocument/2006/relationships/hyperlink" Target="https://abc17news.com/news/montgomery/2025/12/03/montgomery-county-approves-land-for-two-large-scale-projects-on-amazon-data-center-campus/" TargetMode="External"/><Relationship Id="rId2346" Type="http://schemas.openxmlformats.org/officeDocument/2006/relationships/hyperlink" Target="https://gis.vgsi.com/fauquierva/Parcel.aspx?pid=27419" TargetMode="External"/><Relationship Id="rId1016" Type="http://schemas.openxmlformats.org/officeDocument/2006/relationships/hyperlink" Target="https://www.datacenterdynamics.com/en/news/amazon-commits-10bn-to-data-center-campus-in-montgomery-city-missouri/" TargetMode="External"/><Relationship Id="rId2347" Type="http://schemas.openxmlformats.org/officeDocument/2006/relationships/hyperlink" Target="https://www.fairfaxcounty.gov/planning-development/sites/planning-development/files/Assets/Documents/PDF/data-centers-report.pdf" TargetMode="External"/><Relationship Id="rId1017" Type="http://schemas.openxmlformats.org/officeDocument/2006/relationships/hyperlink" Target="https://krcgtv.com/news/local/residents-resist-proposed-amazon-development-data-center-projects-in-montgomery-county" TargetMode="External"/><Relationship Id="rId2348" Type="http://schemas.openxmlformats.org/officeDocument/2006/relationships/hyperlink" Target="https://icare.fairfaxcounty.gov/ffxcare/Datalets/Datalet.aspx?mode=&amp;UseSearch=no&amp;pin=0341%2003%20%200013&amp;jur=129&amp;taxyr=2025" TargetMode="External"/><Relationship Id="rId1018" Type="http://schemas.openxmlformats.org/officeDocument/2006/relationships/hyperlink" Target="https://abc17news.com/news/montgomery/2025/12/03/montgomery-county-approves-land-for-two-large-scale-projects-on-amazon-data-center-campus/" TargetMode="External"/><Relationship Id="rId2349" Type="http://schemas.openxmlformats.org/officeDocument/2006/relationships/hyperlink" Target="https://plus.fairfaxcounty.gov/CitizenAccess/Cap/CapDetail.aspx?Module=Site&amp;TabName=Site&amp;capID1=21WW1&amp;capID2=00000&amp;capID3=00IHZ&amp;agencyCode=FFX" TargetMode="External"/><Relationship Id="rId1019" Type="http://schemas.openxmlformats.org/officeDocument/2006/relationships/hyperlink" Target="https://www.mystandardnews.com/stories/google-named-as-end-user-for-second-montgomery-county-data-center-site,146028" TargetMode="External"/><Relationship Id="rId2340" Type="http://schemas.openxmlformats.org/officeDocument/2006/relationships/hyperlink" Target="https://www.datacenterdynamics.com/en/news/county-officials-deny-application-for-2000-acre-data-center-campus-in-virginia/" TargetMode="External"/><Relationship Id="rId1010" Type="http://schemas.openxmlformats.org/officeDocument/2006/relationships/hyperlink" Target="https://mccmeetingspublic.blob.core.usgovcloudapi.net/moberly-meet-b1f2d06cb1df41dea662239e37259894/ITEM-Attachment-001-129fe376fd124959923d817f5399c4e1.pdf" TargetMode="External"/><Relationship Id="rId2341" Type="http://schemas.openxmlformats.org/officeDocument/2006/relationships/hyperlink" Target="https://commdevpay.fauquiercounty.gov/Energov_Prod/SelfService" TargetMode="External"/><Relationship Id="rId1011" Type="http://schemas.openxmlformats.org/officeDocument/2006/relationships/hyperlink" Target="https://www.change.org/p/halt-the-construction-of-server-data-farms-threatening-our-rural-landscape/u/33097052" TargetMode="External"/><Relationship Id="rId2342" Type="http://schemas.openxmlformats.org/officeDocument/2006/relationships/hyperlink" Target="https://gis.vgsi.com/fauquierva/Parcel.aspx?pid=48900" TargetMode="External"/><Relationship Id="rId1012" Type="http://schemas.openxmlformats.org/officeDocument/2006/relationships/hyperlink" Target="https://krcgtv.com/news/local/residents-resist-proposed-amazon-development-data-center-projects-in-montgomery-county" TargetMode="External"/><Relationship Id="rId2343" Type="http://schemas.openxmlformats.org/officeDocument/2006/relationships/hyperlink" Target="https://www.fauquiernow.com/news/developer-withdraws-plans-for-catlett-station-data-center-project/article_29d5165e-4385-11ef-ad9e-db32dab80435.html" TargetMode="External"/><Relationship Id="rId1013" Type="http://schemas.openxmlformats.org/officeDocument/2006/relationships/hyperlink" Target="https://www.datacenterdynamics.com/en/news/1000-acre-aws-data-center-campus-under-consideration-in-montgomery-county-missouri/" TargetMode="External"/><Relationship Id="rId2344" Type="http://schemas.openxmlformats.org/officeDocument/2006/relationships/hyperlink" Target="https://www.change.org/p/protect-warrenton-no-data-center-without-local-safeguards" TargetMode="External"/><Relationship Id="rId1014" Type="http://schemas.openxmlformats.org/officeDocument/2006/relationships/hyperlink" Target="https://abc17news.com/news/top-stories/2026/02/17/lawsuit-filed-to-stop-montgomery-county-data-center/" TargetMode="External"/><Relationship Id="rId2345" Type="http://schemas.openxmlformats.org/officeDocument/2006/relationships/hyperlink" Target="https://www.fauquiernow.com/news/business/warrenton-town-council-approves-amazon-data-center-proposal/article_3913e82e-ad0a-11ed-83f3-538a8a5bb411.html" TargetMode="External"/><Relationship Id="rId1004" Type="http://schemas.openxmlformats.org/officeDocument/2006/relationships/hyperlink" Target="https://sbj.net/stories/webster-county-data-center,104328" TargetMode="External"/><Relationship Id="rId2335" Type="http://schemas.openxmlformats.org/officeDocument/2006/relationships/hyperlink" Target="https://pwc.publicaccessnow.com/PropertyDetail.aspx?mtab=property&amp;mpropertynumber=229877" TargetMode="External"/><Relationship Id="rId1005" Type="http://schemas.openxmlformats.org/officeDocument/2006/relationships/hyperlink" Target="https://sbj.net/stories/webster-county-data-center,104328" TargetMode="External"/><Relationship Id="rId2336" Type="http://schemas.openxmlformats.org/officeDocument/2006/relationships/hyperlink" Target="https://www.pwcva.gov/assets/2022-01/Frequently%20Asked%20Questions.1.20.22.pdf" TargetMode="External"/><Relationship Id="rId1006" Type="http://schemas.openxmlformats.org/officeDocument/2006/relationships/hyperlink" Target="https://www.change.org/p/stop-the-ai-data-center-from-being-built-in-nodaway-county-and-other-missouri-counties" TargetMode="External"/><Relationship Id="rId2337" Type="http://schemas.openxmlformats.org/officeDocument/2006/relationships/hyperlink" Target="https://pwc.publicaccessnow.com/PropertyDetail.aspx?mpropertynumber=264071&amp;mtab=property&amp;p=264071" TargetMode="External"/><Relationship Id="rId1007" Type="http://schemas.openxmlformats.org/officeDocument/2006/relationships/hyperlink" Target="https://www.maryvilleforum.com/news/commission-4-billion-ai-data-center-likely-to-go-forward/article_cbbfd4f8-aaad-43b8-8f8a-a3a4e6a6d990.html" TargetMode="External"/><Relationship Id="rId2338" Type="http://schemas.openxmlformats.org/officeDocument/2006/relationships/hyperlink" Target="https://egcss.pwcgov.org/SelfService" TargetMode="External"/><Relationship Id="rId1008" Type="http://schemas.openxmlformats.org/officeDocument/2006/relationships/hyperlink" Target="https://www.kxcv.org/news/2026-03-11/with-little-public-notice-data-center-developers-consider-nodaway-county" TargetMode="External"/><Relationship Id="rId2339" Type="http://schemas.openxmlformats.org/officeDocument/2006/relationships/hyperlink" Target="https://pwc.publicaccessnow.com/PropertyDetail.aspx?mpropertynumber=021785&amp;mtab=property&amp;p=021785" TargetMode="External"/><Relationship Id="rId1009" Type="http://schemas.openxmlformats.org/officeDocument/2006/relationships/hyperlink" Target="https://jeremyhasnoplan.com/notes/missouri-data-center-gold-rush/" TargetMode="External"/><Relationship Id="rId2330" Type="http://schemas.openxmlformats.org/officeDocument/2006/relationships/hyperlink" Target="https://pwc.publicaccessnow.com/PropertyDetail.aspx?mpropertynumber=001687&amp;mtab=property&amp;p=001687" TargetMode="External"/><Relationship Id="rId1000" Type="http://schemas.openxmlformats.org/officeDocument/2006/relationships/hyperlink" Target="https://www.datacenterdynamics.com/en/news/metrobloks-announces-plans-for-three-building-data-center-campus-in-kansas-city-missouri/" TargetMode="External"/><Relationship Id="rId2331" Type="http://schemas.openxmlformats.org/officeDocument/2006/relationships/hyperlink" Target="https://egcss.pwcgov.org/SelfService" TargetMode="External"/><Relationship Id="rId1001" Type="http://schemas.openxmlformats.org/officeDocument/2006/relationships/hyperlink" Target="https://www.datacenterdynamics.com/en/news/lincoln-property-partners-with-data-center-firm-metrobloks-for-kansas-city-data-center/" TargetMode="External"/><Relationship Id="rId2332" Type="http://schemas.openxmlformats.org/officeDocument/2006/relationships/hyperlink" Target="https://pwc.publicaccessnow.com/PropertyDetail.aspx?mtab=property&amp;mpropertynumber=255992" TargetMode="External"/><Relationship Id="rId1002" Type="http://schemas.openxmlformats.org/officeDocument/2006/relationships/hyperlink" Target="https://www.datacenterdynamics.com/en/news/metrobloks-announces-plans-for-three-building-data-center-campus-in-kansas-city-missouri/" TargetMode="External"/><Relationship Id="rId2333" Type="http://schemas.openxmlformats.org/officeDocument/2006/relationships/hyperlink" Target="https://pwc.publicaccessnow.com/PropertyDetail.aspx?mpropertynumber=096967&amp;mtab=property&amp;p=096967" TargetMode="External"/><Relationship Id="rId1003" Type="http://schemas.openxmlformats.org/officeDocument/2006/relationships/hyperlink" Target="https://www.datacenterdynamics.com/en/news/developer-lumon-solutions-backing-data-center-project-in-marshfield-missouri/" TargetMode="External"/><Relationship Id="rId2334" Type="http://schemas.openxmlformats.org/officeDocument/2006/relationships/hyperlink" Target="https://www.datacenterdynamics.com/en/news/company-plans-four-data-centers-on-a-campus-in-virginias-prince-william-county/" TargetMode="External"/><Relationship Id="rId1037" Type="http://schemas.openxmlformats.org/officeDocument/2006/relationships/hyperlink" Target="https://www.datacenterdynamics.com/en/news/340000-sq-ft-data-center-and-office-for-sale-in-downtown-st-louis-missouri/" TargetMode="External"/><Relationship Id="rId2368" Type="http://schemas.openxmlformats.org/officeDocument/2006/relationships/hyperlink" Target="https://cardinalnews.org/2025/04/14/a-grassroots-fight-against-data-centers-builds-in-rural-pittsylvania-county/" TargetMode="External"/><Relationship Id="rId1038" Type="http://schemas.openxmlformats.org/officeDocument/2006/relationships/hyperlink" Target="https://www.firstalert4.com/2025/09/15/after-st-charles-pressed-pause-city-st-louis-considering-data-center-moratorium/" TargetMode="External"/><Relationship Id="rId2369" Type="http://schemas.openxmlformats.org/officeDocument/2006/relationships/hyperlink" Target="https://www.pittsylvaniacountyva.gov/home/showpublisheddocument/6067/638714338508430000" TargetMode="External"/><Relationship Id="rId1039" Type="http://schemas.openxmlformats.org/officeDocument/2006/relationships/hyperlink" Target="https://www.firstalert4.com/2025/09/15/after-st-charles-pressed-pause-city-st-louis-considering-data-center-moratorium/" TargetMode="External"/><Relationship Id="rId206" Type="http://schemas.openxmlformats.org/officeDocument/2006/relationships/hyperlink" Target="https://ctexaminer.com/2022/08/11/facing-budget-squeeze-bozrah-to-decide-on-approving-a-hyperscale-data-center/" TargetMode="External"/><Relationship Id="rId205" Type="http://schemas.openxmlformats.org/officeDocument/2006/relationships/hyperlink" Target="https://www.datacenterdynamics.com/en/news/15gw-data-center-campus-proposed-in-pennsylvania/" TargetMode="External"/><Relationship Id="rId204" Type="http://schemas.openxmlformats.org/officeDocument/2006/relationships/hyperlink" Target="https://www.ctinsider.com/business/article/ct-bloomfield-data-center-proposal-20758986.php" TargetMode="External"/><Relationship Id="rId203" Type="http://schemas.openxmlformats.org/officeDocument/2006/relationships/hyperlink" Target="https://www.datacenterdynamics.com/en/news/global-ai-set-to-develop-data-center-outside-denver-colorado/" TargetMode="External"/><Relationship Id="rId209" Type="http://schemas.openxmlformats.org/officeDocument/2006/relationships/hyperlink" Target="https://morethanjustparks.com/data-center-tracker/fbca6793-3b59-4b84-bda7-294be0a814d1" TargetMode="External"/><Relationship Id="rId208" Type="http://schemas.openxmlformats.org/officeDocument/2006/relationships/hyperlink" Target="https://bristoledition.org/blog/2026/04/20/mayors-column-lets-talk-about-data-center/" TargetMode="External"/><Relationship Id="rId207" Type="http://schemas.openxmlformats.org/officeDocument/2006/relationships/hyperlink" Target="https://www.change.org/p/bristol-ct-say-no-to-the-data-center" TargetMode="External"/><Relationship Id="rId2360" Type="http://schemas.openxmlformats.org/officeDocument/2006/relationships/hyperlink" Target="https://www.fairfaxcounty.gov/planning-development/sites/planning-development/files/Assets/Documents/PDF/data-centers-report.pdf" TargetMode="External"/><Relationship Id="rId1030" Type="http://schemas.openxmlformats.org/officeDocument/2006/relationships/hyperlink" Target="https://www.yahoo.com/news/articles/minnesota-company-plans-data-center-223100174.html" TargetMode="External"/><Relationship Id="rId2361" Type="http://schemas.openxmlformats.org/officeDocument/2006/relationships/hyperlink" Target="https://icare.fairfaxcounty.gov/ffxcare/Datalets/Datalet.aspx?mode=&amp;UseSearch=no&amp;pin=0343%2009%20%200004&amp;jur=129&amp;taxyr=2025" TargetMode="External"/><Relationship Id="rId1031" Type="http://schemas.openxmlformats.org/officeDocument/2006/relationships/hyperlink" Target="https://www.ksdk.com/article/money/economy/energy/missouri-massive-data-center-st-charles-secretive-power-water-worries-polluted-groundwater-protected-wetland/63-cdae3e73-efab-4c0c-9215-938d064188e3" TargetMode="External"/><Relationship Id="rId2362" Type="http://schemas.openxmlformats.org/officeDocument/2006/relationships/hyperlink" Target="https://www.fairfaxcounty.gov/planning-development/sites/planning-development/files/Assets/Documents/PDF/data-centers-report.pdf" TargetMode="External"/><Relationship Id="rId1032" Type="http://schemas.openxmlformats.org/officeDocument/2006/relationships/hyperlink" Target="https://www.datacenterdynamics.com/en/news/data-center-in-st-charles-missouri-receives-partial-recommendation-for-approval/" TargetMode="External"/><Relationship Id="rId2363" Type="http://schemas.openxmlformats.org/officeDocument/2006/relationships/hyperlink" Target="https://icare.fairfaxcounty.gov/ffxcare/Datalets/Datalet.aspx?mode=&amp;UseSearch=no&amp;pin=0343%2009%20%200003A&amp;jur=129&amp;taxyr=2025" TargetMode="External"/><Relationship Id="rId202" Type="http://schemas.openxmlformats.org/officeDocument/2006/relationships/hyperlink" Target="https://www.journal-advocate.com/2026/02/18/logan-county-commissioners-approve-data-center-regulations/" TargetMode="External"/><Relationship Id="rId1033" Type="http://schemas.openxmlformats.org/officeDocument/2006/relationships/hyperlink" Target="https://www.ksdk.com/article/news/local/st-charles-ai-data-center-ban-first-in-nation/63-2c50fbcf-fcad-4b8d-bbcb-3711f6c2d29d" TargetMode="External"/><Relationship Id="rId2364" Type="http://schemas.openxmlformats.org/officeDocument/2006/relationships/hyperlink" Target="https://icare.fairfaxcounty.gov/ffxcare/Datalets/Datalet.aspx?mode=&amp;UseSearch=no&amp;pin=0332%2001%20%200010D&amp;jur=129&amp;taxyr=2025" TargetMode="External"/><Relationship Id="rId201" Type="http://schemas.openxmlformats.org/officeDocument/2006/relationships/hyperlink" Target="https://www.thefencepost.com/news/growing-microprocessors-instead-of-wheat/" TargetMode="External"/><Relationship Id="rId1034" Type="http://schemas.openxmlformats.org/officeDocument/2006/relationships/hyperlink" Target="https://fox2now.com/news/missouri/st-charles-proposed-data-center-sparks-environmental-concerns/" TargetMode="External"/><Relationship Id="rId2365" Type="http://schemas.openxmlformats.org/officeDocument/2006/relationships/hyperlink" Target="https://www.datacenterdynamics.com/en/news/diode-drops-plans-for-500-acre-data-center-campus-outside-richmond-virginia/" TargetMode="External"/><Relationship Id="rId200" Type="http://schemas.openxmlformats.org/officeDocument/2006/relationships/hyperlink" Target="https://www.facebook.com/groups/1216403050609399/" TargetMode="External"/><Relationship Id="rId1035" Type="http://schemas.openxmlformats.org/officeDocument/2006/relationships/hyperlink" Target="https://www.datacenterdynamics.com/en/news/local-businessman-withdraws-application-for-data-center-in-st-joseph-missouri/" TargetMode="External"/><Relationship Id="rId2366" Type="http://schemas.openxmlformats.org/officeDocument/2006/relationships/hyperlink" Target="https://www.nao.usace.army.mil/Media/Public-Notices/Article/3357496/nao-2022-02394-vmrc-22-v2715-microsoft-data-center-mecklenburg-county-virginia/" TargetMode="External"/><Relationship Id="rId1036" Type="http://schemas.openxmlformats.org/officeDocument/2006/relationships/hyperlink" Target="https://www.stjosephmo.gov/DocumentCenter/View/21960/Developer-Fact-Sheet" TargetMode="External"/><Relationship Id="rId2367" Type="http://schemas.openxmlformats.org/officeDocument/2006/relationships/hyperlink" Target="https://mecklenburg.cama.concisesystems.com/PropertyPage.aspx?id=39284&amp;direct=1" TargetMode="External"/><Relationship Id="rId1026" Type="http://schemas.openxmlformats.org/officeDocument/2006/relationships/hyperlink" Target="https://www.datacenterdynamics.com/en/news/peculiar-officials-in-missouri-remove-data-centers-from-ordinance-blocking-15bn-diode-project/" TargetMode="External"/><Relationship Id="rId2357" Type="http://schemas.openxmlformats.org/officeDocument/2006/relationships/hyperlink" Target="https://www.datacenterdynamics.com/en/news/starwood-looks-to-buy-county-owned-land-in-fairfax-virginia-for-data-center-development/" TargetMode="External"/><Relationship Id="rId1027" Type="http://schemas.openxmlformats.org/officeDocument/2006/relationships/hyperlink" Target="https://www.facebook.com/groups/2348446672336530" TargetMode="External"/><Relationship Id="rId2358" Type="http://schemas.openxmlformats.org/officeDocument/2006/relationships/hyperlink" Target="https://icare.fairfaxcounty.gov/ffxcare/Datalets/Datalet.aspx?mode=&amp;UseSearch=no&amp;pin=0432%2002%20%200029B2&amp;jur=129&amp;taxyr=2025" TargetMode="External"/><Relationship Id="rId1028" Type="http://schemas.openxmlformats.org/officeDocument/2006/relationships/hyperlink" Target="https://www.koamnewsnow.com/news/top-stories/jasper-county-residents-voice-concerns-over-proposed-data-center-development/article_6faf3e40-f7dd-40d1-ad5e-215025dbd4b5.html" TargetMode="External"/><Relationship Id="rId2359" Type="http://schemas.openxmlformats.org/officeDocument/2006/relationships/hyperlink" Target="https://reparcelasmt.loudoun.gov/pt/Datalets/Datalet.aspx?mode=commercial&amp;UseSearch=no&amp;pin=097354183000&amp;jur=107&amp;taxyr=2024&amp;card=6&amp;item=0&amp;State=5%7C1%7C1%7C1%7C1%7C&amp;items=4" TargetMode="External"/><Relationship Id="rId1029" Type="http://schemas.openxmlformats.org/officeDocument/2006/relationships/hyperlink" Target="https://www.fourstateshomepage.com/news/local/rural-jasper-county-data-center-proposal-sparks-controversy/amp/" TargetMode="External"/><Relationship Id="rId2350" Type="http://schemas.openxmlformats.org/officeDocument/2006/relationships/hyperlink" Target="https://icare.fairfaxcounty.gov/ffxcare/datalets/datalet.aspx?mode=com_combined&amp;UseSearch=no&amp;pin=0343%2001%20%200023E1&amp;jur=129&amp;taxyr=2025&amp;LMparent=138" TargetMode="External"/><Relationship Id="rId1020" Type="http://schemas.openxmlformats.org/officeDocument/2006/relationships/hyperlink" Target="https://www.facebook.com/groups/883134924331985/" TargetMode="External"/><Relationship Id="rId2351" Type="http://schemas.openxmlformats.org/officeDocument/2006/relationships/hyperlink" Target="https://plus.fairfaxcounty.gov/CitizenAccess/Cap/CapDetail.aspx?Module=Zoning&amp;TabName=Zoning&amp;capID1=20HS5&amp;capID2=00000&amp;capID3=003UO&amp;agencyCode=FFX" TargetMode="External"/><Relationship Id="rId1021" Type="http://schemas.openxmlformats.org/officeDocument/2006/relationships/hyperlink" Target="https://www.datacenterdynamics.com/en/news/two-data-center-projects-debated-for-11-hours-at-planning-meeting-in-franklin-county-missouri/" TargetMode="External"/><Relationship Id="rId2352" Type="http://schemas.openxmlformats.org/officeDocument/2006/relationships/hyperlink" Target="https://icare.fairfaxcounty.gov/ffxcare/Datalets/Datalet.aspx?mode=&amp;UseSearch=no&amp;pin=0434%2006%20%200037B&amp;jur=129&amp;taxyr=2025" TargetMode="External"/><Relationship Id="rId1022" Type="http://schemas.openxmlformats.org/officeDocument/2006/relationships/hyperlink" Target="https://www.datacenterdynamics.com/en/news/two-data-center-projects-debated-for-11-hours-at-planning-meeting-in-franklin-county-missouri/" TargetMode="External"/><Relationship Id="rId2353" Type="http://schemas.openxmlformats.org/officeDocument/2006/relationships/hyperlink" Target="https://plus.fairfaxcounty.gov/CitizenAccess/Cap/CapDetail.aspx?Module=Zoning&amp;TabName=Zoning&amp;capID1=REC22&amp;capID2=00000&amp;capID3=00GHV&amp;agencyCode=FFX" TargetMode="External"/><Relationship Id="rId1023" Type="http://schemas.openxmlformats.org/officeDocument/2006/relationships/hyperlink" Target="https://fox2now.com/news/missouri/split-vote-on-data-center-re-zoning-from-franklin-county-pz/" TargetMode="External"/><Relationship Id="rId2354" Type="http://schemas.openxmlformats.org/officeDocument/2006/relationships/hyperlink" Target="https://icare.fairfaxcounty.gov/ffxcare/Datalets/Datalet.aspx?mode=&amp;UseSearch=no&amp;pin=0332%2001%20%200006&amp;jur=129&amp;taxyr=2025" TargetMode="External"/><Relationship Id="rId1024" Type="http://schemas.openxmlformats.org/officeDocument/2006/relationships/hyperlink" Target="https://www.datacenterdynamics.com/en/news/peculiar-officials-in-missouri-remove-data-centers-from-ordinance-blocking-15bn-diode-project/" TargetMode="External"/><Relationship Id="rId2355" Type="http://schemas.openxmlformats.org/officeDocument/2006/relationships/hyperlink" Target="https://www.datacenterdynamics.com/en/news/fairfax-county-approves-data-center-in-chantilly-virginia/" TargetMode="External"/><Relationship Id="rId1025" Type="http://schemas.openxmlformats.org/officeDocument/2006/relationships/hyperlink" Target="https://www.datacenterwatch.org/report" TargetMode="External"/><Relationship Id="rId2356" Type="http://schemas.openxmlformats.org/officeDocument/2006/relationships/hyperlink" Target="https://www.datacenterdynamics.com/en/news/penzance-breaks-ground-on-data-center-in-chantilly-virginia/" TargetMode="External"/><Relationship Id="rId1910" Type="http://schemas.openxmlformats.org/officeDocument/2006/relationships/hyperlink" Target="https://www.datacenterdynamics.com/en/news/microsoft-files-for-data-center-campus-outside-san-antonio/" TargetMode="External"/><Relationship Id="rId1911" Type="http://schemas.openxmlformats.org/officeDocument/2006/relationships/hyperlink" Target="https://www.datacenterdynamics.com/en/news/microsoft-files-for-data-center-campus-outside-san-antonio/" TargetMode="External"/><Relationship Id="rId1912" Type="http://schemas.openxmlformats.org/officeDocument/2006/relationships/hyperlink" Target="https://www.datacenterdynamics.com/en/news/edgeconnex-files-to-build-two-730000-sq-ft-data-centers-in-bastrop-county-texas/" TargetMode="External"/><Relationship Id="rId1913" Type="http://schemas.openxmlformats.org/officeDocument/2006/relationships/hyperlink" Target="https://www.mysanantonio.com/business/article/bastrop-county-edgeconnex-data-center-20770421.php" TargetMode="External"/><Relationship Id="rId1914" Type="http://schemas.openxmlformats.org/officeDocument/2006/relationships/hyperlink" Target="https://www.datacenterdynamics.com/en/news/edgeconnex-files-to-build-two-730000-sq-ft-data-centers-in-bastrop-county-texas/" TargetMode="External"/><Relationship Id="rId1915" Type="http://schemas.openxmlformats.org/officeDocument/2006/relationships/hyperlink" Target="https://comptroller.texas.gov/taxes/data-centers/data-center-lists.php" TargetMode="External"/><Relationship Id="rId1916" Type="http://schemas.openxmlformats.org/officeDocument/2006/relationships/hyperlink" Target="https://www.datacenterdynamics.com/en/news/iren-plans-75mw-liquid-cooled-ai-data-center-in-texas/" TargetMode="External"/><Relationship Id="rId1917" Type="http://schemas.openxmlformats.org/officeDocument/2006/relationships/hyperlink" Target="https://iren.com/data-centers/childress" TargetMode="External"/><Relationship Id="rId1918" Type="http://schemas.openxmlformats.org/officeDocument/2006/relationships/hyperlink" Target="https://x.com/FransBakker9812/status/1897519569646051482" TargetMode="External"/><Relationship Id="rId1919" Type="http://schemas.openxmlformats.org/officeDocument/2006/relationships/hyperlink" Target="https://comptroller.texas.gov/taxes/data-centers/data-center-lists.php" TargetMode="External"/><Relationship Id="rId1900" Type="http://schemas.openxmlformats.org/officeDocument/2006/relationships/hyperlink" Target="https://www.datacenterdynamics.com/en/news/edgeconnex-acquires-180-acre-parcel-near-its-own-data-center-project-in-bastrop-texas/" TargetMode="External"/><Relationship Id="rId1901" Type="http://schemas.openxmlformats.org/officeDocument/2006/relationships/hyperlink" Target="https://www.datacenterdynamics.com/en/news/edgeconnex-acquires-180-acre-parcel-near-its-own-data-center-project-in-bastrop-texas/" TargetMode="External"/><Relationship Id="rId1902" Type="http://schemas.openxmlformats.org/officeDocument/2006/relationships/hyperlink" Target="https://www.datacenterdynamics.com/en/news/landbridge-powerbridge-partner-for-2gw-data-center-campus-in-west-texas/" TargetMode="External"/><Relationship Id="rId1903" Type="http://schemas.openxmlformats.org/officeDocument/2006/relationships/hyperlink" Target="https://www.datacenterdynamics.com/en/news/aws-files-for-12bn-data-center-campus-outside-houston-texas/" TargetMode="External"/><Relationship Id="rId1904" Type="http://schemas.openxmlformats.org/officeDocument/2006/relationships/hyperlink" Target="https://www.datacenterdynamics.com/en/news/cleanspark-acquires-447-acres-for-second-texas-ai-data-center-site/" TargetMode="External"/><Relationship Id="rId1905" Type="http://schemas.openxmlformats.org/officeDocument/2006/relationships/hyperlink" Target="https://www.change.org/p/protect-brenham-stop-the-industrial-data-center-from-being-built-in-our-community" TargetMode="External"/><Relationship Id="rId1906" Type="http://schemas.openxmlformats.org/officeDocument/2006/relationships/hyperlink" Target="https://www.datacenterdynamics.com/en/news/officials-in-brenham-texas-reject-tax-abatement-for-data-center-project/" TargetMode="External"/><Relationship Id="rId1907" Type="http://schemas.openxmlformats.org/officeDocument/2006/relationships/hyperlink" Target="https://www.bizjournals.com/austin/news/2025/09/25/open-ai-milam-county-data-center-sb-energy-softban.html" TargetMode="External"/><Relationship Id="rId1908" Type="http://schemas.openxmlformats.org/officeDocument/2006/relationships/hyperlink" Target="https://www.wfmj.com/story/53109325/lordstown-part-of-mammoth-dollar500-billion-artificial-intelligence-data-center-project" TargetMode="External"/><Relationship Id="rId1909" Type="http://schemas.openxmlformats.org/officeDocument/2006/relationships/hyperlink" Target="https://www.datacenterdynamics.com/en/news/openai-stargates-milam-texas-freebird-data-center-to-span-548950-sq-ft-in-first-phase/" TargetMode="External"/><Relationship Id="rId1090" Type="http://schemas.openxmlformats.org/officeDocument/2006/relationships/hyperlink" Target="https://sites.ncrr.com/index.php/property/energy-way-industry-complex/" TargetMode="External"/><Relationship Id="rId1091" Type="http://schemas.openxmlformats.org/officeDocument/2006/relationships/hyperlink" Target="https://www.datacenterdynamics.com/en/news/amazon-breaks-ground-on-10bn-data-center-complex-in-richmond-county-north-carolina/" TargetMode="External"/><Relationship Id="rId1092" Type="http://schemas.openxmlformats.org/officeDocument/2006/relationships/hyperlink" Target="https://www.change.org/p/stop-construction-of-data-center-in-henderson-nc" TargetMode="External"/><Relationship Id="rId1093" Type="http://schemas.openxmlformats.org/officeDocument/2006/relationships/hyperlink" Target="https://www.datacenterdynamics.com/en/news/officials-in-north-carolina-county-give-ok-for-rezoning-potential-data-center-incoming/" TargetMode="External"/><Relationship Id="rId1094" Type="http://schemas.openxmlformats.org/officeDocument/2006/relationships/hyperlink" Target="https://www.charlotteobserver.com/news/business/article315041493.html" TargetMode="External"/><Relationship Id="rId1095" Type="http://schemas.openxmlformats.org/officeDocument/2006/relationships/hyperlink" Target="https://www.wfmynews2.com/article/news/local/whitefiber-ai-data-center-madison-north-carolina/83-42852391-6c1e-4f7e-bc4d-4cc2173b9edf" TargetMode="External"/><Relationship Id="rId1096" Type="http://schemas.openxmlformats.org/officeDocument/2006/relationships/hyperlink" Target="https://www.datacenterdynamics.com/en/news/bit-digital-acquires-manufacturing-site-in-north-carolina-plans-99mw-data-center/" TargetMode="External"/><Relationship Id="rId1097" Type="http://schemas.openxmlformats.org/officeDocument/2006/relationships/hyperlink" Target="https://www.datacenterdynamics.com/en/news/microsoft-breaks-ground-on-second-data-center-campus-in-north-carolina/" TargetMode="External"/><Relationship Id="rId1098" Type="http://schemas.openxmlformats.org/officeDocument/2006/relationships/hyperlink" Target="https://www.datacenterdynamics.com/en/news/microsoft-begins-acquiring-land-in-north-carolina-for-data-centers/" TargetMode="External"/><Relationship Id="rId1099" Type="http://schemas.openxmlformats.org/officeDocument/2006/relationships/hyperlink" Target="https://www.datacenterdynamics.com/en/news/project-accelerate-data-center-proposal-withdrawn/" TargetMode="External"/><Relationship Id="rId1080" Type="http://schemas.openxmlformats.org/officeDocument/2006/relationships/hyperlink" Target="https://finance.yahoo.com/news/northwestern-energy-signs-letter-intent-230000474.html" TargetMode="External"/><Relationship Id="rId1081" Type="http://schemas.openxmlformats.org/officeDocument/2006/relationships/hyperlink" Target="https://montanafreepress.org/2025/07/31/northwestern-energy-inks-power-agreement-with-an-ai-data-center-planned-for-yellowstone-county/" TargetMode="External"/><Relationship Id="rId1082" Type="http://schemas.openxmlformats.org/officeDocument/2006/relationships/hyperlink" Target="https://www.datacenterdynamics.com/en/news/encap-backed-quantica-launches-to-offer-powered-land-to-data-centers-in-the-us/" TargetMode="External"/><Relationship Id="rId1083" Type="http://schemas.openxmlformats.org/officeDocument/2006/relationships/hyperlink" Target="https://dartpoints.com/locations/north-carolina/" TargetMode="External"/><Relationship Id="rId1084" Type="http://schemas.openxmlformats.org/officeDocument/2006/relationships/hyperlink" Target="https://www.datacenterdynamics.com/en/news/digital-realty-files-to-develop-400mw-data-center-campus-in-charlotte-north-carolina/" TargetMode="External"/><Relationship Id="rId1085" Type="http://schemas.openxmlformats.org/officeDocument/2006/relationships/hyperlink" Target="https://www.datacenterdynamics.com/en/news/digital-realty-files-to-develop-400mw-data-center-campus-in-charlotte-north-carolina/" TargetMode="External"/><Relationship Id="rId1086" Type="http://schemas.openxmlformats.org/officeDocument/2006/relationships/hyperlink" Target="https://www.charlotteobserver.com/news/business/article304542696.html" TargetMode="External"/><Relationship Id="rId1087" Type="http://schemas.openxmlformats.org/officeDocument/2006/relationships/hyperlink" Target="https://www.datacenterdynamics.com/en/news/microsoft-breaks-ground-on-second-data-center-campus-in-north-carolina/" TargetMode="External"/><Relationship Id="rId1088" Type="http://schemas.openxmlformats.org/officeDocument/2006/relationships/hyperlink" Target="https://www.datacenterdynamics.com/en/news/us-dod-details-military-bases-available-for-ai-data-center-build-out/" TargetMode="External"/><Relationship Id="rId1089" Type="http://schemas.openxmlformats.org/officeDocument/2006/relationships/hyperlink" Target="https://www.dcblox.com/data-centers/high-point/" TargetMode="External"/><Relationship Id="rId1972" Type="http://schemas.openxmlformats.org/officeDocument/2006/relationships/hyperlink" Target="https://myrgv.com/publications/valley-morning-star/2026/04/02/harlingen-calls-for-public-hearings-on-proposed-data-center-moratorium/" TargetMode="External"/><Relationship Id="rId1973" Type="http://schemas.openxmlformats.org/officeDocument/2006/relationships/hyperlink" Target="https://www.krgv.com/news/harlingen-officials-approve-120-day-moratorium-to-study-impact-of-potential-data-centers/" TargetMode="External"/><Relationship Id="rId1974" Type="http://schemas.openxmlformats.org/officeDocument/2006/relationships/hyperlink" Target="https://www.datacenterdynamics.com/en/news/google-linked-housebound-group-files-for-two-data-center-projects-in-haskell-texas/" TargetMode="External"/><Relationship Id="rId1975" Type="http://schemas.openxmlformats.org/officeDocument/2006/relationships/hyperlink" Target="https://www.kxxv.com/news/local-news/in-your-neighborhood/100m-lawsuit-filed-against-hill-county-officials-over-data-center-moratorium" TargetMode="External"/><Relationship Id="rId1976" Type="http://schemas.openxmlformats.org/officeDocument/2006/relationships/hyperlink" Target="https://www.kxxv.com/news/local-news/in-your-neighborhood/hill-county/hillsboro-county-commissioners-rescind-moratorium-after-lawsuit-filed" TargetMode="External"/><Relationship Id="rId1977" Type="http://schemas.openxmlformats.org/officeDocument/2006/relationships/hyperlink" Target="https://hillsbororeporter.com/city-hears-feedback-on-data-center-proposal-p31629-54.htm" TargetMode="External"/><Relationship Id="rId1978" Type="http://schemas.openxmlformats.org/officeDocument/2006/relationships/hyperlink" Target="https://www.datacenterdynamics.com/en/news/concern-over-proposed-sale-of-300-acres-for-data-center-in-hillsboro-texas/" TargetMode="External"/><Relationship Id="rId1979" Type="http://schemas.openxmlformats.org/officeDocument/2006/relationships/hyperlink" Target="https://comptroller.texas.gov/taxes/data-centers/data-center-lists.php" TargetMode="External"/><Relationship Id="rId1970" Type="http://schemas.openxmlformats.org/officeDocument/2006/relationships/hyperlink" Target="https://baxtel.com/data-center/marathon-digital-granbury-tx" TargetMode="External"/><Relationship Id="rId1971" Type="http://schemas.openxmlformats.org/officeDocument/2006/relationships/hyperlink" Target="https://www.datacenterdynamics.com/en/news/2gw-data-center-could-be-developed-in-cameron-county-texas/" TargetMode="External"/><Relationship Id="rId1961" Type="http://schemas.openxmlformats.org/officeDocument/2006/relationships/hyperlink" Target="https://www.datacenterdynamics.com/en/news/data-center-developer-edged-eyes-tax-breaks-for-potential-facility-in-fort-worth-texas/" TargetMode="External"/><Relationship Id="rId1962" Type="http://schemas.openxmlformats.org/officeDocument/2006/relationships/hyperlink" Target="https://venturebeat.com/social/facebook-wants-to-build-a-1b-data-center-facility-in-fort-worth-texas/" TargetMode="External"/><Relationship Id="rId1963" Type="http://schemas.openxmlformats.org/officeDocument/2006/relationships/hyperlink" Target="https://www.datacenterdynamics.com/en/news/qts-files-to-expand-fort-worth-texas-data-center-for-a-third-time/" TargetMode="External"/><Relationship Id="rId1964" Type="http://schemas.openxmlformats.org/officeDocument/2006/relationships/hyperlink" Target="https://www.datacenterdynamics.com/en/news/blueprint-projects-gets-greenlight-for-data-center-in-taylor-texas/" TargetMode="External"/><Relationship Id="rId1965" Type="http://schemas.openxmlformats.org/officeDocument/2006/relationships/hyperlink" Target="https://www.hellogeorgetown.com/coming-soon-to-georgetown/blueprint-data-centers-commits-160m-to-georgetown-site-tied-to-taylor-expansion/" TargetMode="External"/><Relationship Id="rId1966" Type="http://schemas.openxmlformats.org/officeDocument/2006/relationships/hyperlink" Target="https://gis-tceq.opendata.arcgis.com/datasets/daece6e3181140f69093ab69cf9ae0ba/explore?layer=0&amp;showTable=true" TargetMode="External"/><Relationship Id="rId1967" Type="http://schemas.openxmlformats.org/officeDocument/2006/relationships/hyperlink" Target="https://www.datacenterdynamics.com/en/news/pace-plans-100mw-texas-first-data-center-in-glasscock-county/" TargetMode="External"/><Relationship Id="rId1968" Type="http://schemas.openxmlformats.org/officeDocument/2006/relationships/hyperlink" Target="https://www.datacenterdynamics.com/en/news/developer-proposes-867-acre-project-saltworks-data-center-in-graham-texas/" TargetMode="External"/><Relationship Id="rId1969" Type="http://schemas.openxmlformats.org/officeDocument/2006/relationships/hyperlink" Target="https://www.maragranbury.com/" TargetMode="External"/><Relationship Id="rId1960" Type="http://schemas.openxmlformats.org/officeDocument/2006/relationships/hyperlink" Target="https://www.datacenterdynamics.com/en/news/edged-files-to-develop-data-center-in-fort-worth-texas/" TargetMode="External"/><Relationship Id="rId1994" Type="http://schemas.openxmlformats.org/officeDocument/2006/relationships/hyperlink" Target="https://www.datacenterdynamics.com/en/news/data-center-developer-edged-eyes-tax-breaks-for-potential-facility-in-fort-worth-texas/" TargetMode="External"/><Relationship Id="rId1995" Type="http://schemas.openxmlformats.org/officeDocument/2006/relationships/hyperlink" Target="https://www.datacenterdynamics.com/en/news/qts-files-to-add-another-building-to-wilmer-data-center-campus-texas/" TargetMode="External"/><Relationship Id="rId1996" Type="http://schemas.openxmlformats.org/officeDocument/2006/relationships/hyperlink" Target="https://www.kxan.com/news/local/williamson-county/jarrell-residents-concerned-about-proposed-data-center/" TargetMode="External"/><Relationship Id="rId1997" Type="http://schemas.openxmlformats.org/officeDocument/2006/relationships/hyperlink" Target="https://www.change.org/p/stop-the-data-center-near-jarrell-high-school-and-neighborhoods" TargetMode="External"/><Relationship Id="rId1998" Type="http://schemas.openxmlformats.org/officeDocument/2006/relationships/hyperlink" Target="https://www.linkedin.com/posts/power-infrastructure-partners_power-infrastructure-partners-and-savannah-activity-7361053754638422018-6BBW/" TargetMode="External"/><Relationship Id="rId1999" Type="http://schemas.openxmlformats.org/officeDocument/2006/relationships/hyperlink" Target="https://www.connectcre.com/stories/austin-area-town-to-decide-fate-of-proposed-850m-data-center/" TargetMode="External"/><Relationship Id="rId1990" Type="http://schemas.openxmlformats.org/officeDocument/2006/relationships/hyperlink" Target="https://www.datacenterdynamics.com/en/news/colovore-plans-data-center-in-austin-texas/" TargetMode="External"/><Relationship Id="rId1991" Type="http://schemas.openxmlformats.org/officeDocument/2006/relationships/hyperlink" Target="https://www.change.org/p/say-no-to-the-skybox-data-center-and-substation-in-round-rock-tx" TargetMode="External"/><Relationship Id="rId1992" Type="http://schemas.openxmlformats.org/officeDocument/2006/relationships/hyperlink" Target="https://www.mysanantonio.com/business/article/austin-skybox-hutto-data-center-21029501.php" TargetMode="External"/><Relationship Id="rId1993" Type="http://schemas.openxmlformats.org/officeDocument/2006/relationships/hyperlink" Target="https://baxtel.com/data-center/skybox-hutto-3" TargetMode="External"/><Relationship Id="rId1983" Type="http://schemas.openxmlformats.org/officeDocument/2006/relationships/hyperlink" Target="https://www.datacenterdynamics.com/en/news/600mw-natural-gas-powered-data-center-campus-proposed-in-hubbard-texas/" TargetMode="External"/><Relationship Id="rId1984" Type="http://schemas.openxmlformats.org/officeDocument/2006/relationships/hyperlink" Target="https://www.datacenterdynamics.com/en/news/nexus-dc-files-to-develop-data-center-in-dallas-texas/" TargetMode="External"/><Relationship Id="rId1985" Type="http://schemas.openxmlformats.org/officeDocument/2006/relationships/hyperlink" Target="https://www.datacenterdynamics.com/en/news/nexus-dc-files-to-develop-second-data-center-outside-dallas-texas/" TargetMode="External"/><Relationship Id="rId1986" Type="http://schemas.openxmlformats.org/officeDocument/2006/relationships/hyperlink" Target="https://www.datacenterdynamics.com/en/news/iron-mountain-eyes-seven-building-data-center-campus-outside-austin-texas/" TargetMode="External"/><Relationship Id="rId1987" Type="http://schemas.openxmlformats.org/officeDocument/2006/relationships/hyperlink" Target="https://www.datacenterdynamics.com/en/news/950000-sq-ft-data-center-proposed-for-hutto-texas/" TargetMode="External"/><Relationship Id="rId1988" Type="http://schemas.openxmlformats.org/officeDocument/2006/relationships/hyperlink" Target="https://www.datacenterdynamics.com/en/news/developer-withdraws-application-for-70mw-data-center-in-hutto-texas/" TargetMode="External"/><Relationship Id="rId1989" Type="http://schemas.openxmlformats.org/officeDocument/2006/relationships/hyperlink" Target="https://www.kxan.com/news/local/hutto/hutto-residents-file-formal-protest-against-proposed-data-center/" TargetMode="External"/><Relationship Id="rId1980" Type="http://schemas.openxmlformats.org/officeDocument/2006/relationships/hyperlink" Target="https://comptroller.texas.gov/taxes/data-centers/data-center-lists.php" TargetMode="External"/><Relationship Id="rId1981" Type="http://schemas.openxmlformats.org/officeDocument/2006/relationships/hyperlink" Target="https://www.datacenterdynamics.com/en/news/serverfarm-tops-out-houston-data-center-in-texas/" TargetMode="External"/><Relationship Id="rId1982" Type="http://schemas.openxmlformats.org/officeDocument/2006/relationships/hyperlink" Target="https://gis-tceq.opendata.arcgis.com/datasets/daece6e3181140f69093ab69cf9ae0ba/explore?layer=0&amp;showTable=true" TargetMode="External"/><Relationship Id="rId1930" Type="http://schemas.openxmlformats.org/officeDocument/2006/relationships/hyperlink" Target="https://www.riotplatforms.com/riot-energizes-new-corsicana-facility-in-navarro-county-texas/" TargetMode="External"/><Relationship Id="rId1931" Type="http://schemas.openxmlformats.org/officeDocument/2006/relationships/hyperlink" Target="https://whatsnew2day.com/small-texas-town-seeks-billion-dollar-bitcoin-miner-to-pave-potholes-and-chase-away-dogs/" TargetMode="External"/><Relationship Id="rId1932" Type="http://schemas.openxmlformats.org/officeDocument/2006/relationships/hyperlink" Target="https://www.greensourcedfw.org/articles/coalition-warns-against-massive-bitcoin-facility-underway-navarro-county" TargetMode="External"/><Relationship Id="rId1933" Type="http://schemas.openxmlformats.org/officeDocument/2006/relationships/hyperlink" Target="https://www.riotblockchain.com/news-media/press-releases/detail/127/riot-blockchain-announces-1-gw-development-in-navarro" TargetMode="External"/><Relationship Id="rId1934" Type="http://schemas.openxmlformats.org/officeDocument/2006/relationships/hyperlink" Target="https://www.datacenterdynamics.com/en/news/riot-to-convert-cryptomine-site-in-texas-to-hpc-signs-25mw-lease-with-amd/" TargetMode="External"/><Relationship Id="rId1935" Type="http://schemas.openxmlformats.org/officeDocument/2006/relationships/hyperlink" Target="https://www.datacenterdynamics.com/en/news/riot-platforms-files-to-add-building-to-cryptomine-and-data-center-campus-in-corsicana-texas/" TargetMode="External"/><Relationship Id="rId1936" Type="http://schemas.openxmlformats.org/officeDocument/2006/relationships/hyperlink" Target="https://www.datacenterdynamics.com/en/news/us-dod-details-military-bases-available-for-ai-data-center-build-out/" TargetMode="External"/><Relationship Id="rId1937" Type="http://schemas.openxmlformats.org/officeDocument/2006/relationships/hyperlink" Target="https://www.datacenterdynamics.com/en/news/prime-and-vantage-buy-land-phoenix-arizona/" TargetMode="External"/><Relationship Id="rId1938" Type="http://schemas.openxmlformats.org/officeDocument/2006/relationships/hyperlink" Target="https://www.datacenterdynamics.com/en/news/equinix-files-to-develop-another-data-center-campus-in-dallas-texas/" TargetMode="External"/><Relationship Id="rId1939" Type="http://schemas.openxmlformats.org/officeDocument/2006/relationships/hyperlink" Target="https://gis-tceq.opendata.arcgis.com/datasets/daece6e3181140f69093ab69cf9ae0ba/explore?layer=0&amp;showTable=true" TargetMode="External"/><Relationship Id="rId1920" Type="http://schemas.openxmlformats.org/officeDocument/2006/relationships/hyperlink" Target="https://baxtel.com/data-center/lancium-childress-campus" TargetMode="External"/><Relationship Id="rId1921" Type="http://schemas.openxmlformats.org/officeDocument/2006/relationships/hyperlink" Target="https://www.aterio.io/blog/crusoe-launches-usd29b-goodnight-campus-in-claude-mirroring-openai-s-stargate" TargetMode="External"/><Relationship Id="rId1922" Type="http://schemas.openxmlformats.org/officeDocument/2006/relationships/hyperlink" Target="https://www.wired.com/story/a-new-google-funded-data-center-will-be-powered-by-a-massive-gas-plant/" TargetMode="External"/><Relationship Id="rId1923" Type="http://schemas.openxmlformats.org/officeDocument/2006/relationships/hyperlink" Target="https://www.datacenterdynamics.com/en/news/600mw-data-center-campus-proposed-in-texas/" TargetMode="External"/><Relationship Id="rId1924" Type="http://schemas.openxmlformats.org/officeDocument/2006/relationships/hyperlink" Target="https://www.kbtx.com/video/2025/09/12/college-station-city-council-unanimously-rejects-land-sale-ai-data-center/" TargetMode="External"/><Relationship Id="rId1925" Type="http://schemas.openxmlformats.org/officeDocument/2006/relationships/hyperlink" Target="https://www.datacenterdynamics.com/en/news/fluidstack-signs-additional-39mw-lease-with-cipher-mining-in-texas-backed-by-google/" TargetMode="External"/><Relationship Id="rId1926" Type="http://schemas.openxmlformats.org/officeDocument/2006/relationships/hyperlink" Target="https://www.hut8.com/news-insights/press-releases/hut-8-commercializes-first-phase-of-1-gw-beacon-point-ai-data-center-campus-with-15-year-352-mw" TargetMode="External"/><Relationship Id="rId1927" Type="http://schemas.openxmlformats.org/officeDocument/2006/relationships/hyperlink" Target="https://www.datacenterdynamics.com/en/news/hut-8-signs-352mw-data-center-lease-in-texas-with-investment-grade-tenant/" TargetMode="External"/><Relationship Id="rId1928" Type="http://schemas.openxmlformats.org/officeDocument/2006/relationships/hyperlink" Target="https://www.wired.com/story/bitcoin-miners-pivot-ai-data-centers/" TargetMode="External"/><Relationship Id="rId1929" Type="http://schemas.openxmlformats.org/officeDocument/2006/relationships/hyperlink" Target="https://www.nbcdfw.com/news/business/corsicana-bitcoin-mining-operation-could-consume-enough-power-to-light-200000-homes/2953134/" TargetMode="External"/><Relationship Id="rId1950" Type="http://schemas.openxmlformats.org/officeDocument/2006/relationships/hyperlink" Target="https://www.datacenterdynamics.com/en/news/cyrusone-breaks-ground-on-380mw-data-center-in-texas/" TargetMode="External"/><Relationship Id="rId1951" Type="http://schemas.openxmlformats.org/officeDocument/2006/relationships/hyperlink" Target="https://www.datacenterdynamics.com/en/news/cawley-partners-acquires-5200-acres-outside-dallas-plans-data-center-park/" TargetMode="External"/><Relationship Id="rId1952" Type="http://schemas.openxmlformats.org/officeDocument/2006/relationships/hyperlink" Target="https://www.datacenterdynamics.com/en/news/us-dod-details-military-bases-available-for-ai-data-center-build-out/" TargetMode="External"/><Relationship Id="rId1953" Type="http://schemas.openxmlformats.org/officeDocument/2006/relationships/hyperlink" Target="https://www.wsj.com/tech/ai/west-texas-data-center-nvidia-e38a4678" TargetMode="External"/><Relationship Id="rId1954" Type="http://schemas.openxmlformats.org/officeDocument/2006/relationships/hyperlink" Target="https://www.datacenterdynamics.com/en/news/ai-startup-poolside-teams-up-with-coreweave-on-2gw-data-center-in-texas/" TargetMode="External"/><Relationship Id="rId1955" Type="http://schemas.openxmlformats.org/officeDocument/2006/relationships/hyperlink" Target="https://www.longfellowranch.com/about" TargetMode="External"/><Relationship Id="rId1956" Type="http://schemas.openxmlformats.org/officeDocument/2006/relationships/hyperlink" Target="https://www.star-telegram.com/news/local/fort-worth/article312325777.html" TargetMode="External"/><Relationship Id="rId1957" Type="http://schemas.openxmlformats.org/officeDocument/2006/relationships/hyperlink" Target="https://www.yahoo.com/news/articles/10-billion-data-center-planned-234819302.html" TargetMode="External"/><Relationship Id="rId1958" Type="http://schemas.openxmlformats.org/officeDocument/2006/relationships/hyperlink" Target="https://www.change.org/p/stop-the-data-center-next-to-our-historic-gardens-for-all-supporters-sign-petition-below" TargetMode="External"/><Relationship Id="rId1959" Type="http://schemas.openxmlformats.org/officeDocument/2006/relationships/hyperlink" Target="https://www.datacenterdynamics.com/en/news/cyrusone-partners-with-energy-firm-eolian-for-dallas-data-center/" TargetMode="External"/><Relationship Id="rId1940" Type="http://schemas.openxmlformats.org/officeDocument/2006/relationships/hyperlink" Target="https://www.datacenterdynamics.com/en/news/cleanarc-partners-with-crow-holdings-for-245mw-campus-in-dallas-texas/" TargetMode="External"/><Relationship Id="rId1941" Type="http://schemas.openxmlformats.org/officeDocument/2006/relationships/hyperlink" Target="https://comptroller.texas.gov/taxes/data-centers/data-center-lists.php" TargetMode="External"/><Relationship Id="rId1942" Type="http://schemas.openxmlformats.org/officeDocument/2006/relationships/hyperlink" Target="https://corescientific.com/high-density-data-centers/denton-texas/" TargetMode="External"/><Relationship Id="rId1943" Type="http://schemas.openxmlformats.org/officeDocument/2006/relationships/hyperlink" Target="https://www.datacenterdynamics.com/en/news/core-scientific-plans-to-upgrade-denton-texas-data-center-for-up-to-61bn/" TargetMode="External"/><Relationship Id="rId1944" Type="http://schemas.openxmlformats.org/officeDocument/2006/relationships/hyperlink" Target="https://www.datacenterdynamics.com/en/news/qumulusai-gets-approval-for-modular-data-center-in-denton-texas/" TargetMode="External"/><Relationship Id="rId1945" Type="http://schemas.openxmlformats.org/officeDocument/2006/relationships/hyperlink" Target="https://www.datacenterdynamics.com/en/news/qumulusai-secures-124m-in-ai-infrastructure-agreements/" TargetMode="External"/><Relationship Id="rId1946" Type="http://schemas.openxmlformats.org/officeDocument/2006/relationships/hyperlink" Target="https://www.datacenterdynamics.com/en/news/tcdc-closes-235-acre-land-acquisition-for-ai-data-center-in-ector-county-texas/" TargetMode="External"/><Relationship Id="rId1947" Type="http://schemas.openxmlformats.org/officeDocument/2006/relationships/hyperlink" Target="https://www.datacenterdynamics.com/en/news/aws-files-to-develop-data-centers-in-san-antonio-texas/" TargetMode="External"/><Relationship Id="rId1948" Type="http://schemas.openxmlformats.org/officeDocument/2006/relationships/hyperlink" Target="https://www.datacenterdynamics.com/en/news/meta-files-to-expand-campus-in-el-paso-texas-with-12-new-buildings/" TargetMode="External"/><Relationship Id="rId1949" Type="http://schemas.openxmlformats.org/officeDocument/2006/relationships/hyperlink" Target="https://www.datacenterdynamics.com/en/news/cyrusone-partners-with-constellation-for-760mw-data-center-campus-in-texas/" TargetMode="External"/><Relationship Id="rId2423" Type="http://schemas.openxmlformats.org/officeDocument/2006/relationships/hyperlink" Target="https://www.co.prince-edward.va.us/economic-development/heartland-innovative-technology-park-210" TargetMode="External"/><Relationship Id="rId2424" Type="http://schemas.openxmlformats.org/officeDocument/2006/relationships/hyperlink" Target="https://epayments.co.prince-edward.va.us/applications/txapps/VPCindex.htm" TargetMode="External"/><Relationship Id="rId2425" Type="http://schemas.openxmlformats.org/officeDocument/2006/relationships/hyperlink" Target="https://www.datacenterdynamics.com/en/news/10m-sq-ft-amazon-files-for-four-data-center-campuses-in-virginias-spotsylvania-and-caroline-counties/" TargetMode="External"/><Relationship Id="rId2426" Type="http://schemas.openxmlformats.org/officeDocument/2006/relationships/hyperlink" Target="https://www.datacenterdynamics.com/en/news/10m-sq-ft-amazon-files-for-four-data-center-campuses-in-virginias-spotsylvania-and-caroline-counties/" TargetMode="External"/><Relationship Id="rId2427" Type="http://schemas.openxmlformats.org/officeDocument/2006/relationships/hyperlink" Target="https://www.datacenterdynamics.com/en/news/10m-sq-ft-amazon-files-for-four-data-center-campuses-in-virginias-spotsylvania-and-caroline-counties/" TargetMode="External"/><Relationship Id="rId2428" Type="http://schemas.openxmlformats.org/officeDocument/2006/relationships/hyperlink" Target="https://www.fxbgadvance.com/p/data-center-proposed-in-historic" TargetMode="External"/><Relationship Id="rId2429" Type="http://schemas.openxmlformats.org/officeDocument/2006/relationships/hyperlink" Target="https://va-stafford-assessor.publicaccessnow.com/PropertySearch/PropertyDetails.aspx?p=53%20%20%20%20%20%20%20%20%201M&amp;a=31432" TargetMode="External"/><Relationship Id="rId509" Type="http://schemas.openxmlformats.org/officeDocument/2006/relationships/hyperlink" Target="https://www.edged.us/des-moines" TargetMode="External"/><Relationship Id="rId508" Type="http://schemas.openxmlformats.org/officeDocument/2006/relationships/hyperlink" Target="https://www.datacenterdynamics.com/en/news/edged-announces-13mw-data-center-outside-des-moines-iowa/" TargetMode="External"/><Relationship Id="rId503" Type="http://schemas.openxmlformats.org/officeDocument/2006/relationships/hyperlink" Target="https://apps.dca.ga.gov/DRI/AppSummary.aspx?driid=4334" TargetMode="External"/><Relationship Id="rId502" Type="http://schemas.openxmlformats.org/officeDocument/2006/relationships/hyperlink" Target="https://www.datacenterdynamics.com/en/news/us-department-of-the-air-force-accepting-proposals-for-ai-data-centers-in-military-bases/" TargetMode="External"/><Relationship Id="rId501" Type="http://schemas.openxmlformats.org/officeDocument/2006/relationships/hyperlink" Target="https://www.datacenterdynamics.com/en/news/county-officials-deny-data-center-zoning-request-in-georgia/" TargetMode="External"/><Relationship Id="rId500" Type="http://schemas.openxmlformats.org/officeDocument/2006/relationships/hyperlink" Target="https://www.govtech.com/artificial-intelligence/atlanta-data-center-would-be-larger-than-mall-of-georgia" TargetMode="External"/><Relationship Id="rId507" Type="http://schemas.openxmlformats.org/officeDocument/2006/relationships/hyperlink" Target="https://www.datacenterdynamics.com/en/news/applied-digital-faces-opposition-to-planned-data-center-in-adair-county-iowa/" TargetMode="External"/><Relationship Id="rId506" Type="http://schemas.openxmlformats.org/officeDocument/2006/relationships/hyperlink" Target="https://www.datacenterdynamics.com/en/news/hawaii-based-cloud-provider-servpac-expands-data-center/" TargetMode="External"/><Relationship Id="rId505" Type="http://schemas.openxmlformats.org/officeDocument/2006/relationships/hyperlink" Target="https://www.datacenterdynamics.com/en/news/dc-blox-secures-115bn-green-loan-for-atlanta-data-center-development/" TargetMode="External"/><Relationship Id="rId504" Type="http://schemas.openxmlformats.org/officeDocument/2006/relationships/hyperlink" Target="https://www.datacenterdynamics.com/en/news/stream-files-for-13-million-sq-ft-data-center-campus-outside-atlanta-georgia/" TargetMode="External"/><Relationship Id="rId2420" Type="http://schemas.openxmlformats.org/officeDocument/2006/relationships/hyperlink" Target="https://www.princewilliamtimes.com/news/breaking-popular-merrifield-garden-center-to-close-after-selling-for-data-centers/article_38bbb8b7-f9d4-47d6-90b2-1cb26e9a81b8.html" TargetMode="External"/><Relationship Id="rId2421" Type="http://schemas.openxmlformats.org/officeDocument/2006/relationships/hyperlink" Target="https://icare.fairfaxcounty.gov/ffxcare/Datalets/Datalet.aspx?mode=&amp;UseSearch=no&amp;pin=0303%2028%20%20%20%20%20%20C2&amp;jur=129&amp;taxyr=2025" TargetMode="External"/><Relationship Id="rId2422" Type="http://schemas.openxmlformats.org/officeDocument/2006/relationships/hyperlink" Target="https://icare.fairfaxcounty.gov/ffxcare/Datalets/Datalet.aspx?mode=&amp;UseSearch=no&amp;pin=0494%2013%20%200013&amp;jur=129&amp;taxyr=2025" TargetMode="External"/><Relationship Id="rId2412" Type="http://schemas.openxmlformats.org/officeDocument/2006/relationships/hyperlink" Target="https://reparcelasmt.loudoun.gov/pt/datalets/datalet.aspx?mode=profileall&amp;UseSearch=no&amp;pin=044282013000&amp;jur=107&amp;taxyr=2024&amp;LMparent=20" TargetMode="External"/><Relationship Id="rId2413" Type="http://schemas.openxmlformats.org/officeDocument/2006/relationships/hyperlink" Target="https://reparcelasmt.loudoun.gov/pt/datalets/datalet.aspx?mode=profileall&amp;UseSearch=no&amp;pin=034385918000&amp;jur=107&amp;taxyr=2024&amp;LMparent=20" TargetMode="External"/><Relationship Id="rId2414" Type="http://schemas.openxmlformats.org/officeDocument/2006/relationships/hyperlink" Target="https://loudouncountyvaeg.tylerhost.net/prod/selfservice" TargetMode="External"/><Relationship Id="rId2415" Type="http://schemas.openxmlformats.org/officeDocument/2006/relationships/hyperlink" Target="https://reparcelasmt.loudoun.gov/pt/datalets/datalet.aspx?mode=profileall&amp;UseSearch=no&amp;pin=162176713000&amp;jur=107&amp;taxyr=2024&amp;LMparent=20" TargetMode="External"/><Relationship Id="rId2416" Type="http://schemas.openxmlformats.org/officeDocument/2006/relationships/hyperlink" Target="https://www.emporiaindependentmessenger.com/news/article_abbc9ab2-bd41-11ef-8e28-537ccf81ce7b.html" TargetMode="External"/><Relationship Id="rId2417" Type="http://schemas.openxmlformats.org/officeDocument/2006/relationships/hyperlink" Target="https://www.webgis.net/va/greensville/?op=id&amp;id=1%7Cparcels%7CMAP_PIN%7C21-97E" TargetMode="External"/><Relationship Id="rId2418" Type="http://schemas.openxmlformats.org/officeDocument/2006/relationships/hyperlink" Target="https://icare.fairfaxcounty.gov/ffxcare/Datalets/Datalet.aspx?mode=&amp;UseSearch=no&amp;pin=0552%2001%20%200019&amp;jur=129&amp;taxyr=2025" TargetMode="External"/><Relationship Id="rId2419" Type="http://schemas.openxmlformats.org/officeDocument/2006/relationships/hyperlink" Target="https://icare.fairfaxcounty.gov/ffxcare/datalets/datalet.aspx?mode=profileall&amp;UseSearch=no&amp;pin=0432%2002%20%200039C&amp;jur=129&amp;taxyr=2025&amp;LMparent=138" TargetMode="External"/><Relationship Id="rId2410" Type="http://schemas.openxmlformats.org/officeDocument/2006/relationships/hyperlink" Target="https://loudouncountyvaeg.tylerhost.net/prod/selfservice" TargetMode="External"/><Relationship Id="rId2411" Type="http://schemas.openxmlformats.org/officeDocument/2006/relationships/hyperlink" Target="https://reparcelasmt.loudoun.gov/pt/datalets/datalet.aspx?mode=commercial&amp;UseSearch=no&amp;pin=122207249000&amp;jur=107&amp;taxyr=2025&amp;LMparent=20" TargetMode="External"/><Relationship Id="rId1114" Type="http://schemas.openxmlformats.org/officeDocument/2006/relationships/hyperlink" Target="https://www.newsobserver.com/news/business/article306929621.html" TargetMode="External"/><Relationship Id="rId2445" Type="http://schemas.openxmlformats.org/officeDocument/2006/relationships/hyperlink" Target="https://www.datacenterdynamics.com/en/news/10m-sq-ft-amazon-files-for-four-data-center-campuses-in-virginias-spotsylvania-and-caroline-counties/" TargetMode="External"/><Relationship Id="rId1115" Type="http://schemas.openxmlformats.org/officeDocument/2006/relationships/hyperlink" Target="https://abc11.com/post/apple-research-triangle-park-north-carolina/10547896/?userab=abc_web_player-460*variant_a_abc_control-1900%2Cotv_web_player-461*variant_a_otv_control-1902&amp;userab=abc_web_player-460*variant_a_abc_control-1900%2Cotv_web_player-461*variant_a_otv_control-1902" TargetMode="External"/><Relationship Id="rId2446" Type="http://schemas.openxmlformats.org/officeDocument/2006/relationships/hyperlink" Target="https://www.datacenterdynamics.com/en/news/stack-infrastructure-files-for-10bn-data-center-in-fredericksburg-virginia/" TargetMode="External"/><Relationship Id="rId1116" Type="http://schemas.openxmlformats.org/officeDocument/2006/relationships/hyperlink" Target="https://abc11.com/post/apple-given-4-more-years-hiring-investment-goals-east-coast-hub-nc-research-triangle-park/18208496/" TargetMode="External"/><Relationship Id="rId2447" Type="http://schemas.openxmlformats.org/officeDocument/2006/relationships/hyperlink" Target="https://maps.fredericksburgva.gov/ParcelViewer/" TargetMode="External"/><Relationship Id="rId1117" Type="http://schemas.openxmlformats.org/officeDocument/2006/relationships/hyperlink" Target="https://www.iclarified.com/99151/north-carolina-grants-apple-4year-extension-for-delayed-rtp-campus-project" TargetMode="External"/><Relationship Id="rId2448" Type="http://schemas.openxmlformats.org/officeDocument/2006/relationships/hyperlink" Target="https://dahlgrenwest.com/" TargetMode="External"/><Relationship Id="rId1118" Type="http://schemas.openxmlformats.org/officeDocument/2006/relationships/hyperlink" Target="https://www.datacenterdynamics.com/en/news/microsoft-to-start-permitting-for-1385-acre-data-center-campus-in-north-carolina/" TargetMode="External"/><Relationship Id="rId2449" Type="http://schemas.openxmlformats.org/officeDocument/2006/relationships/hyperlink" Target="https://www.datacenterdynamics.com/en/news/oasis-digital-properties-gets-greenlight-for-12gw-data-center-in-king-george-county-virginia/" TargetMode="External"/><Relationship Id="rId1119" Type="http://schemas.openxmlformats.org/officeDocument/2006/relationships/hyperlink" Target="https://www.change.org/p/oppose-the-proposed-data-center-rezoning-in-rural-hall-nc?utm_source=share_petition&amp;utm_medium=mobileNativeShare&amp;utm_campaign=share_petition&amp;recruited_by_id=c47b8510-a5e3-11ea-9eb5-55d5249e13d4&amp;recruiter=1106290968&amp;share_id=mxKTw5fPpr" TargetMode="External"/><Relationship Id="rId525" Type="http://schemas.openxmlformats.org/officeDocument/2006/relationships/hyperlink" Target="https://www.thegazette.com/local-government/unnamed-company-looks-to-build-576-million-data-center-in-cedar-rapids/" TargetMode="External"/><Relationship Id="rId524" Type="http://schemas.openxmlformats.org/officeDocument/2006/relationships/hyperlink" Target="https://www.datacenterdynamics.com/en/news/city-of-cedar-rapids-officially-confirms-qts-behind-iowa-data-center-campus/" TargetMode="External"/><Relationship Id="rId523" Type="http://schemas.openxmlformats.org/officeDocument/2006/relationships/hyperlink" Target="https://www.kcrg.com/2026/06/24/data-center-concerns-draw-hundreds-dubuque-county-town-hall/" TargetMode="External"/><Relationship Id="rId522" Type="http://schemas.openxmlformats.org/officeDocument/2006/relationships/hyperlink" Target="https://www.datacenterdynamics.com/en/news/karis-named-as-firm-behind-proposed-data-center-project-in-dubuque-county-iowa/" TargetMode="External"/><Relationship Id="rId529" Type="http://schemas.openxmlformats.org/officeDocument/2006/relationships/hyperlink" Target="https://www.change.org/p/stop-proposed-hyper-data-center-in-salix-iowa" TargetMode="External"/><Relationship Id="rId528" Type="http://schemas.openxmlformats.org/officeDocument/2006/relationships/hyperlink" Target="https://norwalkiaswdevelopment.com/projectwest" TargetMode="External"/><Relationship Id="rId527" Type="http://schemas.openxmlformats.org/officeDocument/2006/relationships/hyperlink" Target="https://www.datacenterdynamics.com/en/news/city-council-in-norwalk-iowa-approves-potential-data-center-development-agreement-despite-public-concerns/" TargetMode="External"/><Relationship Id="rId526" Type="http://schemas.openxmlformats.org/officeDocument/2006/relationships/hyperlink" Target="https://www.kcrg.com/2025/07/29/officials-cancel-groundbreaking-ceremony-cedar-rapids-data-center/" TargetMode="External"/><Relationship Id="rId2440" Type="http://schemas.openxmlformats.org/officeDocument/2006/relationships/hyperlink" Target="https://va-stafford-assessor.publicaccessnow.com/PropertySearch/PropertyDetails.aspx?p=38%20%20%20%20%20%20%20%2070&amp;a=23902" TargetMode="External"/><Relationship Id="rId521" Type="http://schemas.openxmlformats.org/officeDocument/2006/relationships/hyperlink" Target="https://www.datacenters.com/windstream-dubuque-ia" TargetMode="External"/><Relationship Id="rId1110" Type="http://schemas.openxmlformats.org/officeDocument/2006/relationships/hyperlink" Target="https://www.datacenterdynamics.com/en/news/developer-withdraws-proposal-for-250mw-data-center-in-apex-north-carolina/" TargetMode="External"/><Relationship Id="rId2441" Type="http://schemas.openxmlformats.org/officeDocument/2006/relationships/hyperlink" Target="https://www.datacenterdynamics.com/en/news/10m-sq-ft-amazon-files-for-four-data-center-campuses-in-virginias-spotsylvania-and-caroline-counties/" TargetMode="External"/><Relationship Id="rId520" Type="http://schemas.openxmlformats.org/officeDocument/2006/relationships/hyperlink" Target="https://www.datacenterdynamics.com/en/news/cielo-digital-infrastructure-plans-300mw-data-center-campus-in-south-carolina/" TargetMode="External"/><Relationship Id="rId1111" Type="http://schemas.openxmlformats.org/officeDocument/2006/relationships/hyperlink" Target="https://www.datacenterdynamics.com/en/news/microsoft-begins-acquiring-land-in-north-carolina-for-data-centers/" TargetMode="External"/><Relationship Id="rId2442" Type="http://schemas.openxmlformats.org/officeDocument/2006/relationships/hyperlink" Target="https://www.spotsylvania.va.us/DocumentCenter/View/29414/Proffer-Statement-" TargetMode="External"/><Relationship Id="rId1112" Type="http://schemas.openxmlformats.org/officeDocument/2006/relationships/hyperlink" Target="https://www.datacenterdynamics.com/en/news/microsoft-breaks-ground-on-second-data-center-campus-in-north-carolina/" TargetMode="External"/><Relationship Id="rId2443" Type="http://schemas.openxmlformats.org/officeDocument/2006/relationships/hyperlink" Target="https://gis.spotsylvania.va.us/spotsylvania/" TargetMode="External"/><Relationship Id="rId1113" Type="http://schemas.openxmlformats.org/officeDocument/2006/relationships/hyperlink" Target="https://www.americantower.com/us/raleigh-data-center-opening" TargetMode="External"/><Relationship Id="rId2444" Type="http://schemas.openxmlformats.org/officeDocument/2006/relationships/hyperlink" Target="https://www.fredericksburgfreepress.com/2025/08/27/spotsylvania-board-of-supervisors-approve-potential-2-2-million-square-foot-data-center-campus/" TargetMode="External"/><Relationship Id="rId1103" Type="http://schemas.openxmlformats.org/officeDocument/2006/relationships/hyperlink" Target="https://www.charlotteobserver.com/sports/nascar-auto-racing/thatsracin/article311691503.html" TargetMode="External"/><Relationship Id="rId2434" Type="http://schemas.openxmlformats.org/officeDocument/2006/relationships/hyperlink" Target="https://www.fredericksburgfreepress.com/2025/01/22/biz-beat-roundup-more-data-centers-proposed-in-stafford/" TargetMode="External"/><Relationship Id="rId1104" Type="http://schemas.openxmlformats.org/officeDocument/2006/relationships/hyperlink" Target="https://www.datacenterdynamics.com/en/news/microsoft-breaks-ground-on-second-data-center-campus-in-north-carolina/" TargetMode="External"/><Relationship Id="rId2435" Type="http://schemas.openxmlformats.org/officeDocument/2006/relationships/hyperlink" Target="https://va-stafford-assessor.publicaccessnow.com/PropertySearch/PropertyDetails.aspx?p=45%20%20%20%20%20%20%20227&amp;a=27932" TargetMode="External"/><Relationship Id="rId1105" Type="http://schemas.openxmlformats.org/officeDocument/2006/relationships/hyperlink" Target="https://www.datacenterdynamics.com/en/news/microsoft-breaks-ground-on-another-north-carolina-data-center/" TargetMode="External"/><Relationship Id="rId2436" Type="http://schemas.openxmlformats.org/officeDocument/2006/relationships/hyperlink" Target="https://www.datacenterdynamics.com/en/news/data-center-proposed-for-850-acres-of-land-in-stafford-county-virginia/" TargetMode="External"/><Relationship Id="rId1106" Type="http://schemas.openxmlformats.org/officeDocument/2006/relationships/hyperlink" Target="https://indyweek.com/news/wake/developer-files-plans-for-digital-campus-in-western-wake/" TargetMode="External"/><Relationship Id="rId2437" Type="http://schemas.openxmlformats.org/officeDocument/2006/relationships/hyperlink" Target="https://app.sharebase.com/" TargetMode="External"/><Relationship Id="rId1107" Type="http://schemas.openxmlformats.org/officeDocument/2006/relationships/hyperlink" Target="https://www.newsobserver.com/news/local/counties/wake-county/article311959511.html" TargetMode="External"/><Relationship Id="rId2438" Type="http://schemas.openxmlformats.org/officeDocument/2006/relationships/hyperlink" Target="https://va-stafford-assessor.publicaccessnow.com/PropertySearch/PropertyDetails.aspx?p=59%20%20%20%20%20%20%20%2070&amp;a=39515" TargetMode="External"/><Relationship Id="rId1108" Type="http://schemas.openxmlformats.org/officeDocument/2006/relationships/hyperlink" Target="https://www.newsobserver.com/news/local/counties/wake-county/article311972258.html" TargetMode="External"/><Relationship Id="rId2439" Type="http://schemas.openxmlformats.org/officeDocument/2006/relationships/hyperlink" Target="https://cdn.staffordcountyva.gov/Planning%20and%20Zoning/Development%20Review%20Meetings-Applications/December%202024/GWV%20Data%20Center%20CUP/3-%20Impact%20Statement%20(10-15-24)%20-%20GWV%20Data%20Center.pdf" TargetMode="External"/><Relationship Id="rId1109" Type="http://schemas.openxmlformats.org/officeDocument/2006/relationships/hyperlink" Target="https://www.facebook.com/groups/protectwakecountycoalition" TargetMode="External"/><Relationship Id="rId519" Type="http://schemas.openxmlformats.org/officeDocument/2006/relationships/hyperlink" Target="https://www.yahoo.com/news/us/articles/small-data-center-proposed-industrial-024543749.html?guccounter=1" TargetMode="External"/><Relationship Id="rId514" Type="http://schemas.openxmlformats.org/officeDocument/2006/relationships/hyperlink" Target="https://datacenters.google/locations/iowa/" TargetMode="External"/><Relationship Id="rId513" Type="http://schemas.openxmlformats.org/officeDocument/2006/relationships/hyperlink" Target="https://www.datacenterdynamics.com/en/news/560-acre-data-center-campus-proposed-in-cedar-rapids-iowa/" TargetMode="External"/><Relationship Id="rId512" Type="http://schemas.openxmlformats.org/officeDocument/2006/relationships/hyperlink" Target="https://corridorbusiness.com/google-plans-special-investment-announcement-in-cedar-rapids-may-30/" TargetMode="External"/><Relationship Id="rId511" Type="http://schemas.openxmlformats.org/officeDocument/2006/relationships/hyperlink" Target="https://www.datacenterdynamics.com/en/news/officials-in-cedar-falls-iowa-delay-hearing-on-simple-minings-cryptomine-rezoning/" TargetMode="External"/><Relationship Id="rId518" Type="http://schemas.openxmlformats.org/officeDocument/2006/relationships/hyperlink" Target="https://www.datacenterdynamics.com/en/news/data-center-campus-eyed-for-46-acre-site-in-maquoketa-iowa/" TargetMode="External"/><Relationship Id="rId517" Type="http://schemas.openxmlformats.org/officeDocument/2006/relationships/hyperlink" Target="https://rbnenergy.com/i-know-places-tech-giants-may-be-the-surest-bets-for-data-center-power-demand" TargetMode="External"/><Relationship Id="rId516" Type="http://schemas.openxmlformats.org/officeDocument/2006/relationships/hyperlink" Target="https://www.datacenterdynamics.com/en/news/microsoft-files-for-new-data-center-campus-in-des-moines-iowa/" TargetMode="External"/><Relationship Id="rId515" Type="http://schemas.openxmlformats.org/officeDocument/2006/relationships/hyperlink" Target="https://www.datacenterdynamics.com/en/news/edged-reduces-scope-of-planned-data-center-campus-in-council-bluffs-iowa/" TargetMode="External"/><Relationship Id="rId510" Type="http://schemas.openxmlformats.org/officeDocument/2006/relationships/hyperlink" Target="https://www.datacenterdynamics.com/en/news/simple-mining-plans-bitcoin-mining-expansion-in-dubuque-county-iowa/" TargetMode="External"/><Relationship Id="rId2430" Type="http://schemas.openxmlformats.org/officeDocument/2006/relationships/hyperlink" Target="https://www.datacenterfrontier.com/cloud/article/33006046/amazon-plans-major-data-center-expansion-in-virginias-spotsylvania-county" TargetMode="External"/><Relationship Id="rId1100" Type="http://schemas.openxmlformats.org/officeDocument/2006/relationships/hyperlink" Target="https://www.datacenterdynamics.com/en/news/tract-plans-400-acre-data-center-park-outside-charlotte-north-carolina/" TargetMode="External"/><Relationship Id="rId2431" Type="http://schemas.openxmlformats.org/officeDocument/2006/relationships/hyperlink" Target="https://www.datacenterdynamics.com/en/news/10m-sq-ft-amazon-files-for-four-data-center-campuses-in-virginias-spotsylvania-and-caroline-counties/" TargetMode="External"/><Relationship Id="rId1101" Type="http://schemas.openxmlformats.org/officeDocument/2006/relationships/hyperlink" Target="https://www.charlotteobserver.com/sports/nascar-auto-racing/thatsracin/article311633422.html" TargetMode="External"/><Relationship Id="rId2432" Type="http://schemas.openxmlformats.org/officeDocument/2006/relationships/hyperlink" Target="https://www.fredericksburgfreepress.com/2025/01/22/biz-beat-roundup-more-data-centers-proposed-in-stafford/" TargetMode="External"/><Relationship Id="rId1102" Type="http://schemas.openxmlformats.org/officeDocument/2006/relationships/hyperlink" Target="https://www.datacenterdynamics.com/en/news/compass-datacenters-proposes-333-acre-campus-in-statesville-north-carolina/" TargetMode="External"/><Relationship Id="rId2433" Type="http://schemas.openxmlformats.org/officeDocument/2006/relationships/hyperlink" Target="https://va-stafford-assessor.publicaccessnow.com/PropertySearch/PropertyDetails.aspx?p=46%20%20%20%20%20%20%20%2010&amp;a=29012" TargetMode="External"/><Relationship Id="rId2401" Type="http://schemas.openxmlformats.org/officeDocument/2006/relationships/hyperlink" Target="https://cloudandcolocation.com/datacenters/onepartner-duffield-data-center-atac/" TargetMode="External"/><Relationship Id="rId2402" Type="http://schemas.openxmlformats.org/officeDocument/2006/relationships/hyperlink" Target="https://scottcova.interactivegis.com/jtf/10308" TargetMode="External"/><Relationship Id="rId2403" Type="http://schemas.openxmlformats.org/officeDocument/2006/relationships/hyperlink" Target="https://www.scottcountyva.com/188/Sites-Buildings" TargetMode="External"/><Relationship Id="rId2404" Type="http://schemas.openxmlformats.org/officeDocument/2006/relationships/hyperlink" Target="https://scottcova.interactivegis.com/jtf/1112" TargetMode="External"/><Relationship Id="rId2405" Type="http://schemas.openxmlformats.org/officeDocument/2006/relationships/hyperlink" Target="https://reparcelasmt.loudoun.gov/pt/datalets/datalet.aspx?mode=profileall&amp;UseSearch=no&amp;pin=044370416000&amp;jur=107&amp;taxyr=2024&amp;LMparent=20" TargetMode="External"/><Relationship Id="rId2406" Type="http://schemas.openxmlformats.org/officeDocument/2006/relationships/hyperlink" Target="https://reparcelasmt.loudoun.gov/pt/datalets/datalet.aspx?mode=profileall&amp;UseSearch=no&amp;pin=162392026000&amp;jur=107&amp;taxyr=2024&amp;LMparent=20" TargetMode="External"/><Relationship Id="rId2407" Type="http://schemas.openxmlformats.org/officeDocument/2006/relationships/hyperlink" Target="https://loudouncountyvaeg.tylerhost.net/prod/selfservice" TargetMode="External"/><Relationship Id="rId2408" Type="http://schemas.openxmlformats.org/officeDocument/2006/relationships/hyperlink" Target="https://reparcelasmt.loudoun.gov/pt/Datalets/Datalet.aspx?UseSearch=no&amp;mode=profileall&amp;pin=124256520000&amp;jur=107&amp;taxyr=2025" TargetMode="External"/><Relationship Id="rId2409" Type="http://schemas.openxmlformats.org/officeDocument/2006/relationships/hyperlink" Target="https://reparcelasmt.loudoun.gov/pt/Datalets/Datalet.aspx?mode=commercial&amp;UseSearch=no&amp;pin=093365404003&amp;jur=107&amp;taxyr=2025&amp;card=1&amp;item=0&amp;State=2%7C1%7C1%7C1%7C1%7C&amp;items=4" TargetMode="External"/><Relationship Id="rId2400" Type="http://schemas.openxmlformats.org/officeDocument/2006/relationships/hyperlink" Target="https://www.webgis.net/va/botetourtco/?id=Parcels%7CLINK%7C88(26)3" TargetMode="External"/><Relationship Id="rId590" Type="http://schemas.openxmlformats.org/officeDocument/2006/relationships/hyperlink" Target="https://www.datacenterdynamics.com/en/news/karis-eyes-potential-data-center-development-outside-chicago-illinois/" TargetMode="External"/><Relationship Id="rId589" Type="http://schemas.openxmlformats.org/officeDocument/2006/relationships/hyperlink" Target="https://www.datacenterdynamics.com/en/news/36mw-data-center-denied-near-chicago-illinois/" TargetMode="External"/><Relationship Id="rId588" Type="http://schemas.openxmlformats.org/officeDocument/2006/relationships/hyperlink" Target="https://www.datacenterdynamics.com/en/news/karis-critical-plans-36mw-data-center-in-naperville-illinois/" TargetMode="External"/><Relationship Id="rId1170" Type="http://schemas.openxmlformats.org/officeDocument/2006/relationships/hyperlink" Target="https://www.foodandwaterwatch.org/wp-content/uploads/2026/03/RPT2_2602_DataCenterMoratorium.pdf" TargetMode="External"/><Relationship Id="rId1171" Type="http://schemas.openxmlformats.org/officeDocument/2006/relationships/hyperlink" Target="https://q.com/data-centers/east-windsor/" TargetMode="External"/><Relationship Id="rId583" Type="http://schemas.openxmlformats.org/officeDocument/2006/relationships/hyperlink" Target="https://www.datacenterdynamics.com/en/news/tract-expands-into-illinois-with-plans-for-1gw-data-center-park-outside-chicago/" TargetMode="External"/><Relationship Id="rId1172" Type="http://schemas.openxmlformats.org/officeDocument/2006/relationships/hyperlink" Target="https://www.east-windsor.nj.us/news/post/20342/" TargetMode="External"/><Relationship Id="rId582" Type="http://schemas.openxmlformats.org/officeDocument/2006/relationships/hyperlink" Target="https://www.datacenterdynamics.com/en/news/cielo-digital-infrastructure-plans-300mw-data-center-campus-in-south-carolina/" TargetMode="External"/><Relationship Id="rId1173" Type="http://schemas.openxmlformats.org/officeDocument/2006/relationships/hyperlink" Target="https://www.datacentermap.com/usa/new-jersey/princeton/qts-princeton/" TargetMode="External"/><Relationship Id="rId581" Type="http://schemas.openxmlformats.org/officeDocument/2006/relationships/hyperlink" Target="https://www.datacenterdynamics.com/en/news/t5-data-center-in-illinois-topped-out/" TargetMode="External"/><Relationship Id="rId1174" Type="http://schemas.openxmlformats.org/officeDocument/2006/relationships/hyperlink" Target="https://www.datacenterdynamics.com/en/news/decision-on-qts-planned-expansion-of-data-center-in-east-windsor-new-jersey-postponed/" TargetMode="External"/><Relationship Id="rId580" Type="http://schemas.openxmlformats.org/officeDocument/2006/relationships/hyperlink" Target="https://villageoflisle.civicweb.net/document/220244/25-1801.pdf?handle=E0E9A4C503DD44D3B92E78DB4DBED085" TargetMode="External"/><Relationship Id="rId1175" Type="http://schemas.openxmlformats.org/officeDocument/2006/relationships/hyperlink" Target="https://www.datacenterdynamics.com/en/news/us-department-of-the-air-force-accepting-proposals-for-ai-data-centers-in-military-bases/" TargetMode="External"/><Relationship Id="rId587" Type="http://schemas.openxmlformats.org/officeDocument/2006/relationships/hyperlink" Target="https://abc7chicago.com/amp/post/naperville-illinois-city-council-denies-plan-karis-critical-data-center-vacant-lucent-campus-off-warrenville-road/18442413/" TargetMode="External"/><Relationship Id="rId1176" Type="http://schemas.openxmlformats.org/officeDocument/2006/relationships/hyperlink" Target="https://dataverge.com/interconnected-colocation-new-york/" TargetMode="External"/><Relationship Id="rId586" Type="http://schemas.openxmlformats.org/officeDocument/2006/relationships/hyperlink" Target="https://www.dailyherald.com/20250901/news/backbone-of-the-digital-world-karis-details-plans-for-naperville-data-center-development/" TargetMode="External"/><Relationship Id="rId1177" Type="http://schemas.openxmlformats.org/officeDocument/2006/relationships/hyperlink" Target="https://www.mansfieldtwp.com/sites/g/files/vyhlif8026/f/news/mayor_statement-3-16-26.pdf" TargetMode="External"/><Relationship Id="rId585" Type="http://schemas.openxmlformats.org/officeDocument/2006/relationships/hyperlink" Target="https://www.change.org/p/naperville-planning-comission-stop-mega-housing-development-on-the-border-of-herrick-lake-and-danada-forest-preserves/u/34146049" TargetMode="External"/><Relationship Id="rId1178" Type="http://schemas.openxmlformats.org/officeDocument/2006/relationships/hyperlink" Target="https://www.datacenterdynamics.com/en/news/comcast-to-convert-former-bank-into-data-center-in-new-jersey/" TargetMode="External"/><Relationship Id="rId584" Type="http://schemas.openxmlformats.org/officeDocument/2006/relationships/hyperlink" Target="https://www.datacenterdynamics.com/en/news/ferc-approves-transmission-agreement-for-planned-1gw-tract-data-center-in-morris-illinois/" TargetMode="External"/><Relationship Id="rId1179" Type="http://schemas.openxmlformats.org/officeDocument/2006/relationships/hyperlink" Target="https://actionnetwork.org/petitions/stop-east-greenwich-data-center" TargetMode="External"/><Relationship Id="rId1169" Type="http://schemas.openxmlformats.org/officeDocument/2006/relationships/hyperlink" Target="https://www.mobilize.us/fwa/event/928996/" TargetMode="External"/><Relationship Id="rId579" Type="http://schemas.openxmlformats.org/officeDocument/2006/relationships/hyperlink" Target="https://www.datacenterdynamics.com/en/news/public-meeting-over-planned-data-center-project-in-lisle-illinois-postponed-due-to-large-number-of-attendees/" TargetMode="External"/><Relationship Id="rId578" Type="http://schemas.openxmlformats.org/officeDocument/2006/relationships/hyperlink" Target="https://www.illinoistimes.com/news/data-center-opposition/" TargetMode="External"/><Relationship Id="rId577" Type="http://schemas.openxmlformats.org/officeDocument/2006/relationships/hyperlink" Target="https://www.illinoistimes.com/news/logan-county-data-center-plans-delayed/" TargetMode="External"/><Relationship Id="rId2490" Type="http://schemas.openxmlformats.org/officeDocument/2006/relationships/hyperlink" Target="https://neighbors4change.com/" TargetMode="External"/><Relationship Id="rId1160" Type="http://schemas.openxmlformats.org/officeDocument/2006/relationships/hyperlink" Target="https://docs.google.com/spreadsheets/d/1v7zjT-c1Az7rPHQkQqd9kSZTf5wcMAKg7NFz317_l6s/edit?pli=1&amp;gid=1159825851" TargetMode="External"/><Relationship Id="rId2491" Type="http://schemas.openxmlformats.org/officeDocument/2006/relationships/hyperlink" Target="https://www.wtvr.com/news/local-news/hanover-data-center-proposal-sept-8-2025" TargetMode="External"/><Relationship Id="rId572" Type="http://schemas.openxmlformats.org/officeDocument/2006/relationships/hyperlink" Target="https://www.datacenterdynamics.com/en/news/data-center-proposal-rejected-in-pekin-illinois/" TargetMode="External"/><Relationship Id="rId1161" Type="http://schemas.openxmlformats.org/officeDocument/2006/relationships/hyperlink" Target="https://www.datacenterdynamics.com/en/news/h5-acquires-new-york-data-centers-from-yahoo-in-sale-leaseback-deal/" TargetMode="External"/><Relationship Id="rId2492" Type="http://schemas.openxmlformats.org/officeDocument/2006/relationships/hyperlink" Target="https://shows.acast.com/the-richmond-daily-news-now/episodes/hunting-hawk-golf-course-to-become-data-center" TargetMode="External"/><Relationship Id="rId571" Type="http://schemas.openxmlformats.org/officeDocument/2006/relationships/hyperlink" Target="https://www.datacenterdynamics.com/en/news/western-hospitality-partners-eyes-320-acre-data-center-campus-outside-peoria-illinois/" TargetMode="External"/><Relationship Id="rId1162" Type="http://schemas.openxmlformats.org/officeDocument/2006/relationships/hyperlink" Target="https://www.1011now.com/2025/05/05/lincoln-google-data-center-expected-be-service-by-fall/" TargetMode="External"/><Relationship Id="rId2493" Type="http://schemas.openxmlformats.org/officeDocument/2006/relationships/hyperlink" Target="https://www.datacenterdynamics.com/en/news/900mw-data-center-campus-plan-withdrawn-in-hanover-county-virginia/" TargetMode="External"/><Relationship Id="rId570" Type="http://schemas.openxmlformats.org/officeDocument/2006/relationships/hyperlink" Target="https://www.datacenterdynamics.com/en/news/t5-data-center-in-illinois-topped-out/" TargetMode="External"/><Relationship Id="rId1163" Type="http://schemas.openxmlformats.org/officeDocument/2006/relationships/hyperlink" Target="https://rbnenergy.com/i-know-places-tech-giants-may-be-the-surest-bets-for-data-center-power-demand" TargetMode="External"/><Relationship Id="rId2494" Type="http://schemas.openxmlformats.org/officeDocument/2006/relationships/hyperlink" Target="https://www.facebook.com/people/Stop-Hanover-Data-Centers/61584663185622/" TargetMode="External"/><Relationship Id="rId1164" Type="http://schemas.openxmlformats.org/officeDocument/2006/relationships/hyperlink" Target="https://epoch.ai/data/data-centers/satellite-explorer/GoogleOmahaNebraska?ref=404media.co" TargetMode="External"/><Relationship Id="rId2495" Type="http://schemas.openxmlformats.org/officeDocument/2006/relationships/hyperlink" Target="https://www.datacenterdynamics.com/en/news/tracts-430-acre-data-center-rejected-by-local-officials-in-hanover-county-virginia/" TargetMode="External"/><Relationship Id="rId576" Type="http://schemas.openxmlformats.org/officeDocument/2006/relationships/hyperlink" Target="https://www.wandtv.com/news/logan-co-residents-question-risks-of-proposed-hut-8-data-center-in-latham/article_5c7e3cb4-111d-4dcd-9c21-a261825314e4.html" TargetMode="External"/><Relationship Id="rId1165" Type="http://schemas.openxmlformats.org/officeDocument/2006/relationships/hyperlink" Target="https://www.datacenterdynamics.com/en/news/firstlight-expands-new-hampshire-data-center/" TargetMode="External"/><Relationship Id="rId2496" Type="http://schemas.openxmlformats.org/officeDocument/2006/relationships/hyperlink" Target="https://experience.arcgis.com/experience/72964533b5b14058835193306c7a33bc" TargetMode="External"/><Relationship Id="rId575" Type="http://schemas.openxmlformats.org/officeDocument/2006/relationships/hyperlink" Target="https://www.datacenterdynamics.com/en/news/approval-given-to-20bn-data-center-near-chicago-illinois/" TargetMode="External"/><Relationship Id="rId1166" Type="http://schemas.openxmlformats.org/officeDocument/2006/relationships/hyperlink" Target="https://www.change.org/p/stop-the-proposed-nottingham-nh-data-center" TargetMode="External"/><Relationship Id="rId2497" Type="http://schemas.openxmlformats.org/officeDocument/2006/relationships/hyperlink" Target="https://experience.arcgis.com/experience/72964533b5b14058835193306c7a33bc" TargetMode="External"/><Relationship Id="rId574" Type="http://schemas.openxmlformats.org/officeDocument/2006/relationships/hyperlink" Target="https://www.datacenterdynamics.com/en/news/proposal-for-20bn-data-center-outside-chicago-recommended-for-approval-by-local-planning-commission/" TargetMode="External"/><Relationship Id="rId1167" Type="http://schemas.openxmlformats.org/officeDocument/2006/relationships/hyperlink" Target="https://www.datacenterdynamics.com/en/news/proposal-for-data-center-in-nottingham-new-hampshire-withdrawn-after-facing-intense-opposition/" TargetMode="External"/><Relationship Id="rId2498" Type="http://schemas.openxmlformats.org/officeDocument/2006/relationships/hyperlink" Target="https://gis.vgsi.com/HarrisonburgVAMap/" TargetMode="External"/><Relationship Id="rId573" Type="http://schemas.openxmlformats.org/officeDocument/2006/relationships/hyperlink" Target="https://www.datacenterdynamics.com/en/news/developer-withdraws-data-center-proposal-in-pekin-illinois/" TargetMode="External"/><Relationship Id="rId1168" Type="http://schemas.openxmlformats.org/officeDocument/2006/relationships/hyperlink" Target="https://www.datacenterdynamics.com/en/news/comcast-to-convert-former-bank-into-data-center-in-new-jersey/" TargetMode="External"/><Relationship Id="rId2499" Type="http://schemas.openxmlformats.org/officeDocument/2006/relationships/hyperlink" Target="https://pwc.publicaccessnow.com/PropertyDetail.aspx?mpropertynumber=014988&amp;mtab=property&amp;p=014988" TargetMode="External"/><Relationship Id="rId1190" Type="http://schemas.openxmlformats.org/officeDocument/2006/relationships/hyperlink" Target="https://www.nj.com/news/2025/07/massive-ai-data-center-with-major-energy-needs-under-construction-in-south-jersey.html" TargetMode="External"/><Relationship Id="rId1191" Type="http://schemas.openxmlformats.org/officeDocument/2006/relationships/hyperlink" Target="https://www.silive.com/nation/2025/07/gigantic-artificial-intelligence-data-site-coming-to-northeast.html" TargetMode="External"/><Relationship Id="rId1192" Type="http://schemas.openxmlformats.org/officeDocument/2006/relationships/hyperlink" Target="https://www.fox29.com/news/residents-say-humming-from-new-ai-data-center-vineland-is-disrupting-daily-life" TargetMode="External"/><Relationship Id="rId1193" Type="http://schemas.openxmlformats.org/officeDocument/2006/relationships/hyperlink" Target="https://www.datacenterdynamics.com/en/news/njfx-plans-10mw-liquid-cooled-data-hall-in-new-jersey/" TargetMode="External"/><Relationship Id="rId1194" Type="http://schemas.openxmlformats.org/officeDocument/2006/relationships/hyperlink" Target="https://invest.jll.com/us/en/listings/special-purpose-facility/8-asset-switch-portfolio" TargetMode="External"/><Relationship Id="rId1195" Type="http://schemas.openxmlformats.org/officeDocument/2006/relationships/hyperlink" Target="https://www.datacenterdynamics.com/en/news/new-era-plans-7gw-ai-data-center-in-lea-county-new-mexico-powered-by-gas-and-nuclear/" TargetMode="External"/><Relationship Id="rId1196" Type="http://schemas.openxmlformats.org/officeDocument/2006/relationships/hyperlink" Target="https://www.datacenterdynamics.com/en/news/zenith-obtains-planning-approval-for-124gw-data-center-project-in-roswell-new-mexico/" TargetMode="External"/><Relationship Id="rId1197" Type="http://schemas.openxmlformats.org/officeDocument/2006/relationships/hyperlink" Target="https://empowernm.org/" TargetMode="External"/><Relationship Id="rId1198" Type="http://schemas.openxmlformats.org/officeDocument/2006/relationships/hyperlink" Target="https://www.facebook.com/groups/IndivisibleLASCRUCES/" TargetMode="External"/><Relationship Id="rId1199" Type="http://schemas.openxmlformats.org/officeDocument/2006/relationships/hyperlink" Target="https://nmelc.org/2026/01/20/nm-orgs-demand-public-transparency-and-access-concerning-project-jupiter-air-quality-permits/" TargetMode="External"/><Relationship Id="rId599" Type="http://schemas.openxmlformats.org/officeDocument/2006/relationships/hyperlink" Target="https://www.datacenterdynamics.com/en/news/illinois-man-arrested-after-threatening-local-authorities-to-stop-data-center-development/" TargetMode="External"/><Relationship Id="rId1180" Type="http://schemas.openxmlformats.org/officeDocument/2006/relationships/hyperlink" Target="https://www.datacenterdynamics.com/en/news/american-tower-withdraws-plans-for-data-center-in-new-jersey/" TargetMode="External"/><Relationship Id="rId1181" Type="http://schemas.openxmlformats.org/officeDocument/2006/relationships/hyperlink" Target="https://www.instagram.com/climaterevolutionnj/?utm_source=ig_embed&amp;ig_rid=2c789900-56ad-411d-b731-4bf9a380550f" TargetMode="External"/><Relationship Id="rId1182" Type="http://schemas.openxmlformats.org/officeDocument/2006/relationships/hyperlink" Target="https://www.datacenterdynamics.com/en/news/proposed-data-center-in-new-brunswick-new-jersey-denied-by-local-authorities/" TargetMode="External"/><Relationship Id="rId594" Type="http://schemas.openxmlformats.org/officeDocument/2006/relationships/hyperlink" Target="https://www.datacenterdynamics.com/en/news/head-of-north-pekin-illinois-says-that-former-amc-theater-will-not-be-turned-into-data-center/" TargetMode="External"/><Relationship Id="rId1183" Type="http://schemas.openxmlformats.org/officeDocument/2006/relationships/hyperlink" Target="https://www.nj.com/news/2026/05/a-huge-ai-data-center-could-be-coming-to-an-old-nj-airport-but-some-residents-are-fighting-back.html" TargetMode="External"/><Relationship Id="rId593" Type="http://schemas.openxmlformats.org/officeDocument/2006/relationships/hyperlink" Target="https://www.datacenterdynamics.com/en/news/aligned-completes-first-chicago-data-center-breaks-ground-on-second/" TargetMode="External"/><Relationship Id="rId1184" Type="http://schemas.openxmlformats.org/officeDocument/2006/relationships/hyperlink" Target="https://www.msn.com/en-us/news/us/town-hall-meeting-erupts-in-cheers-as-plans-for-new-jersey-data-center-are-scrapped/ar-AA24oqHL" TargetMode="External"/><Relationship Id="rId592" Type="http://schemas.openxmlformats.org/officeDocument/2006/relationships/hyperlink" Target="https://www.datacenterdynamics.com/en/news/aligned-completes-first-chicago-data-center-breaks-ground-on-second/" TargetMode="External"/><Relationship Id="rId1185" Type="http://schemas.openxmlformats.org/officeDocument/2006/relationships/hyperlink" Target="https://nj1015.com/andover-township-data-center-ban/" TargetMode="External"/><Relationship Id="rId591" Type="http://schemas.openxmlformats.org/officeDocument/2006/relationships/hyperlink" Target="https://www.datacenterdynamics.com/en/news/cielo-digital-infrastructure-plans-300mw-data-center-campus-in-south-carolina/" TargetMode="External"/><Relationship Id="rId1186" Type="http://schemas.openxmlformats.org/officeDocument/2006/relationships/hyperlink" Target="https://www.datacenterdynamics.com/en/news/gi-partners-acquires-130000-sq-ft-data-center-in-nutley-new-jersey/" TargetMode="External"/><Relationship Id="rId598" Type="http://schemas.openxmlformats.org/officeDocument/2006/relationships/hyperlink" Target="https://www.datacenterdynamics.com/en/news/cloverleaf-infrastructure-proposes-data-center-campus-near-st-louis-missouri/" TargetMode="External"/><Relationship Id="rId1187" Type="http://schemas.openxmlformats.org/officeDocument/2006/relationships/hyperlink" Target="https://www.datacenterdynamics.com/en/news/approval-for-major-data-center-development-granted-to-prism-capital-partners-in-nutley-new-jersey/" TargetMode="External"/><Relationship Id="rId597" Type="http://schemas.openxmlformats.org/officeDocument/2006/relationships/hyperlink" Target="https://www.change.org/p/reject-data-center-proposals-in-troy-illinois" TargetMode="External"/><Relationship Id="rId1188" Type="http://schemas.openxmlformats.org/officeDocument/2006/relationships/hyperlink" Target="https://www.change.org/p/stop-the-release-of-6-million-loan-for-ai-data-center-in-vineland-nj" TargetMode="External"/><Relationship Id="rId596" Type="http://schemas.openxmlformats.org/officeDocument/2006/relationships/hyperlink" Target="https://www.datacenterdynamics.com/en/news/closed-incinerator-near-chicago-eyed-for-potential-data-center-development/" TargetMode="External"/><Relationship Id="rId1189" Type="http://schemas.openxmlformats.org/officeDocument/2006/relationships/hyperlink" Target="https://www.msn.com/en-us/money/companies/massive-ai-data-center-with-major-energy-needs-under-construction-in-south-jersey/ar-AA1JwW6r" TargetMode="External"/><Relationship Id="rId595" Type="http://schemas.openxmlformats.org/officeDocument/2006/relationships/hyperlink" Target="https://www.datacenterdynamics.com/en/news/property-developer-eagle-rock-proposes-1gw-data-center-in-christian-county-illinois/" TargetMode="External"/><Relationship Id="rId1136" Type="http://schemas.openxmlformats.org/officeDocument/2006/relationships/hyperlink" Target="https://southerncoalition.org/wp-content/uploads/2026/03/2026-03-12-Complaint-and-Exhibits-Hairston-Clan-et-al-v-Stokes-Co.pdf" TargetMode="External"/><Relationship Id="rId2467" Type="http://schemas.openxmlformats.org/officeDocument/2006/relationships/hyperlink" Target="https://pwc.publicaccessnow.com/PropertyDetail.aspx?mtab=property&amp;mpropertynumber=265831" TargetMode="External"/><Relationship Id="rId1137" Type="http://schemas.openxmlformats.org/officeDocument/2006/relationships/hyperlink" Target="https://cwfnc.org/stokes/" TargetMode="External"/><Relationship Id="rId2468" Type="http://schemas.openxmlformats.org/officeDocument/2006/relationships/hyperlink" Target="https://www.datacenterdynamics.com/en/news/aws-qts-and-jk-land-holdings-planning-data-center-developments-in-virginias-prince-william-county/" TargetMode="External"/><Relationship Id="rId1138" Type="http://schemas.openxmlformats.org/officeDocument/2006/relationships/hyperlink" Target="https://actionnetwork.org/petitions/no-data-center-in-stokes-county/" TargetMode="External"/><Relationship Id="rId2469" Type="http://schemas.openxmlformats.org/officeDocument/2006/relationships/hyperlink" Target="https://pwc.publicaccessnow.com/PropertyDetail.aspx?mtab=property&amp;mpropertynumber=264261" TargetMode="External"/><Relationship Id="rId1139" Type="http://schemas.openxmlformats.org/officeDocument/2006/relationships/hyperlink" Target="https://www.datacenterdynamics.com/en/news/officials-in-north-carolina-county-void-data-center-rezoning-amid-legal-challenge/" TargetMode="External"/><Relationship Id="rId547" Type="http://schemas.openxmlformats.org/officeDocument/2006/relationships/hyperlink" Target="https://barringtonhills-il.gov/special-plan-commission-meeting-to-welcome-resident-input/" TargetMode="External"/><Relationship Id="rId546" Type="http://schemas.openxmlformats.org/officeDocument/2006/relationships/hyperlink" Target="https://www.datacenterdynamics.com/en/news/us-signal-acquires-data-center-in-aurora-illinois/" TargetMode="External"/><Relationship Id="rId545" Type="http://schemas.openxmlformats.org/officeDocument/2006/relationships/hyperlink" Target="https://datacenter.news/story/edged-expands-aurora-campus-with-waterless-ai-data-centre" TargetMode="External"/><Relationship Id="rId544" Type="http://schemas.openxmlformats.org/officeDocument/2006/relationships/hyperlink" Target="https://www.datacenterdynamics.com/en/news/first-nation-opposes-plan-for-ai-data-center-in-pocatello-idaho/" TargetMode="External"/><Relationship Id="rId549" Type="http://schemas.openxmlformats.org/officeDocument/2006/relationships/hyperlink" Target="https://www.shawlocal.com/northwest-herald/news/2026/01/29/2-billion-data-center-proposal-in-barrington-hills-withdrawn/" TargetMode="External"/><Relationship Id="rId548" Type="http://schemas.openxmlformats.org/officeDocument/2006/relationships/hyperlink" Target="https://www.change.org/p/deny-data-centers-in-barrington-hills" TargetMode="External"/><Relationship Id="rId2460" Type="http://schemas.openxmlformats.org/officeDocument/2006/relationships/hyperlink" Target="https://www.datacenterdynamics.com/en/news/10m-sq-ft-amazon-files-for-four-data-center-campuses-in-virginias-spotsylvania-and-caroline-counties/" TargetMode="External"/><Relationship Id="rId1130" Type="http://schemas.openxmlformats.org/officeDocument/2006/relationships/hyperlink" Target="https://ncejn.org/updates-on-the-fight-against-data-centers-edgecombe-county/" TargetMode="External"/><Relationship Id="rId2461" Type="http://schemas.openxmlformats.org/officeDocument/2006/relationships/hyperlink" Target="https://gis.spotsylvania.va.us/spotsylvania/" TargetMode="External"/><Relationship Id="rId1131" Type="http://schemas.openxmlformats.org/officeDocument/2006/relationships/hyperlink" Target="https://www.datacenterknowledge.com/build-design/developer-forges-ahead-with-38b-in-nc-data-center-builds?utm_source=chatgpt.com" TargetMode="External"/><Relationship Id="rId2462" Type="http://schemas.openxmlformats.org/officeDocument/2006/relationships/hyperlink" Target="https://www.spotsylvania.va.us/DocumentCenter/View/33280/1st-Submission-Narrative-22125" TargetMode="External"/><Relationship Id="rId543" Type="http://schemas.openxmlformats.org/officeDocument/2006/relationships/hyperlink" Target="https://www.datacenterdynamics.com/en/news/smr-developer-deep-atomic-proposes-nuclear-powered-ai-data-center-at-idaho-national-lab/" TargetMode="External"/><Relationship Id="rId1132" Type="http://schemas.openxmlformats.org/officeDocument/2006/relationships/hyperlink" Target="https://soundrivers.org/ai-data-center-community-meeting-kingsboro/" TargetMode="External"/><Relationship Id="rId2463" Type="http://schemas.openxmlformats.org/officeDocument/2006/relationships/hyperlink" Target="https://gis.spotsylvania.va.us/spotsylvania/" TargetMode="External"/><Relationship Id="rId542" Type="http://schemas.openxmlformats.org/officeDocument/2006/relationships/hyperlink" Target="https://www.change.org/p/say-no-to-nuclear-powered-ai-in-idaho-without-strong-climate-and-safety-protections" TargetMode="External"/><Relationship Id="rId1133" Type="http://schemas.openxmlformats.org/officeDocument/2006/relationships/hyperlink" Target="https://www.wfae.org/energy-environment/2025-12-02/proposed-edgecombe-county-data-center-draws-criticism-during-county-meeting" TargetMode="External"/><Relationship Id="rId2464" Type="http://schemas.openxmlformats.org/officeDocument/2006/relationships/hyperlink" Target="https://vantage-dc.com/company/contact-us/" TargetMode="External"/><Relationship Id="rId541" Type="http://schemas.openxmlformats.org/officeDocument/2006/relationships/hyperlink" Target="https://www.datacenterdynamics.com/en/news/microsoft-files-for-new-data-center-campus-in-des-moines-iowa/" TargetMode="External"/><Relationship Id="rId1134" Type="http://schemas.openxmlformats.org/officeDocument/2006/relationships/hyperlink" Target="https://www.wunc.org/2025-11-25/opposition-mounts-to-proposed-large-data-center-in-edgecombe-county?utm_source=chatgpt.com" TargetMode="External"/><Relationship Id="rId2465" Type="http://schemas.openxmlformats.org/officeDocument/2006/relationships/hyperlink" Target="https://pwc.publicaccessnow.com/PropertyDetail.aspx?mpropertynumber=091439&amp;mtab=property&amp;p=091439" TargetMode="External"/><Relationship Id="rId540" Type="http://schemas.openxmlformats.org/officeDocument/2006/relationships/hyperlink" Target="https://rbnenergy.com/i-know-places-tech-giants-may-be-the-surest-bets-for-data-center-power-demand" TargetMode="External"/><Relationship Id="rId1135" Type="http://schemas.openxmlformats.org/officeDocument/2006/relationships/hyperlink" Target="https://www.datacenterdynamics.com/en/news/north-carolina-ai-data-center-proposal-withdrawn-as-county-officials-mull-moratorium/" TargetMode="External"/><Relationship Id="rId2466" Type="http://schemas.openxmlformats.org/officeDocument/2006/relationships/hyperlink" Target="https://corscale.com/gainesville-crossing-data-center/" TargetMode="External"/><Relationship Id="rId1125" Type="http://schemas.openxmlformats.org/officeDocument/2006/relationships/hyperlink" Target="https://www.iredellfreenews.com/news-features/2025/statesville-planning-department-recommends-approval-of-rezoning-request-for-compass-data-centers-project/" TargetMode="External"/><Relationship Id="rId2456" Type="http://schemas.openxmlformats.org/officeDocument/2006/relationships/hyperlink" Target="https://va-stafford-assessor.publicaccessnow.com/PropertySearch/PropertyDetails.aspx?p=59%20%20%20%20%20%20%20%2075D&amp;a=58576" TargetMode="External"/><Relationship Id="rId1126" Type="http://schemas.openxmlformats.org/officeDocument/2006/relationships/hyperlink" Target="https://www.iredellfreenews.com/news-features/2025/breaking-news-statesville-council-unanimously-approves-rezoning-request-for-massive-data-center/" TargetMode="External"/><Relationship Id="rId2457" Type="http://schemas.openxmlformats.org/officeDocument/2006/relationships/hyperlink" Target="https://www.datacenterdynamics.com/en/news/data-center-campus-recommended-for-disapproval-by-fredericksburg-planning-commission/" TargetMode="External"/><Relationship Id="rId1127" Type="http://schemas.openxmlformats.org/officeDocument/2006/relationships/hyperlink" Target="https://www.charlotteobserver.com/news/business/development/article311792813.html" TargetMode="External"/><Relationship Id="rId2458" Type="http://schemas.openxmlformats.org/officeDocument/2006/relationships/hyperlink" Target="https://baxtel.com/data-center/amazon-summit-crossing-tech-campus" TargetMode="External"/><Relationship Id="rId1128" Type="http://schemas.openxmlformats.org/officeDocument/2006/relationships/hyperlink" Target="https://soundrivers.org/ai-data-center-community-meeting-kingsboro/" TargetMode="External"/><Relationship Id="rId2459" Type="http://schemas.openxmlformats.org/officeDocument/2006/relationships/hyperlink" Target="https://www.datacenterdynamics.com/en/news/10m-sq-ft-amazon-files-for-four-data-center-campuses-in-virginias-spotsylvania-and-caroline-counties/" TargetMode="External"/><Relationship Id="rId1129" Type="http://schemas.openxmlformats.org/officeDocument/2006/relationships/hyperlink" Target="https://www.facebook.com/groups/4550854725145782/" TargetMode="External"/><Relationship Id="rId536" Type="http://schemas.openxmlformats.org/officeDocument/2006/relationships/hyperlink" Target="https://www.datacenterdynamics.com/en/news/microsoft-files-for-new-data-center-campus-in-des-moines-iowa/" TargetMode="External"/><Relationship Id="rId535" Type="http://schemas.openxmlformats.org/officeDocument/2006/relationships/hyperlink" Target="https://www.datacenterdynamics.com/en/news/microsoft-granted-permit-for-new-data-center-in-des-moines-iowa/" TargetMode="External"/><Relationship Id="rId534" Type="http://schemas.openxmlformats.org/officeDocument/2006/relationships/hyperlink" Target="https://www.datacenterdynamics.com/en/news/microsoft-files-for-new-data-center-campus-in-des-moines-iowa/" TargetMode="External"/><Relationship Id="rId533" Type="http://schemas.openxmlformats.org/officeDocument/2006/relationships/hyperlink" Target="https://ground.news/article/us-signal-expands-national-infrastructure-footprint-with-major-data-center-and-fiber-investments?utm_source=chatgpt.com" TargetMode="External"/><Relationship Id="rId539" Type="http://schemas.openxmlformats.org/officeDocument/2006/relationships/hyperlink" Target="https://www.datacenterdynamics.com/en/news/microsoft-files-for-new-data-center-campus-in-des-moines-iowa/" TargetMode="External"/><Relationship Id="rId538" Type="http://schemas.openxmlformats.org/officeDocument/2006/relationships/hyperlink" Target="https://rbnenergy.com/i-know-places-tech-giants-may-be-the-surest-bets-for-data-center-power-demand" TargetMode="External"/><Relationship Id="rId537" Type="http://schemas.openxmlformats.org/officeDocument/2006/relationships/hyperlink" Target="https://www.datacenterdynamics.com/en/news/microsoft-files-for-new-data-center-campus-in-des-moines-iowa/" TargetMode="External"/><Relationship Id="rId2450" Type="http://schemas.openxmlformats.org/officeDocument/2006/relationships/hyperlink" Target="https://www.datacenterdynamics.com/en/news/data-center-campus-recommended-for-disapproval-by-fredericksburg-planning-commission/" TargetMode="External"/><Relationship Id="rId1120" Type="http://schemas.openxmlformats.org/officeDocument/2006/relationships/hyperlink" Target="https://www.datacenterdynamics.com/en/news/property-developer-drox-looking-to-build-129-acre-data-center-near-greensboro-north-carolina/" TargetMode="External"/><Relationship Id="rId2451" Type="http://schemas.openxmlformats.org/officeDocument/2006/relationships/hyperlink" Target="https://www.datacenterdynamics.com/en/news/powerhouse-plans-800mw-campus-in-virginias-spotsylvania-county/" TargetMode="External"/><Relationship Id="rId532" Type="http://schemas.openxmlformats.org/officeDocument/2006/relationships/hyperlink" Target="https://www.dbusiness.com/daily-news/us-signal-adding-3mw-of-commercial-computing-power-to-belleville-data-center/" TargetMode="External"/><Relationship Id="rId1121" Type="http://schemas.openxmlformats.org/officeDocument/2006/relationships/hyperlink" Target="https://insideclimatenews.org/news/01112025/north-carolina-natural-gas-well-data-center/" TargetMode="External"/><Relationship Id="rId2452" Type="http://schemas.openxmlformats.org/officeDocument/2006/relationships/hyperlink" Target="https://gis.spotsylvania.va.us/spotsylvania/" TargetMode="External"/><Relationship Id="rId531" Type="http://schemas.openxmlformats.org/officeDocument/2006/relationships/hyperlink" Target="https://www.datacenterdynamics.com/en/news/us-signal-to-expand-capacity-at-data-centers-in-michigan-detroit/" TargetMode="External"/><Relationship Id="rId1122" Type="http://schemas.openxmlformats.org/officeDocument/2006/relationships/hyperlink" Target="https://cwfnc.org/nofracklee/" TargetMode="External"/><Relationship Id="rId2453" Type="http://schemas.openxmlformats.org/officeDocument/2006/relationships/hyperlink" Target="https://www.datacenterdynamics.com/en/news/powerhouse-files-to-develop-second-phase-of-spotsylvania-data-center-campus-in-virginia/" TargetMode="External"/><Relationship Id="rId530" Type="http://schemas.openxmlformats.org/officeDocument/2006/relationships/hyperlink" Target="https://www.datacenterdynamics.com/en/news/900-acre-data-center-could-be-built-in-salix-iowa/" TargetMode="External"/><Relationship Id="rId1123" Type="http://schemas.openxmlformats.org/officeDocument/2006/relationships/hyperlink" Target="https://www.change.org/p/prevent-data-center-construction-in-iredell-county-residential-agricultural-area" TargetMode="External"/><Relationship Id="rId2454" Type="http://schemas.openxmlformats.org/officeDocument/2006/relationships/hyperlink" Target="https://www.nao.usace.army.mil/Media/Public-Notices/Article/4391426/nao-2021-03032-powerhouse95-data-center-phase-ii-spotsylvania-county-virginia/" TargetMode="External"/><Relationship Id="rId1124" Type="http://schemas.openxmlformats.org/officeDocument/2006/relationships/hyperlink" Target="https://www.datacenterdynamics.com/en/news/compass-datacenters-proposes-333-acre-campus-in-statesville-north-carolina/" TargetMode="External"/><Relationship Id="rId2455" Type="http://schemas.openxmlformats.org/officeDocument/2006/relationships/hyperlink" Target="https://app.sharebase.com/" TargetMode="External"/><Relationship Id="rId1158" Type="http://schemas.openxmlformats.org/officeDocument/2006/relationships/hyperlink" Target="https://www.datacenterdynamics.com/en/news/nebraska-carbon-black-plant-set-to-host-data-center/" TargetMode="External"/><Relationship Id="rId2489" Type="http://schemas.openxmlformats.org/officeDocument/2006/relationships/hyperlink" Target="https://smartdevtaskforce.com/" TargetMode="External"/><Relationship Id="rId1159" Type="http://schemas.openxmlformats.org/officeDocument/2006/relationships/hyperlink" Target="https://www.datacenterdynamics.com/en/news/sequitor-edge-to-build-data-center-on-16-acre-land-parcel-in-kearney-nebraska/" TargetMode="External"/><Relationship Id="rId569" Type="http://schemas.openxmlformats.org/officeDocument/2006/relationships/hyperlink" Target="https://www.datacenterdynamics.com/en/news/aligned-stream-and-nexstar-planning-data-center-campuses-in-elk-grove-area-of-chicago/" TargetMode="External"/><Relationship Id="rId568" Type="http://schemas.openxmlformats.org/officeDocument/2006/relationships/hyperlink" Target="https://www.datacenterdynamics.com/en/news/aligned-stream-and-nexstar-planning-data-center-campuses-in-elk-grove-area-of-chicago/" TargetMode="External"/><Relationship Id="rId567" Type="http://schemas.openxmlformats.org/officeDocument/2006/relationships/hyperlink" Target="https://www.datacenterdynamics.com/en/news/aligned-stream-and-nexstar-planning-data-center-campuses-in-elk-grove-area-of-chicago/" TargetMode="External"/><Relationship Id="rId566" Type="http://schemas.openxmlformats.org/officeDocument/2006/relationships/hyperlink" Target="https://www.datacenterdynamics.com/en/news/aligned-stream-and-nexstar-planning-data-center-campuses-in-elk-grove-area-of-chicago/" TargetMode="External"/><Relationship Id="rId2480" Type="http://schemas.openxmlformats.org/officeDocument/2006/relationships/hyperlink" Target="https://www.potomaclocal.com/2026/03/31/digital-gateway-projects-halted-court-rules-oak-valley-rezonings-invalid-in-major-resident-victory" TargetMode="External"/><Relationship Id="rId561" Type="http://schemas.openxmlformats.org/officeDocument/2006/relationships/hyperlink" Target="https://www.yahoo.com/news/articles/environmentally-friendly-data-center-coming-045900554.html" TargetMode="External"/><Relationship Id="rId1150" Type="http://schemas.openxmlformats.org/officeDocument/2006/relationships/hyperlink" Target="https://www.inforum.com/news/fargo/construction-begins-on-3-billion-ai-data-center-near-fargo" TargetMode="External"/><Relationship Id="rId2481" Type="http://schemas.openxmlformats.org/officeDocument/2006/relationships/hyperlink" Target="https://www.fauquiernow.com/news/business/digital-gateway-alert-judges-rule-in-favor-of-prince-william-residents/article_bbc1fa3b-cfea-5a99-9498-6b82a4535201.html" TargetMode="External"/><Relationship Id="rId560" Type="http://schemas.openxmlformats.org/officeDocument/2006/relationships/hyperlink" Target="https://www.idcnova.com/html/1/59/153/4755.html" TargetMode="External"/><Relationship Id="rId1151" Type="http://schemas.openxmlformats.org/officeDocument/2006/relationships/hyperlink" Target="https://www.inforum.com/news/fargo/fargo-withdraws-annexation-attempts-of-3-billion-ai-data-center-near-harwood" TargetMode="External"/><Relationship Id="rId2482" Type="http://schemas.openxmlformats.org/officeDocument/2006/relationships/hyperlink" Target="https://www.datacenterdynamics.com/en/news/officials-in-virginias-prince-william-county-drop-support-for-qtscompass-digital-gateway-data-center-project/?ms=emailcbzoom250715" TargetMode="External"/><Relationship Id="rId1152" Type="http://schemas.openxmlformats.org/officeDocument/2006/relationships/hyperlink" Target="https://www.datacenterdynamics.com/en/news/applied-digital-signs-250mw-agreement-with-coreweave-for-capacity-at-ellendale-campus-north-dakota/" TargetMode="External"/><Relationship Id="rId2483" Type="http://schemas.openxmlformats.org/officeDocument/2006/relationships/hyperlink" Target="https://www.fox5dc.com/news/qts-drops-appeal-ending-plans-massive-prince-william-county-data-center" TargetMode="External"/><Relationship Id="rId1153" Type="http://schemas.openxmlformats.org/officeDocument/2006/relationships/hyperlink" Target="https://www.inforum.com/business/large-scale-crypto-mining-data-center-planned-for-western-north-dakota-oil-patch" TargetMode="External"/><Relationship Id="rId2484" Type="http://schemas.openxmlformats.org/officeDocument/2006/relationships/hyperlink" Target="https://egcss.pwcgov.org/SelfService" TargetMode="External"/><Relationship Id="rId565" Type="http://schemas.openxmlformats.org/officeDocument/2006/relationships/hyperlink" Target="https://www.datacenterdynamics.com/en/news/aligned-stream-and-nexstar-planning-data-center-campuses-in-elk-grove-area-of-chicago/" TargetMode="External"/><Relationship Id="rId1154" Type="http://schemas.openxmlformats.org/officeDocument/2006/relationships/hyperlink" Target="https://cryptosaurus.tech/williams-co-residents-frustrated-by-no-crackdown-on-crypto-mine-state-says-its-a-local-issue/" TargetMode="External"/><Relationship Id="rId2485" Type="http://schemas.openxmlformats.org/officeDocument/2006/relationships/hyperlink" Target="https://pwc.publicaccessnow.com/PropertyDetail.aspx?mtab=property&amp;mpropertynumber=263077" TargetMode="External"/><Relationship Id="rId564" Type="http://schemas.openxmlformats.org/officeDocument/2006/relationships/hyperlink" Target="https://www.datacenterdynamics.com/en/news/aligned-stream-and-nexstar-planning-data-center-campuses-in-elk-grove-area-of-chicago/" TargetMode="External"/><Relationship Id="rId1155" Type="http://schemas.openxmlformats.org/officeDocument/2006/relationships/hyperlink" Target="https://www.kfyrtv.com/2024/03/20/court-hears-arguments-over-atlas-power-data-center-civil-lawsuit/?tbref=hp" TargetMode="External"/><Relationship Id="rId2486" Type="http://schemas.openxmlformats.org/officeDocument/2006/relationships/hyperlink" Target="https://www.datacenterdynamics.com/en/news/data-center-campus-gets-rezoning-approval-in-prince-william-county-virginia/" TargetMode="External"/><Relationship Id="rId563" Type="http://schemas.openxmlformats.org/officeDocument/2006/relationships/hyperlink" Target="https://therealdeal.com/chicago/2023/05/09/data-center-developer-aligned-assembles-26-acres-near-ohare/" TargetMode="External"/><Relationship Id="rId1156" Type="http://schemas.openxmlformats.org/officeDocument/2006/relationships/hyperlink" Target="https://www.kfyrtv.com/2025/06/17/settlement-reached-atlas-power-data-center-civil-lawsuit/" TargetMode="External"/><Relationship Id="rId2487" Type="http://schemas.openxmlformats.org/officeDocument/2006/relationships/hyperlink" Target="https://pwc.publicaccessnow.com/PropertyDetail.aspx?mtab=property&amp;mpropertynumber=229695" TargetMode="External"/><Relationship Id="rId562" Type="http://schemas.openxmlformats.org/officeDocument/2006/relationships/hyperlink" Target="https://www.datacenterdynamics.com/en/news/aligned-stream-and-nexstar-planning-data-center-campuses-in-elk-grove-area-of-chicago/" TargetMode="External"/><Relationship Id="rId1157" Type="http://schemas.openxmlformats.org/officeDocument/2006/relationships/hyperlink" Target="https://www.datacenterdynamics.com/en/news/455mw-data-center-campus-proposed-in-north-dakota/" TargetMode="External"/><Relationship Id="rId2488" Type="http://schemas.openxmlformats.org/officeDocument/2006/relationships/hyperlink" Target="https://realestate.henrico.us/ords/cam/f?p=510101:5:::NO::P5_PARCEL_ID,P5_SEARCH_TYPE:750-765-9452,0" TargetMode="External"/><Relationship Id="rId1147" Type="http://schemas.openxmlformats.org/officeDocument/2006/relationships/hyperlink" Target="https://www.datacenterdynamics.com/en/news/nixxy-and-tachyon-9-plan-up-to-1gw-data-center-campus-in-north-dakota/" TargetMode="External"/><Relationship Id="rId2478" Type="http://schemas.openxmlformats.org/officeDocument/2006/relationships/hyperlink" Target="https://egcss.pwcgov.org/SelfService" TargetMode="External"/><Relationship Id="rId1148" Type="http://schemas.openxmlformats.org/officeDocument/2006/relationships/hyperlink" Target="https://www.datacenterdynamics.com/en/news/applied-digital-plans-280mw-ai-data-center-campus-in-north-dakota/" TargetMode="External"/><Relationship Id="rId2479" Type="http://schemas.openxmlformats.org/officeDocument/2006/relationships/hyperlink" Target="https://www.pecva.org/resources/press/pec-statement-on-prince-william-digital-gateway-latest-legal-win" TargetMode="External"/><Relationship Id="rId1149" Type="http://schemas.openxmlformats.org/officeDocument/2006/relationships/hyperlink" Target="https://www.inforum.com/news/fargo/despite-calls-to-postpone-decision-harwood-greenlights-3-billion-ai-center" TargetMode="External"/><Relationship Id="rId558" Type="http://schemas.openxmlformats.org/officeDocument/2006/relationships/hyperlink" Target="https://www.datacenterdynamics.com/en/news/karis-withdraws-rezoning-request-for-data-center-in-hoffman-estates-illinois/" TargetMode="External"/><Relationship Id="rId557" Type="http://schemas.openxmlformats.org/officeDocument/2006/relationships/hyperlink" Target="https://usdatamap.com/facility/meta-dekalb-il-il-meta-8" TargetMode="External"/><Relationship Id="rId556" Type="http://schemas.openxmlformats.org/officeDocument/2006/relationships/hyperlink" Target="https://poweredbywho.com/projects/meta-dekalb-data-center-fc313cee" TargetMode="External"/><Relationship Id="rId555" Type="http://schemas.openxmlformats.org/officeDocument/2006/relationships/hyperlink" Target="https://datacenters.atmeta.com/2023/11/dekalb-we-are-online/" TargetMode="External"/><Relationship Id="rId559" Type="http://schemas.openxmlformats.org/officeDocument/2006/relationships/hyperlink" Target="https://www.effinghamdailynews.com/news/environmentally-friendly-data-center-coming-to-effingham/article_7f38e269-f40d-49d8-b607-55f26c7d4bf3.html" TargetMode="External"/><Relationship Id="rId550" Type="http://schemas.openxmlformats.org/officeDocument/2006/relationships/hyperlink" Target="https://www.datacenterdynamics.com/en/news/brennan-investment-group-withdraws-plans-for-2bn-data-center-outside-chicago-illinois/" TargetMode="External"/><Relationship Id="rId2470" Type="http://schemas.openxmlformats.org/officeDocument/2006/relationships/hyperlink" Target="https://pwc.publicaccessnow.com/PropertyDetail.aspx?mpropertynumber=252670&amp;mtab=property&amp;p=252670" TargetMode="External"/><Relationship Id="rId1140" Type="http://schemas.openxmlformats.org/officeDocument/2006/relationships/hyperlink" Target="https://www.yahoo.com/news/articles/stokes-county-votes-start-proposed-193733203.html" TargetMode="External"/><Relationship Id="rId2471" Type="http://schemas.openxmlformats.org/officeDocument/2006/relationships/hyperlink" Target="https://pwc.publicaccessnow.com/PropertyDetail.aspx?mpropertynumber=026368&amp;mtab=property&amp;p=026368" TargetMode="External"/><Relationship Id="rId1141" Type="http://schemas.openxmlformats.org/officeDocument/2006/relationships/hyperlink" Target="https://www.datacenterdynamics.com/en/news/company-eyes-300-acre-data-center-development-in-bismarck-north-dakota/" TargetMode="External"/><Relationship Id="rId2472" Type="http://schemas.openxmlformats.org/officeDocument/2006/relationships/hyperlink" Target="https://www.datacenterdynamics.com/en/news/data-center-granted-rezoning-and-special-use-permission-in-prince-william-county-virginia/" TargetMode="External"/><Relationship Id="rId1142" Type="http://schemas.openxmlformats.org/officeDocument/2006/relationships/hyperlink" Target="https://www.datacenterdynamics.com/en/news/applied-digital-signs-250mw-agreement-with-coreweave-for-capacity-at-ellendale-campus-north-dakota/" TargetMode="External"/><Relationship Id="rId2473" Type="http://schemas.openxmlformats.org/officeDocument/2006/relationships/hyperlink" Target="https://pwc.publicaccessnow.com/PropertyDetail.aspx?mtab=property&amp;mpropertynumber=013273" TargetMode="External"/><Relationship Id="rId554" Type="http://schemas.openxmlformats.org/officeDocument/2006/relationships/hyperlink" Target="https://www.datacenterdynamics.com/en/news/seven-building-data-center-campus-gets-preliminary-ok-from-illinois-planning-commission/" TargetMode="External"/><Relationship Id="rId1143" Type="http://schemas.openxmlformats.org/officeDocument/2006/relationships/hyperlink" Target="https://www.datacenterdynamics.com/en/news/applied-digital-plans-280mw-ai-data-center-campus-in-north-dakota/" TargetMode="External"/><Relationship Id="rId2474" Type="http://schemas.openxmlformats.org/officeDocument/2006/relationships/hyperlink" Target="https://egcss.pwcgov.org/SelfService" TargetMode="External"/><Relationship Id="rId553" Type="http://schemas.openxmlformats.org/officeDocument/2006/relationships/hyperlink" Target="https://www.datacenterdynamics.com/en/news/new-firm-announces-plans-for-20mw-liquid-cooled-data-center-in-chicago/" TargetMode="External"/><Relationship Id="rId1144" Type="http://schemas.openxmlformats.org/officeDocument/2006/relationships/hyperlink" Target="https://fargoinc.com/applied-digitals-high-performance-compute-expansion-in-north-dakota/" TargetMode="External"/><Relationship Id="rId2475" Type="http://schemas.openxmlformats.org/officeDocument/2006/relationships/hyperlink" Target="https://pwc.publicaccessnow.com/PropertyDetail.aspx?mpropertynumber=114169&amp;mtab=property&amp;p=114169" TargetMode="External"/><Relationship Id="rId552" Type="http://schemas.openxmlformats.org/officeDocument/2006/relationships/hyperlink" Target="https://www.change.org/p/regulate-ai-data-centers-in-chicago" TargetMode="External"/><Relationship Id="rId1145" Type="http://schemas.openxmlformats.org/officeDocument/2006/relationships/hyperlink" Target="https://www.datacenterdynamics.com/en/news/applied-digital-completes-first-data-center-building-at-north-dakota-campus/" TargetMode="External"/><Relationship Id="rId2476" Type="http://schemas.openxmlformats.org/officeDocument/2006/relationships/hyperlink" Target="https://www.datacenterdynamics.com/en/news/ntt-secures-four-data-center-leases-in-us-totaling-115mw/" TargetMode="External"/><Relationship Id="rId551" Type="http://schemas.openxmlformats.org/officeDocument/2006/relationships/hyperlink" Target="https://www.datacenterdynamics.com/en/news/planned-data-center-project-outside-chicago-illinois-paused-due-to-energy-infrastructure/" TargetMode="External"/><Relationship Id="rId1146" Type="http://schemas.openxmlformats.org/officeDocument/2006/relationships/hyperlink" Target="https://www.datacenterdynamics.com/en/news/applied-digital-completes-second-building-at-north-dakota-data-center-campus/" TargetMode="External"/><Relationship Id="rId2477" Type="http://schemas.openxmlformats.org/officeDocument/2006/relationships/hyperlink" Target="https://pwc.publicaccessnow.com/PropertyDetail.aspx?mpropertynumber=204354&amp;mtab=property&amp;p=204354" TargetMode="External"/><Relationship Id="rId495" Type="http://schemas.openxmlformats.org/officeDocument/2006/relationships/hyperlink" Target="https://apps.dca.ga.gov/DRI/AppSummary.aspx?driid=4315" TargetMode="External"/><Relationship Id="rId494" Type="http://schemas.openxmlformats.org/officeDocument/2006/relationships/hyperlink" Target="https://www.datacenterdynamics.com/en/news/ta-realty-files-for-1-million-sq-ft-data-center-campus-outside-atlanta-georgia/" TargetMode="External"/><Relationship Id="rId493" Type="http://schemas.openxmlformats.org/officeDocument/2006/relationships/hyperlink" Target="https://apps.dca.ga.gov/DRI/AppSummary.aspx?driid=4094" TargetMode="External"/><Relationship Id="rId492" Type="http://schemas.openxmlformats.org/officeDocument/2006/relationships/hyperlink" Target="https://www.datacenterdynamics.com/en/news/microsoft-confirms-plans-for-data-center-in-tyrone-georgia/" TargetMode="External"/><Relationship Id="rId499" Type="http://schemas.openxmlformats.org/officeDocument/2006/relationships/hyperlink" Target="https://www.datacenterdynamics.com/en/news/atlas-files-for-428-acre-technology-and-data-park-outside-atlanta-georgia/" TargetMode="External"/><Relationship Id="rId498" Type="http://schemas.openxmlformats.org/officeDocument/2006/relationships/hyperlink" Target="https://cms2.revize.com/revize/villaricaga/Documents/Government/Boards%20and%20Committees/Planning%20and%20Zoning/2024/Agenda/PlanningandZoningCommissionPacket08-20-24031218092024PM1371.pdf" TargetMode="External"/><Relationship Id="rId497" Type="http://schemas.openxmlformats.org/officeDocument/2006/relationships/hyperlink" Target="https://www.datacenterdynamics.com/en/news/atlas-files-for-428-acre-technology-and-data-park-outside-atlanta-georgia/" TargetMode="External"/><Relationship Id="rId496" Type="http://schemas.openxmlformats.org/officeDocument/2006/relationships/hyperlink" Target="https://share.newsbreak.com/f5k7f69n?s=i3" TargetMode="External"/><Relationship Id="rId1213" Type="http://schemas.openxmlformats.org/officeDocument/2006/relationships/hyperlink" Target="https://www.datacenterdynamics.com/en/news/170mw-data-center-campus-proposed-in-boulder-nevada/" TargetMode="External"/><Relationship Id="rId2544" Type="http://schemas.openxmlformats.org/officeDocument/2006/relationships/hyperlink" Target="https://dgtlinfra.com/blackchamber-group-data-centers-northern-virginia/" TargetMode="External"/><Relationship Id="rId1214" Type="http://schemas.openxmlformats.org/officeDocument/2006/relationships/hyperlink" Target="https://www.datacenterdynamics.com/en/news/170mw-data-center-project-outside-las-vegas-set-to-move-from-city-owned-to-federal-land/" TargetMode="External"/><Relationship Id="rId2545" Type="http://schemas.openxmlformats.org/officeDocument/2006/relationships/hyperlink" Target="https://reparcelasmt.loudoun.gov/pt/Datalets/Datalet.aspx?UseSearch=no&amp;mode=profileall&amp;pin=150151774000&amp;jur=107&amp;taxyr=2024" TargetMode="External"/><Relationship Id="rId1215" Type="http://schemas.openxmlformats.org/officeDocument/2006/relationships/hyperlink" Target="https://www.datacenterdynamics.com/en/news/novva-data-centers-buys-205-acres-of-land-in-las-vegas-nevada/" TargetMode="External"/><Relationship Id="rId2546" Type="http://schemas.openxmlformats.org/officeDocument/2006/relationships/hyperlink" Target="https://baxtel.com/data-center/tuscarora-crossing-campus" TargetMode="External"/><Relationship Id="rId1216" Type="http://schemas.openxmlformats.org/officeDocument/2006/relationships/hyperlink" Target="https://www.datacenterdynamics.com/en/news/novva-data-centers-buys-205-acres-of-land-in-las-vegas-nevada/" TargetMode="External"/><Relationship Id="rId2547" Type="http://schemas.openxmlformats.org/officeDocument/2006/relationships/hyperlink" Target="https://www.loudountimes.com/0local-or-not/1local/leesburg-town-council-approves-first-data-center/article_568da46e-d674-11ee-90ca-17b0a49acf18.html" TargetMode="External"/><Relationship Id="rId1217" Type="http://schemas.openxmlformats.org/officeDocument/2006/relationships/hyperlink" Target="https://www.cityofnorthlasvegas.com/business/economic-development/apex-industrial-park" TargetMode="External"/><Relationship Id="rId2548" Type="http://schemas.openxmlformats.org/officeDocument/2006/relationships/hyperlink" Target="https://reparcelasmt.loudoun.gov/pt/Datalets/Datalet.aspx?UseSearch=no&amp;mode=profileall&amp;pin=149192542000&amp;jur=107&amp;taxyr=2024" TargetMode="External"/><Relationship Id="rId1218" Type="http://schemas.openxmlformats.org/officeDocument/2006/relationships/hyperlink" Target="https://www.datacenterdynamics.com/en/news/switch-buys-another-site-outside-las-vegas/" TargetMode="External"/><Relationship Id="rId2549" Type="http://schemas.openxmlformats.org/officeDocument/2006/relationships/hyperlink" Target="https://loudouncountyvaeg.tylerhost.net/prod/selfservice" TargetMode="External"/><Relationship Id="rId1219" Type="http://schemas.openxmlformats.org/officeDocument/2006/relationships/hyperlink" Target="https://www.datacenterdynamics.com/en/news/switch-buys-176-acres-at-apex-industrial-park-las-vegas/" TargetMode="External"/><Relationship Id="rId2540" Type="http://schemas.openxmlformats.org/officeDocument/2006/relationships/hyperlink" Target="https://loudouncountyvaeg.tylerhost.net/prod/selfservice" TargetMode="External"/><Relationship Id="rId1210" Type="http://schemas.openxmlformats.org/officeDocument/2006/relationships/hyperlink" Target="https://www.datacenterdynamics.com/en/news/2gw-data-center-could-come-to-socorro-new-mexico/" TargetMode="External"/><Relationship Id="rId2541" Type="http://schemas.openxmlformats.org/officeDocument/2006/relationships/hyperlink" Target="https://reparcelasmt.loudoun.gov/pt/Datalets/Datalet.aspx?UseSearch=no&amp;mode=profileall&amp;pin=193186982000&amp;jur=107&amp;taxyr=2024" TargetMode="External"/><Relationship Id="rId1211" Type="http://schemas.openxmlformats.org/officeDocument/2006/relationships/hyperlink" Target="https://www.datacenterdynamics.com/en/news/plans-for-10000-acre-data-center-scrapped-in-socorro-new-mexico//" TargetMode="External"/><Relationship Id="rId2542" Type="http://schemas.openxmlformats.org/officeDocument/2006/relationships/hyperlink" Target="https://loudouncountyvaeg.tylerhost.net/prod/selfservice" TargetMode="External"/><Relationship Id="rId1212" Type="http://schemas.openxmlformats.org/officeDocument/2006/relationships/hyperlink" Target="https://www.change.org/p/no-data-centers-in-boulder-city" TargetMode="External"/><Relationship Id="rId2543" Type="http://schemas.openxmlformats.org/officeDocument/2006/relationships/hyperlink" Target="https://reparcelasmt.loudoun.gov/pt/Datalets/Datalet.aspx?UseSearch=no&amp;mode=profileall&amp;pin=193186982000&amp;jur=107&amp;taxyr=2024" TargetMode="External"/><Relationship Id="rId1202" Type="http://schemas.openxmlformats.org/officeDocument/2006/relationships/hyperlink" Target="https://kfoxtv.com/newsletter-daily/residents-demands-transparency-for-165-billion-santa-teresa-data-center-new-mexico-nm-dona-ana-county-project-jupiter-borderplex-digital" TargetMode="External"/><Relationship Id="rId2533" Type="http://schemas.openxmlformats.org/officeDocument/2006/relationships/hyperlink" Target="https://reparcelasmt.loudoun.gov/pt/datalets/datalet.aspx?mode=commercial&amp;UseSearch=no&amp;pin=234371847002&amp;jur=107&amp;taxyr=2025&amp;LMparent=20" TargetMode="External"/><Relationship Id="rId1203" Type="http://schemas.openxmlformats.org/officeDocument/2006/relationships/hyperlink" Target="https://elpasomatters.org/2025/09/19/project-jupiter-data-center-santa-teresa-approved-dona-ana-commissioners/" TargetMode="External"/><Relationship Id="rId2534" Type="http://schemas.openxmlformats.org/officeDocument/2006/relationships/hyperlink" Target="https://loudouncountyvaeg.tylerhost.net/prod/selfservice" TargetMode="External"/><Relationship Id="rId1204" Type="http://schemas.openxmlformats.org/officeDocument/2006/relationships/hyperlink" Target="https://www.bloomberg.com/news/articles/2025-09-19/ai-data-center-gets-approval-for-165-billion-phantom-debt-deal" TargetMode="External"/><Relationship Id="rId2535" Type="http://schemas.openxmlformats.org/officeDocument/2006/relationships/hyperlink" Target="https://reparcelasmt.loudoun.gov/pt/datalets/datalet.aspx?mode=land_summary&amp;UseSearch=no&amp;pin=234371847001&amp;jur=107&amp;taxyr=2025&amp;LMparent=20" TargetMode="External"/><Relationship Id="rId1205" Type="http://schemas.openxmlformats.org/officeDocument/2006/relationships/hyperlink" Target="https://elpasomatters.org/2025/09/25/stargate-open-ai-oracle-project-jupiter-data-center-dona-ana-new-mexico-el-paso-texas/" TargetMode="External"/><Relationship Id="rId2536" Type="http://schemas.openxmlformats.org/officeDocument/2006/relationships/hyperlink" Target="https://www.loudountimes.com/0local-or-not/1local/oaklawn-data-center-affordable-housing-proposal-faces-public-pushback/article_d731930a-5a9a-11ef-bb44-0f2c1a71197b.html" TargetMode="External"/><Relationship Id="rId1206" Type="http://schemas.openxmlformats.org/officeDocument/2006/relationships/hyperlink" Target="https://www.datacenterdynamics.com/en/news/groups-sue-to-stall-data-center-project-in-do%C3%B1a-ana-county-new-mexico/" TargetMode="External"/><Relationship Id="rId2537" Type="http://schemas.openxmlformats.org/officeDocument/2006/relationships/hyperlink" Target="https://reparcelasmt.loudoun.gov/pt/Datalets/Datalet.aspx?sIndex=3&amp;idx=1" TargetMode="External"/><Relationship Id="rId1207" Type="http://schemas.openxmlformats.org/officeDocument/2006/relationships/hyperlink" Target="https://www.datacenterdynamics.com/en/news/oracle-revealed-as-tenant-of-project-jupiter-data-center-campus-in-new-mexico/" TargetMode="External"/><Relationship Id="rId2538" Type="http://schemas.openxmlformats.org/officeDocument/2006/relationships/hyperlink" Target="https://loudouncountyvaeg.tylerhost.net/prod/selfservice" TargetMode="External"/><Relationship Id="rId1208" Type="http://schemas.openxmlformats.org/officeDocument/2006/relationships/hyperlink" Target="https://www.facebook.com/groups/467857417314430/posts/2172515400181948/" TargetMode="External"/><Relationship Id="rId2539" Type="http://schemas.openxmlformats.org/officeDocument/2006/relationships/hyperlink" Target="https://reparcelasmt.loudoun.gov/pt/Datalets/Datalet.aspx?UseSearch=no&amp;mode=profileall&amp;pin=236387331000&amp;jur=107&amp;taxyr=2024" TargetMode="External"/><Relationship Id="rId1209" Type="http://schemas.openxmlformats.org/officeDocument/2006/relationships/hyperlink" Target="https://www.change.org/p/no-data-center-in-socorro-nm-behind-m-mountain" TargetMode="External"/><Relationship Id="rId2530" Type="http://schemas.openxmlformats.org/officeDocument/2006/relationships/hyperlink" Target="https://www.pecva.org/region/loudoun/leesburg-gateway/" TargetMode="External"/><Relationship Id="rId1200" Type="http://schemas.openxmlformats.org/officeDocument/2006/relationships/hyperlink" Target="https://elpasomatters.org/2025/08/27/dona-ana-billion-dollar-data-center-santa-teresa-el-paso-water-meta/" TargetMode="External"/><Relationship Id="rId2531" Type="http://schemas.openxmlformats.org/officeDocument/2006/relationships/hyperlink" Target="https://www.datacenterdynamics.com/en/news/peterson-co-plots-three-building-data-center-campus-in-leesburg-virginia/" TargetMode="External"/><Relationship Id="rId1201" Type="http://schemas.openxmlformats.org/officeDocument/2006/relationships/hyperlink" Target="https://elpasomatters.org/2025/09/10/project-jupiter-data-center-santa-teresa-new-mexico-el-paso-texas-water-electricity/" TargetMode="External"/><Relationship Id="rId2532" Type="http://schemas.openxmlformats.org/officeDocument/2006/relationships/hyperlink" Target="https://loudouncountyvaeg.tylerhost.net/prod/selfservice" TargetMode="External"/><Relationship Id="rId1235" Type="http://schemas.openxmlformats.org/officeDocument/2006/relationships/hyperlink" Target="https://www.tract.com/project/peru-ridge/" TargetMode="External"/><Relationship Id="rId2566" Type="http://schemas.openxmlformats.org/officeDocument/2006/relationships/hyperlink" Target="https://pwc.publicaccessnow.com/PropertyDetail.aspx?mtab=property&amp;mpropertynumber=026258" TargetMode="External"/><Relationship Id="rId1236" Type="http://schemas.openxmlformats.org/officeDocument/2006/relationships/hyperlink" Target="https://www.datacenterdynamics.com/en/news/fleet-breaks-ground-on-data-center-outside-reno-nevada/" TargetMode="External"/><Relationship Id="rId2567" Type="http://schemas.openxmlformats.org/officeDocument/2006/relationships/hyperlink" Target="https://egcss.pwcgov.org/SelfService" TargetMode="External"/><Relationship Id="rId1237" Type="http://schemas.openxmlformats.org/officeDocument/2006/relationships/hyperlink" Target="https://www.datacenterdynamics.com/en/news/tract-acquires-8590-acres-in-reno-nevada-for-data-center-park/" TargetMode="External"/><Relationship Id="rId2568" Type="http://schemas.openxmlformats.org/officeDocument/2006/relationships/hyperlink" Target="https://pwc.publicaccessnow.com/PropertyDetail.aspx?mtab=property&amp;mpropertynumber=248324" TargetMode="External"/><Relationship Id="rId1238" Type="http://schemas.openxmlformats.org/officeDocument/2006/relationships/hyperlink" Target="https://www.tract.com/project/south-valley/" TargetMode="External"/><Relationship Id="rId2569" Type="http://schemas.openxmlformats.org/officeDocument/2006/relationships/hyperlink" Target="https://pwc.publicaccessnow.com/PropertyDetail.aspx?mtab=property&amp;mpropertynumber=248324" TargetMode="External"/><Relationship Id="rId1239" Type="http://schemas.openxmlformats.org/officeDocument/2006/relationships/hyperlink" Target="https://alliesoftsn.weebly.com/no-data-centers-at-stamp.html" TargetMode="External"/><Relationship Id="rId409" Type="http://schemas.openxmlformats.org/officeDocument/2006/relationships/hyperlink" Target="https://www.facebook.com/groups/1469043077373264/" TargetMode="External"/><Relationship Id="rId404" Type="http://schemas.openxmlformats.org/officeDocument/2006/relationships/hyperlink" Target="https://www.datacenterdynamics.com/en/news/125-million-sq-ft-data-center-proposed-outside-atlanta-georgia" TargetMode="External"/><Relationship Id="rId403" Type="http://schemas.openxmlformats.org/officeDocument/2006/relationships/hyperlink" Target="https://apps.dca.ga.gov/DRI/InitialForm.aspx?driid=4599" TargetMode="External"/><Relationship Id="rId402" Type="http://schemas.openxmlformats.org/officeDocument/2006/relationships/hyperlink" Target="https://www.datacenterdynamics.com/en/news/application-filed-for-5-million-sq-ft-data-center-campus-outside-atlanta-georgia/" TargetMode="External"/><Relationship Id="rId401" Type="http://schemas.openxmlformats.org/officeDocument/2006/relationships/hyperlink" Target="https://www.datacenterdynamics.com/en/news/land-rezoning-for-georgia-data-center-recommended-for-approval/" TargetMode="External"/><Relationship Id="rId408" Type="http://schemas.openxmlformats.org/officeDocument/2006/relationships/hyperlink" Target="https://www.facebook.com/groups/1345806563919459/" TargetMode="External"/><Relationship Id="rId407" Type="http://schemas.openxmlformats.org/officeDocument/2006/relationships/hyperlink" Target="https://www.change.org/p/citizens-opposed-to-data-centers-in-henry-county-ga" TargetMode="External"/><Relationship Id="rId406" Type="http://schemas.openxmlformats.org/officeDocument/2006/relationships/hyperlink" Target="https://henryga.news/2025/03/28/data-center-approved-to-locate-off-georgia-20-in-hampton/" TargetMode="External"/><Relationship Id="rId405" Type="http://schemas.openxmlformats.org/officeDocument/2006/relationships/hyperlink" Target="https://www.change.org/p/citizens-opposed-to-data-centers-in-henry-county-ga" TargetMode="External"/><Relationship Id="rId2560" Type="http://schemas.openxmlformats.org/officeDocument/2006/relationships/hyperlink" Target="https://www.datacenterdynamics.com/en/news/data-center-plan-for-campbell-county-virginia-rejected/" TargetMode="External"/><Relationship Id="rId1230" Type="http://schemas.openxmlformats.org/officeDocument/2006/relationships/hyperlink" Target="https://www.datacenterdynamics.com/en/news/tract-acquires-1000-acres-in-nevada-for-16gw-data-center-park/" TargetMode="External"/><Relationship Id="rId2561" Type="http://schemas.openxmlformats.org/officeDocument/2006/relationships/hyperlink" Target="https://wset.com/news/local/campbell-county-faces-data-center-proposals-as-residents-call-for-stricter-regulations-route-460-concord-cabin-field-road-mesh-capital-llc-supervisor-matthew-kline-november-2025" TargetMode="External"/><Relationship Id="rId400" Type="http://schemas.openxmlformats.org/officeDocument/2006/relationships/hyperlink" Target="https://www.datacenterdynamics.com/en/news/application-filed-for-5-million-sq-ft-data-center-campus-outside-atlanta-georgia/" TargetMode="External"/><Relationship Id="rId1231" Type="http://schemas.openxmlformats.org/officeDocument/2006/relationships/hyperlink" Target="https://www.datacenterdynamics.com/en/news/vantage-announces-224mw-data-center-campus-in-reno-nevada/" TargetMode="External"/><Relationship Id="rId2562" Type="http://schemas.openxmlformats.org/officeDocument/2006/relationships/hyperlink" Target="https://egcss.pwcgov.org/SelfService" TargetMode="External"/><Relationship Id="rId1232" Type="http://schemas.openxmlformats.org/officeDocument/2006/relationships/hyperlink" Target="https://www.datacenterdynamics.com/en/news/tract-acquires-1000-acres-in-nevada-for-16gw-data-center-park/" TargetMode="External"/><Relationship Id="rId2563" Type="http://schemas.openxmlformats.org/officeDocument/2006/relationships/hyperlink" Target="https://pwc.publicaccessnow.com/PropertyDetail.aspx?mtab=property&amp;mpropertynumber=114479" TargetMode="External"/><Relationship Id="rId1233" Type="http://schemas.openxmlformats.org/officeDocument/2006/relationships/hyperlink" Target="https://www.datacenterdynamics.com/en/news/tract-acquires-8590-acres-in-reno-nevada-for-data-center-park/" TargetMode="External"/><Relationship Id="rId2564" Type="http://schemas.openxmlformats.org/officeDocument/2006/relationships/hyperlink" Target="https://pwc.publicaccessnow.com/PropertyDetail.aspx?mpropertynumber=257650&amp;mtab=property&amp;p=257650" TargetMode="External"/><Relationship Id="rId1234" Type="http://schemas.openxmlformats.org/officeDocument/2006/relationships/hyperlink" Target="https://www.datacenterdynamics.com/en/news/tract-acquires-8590-acres-in-reno-nevada-for-data-center-park/" TargetMode="External"/><Relationship Id="rId2565" Type="http://schemas.openxmlformats.org/officeDocument/2006/relationships/hyperlink" Target="https://pwc.publicaccessnow.com/PropertyDetail.aspx?mtab=property&amp;mpropertynumber=026258" TargetMode="External"/><Relationship Id="rId1224" Type="http://schemas.openxmlformats.org/officeDocument/2006/relationships/hyperlink" Target="https://www.rgj.com/story/news/government/2025/03/14/north-valleys-data-center-approved-reno-nevada/82372711007/" TargetMode="External"/><Relationship Id="rId2555" Type="http://schemas.openxmlformats.org/officeDocument/2006/relationships/hyperlink" Target="https://www.bisnow.com/national/news/data-center/amazon-planning-1370-acre-virginia-data-center-campus-129714" TargetMode="External"/><Relationship Id="rId1225" Type="http://schemas.openxmlformats.org/officeDocument/2006/relationships/hyperlink" Target="https://www.rgj.com/story/news/2025/01/29/reno-council-allows-data-center-despite-environmental-groupblocks/77939893007/" TargetMode="External"/><Relationship Id="rId2556" Type="http://schemas.openxmlformats.org/officeDocument/2006/relationships/hyperlink" Target="https://tammypurcell.substack.com/p/breaking-amazon-proposes-third-data" TargetMode="External"/><Relationship Id="rId1226" Type="http://schemas.openxmlformats.org/officeDocument/2006/relationships/hyperlink" Target="https://www.rgj.com/story/news/government/2025/03/14/north-valleys-data-center-approved-reno-nevada/82372711007/" TargetMode="External"/><Relationship Id="rId2557" Type="http://schemas.openxmlformats.org/officeDocument/2006/relationships/hyperlink" Target="https://virginiamercury.com/2025/07/28/amazon-pulls-louisa-county-data-center-proposal-after-strong-resistance/" TargetMode="External"/><Relationship Id="rId1227" Type="http://schemas.openxmlformats.org/officeDocument/2006/relationships/hyperlink" Target="https://www.datacenterdynamics.com/en/news/tract-acquires-8590-acres-in-reno-nevada-for-data-center-park/" TargetMode="External"/><Relationship Id="rId2558" Type="http://schemas.openxmlformats.org/officeDocument/2006/relationships/hyperlink" Target="https://www.datacenterdynamics.com/en/news/aws-seeks-permit-for-another-data-center-campus-in-louisa-county-virginia/" TargetMode="External"/><Relationship Id="rId1228" Type="http://schemas.openxmlformats.org/officeDocument/2006/relationships/hyperlink" Target="https://www.tract.com/project/south-valley/" TargetMode="External"/><Relationship Id="rId2559" Type="http://schemas.openxmlformats.org/officeDocument/2006/relationships/hyperlink" Target="https://wset.com/news/local/campbell-county-supervisors-urged-to-reject-data-center-proposal-amid-concerns-september-2025-cabin-field-road-concord-route-460" TargetMode="External"/><Relationship Id="rId1229" Type="http://schemas.openxmlformats.org/officeDocument/2006/relationships/hyperlink" Target="https://www.datacenterdynamics.com/en/news/fleet-breaks-ground-on-data-center-outside-reno-nevada/" TargetMode="External"/><Relationship Id="rId2550" Type="http://schemas.openxmlformats.org/officeDocument/2006/relationships/hyperlink" Target="https://reparcelasmt.loudoun.gov/pt/Datalets/Datalet.aspx?UseSearch=no&amp;mode=profileall&amp;pin=241270467000&amp;jur=107&amp;taxyr=2025" TargetMode="External"/><Relationship Id="rId1220" Type="http://schemas.openxmlformats.org/officeDocument/2006/relationships/hyperlink" Target="http://jet.ai" TargetMode="External"/><Relationship Id="rId2551" Type="http://schemas.openxmlformats.org/officeDocument/2006/relationships/hyperlink" Target="https://www.battlefields.org/preserve/speak-out/fight-continues-wilderness-battlefield" TargetMode="External"/><Relationship Id="rId1221" Type="http://schemas.openxmlformats.org/officeDocument/2006/relationships/hyperlink" Target="https://www.datacenterdynamics.com/en/news/jetai-cce-form-jv-to-develop-50mw-data-center-in-clark-county-nevada/" TargetMode="External"/><Relationship Id="rId2552" Type="http://schemas.openxmlformats.org/officeDocument/2006/relationships/hyperlink" Target="https://orange.cama.concisesystems.com/PropertyPage.aspx?id=5295&amp;direct=1" TargetMode="External"/><Relationship Id="rId1222" Type="http://schemas.openxmlformats.org/officeDocument/2006/relationships/hyperlink" Target="https://www.datacenterdynamics.com/en/news/centra-breaks-ground-on-second-reno-data-center/" TargetMode="External"/><Relationship Id="rId2553" Type="http://schemas.openxmlformats.org/officeDocument/2006/relationships/hyperlink" Target="https://www.datacenterdynamics.com/en/news/amazon-files-for-38-million-sq-ft-data-center-campus-in-louisa-county-virginia/" TargetMode="External"/><Relationship Id="rId1223" Type="http://schemas.openxmlformats.org/officeDocument/2006/relationships/hyperlink" Target="https://www.rgj.com/story/news/government/2025/09/22/reno-planning-commission-approves-existing-minor-data-center/86250213007/" TargetMode="External"/><Relationship Id="rId2554" Type="http://schemas.openxmlformats.org/officeDocument/2006/relationships/hyperlink" Target="https://www.louisacounty.gov/faq.aspx?qid=275" TargetMode="External"/><Relationship Id="rId2500" Type="http://schemas.openxmlformats.org/officeDocument/2006/relationships/hyperlink" Target="https://pwc.publicaccessnow.com/PropertyDetail.aspx?mtab=property&amp;mpropertynumber=014988" TargetMode="External"/><Relationship Id="rId2501" Type="http://schemas.openxmlformats.org/officeDocument/2006/relationships/hyperlink" Target="https://pwc.publicaccessnow.com/PropertyDetail.aspx?mpropertynumber=211089&amp;mtab=property&amp;p=211089" TargetMode="External"/><Relationship Id="rId2502" Type="http://schemas.openxmlformats.org/officeDocument/2006/relationships/hyperlink" Target="https://realestate.henrico.us/ords/cam/f?p=510101:5:::NO::P5_PARCEL_ID,P5_SEARCH_TYPE:781-757-7788,0" TargetMode="External"/><Relationship Id="rId2503" Type="http://schemas.openxmlformats.org/officeDocument/2006/relationships/hyperlink" Target="https://realestate.henrico.us/ords/cam/f?p=510101:5:::NO::P5_PARCEL_ID,P5_SEARCH_TYPE:771-752-8623,0" TargetMode="External"/><Relationship Id="rId2504" Type="http://schemas.openxmlformats.org/officeDocument/2006/relationships/hyperlink" Target="https://www.goochlandva.us/1480/Tuckahoe-Technology-Park" TargetMode="External"/><Relationship Id="rId2505" Type="http://schemas.openxmlformats.org/officeDocument/2006/relationships/hyperlink" Target="https://richmondbizsense.com/2026/06/11/tuckahoe-tech-park-data-center-campus-planned-on-900-acre-tract-in-goochland/" TargetMode="External"/><Relationship Id="rId2506" Type="http://schemas.openxmlformats.org/officeDocument/2006/relationships/hyperlink" Target="https://icare.fairfaxcounty.gov/ffxcare/Datalets/Datalet.aspx?mode=&amp;UseSearch=no&amp;pin=0162%2054%20%200002&amp;jur=129&amp;taxyr=2025" TargetMode="External"/><Relationship Id="rId2507" Type="http://schemas.openxmlformats.org/officeDocument/2006/relationships/hyperlink" Target="https://www.fairfaxcounty.gov/planning-development/sites/planning-development/files/Assets/Documents/PDF/data-centers-report.pdf" TargetMode="External"/><Relationship Id="rId2508" Type="http://schemas.openxmlformats.org/officeDocument/2006/relationships/hyperlink" Target="https://icare.fairfaxcounty.gov/ffxcare/Datalets/Datalet.aspx?mode=&amp;UseSearch=no&amp;pin=0242%2014%20%200004&amp;jur=129&amp;taxyr=2025" TargetMode="External"/><Relationship Id="rId2509" Type="http://schemas.openxmlformats.org/officeDocument/2006/relationships/hyperlink" Target="https://www.datacenterdynamics.com/en/news/former-ethanol-plant-outside-richmond-virginia-eyed-for-20mw-data-center/" TargetMode="External"/><Relationship Id="rId2522" Type="http://schemas.openxmlformats.org/officeDocument/2006/relationships/hyperlink" Target="https://loudouncountyvaeg.tylerhost.net/prod/selfservice" TargetMode="External"/><Relationship Id="rId2523" Type="http://schemas.openxmlformats.org/officeDocument/2006/relationships/hyperlink" Target="https://reparcelasmt.loudoun.gov/pt/Datalets/Datalet.aspx?UseSearch=no&amp;mode=profileall&amp;pin=237395293000&amp;jur=107&amp;taxyr=2024" TargetMode="External"/><Relationship Id="rId2524" Type="http://schemas.openxmlformats.org/officeDocument/2006/relationships/hyperlink" Target="https://loudouncountyvaeg.tylerhost.net/prod/selfservice" TargetMode="External"/><Relationship Id="rId2525" Type="http://schemas.openxmlformats.org/officeDocument/2006/relationships/hyperlink" Target="https://reparcelasmt.loudoun.gov/pt/Datalets/Datalet.aspx?UseSearch=no&amp;mode=profileall&amp;pin=194498227000&amp;jur=107&amp;taxyr=2024" TargetMode="External"/><Relationship Id="rId2526" Type="http://schemas.openxmlformats.org/officeDocument/2006/relationships/hyperlink" Target="https://reparcelasmt.loudoun.gov/pt/Datalets/Datalet.aspx?UseSearch=no&amp;mode=profileall&amp;pin=235297431000&amp;jur=107&amp;taxyr=2024" TargetMode="External"/><Relationship Id="rId2527" Type="http://schemas.openxmlformats.org/officeDocument/2006/relationships/hyperlink" Target="https://www.datacenterdynamics.com/en/news/amazon-acquires-100-acres-in-leesburg-virginia-for-potential-data-center-development/" TargetMode="External"/><Relationship Id="rId2528" Type="http://schemas.openxmlformats.org/officeDocument/2006/relationships/hyperlink" Target="https://www.loudountimes.com/news/google-purchases-148-acres-in-loudoun-county-for-two-new-data-centers/article_9ea96f08-75b1-5779-9fcf-e2b1dec8429e.html" TargetMode="External"/><Relationship Id="rId2529" Type="http://schemas.openxmlformats.org/officeDocument/2006/relationships/hyperlink" Target="https://reparcelasmt.loudoun.gov/pt/Datalets/Datalet.aspx?UseSearch=no&amp;mode=profileall&amp;pin=148350679000&amp;jur=107&amp;taxyr=2024" TargetMode="External"/><Relationship Id="rId2520" Type="http://schemas.openxmlformats.org/officeDocument/2006/relationships/hyperlink" Target="https://www.datacenterdynamics.com/en/news/proposal-for-data-center-in-leesburg-virginia-approved/" TargetMode="External"/><Relationship Id="rId2521" Type="http://schemas.openxmlformats.org/officeDocument/2006/relationships/hyperlink" Target="https://www.datacenterdynamics.com/en/news/two-building-data-center-campus-eyed-outside-leesburg-virginia/" TargetMode="External"/><Relationship Id="rId2511" Type="http://schemas.openxmlformats.org/officeDocument/2006/relationships/hyperlink" Target="https://pwc.publicaccessnow.com/PropertyDetail.aspx?mtab=property&amp;mpropertynumber=248431" TargetMode="External"/><Relationship Id="rId2512" Type="http://schemas.openxmlformats.org/officeDocument/2006/relationships/hyperlink" Target="https://www.datacenterdynamics.com/en/news/edgecore-to-develop-11gw-data-center-in-louisa-county-virginia/" TargetMode="External"/><Relationship Id="rId2513" Type="http://schemas.openxmlformats.org/officeDocument/2006/relationships/hyperlink" Target="https://www.datacenterdynamics.com/en/news/virginias-king-george-county-looks-to-approve-75m-sq-ft-data-center-park-for-amazon/" TargetMode="External"/><Relationship Id="rId2514" Type="http://schemas.openxmlformats.org/officeDocument/2006/relationships/hyperlink" Target="https://www.datacenterdynamics.com/en/news/9-million-sq-ft-data-center-campus-proposed-in-virginias-king-george-county/" TargetMode="External"/><Relationship Id="rId2515" Type="http://schemas.openxmlformats.org/officeDocument/2006/relationships/hyperlink" Target="https://loudouncountyvaeg.tylerhost.net/prod/selfservice" TargetMode="External"/><Relationship Id="rId2516" Type="http://schemas.openxmlformats.org/officeDocument/2006/relationships/hyperlink" Target="https://reparcelasmt.loudoun.gov/pt/datalets/datalet.aspx?mode=profileall&amp;UseSearch=no&amp;pin=194103673001&amp;jur=107&amp;taxyr=2024&amp;LMparent=20" TargetMode="External"/><Relationship Id="rId2517" Type="http://schemas.openxmlformats.org/officeDocument/2006/relationships/hyperlink" Target="https://loudouncountyvaeg.tylerhost.net/prod/selfservice" TargetMode="External"/><Relationship Id="rId2518" Type="http://schemas.openxmlformats.org/officeDocument/2006/relationships/hyperlink" Target="https://reparcelasmt.loudoun.gov/pt/Datalets/Datalet.aspx?UseSearch=no&amp;mode=profileall&amp;pin=192163918000&amp;jur=107&amp;taxyr=2024" TargetMode="External"/><Relationship Id="rId2519" Type="http://schemas.openxmlformats.org/officeDocument/2006/relationships/hyperlink" Target="https://www.loudounnow.com/news/supervisors-narrowly-approve-data-center-near-leesburg/article_3e355c29-4dbc-42df-bdb9-37d86f3013ad.html" TargetMode="External"/><Relationship Id="rId2510" Type="http://schemas.openxmlformats.org/officeDocument/2006/relationships/hyperlink" Target="https://egcss.pwcgov.org/SelfService" TargetMode="External"/><Relationship Id="rId469" Type="http://schemas.openxmlformats.org/officeDocument/2006/relationships/hyperlink" Target="https://www.datacenterdynamics.com/en/news/atlas-named-as-developer-on-project-sassy-in-rome-georgia/" TargetMode="External"/><Relationship Id="rId468" Type="http://schemas.openxmlformats.org/officeDocument/2006/relationships/hyperlink" Target="https://www.datacenterdynamics.com/en/news/atlas-plans-24-million-sq-ft-data-center-campus-outside-rome-georgia/" TargetMode="External"/><Relationship Id="rId467" Type="http://schemas.openxmlformats.org/officeDocument/2006/relationships/hyperlink" Target="https://www.datacenterdynamics.com/en/news/microsoft-to-develop-350-acre-data-center-campus-in-rome-georgia/" TargetMode="External"/><Relationship Id="rId1290" Type="http://schemas.openxmlformats.org/officeDocument/2006/relationships/hyperlink" Target="https://www.datacenterdynamics.com/en/news/st-lawrence-county-planning-board-approves-conversion-sears-store-data-center/" TargetMode="External"/><Relationship Id="rId1291" Type="http://schemas.openxmlformats.org/officeDocument/2006/relationships/hyperlink" Target="https://www.govtech.com/policy/upstate-new-york-planning-board-converts-sears-to-data-center.html" TargetMode="External"/><Relationship Id="rId1292" Type="http://schemas.openxmlformats.org/officeDocument/2006/relationships/hyperlink" Target="https://finance.yahoo.com/news/former-massena-mall-now-industrial-035900751.html" TargetMode="External"/><Relationship Id="rId462" Type="http://schemas.openxmlformats.org/officeDocument/2006/relationships/hyperlink" Target="https://www.datacenterdynamics.com/en/news/t5-requests-permission-for-3-million-sq-ft-campus-outside-atlanta-georgia/" TargetMode="External"/><Relationship Id="rId1293" Type="http://schemas.openxmlformats.org/officeDocument/2006/relationships/hyperlink" Target="https://www.interconnection.fyi/project/nyiso-1719" TargetMode="External"/><Relationship Id="rId461" Type="http://schemas.openxmlformats.org/officeDocument/2006/relationships/hyperlink" Target="https://apps.dca.ga.gov/DRI/AppSummary.aspx?driid=4301" TargetMode="External"/><Relationship Id="rId1294" Type="http://schemas.openxmlformats.org/officeDocument/2006/relationships/hyperlink" Target="https://northcountrynow.com/stories/north-country-data-centers-future-thwarted-by-proposed-regulations,236005" TargetMode="External"/><Relationship Id="rId460" Type="http://schemas.openxmlformats.org/officeDocument/2006/relationships/hyperlink" Target="https://www.datacenterdynamics.com/en/news/strategic-files-for-21m-sq-ft-data-center-campus-outside-atlanta-georgia/" TargetMode="External"/><Relationship Id="rId1295" Type="http://schemas.openxmlformats.org/officeDocument/2006/relationships/hyperlink" Target="https://www.nyiso.com/documents/20142/2226333/2025-Gold-Book-Public.pdf/088438e1-02f1-5316-211b-dbca17c01b4b" TargetMode="External"/><Relationship Id="rId1296" Type="http://schemas.openxmlformats.org/officeDocument/2006/relationships/hyperlink" Target="https://www.datacenterdynamics.com/en/news/nydig-looks-to-expand-data-center-at-massena-site-new-york/" TargetMode="External"/><Relationship Id="rId466" Type="http://schemas.openxmlformats.org/officeDocument/2006/relationships/hyperlink" Target="https://www.facebook.com/bartowcountygeorgiamediagroup/posts/things-are-heating-up-in-floyd-county-over-data-centers-and-open-meeting-complai/871398232192995/" TargetMode="External"/><Relationship Id="rId1297" Type="http://schemas.openxmlformats.org/officeDocument/2006/relationships/hyperlink" Target="https://www.yahoo.com/news/land-clearing-underway-massena-data-045900706.html" TargetMode="External"/><Relationship Id="rId465" Type="http://schemas.openxmlformats.org/officeDocument/2006/relationships/hyperlink" Target="https://www.northwestgeorgianews.com/rome/news/local/battey-business-complex-demolition-to-start-next-summer/article_4916b177-51d6-4d8e-98e4-8e312609878b.html" TargetMode="External"/><Relationship Id="rId1298" Type="http://schemas.openxmlformats.org/officeDocument/2006/relationships/hyperlink" Target="https://www.nyiso.com/documents/20142/2226333/2025-Gold-Book-Public.pdf/088438e1-02f1-5316-211b-dbca17c01b4b" TargetMode="External"/><Relationship Id="rId464" Type="http://schemas.openxmlformats.org/officeDocument/2006/relationships/hyperlink" Target="https://www.datacenterdynamics.com/en/news/data-center-planned-on-114-acre-plot-in-rome-georgia/" TargetMode="External"/><Relationship Id="rId1299" Type="http://schemas.openxmlformats.org/officeDocument/2006/relationships/hyperlink" Target="https://www.databank.com/data-centers/new-york-city/" TargetMode="External"/><Relationship Id="rId463" Type="http://schemas.openxmlformats.org/officeDocument/2006/relationships/hyperlink" Target="https://www.facebook.com/groups/wesayno/" TargetMode="External"/><Relationship Id="rId459" Type="http://schemas.openxmlformats.org/officeDocument/2006/relationships/hyperlink" Target="https://apps.dca.ga.gov/DRI/AppSummary.aspx?driid=3576" TargetMode="External"/><Relationship Id="rId458" Type="http://schemas.openxmlformats.org/officeDocument/2006/relationships/hyperlink" Target="https://www.datacenterdynamics.com/en/news/plans-filed-for-14-million-sq-ft-data-center-campus-outside-atlanta-georgia/" TargetMode="External"/><Relationship Id="rId457" Type="http://schemas.openxmlformats.org/officeDocument/2006/relationships/hyperlink" Target="https://cleanview.co/public/data-centers/georgia/2231/project-arrowhead" TargetMode="External"/><Relationship Id="rId456" Type="http://schemas.openxmlformats.org/officeDocument/2006/relationships/hyperlink" Target="https://apps.dca.ga.gov/DRI/AppSummary.aspx?driid=4689" TargetMode="External"/><Relationship Id="rId1280" Type="http://schemas.openxmlformats.org/officeDocument/2006/relationships/hyperlink" Target="https://waterfrontonline.blog/2019/05/17/cayuga-power-plant-wants-to-shut-down-convert-to-power-hungry-data-center/" TargetMode="External"/><Relationship Id="rId1281" Type="http://schemas.openxmlformats.org/officeDocument/2006/relationships/hyperlink" Target="https://ithacavoice.org/2025/09/environmentalists-sound-alarm-as-plan-to-convert-cayuga-power-plant-to-data-center-advances/" TargetMode="External"/><Relationship Id="rId451" Type="http://schemas.openxmlformats.org/officeDocument/2006/relationships/hyperlink" Target="https://www.ajc.com/news/business/project-sail-a-17b-data-center-project-pitched-south-of-atlanta/D33GKROJBJEEPATVVCT3OVZR2Q/" TargetMode="External"/><Relationship Id="rId1282" Type="http://schemas.openxmlformats.org/officeDocument/2006/relationships/hyperlink" Target="https://tompkinsweekly.com/articles/cayuga-data-campus-lansing/" TargetMode="External"/><Relationship Id="rId450" Type="http://schemas.openxmlformats.org/officeDocument/2006/relationships/hyperlink" Target="https://www.datacenterdynamics.com/en/news/project-sail-data-center-newnan-atlanta-georgia/" TargetMode="External"/><Relationship Id="rId1283" Type="http://schemas.openxmlformats.org/officeDocument/2006/relationships/hyperlink" Target="https://ithacavoice.org/2026/01/local-groups-file-suit-against-terawulf-lansing-zoning-board-over-data-center/" TargetMode="External"/><Relationship Id="rId1284" Type="http://schemas.openxmlformats.org/officeDocument/2006/relationships/hyperlink" Target="https://www.ithaca.com/news/lansing/flx-strong-clean-file-lawsuit-against-lansing-zba-terawulf-to-block-data-center/article_97b45f0f-c849-497c-9daa-6040f1f1710b.html" TargetMode="External"/><Relationship Id="rId1285" Type="http://schemas.openxmlformats.org/officeDocument/2006/relationships/hyperlink" Target="https://www.datacenterdynamics.com/en/news/h5-acquires-new-york-data-centers-from-yahoo-in-sale-leaseback-deal/" TargetMode="External"/><Relationship Id="rId455" Type="http://schemas.openxmlformats.org/officeDocument/2006/relationships/hyperlink" Target="https://www.change.org/p/protect-irwin-county-from-data-centers" TargetMode="External"/><Relationship Id="rId1286" Type="http://schemas.openxmlformats.org/officeDocument/2006/relationships/hyperlink" Target="https://www.petitions.com/data_center_moratorium_in_lysander_ny" TargetMode="External"/><Relationship Id="rId454" Type="http://schemas.openxmlformats.org/officeDocument/2006/relationships/hyperlink" Target="https://baxtel.com/data-center/flexential-atlanta-norcross" TargetMode="External"/><Relationship Id="rId1287" Type="http://schemas.openxmlformats.org/officeDocument/2006/relationships/hyperlink" Target="https://www.syracuse.com/news/2025/11/prominent-syracuse-developer-plans-for-data-center-at-suburban-site-of-scuttled-warehouse.html" TargetMode="External"/><Relationship Id="rId453" Type="http://schemas.openxmlformats.org/officeDocument/2006/relationships/hyperlink" Target="https://apps.dca.ga.gov/DRI/AppSummary.aspx?driid=4079" TargetMode="External"/><Relationship Id="rId1288" Type="http://schemas.openxmlformats.org/officeDocument/2006/relationships/hyperlink" Target="https://cnycentral.com/news/local/lysander-residents-challenge-potential-data-cen" TargetMode="External"/><Relationship Id="rId452" Type="http://schemas.openxmlformats.org/officeDocument/2006/relationships/hyperlink" Target="https://www.datacenterdynamics.com/en/news/prologis-900mw-project-sail-gets-the-go-ahead-in-coweta-county-georgia/" TargetMode="External"/><Relationship Id="rId1289" Type="http://schemas.openxmlformats.org/officeDocument/2006/relationships/hyperlink" Target="https://www.syracuse.com/news/2026/04/lysander-town-board-moves-forward-on-data-center-moratorium-as-massive-project-looms.html" TargetMode="External"/><Relationship Id="rId3018" Type="http://schemas.openxmlformats.org/officeDocument/2006/relationships/hyperlink" Target="https://www.weau.com/2025/09/23/proposed-menomonie-data-center-put-hold/" TargetMode="External"/><Relationship Id="rId3017" Type="http://schemas.openxmlformats.org/officeDocument/2006/relationships/hyperlink" Target="https://www.datacenterdynamics.com/en/news/data-center-in-red-cedar-wisconsin-could-be-16bn-investment/" TargetMode="External"/><Relationship Id="rId3019" Type="http://schemas.openxmlformats.org/officeDocument/2006/relationships/hyperlink" Target="https://biztimes.com/microsoft-gets-approval-for-third-portion-of-mount-pleasant-data-center-campus/" TargetMode="External"/><Relationship Id="rId491" Type="http://schemas.openxmlformats.org/officeDocument/2006/relationships/hyperlink" Target="https://www.datacenterdynamics.com/en/news/200-acre-project-azalea-data-center-approved/" TargetMode="External"/><Relationship Id="rId490" Type="http://schemas.openxmlformats.org/officeDocument/2006/relationships/hyperlink" Target="https://www.datacenterdynamics.com/en/news/plans-filed-for-six-building-data-center-campus-outside-augusta-georgia/" TargetMode="External"/><Relationship Id="rId489" Type="http://schemas.openxmlformats.org/officeDocument/2006/relationships/hyperlink" Target="https://share.google/8BEoDdGqZgnG90m4o" TargetMode="External"/><Relationship Id="rId484" Type="http://schemas.openxmlformats.org/officeDocument/2006/relationships/hyperlink" Target="https://www.facebook.com/groups/882581394736535/" TargetMode="External"/><Relationship Id="rId3010" Type="http://schemas.openxmlformats.org/officeDocument/2006/relationships/hyperlink" Target="https://www.jsonline.com/story/money/business/2025/10/09/microsoft-changed-its-data-center-plans-because-of-these-issues/86603358007" TargetMode="External"/><Relationship Id="rId483" Type="http://schemas.openxmlformats.org/officeDocument/2006/relationships/hyperlink" Target="https://www.facebook.com/groups/cclandnlegacy/" TargetMode="External"/><Relationship Id="rId482" Type="http://schemas.openxmlformats.org/officeDocument/2006/relationships/hyperlink" Target="https://www.datacenterdynamics.com/en/news/qts-targets-two-data-center-campuses-in-georgia/" TargetMode="External"/><Relationship Id="rId3012" Type="http://schemas.openxmlformats.org/officeDocument/2006/relationships/hyperlink" Target="https://www.facebook.com/groups/4247210148843416/?rdid=OLjFLf1thwgvxa3c&amp;share_url=https%3A%2F%2Fwww.facebook.com%2Fshare%2Fg%2F19qZqaSKJZ%2F" TargetMode="External"/><Relationship Id="rId481" Type="http://schemas.openxmlformats.org/officeDocument/2006/relationships/hyperlink" Target="https://qtsdatacenters.com/data-centers/suwanee-1/" TargetMode="External"/><Relationship Id="rId3011" Type="http://schemas.openxmlformats.org/officeDocument/2006/relationships/hyperlink" Target="https://www.wpr.org/news/microsoft-caledonia-data-center-site-ozaukee-county" TargetMode="External"/><Relationship Id="rId488" Type="http://schemas.openxmlformats.org/officeDocument/2006/relationships/hyperlink" Target="https://www.paxtonmedia.com/news/the_times_georgian/temple-data-center-proposal-pulled/article_ca408658-2271-5b4e-b2ff-94efbf252d54.html" TargetMode="External"/><Relationship Id="rId3014" Type="http://schemas.openxmlformats.org/officeDocument/2006/relationships/hyperlink" Target="https://www.wqow.com/news/what-are-the-next-steps-for-menomonies-proposed-data-center-after-council-vote/article_41821a71-23cb-4ef8-b8e4-58d72b234a37.html" TargetMode="External"/><Relationship Id="rId487" Type="http://schemas.openxmlformats.org/officeDocument/2006/relationships/hyperlink" Target="https://apps.dca.ga.gov/DRI/InitialForm.aspx?driid=4606" TargetMode="External"/><Relationship Id="rId3013" Type="http://schemas.openxmlformats.org/officeDocument/2006/relationships/hyperlink" Target="https://www.wqow.com/news/menomonie-city-council-votes-to-adopt-proposed-land-annexation-and-rezoning/article_6f2fb583-9a77-463a-863d-01cbaddc8833.html" TargetMode="External"/><Relationship Id="rId486" Type="http://schemas.openxmlformats.org/officeDocument/2006/relationships/hyperlink" Target="https://www.datacenterdynamics.com/en/news/atlas-development-files-for-12-building-data-center-campus-in-temple-georgia/" TargetMode="External"/><Relationship Id="rId3016" Type="http://schemas.openxmlformats.org/officeDocument/2006/relationships/hyperlink" Target="https://www.datacenterdynamics.com/en/news/menomonie-city-council-approves-land-rezone-for-data-center-in-red-cedar-wisconsin/" TargetMode="External"/><Relationship Id="rId485" Type="http://schemas.openxmlformats.org/officeDocument/2006/relationships/hyperlink" Target="https://www.change.org/p/stop-data-center-from-being-built-in-carroll-county-georgia" TargetMode="External"/><Relationship Id="rId3015" Type="http://schemas.openxmlformats.org/officeDocument/2006/relationships/hyperlink" Target="https://www.menomonieminute.com/post/menomonie-receives-petition-to-annex-324-acres-for-proposed-data-center" TargetMode="External"/><Relationship Id="rId3007" Type="http://schemas.openxmlformats.org/officeDocument/2006/relationships/hyperlink" Target="https://www.datacenterdynamics.com/en/news/vantage-tops-out-second-building-at-openais-lighthouse-campus-in-wisconsin/" TargetMode="External"/><Relationship Id="rId3006" Type="http://schemas.openxmlformats.org/officeDocument/2006/relationships/hyperlink" Target="https://www.widatacenterfacts.org/communities/port-washington-fact-checking-the-mayors-fact-checking" TargetMode="External"/><Relationship Id="rId3009" Type="http://schemas.openxmlformats.org/officeDocument/2006/relationships/hyperlink" Target="https://www.datacenterdynamics.com/en/news/244-acre-data-center-campus-proposed-outside-milwaukee-wisconsin/" TargetMode="External"/><Relationship Id="rId3008" Type="http://schemas.openxmlformats.org/officeDocument/2006/relationships/hyperlink" Target="https://www.cleanwisconsin.org/" TargetMode="External"/><Relationship Id="rId480" Type="http://schemas.openxmlformats.org/officeDocument/2006/relationships/hyperlink" Target="https://qtsdatacenters.com/data-centers/suwanee-1/" TargetMode="External"/><Relationship Id="rId479" Type="http://schemas.openxmlformats.org/officeDocument/2006/relationships/hyperlink" Target="https://qtsdatacenters.com/data-centers/suwanee-1/" TargetMode="External"/><Relationship Id="rId478" Type="http://schemas.openxmlformats.org/officeDocument/2006/relationships/hyperlink" Target="https://baxtel.com/data-center/qts-atlanta-suwanee" TargetMode="External"/><Relationship Id="rId473" Type="http://schemas.openxmlformats.org/officeDocument/2006/relationships/hyperlink" Target="https://365datacenters.com/wp-content/uploads/2023/05/365_CUTSHEET_FINAL_SMYRNA_V3.pdf" TargetMode="External"/><Relationship Id="rId472" Type="http://schemas.openxmlformats.org/officeDocument/2006/relationships/hyperlink" Target="https://www.accgov.com/CivicSend/ViewMessage/message/206304" TargetMode="External"/><Relationship Id="rId471" Type="http://schemas.openxmlformats.org/officeDocument/2006/relationships/hyperlink" Target="https://www.datacenterdynamics.com/en/news/cleanspark-secures-tenant-with-20-year-lease-for-data-center-in-sandersville-georgia/" TargetMode="External"/><Relationship Id="rId3001" Type="http://schemas.openxmlformats.org/officeDocument/2006/relationships/hyperlink" Target="https://www.datacenterdynamics.com/en/news/vantage-seeking-13gw-grid-connection-for-data-center-in-port-washington-wisconsin/" TargetMode="External"/><Relationship Id="rId470" Type="http://schemas.openxmlformats.org/officeDocument/2006/relationships/hyperlink" Target="https://www.datacenterdynamics.com/en/news/microsoft-to-develop-350-acre-data-center-campus-in-rome-georgia/" TargetMode="External"/><Relationship Id="rId3000" Type="http://schemas.openxmlformats.org/officeDocument/2006/relationships/hyperlink" Target="https://www.datacenterdynamics.com/en/news/cloverleaf-reveals-plans-for-1000-acre-data-center-campus-in-port-washington-wisconsin/" TargetMode="External"/><Relationship Id="rId477" Type="http://schemas.openxmlformats.org/officeDocument/2006/relationships/hyperlink" Target="https://baxtel.com/data-center/server-farm-atlanta" TargetMode="External"/><Relationship Id="rId3003" Type="http://schemas.openxmlformats.org/officeDocument/2006/relationships/hyperlink" Target="https://www.jsonline.com/story/communities/north/2025/11/18/port-washington-approves-data-center-tif-as-residents-continue-to-raise-red-flags/87092084007/" TargetMode="External"/><Relationship Id="rId476" Type="http://schemas.openxmlformats.org/officeDocument/2006/relationships/hyperlink" Target="https://apps.dca.ga.gov/DRI/AppSummary.aspx?driid=4256" TargetMode="External"/><Relationship Id="rId3002" Type="http://schemas.openxmlformats.org/officeDocument/2006/relationships/hyperlink" Target="https://www.fox6now.com/news/port-washington-data-center-residents-unite-against-proposed-powerline-routes" TargetMode="External"/><Relationship Id="rId475" Type="http://schemas.openxmlformats.org/officeDocument/2006/relationships/hyperlink" Target="https://www.bgr.com/1990532/meta-new-aid-data-center-size-70-football-fields-residents-scared-water/" TargetMode="External"/><Relationship Id="rId3005" Type="http://schemas.openxmlformats.org/officeDocument/2006/relationships/hyperlink" Target="https://www.widatacenterfacts.org/communities/port-washington" TargetMode="External"/><Relationship Id="rId474" Type="http://schemas.openxmlformats.org/officeDocument/2006/relationships/hyperlink" Target="https://plateauexcavation.com/projects/newton-data-center/" TargetMode="External"/><Relationship Id="rId3004" Type="http://schemas.openxmlformats.org/officeDocument/2006/relationships/hyperlink" Target="https://www.widatacenterfacts.org/communities/video-lighthouse-campus-part-1" TargetMode="External"/><Relationship Id="rId1257" Type="http://schemas.openxmlformats.org/officeDocument/2006/relationships/hyperlink" Target="https://dataverge.com/interconnected-colocation-new-york/" TargetMode="External"/><Relationship Id="rId2588" Type="http://schemas.openxmlformats.org/officeDocument/2006/relationships/hyperlink" Target="https://gisweb.pwcgov.org/webapps/countymapper/index.html?Layer=Parcel&amp;GPIN=7695-53-7717" TargetMode="External"/><Relationship Id="rId1258" Type="http://schemas.openxmlformats.org/officeDocument/2006/relationships/hyperlink" Target="https://www.nyiso.com/documents/20142/2226333/2025-Gold-Book-Public.pdf/088438e1-02f1-5316-211b-dbca17c01b4b" TargetMode="External"/><Relationship Id="rId2589" Type="http://schemas.openxmlformats.org/officeDocument/2006/relationships/hyperlink" Target="https://pwc.publicaccessnow.com/PropertyDetail.aspx?mtab=property&amp;mpropertynumber=081573" TargetMode="External"/><Relationship Id="rId1259" Type="http://schemas.openxmlformats.org/officeDocument/2006/relationships/hyperlink" Target="https://holtecinternational.com/2025/07/31/hh-40-16/" TargetMode="External"/><Relationship Id="rId426" Type="http://schemas.openxmlformats.org/officeDocument/2006/relationships/hyperlink" Target="https://www.datacenterdynamics.com/en/news/microsoft-aiming-to-build-1-million-sq-ft-data-center-in-douglasville-ga-for-east-us-3/" TargetMode="External"/><Relationship Id="rId425" Type="http://schemas.openxmlformats.org/officeDocument/2006/relationships/hyperlink" Target="https://baxtel.com/data-center/google-douglas-county-georgia" TargetMode="External"/><Relationship Id="rId424" Type="http://schemas.openxmlformats.org/officeDocument/2006/relationships/hyperlink" Target="https://go2.digitalrealty.com/rs/087-YZJ-646/images/DS_Digital_Realty_2401_ATL11_Property_Factsheet_EN.pdf?_ga=2.250737478.1597358513.1726764384-1666570387.1726591142" TargetMode="External"/><Relationship Id="rId423" Type="http://schemas.openxmlformats.org/officeDocument/2006/relationships/hyperlink" Target="https://www.datacenterdynamics.com/en/news/digital-realty-files-to-develop-two-building-campus-outside-atlanta-georgia/" TargetMode="External"/><Relationship Id="rId429" Type="http://schemas.openxmlformats.org/officeDocument/2006/relationships/hyperlink" Target="https://apps.dca.ga.gov/DRI/AppSummary.aspx?driid=4078" TargetMode="External"/><Relationship Id="rId428" Type="http://schemas.openxmlformats.org/officeDocument/2006/relationships/hyperlink" Target="https://www.datacenterdynamics.com/en/news/t5-requests-permission-for-3-million-sq-ft-campus-outside-atlanta-georgia/" TargetMode="External"/><Relationship Id="rId427" Type="http://schemas.openxmlformats.org/officeDocument/2006/relationships/hyperlink" Target="https://baxtel.com/data-center/pwc-lithia-springs" TargetMode="External"/><Relationship Id="rId2580" Type="http://schemas.openxmlformats.org/officeDocument/2006/relationships/hyperlink" Target="https://pwc.publicaccessnow.com/PropertyDetail.aspx?mpropertynumber=078744&amp;mtab=property&amp;p=078744" TargetMode="External"/><Relationship Id="rId1250" Type="http://schemas.openxmlformats.org/officeDocument/2006/relationships/hyperlink" Target="https://investors.terawulf.com/news-events/press-releases/detail/100/terawulf-announces-december-2024-production-and-operations" TargetMode="External"/><Relationship Id="rId2581" Type="http://schemas.openxmlformats.org/officeDocument/2006/relationships/hyperlink" Target="https://pwc.publicaccessnow.com/PropertyDetail.aspx?mpropertynumber=257269&amp;mtab=property&amp;p=257269" TargetMode="External"/><Relationship Id="rId1251" Type="http://schemas.openxmlformats.org/officeDocument/2006/relationships/hyperlink" Target="https://www.globenewswire.com/news-release/2025/08/14/3133308/0/en/TeraWulf-Signs-200-MW-10-Year-AI-Hosting-Agreements-with-Fluidstack.html" TargetMode="External"/><Relationship Id="rId2582" Type="http://schemas.openxmlformats.org/officeDocument/2006/relationships/hyperlink" Target="https://datacenterhawk.com/marketplace/providers/cloudhq/10400-harry-j-parrish-blvd/mdc" TargetMode="External"/><Relationship Id="rId1252" Type="http://schemas.openxmlformats.org/officeDocument/2006/relationships/hyperlink" Target="https://www.morningstar.com/news/dow-jones/202508182652/google-lifting-stake-in-terawulf-with-additional-14-billion-backstop" TargetMode="External"/><Relationship Id="rId2583" Type="http://schemas.openxmlformats.org/officeDocument/2006/relationships/hyperlink" Target="https://pwc.publicaccessnow.com/PropertyDetail.aspx?mtab=property&amp;mpropertynumber=251263" TargetMode="External"/><Relationship Id="rId422" Type="http://schemas.openxmlformats.org/officeDocument/2006/relationships/hyperlink" Target="https://www.dcblox.com/data-centers/atlanta-data-centers/douglas-county-ga-hyperscale-data-center-campus/" TargetMode="External"/><Relationship Id="rId1253" Type="http://schemas.openxmlformats.org/officeDocument/2006/relationships/hyperlink" Target="https://www.datacenterdynamics.com/en/news/fluidstack-to-lease-another-160mw-of-capacity-from-terawulf-at-new-york-campus-google-to-increase-stake-in-cryptominer/" TargetMode="External"/><Relationship Id="rId2584" Type="http://schemas.openxmlformats.org/officeDocument/2006/relationships/hyperlink" Target="https://www.datacenterdynamics.com/en/news/data-center-developer-black-chamber-looks-to-buy-virginia-church-next-to-planned-aws-campus/" TargetMode="External"/><Relationship Id="rId421" Type="http://schemas.openxmlformats.org/officeDocument/2006/relationships/hyperlink" Target="https://www.databank.com/data-centers/atlanta/lithia-springs/atl5/" TargetMode="External"/><Relationship Id="rId1254" Type="http://schemas.openxmlformats.org/officeDocument/2006/relationships/hyperlink" Target="https://www.datacenterdynamics.com/en/news/terawulf-tops-out-latest-data-center-at-lake-mariner-campus-in-new-york/" TargetMode="External"/><Relationship Id="rId2585" Type="http://schemas.openxmlformats.org/officeDocument/2006/relationships/hyperlink" Target="https://pwc.publicaccessnow.com/PropertyDetail.aspx?mpropertynumber=254673&amp;mtab=property&amp;p=254673" TargetMode="External"/><Relationship Id="rId420" Type="http://schemas.openxmlformats.org/officeDocument/2006/relationships/hyperlink" Target="https://www.datacenterdynamics.com/en/news/amazon-acquires-1000-acres-of-land-outside-atlanta-georgia/" TargetMode="External"/><Relationship Id="rId1255" Type="http://schemas.openxmlformats.org/officeDocument/2006/relationships/hyperlink" Target="https://www.datacenterdynamics.com/en/news/core42-expands-ai-cluster-by-42mw-in-buffalo-new-york/" TargetMode="External"/><Relationship Id="rId2586" Type="http://schemas.openxmlformats.org/officeDocument/2006/relationships/hyperlink" Target="https://pwc.publicaccessnow.com/PropertyDetail.aspx?mpropertynumber=228234&amp;mtab=property&amp;p=228234" TargetMode="External"/><Relationship Id="rId1256" Type="http://schemas.openxmlformats.org/officeDocument/2006/relationships/hyperlink" Target="https://www.fingerlakes1.com/2026/05/27/foild-emails-fuel-concern-over-possible-data-center-interest-at-former-camp-monterey-site/" TargetMode="External"/><Relationship Id="rId2587" Type="http://schemas.openxmlformats.org/officeDocument/2006/relationships/hyperlink" Target="https://pwc.publicaccessnow.com/PropertyDetail.aspx?mpropertynumber=225337&amp;mtab=property&amp;p=225337" TargetMode="External"/><Relationship Id="rId1246" Type="http://schemas.openxmlformats.org/officeDocument/2006/relationships/hyperlink" Target="https://www.thedailynewsonline.com/news/stream-u-s-submits-seqr-application-for-2-2-million-square-foot-data-center-at/article_c1dc5183-19aa-42ba-ab8b-8808b354bcf7.html" TargetMode="External"/><Relationship Id="rId2577" Type="http://schemas.openxmlformats.org/officeDocument/2006/relationships/hyperlink" Target="https://www.princewilliamtimes.com/news/manassas-to-net-28-million-in-land-sale-for-amazon-data-center-but-the-money/article_9be9a116-a505-11ee-a48c-e7a38d4609f7.html" TargetMode="External"/><Relationship Id="rId1247" Type="http://schemas.openxmlformats.org/officeDocument/2006/relationships/hyperlink" Target="https://truthout.org/articles/new-york-residents-are-fighting-a-data-center-backed-by-a-billionaire-trump-ally/" TargetMode="External"/><Relationship Id="rId2578" Type="http://schemas.openxmlformats.org/officeDocument/2006/relationships/hyperlink" Target="https://pwc.publicaccessnow.com/PropertyDetail.aspx?mpropertynumber=257270&amp;mtab=property&amp;p=257270" TargetMode="External"/><Relationship Id="rId1248" Type="http://schemas.openxmlformats.org/officeDocument/2006/relationships/hyperlink" Target="https://www.nytimes.com/2026/03/17/nyregion/ai-data-center-new-york.html" TargetMode="External"/><Relationship Id="rId2579" Type="http://schemas.openxmlformats.org/officeDocument/2006/relationships/hyperlink" Target="https://pwc.publicaccessnow.com/PropertyDetail.aspx?mpropertynumber=255831&amp;mtab=property&amp;p=255831" TargetMode="External"/><Relationship Id="rId1249" Type="http://schemas.openxmlformats.org/officeDocument/2006/relationships/hyperlink" Target="https://drive.google.com/file/d/1vVzC512mN4V8rhcgZoehh_pgZ-5OZIwx/view" TargetMode="External"/><Relationship Id="rId415" Type="http://schemas.openxmlformats.org/officeDocument/2006/relationships/hyperlink" Target="https://www.ajc.com/business/2025/10/10b-hospital-project-backed-by-burt-jones-includes-sea-of-data-centers/" TargetMode="External"/><Relationship Id="rId414" Type="http://schemas.openxmlformats.org/officeDocument/2006/relationships/hyperlink" Target="https://www.lagrangenews.com/news/hogansville-residents-protest-against-proposed-data-center-c8f47f93" TargetMode="External"/><Relationship Id="rId413" Type="http://schemas.openxmlformats.org/officeDocument/2006/relationships/hyperlink" Target="https://www.nytimes.com/2025/11/30/us/politics/data-centers-electric-bills-georgia.html" TargetMode="External"/><Relationship Id="rId412" Type="http://schemas.openxmlformats.org/officeDocument/2006/relationships/hyperlink" Target="https://www.gpb.org/news/2025/11/26/why-are-troup-county-residents-saying-no-600-mw-data-center-in-hogansville" TargetMode="External"/><Relationship Id="rId419" Type="http://schemas.openxmlformats.org/officeDocument/2006/relationships/hyperlink" Target="https://www.fox5atlanta.com/news/data-center-campus-proposed-troup-county-jobs" TargetMode="External"/><Relationship Id="rId418" Type="http://schemas.openxmlformats.org/officeDocument/2006/relationships/hyperlink" Target="https://www.datacenterdynamics.com/en/news/google-confirms-plans-for-data-center-in-lagrange-georgia/" TargetMode="External"/><Relationship Id="rId417" Type="http://schemas.openxmlformats.org/officeDocument/2006/relationships/hyperlink" Target="https://www.datacenterdynamics.com/en/news/thor-equities-buys-270-acres-in-georgia-for-data-center/" TargetMode="External"/><Relationship Id="rId416" Type="http://schemas.openxmlformats.org/officeDocument/2006/relationships/hyperlink" Target="https://www.form8tion.net/wp-content/uploads/2024/12/Form8tion-LGA1.pdf" TargetMode="External"/><Relationship Id="rId2570" Type="http://schemas.openxmlformats.org/officeDocument/2006/relationships/hyperlink" Target="https://egcss.pwcgov.org/SelfService" TargetMode="External"/><Relationship Id="rId1240" Type="http://schemas.openxmlformats.org/officeDocument/2006/relationships/hyperlink" Target="https://www.change.org/p/prevent-stamp-from-destroying-vital-wetlands-in-iroquois-nwr-no-data-centers?source_location=topics_page" TargetMode="External"/><Relationship Id="rId2571" Type="http://schemas.openxmlformats.org/officeDocument/2006/relationships/hyperlink" Target="https://pwc.publicaccessnow.com/PropertyDetail.aspx?mtab=property&amp;mpropertynumber=227933" TargetMode="External"/><Relationship Id="rId1241" Type="http://schemas.openxmlformats.org/officeDocument/2006/relationships/hyperlink" Target="https://www.wxxinews.org/local-news/2025-03-03/stamp-board-to-consider-proposal-for-regions-largest-data-center" TargetMode="External"/><Relationship Id="rId2572" Type="http://schemas.openxmlformats.org/officeDocument/2006/relationships/hyperlink" Target="https://www.datacenterdynamics.com/en/news/amazon-acquires-140-acres-of-land-in-manassas-virginia/" TargetMode="External"/><Relationship Id="rId411" Type="http://schemas.openxmlformats.org/officeDocument/2006/relationships/hyperlink" Target="https://www.facebook.com/groups/24200940622890970/" TargetMode="External"/><Relationship Id="rId1242" Type="http://schemas.openxmlformats.org/officeDocument/2006/relationships/hyperlink" Target="https://www.datacenterdynamics.com/en/news/jll-to-develop-data-center-on-stamp-site-in-genesee-county-new-york/" TargetMode="External"/><Relationship Id="rId2573" Type="http://schemas.openxmlformats.org/officeDocument/2006/relationships/hyperlink" Target="https://pwc.publicaccessnow.com/PropertyDetail.aspx?mtab=property&amp;mpropertynumber=265829" TargetMode="External"/><Relationship Id="rId410" Type="http://schemas.openxmlformats.org/officeDocument/2006/relationships/hyperlink" Target="https://www.wrdw.com/2026/02/16/columbia-co-data-center-plans-3-construction-exits-420-acre-site/" TargetMode="External"/><Relationship Id="rId1243" Type="http://schemas.openxmlformats.org/officeDocument/2006/relationships/hyperlink" Target="https://act.nyrenews.org/tell-nysdec-to-take-lead-agency-status-for-project-double-reed" TargetMode="External"/><Relationship Id="rId2574" Type="http://schemas.openxmlformats.org/officeDocument/2006/relationships/hyperlink" Target="https://www.datacenterdynamics.com/en/news/amazon-acquires-140-acres-of-land-in-manassas-virginia/" TargetMode="External"/><Relationship Id="rId1244" Type="http://schemas.openxmlformats.org/officeDocument/2006/relationships/hyperlink" Target="https://www.democratandchronicle.com/story/news/2025/09/20/proposed-data-center-in-genesee-county-could-grow-after-approvals-rescinded/86245696007/" TargetMode="External"/><Relationship Id="rId2575" Type="http://schemas.openxmlformats.org/officeDocument/2006/relationships/hyperlink" Target="https://pwc.publicaccessnow.com/PropertyDetail.aspx?mtab=property&amp;mpropertynumber=265828" TargetMode="External"/><Relationship Id="rId1245" Type="http://schemas.openxmlformats.org/officeDocument/2006/relationships/hyperlink" Target="https://www.thebatavian.com/howard-owens/dozens-of-speakers-tell-gcedc-proposed-data-centers-pose-big-environmental-threat-for" TargetMode="External"/><Relationship Id="rId2576" Type="http://schemas.openxmlformats.org/officeDocument/2006/relationships/hyperlink" Target="https://pwc.publicaccessnow.com/PropertyDetail.aspx?mtab=property&amp;mpropertynumber=022195" TargetMode="External"/><Relationship Id="rId1279" Type="http://schemas.openxmlformats.org/officeDocument/2006/relationships/hyperlink" Target="https://www.lansingtownny.gov/sites/default/files/fileattachments/town_board/meeting/3576/m121824.pdf" TargetMode="External"/><Relationship Id="rId448" Type="http://schemas.openxmlformats.org/officeDocument/2006/relationships/hyperlink" Target="https://www.times-herald.com/news/new-proposed-4-billion-data-center-development-under-review-in-coweta/article_2fad1ded-9f1c-4b67-9be1-29a4f027a3d3.html" TargetMode="External"/><Relationship Id="rId447" Type="http://schemas.openxmlformats.org/officeDocument/2006/relationships/hyperlink" Target="https://accessnorthga.com/news/citizens-fight-back-as-maysville-cancels-special-meeting-regarding-data-center" TargetMode="External"/><Relationship Id="rId446" Type="http://schemas.openxmlformats.org/officeDocument/2006/relationships/hyperlink" Target="https://youtu.be/dGPgLtTRUC4?si=SoRMfJP1pCCPNLMm" TargetMode="External"/><Relationship Id="rId445" Type="http://schemas.openxmlformats.org/officeDocument/2006/relationships/hyperlink" Target="https://www.datacenterdynamics.com/en/news/northern-data-to-develop-120mw-hpc-data-center-in-georgia/" TargetMode="External"/><Relationship Id="rId449" Type="http://schemas.openxmlformats.org/officeDocument/2006/relationships/hyperlink" Target="https://stopsail.com/" TargetMode="External"/><Relationship Id="rId1270" Type="http://schemas.openxmlformats.org/officeDocument/2006/relationships/hyperlink" Target="https://www.nyiso.com/documents/20142/1407078/NYISO-Interconnection-Queue.xlsx" TargetMode="External"/><Relationship Id="rId440" Type="http://schemas.openxmlformats.org/officeDocument/2006/relationships/hyperlink" Target="https://www.datacenterdynamics.com/en/news/108mw-data-center-campus-granted-zoning-approval-outside-atlanta-georgia/" TargetMode="External"/><Relationship Id="rId1271" Type="http://schemas.openxmlformats.org/officeDocument/2006/relationships/hyperlink" Target="https://www.lohud.com/story/news/local/2026/05/07/this-new-dutchess-county-ny-data-center-project-would-use-as-much-power-as-a-city/89935200007/" TargetMode="External"/><Relationship Id="rId1272" Type="http://schemas.openxmlformats.org/officeDocument/2006/relationships/hyperlink" Target="https://www.timesunion.com/hudsonvalley/news/article/east-fishkill-data-center-plan-sparks-backlash-22270553.php" TargetMode="External"/><Relationship Id="rId1273" Type="http://schemas.openxmlformats.org/officeDocument/2006/relationships/hyperlink" Target="https://www.datacenterdynamics.com/en/news/three-year-data-center-moratorium-passed-in-town-of-east-fishkill-new-york-state-blocking-planned-campus/" TargetMode="External"/><Relationship Id="rId1274" Type="http://schemas.openxmlformats.org/officeDocument/2006/relationships/hyperlink" Target="https://www.change.org/p/oppose-large-scale-ai-data-center-development-in-the-mohawk-valley" TargetMode="External"/><Relationship Id="rId444" Type="http://schemas.openxmlformats.org/officeDocument/2006/relationships/hyperlink" Target="https://www.facebook.com/groups/2372799773209620/posts/2397059260783671/" TargetMode="External"/><Relationship Id="rId1275" Type="http://schemas.openxmlformats.org/officeDocument/2006/relationships/hyperlink" Target="https://www.datacenterdynamics.com/en/news/former-remington-gun-factory-in-new-york-set-to-become-200mw-data-center/" TargetMode="External"/><Relationship Id="rId443" Type="http://schemas.openxmlformats.org/officeDocument/2006/relationships/hyperlink" Target="https://maysvilleneighbor.com/" TargetMode="External"/><Relationship Id="rId1276" Type="http://schemas.openxmlformats.org/officeDocument/2006/relationships/hyperlink" Target="https://www.nodatacenterflx.com/" TargetMode="External"/><Relationship Id="rId442" Type="http://schemas.openxmlformats.org/officeDocument/2006/relationships/hyperlink" Target="https://www.datacenterdynamics.com/en/news/self-storage-facility-in-marietta-georgia-targeted-for-18mw-data-center/" TargetMode="External"/><Relationship Id="rId1277" Type="http://schemas.openxmlformats.org/officeDocument/2006/relationships/hyperlink" Target="https://actionnetwork.org/petitions/reject-the-development-of-an-ai-data-center-on-cayuga-lake" TargetMode="External"/><Relationship Id="rId441" Type="http://schemas.openxmlformats.org/officeDocument/2006/relationships/hyperlink" Target="https://www.datacenterdynamics.com/en/news/108mw-data-center-campus-granted-zoning-approval-outside-atlanta-georgia/" TargetMode="External"/><Relationship Id="rId1278" Type="http://schemas.openxmlformats.org/officeDocument/2006/relationships/hyperlink" Target="https://www.globenewswire.com/news-release/2025/08/14/3133326/0/en/TeraWulf-Secures-Long-Term-Ground-Lease-at-Cayuga-Site-to-Expand-High-Performance-Computing-Infrastructure.html" TargetMode="External"/><Relationship Id="rId1268" Type="http://schemas.openxmlformats.org/officeDocument/2006/relationships/hyperlink" Target="https://www.mytwintiers.com/news-cat/local-news/locals-say-a-dresden-bitcoin-mining-operation-is-ruining-seneca-lake/" TargetMode="External"/><Relationship Id="rId2599" Type="http://schemas.openxmlformats.org/officeDocument/2006/relationships/hyperlink" Target="https://pwc.publicaccessnow.com/PropertyDetail.aspx?mtab=property&amp;mpropertynumber=246599" TargetMode="External"/><Relationship Id="rId1269" Type="http://schemas.openxmlformats.org/officeDocument/2006/relationships/hyperlink" Target="https://www.datacenterdynamics.com/en/news/global-ai-set-to-develop-data-center-outside-denver-colorado/" TargetMode="External"/><Relationship Id="rId437" Type="http://schemas.openxmlformats.org/officeDocument/2006/relationships/hyperlink" Target="https://www.datacenterdynamics.com/en/news/rezoning-proposal-for-12gw-data-center-campus-outside-macon-georgia-denied-recommendation-for-approval/" TargetMode="External"/><Relationship Id="rId436" Type="http://schemas.openxmlformats.org/officeDocument/2006/relationships/hyperlink" Target="https://www.datacenterdynamics.com/en/news/900mw-data-center-campus-proposed-outside-macon-georgia/" TargetMode="External"/><Relationship Id="rId435" Type="http://schemas.openxmlformats.org/officeDocument/2006/relationships/hyperlink" Target="https://www.datacenterdynamics.com/en/news/t5-requests-permission-for-3-million-sq-ft-campus-outside-atlanta-georgia/" TargetMode="External"/><Relationship Id="rId434" Type="http://schemas.openxmlformats.org/officeDocument/2006/relationships/hyperlink" Target="https://apps.dca.ga.gov/DRI/AppSummary.aspx?driid=3747" TargetMode="External"/><Relationship Id="rId439" Type="http://schemas.openxmlformats.org/officeDocument/2006/relationships/hyperlink" Target="https://baxtel.com/data-center/datasite-atlanta" TargetMode="External"/><Relationship Id="rId438" Type="http://schemas.openxmlformats.org/officeDocument/2006/relationships/hyperlink" Target="https://www.macon.com/news/politics-government/article311600981.html" TargetMode="External"/><Relationship Id="rId2590" Type="http://schemas.openxmlformats.org/officeDocument/2006/relationships/hyperlink" Target="https://pwc.publicaccessnow.com/PropertyDetail.aspx?mpropertynumber=094465&amp;mtab=property&amp;p=094465" TargetMode="External"/><Relationship Id="rId1260" Type="http://schemas.openxmlformats.org/officeDocument/2006/relationships/hyperlink" Target="https://www.datacenters.com/365-bu1-buffalo" TargetMode="External"/><Relationship Id="rId2591" Type="http://schemas.openxmlformats.org/officeDocument/2006/relationships/hyperlink" Target="https://pwc.publicaccessnow.com/PropertyDetail.aspx?mpropertynumber=083773&amp;mtab=property&amp;p=083773" TargetMode="External"/><Relationship Id="rId1261" Type="http://schemas.openxmlformats.org/officeDocument/2006/relationships/hyperlink" Target="https://h5datacenters.com/buffalo-III-data-center.html" TargetMode="External"/><Relationship Id="rId2592" Type="http://schemas.openxmlformats.org/officeDocument/2006/relationships/hyperlink" Target="https://egcss.pwcgov.org/SelfService" TargetMode="External"/><Relationship Id="rId1262" Type="http://schemas.openxmlformats.org/officeDocument/2006/relationships/hyperlink" Target="https://www.datacenterdynamics.com/en/news/h5-and-novacap-launch-new-data-center-platform-acquire-three-carrier-hotels-from-365/" TargetMode="External"/><Relationship Id="rId2593" Type="http://schemas.openxmlformats.org/officeDocument/2006/relationships/hyperlink" Target="https://datacenterhawk.com/marketplace/providers/iron-mountain-data-centers/11500-prince-william-parkway/va-7" TargetMode="External"/><Relationship Id="rId1263" Type="http://schemas.openxmlformats.org/officeDocument/2006/relationships/hyperlink" Target="https://www.wgrz.com/article/money/business/tesla-halts-dojo-project-buffalo-supercomputing-plans/71-76c01060-0511-4fbd-aac7-284d0d7795aa" TargetMode="External"/><Relationship Id="rId2594" Type="http://schemas.openxmlformats.org/officeDocument/2006/relationships/hyperlink" Target="https://pwc.publicaccessnow.com/PropertyDetail.aspx?mtab=property&amp;mpropertynumber=090673" TargetMode="External"/><Relationship Id="rId433" Type="http://schemas.openxmlformats.org/officeDocument/2006/relationships/hyperlink" Target="https://www.switch.com/atlanta/?utm_source=google&amp;utm_medium=Yext" TargetMode="External"/><Relationship Id="rId1264" Type="http://schemas.openxmlformats.org/officeDocument/2006/relationships/hyperlink" Target="https://techcrunch.com/2025/09/02/tesla-dojo-the-rise-and-fall-of-elon-musks-ai-supercomputer/" TargetMode="External"/><Relationship Id="rId2595" Type="http://schemas.openxmlformats.org/officeDocument/2006/relationships/hyperlink" Target="https://www.datacenterdynamics.com/en/news/iron-mountain-starts-work-on-data-center-campus-near-richmond-virginia/" TargetMode="External"/><Relationship Id="rId432" Type="http://schemas.openxmlformats.org/officeDocument/2006/relationships/hyperlink" Target="https://www.stackinfra.com/locations/americas/atlanta/atl02/" TargetMode="External"/><Relationship Id="rId1265" Type="http://schemas.openxmlformats.org/officeDocument/2006/relationships/hyperlink" Target="https://senecalakeguardian.org/" TargetMode="External"/><Relationship Id="rId2596" Type="http://schemas.openxmlformats.org/officeDocument/2006/relationships/hyperlink" Target="https://pwc.publicaccessnow.com/PropertyDetail.aspx?mpropertynumber=228118&amp;mtab=property&amp;p=228118" TargetMode="External"/><Relationship Id="rId431" Type="http://schemas.openxmlformats.org/officeDocument/2006/relationships/hyperlink" Target="https://baxtel.com/data-center/stack-atlanta-atl02" TargetMode="External"/><Relationship Id="rId1266" Type="http://schemas.openxmlformats.org/officeDocument/2006/relationships/hyperlink" Target="https://insideclimatenews.org/news/10052025/new-york-bitcoin-mines-buying-up-power-plants/" TargetMode="External"/><Relationship Id="rId2597" Type="http://schemas.openxmlformats.org/officeDocument/2006/relationships/hyperlink" Target="https://www.insidenova.com/headlines/prince-william-supervisors-approve-va-8-9-data-center-rezoning-to-extend-iron-mountain-campus/article_96d99fd1-7c5f-40df-aa5f-23b7357c819c.html" TargetMode="External"/><Relationship Id="rId430" Type="http://schemas.openxmlformats.org/officeDocument/2006/relationships/hyperlink" Target="https://www.datacenterdynamics.com/en/news/stack-files-to-build-two-more-data-centers-outside-atlanta-georgia/" TargetMode="External"/><Relationship Id="rId1267" Type="http://schemas.openxmlformats.org/officeDocument/2006/relationships/hyperlink" Target="https://www.nytimes.com/2023/04/09/business/bitcoin-mining-electricity-pollution.html" TargetMode="External"/><Relationship Id="rId2598" Type="http://schemas.openxmlformats.org/officeDocument/2006/relationships/hyperlink" Target="https://www.datacenterdynamics.com/en/news/iron-mountain-files-to-expand-manassas-data-center-campus/" TargetMode="External"/><Relationship Id="rId3070" Type="http://schemas.openxmlformats.org/officeDocument/2006/relationships/hyperlink" Target="https://www.crusoe.ai/resources/newsroom/crusoe-and-tallgrass-announce-ai-data-center-in-wyoming" TargetMode="External"/><Relationship Id="rId3072" Type="http://schemas.openxmlformats.org/officeDocument/2006/relationships/hyperlink" Target="https://www.datacenterdynamics.com/en/news/crusoe-gets-go-ahead-for-18gw-data-center-campus-and-power-plant-in-cheyenne-wyoming/" TargetMode="External"/><Relationship Id="rId3071" Type="http://schemas.openxmlformats.org/officeDocument/2006/relationships/hyperlink" Target="https://www.wyomingnews.com/news/local_news/county-commissioners-approve-data-center-power-plant-facilities-south-of-cheyenne/article_8dd9c94a-32c0-4ab5-9ea4-066936c81562.html" TargetMode="External"/><Relationship Id="rId3074" Type="http://schemas.openxmlformats.org/officeDocument/2006/relationships/hyperlink" Target="https://www.datacenterdynamics.com/en/news/google-is-customer-behind-27gw-data-center-campus-near-cheyenne-wyoming/" TargetMode="External"/><Relationship Id="rId3073" Type="http://schemas.openxmlformats.org/officeDocument/2006/relationships/hyperlink" Target="https://www.datacenterdynamics.com/en/news/crusoe-pauses-work-on-18gw-cheyenne-wyoming-data-center-at-the-request-of-our-customer/" TargetMode="External"/><Relationship Id="rId3076" Type="http://schemas.openxmlformats.org/officeDocument/2006/relationships/hyperlink" Target="https://www.datacenterdynamics.com/en/news/related-digital-breaks-ground-on-12bn-data-center-in-cheyenne-wyoming-will-host-coreweave-servers/" TargetMode="External"/><Relationship Id="rId3075" Type="http://schemas.openxmlformats.org/officeDocument/2006/relationships/hyperlink" Target="https://oilcity.news/statewide/2025/10/07/1-2-billion-data-center-breaks-ground-in-cheyenne-promises-water-free-operations/" TargetMode="External"/><Relationship Id="rId3078" Type="http://schemas.openxmlformats.org/officeDocument/2006/relationships/hyperlink" Target="https://www.datacenterdynamics.com/en/news/prometheus-hyperscale-secures-planning-approval-for-gigawatt-data-center-campus-in-wyoming/" TargetMode="External"/><Relationship Id="rId3077" Type="http://schemas.openxmlformats.org/officeDocument/2006/relationships/hyperlink" Target="https://cheyenneleads.org/wp-content/uploads/2025/03/11x17-Business-Parks-Map-2024.jpg" TargetMode="External"/><Relationship Id="rId3079" Type="http://schemas.openxmlformats.org/officeDocument/2006/relationships/hyperlink" Target="https://www.datacenterfrontier.com/hyperscale/article/21437203/wyoming-hyperscale-the-future-of-the-data-center" TargetMode="External"/><Relationship Id="rId3061" Type="http://schemas.openxmlformats.org/officeDocument/2006/relationships/hyperlink" Target="https://ohiorivervalleyinstitute.org/adams-fork-energy-whats-happening-with-the-worlds-largest-proposed-ammonia-plant/" TargetMode="External"/><Relationship Id="rId3060" Type="http://schemas.openxmlformats.org/officeDocument/2006/relationships/hyperlink" Target="https://dep-auth.wv.gov/daq/permitting/Documents/Transgas-Adams-Fork/059-00134_EVAL_13-3715%20draft.pdf" TargetMode="External"/><Relationship Id="rId3063" Type="http://schemas.openxmlformats.org/officeDocument/2006/relationships/hyperlink" Target="https://www.newsfromthestates.com/article/enough-devastation-mingo-logan-residents-worry-about-proposed-power-plants-data-centers-wv" TargetMode="External"/><Relationship Id="rId3062" Type="http://schemas.openxmlformats.org/officeDocument/2006/relationships/hyperlink" Target="https://ohiorivervalleyinstitute.org/adams-fork-is-a-giant-waste-of-energy/" TargetMode="External"/><Relationship Id="rId3065" Type="http://schemas.openxmlformats.org/officeDocument/2006/relationships/hyperlink" Target="https://silicon.foundation/datacenter.html" TargetMode="External"/><Relationship Id="rId3064" Type="http://schemas.openxmlformats.org/officeDocument/2006/relationships/hyperlink" Target="https://www.datacenterdynamics.com/en/news/100mw-data-center-could-be-built-in-wheeling-west-virginia/" TargetMode="External"/><Relationship Id="rId3067" Type="http://schemas.openxmlformats.org/officeDocument/2006/relationships/hyperlink" Target="https://www.datacenterdynamics.com/en/news/microsoft-plans-to-buy-3200-acres-of-land-for-data-center-project-in-cheyenne-wyoming/" TargetMode="External"/><Relationship Id="rId3066" Type="http://schemas.openxmlformats.org/officeDocument/2006/relationships/hyperlink" Target="https://www.datacenterdynamics.com/en/news/meta-named-as-company-behind-945-acre-data-center-development-in-cheyenne-wyoming/" TargetMode="External"/><Relationship Id="rId3069" Type="http://schemas.openxmlformats.org/officeDocument/2006/relationships/hyperlink" Target="https://www.washingtonpost.com/climate-environment/interactive/2025/giant-data-centers-energy-pollution" TargetMode="External"/><Relationship Id="rId3068" Type="http://schemas.openxmlformats.org/officeDocument/2006/relationships/hyperlink" Target="https://capcity.news/community/county-community/county-government/2025/10/09/laramie-county-oks-zoning-to-allow-massive-switchgrass-industrial-park-for-data-center-power-plant/" TargetMode="External"/><Relationship Id="rId3080" Type="http://schemas.openxmlformats.org/officeDocument/2006/relationships/drawing" Target="../drawings/drawing2.xml"/><Relationship Id="rId3039" Type="http://schemas.openxmlformats.org/officeDocument/2006/relationships/hyperlink" Target="https://images.zoomprospector.com/client/properties/WESTVIRGINIA/fa9b81d6-cded-431e-bf70-975c6ccf3111.pdf" TargetMode="External"/><Relationship Id="rId1" Type="http://schemas.openxmlformats.org/officeDocument/2006/relationships/hyperlink" Target="https://www.datacenterdynamics.com/en/news/developer-of-edge-data-centers-helipads-and-parking-garages-proposes-project-on-former-fairground-in-calistoga-california/" TargetMode="External"/><Relationship Id="rId2" Type="http://schemas.openxmlformats.org/officeDocument/2006/relationships/hyperlink" Target="https://calistoga.civicweb.net/document/116181/Global%20Stack%20Opportunity%20Overview.pdf?handle=92DF9DCF83B442A68B3263107EF2411A" TargetMode="External"/><Relationship Id="rId3" Type="http://schemas.openxmlformats.org/officeDocument/2006/relationships/hyperlink" Target="https://www.datacenterdynamics.com/en/news/stak-energy-proposes-3gw-natural-gas-powered-data-center-in-alaskas-north-slope/" TargetMode="External"/><Relationship Id="rId4" Type="http://schemas.openxmlformats.org/officeDocument/2006/relationships/hyperlink" Target="https://www.cbc.ca/news/canada/north/yukon-alaska-data-centre-indigenous-environment-9.7239464" TargetMode="External"/><Relationship Id="rId3030" Type="http://schemas.openxmlformats.org/officeDocument/2006/relationships/hyperlink" Target="https://friendsofblackwater.org/" TargetMode="External"/><Relationship Id="rId9" Type="http://schemas.openxmlformats.org/officeDocument/2006/relationships/hyperlink" Target="https://www.deltaplexnews.com/local-news/data-center-for-grant-county-not-close-yet-to-determine-possible-user/" TargetMode="External"/><Relationship Id="rId3032" Type="http://schemas.openxmlformats.org/officeDocument/2006/relationships/hyperlink" Target="https://westvirginiawatch.com/2025/05/28/it-will-destroy-this-place-tucker-county-residents-fight-for-future-against-proposed-data-center/" TargetMode="External"/><Relationship Id="rId3031" Type="http://schemas.openxmlformats.org/officeDocument/2006/relationships/hyperlink" Target="https://wvmetronews.com/2025/07/01/tucker-county-residents-rise-up-to-oppose-data-center/" TargetMode="External"/><Relationship Id="rId3034" Type="http://schemas.openxmlformats.org/officeDocument/2006/relationships/hyperlink" Target="https://wvmetronews.com/2025/09/17/environmental-groups-mount-a-challenge-to-data-center-power-permit/" TargetMode="External"/><Relationship Id="rId3033" Type="http://schemas.openxmlformats.org/officeDocument/2006/relationships/hyperlink" Target="https://steadystate.org/tucker-county-yellowstone-of-the-east-or-appalachias-cancer-valley/" TargetMode="External"/><Relationship Id="rId5" Type="http://schemas.openxmlformats.org/officeDocument/2006/relationships/hyperlink" Target="https://www.fn-digital.com/data-center" TargetMode="External"/><Relationship Id="rId3036" Type="http://schemas.openxmlformats.org/officeDocument/2006/relationships/hyperlink" Target="https://dep.wv.gov/daq/permitting/Documents/Fundamental%20Data%20LLC;%20Ridgeline%20Facility/093-00034_APPL_13-3713.pdf" TargetMode="External"/><Relationship Id="rId6" Type="http://schemas.openxmlformats.org/officeDocument/2006/relationships/hyperlink" Target="https://www.datacenterdynamics.com/en/news/stak-energy-proposes-3gw-natural-gas-powered-data-center-in-alaskas-north-slope/" TargetMode="External"/><Relationship Id="rId3035" Type="http://schemas.openxmlformats.org/officeDocument/2006/relationships/hyperlink" Target="https://www.yahoo.com/news/articles/hope-rest-wv-watching-tucker-110032778.html" TargetMode="External"/><Relationship Id="rId7" Type="http://schemas.openxmlformats.org/officeDocument/2006/relationships/hyperlink" Target="https://www.facebook.com/groups/1489861802232589/" TargetMode="External"/><Relationship Id="rId3038" Type="http://schemas.openxmlformats.org/officeDocument/2006/relationships/hyperlink" Target="https://www.wboy.com/news/marion/local-company-looking-at-developing-data-center-near-white-hall/" TargetMode="External"/><Relationship Id="rId8" Type="http://schemas.openxmlformats.org/officeDocument/2006/relationships/hyperlink" Target="https://www.change.org/p/ban-new-data-centers-on-farmland-and-in-towns" TargetMode="External"/><Relationship Id="rId3037" Type="http://schemas.openxmlformats.org/officeDocument/2006/relationships/hyperlink" Target="https://wajr.com/2026/05/06/data-center-study-underway-in-marion-county/" TargetMode="External"/><Relationship Id="rId3029" Type="http://schemas.openxmlformats.org/officeDocument/2006/relationships/hyperlink" Target="https://www.tuckerunited.com/" TargetMode="External"/><Relationship Id="rId3028" Type="http://schemas.openxmlformats.org/officeDocument/2006/relationships/hyperlink" Target="https://www.newsandsentinel.com/news/business/2026/03/feeling-lucky-google-data-center-project-in-the-works-for-putnam-county/" TargetMode="External"/><Relationship Id="rId3021" Type="http://schemas.openxmlformats.org/officeDocument/2006/relationships/hyperlink" Target="https://www.datacenterdynamics.com/en/news/microsoft-buys-another-70-acres-in-mount-pleasant-wisconsin/" TargetMode="External"/><Relationship Id="rId3020" Type="http://schemas.openxmlformats.org/officeDocument/2006/relationships/hyperlink" Target="https://www.datacenterdynamics.com/en/news/microsoft-buys-another-160-acres-in-racine-county-wisconsin-for-mount-pleasant-data-center-campus/" TargetMode="External"/><Relationship Id="rId3023" Type="http://schemas.openxmlformats.org/officeDocument/2006/relationships/hyperlink" Target="https://www.datacenterdynamics.com/en/news/dpo-secures-land-and-power-supply-for-20mw-hpc-data-center-in-wisconsin/" TargetMode="External"/><Relationship Id="rId3022" Type="http://schemas.openxmlformats.org/officeDocument/2006/relationships/hyperlink" Target="https://www.jsonline.com/story/money/real-estate/commercial/2024/07/29/microsoft-buys-more-land-near-milwaukee-area-data-center-development/74557810007/" TargetMode="External"/><Relationship Id="rId3025" Type="http://schemas.openxmlformats.org/officeDocument/2006/relationships/hyperlink" Target="https://www.wisconsinrapidstribune.com/story/money/2025/07/23/digital-power-optimization-no-longer-plans-to-open-200-million-ai-data-center-in-wisconsin-rapids/85340839007/" TargetMode="External"/><Relationship Id="rId3024" Type="http://schemas.openxmlformats.org/officeDocument/2006/relationships/hyperlink" Target="https://www.wisconsinrapidstribune.com/story/money/2025/01/27/ai-computing-facility-wisconsin-rapids-digital-power-optimization/77969465007/" TargetMode="External"/><Relationship Id="rId3027" Type="http://schemas.openxmlformats.org/officeDocument/2006/relationships/hyperlink" Target="https://wchstv.com/news/local/google-has-acquired-land-for-potential-data-center-in-putnam-county-officials-announce" TargetMode="External"/><Relationship Id="rId3026" Type="http://schemas.openxmlformats.org/officeDocument/2006/relationships/hyperlink" Target="https://www.datacenterdynamics.com/en/news/google-purchases-land-for-data-center-in-putnam-county-west-virginia/" TargetMode="External"/><Relationship Id="rId3050" Type="http://schemas.openxmlformats.org/officeDocument/2006/relationships/hyperlink" Target="https://wvpublic.org/story/energy-environment/morgantown-federal-energy-lab-could-host-data-center-for-ai/" TargetMode="External"/><Relationship Id="rId3052" Type="http://schemas.openxmlformats.org/officeDocument/2006/relationships/hyperlink" Target="https://www.wsaz.com/2025/03/04/new-facility-set-bring-thousands-jobs-mason-county/" TargetMode="External"/><Relationship Id="rId3051" Type="http://schemas.openxmlformats.org/officeDocument/2006/relationships/hyperlink" Target="https://netl.doe.gov/node/14819" TargetMode="External"/><Relationship Id="rId3054" Type="http://schemas.openxmlformats.org/officeDocument/2006/relationships/hyperlink" Target="https://eda.wv.gov/wp-content/uploads/2024/01/Mountaineer-GigaSystem-LLC-Final-Approval-8-16-2023-High-Impact.pdf" TargetMode="External"/><Relationship Id="rId3053" Type="http://schemas.openxmlformats.org/officeDocument/2006/relationships/hyperlink" Target="https://fidelisinfra.com/project/monarch-compute-campus/" TargetMode="External"/><Relationship Id="rId3056" Type="http://schemas.openxmlformats.org/officeDocument/2006/relationships/hyperlink" Target="https://www.datacenterdynamics.com/en/news/nscale-in-talks-to-acquire-8gw-monarch-compute-campus-in-west-virginia-report/" TargetMode="External"/><Relationship Id="rId3055" Type="http://schemas.openxmlformats.org/officeDocument/2006/relationships/hyperlink" Target="https://www.prnewswire.com/news-releases/fidelis-and-bw-join-forces-at-mountaineer-gigasystem-site-for-brightloop-facility-to-process-coal-into-low-carbon-energy-302382849.html" TargetMode="External"/><Relationship Id="rId3058" Type="http://schemas.openxmlformats.org/officeDocument/2006/relationships/hyperlink" Target="https://wvcag.org/" TargetMode="External"/><Relationship Id="rId3057" Type="http://schemas.openxmlformats.org/officeDocument/2006/relationships/hyperlink" Target="https://www.prnewswire.com/news-releases/american-intelligence--power-forms-strategic-alliance-with-caterpillar-and-boyd-cat-to-deploy-2-gigawatts-of-dedicated-power-for-hyperscale-ai-infrastructure-302673060.html" TargetMode="External"/><Relationship Id="rId3059" Type="http://schemas.openxmlformats.org/officeDocument/2006/relationships/hyperlink" Target="https://wvrivers.org/" TargetMode="External"/><Relationship Id="rId3041" Type="http://schemas.openxmlformats.org/officeDocument/2006/relationships/hyperlink" Target="https://www.wvnews.com/statejournal/news/noaa-s-100m-rhea-supercomputer-coming-to-fairmont-boosting-west-virginia-tech-growth/article_5726208a-d3d7-404b-9eed-4cbb10cd26eb.html" TargetMode="External"/><Relationship Id="rId3040" Type="http://schemas.openxmlformats.org/officeDocument/2006/relationships/hyperlink" Target="https://www.wvnews.com/statejournal/news/noaa-s-100m-rhea-supercomputer-coming-to-fairmont-boosting-west-virginia-tech-growth/article_5726208a-d3d7-404b-9eed-4cbb10cd26eb.html" TargetMode="External"/><Relationship Id="rId3043" Type="http://schemas.openxmlformats.org/officeDocument/2006/relationships/hyperlink" Target="https://wvrivers.org/" TargetMode="External"/><Relationship Id="rId3042" Type="http://schemas.openxmlformats.org/officeDocument/2006/relationships/hyperlink" Target="https://wvcag.org/" TargetMode="External"/><Relationship Id="rId3045" Type="http://schemas.openxmlformats.org/officeDocument/2006/relationships/hyperlink" Target="https://ohiorivervalleyinstitute.org/adams-fork-is-a-giant-waste-of-energy/" TargetMode="External"/><Relationship Id="rId3044" Type="http://schemas.openxmlformats.org/officeDocument/2006/relationships/hyperlink" Target="https://dep.wv.gov/daq/permitting/Documents/Transgas-Adams-Fork-Harless/059-00133_APPL_13-3714%20rev.pdf" TargetMode="External"/><Relationship Id="rId3047" Type="http://schemas.openxmlformats.org/officeDocument/2006/relationships/hyperlink" Target="https://www.datacenterdynamics.com/en/news/alpha-technologies-to-convert-office-to-data-center-in-west-virginia/" TargetMode="External"/><Relationship Id="rId3046" Type="http://schemas.openxmlformats.org/officeDocument/2006/relationships/hyperlink" Target="https://www.newsfromthestates.com/article/enough-devastation-mingo-logan-residents-worry-about-proposed-power-plants-data-centers-wv" TargetMode="External"/><Relationship Id="rId3049" Type="http://schemas.openxmlformats.org/officeDocument/2006/relationships/hyperlink" Target="https://www.datacenterdynamics.com/en/news/penzance-targets-600mw-data-center-campus-in-west-virginia/" TargetMode="External"/><Relationship Id="rId3048" Type="http://schemas.openxmlformats.org/officeDocument/2006/relationships/hyperlink" Target="https://observerwv.com/plan-for-data-center-complex-near-kearneysville-approved/" TargetMode="External"/><Relationship Id="rId2600" Type="http://schemas.openxmlformats.org/officeDocument/2006/relationships/hyperlink" Target="https://eservice.pwcgov.org/planning/documents/REZ2021-00022.pdf" TargetMode="External"/><Relationship Id="rId2601" Type="http://schemas.openxmlformats.org/officeDocument/2006/relationships/hyperlink" Target="https://pwc.publicaccessnow.com/PropertyDetail.aspx?mtab=property&amp;mpropertynumber=264279" TargetMode="External"/><Relationship Id="rId2602" Type="http://schemas.openxmlformats.org/officeDocument/2006/relationships/hyperlink" Target="https://pwc.publicaccessnow.com/PropertyDetail.aspx?mpropertynumber=228119&amp;mtab=property&amp;p=228119" TargetMode="External"/><Relationship Id="rId2603" Type="http://schemas.openxmlformats.org/officeDocument/2006/relationships/hyperlink" Target="https://egcss.pwcgov.org/SelfService" TargetMode="External"/><Relationship Id="rId2604" Type="http://schemas.openxmlformats.org/officeDocument/2006/relationships/hyperlink" Target="https://www.pwcva.gov/department/planning-office/data-centers" TargetMode="External"/><Relationship Id="rId2605" Type="http://schemas.openxmlformats.org/officeDocument/2006/relationships/hyperlink" Target="https://wtop.com/prince-william-county/2025/07/prince-william-county-residents-push-back-against-recommendation-of-another-data-center/" TargetMode="External"/><Relationship Id="rId2606" Type="http://schemas.openxmlformats.org/officeDocument/2006/relationships/hyperlink" Target="https://eservice.pwcgov.org/planning/documents/REZ2023-00001.pdf" TargetMode="External"/><Relationship Id="rId808" Type="http://schemas.openxmlformats.org/officeDocument/2006/relationships/hyperlink" Target="https://wtop.com/montgomery-county/2026/02/coming-at-us-way-too-fast-public-comment-on-data-centers-in-montgomery-county/" TargetMode="External"/><Relationship Id="rId2607" Type="http://schemas.openxmlformats.org/officeDocument/2006/relationships/hyperlink" Target="https://egcss.pwcgov.org/SelfService" TargetMode="External"/><Relationship Id="rId807" Type="http://schemas.openxmlformats.org/officeDocument/2006/relationships/hyperlink" Target="https://www.thebanner.com/economy/growth-development/data-centers-agricultural-reserve-development-dickerson-battery-storage-potomac-river-IENOJKGJKJGDLL7DU53KSKMQ2U/" TargetMode="External"/><Relationship Id="rId2608" Type="http://schemas.openxmlformats.org/officeDocument/2006/relationships/hyperlink" Target="https://pwc.publicaccessnow.com/PropertyDetail.aspx?mtab=property&amp;mpropertynumber=202724" TargetMode="External"/><Relationship Id="rId806" Type="http://schemas.openxmlformats.org/officeDocument/2006/relationships/hyperlink" Target="https://www.facebook.com/groups/283244782323144/" TargetMode="External"/><Relationship Id="rId2609" Type="http://schemas.openxmlformats.org/officeDocument/2006/relationships/hyperlink" Target="https://pwc.publicaccessnow.com/PropertyDetail.aspx?mpropertynumber=025267&amp;mtab=property&amp;p=025267" TargetMode="External"/><Relationship Id="rId805" Type="http://schemas.openxmlformats.org/officeDocument/2006/relationships/hyperlink" Target="https://www.mocoalliance.org/news/dickerson-data-centers-how-much-water-how-much-power-how-much-diesel" TargetMode="External"/><Relationship Id="rId809" Type="http://schemas.openxmlformats.org/officeDocument/2006/relationships/hyperlink" Target="https://www.datacenterdynamics.com/en/news/aligned-tops-out-maryland-data-center/" TargetMode="External"/><Relationship Id="rId800" Type="http://schemas.openxmlformats.org/officeDocument/2006/relationships/hyperlink" Target="https://www.expedient.com/data-centers/boston/" TargetMode="External"/><Relationship Id="rId804" Type="http://schemas.openxmlformats.org/officeDocument/2006/relationships/hyperlink" Target="https://www.datacenterdynamics.com/en/news/new-york-based-mag-partners-may-build-data-centers-on-235-acre-site-in-baltimore/" TargetMode="External"/><Relationship Id="rId803" Type="http://schemas.openxmlformats.org/officeDocument/2006/relationships/hyperlink" Target="https://www.expedient.com/data-centers/baltimore/" TargetMode="External"/><Relationship Id="rId802" Type="http://schemas.openxmlformats.org/officeDocument/2006/relationships/hyperlink" Target="https://www.nbcboston.com/news/local/massive-multi-billion-dollar-data-center-campus-planned-in-western-massachusetts/3795016/" TargetMode="External"/><Relationship Id="rId801" Type="http://schemas.openxmlformats.org/officeDocument/2006/relationships/hyperlink" Target="https://theshoestring.org/2025/12/30/ai-hallucination-proposed-westfield-data-center-appears-abandoned-by-developers/" TargetMode="External"/><Relationship Id="rId1334" Type="http://schemas.openxmlformats.org/officeDocument/2006/relationships/hyperlink" Target="https://www.datacenterdynamics.com/en/news/local-authorities-in-ashville-ohio-deny-annexation-request-for-data-center-project/" TargetMode="External"/><Relationship Id="rId2665" Type="http://schemas.openxmlformats.org/officeDocument/2006/relationships/hyperlink" Target="https://www.chesterfield.gov/828/Real-Estate-Assessment-Data" TargetMode="External"/><Relationship Id="rId1335" Type="http://schemas.openxmlformats.org/officeDocument/2006/relationships/hyperlink" Target="https://www.sciotopost.com/ashville-council-rejects-data-center-annexation-emphasizes-regional-cooperation-and-updated-ceda-agreement/" TargetMode="External"/><Relationship Id="rId2666" Type="http://schemas.openxmlformats.org/officeDocument/2006/relationships/hyperlink" Target="https://www.datacenterdynamics.com/en/news/3bn-data-center-proposed-outside-richmond-in-powhatan-county-virginia/" TargetMode="External"/><Relationship Id="rId1336" Type="http://schemas.openxmlformats.org/officeDocument/2006/relationships/hyperlink" Target="https://www.change.org/p/stop-construction-of-project-triton-in-norton-and-barberton-residential-areas" TargetMode="External"/><Relationship Id="rId2667" Type="http://schemas.openxmlformats.org/officeDocument/2006/relationships/hyperlink" Target="https://powhatanvarealestate.org/ParcelViewer/" TargetMode="External"/><Relationship Id="rId1337" Type="http://schemas.openxmlformats.org/officeDocument/2006/relationships/hyperlink" Target="https://www.wkyc.com/article/news/local/summit-county/norton-residents-push-back-proposed-data-center-quantum-hpc/95-bded910f-b3ba-496f-8a62-f41b5a0506c0" TargetMode="External"/><Relationship Id="rId2668" Type="http://schemas.openxmlformats.org/officeDocument/2006/relationships/hyperlink" Target="https://www.datacenterdynamics.com/en/news/province-group-data-center-campus-gets-green-light-in-powhatan-county-virginia/" TargetMode="External"/><Relationship Id="rId1338" Type="http://schemas.openxmlformats.org/officeDocument/2006/relationships/hyperlink" Target="https://www.qhpcnorton.com/" TargetMode="External"/><Relationship Id="rId2669" Type="http://schemas.openxmlformats.org/officeDocument/2006/relationships/hyperlink" Target="https://www.jll.com/en-us/newsroom/powhatan-county-approves-180-acre-data-center-development" TargetMode="External"/><Relationship Id="rId1339" Type="http://schemas.openxmlformats.org/officeDocument/2006/relationships/hyperlink" Target="https://www.beaconjournal.com/story/news/2025/10/13/norton-to-host-meeting-to-discuss-proposed-data-center-at-mine-site/86585723007/" TargetMode="External"/><Relationship Id="rId745" Type="http://schemas.openxmlformats.org/officeDocument/2006/relationships/hyperlink" Target="https://www.weareoldhamcounty.com/" TargetMode="External"/><Relationship Id="rId744" Type="http://schemas.openxmlformats.org/officeDocument/2006/relationships/hyperlink" Target="https://www.cnbc.com/2026/07/06/anthropic-terawulf-data-center-ai.html" TargetMode="External"/><Relationship Id="rId743" Type="http://schemas.openxmlformats.org/officeDocument/2006/relationships/hyperlink" Target="https://seekingalpha.com/news/4545877-terawulf-to-develop-former-century-aluminum-plant-into-digital-infrastructure-campus" TargetMode="External"/><Relationship Id="rId742" Type="http://schemas.openxmlformats.org/officeDocument/2006/relationships/hyperlink" Target="https://investors.terawulf.com/news-events/press-releases/detail/129/terawulf-expands-digital-and-power-infrastructure-portfolio" TargetMode="External"/><Relationship Id="rId749" Type="http://schemas.openxmlformats.org/officeDocument/2006/relationships/hyperlink" Target="https://www.whas11.com/article/money/business/sauerbeck-family-drive-in-relocate-oldham-county-data-center-kentucky/417-3b414238-07a3-4aa2-a181-b3d0a3fd003b" TargetMode="External"/><Relationship Id="rId748" Type="http://schemas.openxmlformats.org/officeDocument/2006/relationships/hyperlink" Target="https://www.whas11.com/article/news/local/oldham-county-data-center-proposal-opposition/417-793370d3-51be-451a-847c-efcc84c2b48c" TargetMode="External"/><Relationship Id="rId747" Type="http://schemas.openxmlformats.org/officeDocument/2006/relationships/hyperlink" Target="https://www.wlky.com/article/zoning-dispute-erupts-over-proposed-data-center-oldham-county/64844247" TargetMode="External"/><Relationship Id="rId746" Type="http://schemas.openxmlformats.org/officeDocument/2006/relationships/hyperlink" Target="https://www.datacenterdynamics.com/en/news/kentuckys-oldham-county-passes-150-day-data-center-moratorium/" TargetMode="External"/><Relationship Id="rId2660" Type="http://schemas.openxmlformats.org/officeDocument/2006/relationships/hyperlink" Target="https://egcss.pwcgov.org/SelfService" TargetMode="External"/><Relationship Id="rId741" Type="http://schemas.openxmlformats.org/officeDocument/2006/relationships/hyperlink" Target="https://spectrumnews1.com/ky/louisville/news/2026/02/22/mercer-county-residents-petition-against-data-center" TargetMode="External"/><Relationship Id="rId1330" Type="http://schemas.openxmlformats.org/officeDocument/2006/relationships/hyperlink" Target="https://www.pjm.com/-/media/DotCom/committees-groups/committees/teac/2026/20260203/20260203-item-06---dayton-supplemental-projects.pdf" TargetMode="External"/><Relationship Id="rId2661" Type="http://schemas.openxmlformats.org/officeDocument/2006/relationships/hyperlink" Target="https://www.fairfaxcounty.gov/planning-development/sites/planning-development/files/Assets/Documents/PDF/data-centers-report.pdf" TargetMode="External"/><Relationship Id="rId740" Type="http://schemas.openxmlformats.org/officeDocument/2006/relationships/hyperlink" Target="https://www.linkedin.com/posts/chicagodatacenterbroker_exciting-opportunity-in-mercer-county-kentucky-activity-7359582503759745025-9DPs" TargetMode="External"/><Relationship Id="rId1331" Type="http://schemas.openxmlformats.org/officeDocument/2006/relationships/hyperlink" Target="https://www.vikingdata.io/" TargetMode="External"/><Relationship Id="rId2662" Type="http://schemas.openxmlformats.org/officeDocument/2006/relationships/hyperlink" Target="https://icare.fairfaxcounty.gov/ffxcare/Datalets/Datalet.aspx?mode=&amp;UseSearch=no&amp;pin=0294%2006%20%200105&amp;jur=129&amp;taxyr=2025" TargetMode="External"/><Relationship Id="rId1332" Type="http://schemas.openxmlformats.org/officeDocument/2006/relationships/hyperlink" Target="https://abc6onyourside.com/news/local/ashville-ohio-residents-push-back-against-proposed-edgeconnex-project-data-center-at-packed-council-meeting" TargetMode="External"/><Relationship Id="rId2663" Type="http://schemas.openxmlformats.org/officeDocument/2006/relationships/hyperlink" Target="https://frdnet.fcva.us/applications/COR_ViewPropertyCards/View_Detail.aspx?mrecno=28249" TargetMode="External"/><Relationship Id="rId1333" Type="http://schemas.openxmlformats.org/officeDocument/2006/relationships/hyperlink" Target="https://www.datacenterdynamics.com/en/news/proposed-edgeconnex-data-center-in-pickaway-county-ohio-facing-criticism/" TargetMode="External"/><Relationship Id="rId2664" Type="http://schemas.openxmlformats.org/officeDocument/2006/relationships/hyperlink" Target="https://chesterfieldfits.com/site/wp-content/uploads/2025/05/25SN1040-Watkins.-Proffers.-Executed.-5.9.25-01718951xBE3E4.pdf" TargetMode="External"/><Relationship Id="rId1323" Type="http://schemas.openxmlformats.org/officeDocument/2006/relationships/hyperlink" Target="https://www.cacwny.org/2024/10/we-want-renewable-power-generation-not-data-centers-at-tonawanda-coke/" TargetMode="External"/><Relationship Id="rId2654" Type="http://schemas.openxmlformats.org/officeDocument/2006/relationships/hyperlink" Target="https://egcss.pwcgov.org/SelfService" TargetMode="External"/><Relationship Id="rId1324" Type="http://schemas.openxmlformats.org/officeDocument/2006/relationships/hyperlink" Target="https://www.wgrz.com/article/news/local/data-center-proposed-for-tonawanda-coke-site-now-on-hold/71-eea5beb5-20cd-41e8-ab68-af42f7507770" TargetMode="External"/><Relationship Id="rId2655" Type="http://schemas.openxmlformats.org/officeDocument/2006/relationships/hyperlink" Target="https://pwc.publicaccessnow.com/PropertyDetail.aspx?mtab=property&amp;mpropertynumber=019605" TargetMode="External"/><Relationship Id="rId1325" Type="http://schemas.openxmlformats.org/officeDocument/2006/relationships/hyperlink" Target="http://www.riverviewtechcampus.com/" TargetMode="External"/><Relationship Id="rId2656" Type="http://schemas.openxmlformats.org/officeDocument/2006/relationships/hyperlink" Target="https://egcss.pwcgov.org/SelfService" TargetMode="External"/><Relationship Id="rId1326" Type="http://schemas.openxmlformats.org/officeDocument/2006/relationships/hyperlink" Target="https://www.datacenterdynamics.com/en/news/developer-buys-new-york-coal-plant-data-center-project/" TargetMode="External"/><Relationship Id="rId2657" Type="http://schemas.openxmlformats.org/officeDocument/2006/relationships/hyperlink" Target="https://egcss.pwcgov.org/SelfService" TargetMode="External"/><Relationship Id="rId1327" Type="http://schemas.openxmlformats.org/officeDocument/2006/relationships/hyperlink" Target="https://archive.ph/Y2kcW" TargetMode="External"/><Relationship Id="rId2658" Type="http://schemas.openxmlformats.org/officeDocument/2006/relationships/hyperlink" Target="https://www.datacenterdynamics.com/en/news/microsoft-to-build-new-data-center-in-manassas-virginia/" TargetMode="External"/><Relationship Id="rId1328" Type="http://schemas.openxmlformats.org/officeDocument/2006/relationships/hyperlink" Target="https://www.newsday.com/long-island/computer-data-center-warehouse-yaphank-hfdnl8i8" TargetMode="External"/><Relationship Id="rId2659" Type="http://schemas.openxmlformats.org/officeDocument/2006/relationships/hyperlink" Target="https://pwc.publicaccessnow.com/PropertyDetail.aspx?mtab=property&amp;mpropertynumber=246592" TargetMode="External"/><Relationship Id="rId1329" Type="http://schemas.openxmlformats.org/officeDocument/2006/relationships/hyperlink" Target="https://www.datacenterdynamics.com/en/news/new-data-center-construction-confirmed-in-adams-county-ohio/" TargetMode="External"/><Relationship Id="rId739" Type="http://schemas.openxmlformats.org/officeDocument/2006/relationships/hyperlink" Target="https://fox56news.com/news/local/proposal-to-build-data-center-in-mercer-county-sparks-debate-among-community-members/" TargetMode="External"/><Relationship Id="rId734" Type="http://schemas.openxmlformats.org/officeDocument/2006/relationships/hyperlink" Target="https://tenkeydatacenter.com/" TargetMode="External"/><Relationship Id="rId733" Type="http://schemas.openxmlformats.org/officeDocument/2006/relationships/hyperlink" Target="https://www.datacenterdynamics.com/en/news/data-center-proposal-in-franklin-kentucky-gets-approval-from-planning-and-zoning-commission/" TargetMode="External"/><Relationship Id="rId732" Type="http://schemas.openxmlformats.org/officeDocument/2006/relationships/hyperlink" Target="https://www.datacenterdynamics.com/en/news/officials-in-meade-county-kentucky-reject-data-center-rezoning-plan/" TargetMode="External"/><Relationship Id="rId731" Type="http://schemas.openxmlformats.org/officeDocument/2006/relationships/hyperlink" Target="https://www.change.org/p/stop-the-ai-data-center-construction-in-ekron-ky" TargetMode="External"/><Relationship Id="rId738" Type="http://schemas.openxmlformats.org/officeDocument/2006/relationships/hyperlink" Target="https://www.yahoo.com/news/articles/mercer-county-residents-speak-proposed-115252446.html" TargetMode="External"/><Relationship Id="rId737" Type="http://schemas.openxmlformats.org/officeDocument/2006/relationships/hyperlink" Target="https://www.change.org/p/stop-the-construction-of-data-centers-in-rural-mercer-co-ky" TargetMode="External"/><Relationship Id="rId736" Type="http://schemas.openxmlformats.org/officeDocument/2006/relationships/hyperlink" Target="http://wearemercercountyky.org" TargetMode="External"/><Relationship Id="rId735" Type="http://schemas.openxmlformats.org/officeDocument/2006/relationships/hyperlink" Target="https://www.franklinfavorite.com/news/article_a847db4f-a029-58aa-baee-cb01774ca008.html" TargetMode="External"/><Relationship Id="rId730" Type="http://schemas.openxmlformats.org/officeDocument/2006/relationships/hyperlink" Target="https://www.datacenterdynamics.com/en/news/data-center-moratorium-blocking-gigawatt-campus-challenged-in-cave-city-kentucky/" TargetMode="External"/><Relationship Id="rId2650" Type="http://schemas.openxmlformats.org/officeDocument/2006/relationships/hyperlink" Target="https://egcss.pwcgov.org/SelfService" TargetMode="External"/><Relationship Id="rId1320" Type="http://schemas.openxmlformats.org/officeDocument/2006/relationships/hyperlink" Target="https://www.datacenterdynamics.com/en/news/databank-launches-20mw-data-center-in-orangeburg-new-york/" TargetMode="External"/><Relationship Id="rId2651" Type="http://schemas.openxmlformats.org/officeDocument/2006/relationships/hyperlink" Target="https://pwc.publicaccessnow.com/PropertyDetail.aspx?mtab=property&amp;mpropertynumber=254675" TargetMode="External"/><Relationship Id="rId1321" Type="http://schemas.openxmlformats.org/officeDocument/2006/relationships/hyperlink" Target="https://www.databank.com/data-centers/new-york-city/" TargetMode="External"/><Relationship Id="rId2652" Type="http://schemas.openxmlformats.org/officeDocument/2006/relationships/hyperlink" Target="https://egcss.pwcgov.org/SelfService" TargetMode="External"/><Relationship Id="rId1322" Type="http://schemas.openxmlformats.org/officeDocument/2006/relationships/hyperlink" Target="https://newsroom.ibm.com/2024-09-26-ibm-expands-quantum-data-center-in-poughkeepsie,-new-york-to-advance-algorithm-discovery-globally" TargetMode="External"/><Relationship Id="rId2653" Type="http://schemas.openxmlformats.org/officeDocument/2006/relationships/hyperlink" Target="https://pwc.publicaccessnow.com/PropertyDetail.aspx?mtab=property&amp;mpropertynumber=270074" TargetMode="External"/><Relationship Id="rId1356" Type="http://schemas.openxmlformats.org/officeDocument/2006/relationships/hyperlink" Target="https://www.expedient.com/data-centers/cleveland/" TargetMode="External"/><Relationship Id="rId2687" Type="http://schemas.openxmlformats.org/officeDocument/2006/relationships/hyperlink" Target="https://www.fauquier.com/news/gigaland-pitches-new-data-center-complex-near-remington/article_54a84456-c63e-11ee-9791-af00814cfeff.html?emci=b70cb8e1-97c6-ee11-85f9-002248223794&amp;emdi=9a5bec2c-b0c6-ee11-85f9-002248223794&amp;ceid=11786847" TargetMode="External"/><Relationship Id="rId1357" Type="http://schemas.openxmlformats.org/officeDocument/2006/relationships/hyperlink" Target="https://www.datacenterdynamics.com/en/news/developers-file-application-for-16bn-data-center-in-cleveland-ohio/" TargetMode="External"/><Relationship Id="rId2688" Type="http://schemas.openxmlformats.org/officeDocument/2006/relationships/hyperlink" Target="https://gis.vgsi.com/fauquierva/Parcel.aspx?pid=7982" TargetMode="External"/><Relationship Id="rId1358" Type="http://schemas.openxmlformats.org/officeDocument/2006/relationships/hyperlink" Target="https://www.datacenterdynamics.com/en/news/16bn-data-center-plan-rejected-in-cleveland-ohio/" TargetMode="External"/><Relationship Id="rId2689" Type="http://schemas.openxmlformats.org/officeDocument/2006/relationships/hyperlink" Target="https://commdevpay.fauquiercounty.gov/Energov_Prod/SelfService" TargetMode="External"/><Relationship Id="rId1359" Type="http://schemas.openxmlformats.org/officeDocument/2006/relationships/hyperlink" Target="https://neo-trans.blog/2026/05/06/1-6b-data-center-planned-in-cleveland/" TargetMode="External"/><Relationship Id="rId767" Type="http://schemas.openxmlformats.org/officeDocument/2006/relationships/hyperlink" Target="https://www.wpsdlocal6.com/newsletter_stories/city-leaders-hope-to-fill-space-after-cryptocurrency-company-leaves-amerisourcebergen-building-in-paducah/article_6d9aefce-e236-11ec-b493-2ba86b7b6a5b.html" TargetMode="External"/><Relationship Id="rId766" Type="http://schemas.openxmlformats.org/officeDocument/2006/relationships/hyperlink" Target="https://www.datacenterdynamics.com/en/news/riot-to-convert-cryptomine-site-in-texas-to-hpc-signs-25mw-lease-with-amd/" TargetMode="External"/><Relationship Id="rId765" Type="http://schemas.openxmlformats.org/officeDocument/2006/relationships/hyperlink" Target="https://www.datacenterdynamics.com/en/news/soluna-to-develop-two-new-data-centers-in-texas-with-a-combined-capacity-of-350mw/" TargetMode="External"/><Relationship Id="rId764" Type="http://schemas.openxmlformats.org/officeDocument/2006/relationships/hyperlink" Target="https://baxtel.com/data-center/soluna-project-sophie?lat=36.54308464821985&amp;lng=-88.36226063424738&amp;distance=27294.14912016671" TargetMode="External"/><Relationship Id="rId769" Type="http://schemas.openxmlformats.org/officeDocument/2006/relationships/hyperlink" Target="https://www.datacenterdynamics.com/en/news/data-center-planned-near-shreveport-louisiana-report/" TargetMode="External"/><Relationship Id="rId768" Type="http://schemas.openxmlformats.org/officeDocument/2006/relationships/hyperlink" Target="https://www.datacenterdynamics.com/en/news/riot-to-convert-cryptomine-site-in-texas-to-hpc-signs-25mw-lease-with-amd/" TargetMode="External"/><Relationship Id="rId2680" Type="http://schemas.openxmlformats.org/officeDocument/2006/relationships/hyperlink" Target="https://air.norfolk.gov/" TargetMode="External"/><Relationship Id="rId1350" Type="http://schemas.openxmlformats.org/officeDocument/2006/relationships/hyperlink" Target="https://www.change.org/p/abolish-the-data-center-in-fulton-county-illinois" TargetMode="External"/><Relationship Id="rId2681" Type="http://schemas.openxmlformats.org/officeDocument/2006/relationships/hyperlink" Target="https://www.fairfaxcounty.gov/planning-development/sites/planning-development/files/Assets/Documents/PDF/data-centers-report.pdf" TargetMode="External"/><Relationship Id="rId1351" Type="http://schemas.openxmlformats.org/officeDocument/2006/relationships/hyperlink" Target="https://www.datacenterdynamics.com/en/news/carter-validus-mission-critical-reit-ii-acquires-canton-data-center-94-million/?utm_source=chatgpt.com" TargetMode="External"/><Relationship Id="rId2682" Type="http://schemas.openxmlformats.org/officeDocument/2006/relationships/hyperlink" Target="https://icare.fairfaxcounty.gov/ffxcare/Datalets/Datalet.aspx?mode=&amp;UseSearch=no&amp;pin=0244%2001%20%200006B8&amp;jur=129&amp;taxyr=2025" TargetMode="External"/><Relationship Id="rId763" Type="http://schemas.openxmlformats.org/officeDocument/2006/relationships/hyperlink" Target="https://local12.com/news/local/northern-kentucky-family-declines-26-million-bid-data-center-plans-advance-maysville-ai-tech-technology-construction-farm-farmland-property-deal-purchase-sell-google-meta-amazon-mason-county-market-value-cincinnati" TargetMode="External"/><Relationship Id="rId1352" Type="http://schemas.openxmlformats.org/officeDocument/2006/relationships/hyperlink" Target="https://www.datacenterdynamics.com/en/news/involta-acquires-securedata-365-takes-over-data-center-in-canton-ohio/" TargetMode="External"/><Relationship Id="rId2683" Type="http://schemas.openxmlformats.org/officeDocument/2006/relationships/hyperlink" Target="https://commdevpay.fauquiercounty.gov/Energov_Prod/SelfService" TargetMode="External"/><Relationship Id="rId762" Type="http://schemas.openxmlformats.org/officeDocument/2006/relationships/hyperlink" Target="https://cms5.revize.com/revize/maysville/Document%20Center/Forms/New%20node/Planning%20&amp;%20Zoning/Mason%20County%20Data%20Center%20Site%20Maps.pdf?t=202603161623080&amp;t=202603161623080" TargetMode="External"/><Relationship Id="rId1353" Type="http://schemas.openxmlformats.org/officeDocument/2006/relationships/hyperlink" Target="https://local12.com/news/local/texas-company-expand-downtown-cincinnati-data-center-following-250-million-dollars-infusion-dartpoints-hpc-megawatts" TargetMode="External"/><Relationship Id="rId2684" Type="http://schemas.openxmlformats.org/officeDocument/2006/relationships/hyperlink" Target="https://commdevpay.fauquiercounty.gov/Energov_Prod/SelfService" TargetMode="External"/><Relationship Id="rId761" Type="http://schemas.openxmlformats.org/officeDocument/2006/relationships/hyperlink" Target="https://www.cityofmaysvilleky.gov/departments/codes_department/data_center.php" TargetMode="External"/><Relationship Id="rId1354" Type="http://schemas.openxmlformats.org/officeDocument/2006/relationships/hyperlink" Target="https://www.datacenterdynamics.com/en/news/h5-data-centers-acquires-data-center-in-cincinnati-ohio/" TargetMode="External"/><Relationship Id="rId2685" Type="http://schemas.openxmlformats.org/officeDocument/2006/relationships/hyperlink" Target="https://www.fauquiernow.com/news/gigaland-developers-weigh-smaller-footprint-for-remington-data-center/article_1b71d125-88f6-4ca9-9992-3cc5b3f789cc.html" TargetMode="External"/><Relationship Id="rId760" Type="http://schemas.openxmlformats.org/officeDocument/2006/relationships/hyperlink" Target="https://local12.com/news/local/nky-officials-hear-plan-2000-acre-hyperscale-data-center-complex-tech-technology-special-meeting-maysville-kentucky-fortune-50-company-contracts-property-owners-selling-land-rights-job-jobs-cost-consturction-renderings-nda-corporations" TargetMode="External"/><Relationship Id="rId1355" Type="http://schemas.openxmlformats.org/officeDocument/2006/relationships/hyperlink" Target="https://www.expedient.com/data-centers/cleveland/" TargetMode="External"/><Relationship Id="rId2686" Type="http://schemas.openxmlformats.org/officeDocument/2006/relationships/hyperlink" Target="https://www.datacenterdynamics.com/en/news/plans-for-800mw-gigaland-data-center-campus-withdrawn-in-fauquier-county-virginia/" TargetMode="External"/><Relationship Id="rId1345" Type="http://schemas.openxmlformats.org/officeDocument/2006/relationships/hyperlink" Target="https://bgindependentmedia.org/power-plant-for-meta-data-center-in-wood-county-fast-tracked-approved-with-no-public-hearings/" TargetMode="External"/><Relationship Id="rId2676" Type="http://schemas.openxmlformats.org/officeDocument/2006/relationships/hyperlink" Target="https://chesterfieldfits.com/site/wp-content/uploads/2025/05/East.Proffers.Executed.04-09-25-01709493xBE3E4.pdf" TargetMode="External"/><Relationship Id="rId1346" Type="http://schemas.openxmlformats.org/officeDocument/2006/relationships/hyperlink" Target="https://opsb.ohio.gov/news/opsb-authorizes-construction-of-wood-county-power-plant" TargetMode="External"/><Relationship Id="rId2677" Type="http://schemas.openxmlformats.org/officeDocument/2006/relationships/hyperlink" Target="https://www.chesterfield.gov/828/Real-Estate-Assessment-Data" TargetMode="External"/><Relationship Id="rId1347" Type="http://schemas.openxmlformats.org/officeDocument/2006/relationships/hyperlink" Target="https://www.constructionowners.com/news/ohio-data-center-gas-plant-sparks-backlash" TargetMode="External"/><Relationship Id="rId2678" Type="http://schemas.openxmlformats.org/officeDocument/2006/relationships/hyperlink" Target="https://chesterfieldfits.com/site/wp-content/uploads/2025/05/25SN1038.West-Tract-A.-Proffers.-Executed.-5.9.25-01718952xBE3E4.pdf" TargetMode="External"/><Relationship Id="rId1348" Type="http://schemas.openxmlformats.org/officeDocument/2006/relationships/hyperlink" Target="https://oilandgaswatch.org/facility/rec_d5eiru1uih89upkga2qg" TargetMode="External"/><Relationship Id="rId2679" Type="http://schemas.openxmlformats.org/officeDocument/2006/relationships/hyperlink" Target="https://www.chesterfield.gov/828/Real-Estate-Assessment-Data" TargetMode="External"/><Relationship Id="rId1349" Type="http://schemas.openxmlformats.org/officeDocument/2006/relationships/hyperlink" Target="https://bgindependentmedia.org/meta-data-center-how-it-went-from-economic-development-coup-to-project-local-residents-rue/" TargetMode="External"/><Relationship Id="rId756" Type="http://schemas.openxmlformats.org/officeDocument/2006/relationships/hyperlink" Target="https://www.datacenterdynamics.com/en/news/planning-commission-recommends-approval-for-16m-sq-ft-planned-data-center-in-louisville-kentucky/" TargetMode="External"/><Relationship Id="rId755" Type="http://schemas.openxmlformats.org/officeDocument/2006/relationships/hyperlink" Target="https://www.wdrb.com/in-depth/louisville-data-center-plan-advances-after-unanimous-vote/article_23d6a67c-2e0c-4b28-88d5-75aec98cd1ff.html" TargetMode="External"/><Relationship Id="rId754" Type="http://schemas.openxmlformats.org/officeDocument/2006/relationships/hyperlink" Target="https://www.datacenterdynamics.com/en/news/powerhouse-plans-400mw-data-center-campus-in-louisville-kentucky/" TargetMode="External"/><Relationship Id="rId753" Type="http://schemas.openxmlformats.org/officeDocument/2006/relationships/hyperlink" Target="https://invest.jll.com/us/en/listings/special-purpose-facility/8-asset-switch-portfolio" TargetMode="External"/><Relationship Id="rId759" Type="http://schemas.openxmlformats.org/officeDocument/2006/relationships/hyperlink" Target="https://www.lpm.org/news/2026-03-05/west-louisville-data-center-approved-despite-opposition" TargetMode="External"/><Relationship Id="rId758" Type="http://schemas.openxmlformats.org/officeDocument/2006/relationships/hyperlink" Target="https://www.powerhousedata.com/news/developers-unveil-plans-for-large-tech-data-center-in-louisville" TargetMode="External"/><Relationship Id="rId757" Type="http://schemas.openxmlformats.org/officeDocument/2006/relationships/hyperlink" Target="https://www.americanrepartners.com/news/lets-go-build-some-data-centers-powerhouse-drives-hyperscale-and-ai-infrastructure-across-north-america" TargetMode="External"/><Relationship Id="rId2670" Type="http://schemas.openxmlformats.org/officeDocument/2006/relationships/hyperlink" Target="https://www.wric.com/news/local-news/powhatan-county/data-center-campus-eastern-powhatan/" TargetMode="External"/><Relationship Id="rId1340" Type="http://schemas.openxmlformats.org/officeDocument/2006/relationships/hyperlink" Target="https://cityofnorton.org/DocumentCenter/View/4031/Data-Center-Background-Information23985548_1" TargetMode="External"/><Relationship Id="rId2671" Type="http://schemas.openxmlformats.org/officeDocument/2006/relationships/hyperlink" Target="https://richmondbizsense.com/2025/07/14/sites-slated-for-mystery-data-center-projects-in-chesterfield-sell-for-nearly-60m/" TargetMode="External"/><Relationship Id="rId752" Type="http://schemas.openxmlformats.org/officeDocument/2006/relationships/hyperlink" Target="https://www.lpm.org/news/2025-06-03/oldham-county-data-center-switches-sites-reduces-size-amid-local-resistance" TargetMode="External"/><Relationship Id="rId1341" Type="http://schemas.openxmlformats.org/officeDocument/2006/relationships/hyperlink" Target="https://www.cityofnorton.org/DocumentCenter/View/4025/Triton-400132701-Site-Plan-2025-10-0923967014_1" TargetMode="External"/><Relationship Id="rId2672" Type="http://schemas.openxmlformats.org/officeDocument/2006/relationships/hyperlink" Target="https://richmondbizsense.com/2025/08/28/chesterfield-scores-a-google-trifecta-tech-giant-reveals-ties-to-3-massive-sites-across-the-county/" TargetMode="External"/><Relationship Id="rId751" Type="http://schemas.openxmlformats.org/officeDocument/2006/relationships/hyperlink" Target="https://www.datacenterdynamics.com/en/news/kentuckys-oldham-county-passes-150-day-data-center-moratorium/" TargetMode="External"/><Relationship Id="rId1342" Type="http://schemas.openxmlformats.org/officeDocument/2006/relationships/hyperlink" Target="https://datacenters.atmeta.com/2025/04/hello-bowling-green/" TargetMode="External"/><Relationship Id="rId2673" Type="http://schemas.openxmlformats.org/officeDocument/2006/relationships/hyperlink" Target="https://tammypurcell.substack.com/p/more-details-emerge-about-plans-for?utm_source=substack&amp;utm_medium=email" TargetMode="External"/><Relationship Id="rId750" Type="http://schemas.openxmlformats.org/officeDocument/2006/relationships/hyperlink" Target="https://www.bizjournals.com/louisville/news/2025/07/03/whp-oldham-county-data-stalled.html" TargetMode="External"/><Relationship Id="rId1343" Type="http://schemas.openxmlformats.org/officeDocument/2006/relationships/hyperlink" Target="https://www.datacenterdynamics.com/en/news/meta-to-develop-data-center-campus-outside-toledo-ohio/" TargetMode="External"/><Relationship Id="rId2674" Type="http://schemas.openxmlformats.org/officeDocument/2006/relationships/hyperlink" Target="https://richmondbizsense.com/2025/07/14/sites-slated-for-mystery-data-center-projects-in-chesterfield-sell-for-nearly-60m/" TargetMode="External"/><Relationship Id="rId1344" Type="http://schemas.openxmlformats.org/officeDocument/2006/relationships/hyperlink" Target="https://web.archive.org/web/20250910163909/https://www.toledoblade.com/local/suburbs/2025/09/09/rezoning-request-around-middleton-twp-data-center-withdrawn/stories/20250909109" TargetMode="External"/><Relationship Id="rId2675" Type="http://schemas.openxmlformats.org/officeDocument/2006/relationships/hyperlink" Target="https://richmondbizsense.com/2025/08/28/chesterfield-scores-a-google-trifecta-tech-giant-reveals-ties-to-3-massive-sites-across-the-county/" TargetMode="External"/><Relationship Id="rId2621" Type="http://schemas.openxmlformats.org/officeDocument/2006/relationships/hyperlink" Target="https://pwc.publicaccessnow.com/PropertyDetail.aspx?mtab=property&amp;mpropertynumber=264056" TargetMode="External"/><Relationship Id="rId2622" Type="http://schemas.openxmlformats.org/officeDocument/2006/relationships/hyperlink" Target="https://www.insidenova.com/headlines/stack-infrastructure-finalizes-1-8m-square-feet-in-bristow/article_557b56ba-8289-11ed-8ad6-ebd8be2d9699.html" TargetMode="External"/><Relationship Id="rId2623" Type="http://schemas.openxmlformats.org/officeDocument/2006/relationships/hyperlink" Target="https://pwc.publicaccessnow.com/PropertyDetail.aspx?mtab=property&amp;mpropertynumber=001510" TargetMode="External"/><Relationship Id="rId2624" Type="http://schemas.openxmlformats.org/officeDocument/2006/relationships/hyperlink" Target="https://egcss.pwcgov.org/SelfService" TargetMode="External"/><Relationship Id="rId2625" Type="http://schemas.openxmlformats.org/officeDocument/2006/relationships/hyperlink" Target="https://pwc.publicaccessnow.com/PropertyDetail.aspx?mtab=property&amp;mpropertynumber=099464" TargetMode="External"/><Relationship Id="rId2626" Type="http://schemas.openxmlformats.org/officeDocument/2006/relationships/hyperlink" Target="https://egcss.pwcgov.org/SelfService/PWCePortal" TargetMode="External"/><Relationship Id="rId2627" Type="http://schemas.openxmlformats.org/officeDocument/2006/relationships/hyperlink" Target="https://pwc.publicaccessnow.com/PropertyDetail.aspx?mpropertynumber=264531&amp;mtab=property&amp;p=264531" TargetMode="External"/><Relationship Id="rId2628" Type="http://schemas.openxmlformats.org/officeDocument/2006/relationships/hyperlink" Target="https://www.datacenterdynamics.com/en/news/developer-withdraws-plan-for-160-acre-data-center-in-prince-william-county-virginia/" TargetMode="External"/><Relationship Id="rId709" Type="http://schemas.openxmlformats.org/officeDocument/2006/relationships/hyperlink" Target="https://www.kctv5.com/2025/08/19/de-soto-city-council-consider-50-billion-incentives-data-center-project/" TargetMode="External"/><Relationship Id="rId2629" Type="http://schemas.openxmlformats.org/officeDocument/2006/relationships/hyperlink" Target="https://pwc.publicaccessnow.com/PropertyDetail.aspx?mpropertynumber=248042&amp;mtab=property&amp;p=248042" TargetMode="External"/><Relationship Id="rId708" Type="http://schemas.openxmlformats.org/officeDocument/2006/relationships/hyperlink" Target="https://www2.ljworld.com/weblogs/town_talk/2025/aug/21/a-big-data-center-may-be-douglas-countys-newest-neighbor-plans-call-for-700m-center-along-k-10/" TargetMode="External"/><Relationship Id="rId707" Type="http://schemas.openxmlformats.org/officeDocument/2006/relationships/hyperlink" Target="https://www.datacenterdynamics.com/en/news/digital-realty-plans-600mw-campus-in-kansas-acquires-investment-firm-columbia-capital/" TargetMode="External"/><Relationship Id="rId706" Type="http://schemas.openxmlformats.org/officeDocument/2006/relationships/hyperlink" Target="https://www.jconline.com/story/news/local/indiana/2026/07/01/white-county-residents-question-developer-of-planned-data-center/90751134007" TargetMode="External"/><Relationship Id="rId701" Type="http://schemas.openxmlformats.org/officeDocument/2006/relationships/hyperlink" Target="https://www.datacenterdynamics.com/en/news/indianas-city-of-valparaiso-pulls-the-plug-on-agincourt-data-center-project/" TargetMode="External"/><Relationship Id="rId700" Type="http://schemas.openxmlformats.org/officeDocument/2006/relationships/hyperlink" Target="https://www.datacenterdynamics.com/en/news/qts-cans-data-center-scheme-in-porter-county-indiana-after-protests/" TargetMode="External"/><Relationship Id="rId705" Type="http://schemas.openxmlformats.org/officeDocument/2006/relationships/hyperlink" Target="https://www.wolcottdatacenter.com/" TargetMode="External"/><Relationship Id="rId704" Type="http://schemas.openxmlformats.org/officeDocument/2006/relationships/hyperlink" Target="https://www.datacenterdynamics.com/en/news/322-acre-data-center-could-be-built-in-white-county-indiana/" TargetMode="External"/><Relationship Id="rId703" Type="http://schemas.openxmlformats.org/officeDocument/2006/relationships/hyperlink" Target="https://www.datacenterdynamics.com/en/news/amazon-plans-nine-building-data-center-campus-in-wheatfield-indiana/" TargetMode="External"/><Relationship Id="rId702" Type="http://schemas.openxmlformats.org/officeDocument/2006/relationships/hyperlink" Target="https://www.chicagotribune.com/2025/03/11/citizens-outcry-for-transparency-impact-of-potential-data-center-development-in-valparaiso/" TargetMode="External"/><Relationship Id="rId2620" Type="http://schemas.openxmlformats.org/officeDocument/2006/relationships/hyperlink" Target="https://www.insidenova.com/headlines/stack-infrastructure-finalizes-1-8m-square-feet-in-bristow/article_557b56ba-8289-11ed-8ad6-ebd8be2d9699.html" TargetMode="External"/><Relationship Id="rId2610" Type="http://schemas.openxmlformats.org/officeDocument/2006/relationships/hyperlink" Target="https://egcss.pwcgov.org/SelfService" TargetMode="External"/><Relationship Id="rId2611" Type="http://schemas.openxmlformats.org/officeDocument/2006/relationships/hyperlink" Target="https://pwc.publicaccessnow.com/PropertyDetail.aspx?mtab=property&amp;mpropertynumber=022171" TargetMode="External"/><Relationship Id="rId2612" Type="http://schemas.openxmlformats.org/officeDocument/2006/relationships/hyperlink" Target="https://pwc.publicaccessnow.com/PropertyDetail.aspx?mpropertynumber=214426&amp;mtab=property&amp;p=214426" TargetMode="External"/><Relationship Id="rId2613" Type="http://schemas.openxmlformats.org/officeDocument/2006/relationships/hyperlink" Target="https://datacenterhawk.com/marketplace/providers/cloudhq/10740-airman-avenue/mcc5" TargetMode="External"/><Relationship Id="rId2614" Type="http://schemas.openxmlformats.org/officeDocument/2006/relationships/hyperlink" Target="https://pwc.publicaccessnow.com/PropertyDetail.aspx?mpropertynumber=094463" TargetMode="External"/><Relationship Id="rId2615" Type="http://schemas.openxmlformats.org/officeDocument/2006/relationships/hyperlink" Target="https://pwc.publicaccessnow.com/PropertyDetail.aspx?mpropertynumber=201953&amp;mtab=property&amp;p=201953" TargetMode="External"/><Relationship Id="rId2616" Type="http://schemas.openxmlformats.org/officeDocument/2006/relationships/hyperlink" Target="https://egcss.pwcgov.org/SelfService" TargetMode="External"/><Relationship Id="rId2617" Type="http://schemas.openxmlformats.org/officeDocument/2006/relationships/hyperlink" Target="https://pwc.publicaccessnow.com/PropertyDetail.aspx?mpropertynumber=155883&amp;mtab=property&amp;p=155883" TargetMode="External"/><Relationship Id="rId2618" Type="http://schemas.openxmlformats.org/officeDocument/2006/relationships/hyperlink" Target="https://egcss.pwcgov.org/SelfService" TargetMode="External"/><Relationship Id="rId2619" Type="http://schemas.openxmlformats.org/officeDocument/2006/relationships/hyperlink" Target="https://pwc.publicaccessnow.com/PropertyDetail.aspx?mtab=property&amp;mpropertynumber=023467" TargetMode="External"/><Relationship Id="rId1312" Type="http://schemas.openxmlformats.org/officeDocument/2006/relationships/hyperlink" Target="https://www.wgrz.com/article/news/local/digihost-crypto-mining-facility-fortistar-power-plant-money-business/71-9fbc4c21-8f47-4cf4-951e-32513d3090a9" TargetMode="External"/><Relationship Id="rId2643" Type="http://schemas.openxmlformats.org/officeDocument/2006/relationships/hyperlink" Target="https://pwc.publicaccessnow.com/PropertyDetail.aspx?mtab=property&amp;mpropertynumber=265450" TargetMode="External"/><Relationship Id="rId1313" Type="http://schemas.openxmlformats.org/officeDocument/2006/relationships/hyperlink" Target="https://buffalonews.com/news/local/article_6fb79889-7e52-49e3-9016-7b91fed9b05b.html" TargetMode="External"/><Relationship Id="rId2644" Type="http://schemas.openxmlformats.org/officeDocument/2006/relationships/hyperlink" Target="https://pwc.publicaccessnow.com/PropertyDetail.aspx?mtab=property&amp;mpropertynumber=265451" TargetMode="External"/><Relationship Id="rId1314" Type="http://schemas.openxmlformats.org/officeDocument/2006/relationships/hyperlink" Target="https://www.facebook.com/groups/143492322411081/posts/25299508549716111/" TargetMode="External"/><Relationship Id="rId2645" Type="http://schemas.openxmlformats.org/officeDocument/2006/relationships/hyperlink" Target="https://pwc.publicaccessnow.com/PropertyDetail.aspx?mpropertynumber=265452&amp;mtab=property&amp;p=265452" TargetMode="External"/><Relationship Id="rId1315" Type="http://schemas.openxmlformats.org/officeDocument/2006/relationships/hyperlink" Target="https://www.facebook.com/otsego2000/posts/the-eco-yotta-proposal-for-the-town-of-oneonta-was-never-about-farming-and-hydro/1149697390645539/" TargetMode="External"/><Relationship Id="rId2646" Type="http://schemas.openxmlformats.org/officeDocument/2006/relationships/hyperlink" Target="https://www.insidenova.com/headlines/planners-support-linton-hall-data-center-proposal/article_a70fa594-176e-11ec-995a-7f53ce2a867d.html" TargetMode="External"/><Relationship Id="rId1316" Type="http://schemas.openxmlformats.org/officeDocument/2006/relationships/hyperlink" Target="https://www.allotsego.com/residents-oppose-data-center-proposal-in-heated-board-meeting/" TargetMode="External"/><Relationship Id="rId2647" Type="http://schemas.openxmlformats.org/officeDocument/2006/relationships/hyperlink" Target="https://pwc.publicaccessnow.com/PropertyDetail.aspx?mtab=property&amp;mpropertynumber=225070" TargetMode="External"/><Relationship Id="rId1317" Type="http://schemas.openxmlformats.org/officeDocument/2006/relationships/hyperlink" Target="https://russodevelopment.com/property/rdc-purpose-built-data-center/" TargetMode="External"/><Relationship Id="rId2648" Type="http://schemas.openxmlformats.org/officeDocument/2006/relationships/hyperlink" Target="https://egcss.pwcgov.org/SelfService" TargetMode="External"/><Relationship Id="rId1318" Type="http://schemas.openxmlformats.org/officeDocument/2006/relationships/hyperlink" Target="https://baxtel.com/data-center/bloomberg-orangetown" TargetMode="External"/><Relationship Id="rId2649" Type="http://schemas.openxmlformats.org/officeDocument/2006/relationships/hyperlink" Target="https://pwc.publicaccessnow.com/PropertyDetail.aspx?mtab=property&amp;mpropertynumber=023779" TargetMode="External"/><Relationship Id="rId1319" Type="http://schemas.openxmlformats.org/officeDocument/2006/relationships/hyperlink" Target="https://www.databank.com/data-centers/new-york-city/orangeburg-campus/lga3/" TargetMode="External"/><Relationship Id="rId729" Type="http://schemas.openxmlformats.org/officeDocument/2006/relationships/hyperlink" Target="https://fivco.org/wp-content/uploads/2016/10/eastpark-SITE_B-102516.pdf" TargetMode="External"/><Relationship Id="rId728" Type="http://schemas.openxmlformats.org/officeDocument/2006/relationships/hyperlink" Target="https://fivco.org/economic-development/eastpark-industrial-park/" TargetMode="External"/><Relationship Id="rId723" Type="http://schemas.openxmlformats.org/officeDocument/2006/relationships/hyperlink" Target="https://www.datacenterdynamics.com/en/news/developer-withdraws-plan-to-build-316-acre-data-center-in-spring-hill-kansas/" TargetMode="External"/><Relationship Id="rId722" Type="http://schemas.openxmlformats.org/officeDocument/2006/relationships/hyperlink" Target="https://www.datacenterdynamics.com/en/news/planning-decision-on-rochelle-illinois-data-center-postponed/" TargetMode="External"/><Relationship Id="rId721" Type="http://schemas.openxmlformats.org/officeDocument/2006/relationships/hyperlink" Target="https://mapcarta.com/W153632025" TargetMode="External"/><Relationship Id="rId720" Type="http://schemas.openxmlformats.org/officeDocument/2006/relationships/hyperlink" Target="https://www.datacenterdynamics.com/en/news/20mw-data-center-eyed-in-parsons-kansas/" TargetMode="External"/><Relationship Id="rId727" Type="http://schemas.openxmlformats.org/officeDocument/2006/relationships/hyperlink" Target="https://investors.terawulf.com/news-events/press-releases/detail/141/terawulf-expands-infrastructure-platform-with-acquisition-of-1-gw-eastern-kentucky-hpc-campus" TargetMode="External"/><Relationship Id="rId726" Type="http://schemas.openxmlformats.org/officeDocument/2006/relationships/hyperlink" Target="https://cleanview.co/data-centers/kansas/2295/project-bluestem" TargetMode="External"/><Relationship Id="rId725" Type="http://schemas.openxmlformats.org/officeDocument/2006/relationships/hyperlink" Target="https://www.kshb.com/news/local-news/kansas/leavenworth-county/hyperscale-data-center-proposed-in-tonganoxie-county-commissioners-discuss-project-with-developer" TargetMode="External"/><Relationship Id="rId724" Type="http://schemas.openxmlformats.org/officeDocument/2006/relationships/hyperlink" Target="https://bluestemdatacenter.com/" TargetMode="External"/><Relationship Id="rId2640" Type="http://schemas.openxmlformats.org/officeDocument/2006/relationships/hyperlink" Target="https://pwc.publicaccessnow.com/PropertyDetail.aspx?mpropertynumber=263807&amp;mtab=property&amp;p=263807" TargetMode="External"/><Relationship Id="rId1310" Type="http://schemas.openxmlformats.org/officeDocument/2006/relationships/hyperlink" Target="https://www.cacwny.org/campaigns/north-tonawanda/" TargetMode="External"/><Relationship Id="rId2641" Type="http://schemas.openxmlformats.org/officeDocument/2006/relationships/hyperlink" Target="https://pwc.publicaccessnow.com/PropertyDetail.aspx?mtab=property&amp;mpropertynumber=264057" TargetMode="External"/><Relationship Id="rId1311" Type="http://schemas.openxmlformats.org/officeDocument/2006/relationships/hyperlink" Target="https://actionnetwork.org/petitions/north-tonawanda-common-council-regulate-cryptocurrency-mining?nowrapper=true&amp;referrer=&amp;source=" TargetMode="External"/><Relationship Id="rId2642" Type="http://schemas.openxmlformats.org/officeDocument/2006/relationships/hyperlink" Target="https://pwc.publicaccessnow.com/PropertyDetail.aspx?mpropertynumber=265449&amp;mtab=property&amp;p=265449" TargetMode="External"/><Relationship Id="rId1301" Type="http://schemas.openxmlformats.org/officeDocument/2006/relationships/hyperlink" Target="https://www.datacenterdynamics.com/en/news/oxford-quantum-circuits-deploys-quantum-computer-at-quantum-ai-data-center-in-new-york-city/" TargetMode="External"/><Relationship Id="rId2632" Type="http://schemas.openxmlformats.org/officeDocument/2006/relationships/hyperlink" Target="https://pwc.publicaccessnow.com/PropertyDetail.aspx?mpropertynumber=261328&amp;mtab=property&amp;p=261328" TargetMode="External"/><Relationship Id="rId1302" Type="http://schemas.openxmlformats.org/officeDocument/2006/relationships/hyperlink" Target="https://www.datacenterdynamics.com/en/news/9ldg-plans-ai-data-center-at-niagara-falls" TargetMode="External"/><Relationship Id="rId2633" Type="http://schemas.openxmlformats.org/officeDocument/2006/relationships/hyperlink" Target="https://pwc.publicaccessnow.com/PropertyDetail.aspx?mpropertynumber=248323&amp;mtab=property&amp;p=248323" TargetMode="External"/><Relationship Id="rId1303" Type="http://schemas.openxmlformats.org/officeDocument/2006/relationships/hyperlink" Target="https://finance.yahoo.com/news/blockfusion-wins-approval-reopen-bitcoin-035900770.html" TargetMode="External"/><Relationship Id="rId2634" Type="http://schemas.openxmlformats.org/officeDocument/2006/relationships/hyperlink" Target="https://pwc.publicaccessnow.com/PropertyDetail.aspx?mpropertynumber=246763&amp;mtab=property" TargetMode="External"/><Relationship Id="rId1304" Type="http://schemas.openxmlformats.org/officeDocument/2006/relationships/hyperlink" Target="https://cms3.revize.com/revize/repository/niagarafallsny/Documents/Government/Department/Planning%20And%20Environmental/Block%20Fusion%20FEIS/Final%20Environmental%20Impact%20Statement_7.17.25(12819203.1).pdf?908" TargetMode="External"/><Relationship Id="rId2635" Type="http://schemas.openxmlformats.org/officeDocument/2006/relationships/hyperlink" Target="https://pwc.publicaccessnow.com/PropertyDetail.aspx?mtab=property&amp;mpropertynumber=246763" TargetMode="External"/><Relationship Id="rId1305" Type="http://schemas.openxmlformats.org/officeDocument/2006/relationships/hyperlink" Target="https://www.nyiso.com/documents/20142/2226333/2025-Gold-Book-Public.pdf/088438e1-02f1-5316-211b-dbca17c01b4b" TargetMode="External"/><Relationship Id="rId2636" Type="http://schemas.openxmlformats.org/officeDocument/2006/relationships/hyperlink" Target="https://egcss.pwcgov.org/SelfService" TargetMode="External"/><Relationship Id="rId1306" Type="http://schemas.openxmlformats.org/officeDocument/2006/relationships/hyperlink" Target="https://cms3.revize.com/revize/niagarafallsny/Documents/Government/Department/Planning%20And%20Environmental/PUD%20PETITION_FULL_5.14.2025.pdf" TargetMode="External"/><Relationship Id="rId2637" Type="http://schemas.openxmlformats.org/officeDocument/2006/relationships/hyperlink" Target="https://egcss.pwcgov.org/SelfService" TargetMode="External"/><Relationship Id="rId1307" Type="http://schemas.openxmlformats.org/officeDocument/2006/relationships/hyperlink" Target="https://finance.yahoo.com/news/nfr-submits-proposed-plans-data-035900195.html" TargetMode="External"/><Relationship Id="rId2638" Type="http://schemas.openxmlformats.org/officeDocument/2006/relationships/hyperlink" Target="https://pwc.publicaccessnow.com/PropertyDetail.aspx?mtab=property&amp;mpropertynumber=081575" TargetMode="External"/><Relationship Id="rId1308" Type="http://schemas.openxmlformats.org/officeDocument/2006/relationships/hyperlink" Target="https://www.datacentermap.com/usa/new-york/buffalo/niagara-digital-campus/" TargetMode="External"/><Relationship Id="rId2639" Type="http://schemas.openxmlformats.org/officeDocument/2006/relationships/hyperlink" Target="https://pwc.publicaccessnow.com/PropertyDetail.aspx?mpropertynumber=263058&amp;mtab=property&amp;p=263058" TargetMode="External"/><Relationship Id="rId1309" Type="http://schemas.openxmlformats.org/officeDocument/2006/relationships/hyperlink" Target="https://www.wgrz.com/article/news/local/niagara-falls-city-council-approves-settlement-with-nfr-new-data-center-to-move-forward/71-6ea0cd08-f43a-4ebc-9628-2700cef83f6c" TargetMode="External"/><Relationship Id="rId719" Type="http://schemas.openxmlformats.org/officeDocument/2006/relationships/hyperlink" Target="https://www.datacenterdynamics.com/en/news/115-acre-data-center-could-come-to-osawatomie-kansas-says-local-government/" TargetMode="External"/><Relationship Id="rId718" Type="http://schemas.openxmlformats.org/officeDocument/2006/relationships/hyperlink" Target="https://www.kcur.org/environment-agriculture/2025-11-09/data-center-kansas-city-wyandotte-county" TargetMode="External"/><Relationship Id="rId717" Type="http://schemas.openxmlformats.org/officeDocument/2006/relationships/hyperlink" Target="https://www.datacenterdynamics.com/en/news/600mw-data-center-campus-proposed-outside-kansas-city-kansas/" TargetMode="External"/><Relationship Id="rId712" Type="http://schemas.openxmlformats.org/officeDocument/2006/relationships/hyperlink" Target="https://www.datacenterdynamics.com/en/news/beale-infrastructure-buys-land-parcel-for-project-pilot-in-de-soto-kansas/" TargetMode="External"/><Relationship Id="rId711" Type="http://schemas.openxmlformats.org/officeDocument/2006/relationships/hyperlink" Target="https://www.datacenterdynamics.com/en/news/de-soto-kansas-approves-700m-data-center/" TargetMode="External"/><Relationship Id="rId710" Type="http://schemas.openxmlformats.org/officeDocument/2006/relationships/hyperlink" Target="https://www.bizjournals.com/kansascity/news/2025/08/20/de-soto-data-center-bonds-flint-commerce-panasonic.html" TargetMode="External"/><Relationship Id="rId716" Type="http://schemas.openxmlformats.org/officeDocument/2006/relationships/hyperlink" Target="https://www.kshb.com/news/local-news/multibillion-dollar-data-center-proposal-makes-its-way-to-kansas-city-kansas" TargetMode="External"/><Relationship Id="rId715" Type="http://schemas.openxmlformats.org/officeDocument/2006/relationships/hyperlink" Target="https://www.sierraclub.org/kansas" TargetMode="External"/><Relationship Id="rId714" Type="http://schemas.openxmlformats.org/officeDocument/2006/relationships/hyperlink" Target="https://www.datacenterdynamics.com/en/news/gigawatt-scale-data-center-campus-proposed-in-kansas/" TargetMode="External"/><Relationship Id="rId713" Type="http://schemas.openxmlformats.org/officeDocument/2006/relationships/hyperlink" Target="https://www.datacenterdynamics.com/en/news/beale-targets-two-campuses-outside-kansas-city-kansas/" TargetMode="External"/><Relationship Id="rId2630" Type="http://schemas.openxmlformats.org/officeDocument/2006/relationships/hyperlink" Target="https://egcss.pwcgov.org/SelfService" TargetMode="External"/><Relationship Id="rId1300" Type="http://schemas.openxmlformats.org/officeDocument/2006/relationships/hyperlink" Target="https://www.databank.com/data-centers/new-york-city/" TargetMode="External"/><Relationship Id="rId2631" Type="http://schemas.openxmlformats.org/officeDocument/2006/relationships/hyperlink" Target="https://pwc.publicaccessnow.com/PropertyDetail.aspx?mtab=property&amp;mpropertynumber=094151" TargetMode="External"/><Relationship Id="rId1378" Type="http://schemas.openxmlformats.org/officeDocument/2006/relationships/hyperlink" Target="https://www.change.org/p/no-tax-incentives-for-data-center" TargetMode="External"/><Relationship Id="rId1379" Type="http://schemas.openxmlformats.org/officeDocument/2006/relationships/hyperlink" Target="https://www.datacenterdynamics.com/en/news/google-confirmed-as-company-behind-500000-sq-ft-data-center-in-scioto-county-ohio/" TargetMode="External"/><Relationship Id="rId789" Type="http://schemas.openxmlformats.org/officeDocument/2006/relationships/hyperlink" Target="https://www.datacenterdynamics.com/en/news/hut-8-selling-325bn-in-bonds-to-finance-google-and-anthropic-backed-river-bend-ai-data-center-campus/" TargetMode="External"/><Relationship Id="rId788" Type="http://schemas.openxmlformats.org/officeDocument/2006/relationships/hyperlink" Target="https://www.govtech.com/products/data-center-deal-could-net-louisiana-parish-90m-a-year" TargetMode="External"/><Relationship Id="rId787" Type="http://schemas.openxmlformats.org/officeDocument/2006/relationships/hyperlink" Target="https://www.datacenterdynamics.com/en/news/hut-8-secures-592-acres-for-300mw-bitcoin-and-ai-data-center/" TargetMode="External"/><Relationship Id="rId786" Type="http://schemas.openxmlformats.org/officeDocument/2006/relationships/hyperlink" Target="https://web.archive.org/web/20250912021859/https://www.shreveportbossieradvocate.com/business/west-shreveport-tapped-for-one-million-square-foot-data-center/article_f58624b7-a568-433b-8943-9200c28cde51.html" TargetMode="External"/><Relationship Id="rId781" Type="http://schemas.openxmlformats.org/officeDocument/2006/relationships/hyperlink" Target="https://www.datacenterdynamics.com/en/news/entergy-obtains-approval-to-construct-three-gas-facilities-to-serve-metas-2gw-data-center-in-louisiana/" TargetMode="External"/><Relationship Id="rId1370" Type="http://schemas.openxmlformats.org/officeDocument/2006/relationships/hyperlink" Target="https://marcellusdrilling.com/2025/04/microsoft-hits-pause-button-on-1b-data-centers-near-columbus-oh/" TargetMode="External"/><Relationship Id="rId780" Type="http://schemas.openxmlformats.org/officeDocument/2006/relationships/hyperlink" Target="https://www.datacenterdynamics.com/en/news/entergy-to-build-12bn-500kv-transmission-line-to-serve-meta-mega-data-center-in-louisiana/" TargetMode="External"/><Relationship Id="rId1371" Type="http://schemas.openxmlformats.org/officeDocument/2006/relationships/hyperlink" Target="https://www.dispatch.com/story/business/2025/04/07/microsoft-backs-out-of-plans-to-build-data-centers-in-licking-county/82973097007/" TargetMode="External"/><Relationship Id="rId1372" Type="http://schemas.openxmlformats.org/officeDocument/2006/relationships/hyperlink" Target="https://www.datacenterdynamics.com/en/news/aligned-acquires-third-site-in-ohio-for-data-center-development-report/" TargetMode="External"/><Relationship Id="rId1373" Type="http://schemas.openxmlformats.org/officeDocument/2006/relationships/hyperlink" Target="https://www.datacenterdynamics.com/en/news/aligned-to-develop-200-acre-data-center-campus-in-coshocton-ohio/" TargetMode="External"/><Relationship Id="rId785" Type="http://schemas.openxmlformats.org/officeDocument/2006/relationships/hyperlink" Target="https://dartpoints.com/locations/louisiana3/" TargetMode="External"/><Relationship Id="rId1374" Type="http://schemas.openxmlformats.org/officeDocument/2006/relationships/hyperlink" Target="https://www.expedient.com/data-centers/columbus/" TargetMode="External"/><Relationship Id="rId784" Type="http://schemas.openxmlformats.org/officeDocument/2006/relationships/hyperlink" Target="https://www.datacenterdynamics.com/en/news/meta-purchases-additional-1400-acres-for-hyperion-mega-data-center-expansion/" TargetMode="External"/><Relationship Id="rId1375" Type="http://schemas.openxmlformats.org/officeDocument/2006/relationships/hyperlink" Target="https://dartpoints.com/locations/ohio2/" TargetMode="External"/><Relationship Id="rId783" Type="http://schemas.openxmlformats.org/officeDocument/2006/relationships/hyperlink" Target="https://lailluminator.com/briefs/entergy-builds-power-plant-for-data-center/" TargetMode="External"/><Relationship Id="rId1376" Type="http://schemas.openxmlformats.org/officeDocument/2006/relationships/hyperlink" Target="https://www.datacenterdynamics.com/en/news/300-acres-of-land-in-preble-county-ohio-could-host-data-center-campus/" TargetMode="External"/><Relationship Id="rId782" Type="http://schemas.openxmlformats.org/officeDocument/2006/relationships/hyperlink" Target="https://www.bgr.com/1990532/meta-new-aid-data-center-size-70-football-fields-residents-scared-water/" TargetMode="External"/><Relationship Id="rId1377" Type="http://schemas.openxmlformats.org/officeDocument/2006/relationships/hyperlink" Target="https://www.wdtn.com/news/300-acres-of-farmland-could-be-rezoned-for-new-data-center-near-i-70/" TargetMode="External"/><Relationship Id="rId1367" Type="http://schemas.openxmlformats.org/officeDocument/2006/relationships/hyperlink" Target="https://www.datacenterdynamics.com/en/news/aligned-acquires-third-site-in-ohio-for-data-center-development-report/" TargetMode="External"/><Relationship Id="rId2698" Type="http://schemas.openxmlformats.org/officeDocument/2006/relationships/hyperlink" Target="https://icare.fairfaxcounty.gov/ffxcare/Datalets/Datalet.aspx?mode=&amp;UseSearch=no&amp;pin=0183%2008%20%200009A&amp;jur=129&amp;taxyr=2025" TargetMode="External"/><Relationship Id="rId1368" Type="http://schemas.openxmlformats.org/officeDocument/2006/relationships/hyperlink" Target="https://marcellusdrilling.com/2025/04/microsoft-hits-pause-button-on-1b-data-centers-near-columbus-oh/" TargetMode="External"/><Relationship Id="rId2699" Type="http://schemas.openxmlformats.org/officeDocument/2006/relationships/hyperlink" Target="https://icare.fairfaxcounty.gov/ffxcare/Datalets/Datalet.aspx?mode=&amp;UseSearch=no&amp;pin=0183%2005%20%200010&amp;jur=129&amp;taxyr=2025" TargetMode="External"/><Relationship Id="rId1369" Type="http://schemas.openxmlformats.org/officeDocument/2006/relationships/hyperlink" Target="https://www.dispatch.com/story/business/2025/04/07/microsoft-backs-out-of-plans-to-build-data-centers-in-licking-county/82973097007/" TargetMode="External"/><Relationship Id="rId778" Type="http://schemas.openxmlformats.org/officeDocument/2006/relationships/hyperlink" Target="https://louisianasiteselection.com/api/Upload/FileDownload?guid=56ec41afe38d458282a61cebe1b47c3e" TargetMode="External"/><Relationship Id="rId777" Type="http://schemas.openxmlformats.org/officeDocument/2006/relationships/hyperlink" Target="https://www.datacenterdynamics.com/en/news/meta-announces-4-million-sq-ft-louisiana-data-center-campus/" TargetMode="External"/><Relationship Id="rId776" Type="http://schemas.openxmlformats.org/officeDocument/2006/relationships/hyperlink" Target="https://capitalbnews.org/meta-richland-parish-ai-data-center/" TargetMode="External"/><Relationship Id="rId775" Type="http://schemas.openxmlformats.org/officeDocument/2006/relationships/hyperlink" Target="https://www.wwltv.com/article/news/local/its-very-concerning-to-the-community-neighbors-push-back-against-proposed-new-orleans-east-data-center/289-6872cdeb-ea95-4eef-b5e0-f83193ecfe00" TargetMode="External"/><Relationship Id="rId779" Type="http://schemas.openxmlformats.org/officeDocument/2006/relationships/hyperlink" Target="https://www.opportunitylouisiana.gov/news/meta-selects-northeast-louisiana-as-site-of-10-billion-artificial-intelligence-optimized-data-center-governor-jeff-landry-calls-investment-a-new-chapter-for-state" TargetMode="External"/><Relationship Id="rId770" Type="http://schemas.openxmlformats.org/officeDocument/2006/relationships/hyperlink" Target="https://www.datacenterdynamics.com/en/news/data-center-planned-near-shreveport-louisiana-report/" TargetMode="External"/><Relationship Id="rId2690" Type="http://schemas.openxmlformats.org/officeDocument/2006/relationships/hyperlink" Target="https://gis.vgsi.com/fauquierva/Parcel.aspx?pid=8404" TargetMode="External"/><Relationship Id="rId1360" Type="http://schemas.openxmlformats.org/officeDocument/2006/relationships/hyperlink" Target="https://www.cleveland19.com/2026/05/07/neighbors-raise-concerns-about-proposed-cleveland-data-center/" TargetMode="External"/><Relationship Id="rId2691" Type="http://schemas.openxmlformats.org/officeDocument/2006/relationships/hyperlink" Target="https://commdevpay.fauquiercounty.gov/Energov_Prod/SelfService" TargetMode="External"/><Relationship Id="rId1361" Type="http://schemas.openxmlformats.org/officeDocument/2006/relationships/hyperlink" Target="https://marcellusdrilling.com/2025/04/microsoft-hits-pause-button-on-1b-data-centers-near-columbus-oh/" TargetMode="External"/><Relationship Id="rId2692" Type="http://schemas.openxmlformats.org/officeDocument/2006/relationships/hyperlink" Target="https://gis.vgsi.com/fauquierva/Parcel.aspx?pid=8405" TargetMode="External"/><Relationship Id="rId1362" Type="http://schemas.openxmlformats.org/officeDocument/2006/relationships/hyperlink" Target="https://www.dispatch.com/story/business/2025/04/07/microsoft-backs-out-of-plans-to-build-data-centers-in-licking-county/82973097007/" TargetMode="External"/><Relationship Id="rId2693" Type="http://schemas.openxmlformats.org/officeDocument/2006/relationships/hyperlink" Target="https://commdevpay.fauquiercounty.gov/Energov_Prod/SelfService" TargetMode="External"/><Relationship Id="rId774" Type="http://schemas.openxmlformats.org/officeDocument/2006/relationships/hyperlink" Target="https://wgno.com/news/louisiana/orleans-parish/new-orleans-city-council-pauses-proposed-data-center-in-new-orleans-east/" TargetMode="External"/><Relationship Id="rId1363" Type="http://schemas.openxmlformats.org/officeDocument/2006/relationships/hyperlink" Target="https://cologix.com/data-centers/columbus/" TargetMode="External"/><Relationship Id="rId2694" Type="http://schemas.openxmlformats.org/officeDocument/2006/relationships/hyperlink" Target="https://www.actdatascout.com/RealProperty/ParcelView" TargetMode="External"/><Relationship Id="rId773" Type="http://schemas.openxmlformats.org/officeDocument/2006/relationships/hyperlink" Target="https://www.all4energy.org/watchdog/statement-on-data-centers-in-nola/" TargetMode="External"/><Relationship Id="rId1364" Type="http://schemas.openxmlformats.org/officeDocument/2006/relationships/hyperlink" Target="https://cologix.com/data-centers/columbus/" TargetMode="External"/><Relationship Id="rId2695" Type="http://schemas.openxmlformats.org/officeDocument/2006/relationships/hyperlink" Target="https://www.fairfaxcounty.gov/planning-development/sites/planning-development/files/Assets/Documents/PDF/data-centers-report.pdf" TargetMode="External"/><Relationship Id="rId772" Type="http://schemas.openxmlformats.org/officeDocument/2006/relationships/hyperlink" Target="https://veritenews.org/2026/01/28/data-centers-ban-new-orleans-council/" TargetMode="External"/><Relationship Id="rId1365" Type="http://schemas.openxmlformats.org/officeDocument/2006/relationships/hyperlink" Target="https://cologix.com/data-centers/columbus/" TargetMode="External"/><Relationship Id="rId2696" Type="http://schemas.openxmlformats.org/officeDocument/2006/relationships/hyperlink" Target="https://icare.fairfaxcounty.gov/ffxcare/Datalets/Datalet.aspx?mode=&amp;UseSearch=no&amp;pin=0173%2001%20%200032A&amp;jur=129&amp;taxyr=2025" TargetMode="External"/><Relationship Id="rId771" Type="http://schemas.openxmlformats.org/officeDocument/2006/relationships/hyperlink" Target="https://www.all4energy.org/watchdog/statement-on-data-centers-in-nola/" TargetMode="External"/><Relationship Id="rId1366" Type="http://schemas.openxmlformats.org/officeDocument/2006/relationships/hyperlink" Target="https://cologix.com/data-centers/columbus/" TargetMode="External"/><Relationship Id="rId2697" Type="http://schemas.openxmlformats.org/officeDocument/2006/relationships/hyperlink" Target="https://www.fairfaxcounty.gov/planning-development/sites/planning-development/files/Assets/Documents/PDF/data-centers-report.pdf" TargetMode="External"/><Relationship Id="rId1390" Type="http://schemas.openxmlformats.org/officeDocument/2006/relationships/hyperlink" Target="https://www.datacenterdynamics.com/en/news/mara-acquires-505mw-gas-plant-in-ohio-intends-to-construct-200mw-data-center-at-site/" TargetMode="External"/><Relationship Id="rId1391" Type="http://schemas.openxmlformats.org/officeDocument/2006/relationships/hyperlink" Target="https://hilliardcleanair.org/" TargetMode="External"/><Relationship Id="rId1392" Type="http://schemas.openxmlformats.org/officeDocument/2006/relationships/hyperlink" Target="https://www.dispatch.com/story/news/local/communities/hilliard/2022/05/27/amazon-plans-build-third-data-center-scioto-darby-road-and-270/9962923002/" TargetMode="External"/><Relationship Id="rId1393" Type="http://schemas.openxmlformats.org/officeDocument/2006/relationships/hyperlink" Target="https://hilliardohio.gov/state-law-overrides-local-review-for-aws-fuel-cell-system-in-hilliard/" TargetMode="External"/><Relationship Id="rId1394" Type="http://schemas.openxmlformats.org/officeDocument/2006/relationships/hyperlink" Target="https://www.10tv.com/article/news/local/hilliard-residents-concerns-amazon-data-center-diesel-generators/530-ccb1ea66-fad0-403b-9baf-76110d65f2fd" TargetMode="External"/><Relationship Id="rId1395" Type="http://schemas.openxmlformats.org/officeDocument/2006/relationships/hyperlink" Target="https://www.datacenterdynamics.com/en/news/city-of-hilliard-challenges-amazon-fuel-cell-project-at-ohio-data-center-report/" TargetMode="External"/><Relationship Id="rId1396" Type="http://schemas.openxmlformats.org/officeDocument/2006/relationships/hyperlink" Target="https://www.change.org/p/stop-the-ai-data-centers-in-lawrence-county-ohio" TargetMode="External"/><Relationship Id="rId1397" Type="http://schemas.openxmlformats.org/officeDocument/2006/relationships/hyperlink" Target="https://www.datacenterdynamics.com/en/news/data-center-project-in-lawrence-county-ohio-sparks-calls-for-moratorium-in-neighboring-city/" TargetMode="External"/><Relationship Id="rId1398" Type="http://schemas.openxmlformats.org/officeDocument/2006/relationships/hyperlink" Target="https://www.datacenterdynamics.com/en/news/aws-weighing-up-data-center-project-in-fayette-county-ohio/" TargetMode="External"/><Relationship Id="rId1399" Type="http://schemas.openxmlformats.org/officeDocument/2006/relationships/hyperlink" Target="https://www.datacenterdynamics.com/en/news/aws-weighing-up-data-center-project-in-fayette-county-ohio/" TargetMode="External"/><Relationship Id="rId1389" Type="http://schemas.openxmlformats.org/officeDocument/2006/relationships/hyperlink" Target="https://www.wvxu.org/environment/2025-12-03/developers-data-center-butler-county" TargetMode="External"/><Relationship Id="rId799" Type="http://schemas.openxmlformats.org/officeDocument/2006/relationships/hyperlink" Target="https://www.cbsnews.com/boston/news/inside-lowell-markley-data-center" TargetMode="External"/><Relationship Id="rId798" Type="http://schemas.openxmlformats.org/officeDocument/2006/relationships/hyperlink" Target="https://www.yahoo.com/news/articles/25-investigates-raised-concerns-mass-230539627.html" TargetMode="External"/><Relationship Id="rId797" Type="http://schemas.openxmlformats.org/officeDocument/2006/relationships/hyperlink" Target="https://www.lowellsun.com/2025/06/25/lowell-city-council-approves-markley-groups-diesel-fueled-expansion/" TargetMode="External"/><Relationship Id="rId1380" Type="http://schemas.openxmlformats.org/officeDocument/2006/relationships/hyperlink" Target="https://www.datacenterdynamics.com/en/news/aws-plans-2bn-data-center-campus-in-sunbury-ohio/" TargetMode="External"/><Relationship Id="rId792" Type="http://schemas.openxmlformats.org/officeDocument/2006/relationships/hyperlink" Target="https://www.datacenters.com/markley-group-boston" TargetMode="External"/><Relationship Id="rId1381" Type="http://schemas.openxmlformats.org/officeDocument/2006/relationships/hyperlink" Target="https://www.journal-news.com/news/residents-say-no-on-1b-data-center-project-wants-hamilton-to-do-the-same/L3YUSLLR2VHMDFXVBXKPBTOHCA/" TargetMode="External"/><Relationship Id="rId791" Type="http://schemas.openxmlformats.org/officeDocument/2006/relationships/hyperlink" Target="https://www.markleygroup.com/data-center" TargetMode="External"/><Relationship Id="rId1382" Type="http://schemas.openxmlformats.org/officeDocument/2006/relationships/hyperlink" Target="https://www.bizjournals.com/cincinnati/news/2025/09/08/hyperscale-ai-data-center-hamilton-logistix.html" TargetMode="External"/><Relationship Id="rId790" Type="http://schemas.openxmlformats.org/officeDocument/2006/relationships/hyperlink" Target="https://www.datacenterdynamics.com/en/news/hut-8-signs-245mw-capacity-deal-with-fluidstack-as-part-of-multi-gigawatt-partnership-with-anthropic/" TargetMode="External"/><Relationship Id="rId1383" Type="http://schemas.openxmlformats.org/officeDocument/2006/relationships/hyperlink" Target="https://local12.com/news/local/plans-1-billion-cincinnati-hamilton-ohio-data-center-advance-despite-environmental-energy-concerns-bills-usage-cost-customers-residents-logistix-property-group-consumption-natural-gas-hydroelectric-solar-wind-generators-technology-hub-tech-computers" TargetMode="External"/><Relationship Id="rId1384" Type="http://schemas.openxmlformats.org/officeDocument/2006/relationships/hyperlink" Target="https://www.thebcfa.org/ignitebutler/featured-news-articles/p/item/64490/1b-hyperscale-data-center-could-break-ground-in-city-of-hamilton-in-2026" TargetMode="External"/><Relationship Id="rId796" Type="http://schemas.openxmlformats.org/officeDocument/2006/relationships/hyperlink" Target="https://www.govtech.com/analytics/massachusetts-residents-protest-data-farm-expansion" TargetMode="External"/><Relationship Id="rId1385" Type="http://schemas.openxmlformats.org/officeDocument/2006/relationships/hyperlink" Target="https://www.journal-news.com/news/residents-say-no-on-1b-data-center-project-wants-hamilton-to-do-the-same/L3YUSLLR2VHMDFXVBXKPBTOHCA/" TargetMode="External"/><Relationship Id="rId795" Type="http://schemas.openxmlformats.org/officeDocument/2006/relationships/hyperlink" Target="https://www.datacenters.com/markley-group-boston" TargetMode="External"/><Relationship Id="rId1386" Type="http://schemas.openxmlformats.org/officeDocument/2006/relationships/hyperlink" Target="https://www.thebcfa.org/ignitebutler/featured-news-articles/p/item/64490/1b-hyperscale-data-center-could-break-ground-in-city-of-hamilton-in-2026" TargetMode="External"/><Relationship Id="rId794" Type="http://schemas.openxmlformats.org/officeDocument/2006/relationships/hyperlink" Target="https://www.markleygroup.com/data-center" TargetMode="External"/><Relationship Id="rId1387" Type="http://schemas.openxmlformats.org/officeDocument/2006/relationships/hyperlink" Target="https://www.bizjournals.com/cincinnati/news/2025/09/08/hyperscale-ai-data-center-hamilton-logistix.html" TargetMode="External"/><Relationship Id="rId793" Type="http://schemas.openxmlformats.org/officeDocument/2006/relationships/hyperlink" Target="https://advocatenews.net/everett/news/city-councillors-question-plan-for-data-center-in-docklands-innovation-district/" TargetMode="External"/><Relationship Id="rId1388" Type="http://schemas.openxmlformats.org/officeDocument/2006/relationships/hyperlink" Target="https://www.journal-news.com/news/residents-say-no-on-1b-data-center-project-wants-hamilton-to-do-the-same/L3YUSLLR2VHMDFXVBXKPBTOHCA/" TargetMode="External"/><Relationship Id="rId2700" Type="http://schemas.openxmlformats.org/officeDocument/2006/relationships/hyperlink" Target="https://icare.fairfaxcounty.gov/ffxcare/datalets/datalet.aspx?mode=com_combined&amp;UseSearch=no&amp;pin=0173%2001%20%200005&amp;jur=129&amp;taxyr=2025&amp;LMparent=138" TargetMode="External"/><Relationship Id="rId2701" Type="http://schemas.openxmlformats.org/officeDocument/2006/relationships/hyperlink" Target="https://www.fairfaxcounty.gov/planning-development/sites/planning-development/files/Assets/Documents/PDF/data-centers-report.pdf" TargetMode="External"/><Relationship Id="rId2702" Type="http://schemas.openxmlformats.org/officeDocument/2006/relationships/hyperlink" Target="https://icare.fairfaxcounty.gov/ffxcare/datalets/datalet.aspx?mode=profileall&amp;sIndex=0&amp;idx=1&amp;LMparent=138" TargetMode="External"/><Relationship Id="rId2703" Type="http://schemas.openxmlformats.org/officeDocument/2006/relationships/hyperlink" Target="https://www.datacenterdynamics.com/en/news/proposals-for-two-data-center-projects-in-richmond-virginia-deferred-by-local-officials/" TargetMode="External"/><Relationship Id="rId2704" Type="http://schemas.openxmlformats.org/officeDocument/2006/relationships/hyperlink" Target="https://realestate.henrico.us/ords/cam/f?p=510101:5:::NO::P5_PARCEL_ID,P5_SEARCH_TYPE:795-746-5940,0" TargetMode="External"/><Relationship Id="rId2705" Type="http://schemas.openxmlformats.org/officeDocument/2006/relationships/hyperlink" Target="https://realestate.henrico.us/ords/cam/f?p=510101:5:::NO::P5_PARCEL_ID,P5_SEARCH_TYPE:780-748-2431,0" TargetMode="External"/><Relationship Id="rId2706" Type="http://schemas.openxmlformats.org/officeDocument/2006/relationships/hyperlink" Target="https://realestate.henrico.us/ords/cam/f?p=510101:5:::NO::P5_PARCEL_ID,P5_SEARCH_TYPE:790-760-2582,0" TargetMode="External"/><Relationship Id="rId2707" Type="http://schemas.openxmlformats.org/officeDocument/2006/relationships/hyperlink" Target="https://www.vpm.org/listen/2025-02-21/bizsense-beat-magnolia-green-azalea-flea-market" TargetMode="External"/><Relationship Id="rId2708" Type="http://schemas.openxmlformats.org/officeDocument/2006/relationships/hyperlink" Target="https://www.datacenterdynamics.com/en/news/planners-oppose-data-center-campus-in-varina-virginia/" TargetMode="External"/><Relationship Id="rId2709" Type="http://schemas.openxmlformats.org/officeDocument/2006/relationships/hyperlink" Target="https://www.roanokerambler.com/with-1-billion-google-data-center-deal-inked-the-roanoke-valley-enters-the-game/" TargetMode="External"/><Relationship Id="rId2720" Type="http://schemas.openxmlformats.org/officeDocument/2006/relationships/hyperlink" Target="https://co.caroline.va.us/DocumentCenter/View/10428/SPEX-08-2025-Caroline-Ctr-for-Innov-North---Reedy-Church" TargetMode="External"/><Relationship Id="rId2721" Type="http://schemas.openxmlformats.org/officeDocument/2006/relationships/hyperlink" Target="https://www.datacenterdynamics.com/en/news/cleanarc-gets-green-light-for-600mw-data-center-campus-in-caroline-county-virginia/" TargetMode="External"/><Relationship Id="rId2722" Type="http://schemas.openxmlformats.org/officeDocument/2006/relationships/hyperlink" Target="https://www.datacenterdynamics.com/en/news/cleanarc-breaks-ground-on-900mw-data-center-campus-in-virginia/" TargetMode="External"/><Relationship Id="rId2723" Type="http://schemas.openxmlformats.org/officeDocument/2006/relationships/hyperlink" Target="https://www.governor.virginia.gov/newsroom/news-releases/2025/november/name-1071533-en.html" TargetMode="External"/><Relationship Id="rId2724" Type="http://schemas.openxmlformats.org/officeDocument/2006/relationships/hyperlink" Target="https://co.caroline.va.us/DocumentCenter/View/10426/RZ-03-2025-Thornberry-LLC-Reedy-Church" TargetMode="External"/><Relationship Id="rId2725" Type="http://schemas.openxmlformats.org/officeDocument/2006/relationships/hyperlink" Target="https://co.caroline.va.us/AgendaCenter/ViewFile/Item/5593?fileID=9447" TargetMode="External"/><Relationship Id="rId2726" Type="http://schemas.openxmlformats.org/officeDocument/2006/relationships/hyperlink" Target="https://www.datacenterdynamics.com/en/news/10m-sq-ft-amazon-files-for-four-data-center-campuses-in-virginias-spotsylvania-and-caroline-counties/" TargetMode="External"/><Relationship Id="rId2727" Type="http://schemas.openxmlformats.org/officeDocument/2006/relationships/hyperlink" Target="https://icare.fairfaxcounty.gov/ffxcare/Datalets/Datalet.aspx?mode=&amp;UseSearch=no&amp;pin=0292%2015%20%20%20%20%20%20C1&amp;jur=129&amp;taxyr=2025" TargetMode="External"/><Relationship Id="rId2728" Type="http://schemas.openxmlformats.org/officeDocument/2006/relationships/hyperlink" Target="https://www.roanokerambler.com/with-1-billion-google-data-center-deal-inked-the-roanoke-valley-enters-the-game/" TargetMode="External"/><Relationship Id="rId2729" Type="http://schemas.openxmlformats.org/officeDocument/2006/relationships/hyperlink" Target="https://www.datacenterdynamics.com/en/news/hourigan-files-for-320-acre-data-center-campus-outside-richmond-virginia/?emci=44212ab4-0fa0-ee11-bea1-002248223f36&amp;emdi=712e0f52-37a0-ee11-bea1-002248223f36&amp;ceid=11786847" TargetMode="External"/><Relationship Id="rId2710" Type="http://schemas.openxmlformats.org/officeDocument/2006/relationships/hyperlink" Target="https://roanoke.org/real-estate/roanoke-county-center-for-research-technology/" TargetMode="External"/><Relationship Id="rId2711" Type="http://schemas.openxmlformats.org/officeDocument/2006/relationships/hyperlink" Target="https://www.roanokerambler.com/with-1-billion-google-data-center-deal-inked-the-roanoke-valley-enters-the-game/" TargetMode="External"/><Relationship Id="rId2712" Type="http://schemas.openxmlformats.org/officeDocument/2006/relationships/hyperlink" Target="https://www.yesfranklincountyva.org/228/Summit-View-Business-Park" TargetMode="External"/><Relationship Id="rId2713" Type="http://schemas.openxmlformats.org/officeDocument/2006/relationships/hyperlink" Target="https://www.datacenterdynamics.com/en/news/crusoe-linked-to-potential-data-center-project-in-franklin-county-virginia/" TargetMode="External"/><Relationship Id="rId2714" Type="http://schemas.openxmlformats.org/officeDocument/2006/relationships/hyperlink" Target="https://www.datacenterfrontier.com/energy/article/33010239/onsite-energy-plans-for-new-data-center-projects-reflect-industrys-decarbonization-investment" TargetMode="External"/><Relationship Id="rId2715" Type="http://schemas.openxmlformats.org/officeDocument/2006/relationships/hyperlink" Target="https://co.caroline.va.us/DocumentCenter/View/10347/RZ-02-2025-SPEX-06-2025-Ladysmith-Data-Hub?bidId=" TargetMode="External"/><Relationship Id="rId2716" Type="http://schemas.openxmlformats.org/officeDocument/2006/relationships/hyperlink" Target="https://sites.vedp.org/virginia/propertyid/286091" TargetMode="External"/><Relationship Id="rId2717" Type="http://schemas.openxmlformats.org/officeDocument/2006/relationships/hyperlink" Target="https://co.caroline.va.us/DocumentCenter/View/9366/RZ-03-2023--Carmel-Church-Data-Hub" TargetMode="External"/><Relationship Id="rId2718" Type="http://schemas.openxmlformats.org/officeDocument/2006/relationships/hyperlink" Target="https://co.caroline.va.us/DocumentCenter/View/9994/RZ-06-2024-Luck-Stone-CTEC" TargetMode="External"/><Relationship Id="rId2719" Type="http://schemas.openxmlformats.org/officeDocument/2006/relationships/hyperlink" Target="https://co.caroline.va.us/DocumentCenter/View/10157/RZ-01-2025-Caroline-Ctr-for-Innovation" TargetMode="External"/><Relationship Id="rId1455" Type="http://schemas.openxmlformats.org/officeDocument/2006/relationships/hyperlink" Target="https://www.wlwt.com/article/trenton-ohio-butler-county-data-center-reaction/69267723" TargetMode="External"/><Relationship Id="rId2786" Type="http://schemas.openxmlformats.org/officeDocument/2006/relationships/hyperlink" Target="https://reparcelasmt.loudoun.gov/pt/datalets/datalet.aspx?mode=profileall&amp;UseSearch=no&amp;pin=045175529000&amp;jur=107&amp;taxyr=2024&amp;LMparent=20" TargetMode="External"/><Relationship Id="rId1456" Type="http://schemas.openxmlformats.org/officeDocument/2006/relationships/hyperlink" Target="https://www.journal-news.com/news/1-million-square-foot-data-center-proposed-for-141-acres-in-trenton/B5H4QD67PZGVRJY7HAVVSTJJBI/" TargetMode="External"/><Relationship Id="rId2787" Type="http://schemas.openxmlformats.org/officeDocument/2006/relationships/hyperlink" Target="https://reparcelasmt.loudoun.gov/pt/datalets/datalet.aspx?mode=profileall&amp;UseSearch=no&amp;pin=030393965001&amp;jur=107&amp;taxyr=2024&amp;LMparent=20" TargetMode="External"/><Relationship Id="rId1457" Type="http://schemas.openxmlformats.org/officeDocument/2006/relationships/hyperlink" Target="https://www.datacenterdynamics.com/en/news/prologis-details-plans-for-data-center-campus-outside-cincinnati-ohio/" TargetMode="External"/><Relationship Id="rId2788" Type="http://schemas.openxmlformats.org/officeDocument/2006/relationships/hyperlink" Target="https://loudouncountyvaeg.tylerhost.net/prod/selfservice" TargetMode="External"/><Relationship Id="rId1458" Type="http://schemas.openxmlformats.org/officeDocument/2006/relationships/hyperlink" Target="https://www.expedient.com/data-centers/columbus/" TargetMode="External"/><Relationship Id="rId2789" Type="http://schemas.openxmlformats.org/officeDocument/2006/relationships/hyperlink" Target="https://reparcelasmt.loudoun.gov/pt/datalets/datalet.aspx?mode=land_summary&amp;UseSearch=no&amp;pin=041398662000&amp;jur=107&amp;taxyr=2025&amp;LMparent=20" TargetMode="External"/><Relationship Id="rId1459" Type="http://schemas.openxmlformats.org/officeDocument/2006/relationships/hyperlink" Target="https://www.change.org/p/stop-the-data-center-from-opening-in-urbana" TargetMode="External"/><Relationship Id="rId629" Type="http://schemas.openxmlformats.org/officeDocument/2006/relationships/hyperlink" Target="https://projectshirleylakecounty.com/" TargetMode="External"/><Relationship Id="rId624" Type="http://schemas.openxmlformats.org/officeDocument/2006/relationships/hyperlink" Target="https://www.datacenterdynamics.com/en/news/coreweave-to-develop-180mw-data-center-at-digital-crossroads-campus-in-hammond-indiana/" TargetMode="External"/><Relationship Id="rId623" Type="http://schemas.openxmlformats.org/officeDocument/2006/relationships/hyperlink" Target="https://baxtel.com/data-center/jumping-bison-greensburg-in?lat=39.37234142555886&amp;lng=-85.51474217656732&amp;distance=4286.716935410502" TargetMode="External"/><Relationship Id="rId622" Type="http://schemas.openxmlformats.org/officeDocument/2006/relationships/hyperlink" Target="https://www.yahoo.com/news/development-coming-greensburg-011600861.html" TargetMode="External"/><Relationship Id="rId621" Type="http://schemas.openxmlformats.org/officeDocument/2006/relationships/hyperlink" Target="https://wrbiradio.com/greensburg-council-approves-era-establishment-data-center-abatement/" TargetMode="External"/><Relationship Id="rId628" Type="http://schemas.openxmlformats.org/officeDocument/2006/relationships/hyperlink" Target="https://www.latitudemedia.com/news/in-indiana-an-anatomy-of-data-center-opposition/" TargetMode="External"/><Relationship Id="rId627" Type="http://schemas.openxmlformats.org/officeDocument/2006/relationships/hyperlink" Target="https://web.archive.org/web/20260419222133/https://www.chicagotribune.com/2026/04/17/developers-answer-questions-about-potential-lowell-area-data-center/" TargetMode="External"/><Relationship Id="rId626" Type="http://schemas.openxmlformats.org/officeDocument/2006/relationships/hyperlink" Target="https://dailyjournal.net/2025/06/26/iedc-board-approves-incentives-for-four-planned-data-center-projects/" TargetMode="External"/><Relationship Id="rId625" Type="http://schemas.openxmlformats.org/officeDocument/2006/relationships/hyperlink" Target="https://www.datacenterdynamics.com/en/news/digital-crossroad-plans-expansion-of-hammond-data-center-campus-outside-chicago/" TargetMode="External"/><Relationship Id="rId2780" Type="http://schemas.openxmlformats.org/officeDocument/2006/relationships/hyperlink" Target="https://cloudandcolocation.com/datacenters/cyxtera-sterling-data-center-iad1-b/" TargetMode="External"/><Relationship Id="rId1450" Type="http://schemas.openxmlformats.org/officeDocument/2006/relationships/hyperlink" Target="https://www.datacenterdynamics.com/en/news/aligned-acquires-130-acres-in-ohio-for-data-center-campus/" TargetMode="External"/><Relationship Id="rId2781" Type="http://schemas.openxmlformats.org/officeDocument/2006/relationships/hyperlink" Target="https://reparcelasmt.loudoun.gov/pt/Datalets/Datalet.aspx?UseSearch=no&amp;mode=profileall&amp;pin=030391106000&amp;jur=107&amp;taxyr=2024" TargetMode="External"/><Relationship Id="rId620" Type="http://schemas.openxmlformats.org/officeDocument/2006/relationships/hyperlink" Target="https://www.change.org/p/say-no-to-ai-data-centers-in-decatur-county" TargetMode="External"/><Relationship Id="rId1451" Type="http://schemas.openxmlformats.org/officeDocument/2006/relationships/hyperlink" Target="https://www.whio.com/news/local/city-approves-30-year-tax-break-amazon-data-center/IXCXV6ZWABADDFZ3XYHMYB7YUQ/" TargetMode="External"/><Relationship Id="rId2782" Type="http://schemas.openxmlformats.org/officeDocument/2006/relationships/hyperlink" Target="https://www.datacenterdynamics.com/en/news/aligned-files-to-extend-second-sterling-campus-in-virginia/" TargetMode="External"/><Relationship Id="rId1452" Type="http://schemas.openxmlformats.org/officeDocument/2006/relationships/hyperlink" Target="https://www.datacenterdynamics.com/en/news/amazon-secures-tax-break-for-3bn-data-center-campus-in-sidney-ohio/" TargetMode="External"/><Relationship Id="rId2783" Type="http://schemas.openxmlformats.org/officeDocument/2006/relationships/hyperlink" Target="https://loudouncountyvaeg.tylerhost.net/prod/selfservice" TargetMode="External"/><Relationship Id="rId1453" Type="http://schemas.openxmlformats.org/officeDocument/2006/relationships/hyperlink" Target="https://www.facebook.com/groups/816721210681323" TargetMode="External"/><Relationship Id="rId2784" Type="http://schemas.openxmlformats.org/officeDocument/2006/relationships/hyperlink" Target="https://reparcelasmt.loudoun.gov/pt/Datalets/Datalet.aspx?UseSearch=no&amp;mode=profileall&amp;pin=045279612000&amp;jur=107&amp;taxyr=2024" TargetMode="External"/><Relationship Id="rId1454" Type="http://schemas.openxmlformats.org/officeDocument/2006/relationships/hyperlink" Target="https://www.datacenterdynamics.com/en/news/prologis-acquires-land-outside-cincinnati-ohio-for-potential-data-center/" TargetMode="External"/><Relationship Id="rId2785" Type="http://schemas.openxmlformats.org/officeDocument/2006/relationships/hyperlink" Target="https://www.datacenterdynamics.com/en/news/aligned-files-to-extend-second-sterling-campus-in-virginia/" TargetMode="External"/><Relationship Id="rId1444" Type="http://schemas.openxmlformats.org/officeDocument/2006/relationships/hyperlink" Target="https://www.wowktv.com/news/ohio/japan-trade-deal-to-bring-billion-dollar-natural-gas-project-to-southeast-ohio/" TargetMode="External"/><Relationship Id="rId2775" Type="http://schemas.openxmlformats.org/officeDocument/2006/relationships/hyperlink" Target="https://reparcelasmt.loudoun.gov/pt/datalets/datalet.aspx?mode=commercial&amp;UseSearch=no&amp;pin=044193385000&amp;jur=107&amp;taxyr=2024&amp;LMparent=20" TargetMode="External"/><Relationship Id="rId1445" Type="http://schemas.openxmlformats.org/officeDocument/2006/relationships/hyperlink" Target="https://www.commerce.gov/news/fact-sheets/2026/02/fact-sheet-us-japan-trade-deal" TargetMode="External"/><Relationship Id="rId2776" Type="http://schemas.openxmlformats.org/officeDocument/2006/relationships/hyperlink" Target="https://www.datacenterdynamics.com/en/news/prologis-seeks-rezoning-of-land-sterling-virginia-possibly-for-data-centers/" TargetMode="External"/><Relationship Id="rId1446" Type="http://schemas.openxmlformats.org/officeDocument/2006/relationships/hyperlink" Target="https://www.datacenterdynamics.com/en/news/openai-in-talks-to-lease-10gw-data-center-from-sb-energy-in-ohio/" TargetMode="External"/><Relationship Id="rId2777" Type="http://schemas.openxmlformats.org/officeDocument/2006/relationships/hyperlink" Target="https://reparcelasmt.loudoun.gov/pt/Datalets/Datalet.aspx?UseSearch=no&amp;mode=profileall&amp;pin=045274849000&amp;jur=107&amp;taxyr=2024" TargetMode="External"/><Relationship Id="rId1447" Type="http://schemas.openxmlformats.org/officeDocument/2006/relationships/hyperlink" Target="https://miamivalleytoday.com/piqua-commission-hears-plans-for-new-data-center/" TargetMode="External"/><Relationship Id="rId2778" Type="http://schemas.openxmlformats.org/officeDocument/2006/relationships/hyperlink" Target="https://reparcelasmt.loudoun.gov/pt/Datalets/Datalet.aspx?UseSearch=no&amp;mode=profileall&amp;pin=034357851000&amp;jur=107&amp;taxyr=2024" TargetMode="External"/><Relationship Id="rId1448" Type="http://schemas.openxmlformats.org/officeDocument/2006/relationships/hyperlink" Target="https://www.datacenterdynamics.com/en/news/data-center-project-coming-to-piqua-ohio/" TargetMode="External"/><Relationship Id="rId2779" Type="http://schemas.openxmlformats.org/officeDocument/2006/relationships/hyperlink" Target="https://reparcelasmt.loudoun.gov/pt/datalets/datalet.aspx?mode=profileall&amp;UseSearch=no&amp;pin=034263373000&amp;jur=107&amp;taxyr=2024&amp;LMparent=20" TargetMode="External"/><Relationship Id="rId1449" Type="http://schemas.openxmlformats.org/officeDocument/2006/relationships/hyperlink" Target="https://cleanview.co/public/data-centers/ohio/1895/j5-piqua-data-center" TargetMode="External"/><Relationship Id="rId619" Type="http://schemas.openxmlformats.org/officeDocument/2006/relationships/hyperlink" Target="https://www.facebook.com/p/Coalition-to-Protect-Decatur-County-Against-AI-Data-Center-61580212506454/" TargetMode="External"/><Relationship Id="rId618" Type="http://schemas.openxmlformats.org/officeDocument/2006/relationships/hyperlink" Target="https://www.insideindianabusiness.com/articles/new-data-center-project-being-proposed-for-new-carlisle" TargetMode="External"/><Relationship Id="rId613" Type="http://schemas.openxmlformats.org/officeDocument/2006/relationships/hyperlink" Target="https://www.datacenterdynamics.com/en/news/google-announces-2bn-campus-in-fort-wayne-indiana/" TargetMode="External"/><Relationship Id="rId612" Type="http://schemas.openxmlformats.org/officeDocument/2006/relationships/hyperlink" Target="https://www.datacenterdynamics.com/en/news/4bn-data-center-in-indianapolis-indiana-gets-go-ahead/" TargetMode="External"/><Relationship Id="rId611" Type="http://schemas.openxmlformats.org/officeDocument/2006/relationships/hyperlink" Target="https://www.govtech.com/artificial-intelligence/2b-in-data-center-projects-planned-for-merrillville-ind" TargetMode="External"/><Relationship Id="rId610" Type="http://schemas.openxmlformats.org/officeDocument/2006/relationships/hyperlink" Target="https://www.govtech.com/artificial-intelligence/2b-in-data-center-projects-planned-for-merrillville-ind" TargetMode="External"/><Relationship Id="rId617" Type="http://schemas.openxmlformats.org/officeDocument/2006/relationships/hyperlink" Target="https://www.datacenterdynamics.com/en/news/land-rezoning-proposal-for-300mw-data-center-in-frankfort-indiana-rescinded-by-developer/" TargetMode="External"/><Relationship Id="rId616" Type="http://schemas.openxmlformats.org/officeDocument/2006/relationships/hyperlink" Target="https://www.datacenterdynamics.com/en/news/indiana-approves-expanding-googles-fort-wayne-data-center-campus-onto-protected-wetlands-despite-local-opposition/" TargetMode="External"/><Relationship Id="rId615" Type="http://schemas.openxmlformats.org/officeDocument/2006/relationships/hyperlink" Target="https://www.21alivenews.com/2025/09/19/googles-plan-build-protected-wetlands-fort-wayne-data-center-greenlit/" TargetMode="External"/><Relationship Id="rId614" Type="http://schemas.openxmlformats.org/officeDocument/2006/relationships/hyperlink" Target="https://rbnenergy.com/i-know-places-tech-giants-may-be-the-surest-bets-for-data-center-power-demand" TargetMode="External"/><Relationship Id="rId2770" Type="http://schemas.openxmlformats.org/officeDocument/2006/relationships/hyperlink" Target="https://reparcelasmt.loudoun.gov/pt/datalets/datalet.aspx?mode=profileall&amp;UseSearch=no&amp;pin=042295813000&amp;jur=107&amp;taxyr=2024&amp;LMparent=20" TargetMode="External"/><Relationship Id="rId1440" Type="http://schemas.openxmlformats.org/officeDocument/2006/relationships/hyperlink" Target="https://abc6onyourside.com/news/local/pataskala-residents-rally-at-city-hall-to-fight-aligned-data-center-seek-petition-drive-ohio" TargetMode="External"/><Relationship Id="rId2771" Type="http://schemas.openxmlformats.org/officeDocument/2006/relationships/hyperlink" Target="https://loudouncountyvaeg.tylerhost.net/prod/selfservice" TargetMode="External"/><Relationship Id="rId1441" Type="http://schemas.openxmlformats.org/officeDocument/2006/relationships/hyperlink" Target="https://edocpub.epa.ohio.gov/publicportal/ViewDocument.aspx?docid=4170748" TargetMode="External"/><Relationship Id="rId2772" Type="http://schemas.openxmlformats.org/officeDocument/2006/relationships/hyperlink" Target="https://reparcelasmt.loudoun.gov/pt/Datalets/Datalet.aspx?UseSearch=no&amp;mode=profileall&amp;pin=045465016000&amp;jur=107&amp;taxyr=2024" TargetMode="External"/><Relationship Id="rId1442" Type="http://schemas.openxmlformats.org/officeDocument/2006/relationships/hyperlink" Target="https://www.datacenterdynamics.com/en/news/softbank-eyes-10gw-data-center-at-former-doe-nuclear-enrichment-site-in-ohio/" TargetMode="External"/><Relationship Id="rId2773" Type="http://schemas.openxmlformats.org/officeDocument/2006/relationships/hyperlink" Target="https://reparcelasmt.loudoun.gov/pt/datalets/datalet.aspx?mode=profileall&amp;UseSearch=no&amp;pin=043482656000&amp;jur=107&amp;taxyr=2024&amp;LMparent=20" TargetMode="External"/><Relationship Id="rId1443" Type="http://schemas.openxmlformats.org/officeDocument/2006/relationships/hyperlink" Target="https://www.cleveland.com/news/2026/03/massive-33-billion-natural-gas-power-plant-breaks-ground-in-southern-ohio.html?fbclid=IwY2xjawRUs1VleHRuA2FlbQIxMABicmlkETFGSG1JY25kVUlQZHlHWFJKc3J0YwZhcHBfaWQQMjIyMDM5MTc4ODIwMDg5MgABHnJASD_NlMNAc-EUiBtXvr0UR3FsZjhpgBo9Xk-7n5zBDmVytNajtNK229Nu_aem_r3hbtXqGcji4DTrUmS2wTQ" TargetMode="External"/><Relationship Id="rId2774" Type="http://schemas.openxmlformats.org/officeDocument/2006/relationships/hyperlink" Target="https://reparcelasmt.loudoun.gov/pt/datalets/datalet.aspx?mode=commercial&amp;UseSearch=no&amp;pin=045494813000&amp;jur=107&amp;taxyr=2024&amp;LMparent=20" TargetMode="External"/><Relationship Id="rId1477" Type="http://schemas.openxmlformats.org/officeDocument/2006/relationships/hyperlink" Target="https://www.datacenterdynamics.com/en/news/340-acre-data-center-campus-planned-in-tulsa-oklahoma/" TargetMode="External"/><Relationship Id="rId1478" Type="http://schemas.openxmlformats.org/officeDocument/2006/relationships/hyperlink" Target="https://nationaltoday.com/us/ok/tulsa/news/2026/03/30/project-anthem-withdraws-tulsa-data-center-rezoning/" TargetMode="External"/><Relationship Id="rId1479" Type="http://schemas.openxmlformats.org/officeDocument/2006/relationships/hyperlink" Target="https://www.fox23.com/news/company-behind-project-anthem-data-center-withdraws-phase-2-rezoning-request/article_5c3efda4-19ec-4f59-b668-261f04f8e88c.html" TargetMode="External"/><Relationship Id="rId646" Type="http://schemas.openxmlformats.org/officeDocument/2006/relationships/hyperlink" Target="https://www.change.org/p/reject-the-dc-blox-data-center-and-protect-irvington-s-future" TargetMode="External"/><Relationship Id="rId645" Type="http://schemas.openxmlformats.org/officeDocument/2006/relationships/hyperlink" Target="https://www.datacenterdynamics.com/en/news/netrality-acquires-lifeline-facility-at-indy-telcom-center-campus-in-indianapolis/" TargetMode="External"/><Relationship Id="rId644" Type="http://schemas.openxmlformats.org/officeDocument/2006/relationships/hyperlink" Target="https://www.datacenterdynamics.com/en/news/netrality-acquires-lifeline-facility-at-indy-telcom-center-campus-in-indianapolis/" TargetMode="External"/><Relationship Id="rId643" Type="http://schemas.openxmlformats.org/officeDocument/2006/relationships/hyperlink" Target="https://www.datacenterdynamics.com/en/news/500m-data-center-approved-for-construction-outside-indianapolis/" TargetMode="External"/><Relationship Id="rId649" Type="http://schemas.openxmlformats.org/officeDocument/2006/relationships/hyperlink" Target="https://www.datacenterdynamics.com/en/news/us-signal-acquires-data-center-in-indianapolis-indiana/" TargetMode="External"/><Relationship Id="rId648" Type="http://schemas.openxmlformats.org/officeDocument/2006/relationships/hyperlink" Target="https://www.datacenterdynamics.com/en/news/dc-blox-data-center-in-eastern-indianapolis-receives-recommendation-for-approval/" TargetMode="External"/><Relationship Id="rId647" Type="http://schemas.openxmlformats.org/officeDocument/2006/relationships/hyperlink" Target="https://www.datacenterdynamics.com/en/news/dc-blox-to-expand-into-indiana-targets-data-center-campus-in-indianapolis/" TargetMode="External"/><Relationship Id="rId1470" Type="http://schemas.openxmlformats.org/officeDocument/2006/relationships/hyperlink" Target="https://www.stayinspirednews.com/she-refuses-to-stay-quiet-about-a-4-billion-ai-data-center-coming-to-her-small-town-in-wilmington-ohio/" TargetMode="External"/><Relationship Id="rId1471" Type="http://schemas.openxmlformats.org/officeDocument/2006/relationships/hyperlink" Target="https://www.stayinspirednews.com/content/files/2025/12/Wilmington-Ohio-Open-Letter-Dec-15-2025-FINAL.pdf" TargetMode="External"/><Relationship Id="rId1472" Type="http://schemas.openxmlformats.org/officeDocument/2006/relationships/hyperlink" Target="https://www.datacenterdynamics.com/en/news/aws-data-center-project-tabled-in-wilmington-ohio/" TargetMode="External"/><Relationship Id="rId642" Type="http://schemas.openxmlformats.org/officeDocument/2006/relationships/hyperlink" Target="https://mirrorindy.org/metrobloks-files-re-zoning-proposal-for-martindale-brightwood-data-center/" TargetMode="External"/><Relationship Id="rId1473" Type="http://schemas.openxmlformats.org/officeDocument/2006/relationships/hyperlink" Target="https://www.theintelligencer.net/news/community/2025/06/opportunities-eyed-for-former-w-h-sammis-plant-site-in-stratton/" TargetMode="External"/><Relationship Id="rId641" Type="http://schemas.openxmlformats.org/officeDocument/2006/relationships/hyperlink" Target="https://cinematreasures.org/theaters/34206" TargetMode="External"/><Relationship Id="rId1474" Type="http://schemas.openxmlformats.org/officeDocument/2006/relationships/hyperlink" Target="https://www.noawdatacenters.org/" TargetMode="External"/><Relationship Id="rId640" Type="http://schemas.openxmlformats.org/officeDocument/2006/relationships/hyperlink" Target="https://www.wthr.com/article/news/local/data-center-could-move-into-site-of-former-indy-drive-in/531-46d3f8ac-1c6d-4f7c-a6e1-04a2c704c33a" TargetMode="External"/><Relationship Id="rId1475" Type="http://schemas.openxmlformats.org/officeDocument/2006/relationships/hyperlink" Target="https://www.toledoblade.com/local/suburbs/2026/04/23/data-center-discussion-company-is-interested-waterville-township/stories/20260423024" TargetMode="External"/><Relationship Id="rId1476" Type="http://schemas.openxmlformats.org/officeDocument/2006/relationships/hyperlink" Target="https://www.datacenterdynamics.com/en/news/developer-eyes-broken-arrow-oklahoma-for-new-data-center-development/" TargetMode="External"/><Relationship Id="rId1466" Type="http://schemas.openxmlformats.org/officeDocument/2006/relationships/hyperlink" Target="https://www.wfmj.com/story/53208675/lordstown-leaders-consider-ban-tonight-on-planned-dollar36b-ai-data-center" TargetMode="External"/><Relationship Id="rId2797" Type="http://schemas.openxmlformats.org/officeDocument/2006/relationships/hyperlink" Target="https://loudouncountyvaeg.tylerhost.net/prod/selfservice" TargetMode="External"/><Relationship Id="rId1467" Type="http://schemas.openxmlformats.org/officeDocument/2006/relationships/hyperlink" Target="https://www.facebook.com/groups/wilmingtondatacenter" TargetMode="External"/><Relationship Id="rId2798" Type="http://schemas.openxmlformats.org/officeDocument/2006/relationships/hyperlink" Target="https://reparcelasmt.loudoun.gov/pt/Datalets/Datalet.aspx?UseSearch=no&amp;mode=profileall&amp;pin=045282657000&amp;jur=107&amp;taxyr=2025" TargetMode="External"/><Relationship Id="rId1468" Type="http://schemas.openxmlformats.org/officeDocument/2006/relationships/hyperlink" Target="https://wilmingtondatacenter.org/" TargetMode="External"/><Relationship Id="rId2799" Type="http://schemas.openxmlformats.org/officeDocument/2006/relationships/hyperlink" Target="https://loudouncountyvaeg.tylerhost.net/prod/selfservice" TargetMode="External"/><Relationship Id="rId1469" Type="http://schemas.openxmlformats.org/officeDocument/2006/relationships/hyperlink" Target="https://www.datacenterdynamics.com/en/news/wilmington-city-council-postpones-vote-on-aws-data-center-in-southwest-ohio/" TargetMode="External"/><Relationship Id="rId635" Type="http://schemas.openxmlformats.org/officeDocument/2006/relationships/hyperlink" Target="https://www.inkfreenews.com/2025/11/28/amazon-plans-15b-data-center-investment-in-hobart-northern-indiana/" TargetMode="External"/><Relationship Id="rId634" Type="http://schemas.openxmlformats.org/officeDocument/2006/relationships/hyperlink" Target="https://www.datacenterdynamics.com/en/news/aws-data-center-coming-to-hobart-indiana/" TargetMode="External"/><Relationship Id="rId633" Type="http://schemas.openxmlformats.org/officeDocument/2006/relationships/hyperlink" Target="https://www.datacenterdynamics.com/en/news/data-center-in-hobart-indiana-gets-green-light-for-rezoning/" TargetMode="External"/><Relationship Id="rId632" Type="http://schemas.openxmlformats.org/officeDocument/2006/relationships/hyperlink" Target="https://www.change.org/p/protect-hobart-from-unwanted-rezoning-for-data-center" TargetMode="External"/><Relationship Id="rId639" Type="http://schemas.openxmlformats.org/officeDocument/2006/relationships/hyperlink" Target="https://www.onevoicemb.org/" TargetMode="External"/><Relationship Id="rId638" Type="http://schemas.openxmlformats.org/officeDocument/2006/relationships/hyperlink" Target="https://www.datacenterdynamics.com/en/news/american-tower-pauses-plans-for-edge-data-center-in-indianapolis-indiana/" TargetMode="External"/><Relationship Id="rId637" Type="http://schemas.openxmlformats.org/officeDocument/2006/relationships/hyperlink" Target="https://www.facebook.com/profile.php?id=61583877714923" TargetMode="External"/><Relationship Id="rId636" Type="http://schemas.openxmlformats.org/officeDocument/2006/relationships/hyperlink" Target="https://bloximages.chicago2.vip.townnews.com/nwitimes.com/content/tncms/assets/v3/editorial/8/de/8dee9730-d423-11ef-849c-47d4ba7a57ea/67892ef12e340.image.png" TargetMode="External"/><Relationship Id="rId2790" Type="http://schemas.openxmlformats.org/officeDocument/2006/relationships/hyperlink" Target="https://reparcelasmt.loudoun.gov/pt/datalets/datalet.aspx?mode=profileall&amp;UseSearch=no&amp;pin=033201325000&amp;jur=107&amp;taxyr=2024&amp;LMparent=20" TargetMode="External"/><Relationship Id="rId1460" Type="http://schemas.openxmlformats.org/officeDocument/2006/relationships/hyperlink" Target="https://www.datacenterdynamics.com/en/news/thor-equities-looks-to-build-460000-sq-ft-data-center-campus-near-urbana-ohio/" TargetMode="External"/><Relationship Id="rId2791" Type="http://schemas.openxmlformats.org/officeDocument/2006/relationships/hyperlink" Target="https://cloudandcolocation.com/datacenters/cyxtera-sterling-data-center-iad1-c/" TargetMode="External"/><Relationship Id="rId1461" Type="http://schemas.openxmlformats.org/officeDocument/2006/relationships/hyperlink" Target="https://www.urbanaohiodatacenter.com/" TargetMode="External"/><Relationship Id="rId2792" Type="http://schemas.openxmlformats.org/officeDocument/2006/relationships/hyperlink" Target="https://reparcelasmt.loudoun.gov/pt/datalets/datalet.aspx?mode=profileall&amp;UseSearch=no&amp;pin=030399036000&amp;jur=107&amp;taxyr=2024&amp;LMparent=20" TargetMode="External"/><Relationship Id="rId631" Type="http://schemas.openxmlformats.org/officeDocument/2006/relationships/hyperlink" Target="https://www.gofundme.com/f/defend-hobarts-future-no-data-centers" TargetMode="External"/><Relationship Id="rId1462" Type="http://schemas.openxmlformats.org/officeDocument/2006/relationships/hyperlink" Target="https://www.wkbn.com/news/local-news/lordstown-news/hearing-could-determine-data-center-future-in-lordstown/" TargetMode="External"/><Relationship Id="rId2793" Type="http://schemas.openxmlformats.org/officeDocument/2006/relationships/hyperlink" Target="https://cloudandcolocation.com/datacenters/cyxtera-sterling-data-center-iad1-a/" TargetMode="External"/><Relationship Id="rId630" Type="http://schemas.openxmlformats.org/officeDocument/2006/relationships/hyperlink" Target="https://www.facebook.com/groups/2637079693295650" TargetMode="External"/><Relationship Id="rId1463" Type="http://schemas.openxmlformats.org/officeDocument/2006/relationships/hyperlink" Target="https://www.chron.com/business/article/openai-texas-stargate-ai-hub-21065041.php" TargetMode="External"/><Relationship Id="rId2794" Type="http://schemas.openxmlformats.org/officeDocument/2006/relationships/hyperlink" Target="https://reparcelasmt.loudoun.gov/pt/datalets/datalet.aspx?mode=profileall&amp;UseSearch=no&amp;pin=030297084000&amp;jur=107&amp;taxyr=2024&amp;LMparent=20" TargetMode="External"/><Relationship Id="rId1464" Type="http://schemas.openxmlformats.org/officeDocument/2006/relationships/hyperlink" Target="https://www.wfmj.com/story/53109325/lordstown-part-of-mammoth-dollar500-billion-artificial-intelligence-data-center-project" TargetMode="External"/><Relationship Id="rId2795" Type="http://schemas.openxmlformats.org/officeDocument/2006/relationships/hyperlink" Target="https://reparcelasmt.loudoun.gov/pt/datalets/datalet.aspx?mode=commercial&amp;UseSearch=no&amp;pin=045358110000&amp;jur=107&amp;taxyr=2024&amp;LMparent=20" TargetMode="External"/><Relationship Id="rId1465" Type="http://schemas.openxmlformats.org/officeDocument/2006/relationships/hyperlink" Target="https://www.wfmj.com/story/53113377/data-center-to-occupy-small-part-of-lordstown-ai-hub-feature-advanced-design" TargetMode="External"/><Relationship Id="rId2796" Type="http://schemas.openxmlformats.org/officeDocument/2006/relationships/hyperlink" Target="https://reparcelasmt.loudoun.gov/pt/datalets/datalet.aspx?mode=profileall&amp;UseSearch=no&amp;pin=042197707000&amp;jur=107&amp;taxyr=2024&amp;LMparent=20" TargetMode="External"/><Relationship Id="rId1411" Type="http://schemas.openxmlformats.org/officeDocument/2006/relationships/hyperlink" Target="https://www.expedient.com/data-centers/columbus/" TargetMode="External"/><Relationship Id="rId2742" Type="http://schemas.openxmlformats.org/officeDocument/2006/relationships/hyperlink" Target="https://mecklenburg.cama.concisesystems.com/PropertyPage.aspx?id=39166&amp;direct=1" TargetMode="External"/><Relationship Id="rId1412" Type="http://schemas.openxmlformats.org/officeDocument/2006/relationships/hyperlink" Target="https://cologix.com/data-centers/columbus/" TargetMode="External"/><Relationship Id="rId2743" Type="http://schemas.openxmlformats.org/officeDocument/2006/relationships/hyperlink" Target="https://www.levelset.com/property-owners/microsoft-corporation/project-history/" TargetMode="External"/><Relationship Id="rId1413" Type="http://schemas.openxmlformats.org/officeDocument/2006/relationships/hyperlink" Target="https://www.limaohio.com/top-stories/2025/08/14/company-behind-data-center-completes-land-purchases/" TargetMode="External"/><Relationship Id="rId2744" Type="http://schemas.openxmlformats.org/officeDocument/2006/relationships/hyperlink" Target="https://www.datacenterdynamics.com/en/news/microsoft-files-for-another-virginia-campus-in-mecklenburg-county/" TargetMode="External"/><Relationship Id="rId1414" Type="http://schemas.openxmlformats.org/officeDocument/2006/relationships/hyperlink" Target="https://www.datacenterdynamics.com/en/news/google-confirmed-as-company-behind-500m-data-center-in-lima-ohio/" TargetMode="External"/><Relationship Id="rId2745" Type="http://schemas.openxmlformats.org/officeDocument/2006/relationships/hyperlink" Target="https://www.loudountimes.com/news/loudoun-planning-commission-signs-off-on-amazon-data-center-project/article_0e17ff90-d1be-11ea-9103-bb61a9f22c3a.html" TargetMode="External"/><Relationship Id="rId1415" Type="http://schemas.openxmlformats.org/officeDocument/2006/relationships/hyperlink" Target="https://www.datacenterdynamics.com/en/news/proposed-data-center-in-guernsey-county-ohio-could-go-ahead-despite-local-government-opposition/" TargetMode="External"/><Relationship Id="rId2746" Type="http://schemas.openxmlformats.org/officeDocument/2006/relationships/hyperlink" Target="https://reparcelasmt.loudoun.gov/pt/Datalets/Datalet.aspx?UseSearch=no&amp;mode=profileall&amp;pin=096183926000&amp;jur=107&amp;taxyr=2024" TargetMode="External"/><Relationship Id="rId1416" Type="http://schemas.openxmlformats.org/officeDocument/2006/relationships/hyperlink" Target="https://auditor.guernseycounty.gov/SearchResults?SortColumn=Owner&amp;ResultsPerPage=8&amp;pageNumber=1" TargetMode="External"/><Relationship Id="rId2747" Type="http://schemas.openxmlformats.org/officeDocument/2006/relationships/hyperlink" Target="https://loudouncountyvaeg.tylerhost.net/prod/selfservice" TargetMode="External"/><Relationship Id="rId1417" Type="http://schemas.openxmlformats.org/officeDocument/2006/relationships/hyperlink" Target="https://woub.org/2026/06/23/guernsey-county-proposal-data-center/" TargetMode="External"/><Relationship Id="rId2748" Type="http://schemas.openxmlformats.org/officeDocument/2006/relationships/hyperlink" Target="https://loudouncountyvaeg.tylerhost.net/prod/selfservice" TargetMode="External"/><Relationship Id="rId1418" Type="http://schemas.openxmlformats.org/officeDocument/2006/relationships/hyperlink" Target="https://www.datacenterdynamics.com/en/news/bitdeer-looks-to-develop-750mw-data-center-campus-in-ohio/" TargetMode="External"/><Relationship Id="rId2749" Type="http://schemas.openxmlformats.org/officeDocument/2006/relationships/hyperlink" Target="https://reparcelasmt.loudoun.gov/pt/Datalets/Datalet.aspx?UseSearch=no&amp;mode=profileall&amp;pin=097409598000&amp;jur=107&amp;taxyr=2024" TargetMode="External"/><Relationship Id="rId1419" Type="http://schemas.openxmlformats.org/officeDocument/2006/relationships/hyperlink" Target="https://www.neohioprojectinfo.com/" TargetMode="External"/><Relationship Id="rId2740" Type="http://schemas.openxmlformats.org/officeDocument/2006/relationships/hyperlink" Target="https://www.datacenterdynamics.com/en/news/qts-files-to-expand-richmond-data-center-campus-in-virginia/" TargetMode="External"/><Relationship Id="rId1410" Type="http://schemas.openxmlformats.org/officeDocument/2006/relationships/hyperlink" Target="https://www.datacenterdynamics.com/en/news/google-to-build-two-more-data-centers-in-columbus-ohio/" TargetMode="External"/><Relationship Id="rId2741" Type="http://schemas.openxmlformats.org/officeDocument/2006/relationships/hyperlink" Target="https://www.datacenterdynamics.com/en/news/microsoft-files-for-permit-to-build-data-center-campus-in-mecklenburg-county-virginia/" TargetMode="External"/><Relationship Id="rId1400" Type="http://schemas.openxmlformats.org/officeDocument/2006/relationships/hyperlink" Target="https://www.nbc4i.com/intel-in-ohio/amazon-purchases-nearly-600-acres-in-fayette-county-for-new-data-center/" TargetMode="External"/><Relationship Id="rId2731" Type="http://schemas.openxmlformats.org/officeDocument/2006/relationships/hyperlink" Target="https://realestate.henrico.us/ords/cam/f?p=510101:5:::NO::P5_PARCEL_ID,P5_SEARCH_TYPE:849-706-0950,0" TargetMode="External"/><Relationship Id="rId1401" Type="http://schemas.openxmlformats.org/officeDocument/2006/relationships/hyperlink" Target="https://oilandgaswatch.org/facility/rec_d4f1u58q7easr8ra1eeg" TargetMode="External"/><Relationship Id="rId2732" Type="http://schemas.openxmlformats.org/officeDocument/2006/relationships/hyperlink" Target="https://realestate.henrico.us/ords/cam/f?p=510101:5:::NO:::" TargetMode="External"/><Relationship Id="rId1402" Type="http://schemas.openxmlformats.org/officeDocument/2006/relationships/hyperlink" Target="https://www.datacenterdynamics.com/en/news/cyrusone-breaks-ground-on-new-albany-ohio-data-center/" TargetMode="External"/><Relationship Id="rId2733" Type="http://schemas.openxmlformats.org/officeDocument/2006/relationships/hyperlink" Target="https://realestate.henrico.us/ords/cam/f?p=510101:5:::NO::P5_PARCEL_ID,P5_SEARCH_TYPE:852-700-2714,0" TargetMode="External"/><Relationship Id="rId1403" Type="http://schemas.openxmlformats.org/officeDocument/2006/relationships/hyperlink" Target="https://www.datacenterdynamics.com/en/news/edgeconnex-files-to-convert-warehouse-and-build-new-700000-sq-ft-data-center-in-new-albany-ohio/" TargetMode="External"/><Relationship Id="rId2734" Type="http://schemas.openxmlformats.org/officeDocument/2006/relationships/hyperlink" Target="https://www3.co.henrico.va.us/comments/main.php?Permit=POD2022-00605&amp;Action=related&amp;Submit=Submit" TargetMode="External"/><Relationship Id="rId1404" Type="http://schemas.openxmlformats.org/officeDocument/2006/relationships/hyperlink" Target="https://www.datacenterdynamics.com/en/news/edgeconnex-affiliate-proposes-430mw-natural-gas-plant-to-power-data-center-campus-in-new-albany-ohio/" TargetMode="External"/><Relationship Id="rId2735" Type="http://schemas.openxmlformats.org/officeDocument/2006/relationships/hyperlink" Target="https://realestate.henrico.us/ords/cam/f?p=510101:5:::NO::P5_PARCEL_ID,P5_SEARCH_TYPE:850-698-1623,0" TargetMode="External"/><Relationship Id="rId1405" Type="http://schemas.openxmlformats.org/officeDocument/2006/relationships/hyperlink" Target="https://www.datacenterdynamics.com/en/news/amazon-plans-five-building-data-center-campus-in-new-albany-ohio/" TargetMode="External"/><Relationship Id="rId2736" Type="http://schemas.openxmlformats.org/officeDocument/2006/relationships/hyperlink" Target="https://www.datacenterdynamics.com/en/news/iron-mountain-starts-work-on-data-center-campus-near-richmond-virginia/" TargetMode="External"/><Relationship Id="rId1406" Type="http://schemas.openxmlformats.org/officeDocument/2006/relationships/hyperlink" Target="https://www.datacenterdynamics.com/en/news/amazon-buys-112-acre-plot-new-data-center-new-albany-ohio/" TargetMode="External"/><Relationship Id="rId2737" Type="http://schemas.openxmlformats.org/officeDocument/2006/relationships/hyperlink" Target="https://www.datacenterdynamics.com/en/news/qts-files-to-expand-richmond-data-center-campus-in-virginia/" TargetMode="External"/><Relationship Id="rId1407" Type="http://schemas.openxmlformats.org/officeDocument/2006/relationships/hyperlink" Target="https://www.datacenterdynamics.com/en/news/amazon-plans-five-building-data-center-campus-in-new-albany-ohio/" TargetMode="External"/><Relationship Id="rId2738" Type="http://schemas.openxmlformats.org/officeDocument/2006/relationships/hyperlink" Target="https://realestate.henrico.us/ords/cam/f?p=510101:5:::NO::P5_PARCEL_ID,P5_SEARCH_TYPE:846-703-0495,0" TargetMode="External"/><Relationship Id="rId1408" Type="http://schemas.openxmlformats.org/officeDocument/2006/relationships/hyperlink" Target="https://www.datacenterdynamics.com/en/news/amazon-plans-five-building-data-center-campus-in-new-albany-ohio/" TargetMode="External"/><Relationship Id="rId2739" Type="http://schemas.openxmlformats.org/officeDocument/2006/relationships/hyperlink" Target="https://richmondbizsense.com/2026/05/18/data-center-giant-qts-preparing-1100-acre-expansion-that-would-add-17-buildings-to-its-henrico-hub/" TargetMode="External"/><Relationship Id="rId1409" Type="http://schemas.openxmlformats.org/officeDocument/2006/relationships/hyperlink" Target="https://www.datacenterdynamics.com/en/news/karis-critical-purchases-115-acres-for-data-center-in-new-albany-ohio/" TargetMode="External"/><Relationship Id="rId2730" Type="http://schemas.openxmlformats.org/officeDocument/2006/relationships/hyperlink" Target="https://realestate.henrico.us/ords/cam/f?p=510101:5:::NO::P5_PARCEL_ID,P5_SEARCH_TYPE:840-713-3163,0" TargetMode="External"/><Relationship Id="rId1433" Type="http://schemas.openxmlformats.org/officeDocument/2006/relationships/hyperlink" Target="https://rbnenergy.com/i-know-places-tech-giants-may-be-the-surest-bets-for-data-center-power-demand" TargetMode="External"/><Relationship Id="rId2764" Type="http://schemas.openxmlformats.org/officeDocument/2006/relationships/hyperlink" Target="https://staffordcountyva.gov/government/departments_p-z/planning_and_zoning/long_range/rezonings,_cups,_comp_plan_amendments/development_review_meetings_new_applications.php" TargetMode="External"/><Relationship Id="rId1434" Type="http://schemas.openxmlformats.org/officeDocument/2006/relationships/hyperlink" Target="https://engineering.fb.com/2025/09/29/data-infrastructure/metas-infrastructure-evolution-and-the-advent-of-ai/" TargetMode="External"/><Relationship Id="rId2765" Type="http://schemas.openxmlformats.org/officeDocument/2006/relationships/hyperlink" Target="https://www.datacenterdynamics.com/en/news/stack-plans-1gw-campus-in-stafford-county-virginia/" TargetMode="External"/><Relationship Id="rId1435" Type="http://schemas.openxmlformats.org/officeDocument/2006/relationships/hyperlink" Target="https://www.bbc.com/news/articles/c1e02vx55wpo" TargetMode="External"/><Relationship Id="rId2766" Type="http://schemas.openxmlformats.org/officeDocument/2006/relationships/hyperlink" Target="https://staffordcountyva.gov/government/departments_p-z/planning_and_zoning/long_range/rezonings,_cups,_comp_plan_amendments/development_review_meetings_new_applications.php" TargetMode="External"/><Relationship Id="rId1436" Type="http://schemas.openxmlformats.org/officeDocument/2006/relationships/hyperlink" Target="https://epoch.ai/data/data-centers/satellite-explorer/MetaPrometheusNewAlbanyOhio?ref=404media.co" TargetMode="External"/><Relationship Id="rId2767" Type="http://schemas.openxmlformats.org/officeDocument/2006/relationships/hyperlink" Target="https://www.datacenterdynamics.com/en/news/prologis-seeks-rezoning-of-land-sterling-virginia-possibly-for-data-centers/" TargetMode="External"/><Relationship Id="rId1437" Type="http://schemas.openxmlformats.org/officeDocument/2006/relationships/hyperlink" Target="https://oilandgaswatch.org/facility/rec_d4f1u60q7easr8ra1g3g" TargetMode="External"/><Relationship Id="rId2768" Type="http://schemas.openxmlformats.org/officeDocument/2006/relationships/hyperlink" Target="https://reparcelasmt.loudoun.gov/pt/Datalets/Datalet.aspx?mode=commercial&amp;UseSearch=no&amp;pin=045269479000&amp;jur=107&amp;taxyr=2024&amp;card=2&amp;item=0&amp;State=1%7C1%7C1%7C1%7C1&amp;items=4" TargetMode="External"/><Relationship Id="rId1438" Type="http://schemas.openxmlformats.org/officeDocument/2006/relationships/hyperlink" Target="https://oilandgaswatch.org/facility/rec_d4f1u60q7easr8ra1g30" TargetMode="External"/><Relationship Id="rId2769" Type="http://schemas.openxmlformats.org/officeDocument/2006/relationships/hyperlink" Target="https://reparcelasmt.loudoun.gov/pt/datalets/datalet.aspx?mode=profileall&amp;UseSearch=no&amp;pin=042295813000&amp;jur=107&amp;taxyr=2024&amp;LMparent=20" TargetMode="External"/><Relationship Id="rId1439" Type="http://schemas.openxmlformats.org/officeDocument/2006/relationships/hyperlink" Target="https://www.datacenterdynamics.com/en/news/rezoning-requests-approved-for-data-center-outside-toledo-ohio/" TargetMode="External"/><Relationship Id="rId609" Type="http://schemas.openxmlformats.org/officeDocument/2006/relationships/hyperlink" Target="https://nwindianabusiness.com/community/business-news/merrillville-committee-endorses-data-center/67103/" TargetMode="External"/><Relationship Id="rId608" Type="http://schemas.openxmlformats.org/officeDocument/2006/relationships/hyperlink" Target="https://www.datacenterwatch.org/report" TargetMode="External"/><Relationship Id="rId607" Type="http://schemas.openxmlformats.org/officeDocument/2006/relationships/hyperlink" Target="https://www.datacenterdynamics.com/en/news/application-for-13bn-data-center-in-chesterton-indiana-withdrawn/" TargetMode="External"/><Relationship Id="rId602" Type="http://schemas.openxmlformats.org/officeDocument/2006/relationships/hyperlink" Target="https://www.wspynews.com/news/local/cyrusone-proposes-second-yorkville-data-center-campus/article_2bc2768f-42c9-469f-80cf-f057a490fa1b.html" TargetMode="External"/><Relationship Id="rId601" Type="http://schemas.openxmlformats.org/officeDocument/2006/relationships/hyperlink" Target="https://www.datacenterdynamics.com/en/news/cyrusone-gets-go-ahead-for-data-center-in-sangamon-illinois/" TargetMode="External"/><Relationship Id="rId600" Type="http://schemas.openxmlformats.org/officeDocument/2006/relationships/hyperlink" Target="https://www.illinoistimes.com/news/first-data-center-in-sangamon-county/" TargetMode="External"/><Relationship Id="rId606" Type="http://schemas.openxmlformats.org/officeDocument/2006/relationships/hyperlink" Target="https://www.datacenterdynamics.com/en/news/105m-data-center-could-be-built-in-charlestown-indiana/" TargetMode="External"/><Relationship Id="rId605" Type="http://schemas.openxmlformats.org/officeDocument/2006/relationships/hyperlink" Target="https://www.wdrb.com/news/neighbors-warn-proposed-105m-charlestown-data-center-could-bring-increased-noise-traffic/article_98004a9f-df7b-4cc5-a18c-d44584c5bc7f.html" TargetMode="External"/><Relationship Id="rId604" Type="http://schemas.openxmlformats.org/officeDocument/2006/relationships/hyperlink" Target="https://www.expedient.com/data-centers/indianapolis/" TargetMode="External"/><Relationship Id="rId603" Type="http://schemas.openxmlformats.org/officeDocument/2006/relationships/hyperlink" Target="https://www.shawlocal.com/kendall-county-now/2025/09/19/new-data-center-proposal-in-yorkville-more-than-4-times-the-size-of-niu-football-complex/" TargetMode="External"/><Relationship Id="rId2760" Type="http://schemas.openxmlformats.org/officeDocument/2006/relationships/hyperlink" Target="https://www.fredericksburgfreepress.com/2025/01/22/biz-beat-roundup-more-data-centers-proposed-in-stafford/" TargetMode="External"/><Relationship Id="rId1430" Type="http://schemas.openxmlformats.org/officeDocument/2006/relationships/hyperlink" Target="https://www.datacenterdynamics.com/en/news/muhlenberg-ohio-introduces-year-long-moratorium-on-new-data-centers/" TargetMode="External"/><Relationship Id="rId2761" Type="http://schemas.openxmlformats.org/officeDocument/2006/relationships/hyperlink" Target="https://va-stafford-assessor.publicaccessnow.com/PropertySearch/PropertyDetails.aspx?p=38%20%20%20%20%20%20%20%2068&amp;a=23899" TargetMode="External"/><Relationship Id="rId1431" Type="http://schemas.openxmlformats.org/officeDocument/2006/relationships/hyperlink" Target="https://epoch.ai/data/data-centers/satellite-explorer/GoogleNewAlbanyOhio?ref=404media.co" TargetMode="External"/><Relationship Id="rId2762" Type="http://schemas.openxmlformats.org/officeDocument/2006/relationships/hyperlink" Target="https://www.fxbgadvance.com/p/developer-seeks-rezoning-for-79-million" TargetMode="External"/><Relationship Id="rId1432" Type="http://schemas.openxmlformats.org/officeDocument/2006/relationships/hyperlink" Target="https://www.datacenterdynamics.com/en/news/facebook-launches-ohio-data-center/" TargetMode="External"/><Relationship Id="rId2763" Type="http://schemas.openxmlformats.org/officeDocument/2006/relationships/hyperlink" Target="https://va-stafford-assessor.publicaccessnow.com/PropertySearch/PropertyDetails.aspx?p=29%20%20%20%20%20%20%20%2082&amp;a=18107" TargetMode="External"/><Relationship Id="rId1422" Type="http://schemas.openxmlformats.org/officeDocument/2006/relationships/hyperlink" Target="https://www.datacenterdynamics.com/en/news/fire-damages-two-building-at-bitdeers-ohio-bitcoin-mine-construction-site/" TargetMode="External"/><Relationship Id="rId2753" Type="http://schemas.openxmlformats.org/officeDocument/2006/relationships/hyperlink" Target="https://www.datacenterdynamics.com/en/news/new-29-million-sq-ft-technology-park-proposed-in-spotsylvania-county-virginia/" TargetMode="External"/><Relationship Id="rId1423" Type="http://schemas.openxmlformats.org/officeDocument/2006/relationships/hyperlink" Target="https://www.dispatch.com/story/news/2025/05/30/vantage-data-center-campus-millersport-ohio-tech/83921180007/" TargetMode="External"/><Relationship Id="rId2754" Type="http://schemas.openxmlformats.org/officeDocument/2006/relationships/hyperlink" Target="https://www.datacenterdynamics.com/en/news/powerhouse-plans-800mw-campus-in-virginias-spotsylvania-county/" TargetMode="External"/><Relationship Id="rId1424" Type="http://schemas.openxmlformats.org/officeDocument/2006/relationships/hyperlink" Target="https://www.nbc4i.com/news/local-news/fairfield-county/some-residents-hesitant-about-new-1-billion-data-center-headed-for-central-ohio/" TargetMode="External"/><Relationship Id="rId2755" Type="http://schemas.openxmlformats.org/officeDocument/2006/relationships/hyperlink" Target="https://www.fairfaxcounty.gov/planning-development/sites/planning-development/files/Assets/Documents/PDF/data-centers-report.pdf" TargetMode="External"/><Relationship Id="rId1425" Type="http://schemas.openxmlformats.org/officeDocument/2006/relationships/hyperlink" Target="https://cleanview.co/public/data-centers/ohio/1895/j5-piqua-data-center" TargetMode="External"/><Relationship Id="rId2756" Type="http://schemas.openxmlformats.org/officeDocument/2006/relationships/hyperlink" Target="https://icare.fairfaxcounty.gov/ffxcare/Datalets/Datalet.aspx?mode=&amp;UseSearch=no&amp;pin=0992%2001%20%200008A&amp;jur=129&amp;taxyr=2025" TargetMode="External"/><Relationship Id="rId1426" Type="http://schemas.openxmlformats.org/officeDocument/2006/relationships/hyperlink" Target="https://www.nbc4i.com/news/local-news/fairfield-county/2-1-billion-vantage-data-center-announced-for-fairfield-county/" TargetMode="External"/><Relationship Id="rId2757" Type="http://schemas.openxmlformats.org/officeDocument/2006/relationships/hyperlink" Target="https://icare.fairfaxcounty.gov/ffxcare/Datalets/Datalet.aspx?mode=&amp;UseSearch=no&amp;pin=0991%2012%20%200010&amp;jur=129&amp;taxyr=2025" TargetMode="External"/><Relationship Id="rId1427" Type="http://schemas.openxmlformats.org/officeDocument/2006/relationships/hyperlink" Target="https://www.noawdatacenters.org/" TargetMode="External"/><Relationship Id="rId2758" Type="http://schemas.openxmlformats.org/officeDocument/2006/relationships/hyperlink" Target="https://cdn.staffordcountyva.gov/Planning%20and%20Zoning/Development%20Review%20Meetings-Applications/December%202024/Accokeek%20Reclass/4-%20%20Generalized%20Development%20Plan%20(GDP)%20-%20Accokeek%20Center.pdf" TargetMode="External"/><Relationship Id="rId1428" Type="http://schemas.openxmlformats.org/officeDocument/2006/relationships/hyperlink" Target="https://www.toledoblade.com/local/suburbs/2026/03/16/monclova-township-residents-wary-prospective-data-centers-backyard/stories/20260316097" TargetMode="External"/><Relationship Id="rId2759" Type="http://schemas.openxmlformats.org/officeDocument/2006/relationships/hyperlink" Target="https://va-stafford-assessor.publicaccessnow.com/PropertySearch/PropertyDetails.aspx?p=38%20%20%20%20%20%20%20%2096&amp;a=23952" TargetMode="External"/><Relationship Id="rId1429" Type="http://schemas.openxmlformats.org/officeDocument/2006/relationships/hyperlink" Target="https://www.change.org/p/muhlenberg-twp-and-community-against-data-center-and-or-power-distribution-build" TargetMode="External"/><Relationship Id="rId2750" Type="http://schemas.openxmlformats.org/officeDocument/2006/relationships/hyperlink" Target="https://reparcelasmt.loudoun.gov/pt/datalets/datalet.aspx?mode=profileall&amp;UseSearch=no&amp;pin=097398776000&amp;jur=107&amp;taxyr=2024&amp;LMparent=20" TargetMode="External"/><Relationship Id="rId1420" Type="http://schemas.openxmlformats.org/officeDocument/2006/relationships/hyperlink" Target="https://actionnetwork.org/petitions/petition-to-stop-the-data-center-from-being-built-in-p-35" TargetMode="External"/><Relationship Id="rId2751" Type="http://schemas.openxmlformats.org/officeDocument/2006/relationships/hyperlink" Target="https://www.spotsylvania.va.us/DocumentCenter/View/24117/Executed-Proffer-Statement-" TargetMode="External"/><Relationship Id="rId1421" Type="http://schemas.openxmlformats.org/officeDocument/2006/relationships/hyperlink" Target="https://www.datacenterdynamics.com/en/news/amazon-eyes-another-data-center-campus-outside-columbus-ohio/" TargetMode="External"/><Relationship Id="rId2752" Type="http://schemas.openxmlformats.org/officeDocument/2006/relationships/hyperlink" Target="https://gis.spotsylvania.va.us/spotsylvania/" TargetMode="External"/><Relationship Id="rId699" Type="http://schemas.openxmlformats.org/officeDocument/2006/relationships/hyperlink" Target="https://www.portercountyin.gov/DocumentCenter/View/51340/Neighborhood-Meeting-County-Presentation-Post" TargetMode="External"/><Relationship Id="rId698" Type="http://schemas.openxmlformats.org/officeDocument/2006/relationships/hyperlink" Target="https://www.datacenterdynamics.com/en/news/qts-cans-data-center-scheme-in-porter-county-indiana-after-protests/" TargetMode="External"/><Relationship Id="rId693" Type="http://schemas.openxmlformats.org/officeDocument/2006/relationships/hyperlink" Target="https://www.datacenterdynamics.com/en/news/radiusdc-announces-24mw-data-center-campus-outside-indianapolis-indiana/" TargetMode="External"/><Relationship Id="rId692" Type="http://schemas.openxmlformats.org/officeDocument/2006/relationships/hyperlink" Target="https://www.datacenterdynamics.com/en/news/radiusdc-looks-to-build-two-data-centers-outside-indianapolis-indiana/" TargetMode="External"/><Relationship Id="rId691" Type="http://schemas.openxmlformats.org/officeDocument/2006/relationships/hyperlink" Target="https://www.change.org/p/stop-the-construction-of-a-data-center-in-plainfield-indiana" TargetMode="External"/><Relationship Id="rId690" Type="http://schemas.openxmlformats.org/officeDocument/2006/relationships/hyperlink" Target="https://epoch.ai/data/data-centers/satellite-explorer/AnthropicAmazonProjectRainierNewCarlisleIndiana?ref=404media.co" TargetMode="External"/><Relationship Id="rId697" Type="http://schemas.openxmlformats.org/officeDocument/2006/relationships/hyperlink" Target="https://www.portercountyin.gov/DocumentCenter/View/51340/Neighborhood-Meeting-County-Presentation-Post" TargetMode="External"/><Relationship Id="rId696" Type="http://schemas.openxmlformats.org/officeDocument/2006/relationships/hyperlink" Target="https://www.datacenterdynamics.com/en/news/industrial-real-estate-giant-prologis-is-planning-a-large-data-center-development-in-illinois-first-reported-by-local-news-including-shelbyville-news-and-fox-prologis-is-filing-to-develop-a-campus-in-the-city-of-shelbyville-in-central-illinois-lorm/" TargetMode="External"/><Relationship Id="rId695" Type="http://schemas.openxmlformats.org/officeDocument/2006/relationships/hyperlink" Target="https://www.change.org/p/halt-the-annexation-and-rezoning-of-429-acres-in-shelbyville-in" TargetMode="External"/><Relationship Id="rId694" Type="http://schemas.openxmlformats.org/officeDocument/2006/relationships/hyperlink" Target="https://www.datacenterdynamics.com/en/news/provident-realty-proposes-seven-building-campus-in-burns-harbor-indiana/" TargetMode="External"/><Relationship Id="rId1499" Type="http://schemas.openxmlformats.org/officeDocument/2006/relationships/hyperlink" Target="https://www.datacenterdynamics.com/en/news/beale-infrastructure-plans-second-data-center-campus-outside-tucson-arizona-and-two-outside-tulsa-oklahoma/" TargetMode="External"/><Relationship Id="rId668" Type="http://schemas.openxmlformats.org/officeDocument/2006/relationships/hyperlink" Target="https://www.insideindianabusiness.com/articles/michigan-city-mayor-shuts-down-talk-of-data-center-project" TargetMode="External"/><Relationship Id="rId667" Type="http://schemas.openxmlformats.org/officeDocument/2006/relationships/hyperlink" Target="https://indianaeconomicdigest.net/Content/Default/Major-Indiana-News/Article/-832-million-data-center-proposed-for-LaPorte-County/-3/5308/119418" TargetMode="External"/><Relationship Id="rId666" Type="http://schemas.openxmlformats.org/officeDocument/2006/relationships/hyperlink" Target="https://dailyjournal.net/2025/06/26/iedc-board-approves-incentives-for-four-planned-data-center-projects/" TargetMode="External"/><Relationship Id="rId665" Type="http://schemas.openxmlformats.org/officeDocument/2006/relationships/hyperlink" Target="https://www.datacenterdynamics.com/en/news/nine-building-data-center-campus-proposed-in-northwest-indiana/" TargetMode="External"/><Relationship Id="rId669" Type="http://schemas.openxmlformats.org/officeDocument/2006/relationships/hyperlink" Target="https://www.datacenterdynamics.com/en/news/no-plans-to-pursue-832m-project-maize-data-center-says-michigan-city-mayor/" TargetMode="External"/><Relationship Id="rId1490" Type="http://schemas.openxmlformats.org/officeDocument/2006/relationships/hyperlink" Target="https://okcfox.com/news/local/an-enormous-concern-luther-residents-concerned-over-potential-data-center-in-their-town-ai" TargetMode="External"/><Relationship Id="rId660" Type="http://schemas.openxmlformats.org/officeDocument/2006/relationships/hyperlink" Target="https://www.whas11.com/article/news/local/southern-indiana-data-center-farm-selling-land/417-474f70f2-c68b-42b3-ac69-e28680fb66d3" TargetMode="External"/><Relationship Id="rId1491" Type="http://schemas.openxmlformats.org/officeDocument/2006/relationships/hyperlink" Target="https://www.news9.com/oklahoma-city-news/luther-residents-oppose-data-center" TargetMode="External"/><Relationship Id="rId1492" Type="http://schemas.openxmlformats.org/officeDocument/2006/relationships/hyperlink" Target="https://www.datacenterdynamics.com/en/news/cerebras-opens-10mw-data-center-in-oklahoma-city/" TargetMode="External"/><Relationship Id="rId1493" Type="http://schemas.openxmlformats.org/officeDocument/2006/relationships/hyperlink" Target="https://kfor.com/news/local/new-tornado-proof-data-center-in-okc/" TargetMode="External"/><Relationship Id="rId1494" Type="http://schemas.openxmlformats.org/officeDocument/2006/relationships/hyperlink" Target="https://www.youtube.com/watch?v=0-sxYsKe6co&amp;ab_channel=KOKH-FOX25" TargetMode="External"/><Relationship Id="rId664" Type="http://schemas.openxmlformats.org/officeDocument/2006/relationships/hyperlink" Target="https://www.govtech.com/artificial-intelligence/2b-in-data-center-projects-planned-for-merrillville-ind" TargetMode="External"/><Relationship Id="rId1495" Type="http://schemas.openxmlformats.org/officeDocument/2006/relationships/hyperlink" Target="https://tulsaflyer.org/2026/01/06/government/post/dozens-coweta-residents-speak-out-against-data-center/" TargetMode="External"/><Relationship Id="rId663" Type="http://schemas.openxmlformats.org/officeDocument/2006/relationships/hyperlink" Target="https://www.wthr.com/article/money/business/application-withdrawn-surge-development-hancock-county-greenfield-data-center-tuttle-orchards/531-48204cbc-eba5-4666-bd66-6e88cb6d2412" TargetMode="External"/><Relationship Id="rId1496" Type="http://schemas.openxmlformats.org/officeDocument/2006/relationships/hyperlink" Target="https://www.facebook.com/groups/831852505867215/posts/938898438495954/" TargetMode="External"/><Relationship Id="rId662" Type="http://schemas.openxmlformats.org/officeDocument/2006/relationships/hyperlink" Target="https://www.wthr.com/article/news/local/public-meeting-set-for-proposed-data-center-campus-in-rural-hancock-county-tuttle-orchards/531-83634bf4-6c95-4d7a-994c-ea114fa0de2c" TargetMode="External"/><Relationship Id="rId1497" Type="http://schemas.openxmlformats.org/officeDocument/2006/relationships/hyperlink" Target="https://www.change.org/p/stop-the-data-center-from-coming-to-coweta-ok" TargetMode="External"/><Relationship Id="rId661" Type="http://schemas.openxmlformats.org/officeDocument/2006/relationships/hyperlink" Target="https://www.jeffersoncounty.in.gov/m/newsflash/home/detail/170" TargetMode="External"/><Relationship Id="rId1498" Type="http://schemas.openxmlformats.org/officeDocument/2006/relationships/hyperlink" Target="https://www.datacenterdynamics.com/en/news/beale-infrastructure-in-talks-to-build-data-center-campus-outside-tulsa-oklahoma/" TargetMode="External"/><Relationship Id="rId1488" Type="http://schemas.openxmlformats.org/officeDocument/2006/relationships/hyperlink" Target="https://www.okenergytoday.com/2026/01/luther-residents-rally-against-a-proposed-data-center/" TargetMode="External"/><Relationship Id="rId1489" Type="http://schemas.openxmlformats.org/officeDocument/2006/relationships/hyperlink" Target="https://www.datacenterdynamics.com/en/news/data-center-proposal-in-luther-oklahoma-faces-opposition-prior-to-official-filing/" TargetMode="External"/><Relationship Id="rId657" Type="http://schemas.openxmlformats.org/officeDocument/2006/relationships/hyperlink" Target="https://www.datacenterdynamics.com/en/news/meta-announces-1gw-data-center-campus-in-indiana/" TargetMode="External"/><Relationship Id="rId656" Type="http://schemas.openxmlformats.org/officeDocument/2006/relationships/hyperlink" Target="https://fox59.com/indiana-news/metas-1500-acre-data-center-marches-forward-in-lebanon/" TargetMode="External"/><Relationship Id="rId655" Type="http://schemas.openxmlformats.org/officeDocument/2006/relationships/hyperlink" Target="https://www.datacenterdynamics.com/en/news/meta-set-to-develop-1500-acre-data-center-campus-outside-indianapolis-indiana/" TargetMode="External"/><Relationship Id="rId654" Type="http://schemas.openxmlformats.org/officeDocument/2006/relationships/hyperlink" Target="https://www.datacenterdynamics.com/en/news/microsoft-breaks-ground-on-data-center-campus-in-la-porte-indiana/" TargetMode="External"/><Relationship Id="rId659" Type="http://schemas.openxmlformats.org/officeDocument/2006/relationships/hyperlink" Target="https://wsbt.com/news/local/proposed-data-center-kosciusko-county-denied-planning-commission-rezone-550-acres-farmland-mystery-company-project-property-facility-people-crowd-signatures-petitioner-transmission-power-bolt-lines-indiana" TargetMode="External"/><Relationship Id="rId658" Type="http://schemas.openxmlformats.org/officeDocument/2006/relationships/hyperlink" Target="https://www.datacenterdynamics.com/en/news/prologis-data-center-proposal-in-kosciusko-county-indiana-denied/" TargetMode="External"/><Relationship Id="rId1480" Type="http://schemas.openxmlformats.org/officeDocument/2006/relationships/hyperlink" Target="https://www.datacenterdynamics.com/en/news/developer-withdraws-plans-to-build-second-phase-of-500-acre-data-center-in-tulsa-oklahoma/" TargetMode="External"/><Relationship Id="rId1481" Type="http://schemas.openxmlformats.org/officeDocument/2006/relationships/hyperlink" Target="https://ktul.com/news/local/claremore-residents-speak-out-against-project-mustang-data-center" TargetMode="External"/><Relationship Id="rId1482" Type="http://schemas.openxmlformats.org/officeDocument/2006/relationships/hyperlink" Target="https://www.change.org/p/ban-ai-data-centers-in-rogers-county-permanently" TargetMode="External"/><Relationship Id="rId1483" Type="http://schemas.openxmlformats.org/officeDocument/2006/relationships/hyperlink" Target="https://www.datacenterdynamics.com/en/news/beale-infrastructure-in-talks-to-build-data-center-campus-outside-tulsa-oklahoma/" TargetMode="External"/><Relationship Id="rId653" Type="http://schemas.openxmlformats.org/officeDocument/2006/relationships/hyperlink" Target="https://www.datacenterdynamics.com/en/news/microsoft-expands-plans-for-la-porte-indiana-data-center-campus/" TargetMode="External"/><Relationship Id="rId1484" Type="http://schemas.openxmlformats.org/officeDocument/2006/relationships/hyperlink" Target="https://morestartshere.com/site-selection/claremore-industrial-park/" TargetMode="External"/><Relationship Id="rId652" Type="http://schemas.openxmlformats.org/officeDocument/2006/relationships/hyperlink" Target="https://www.wndu.com/2024/06/04/1-billion-microsoft-data-center-coming-laporte/" TargetMode="External"/><Relationship Id="rId1485" Type="http://schemas.openxmlformats.org/officeDocument/2006/relationships/hyperlink" Target="https://constructionreviewonline.com/beale-infrastructure-in-talks-to-build-project-mustang-data-center-campus-outside-tulsa-oklahoma/" TargetMode="External"/><Relationship Id="rId651" Type="http://schemas.openxmlformats.org/officeDocument/2006/relationships/hyperlink" Target="https://www.datacenterdynamics.com/en/news/meta-announces-1gw-data-center-campus-in-indiana/" TargetMode="External"/><Relationship Id="rId1486" Type="http://schemas.openxmlformats.org/officeDocument/2006/relationships/hyperlink" Target="https://epoch.ai/data/data-centers/satellite-explorer/GooglePryorOklahoma?ref=404media.co" TargetMode="External"/><Relationship Id="rId650" Type="http://schemas.openxmlformats.org/officeDocument/2006/relationships/hyperlink" Target="https://www.datacenterdynamics.com/en/news/meta-to-develop-data-center-campus-in-jeffersonville-indiana/" TargetMode="External"/><Relationship Id="rId1487" Type="http://schemas.openxmlformats.org/officeDocument/2006/relationships/hyperlink" Target="https://docs.google.com/spreadsheets/d/1t7cRs2OukCKSz88qEnyF7vlGWdgY5MpVOLcd79nFdnQ/edit?gid=2132985834" TargetMode="External"/><Relationship Id="rId689" Type="http://schemas.openxmlformats.org/officeDocument/2006/relationships/hyperlink" Target="https://www.aboutamazon.com/news/aws/aws-project-rainier-ai-trainium-chips-compute-cluster" TargetMode="External"/><Relationship Id="rId688" Type="http://schemas.openxmlformats.org/officeDocument/2006/relationships/hyperlink" Target="https://rbnenergy.com/i-know-places-tech-giants-may-be-the-surest-bets-for-data-center-power-demand" TargetMode="External"/><Relationship Id="rId687" Type="http://schemas.openxmlformats.org/officeDocument/2006/relationships/hyperlink" Target="https://www.insideindianabusiness.com/articles/new-data-center-project-being-proposed-for-new-carlisle" TargetMode="External"/><Relationship Id="rId682" Type="http://schemas.openxmlformats.org/officeDocument/2006/relationships/hyperlink" Target="https://www.wndu.com/2025/10/29/proposed-12-billion-data-center-gets-unfavorable-recommendation-st-joe-county-committee/" TargetMode="External"/><Relationship Id="rId681" Type="http://schemas.openxmlformats.org/officeDocument/2006/relationships/hyperlink" Target="https://indianaeconomicdigest.net/Content/Default/Major-Indiana-News/Article/-12-billion-data-center-proposed-in-New-Carlisle-in-St-Joseph-County/-3/5308/119966" TargetMode="External"/><Relationship Id="rId680" Type="http://schemas.openxmlformats.org/officeDocument/2006/relationships/hyperlink" Target="https://www.wndu.com/2025/09/16/proposed-12-billion-data-center-st-joseph-county-gets-unfavorable-recommendation/" TargetMode="External"/><Relationship Id="rId686" Type="http://schemas.openxmlformats.org/officeDocument/2006/relationships/hyperlink" Target="https://wsbt.com/news/local/st-joseph-county-council-members-discuss-rezoning-1000-acres-land-plot-north-new-carlisle-agricultural-industrial-change-pave-way-new-data-center-amazon-proposal-project-petitioners-public-request-rezoning-timothy-spruce-road-indiana" TargetMode="External"/><Relationship Id="rId685" Type="http://schemas.openxmlformats.org/officeDocument/2006/relationships/hyperlink" Target="https://baxtel.com/data-center/amazon-new-carlisle-in?lat=41.68406491925343&amp;lng=-86.47056731272178&amp;distance=1750.2145393378237" TargetMode="External"/><Relationship Id="rId684" Type="http://schemas.openxmlformats.org/officeDocument/2006/relationships/hyperlink" Target="https://wsbt.com/news/local/st-joseph-county-council-denies-rezoning-of-land-for-data-center-votes-7-2-marathon-meeting-hours-long-public-opinion-13-billion-dollar-project-amazon-new-carlisle-approval-process-plan-commission-st-joseph-county-indiana" TargetMode="External"/><Relationship Id="rId683" Type="http://schemas.openxmlformats.org/officeDocument/2006/relationships/hyperlink" Target="https://www.wndu.com/2025/10/23/new-carlisle-town-council-opposes-proposed-12-billion-data-center/" TargetMode="External"/><Relationship Id="rId679" Type="http://schemas.openxmlformats.org/officeDocument/2006/relationships/hyperlink" Target="https://wsbt.com/news/local/new-data-center-receives-unfavorable-recommendation-st-joseph-county-area-plan-commission-farm-land-12-billion-dollar-project-indiana" TargetMode="External"/><Relationship Id="rId678" Type="http://schemas.openxmlformats.org/officeDocument/2006/relationships/hyperlink" Target="https://www.indystar.com/story/news/local/marion-county/2025/09/22/google-withdraws-controversial-data-center-in-franklin-township-indianapolis-city-county-council/86165695007/" TargetMode="External"/><Relationship Id="rId677" Type="http://schemas.openxmlformats.org/officeDocument/2006/relationships/hyperlink" Target="https://www.wishtv.com/news/i-team-8/google-data-center-franklin-township/" TargetMode="External"/><Relationship Id="rId676" Type="http://schemas.openxmlformats.org/officeDocument/2006/relationships/hyperlink" Target="https://www.datacenterdynamics.com/en/news/google-gets-approval-for-data-center-campus-in-franklin-township-indiana/" TargetMode="External"/><Relationship Id="rId671" Type="http://schemas.openxmlformats.org/officeDocument/2006/relationships/hyperlink" Target="https://www.datacenterdynamics.com/en/news/391-acre-data-center-campus-proposed-in-morgan-county-indiana/" TargetMode="External"/><Relationship Id="rId670" Type="http://schemas.openxmlformats.org/officeDocument/2006/relationships/hyperlink" Target="https://www.datacenterdynamics.com/en/news/google-takes-over-project-maize-data-center-campus-in-michigan-city-indiana/" TargetMode="External"/><Relationship Id="rId675" Type="http://schemas.openxmlformats.org/officeDocument/2006/relationships/hyperlink" Target="https://www.wthr.com/article/news/local/indiana-growing-data-center-industry-sparks-concerns-over-environmental-and-economic-impact/531-b8d36bba-91f7-446d-af05-ed79fee1dad8" TargetMode="External"/><Relationship Id="rId674" Type="http://schemas.openxmlformats.org/officeDocument/2006/relationships/hyperlink" Target="https://www.wthr.com/article/news/local/how-franklin-township-residents-can-learn-more-about-a-proposed-data-center-indianapolis/531-09357d99-247e-46e7-b9a4-b43d01cef1da" TargetMode="External"/><Relationship Id="rId673" Type="http://schemas.openxmlformats.org/officeDocument/2006/relationships/hyperlink" Target="https://www.wthr.com/article/news/local/franklin-township-data-center-plan-rezoning/531-790888f0-3aca-4dec-baa0-f47fc350f2c0" TargetMode="External"/><Relationship Id="rId672" Type="http://schemas.openxmlformats.org/officeDocument/2006/relationships/hyperlink" Target="https://dailyjournal.net/2025/06/26/iedc-board-approves-incentives-for-four-planned-data-center-projects/" TargetMode="External"/><Relationship Id="rId190" Type="http://schemas.openxmlformats.org/officeDocument/2006/relationships/hyperlink" Target="https://www.datacenterdynamics.com/en/news/50mw-data-center-could-be-built-in-colorado-springs/" TargetMode="External"/><Relationship Id="rId194" Type="http://schemas.openxmlformats.org/officeDocument/2006/relationships/hyperlink" Target="https://www.ges-coalition.org/" TargetMode="External"/><Relationship Id="rId193" Type="http://schemas.openxmlformats.org/officeDocument/2006/relationships/hyperlink" Target="https://www.coresite.com/news/coresite-achieves-key-construction-milestone-for-new-de3-data-center-in-denver" TargetMode="External"/><Relationship Id="rId192" Type="http://schemas.openxmlformats.org/officeDocument/2006/relationships/hyperlink" Target="https://www.coresite.com/news/coresite-achieves-key-construction-milestone-for-new-de3-data-center-in-denver" TargetMode="External"/><Relationship Id="rId191" Type="http://schemas.openxmlformats.org/officeDocument/2006/relationships/hyperlink" Target="https://www.datacenterdynamics.com/en/news/50mw-project-taurus-data-center-gets-go-ahead-in-colorado/" TargetMode="External"/><Relationship Id="rId187" Type="http://schemas.openxmlformats.org/officeDocument/2006/relationships/hyperlink" Target="https://www.youtube.com/watch?v=T-UnB0MIz3g" TargetMode="External"/><Relationship Id="rId186" Type="http://schemas.openxmlformats.org/officeDocument/2006/relationships/hyperlink" Target="https://inflect.com/building/1780-jet-stream-drive-colorado-springs/uniti/datacenter/colorado-springs" TargetMode="External"/><Relationship Id="rId185" Type="http://schemas.openxmlformats.org/officeDocument/2006/relationships/hyperlink" Target="https://invest.jll.com/us/en/listings/special-purpose-facility/8-asset-switch-portfolio" TargetMode="External"/><Relationship Id="rId184" Type="http://schemas.openxmlformats.org/officeDocument/2006/relationships/hyperlink" Target="https://www.expedient.com/data-centers/denver/" TargetMode="External"/><Relationship Id="rId189" Type="http://schemas.openxmlformats.org/officeDocument/2006/relationships/hyperlink" Target="https://www.facebook.com/groups/942876081944302/" TargetMode="External"/><Relationship Id="rId188" Type="http://schemas.openxmlformats.org/officeDocument/2006/relationships/hyperlink" Target="https://www.nodatacentercos.com" TargetMode="External"/><Relationship Id="rId183" Type="http://schemas.openxmlformats.org/officeDocument/2006/relationships/hyperlink" Target="https://www.cpr.org/2026/07/08/qts-aurora-data-center-diesel-generators/" TargetMode="External"/><Relationship Id="rId182" Type="http://schemas.openxmlformats.org/officeDocument/2006/relationships/hyperlink" Target="https://www.ocolo.io/colocation/qts-data-centers/aurora-denver-campus/" TargetMode="External"/><Relationship Id="rId181" Type="http://schemas.openxmlformats.org/officeDocument/2006/relationships/hyperlink" Target="https://q.com/data-centers/denver/" TargetMode="External"/><Relationship Id="rId180" Type="http://schemas.openxmlformats.org/officeDocument/2006/relationships/hyperlink" Target="https://www.datacenterdynamics.com/en/news/digital-realty-buys-land-in-los-angeles-for-32mw-data-center/" TargetMode="External"/><Relationship Id="rId176" Type="http://schemas.openxmlformats.org/officeDocument/2006/relationships/hyperlink" Target="https://www.cerebras.ai/press-release/cerebras-announces-six-new-ai-datacenters-across-north-america-and-europe-to-deliver-industry-s" TargetMode="External"/><Relationship Id="rId175" Type="http://schemas.openxmlformats.org/officeDocument/2006/relationships/hyperlink" Target="https://www.cerebras.ai/press-release/cerebras-announces-six-new-ai-datacenters-across-north-america-and-europe-to-deliver-industry-s" TargetMode="External"/><Relationship Id="rId174" Type="http://schemas.openxmlformats.org/officeDocument/2006/relationships/hyperlink" Target="https://www.datacenterdynamics.com/en/news/coresite-acquires-silicon-valley-office-property-zoned-for-data-center-redevelopment/" TargetMode="External"/><Relationship Id="rId173" Type="http://schemas.openxmlformats.org/officeDocument/2006/relationships/hyperlink" Target="https://www.datacenterdynamics.com/en/news/edgecore-opens-silicon-valley-data-center/" TargetMode="External"/><Relationship Id="rId179" Type="http://schemas.openxmlformats.org/officeDocument/2006/relationships/hyperlink" Target="https://www.datacenterdynamics.com/en/news/canadas-beacon-dc-targets-275mw-data-center-campus-on-california-oil-field/" TargetMode="External"/><Relationship Id="rId178" Type="http://schemas.openxmlformats.org/officeDocument/2006/relationships/hyperlink" Target="https://www.datacenterdynamics.com/en/news/menlo-equities-pivots-office-site-in-silicon-valley-to-data-center-development/" TargetMode="External"/><Relationship Id="rId177" Type="http://schemas.openxmlformats.org/officeDocument/2006/relationships/hyperlink" Target="https://www.datacenterdynamics.com/en/news/cerebras-plans-six-new-ai-data-centers-in-north-america-and-europe/" TargetMode="External"/><Relationship Id="rId198" Type="http://schemas.openxmlformats.org/officeDocument/2006/relationships/hyperlink" Target="https://www.coloradopolitics.com/2026/02/25/denvers-elyria-swansea-residents-fight-new-data-center/" TargetMode="External"/><Relationship Id="rId197" Type="http://schemas.openxmlformats.org/officeDocument/2006/relationships/hyperlink" Target="https://www.coresite.com/news/coresite-achieves-key-construction-milestone-for-new-de3-data-center-in-denver" TargetMode="External"/><Relationship Id="rId196" Type="http://schemas.openxmlformats.org/officeDocument/2006/relationships/hyperlink" Target="https://www.cpr.org/2025/10/14/ai-air-quality-impact/" TargetMode="External"/><Relationship Id="rId195" Type="http://schemas.openxmlformats.org/officeDocument/2006/relationships/hyperlink" Target="https://www.denver7.com/money/science-and-tech/ai-data-center-could-use-more-power-than-dia-leaving-neighbors-worried-about-power-and-water-bills" TargetMode="External"/><Relationship Id="rId199" Type="http://schemas.openxmlformats.org/officeDocument/2006/relationships/hyperlink" Target="https://www.datacenterdynamics.com/en/news/cielo-digital-infrastructure-plans-300mw-data-center-campus-in-south-carolina/" TargetMode="External"/><Relationship Id="rId150" Type="http://schemas.openxmlformats.org/officeDocument/2006/relationships/hyperlink" Target="https://www.pasadenastarnews.com/2026/04/01/developer-withdraws-monterey-park-data-center-project-after-community-pushback/" TargetMode="External"/><Relationship Id="rId149" Type="http://schemas.openxmlformats.org/officeDocument/2006/relationships/hyperlink" Target="https://www.sfgate.com/tech/article/monterey-park-data-center-21958037.php" TargetMode="External"/><Relationship Id="rId148" Type="http://schemas.openxmlformats.org/officeDocument/2006/relationships/hyperlink" Target="https://www.montereypark.ca.gov/1710/Data-Center-Information" TargetMode="External"/><Relationship Id="rId143" Type="http://schemas.openxmlformats.org/officeDocument/2006/relationships/hyperlink" Target="https://www.facebook.com/groups/1373626604509288/" TargetMode="External"/><Relationship Id="rId142" Type="http://schemas.openxmlformats.org/officeDocument/2006/relationships/hyperlink" Target="https://www.datacenterdynamics.com/en/news/newyork-greencloud-acquires-californian-biomass-facility-for-carbon-negative-ai-data-center/" TargetMode="External"/><Relationship Id="rId141" Type="http://schemas.openxmlformats.org/officeDocument/2006/relationships/hyperlink" Target="https://www.datacenterdynamics.com/en/news/99mw-data-center-proposed-in-kern-county-california/" TargetMode="External"/><Relationship Id="rId140" Type="http://schemas.openxmlformats.org/officeDocument/2006/relationships/hyperlink" Target="https://www.change.org/p/sign-the-petition-to-stop-the-rb-inyokern-data-center" TargetMode="External"/><Relationship Id="rId147" Type="http://schemas.openxmlformats.org/officeDocument/2006/relationships/hyperlink" Target="https://www.datacenterdynamics.com/en/news/proposal-for-250000-sq-ft-data-center-in-monterey-park-california-facing-opposition/" TargetMode="External"/><Relationship Id="rId146" Type="http://schemas.openxmlformats.org/officeDocument/2006/relationships/hyperlink" Target="https://www.theguardian.com/us-news/2026/feb/07/california-monterey-park-stop-datacenter-construction" TargetMode="External"/><Relationship Id="rId145" Type="http://schemas.openxmlformats.org/officeDocument/2006/relationships/hyperlink" Target="https://actionnetwork.org/petitions/no-data-centers-in-monterey-park?source=direct_link&amp;" TargetMode="External"/><Relationship Id="rId144" Type="http://schemas.openxmlformats.org/officeDocument/2006/relationships/hyperlink" Target="https://www.nodatacentermpk.org/" TargetMode="External"/><Relationship Id="rId139" Type="http://schemas.openxmlformats.org/officeDocument/2006/relationships/hyperlink" Target="https://www.kpbs.org/news/environment/2026/04/07/imperial-county-supervisors-clear-path-for-massive-data-center-complex-amid-fierce-opposition?utm_source=substack&amp;utm_medium=email" TargetMode="External"/><Relationship Id="rId138" Type="http://schemas.openxmlformats.org/officeDocument/2006/relationships/hyperlink" Target="https://www.kpbs.org/news/environment/2026/01/21/the-plan-to-build-a-massive-data-center-in-imperial-county-without-environmental-review" TargetMode="External"/><Relationship Id="rId137" Type="http://schemas.openxmlformats.org/officeDocument/2006/relationships/hyperlink" Target="https://www.imperialdatacenter.com/" TargetMode="External"/><Relationship Id="rId132" Type="http://schemas.openxmlformats.org/officeDocument/2006/relationships/hyperlink" Target="https://www.cityofgilroy.org/1019/15010/Gilroy-Data-Center-by-AWS" TargetMode="External"/><Relationship Id="rId131" Type="http://schemas.openxmlformats.org/officeDocument/2006/relationships/hyperlink" Target="https://www.datacenterdynamics.com/en/news/amazon-data-services-gains-approval-for-data-center-on-56-acres-in-gilroy-california/" TargetMode="External"/><Relationship Id="rId130" Type="http://schemas.openxmlformats.org/officeDocument/2006/relationships/hyperlink" Target="https://www.change.org/p/banning-regulating-data-centers-in-gilroy?recruiter=938425783&amp;recruited_by_id=33993410-37fe-11e9-999d-091836f5a8c4&amp;utm_source=share_petition&amp;utm_campaign=petition_dashboard&amp;utm_medium=copylink&amp;share_id=RTdL9LSmrc" TargetMode="External"/><Relationship Id="rId136" Type="http://schemas.openxmlformats.org/officeDocument/2006/relationships/hyperlink" Target="https://www.datacenterdynamics.com/en/news/330mw-google-linked-data-center-proposed-in-southern-california/" TargetMode="External"/><Relationship Id="rId135" Type="http://schemas.openxmlformats.org/officeDocument/2006/relationships/hyperlink" Target="https://www.change.org/p/stop-the-construction-of-the-data-center-at-aten-rd-and-clark-rd" TargetMode="External"/><Relationship Id="rId134" Type="http://schemas.openxmlformats.org/officeDocument/2006/relationships/hyperlink" Target="https://www.facebook.com/profile.php?id=61585227101244" TargetMode="External"/><Relationship Id="rId133" Type="http://schemas.openxmlformats.org/officeDocument/2006/relationships/hyperlink" Target="https://www.kron4.com/news/technology-ai/gilroy-community-fights-against-amazon-from-constructing-data-center/" TargetMode="External"/><Relationship Id="rId172" Type="http://schemas.openxmlformats.org/officeDocument/2006/relationships/hyperlink" Target="https://www.edgeconnex.com/locations/americas/santa-clara-ca/" TargetMode="External"/><Relationship Id="rId171" Type="http://schemas.openxmlformats.org/officeDocument/2006/relationships/hyperlink" Target="https://www.datacenters.com/digital-realty-silicon-valley-sjc37" TargetMode="External"/><Relationship Id="rId170" Type="http://schemas.openxmlformats.org/officeDocument/2006/relationships/hyperlink" Target="https://www.digitalrealty.com/data-centers/americas/silicon-valley/sjc37" TargetMode="External"/><Relationship Id="rId165" Type="http://schemas.openxmlformats.org/officeDocument/2006/relationships/hyperlink" Target="https://www.datacenterdynamics.com/en/news/prologis-files-to-build-99mw-data-center-in-san-jose-california/" TargetMode="External"/><Relationship Id="rId164" Type="http://schemas.openxmlformats.org/officeDocument/2006/relationships/hyperlink" Target="https://www.datacenterdynamics.com/en/news/400mw-prologis-data-center-campus-chosen-as-preferred-project-on-city-owned-land-in-san-jose-california/" TargetMode="External"/><Relationship Id="rId163" Type="http://schemas.openxmlformats.org/officeDocument/2006/relationships/hyperlink" Target="https://www.datacenterdynamics.com/en/news/microsoft-breaks-ground-on-alviso-data-center-campus-in-san-jose-california/" TargetMode="External"/><Relationship Id="rId162" Type="http://schemas.openxmlformats.org/officeDocument/2006/relationships/hyperlink" Target="https://www.datacenterdynamics.com/en/news/two-data-centers-proposed-for-vacant-lot-in-san-jose-california/" TargetMode="External"/><Relationship Id="rId169" Type="http://schemas.openxmlformats.org/officeDocument/2006/relationships/hyperlink" Target="https://www.datacenters.com/digital-realty-silicon-valley-sjc37" TargetMode="External"/><Relationship Id="rId168" Type="http://schemas.openxmlformats.org/officeDocument/2006/relationships/hyperlink" Target="https://www.datacenterdynamics.com/en/news/coresite-launches-santa-clara-data-center-california/" TargetMode="External"/><Relationship Id="rId167" Type="http://schemas.openxmlformats.org/officeDocument/2006/relationships/hyperlink" Target="https://www.datacenterdynamics.com/en/news/colovore-plans-data-center-in-austin-texas/" TargetMode="External"/><Relationship Id="rId166" Type="http://schemas.openxmlformats.org/officeDocument/2006/relationships/hyperlink" Target="https://www.datacenterdynamics.com/en/news/colovore-plans-data-center-in-austin-texas/" TargetMode="External"/><Relationship Id="rId161" Type="http://schemas.openxmlformats.org/officeDocument/2006/relationships/hyperlink" Target="https://www.mercurynews.com/2025/07/08/san-jose-tech-build-data-internet-property-real-estate-develop-economy/" TargetMode="External"/><Relationship Id="rId160" Type="http://schemas.openxmlformats.org/officeDocument/2006/relationships/hyperlink" Target="https://www.datacenterdynamics.com/en/news/equinix-launches-data-center-in-san-jose-california/" TargetMode="External"/><Relationship Id="rId159" Type="http://schemas.openxmlformats.org/officeDocument/2006/relationships/hyperlink" Target="https://www.edgeconnex.com/locations/americas/sacramento-ca/" TargetMode="External"/><Relationship Id="rId154" Type="http://schemas.openxmlformats.org/officeDocument/2006/relationships/hyperlink" Target="https://www.datacenterdynamics.com/en/news/aws-plans-another-quantum-research-center-in-pasadena-california/" TargetMode="External"/><Relationship Id="rId153" Type="http://schemas.openxmlformats.org/officeDocument/2006/relationships/hyperlink" Target="https://www.datacenterdynamics.com/en/news/unnamed-data-center-developer-eyeing-former-crystal-geyser-bottling-site-in-mount-shasta-california/" TargetMode="External"/><Relationship Id="rId152" Type="http://schemas.openxmlformats.org/officeDocument/2006/relationships/hyperlink" Target="https://www.activenorcal.com/mount-shasta-rejects-a-proposed-ai-data-center-drinking-its-famous-water/" TargetMode="External"/><Relationship Id="rId151" Type="http://schemas.openxmlformats.org/officeDocument/2006/relationships/hyperlink" Target="https://www.ijpr.org/environment-energy-and-transportation/2026-06-26/mount-shasta-ai-data-center-proposal-water-concerns" TargetMode="External"/><Relationship Id="rId158" Type="http://schemas.openxmlformats.org/officeDocument/2006/relationships/hyperlink" Target="https://contracosta.news/2024/12/03/avaio-digital-partners-achieves-major-milestone-for-pittsburg-technology-park-perseus-data-center-project/" TargetMode="External"/><Relationship Id="rId157" Type="http://schemas.openxmlformats.org/officeDocument/2006/relationships/hyperlink" Target="https://www.avaiodigital.com/developments/pittsburg-california" TargetMode="External"/><Relationship Id="rId156" Type="http://schemas.openxmlformats.org/officeDocument/2006/relationships/hyperlink" Target="https://www.pittsburgca.gov/services/community-development/planning/advanced-planning-special-projects/pittsburg-technology-park-specific-plan-project" TargetMode="External"/><Relationship Id="rId155" Type="http://schemas.openxmlformats.org/officeDocument/2006/relationships/hyperlink" Target="https://www.change.org/NoDataCenterPittsburgCA" TargetMode="External"/><Relationship Id="rId2820" Type="http://schemas.openxmlformats.org/officeDocument/2006/relationships/hyperlink" Target="https://reparcelasmt.loudoun.gov/pt/datalets/datalet.aspx?mode=land_summary&amp;UseSearch=no&amp;pin=045399350000&amp;jur=107&amp;taxyr=2025&amp;LMparent=20" TargetMode="External"/><Relationship Id="rId2821" Type="http://schemas.openxmlformats.org/officeDocument/2006/relationships/hyperlink" Target="https://reparcelasmt.loudoun.gov/pt/datalets/datalet.aspx?mode=commercial&amp;UseSearch=no&amp;pin=045195615000&amp;jur=107&amp;taxyr=2025&amp;LMparent=20" TargetMode="External"/><Relationship Id="rId2822" Type="http://schemas.openxmlformats.org/officeDocument/2006/relationships/hyperlink" Target="https://cloudandcolocation.com/datacenters/cyxtera-sterling-data-center-iad2-a/" TargetMode="External"/><Relationship Id="rId2823" Type="http://schemas.openxmlformats.org/officeDocument/2006/relationships/hyperlink" Target="https://reparcelasmt.loudoun.gov/pt/datalets/datalet.aspx?mode=profileall&amp;UseSearch=no&amp;pin=034468458000&amp;jur=107&amp;taxyr=2024&amp;LMparent=20" TargetMode="External"/><Relationship Id="rId2824" Type="http://schemas.openxmlformats.org/officeDocument/2006/relationships/hyperlink" Target="https://reparcelasmt.loudoun.gov/pt/datalets/datalet.aspx?mode=profileall&amp;UseSearch=no&amp;pin=046368231000&amp;jur=107&amp;taxyr=2024&amp;LMparent=20" TargetMode="External"/><Relationship Id="rId2825" Type="http://schemas.openxmlformats.org/officeDocument/2006/relationships/hyperlink" Target="https://www.datacenterdynamics.com/en/news/aligned-files-to-extend-second-sterling-campus-in-virginia/" TargetMode="External"/><Relationship Id="rId2826" Type="http://schemas.openxmlformats.org/officeDocument/2006/relationships/hyperlink" Target="https://reparcelasmt.loudoun.gov/pt/datalets/datalet.aspx?mode=profileall&amp;UseSearch=no&amp;pin=045352692000&amp;jur=107&amp;taxyr=2024&amp;LMparent=20" TargetMode="External"/><Relationship Id="rId2827" Type="http://schemas.openxmlformats.org/officeDocument/2006/relationships/hyperlink" Target="https://loudouncountyvaeg.tylerhost.net/prod/selfservice" TargetMode="External"/><Relationship Id="rId2828" Type="http://schemas.openxmlformats.org/officeDocument/2006/relationships/hyperlink" Target="https://reparcelasmt.loudoun.gov/pt/datalets/datalet.aspx?mode=profileall&amp;UseSearch=no&amp;pin=203295737000&amp;jur=107&amp;taxyr=2025&amp;LMparent=20" TargetMode="External"/><Relationship Id="rId2829" Type="http://schemas.openxmlformats.org/officeDocument/2006/relationships/hyperlink" Target="https://www.datacenterdynamics.com/en/news/amazon-to-demolish-nine-office-buildings-in-sterling-virginia-and-build-four-data-centers/" TargetMode="External"/><Relationship Id="rId2810" Type="http://schemas.openxmlformats.org/officeDocument/2006/relationships/hyperlink" Target="https://reparcelasmt.loudoun.gov/pt/Datalets/Datalet.aspx?UseSearch=no&amp;mode=profileall&amp;pin=034365461000&amp;jur=107&amp;taxyr=2024" TargetMode="External"/><Relationship Id="rId2811" Type="http://schemas.openxmlformats.org/officeDocument/2006/relationships/hyperlink" Target="https://www.bizjournals.com/washington/news/2023/01/30/saul-centers-dulles-north-corporate-park.html" TargetMode="External"/><Relationship Id="rId2812" Type="http://schemas.openxmlformats.org/officeDocument/2006/relationships/hyperlink" Target="https://reparcelasmt.loudoun.gov/pt/Datalets/Datalet.aspx?UseSearch=no&amp;mode=profileall&amp;pin=045402669000&amp;jur=107&amp;taxyr=2024" TargetMode="External"/><Relationship Id="rId2813" Type="http://schemas.openxmlformats.org/officeDocument/2006/relationships/hyperlink" Target="https://loudouncountyvaeg.tylerhost.net/prod/selfservice" TargetMode="External"/><Relationship Id="rId2814" Type="http://schemas.openxmlformats.org/officeDocument/2006/relationships/hyperlink" Target="https://reparcelasmt.loudoun.gov/pt/Datalets/Datalet.aspx?UseSearch=no&amp;mode=profileall&amp;pin=161170879000&amp;jur=107&amp;taxyr=2024" TargetMode="External"/><Relationship Id="rId2815" Type="http://schemas.openxmlformats.org/officeDocument/2006/relationships/hyperlink" Target="https://reparcelasmt.loudoun.gov/pt/datalets/datalet.aspx?mode=profileall&amp;UseSearch=no&amp;pin=045159083000&amp;jur=107&amp;taxyr=2024&amp;LMparent=20" TargetMode="External"/><Relationship Id="rId2816" Type="http://schemas.openxmlformats.org/officeDocument/2006/relationships/hyperlink" Target="https://reparcelasmt.loudoun.gov/pt/datalets/datalet.aspx?mode=profileall&amp;UseSearch=no&amp;pin=042200988000&amp;jur=107&amp;taxyr=2024&amp;LMparent=20" TargetMode="External"/><Relationship Id="rId2817" Type="http://schemas.openxmlformats.org/officeDocument/2006/relationships/hyperlink" Target="https://loudouncountyvaeg.tylerhost.net/prod/selfservice" TargetMode="External"/><Relationship Id="rId2818" Type="http://schemas.openxmlformats.org/officeDocument/2006/relationships/hyperlink" Target="https://reparcelasmt.loudoun.gov/pt/Datalets/Datalet.aspx?UseSearch=no&amp;mode=profileall&amp;pin=030300991000&amp;jur=107&amp;taxyr=2025" TargetMode="External"/><Relationship Id="rId2819" Type="http://schemas.openxmlformats.org/officeDocument/2006/relationships/hyperlink" Target="https://datacenterhawk.com/marketplace/providers/aligned-data-centers/22715-relocation-drive/iad03" TargetMode="External"/><Relationship Id="rId1510" Type="http://schemas.openxmlformats.org/officeDocument/2006/relationships/hyperlink" Target="https://www.datacenterdynamics.com/en/news/beale-infrastructure-plans-second-data-center-campus-outside-tucson-arizona-and-two-outside-tulsa-oklahoma/" TargetMode="External"/><Relationship Id="rId2841" Type="http://schemas.openxmlformats.org/officeDocument/2006/relationships/hyperlink" Target="https://reparcelasmt.loudoun.gov/pt/datalets/datalet.aspx?mode=commercial&amp;UseSearch=no&amp;pin=041108666000&amp;jur=107&amp;taxyr=2024&amp;LMparent=20" TargetMode="External"/><Relationship Id="rId1511" Type="http://schemas.openxmlformats.org/officeDocument/2006/relationships/hyperlink" Target="https://tulsaplanning.org/tmapc/TAC/Project%20Clydesdale%20submittal.pdf" TargetMode="External"/><Relationship Id="rId2842" Type="http://schemas.openxmlformats.org/officeDocument/2006/relationships/hyperlink" Target="https://loudouncountyvaeg.tylerhost.net/prod/selfservice" TargetMode="External"/><Relationship Id="rId1512" Type="http://schemas.openxmlformats.org/officeDocument/2006/relationships/hyperlink" Target="https://www.datacenterdynamics.com/en/news/tierpoint-completes-fourth-data-center-in-oklahoma/" TargetMode="External"/><Relationship Id="rId2843" Type="http://schemas.openxmlformats.org/officeDocument/2006/relationships/hyperlink" Target="https://reparcelasmt.loudoun.gov/pt/Datalets/Datalet.aspx?UseSearch=no&amp;mode=profileall&amp;pin=044267923000&amp;jur=107&amp;taxyr=2025" TargetMode="External"/><Relationship Id="rId1513" Type="http://schemas.openxmlformats.org/officeDocument/2006/relationships/hyperlink" Target="https://www.datacenterdynamics.com/en/news/amazon-expanding-data-center-presence-in-oregon-buys-400-acres/" TargetMode="External"/><Relationship Id="rId2844" Type="http://schemas.openxmlformats.org/officeDocument/2006/relationships/hyperlink" Target="https://reparcelasmt.loudoun.gov/pt/datalets/datalet.aspx?mode=profileall&amp;UseSearch=no&amp;pin=034462865000&amp;jur=107&amp;taxyr=2024&amp;LMparent=20" TargetMode="External"/><Relationship Id="rId1514" Type="http://schemas.openxmlformats.org/officeDocument/2006/relationships/hyperlink" Target="https://www.geekwire.com/2026/report-amazon-buys-1300-acres-near-columbia-river-that-could-become-a-giant-data-center/" TargetMode="External"/><Relationship Id="rId2845" Type="http://schemas.openxmlformats.org/officeDocument/2006/relationships/hyperlink" Target="https://reparcelasmt.loudoun.gov/pt/Datalets/Datalet.aspx?UseSearch=no&amp;mode=profileall&amp;pin=030296913000&amp;jur=107&amp;taxyr=2024" TargetMode="External"/><Relationship Id="rId1515" Type="http://schemas.openxmlformats.org/officeDocument/2006/relationships/hyperlink" Target="https://www.datacenterdynamics.com/en/news/amazon-purchases-1300-acres-in-morrow-county-oregon/" TargetMode="External"/><Relationship Id="rId2846" Type="http://schemas.openxmlformats.org/officeDocument/2006/relationships/hyperlink" Target="https://loudouncountyvaeg.tylerhost.net/prod/selfservice" TargetMode="External"/><Relationship Id="rId1516" Type="http://schemas.openxmlformats.org/officeDocument/2006/relationships/hyperlink" Target="https://www.oregonlive.com/silicon-forest/2023/07/cascade-locks-rejects-plan-for-100-million-data-center-in-the-columbia-river-gorge.html" TargetMode="External"/><Relationship Id="rId2847" Type="http://schemas.openxmlformats.org/officeDocument/2006/relationships/hyperlink" Target="https://reparcelasmt.loudoun.gov/pt/datalets/datalet.aspx?mode=profileall&amp;UseSearch=no&amp;pin=124369522000&amp;jur=107&amp;taxyr=2024&amp;LMparent=20" TargetMode="External"/><Relationship Id="rId1517" Type="http://schemas.openxmlformats.org/officeDocument/2006/relationships/hyperlink" Target="https://www.oregonlive.com/silicon-forest/2023/03/startup-pitches-100-million-data-center-in-cascade-locks.html" TargetMode="External"/><Relationship Id="rId2848" Type="http://schemas.openxmlformats.org/officeDocument/2006/relationships/hyperlink" Target="https://reparcelasmt.loudoun.gov/pt/datalets/datalet.aspx?mode=profileall&amp;UseSearch=no&amp;pin=044261032000&amp;jur=107&amp;taxyr=2024&amp;LMparent=20" TargetMode="External"/><Relationship Id="rId1518" Type="http://schemas.openxmlformats.org/officeDocument/2006/relationships/hyperlink" Target="https://www.oregonlive.com/silicon-forest/2023/07/cascade-locks-rejects-plan-for-100-million-data-center-in-the-columbia-river-gorge.html" TargetMode="External"/><Relationship Id="rId2849" Type="http://schemas.openxmlformats.org/officeDocument/2006/relationships/hyperlink" Target="https://loudouncountyvaeg.tylerhost.net/prod/selfservice" TargetMode="External"/><Relationship Id="rId1519" Type="http://schemas.openxmlformats.org/officeDocument/2006/relationships/hyperlink" Target="https://protectpwc.org/2023/07/24/bisnow-local-opposition-kills-100m-data-center-project-in-hot-oregon-market/" TargetMode="External"/><Relationship Id="rId2840" Type="http://schemas.openxmlformats.org/officeDocument/2006/relationships/hyperlink" Target="https://reparcelasmt.loudoun.gov/pt/datalets/datalet.aspx?mode=commercial&amp;UseSearch=no&amp;pin=041108666000&amp;jur=107&amp;taxyr=2024&amp;LMparent=20" TargetMode="External"/><Relationship Id="rId2830" Type="http://schemas.openxmlformats.org/officeDocument/2006/relationships/hyperlink" Target="https://reparcelasmt.loudoun.gov/pt/Datalets/Datalet.aspx?UseSearch=no&amp;mode=profileall&amp;pin=030208833000&amp;jur=107&amp;taxyr=2024" TargetMode="External"/><Relationship Id="rId1500" Type="http://schemas.openxmlformats.org/officeDocument/2006/relationships/hyperlink" Target="https://www.datacenterdynamics.com/en/news/project-atlas-data-center-application-withdrawn-in-coweta-oklahoma/" TargetMode="External"/><Relationship Id="rId2831" Type="http://schemas.openxmlformats.org/officeDocument/2006/relationships/hyperlink" Target="https://www.datacenterdynamics.com/en/news/amazon-to-demolish-nine-office-buildings-in-sterling-virginia-and-build-four-data-centers/" TargetMode="External"/><Relationship Id="rId1501" Type="http://schemas.openxmlformats.org/officeDocument/2006/relationships/hyperlink" Target="https://www.gofundme.com/f/Protect-sand-springs-alliance" TargetMode="External"/><Relationship Id="rId2832" Type="http://schemas.openxmlformats.org/officeDocument/2006/relationships/hyperlink" Target="https://reparcelasmt.loudoun.gov/pt/Datalets/Datalet.aspx?UseSearch=no&amp;mode=profileall&amp;pin=030309421000&amp;jur=107&amp;taxyr=2024" TargetMode="External"/><Relationship Id="rId1502" Type="http://schemas.openxmlformats.org/officeDocument/2006/relationships/hyperlink" Target="https://www.change.org/p/stop-the-data-center-f340a791-4f7e-4da8-a997-b0b2ce26319a" TargetMode="External"/><Relationship Id="rId2833" Type="http://schemas.openxmlformats.org/officeDocument/2006/relationships/hyperlink" Target="https://reparcelasmt.loudoun.gov/pt/Datalets/Datalet.aspx?UseSearch=no&amp;mode=profileall&amp;pin=030382006000&amp;jur=107&amp;taxyr=2024" TargetMode="External"/><Relationship Id="rId1503" Type="http://schemas.openxmlformats.org/officeDocument/2006/relationships/hyperlink" Target="https://www.datacenterdynamics.com/en/news/sand-springs-oklahoma-to-consider-project-spring-data-center-proposal/" TargetMode="External"/><Relationship Id="rId2834" Type="http://schemas.openxmlformats.org/officeDocument/2006/relationships/hyperlink" Target="https://reparcelasmt.loudoun.gov/pt/datalets/datalet.aspx?mode=commercial&amp;UseSearch=no&amp;pin=030455548000&amp;jur=107&amp;taxyr=2024&amp;LMparent=20" TargetMode="External"/><Relationship Id="rId1504" Type="http://schemas.openxmlformats.org/officeDocument/2006/relationships/hyperlink" Target="https://protectss.org/home" TargetMode="External"/><Relationship Id="rId2835" Type="http://schemas.openxmlformats.org/officeDocument/2006/relationships/hyperlink" Target="https://reparcelasmt.loudoun.gov/pt/datalets/datalet.aspx?mode=commercial&amp;UseSearch=no&amp;pin=030455548000&amp;jur=107&amp;taxyr=2024&amp;LMparent=20" TargetMode="External"/><Relationship Id="rId1505" Type="http://schemas.openxmlformats.org/officeDocument/2006/relationships/hyperlink" Target="https://www.fox23.com/news/sand-springs-city-leaders-postpone-action-on-proposed-data-center-project/article_73ae54df-1dc1-4440-8511-87e2064374a8.html" TargetMode="External"/><Relationship Id="rId2836" Type="http://schemas.openxmlformats.org/officeDocument/2006/relationships/hyperlink" Target="https://www.datacenterdynamics.com/en/news/edgecore-buys-land-in-virginia-plans-36mw-data-center/" TargetMode="External"/><Relationship Id="rId1506" Type="http://schemas.openxmlformats.org/officeDocument/2006/relationships/hyperlink" Target="https://www.fox23.com/news/special-meetings-set-for-proposed-data-center-in-sand-springs/article_e36b744c-371c-4d41-9476-dbdeb04b1a9c.html" TargetMode="External"/><Relationship Id="rId2837" Type="http://schemas.openxmlformats.org/officeDocument/2006/relationships/hyperlink" Target="https://reparcelasmt.loudoun.gov/pt/datalets/datalet.aspx?mode=profileall&amp;UseSearch=no&amp;pin=030292034000&amp;jur=107&amp;taxyr=2024&amp;LMparent=20" TargetMode="External"/><Relationship Id="rId1507" Type="http://schemas.openxmlformats.org/officeDocument/2006/relationships/hyperlink" Target="https://www.datacenterdynamics.com/en/news/google-gets-greenlight-for-data-center-in-tulsa-oklahoma/" TargetMode="External"/><Relationship Id="rId2838" Type="http://schemas.openxmlformats.org/officeDocument/2006/relationships/hyperlink" Target="https://reparcelasmt.loudoun.gov/pt/datalets/datalet.aspx?mode=land_summary&amp;UseSearch=no&amp;pin=029151508000&amp;jur=107&amp;taxyr=2024&amp;LMparent=20" TargetMode="External"/><Relationship Id="rId1508" Type="http://schemas.openxmlformats.org/officeDocument/2006/relationships/hyperlink" Target="https://www.datacenterdynamics.com/en/news/500-acre-data-center-campus-planned-in-tulsa-oklahoma/" TargetMode="External"/><Relationship Id="rId2839" Type="http://schemas.openxmlformats.org/officeDocument/2006/relationships/hyperlink" Target="https://reparcelasmt.loudoun.gov/pt/datalets/datalet.aspx?mode=land_summary&amp;UseSearch=no&amp;pin=029151508000&amp;jur=107&amp;taxyr=2024&amp;LMparent=20" TargetMode="External"/><Relationship Id="rId1509" Type="http://schemas.openxmlformats.org/officeDocument/2006/relationships/hyperlink" Target="https://www.kjrh.com/news/local-news/tulsa-county-residents-concerned-about-plans-for-data-center" TargetMode="External"/><Relationship Id="rId2800" Type="http://schemas.openxmlformats.org/officeDocument/2006/relationships/hyperlink" Target="https://reparcelasmt.loudoun.gov/pt/Datalets/Datalet.aspx?UseSearch=no&amp;mode=profileall&amp;pin=045391908000&amp;jur=107&amp;taxyr=2025" TargetMode="External"/><Relationship Id="rId2801" Type="http://schemas.openxmlformats.org/officeDocument/2006/relationships/hyperlink" Target="https://reparcelasmt.loudoun.gov/pt/Datalets/Datalet.aspx?UseSearch=no&amp;mode=profileall&amp;pin=045391908000&amp;jur=107&amp;taxyr=2025" TargetMode="External"/><Relationship Id="rId2802" Type="http://schemas.openxmlformats.org/officeDocument/2006/relationships/hyperlink" Target="https://reparcelasmt.loudoun.gov/pt/datalets/datalet.aspx?mode=profileall&amp;UseSearch=no&amp;pin=045254455000&amp;jur=107&amp;taxyr=2024&amp;LMparent=20" TargetMode="External"/><Relationship Id="rId2803" Type="http://schemas.openxmlformats.org/officeDocument/2006/relationships/hyperlink" Target="https://reparcelasmt.loudoun.gov/pt/Datalets/Datalet.aspx?sIndex=0&amp;idx=1" TargetMode="External"/><Relationship Id="rId2804" Type="http://schemas.openxmlformats.org/officeDocument/2006/relationships/hyperlink" Target="https://loudouncountyvaeg.tylerhost.net/prod/selfservice" TargetMode="External"/><Relationship Id="rId2805" Type="http://schemas.openxmlformats.org/officeDocument/2006/relationships/hyperlink" Target="https://reparcelasmt.loudoun.gov/pt/datalets/datalet.aspx?mode=profileall&amp;UseSearch=no&amp;pin=035457494000&amp;jur=107&amp;taxyr=2024&amp;LMparent=20" TargetMode="External"/><Relationship Id="rId2806" Type="http://schemas.openxmlformats.org/officeDocument/2006/relationships/hyperlink" Target="https://www.datacenterdynamics.com/en/news/zoning-change-approved-in-sterling-virginia-paving-way-for-685000-sq-ft-data-center-development/" TargetMode="External"/><Relationship Id="rId2807" Type="http://schemas.openxmlformats.org/officeDocument/2006/relationships/hyperlink" Target="https://reparcelasmt.loudoun.gov/pt/datalets/datalet.aspx?mode=profileall&amp;UseSearch=no&amp;pin=043171795000&amp;jur=107&amp;taxyr=2025&amp;LMparent=20" TargetMode="External"/><Relationship Id="rId2808" Type="http://schemas.openxmlformats.org/officeDocument/2006/relationships/hyperlink" Target="https://loudouncountyvaeg.tylerhost.net/prod/selfservice" TargetMode="External"/><Relationship Id="rId2809" Type="http://schemas.openxmlformats.org/officeDocument/2006/relationships/hyperlink" Target="https://reparcelasmt.loudoun.gov/pt/Datalets/Datalet.aspx?UseSearch=no&amp;mode=profileall&amp;pin=124398485000&amp;jur=107&amp;taxyr=2025" TargetMode="External"/><Relationship Id="rId1576" Type="http://schemas.openxmlformats.org/officeDocument/2006/relationships/hyperlink" Target="https://www.tierpoint.com/data-centers/pennsylvania/bethlehem/" TargetMode="External"/><Relationship Id="rId1577" Type="http://schemas.openxmlformats.org/officeDocument/2006/relationships/hyperlink" Target="https://www.tierpoint.com/data-centers/pennsylvania/lehigh-valley/" TargetMode="External"/><Relationship Id="rId1578" Type="http://schemas.openxmlformats.org/officeDocument/2006/relationships/hyperlink" Target="https://www.yahoo.com/news/articles/convenience-store-developer-proposes-ai-000500338.html" TargetMode="External"/><Relationship Id="rId1579" Type="http://schemas.openxmlformats.org/officeDocument/2006/relationships/hyperlink" Target="https://www.thetimes-tribune.com/2025/08/13/blakely-data-center-meeting-draws-large-crowd-opposition/" TargetMode="External"/><Relationship Id="rId987" Type="http://schemas.openxmlformats.org/officeDocument/2006/relationships/hyperlink" Target="https://baxtel.com/data-center/meta-kansas-city" TargetMode="External"/><Relationship Id="rId986" Type="http://schemas.openxmlformats.org/officeDocument/2006/relationships/hyperlink" Target="https://about.fb.com/news/2025/08/metas-kansas-city-data-center/" TargetMode="External"/><Relationship Id="rId985" Type="http://schemas.openxmlformats.org/officeDocument/2006/relationships/hyperlink" Target="https://www.datacenterdynamics.com/en/news/cielo-digital-infrastructure-plans-300mw-data-center-campus-in-south-carolina/" TargetMode="External"/><Relationship Id="rId984" Type="http://schemas.openxmlformats.org/officeDocument/2006/relationships/hyperlink" Target="https://www.datacenterdynamics.com/en/news/officials-in-joplin-missouri-greenlight-rezoning-request-for-potential-data-center/" TargetMode="External"/><Relationship Id="rId989" Type="http://schemas.openxmlformats.org/officeDocument/2006/relationships/hyperlink" Target="https://www.kshb.com/news/local-news/tech-firm-eyes-development-for-6-data-centers-north-of-kansas-city-international-airport" TargetMode="External"/><Relationship Id="rId988" Type="http://schemas.openxmlformats.org/officeDocument/2006/relationships/hyperlink" Target="https://www.datacenterdynamics.com/en/news/meta-acquires-500-more-acres-in-diodes-golden-plains-park-in-kansas-city-missouri/" TargetMode="External"/><Relationship Id="rId1570" Type="http://schemas.openxmlformats.org/officeDocument/2006/relationships/hyperlink" Target="https://www.msn.com/en-us/news/us/archbald-votes-no-to-new-data-center-ordinance/ar-AA1NQbGM" TargetMode="External"/><Relationship Id="rId1571" Type="http://schemas.openxmlformats.org/officeDocument/2006/relationships/hyperlink" Target="https://www.thetimes-tribune.com/2025/10/31/developer-applies-for-22-more-data-center-buildings-in-archbald/" TargetMode="External"/><Relationship Id="rId983" Type="http://schemas.openxmlformats.org/officeDocument/2006/relationships/hyperlink" Target="https://www.change.org/p/stop-the-wildwood-ranch-data-center-project-in-joplin-mo" TargetMode="External"/><Relationship Id="rId1572" Type="http://schemas.openxmlformats.org/officeDocument/2006/relationships/hyperlink" Target="https://fox56.com/news/local/archbald-residents-unite-against-unanswered-questions-on-data-centers" TargetMode="External"/><Relationship Id="rId982" Type="http://schemas.openxmlformats.org/officeDocument/2006/relationships/hyperlink" Target="https://www.datacenterdynamics.com/en/news/patmos-to-build-new-data-center-in-independence-missouri-as-city-moratorium-discussed/" TargetMode="External"/><Relationship Id="rId1573" Type="http://schemas.openxmlformats.org/officeDocument/2006/relationships/hyperlink" Target="https://www.spotlightpa.org/news/2026/03/pennsylvania-data-centers-archbald-ai-evictions-environment/?utm_source=ActiveCampaign&amp;utm_medium=email&amp;utm_content=6%20data%20centers%20%20One%20PA%20borough&amp;utm_campaign=PA%20Post%2003%2019%2026%20%28Copy%29" TargetMode="External"/><Relationship Id="rId981" Type="http://schemas.openxmlformats.org/officeDocument/2006/relationships/hyperlink" Target="https://www.datacenterdynamics.com/en/news/nebius-breaks-ground-on-400-acre-data-center-campus-in-independence-missouri/" TargetMode="External"/><Relationship Id="rId1574" Type="http://schemas.openxmlformats.org/officeDocument/2006/relationships/hyperlink" Target="https://investors.terawulf.com/news-events/press-releases/detail/85/terawulf-announces-august-2024-production-and-operations" TargetMode="External"/><Relationship Id="rId980" Type="http://schemas.openxmlformats.org/officeDocument/2006/relationships/hyperlink" Target="https://www.datacenterdynamics.com/en/news/150bn-in-industrial-development-revenue-bonds-tax-breaks-approved-for-800mw-nebius-data-center-in-missouri/" TargetMode="External"/><Relationship Id="rId1575" Type="http://schemas.openxmlformats.org/officeDocument/2006/relationships/hyperlink" Target="https://www.datacenterdynamics.com/en/news/qts-acquires-1700-acres-of-land-in-pennsylvania-for-data-center-development/" TargetMode="External"/><Relationship Id="rId1565" Type="http://schemas.openxmlformats.org/officeDocument/2006/relationships/hyperlink" Target="https://grist.org/energy/the-ai-boom-has-plunged-a-small-pennsylvania-town-into-chaos/" TargetMode="External"/><Relationship Id="rId2896" Type="http://schemas.openxmlformats.org/officeDocument/2006/relationships/hyperlink" Target="https://reparcelasmt.loudoun.gov/pt/Datalets/Datalet.aspx?UseSearch=no&amp;mode=profileall&amp;pin=091482155000&amp;jur=107&amp;taxyr=2025" TargetMode="External"/><Relationship Id="rId1566" Type="http://schemas.openxmlformats.org/officeDocument/2006/relationships/hyperlink" Target="https://www.thetimes-tribune.com/2026/03/11/wildcat-ridge-data-center-campus-faces-major-opposition-in-archbald/" TargetMode="External"/><Relationship Id="rId2897" Type="http://schemas.openxmlformats.org/officeDocument/2006/relationships/hyperlink" Target="https://loudouncountyvaeg.tylerhost.net/prod/selfservice" TargetMode="External"/><Relationship Id="rId1567" Type="http://schemas.openxmlformats.org/officeDocument/2006/relationships/hyperlink" Target="https://www.datacenterdynamics.com/en/news/plans-filed-for-16-million-sq-ft-data-center-campus-in-northeast-pennsylvania/" TargetMode="External"/><Relationship Id="rId2898" Type="http://schemas.openxmlformats.org/officeDocument/2006/relationships/hyperlink" Target="https://reparcelasmt.loudoun.gov/pt/Datalets/Datalet.aspx?UseSearch=no&amp;mode=profileall&amp;pin=091490220000&amp;jur=107&amp;taxyr=2025" TargetMode="External"/><Relationship Id="rId1568" Type="http://schemas.openxmlformats.org/officeDocument/2006/relationships/hyperlink" Target="https://www.datacenterdynamics.com/en/news/21bn-data-center-campus-proposed-in-archbald-pennsylvania/" TargetMode="External"/><Relationship Id="rId2899" Type="http://schemas.openxmlformats.org/officeDocument/2006/relationships/hyperlink" Target="https://loudouncountyvaeg.tylerhost.net/prod/selfservice" TargetMode="External"/><Relationship Id="rId1569" Type="http://schemas.openxmlformats.org/officeDocument/2006/relationships/hyperlink" Target="https://www.thetimes-tribune.com/2025/05/18/data-centers-could-reshape-landscape-in-nepa/" TargetMode="External"/><Relationship Id="rId976" Type="http://schemas.openxmlformats.org/officeDocument/2006/relationships/hyperlink" Target="https://www.change.org/p/stop-the-ai-datacenter-in-independence-missouri" TargetMode="External"/><Relationship Id="rId975" Type="http://schemas.openxmlformats.org/officeDocument/2006/relationships/hyperlink" Target="https://www.stlpr.org/government-politics-issues/2026-04-10/data-center-opposition-group-sues-city-festus-proposed-developer" TargetMode="External"/><Relationship Id="rId974" Type="http://schemas.openxmlformats.org/officeDocument/2006/relationships/hyperlink" Target="https://www.stlpr.org/government-politics-issues/2026-02-27/festus-leaders-next-step-approving-proposed-data-center" TargetMode="External"/><Relationship Id="rId973" Type="http://schemas.openxmlformats.org/officeDocument/2006/relationships/hyperlink" Target="https://www.stlpr.org/government-politics-issues/2026-02-27/festus-leaders-next-step-approving-proposed-data-center" TargetMode="External"/><Relationship Id="rId979" Type="http://schemas.openxmlformats.org/officeDocument/2006/relationships/hyperlink" Target="https://nebius.com/blog/posts/nebius-opens-first-availability-zone-in-us" TargetMode="External"/><Relationship Id="rId978" Type="http://schemas.openxmlformats.org/officeDocument/2006/relationships/hyperlink" Target="https://www.kmbc.com/article/independence-nebius-data-center-construction-electricity-approval-resident-concerns/70082962" TargetMode="External"/><Relationship Id="rId977" Type="http://schemas.openxmlformats.org/officeDocument/2006/relationships/hyperlink" Target="https://www.datacenterdynamics.com/en/news/nebius-plans-800mw-data-center-campus-in-kansas-city-missouri/" TargetMode="External"/><Relationship Id="rId2890" Type="http://schemas.openxmlformats.org/officeDocument/2006/relationships/hyperlink" Target="https://reparcelasmt.loudoun.gov/pt/Datalets/Datalet.aspx?UseSearch=no&amp;mode=profileall&amp;pin=033258399000&amp;jur=107&amp;taxyr=2025" TargetMode="External"/><Relationship Id="rId1560" Type="http://schemas.openxmlformats.org/officeDocument/2006/relationships/hyperlink" Target="https://trackdatacenters.com/state/pennsylvania" TargetMode="External"/><Relationship Id="rId2891" Type="http://schemas.openxmlformats.org/officeDocument/2006/relationships/hyperlink" Target="https://loudouncountyvaeg.tylerhost.net/prod/selfservice" TargetMode="External"/><Relationship Id="rId972" Type="http://schemas.openxmlformats.org/officeDocument/2006/relationships/hyperlink" Target="https://www.komu.com/news/midmissourinews/columbia-residents-speak-against-rezoning-farm-land-for-possible-data-center/article_c4429655-ed89-51d3-a5df-6e57681b2548.html" TargetMode="External"/><Relationship Id="rId1561" Type="http://schemas.openxmlformats.org/officeDocument/2006/relationships/hyperlink" Target="https://www.thetimes-tribune.com/2026/03/20/archbald-hearing-reveals-project-green-mountains-ties-to-other-data-center/" TargetMode="External"/><Relationship Id="rId2892" Type="http://schemas.openxmlformats.org/officeDocument/2006/relationships/hyperlink" Target="https://reparcelasmt.loudoun.gov/pt/Datalets/Datalet.aspx?UseSearch=no&amp;mode=profileall&amp;pin=033292608000&amp;jur=107&amp;taxyr=2025" TargetMode="External"/><Relationship Id="rId971" Type="http://schemas.openxmlformats.org/officeDocument/2006/relationships/hyperlink" Target="https://gocolumbiamo.legistar.com/View.ashx?M=F&amp;ID=14838831&amp;GUID=CD9D24B9-05B4-4203-B9BA-8DC02DA95B03" TargetMode="External"/><Relationship Id="rId1562" Type="http://schemas.openxmlformats.org/officeDocument/2006/relationships/hyperlink" Target="https://www.spotlightpa.org/news/2026/03/pennsylvania-data-centers-archbald-ai-evictions-environment" TargetMode="External"/><Relationship Id="rId2893" Type="http://schemas.openxmlformats.org/officeDocument/2006/relationships/hyperlink" Target="https://loudouncountyvaeg.tylerhost.net/prod/selfservice" TargetMode="External"/><Relationship Id="rId970" Type="http://schemas.openxmlformats.org/officeDocument/2006/relationships/hyperlink" Target="https://www.datacenterdynamics.com/en/news/4bn-data-center-rejected-by-nobles-county-minnesota/" TargetMode="External"/><Relationship Id="rId1563" Type="http://schemas.openxmlformats.org/officeDocument/2006/relationships/hyperlink" Target="https://grist.org/energy/the-ai-boom-has-plunged-a-small-pennsylvania-town-into-chaos/" TargetMode="External"/><Relationship Id="rId2894" Type="http://schemas.openxmlformats.org/officeDocument/2006/relationships/hyperlink" Target="https://reparcelasmt.loudoun.gov/pt/Datalets/Datalet.aspx?UseSearch=no&amp;mode=profileall&amp;pin=091493983000&amp;jur=107&amp;taxyr=2025" TargetMode="External"/><Relationship Id="rId1564" Type="http://schemas.openxmlformats.org/officeDocument/2006/relationships/hyperlink" Target="https://www.spotlightpa.org/news/2026/03/pennsylvania-data-centers-archbald-ai-evictions-environment" TargetMode="External"/><Relationship Id="rId2895" Type="http://schemas.openxmlformats.org/officeDocument/2006/relationships/hyperlink" Target="https://loudouncountyvaeg.tylerhost.net/prod/selfservice" TargetMode="External"/><Relationship Id="rId1598" Type="http://schemas.openxmlformats.org/officeDocument/2006/relationships/hyperlink" Target="https://www.datacenterdynamics.com/en/news/two-building-data-center-campus-proposed-in-northeast-pennsylvania/" TargetMode="External"/><Relationship Id="rId1599" Type="http://schemas.openxmlformats.org/officeDocument/2006/relationships/hyperlink" Target="https://www.wvia.org/news/local/2026-04-10/proposed-newton-data-center-campus-is-10th-planned-for-lackawanna-county" TargetMode="External"/><Relationship Id="rId1590" Type="http://schemas.openxmlformats.org/officeDocument/2006/relationships/hyperlink" Target="https://www.bizjournals.com/pittsburgh/news/2026/03/27/heres-where-the-big-data-project-centers-are.html" TargetMode="External"/><Relationship Id="rId1591" Type="http://schemas.openxmlformats.org/officeDocument/2006/relationships/hyperlink" Target="https://www.pennlive.com/news/2025/06/another-central-pa-community-creates-space-for-a-data-center.html" TargetMode="External"/><Relationship Id="rId1592" Type="http://schemas.openxmlformats.org/officeDocument/2006/relationships/hyperlink" Target="https://www.pennlive.com/business/2025/07/26-billion-in-data-center-projects-coming-to-central-pa.html" TargetMode="External"/><Relationship Id="rId1593" Type="http://schemas.openxmlformats.org/officeDocument/2006/relationships/hyperlink" Target="https://www.datacenterdynamics.com/en/news/powerhouse-eyes-700-acre-data-center-campus-in-south-central-pennsylvania-report/" TargetMode="External"/><Relationship Id="rId1594" Type="http://schemas.openxmlformats.org/officeDocument/2006/relationships/hyperlink" Target="https://www.wgal.com/article/pennsylvania-digital-1-project-details/65629251" TargetMode="External"/><Relationship Id="rId1595" Type="http://schemas.openxmlformats.org/officeDocument/2006/relationships/hyperlink" Target="https://local21news.com/news/local/a-new-data-center-might-be-build-in-cumberland-county-and-its-700-acres-ai-carlisle-artificial-intelligence-pennsylvania-data-center-partners-powerhouse-pa" TargetMode="External"/><Relationship Id="rId1596" Type="http://schemas.openxmlformats.org/officeDocument/2006/relationships/hyperlink" Target="https://www.datacenterdynamics.com/en/news/data-center-and-energy-firms-plan-90bn-investment-in-pennsylvania/" TargetMode="External"/><Relationship Id="rId1597" Type="http://schemas.openxmlformats.org/officeDocument/2006/relationships/hyperlink" Target="https://www.fox43.com/article/news/local/cumberland-county/pennsylvania-data-centers-cumberland-county-middlesex-township/521-e1751c89-dc9c-4727-8ddd-45a27e7a0556" TargetMode="External"/><Relationship Id="rId1587" Type="http://schemas.openxmlformats.org/officeDocument/2006/relationships/hyperlink" Target="https://www.tierpoint.com/data-centers/pennsylvania/allentown-tekpark/" TargetMode="External"/><Relationship Id="rId1588" Type="http://schemas.openxmlformats.org/officeDocument/2006/relationships/hyperlink" Target="https://www.weirtondailytimes.com/news/business/2024/12/starpointe-industrial-park-sale-is-finalized/" TargetMode="External"/><Relationship Id="rId1589" Type="http://schemas.openxmlformats.org/officeDocument/2006/relationships/hyperlink" Target="https://www.msn.com/en-us/news/us/hanover-township-passes-ordinance-to-regulate-potential-data-centers/ar-AA1ZM2Fc" TargetMode="External"/><Relationship Id="rId998" Type="http://schemas.openxmlformats.org/officeDocument/2006/relationships/hyperlink" Target="https://www.datacenterdynamics.com/en/news/former-newspaper-building-in-kansas-city-eyed-for-20-story-data-center-development/" TargetMode="External"/><Relationship Id="rId997" Type="http://schemas.openxmlformats.org/officeDocument/2006/relationships/hyperlink" Target="https://www.datacenterdynamics.com/en/news/google-affiliated-company-buys-430-acres-of-land-in-kansas-city-missouri/" TargetMode="External"/><Relationship Id="rId996" Type="http://schemas.openxmlformats.org/officeDocument/2006/relationships/hyperlink" Target="https://www.datacenterdynamics.com/en/news/officials-grant-data-center-project-in-kansas-city-tax-breaks/" TargetMode="External"/><Relationship Id="rId995" Type="http://schemas.openxmlformats.org/officeDocument/2006/relationships/hyperlink" Target="https://www.datacenterdynamics.com/en/news/construction-begins-at-googles-second-data-center-campus-in-kansas-city-missouri/" TargetMode="External"/><Relationship Id="rId999" Type="http://schemas.openxmlformats.org/officeDocument/2006/relationships/hyperlink" Target="https://www.datacenterdynamics.com/en/news/google-affiliated-company-buys-430-acres-of-land-in-kansas-city-missouri/" TargetMode="External"/><Relationship Id="rId990" Type="http://schemas.openxmlformats.org/officeDocument/2006/relationships/hyperlink" Target="https://fox4kc.com/news/100-billion-data-center-coming-to-kansas-citys-northland/" TargetMode="External"/><Relationship Id="rId1580" Type="http://schemas.openxmlformats.org/officeDocument/2006/relationships/hyperlink" Target="https://www.wnep.com/article/news/local/lackawanna-county/data-center-developer-withdraws-proposal-for-blakely-construction/523-976b3357-7ae2-4da0-b0f5-55eb44fb7afa" TargetMode="External"/><Relationship Id="rId1581" Type="http://schemas.openxmlformats.org/officeDocument/2006/relationships/hyperlink" Target="https://blakelydata.com/" TargetMode="External"/><Relationship Id="rId1582" Type="http://schemas.openxmlformats.org/officeDocument/2006/relationships/hyperlink" Target="https://www.wnep.com/article/news/local/lackawanna-county/data-center-lackawanna-county-archbald-blakely-jessup-council-votes/523-627d1d15-f8e2-436e-be39-732ec3ee3b26" TargetMode="External"/><Relationship Id="rId994" Type="http://schemas.openxmlformats.org/officeDocument/2006/relationships/hyperlink" Target="https://baxtel.com/data-center/google-project-mica" TargetMode="External"/><Relationship Id="rId1583" Type="http://schemas.openxmlformats.org/officeDocument/2006/relationships/hyperlink" Target="https://www.spotlightpa.org/news/2026/03/pennsylvania-data-centers-archbald-ai-evictions-environment" TargetMode="External"/><Relationship Id="rId993" Type="http://schemas.openxmlformats.org/officeDocument/2006/relationships/hyperlink" Target="https://www.datacenterdynamics.com/en/news/google-files-final-plans-for-rocky-branch-creek-technology-park-in-kansas-city-missouri/" TargetMode="External"/><Relationship Id="rId1584" Type="http://schemas.openxmlformats.org/officeDocument/2006/relationships/hyperlink" Target="https://trackdatacenters.com/state/pennsylvania" TargetMode="External"/><Relationship Id="rId992" Type="http://schemas.openxmlformats.org/officeDocument/2006/relationships/hyperlink" Target="https://www.datacenterdynamics.com/en/news/google-affiliated-company-buys-430-acres-of-land-in-kansas-city-missouri/" TargetMode="External"/><Relationship Id="rId1585" Type="http://schemas.openxmlformats.org/officeDocument/2006/relationships/hyperlink" Target="https://www.ironmountain.com/data-centers/locations/pennsylvania-data-center" TargetMode="External"/><Relationship Id="rId991" Type="http://schemas.openxmlformats.org/officeDocument/2006/relationships/hyperlink" Target="https://fox4kc.com/news/100-billion-data-center-coming-to-kansas-citys-northland/" TargetMode="External"/><Relationship Id="rId1586" Type="http://schemas.openxmlformats.org/officeDocument/2006/relationships/hyperlink" Target="https://www.ironmountain.com/data-centers/about/news-and-events/news/2024/december/data-centers-inside-the-underground-iron-mountain-in-butler-county" TargetMode="External"/><Relationship Id="rId1532" Type="http://schemas.openxmlformats.org/officeDocument/2006/relationships/hyperlink" Target="https://www.datacenterdynamics.com/en/news/data-center-developer-stack-to-expand-hillsboro-campus-by-121mw/" TargetMode="External"/><Relationship Id="rId2863" Type="http://schemas.openxmlformats.org/officeDocument/2006/relationships/hyperlink" Target="https://reparcelasmt.loudoun.gov/pt/datalets/datalet.aspx?mode=land_summary&amp;UseSearch=no&amp;pin=030306633000&amp;jur=107&amp;taxyr=2025&amp;LMparent=20" TargetMode="External"/><Relationship Id="rId1533" Type="http://schemas.openxmlformats.org/officeDocument/2006/relationships/hyperlink" Target="https://www.stackinfra.com/locations/americas/portland/por03/" TargetMode="External"/><Relationship Id="rId2864" Type="http://schemas.openxmlformats.org/officeDocument/2006/relationships/hyperlink" Target="https://loudouncountyvaeg.tylerhost.net/prod/selfservice" TargetMode="External"/><Relationship Id="rId1534" Type="http://schemas.openxmlformats.org/officeDocument/2006/relationships/hyperlink" Target="https://www.bendsource.com/news/localnews/after-pushback-to-la-pine-data-center-community-developers-await-next-steps/" TargetMode="External"/><Relationship Id="rId2865" Type="http://schemas.openxmlformats.org/officeDocument/2006/relationships/hyperlink" Target="https://reparcelasmt.loudoun.gov/pt/Datalets/Datalet.aspx?UseSearch=no&amp;mode=profileall&amp;pin=034372453000&amp;jur=107&amp;taxyr=2025" TargetMode="External"/><Relationship Id="rId1535" Type="http://schemas.openxmlformats.org/officeDocument/2006/relationships/hyperlink" Target="https://www.youtube.com/watch?v=X1y2Cqedtmk" TargetMode="External"/><Relationship Id="rId2866" Type="http://schemas.openxmlformats.org/officeDocument/2006/relationships/hyperlink" Target="https://www.datacenterdynamics.com/en/news/aligned-files-to-extend-second-sterling-campus-in-virginia/" TargetMode="External"/><Relationship Id="rId1536" Type="http://schemas.openxmlformats.org/officeDocument/2006/relationships/hyperlink" Target="https://www.lapineoregon.gov/community/page/city-release-proposed-data-center" TargetMode="External"/><Relationship Id="rId2867" Type="http://schemas.openxmlformats.org/officeDocument/2006/relationships/hyperlink" Target="https://reparcelasmt.loudoun.gov/pt/datalets/datalet.aspx?mode=commercial&amp;UseSearch=no&amp;pin=042394385003&amp;jur=107&amp;taxyr=2025&amp;LMparent=20" TargetMode="External"/><Relationship Id="rId1537" Type="http://schemas.openxmlformats.org/officeDocument/2006/relationships/hyperlink" Target="https://www.datacenters.com/facebook-prineville" TargetMode="External"/><Relationship Id="rId2868" Type="http://schemas.openxmlformats.org/officeDocument/2006/relationships/hyperlink" Target="https://loudouncountyvaeg.tylerhost.net/prod/selfservice" TargetMode="External"/><Relationship Id="rId1538" Type="http://schemas.openxmlformats.org/officeDocument/2006/relationships/hyperlink" Target="https://www.datacenterdynamics.com/en/news/alphabet-spin-out-verrus-plans-three-building-data-center-campus-outside-portland-oregon/" TargetMode="External"/><Relationship Id="rId2869" Type="http://schemas.openxmlformats.org/officeDocument/2006/relationships/hyperlink" Target="https://reparcelasmt.loudoun.gov/pt/datalets/datalet.aspx?mode=land_summary&amp;UseSearch=no&amp;pin=030465708000&amp;jur=107&amp;taxyr=2025&amp;LMparent=20" TargetMode="External"/><Relationship Id="rId1539" Type="http://schemas.openxmlformats.org/officeDocument/2006/relationships/hyperlink" Target="https://www.datacenterdynamics.com/en/news/google-to-upgrade-its-original-data-center-in-oregon/" TargetMode="External"/><Relationship Id="rId949" Type="http://schemas.openxmlformats.org/officeDocument/2006/relationships/hyperlink" Target="https://stopthehermantowndatacenter.org/" TargetMode="External"/><Relationship Id="rId948" Type="http://schemas.openxmlformats.org/officeDocument/2006/relationships/hyperlink" Target="https://finance-commerce.com/2025/07/cannon-falls-data-center-tract-auar-review/" TargetMode="External"/><Relationship Id="rId943" Type="http://schemas.openxmlformats.org/officeDocument/2006/relationships/hyperlink" Target="https://www.kttc.com/2025/08/27/cannon-falls-explores-major-data-center-project-following-land-annexation/" TargetMode="External"/><Relationship Id="rId942" Type="http://schemas.openxmlformats.org/officeDocument/2006/relationships/hyperlink" Target="https://www.datacenterdynamics.com/en/news/amazon-web-services-suspends-plans-for-minnesota-data-center/" TargetMode="External"/><Relationship Id="rId941" Type="http://schemas.openxmlformats.org/officeDocument/2006/relationships/hyperlink" Target="https://www.fox9.com/news/amazon-becker-data-center" TargetMode="External"/><Relationship Id="rId940" Type="http://schemas.openxmlformats.org/officeDocument/2006/relationships/hyperlink" Target="https://www.msn.com/en-us/money/companies/amazon-suspends-minnesota-data-center-as-lawmakers-plan-to-reduce-big-tech-tax-breaks/ar-AA1Fj3re" TargetMode="External"/><Relationship Id="rId947" Type="http://schemas.openxmlformats.org/officeDocument/2006/relationships/hyperlink" Target="https://www.datacenterdynamics.com/en/news/officials-in-elk-river-minnesota-deny-data-center-application-consider-moratorium/" TargetMode="External"/><Relationship Id="rId946" Type="http://schemas.openxmlformats.org/officeDocument/2006/relationships/hyperlink" Target="https://www.datacenterdynamics.com/en/news/centra-breaks-ground-on-data-center-redevelopment-in-minneapolis-minnesota/" TargetMode="External"/><Relationship Id="rId945" Type="http://schemas.openxmlformats.org/officeDocument/2006/relationships/hyperlink" Target="https://www.datacenterdynamics.com/en/news/cielo-digital-infrastructure-plans-300mw-data-center-campus-in-south-carolina/" TargetMode="External"/><Relationship Id="rId944" Type="http://schemas.openxmlformats.org/officeDocument/2006/relationships/hyperlink" Target="https://finance-commerce.com/2025/07/cannon-falls-data-center-tract-auar-review/" TargetMode="External"/><Relationship Id="rId2860" Type="http://schemas.openxmlformats.org/officeDocument/2006/relationships/hyperlink" Target="https://reparcelasmt.loudoun.gov/pt/datalets/datalet.aspx?mode=profileall&amp;UseSearch=no&amp;pin=063498140000&amp;jur=107&amp;taxyr=2024&amp;LMparent=20" TargetMode="External"/><Relationship Id="rId1530" Type="http://schemas.openxmlformats.org/officeDocument/2006/relationships/hyperlink" Target="https://www.edgeconnex.com/locations/americas/portland-or/" TargetMode="External"/><Relationship Id="rId2861" Type="http://schemas.openxmlformats.org/officeDocument/2006/relationships/hyperlink" Target="https://reparcelasmt.loudoun.gov/pt/datalets/datalet.aspx?mode=profileall&amp;UseSearch=no&amp;pin=063494014000&amp;jur=107&amp;taxyr=2024&amp;LMparent=20" TargetMode="External"/><Relationship Id="rId1531" Type="http://schemas.openxmlformats.org/officeDocument/2006/relationships/hyperlink" Target="https://www.datacenterdynamics.com/en/news/data-center-developer-stack-to-expand-hillsboro-campus-by-121mw/" TargetMode="External"/><Relationship Id="rId2862" Type="http://schemas.openxmlformats.org/officeDocument/2006/relationships/hyperlink" Target="https://loudouncountyvaeg.tylerhost.net/prod/selfservice" TargetMode="External"/><Relationship Id="rId1521" Type="http://schemas.openxmlformats.org/officeDocument/2006/relationships/hyperlink" Target="https://www.datacenterdynamics.com/en/news/planning-commission-greenlights-crane-dcs-forest-grove-data-center-in-northwest-oregon-again/" TargetMode="External"/><Relationship Id="rId2852" Type="http://schemas.openxmlformats.org/officeDocument/2006/relationships/hyperlink" Target="https://reparcelasmt.loudoun.gov/pt/Datalets/Datalet.aspx?UseSearch=no&amp;mode=profileall&amp;pin=124105978000&amp;jur=107&amp;taxyr=2025" TargetMode="External"/><Relationship Id="rId1522" Type="http://schemas.openxmlformats.org/officeDocument/2006/relationships/hyperlink" Target="https://www.datacenterdynamics.com/en/news/amazon-acquires-shovel-ready-12gw-solar-and-storage-facility-in-oregon-report/" TargetMode="External"/><Relationship Id="rId2853" Type="http://schemas.openxmlformats.org/officeDocument/2006/relationships/hyperlink" Target="https://reparcelasmt.loudoun.gov/pt/Datalets/Datalet.aspx?UseSearch=no&amp;mode=profileall&amp;pin=124299328000&amp;jur=107&amp;taxyr=2024" TargetMode="External"/><Relationship Id="rId1523" Type="http://schemas.openxmlformats.org/officeDocument/2006/relationships/hyperlink" Target="https://www.oregon.gov/energy/facilities-safety/facilities/Facilities%20library/2024-05-15-ESP-ASC-Location.pdf" TargetMode="External"/><Relationship Id="rId2854" Type="http://schemas.openxmlformats.org/officeDocument/2006/relationships/hyperlink" Target="https://dgtlinfra.com/prologis-skybox-data-center-northern-virginia/" TargetMode="External"/><Relationship Id="rId1524" Type="http://schemas.openxmlformats.org/officeDocument/2006/relationships/hyperlink" Target="https://hillsboroherald.com/flexentials-new-hillsboro-6-data-center-marks-a-shift-from-jobs-to-joules/" TargetMode="External"/><Relationship Id="rId2855" Type="http://schemas.openxmlformats.org/officeDocument/2006/relationships/hyperlink" Target="https://reparcelasmt.loudoun.gov/pt/datalets/datalet.aspx?mode=profileall&amp;UseSearch=no&amp;pin=045252512000&amp;jur=107&amp;taxyr=2024&amp;LMparent=20" TargetMode="External"/><Relationship Id="rId1525" Type="http://schemas.openxmlformats.org/officeDocument/2006/relationships/hyperlink" Target="https://hillsboroherald.com/flexentials-new-hillsboro-6-data-center-marks-a-shift-from-jobs-to-joules/" TargetMode="External"/><Relationship Id="rId2856" Type="http://schemas.openxmlformats.org/officeDocument/2006/relationships/hyperlink" Target="https://www.datacenterdynamics.com/en/news/prologis-seeks-rezoning-of-land-sterling-virginia-possibly-for-data-centers/" TargetMode="External"/><Relationship Id="rId1526" Type="http://schemas.openxmlformats.org/officeDocument/2006/relationships/hyperlink" Target="https://hillsboroherald.com/flexentials-new-hillsboro-6-data-center-marks-a-shift-from-jobs-to-joules/" TargetMode="External"/><Relationship Id="rId2857" Type="http://schemas.openxmlformats.org/officeDocument/2006/relationships/hyperlink" Target="https://reparcelasmt.loudoun.gov/pt/datalets/datalet.aspx?mode=profileall&amp;UseSearch=no&amp;pin=045185843002&amp;jur=107&amp;taxyr=2024&amp;LMparent=20" TargetMode="External"/><Relationship Id="rId1527" Type="http://schemas.openxmlformats.org/officeDocument/2006/relationships/hyperlink" Target="https://hillsboroherald.com/flexentials-new-hillsboro-6-data-center-marks-a-shift-from-jobs-to-joules/" TargetMode="External"/><Relationship Id="rId2858" Type="http://schemas.openxmlformats.org/officeDocument/2006/relationships/hyperlink" Target="https://reparcelasmt.loudoun.gov/pt/datalets/datalet.aspx?mode=profileall&amp;UseSearch=no&amp;pin=045458114000&amp;jur=107&amp;taxyr=2024&amp;LMparent=20" TargetMode="External"/><Relationship Id="rId1528" Type="http://schemas.openxmlformats.org/officeDocument/2006/relationships/hyperlink" Target="https://hillsboroherald.com/flexentials-new-hillsboro-6-data-center-marks-a-shift-from-jobs-to-joules/" TargetMode="External"/><Relationship Id="rId2859" Type="http://schemas.openxmlformats.org/officeDocument/2006/relationships/hyperlink" Target="https://reparcelasmt.loudoun.gov/pt/datalets/datalet.aspx?mode=profileall&amp;UseSearch=no&amp;pin=044152877000&amp;jur=107&amp;taxyr=2024&amp;LMparent=20" TargetMode="External"/><Relationship Id="rId1529" Type="http://schemas.openxmlformats.org/officeDocument/2006/relationships/hyperlink" Target="https://hillsboroherald.com/flexentials-new-hillsboro-6-data-center-marks-a-shift-from-jobs-to-joules/" TargetMode="External"/><Relationship Id="rId939" Type="http://schemas.openxmlformats.org/officeDocument/2006/relationships/hyperlink" Target="https://www.michigandaily.com/news/news-briefs/los-alamos-confirms-umich-data-center-to-be-used-for-nuclear-weapons-research/" TargetMode="External"/><Relationship Id="rId938" Type="http://schemas.openxmlformats.org/officeDocument/2006/relationships/hyperlink" Target="https://planetdetroit.org/2025/12/university-of-michigan-data-center-funding/" TargetMode="External"/><Relationship Id="rId937" Type="http://schemas.openxmlformats.org/officeDocument/2006/relationships/hyperlink" Target="https://www.datacenterdynamics.com/en/news/opposition-calls-to-relocate-12bn-university-of-michigan-data-centers/" TargetMode="External"/><Relationship Id="rId932" Type="http://schemas.openxmlformats.org/officeDocument/2006/relationships/hyperlink" Target="https://www.datacenterdynamics.com/en/news/google-confirms-1gw-data-center-campus-near-detroit-michigan-partners-with-dte-energy-on-27gw-power-generation/" TargetMode="External"/><Relationship Id="rId931" Type="http://schemas.openxmlformats.org/officeDocument/2006/relationships/hyperlink" Target="https://planetdetroit.org/2026/03/google-dte-data-center-van-buren/" TargetMode="External"/><Relationship Id="rId930" Type="http://schemas.openxmlformats.org/officeDocument/2006/relationships/hyperlink" Target="https://planetdetroit.org/2026/02/project-cannoli-preliminary-site-plan/" TargetMode="External"/><Relationship Id="rId936" Type="http://schemas.openxmlformats.org/officeDocument/2006/relationships/hyperlink" Target="https://www.mlive.com/news/ann-arbor/2024/12/price-tag-is-12b-for-university-of-michigan-los-alamos-project-to-build-fastest-computer.html" TargetMode="External"/><Relationship Id="rId935" Type="http://schemas.openxmlformats.org/officeDocument/2006/relationships/hyperlink" Target="https://www.mlive.com/news/2025/05/protesters-disrupt-talk-on-university-of-michigans-proposed-12b-data-center.html" TargetMode="External"/><Relationship Id="rId934" Type="http://schemas.openxmlformats.org/officeDocument/2006/relationships/hyperlink" Target="https://planetdetroit.org/2025/12/washington-township-data-center-hearing/" TargetMode="External"/><Relationship Id="rId933" Type="http://schemas.openxmlformats.org/officeDocument/2006/relationships/hyperlink" Target="https://www.facebook.com/groups/1507890697089577/" TargetMode="External"/><Relationship Id="rId2850" Type="http://schemas.openxmlformats.org/officeDocument/2006/relationships/hyperlink" Target="https://reparcelasmt.loudoun.gov/pt/Datalets/Datalet.aspx?UseSearch=no&amp;mode=profileall&amp;pin=043395471000&amp;jur=107&amp;taxyr=2024" TargetMode="External"/><Relationship Id="rId1520" Type="http://schemas.openxmlformats.org/officeDocument/2006/relationships/hyperlink" Target="https://www.oregonlive.com/news/2025/07/it-blocks-out-the-sky-data-centers-big-plans-rile-neighbors-in-small-town-forest-grove.html" TargetMode="External"/><Relationship Id="rId2851" Type="http://schemas.openxmlformats.org/officeDocument/2006/relationships/hyperlink" Target="https://loudouncountyvaeg.tylerhost.net/prod/selfservice" TargetMode="External"/><Relationship Id="rId1554" Type="http://schemas.openxmlformats.org/officeDocument/2006/relationships/hyperlink" Target="https://www.msn.com/en-us/news/us/archbald-votes-no-to-new-data-center-ordinance/ar-AA1NQbGM" TargetMode="External"/><Relationship Id="rId2885" Type="http://schemas.openxmlformats.org/officeDocument/2006/relationships/hyperlink" Target="https://loudouncountyvaeg.tylerhost.net/prod/selfservice" TargetMode="External"/><Relationship Id="rId1555" Type="http://schemas.openxmlformats.org/officeDocument/2006/relationships/hyperlink" Target="https://www.thetimes-tribune.com/2025/10/31/developer-applies-for-22-more-data-center-buildings-in-archbald/" TargetMode="External"/><Relationship Id="rId2886" Type="http://schemas.openxmlformats.org/officeDocument/2006/relationships/hyperlink" Target="https://reparcelasmt.loudoun.gov/pt/Datalets/Datalet.aspx?UseSearch=no&amp;mode=profileall&amp;pin=046278993000&amp;jur=107&amp;taxyr=2025" TargetMode="External"/><Relationship Id="rId1556" Type="http://schemas.openxmlformats.org/officeDocument/2006/relationships/hyperlink" Target="https://fox56.com/news/local/archbald-residents-unite-against-unanswered-questions-on-data-centers" TargetMode="External"/><Relationship Id="rId2887" Type="http://schemas.openxmlformats.org/officeDocument/2006/relationships/hyperlink" Target="https://loudouncountyvaeg.tylerhost.net/prod/selfservice" TargetMode="External"/><Relationship Id="rId1557" Type="http://schemas.openxmlformats.org/officeDocument/2006/relationships/hyperlink" Target="https://www.thetimes-tribune.com/2025/08/19/data-center-developer-to-buy-mobile-home-park-in-archbald/" TargetMode="External"/><Relationship Id="rId2888" Type="http://schemas.openxmlformats.org/officeDocument/2006/relationships/hyperlink" Target="https://reparcelasmt.loudoun.gov/pt/datalets/datalet.aspx?mode=commercial&amp;UseSearch=no&amp;pin=046275921000&amp;jur=107&amp;taxyr=2025&amp;LMparent=20" TargetMode="External"/><Relationship Id="rId1558" Type="http://schemas.openxmlformats.org/officeDocument/2006/relationships/hyperlink" Target="https://paenvironmentdaily.blogspot.com/2025/12/dep-to-host-jan-6-public-information.html" TargetMode="External"/><Relationship Id="rId2889" Type="http://schemas.openxmlformats.org/officeDocument/2006/relationships/hyperlink" Target="https://loudouncountyvaeg.tylerhost.net/prod/selfservice" TargetMode="External"/><Relationship Id="rId1559" Type="http://schemas.openxmlformats.org/officeDocument/2006/relationships/hyperlink" Target="https://www.wvia.org/news/local/2026-05-01/fast-track-no-more-pa-kicks-archbald-data-center-campus-off-permit-program" TargetMode="External"/><Relationship Id="rId965" Type="http://schemas.openxmlformats.org/officeDocument/2006/relationships/hyperlink" Target="https://finance-commerce.com/2025/03/ryan-cos-tech-industrial-hub-pine-island/" TargetMode="External"/><Relationship Id="rId964" Type="http://schemas.openxmlformats.org/officeDocument/2006/relationships/hyperlink" Target="https://www.change.org/decision-makers/colton-wright-pine-island-city-council" TargetMode="External"/><Relationship Id="rId963" Type="http://schemas.openxmlformats.org/officeDocument/2006/relationships/hyperlink" Target="https://www.facebook.com/groups/1117176807284432/about/" TargetMode="External"/><Relationship Id="rId962" Type="http://schemas.openxmlformats.org/officeDocument/2006/relationships/hyperlink" Target="https://www.hometownsource.com/monticello_times/data-center-proposal-still-in-discovery-phase-as-key-decisions-loom/article_376c5bca-1104-47c5-8204-32de45982728.html" TargetMode="External"/><Relationship Id="rId969" Type="http://schemas.openxmlformats.org/officeDocument/2006/relationships/hyperlink" Target="https://www.datacenterdynamics.com/en/news/geronimo-power-proposes-data-center-in-nobles-county-minnesota/" TargetMode="External"/><Relationship Id="rId968" Type="http://schemas.openxmlformats.org/officeDocument/2006/relationships/hyperlink" Target="https://www.datacenterdynamics.com/en/news/google-announces-first-data-center-in-minnesota/" TargetMode="External"/><Relationship Id="rId967" Type="http://schemas.openxmlformats.org/officeDocument/2006/relationships/hyperlink" Target="https://www.kttc.com/2026/02/05/pine-island-city-council-approves-financial-incentives-data-center-project/" TargetMode="External"/><Relationship Id="rId966" Type="http://schemas.openxmlformats.org/officeDocument/2006/relationships/hyperlink" Target="https://pineislandmn.gov/vertical/sites/%7B52A5D060-3422-4069-8E86-A961C2752B7F%7D/uploads/Project_Skyway_Scoping_EAW-Appendices_2025.02.27.pdf" TargetMode="External"/><Relationship Id="rId2880" Type="http://schemas.openxmlformats.org/officeDocument/2006/relationships/hyperlink" Target="https://reparcelasmt.loudoun.gov/pt/Datalets/Datalet.aspx?UseSearch=no&amp;mode=profileall&amp;pin=033385671000&amp;jur=107&amp;taxyr=2025" TargetMode="External"/><Relationship Id="rId961" Type="http://schemas.openxmlformats.org/officeDocument/2006/relationships/hyperlink" Target="https://www.datacenterdynamics.com/en/news/two-data-center-projects-planned-for-monticello-minnesota/" TargetMode="External"/><Relationship Id="rId1550" Type="http://schemas.openxmlformats.org/officeDocument/2006/relationships/hyperlink" Target="https://www.datacenterdynamics.com/en/news/plans-for-pennsylvania-data-center-scrapped/" TargetMode="External"/><Relationship Id="rId2881" Type="http://schemas.openxmlformats.org/officeDocument/2006/relationships/hyperlink" Target="https://loudouncountyvaeg.tylerhost.net/prod/selfservice" TargetMode="External"/><Relationship Id="rId960" Type="http://schemas.openxmlformats.org/officeDocument/2006/relationships/hyperlink" Target="https://www.change.org/p/no-data-center-monticello-mn" TargetMode="External"/><Relationship Id="rId1551" Type="http://schemas.openxmlformats.org/officeDocument/2006/relationships/hyperlink" Target="https://www.thetimes-tribune.com/2025/08/19/data-center-developer-to-buy-mobile-home-park-in-archbald/" TargetMode="External"/><Relationship Id="rId2882" Type="http://schemas.openxmlformats.org/officeDocument/2006/relationships/hyperlink" Target="https://reparcelasmt.loudoun.gov/pt/Datalets/Datalet.aspx?UseSearch=no&amp;mode=profileall&amp;pin=162151929000&amp;jur=107&amp;taxyr=2024" TargetMode="External"/><Relationship Id="rId1552" Type="http://schemas.openxmlformats.org/officeDocument/2006/relationships/hyperlink" Target="https://www.datacenterdynamics.com/en/news/plans-filed-for-16-million-sq-ft-data-center-campus-in-northeast-pennsylvania/" TargetMode="External"/><Relationship Id="rId2883" Type="http://schemas.openxmlformats.org/officeDocument/2006/relationships/hyperlink" Target="https://www.datacenterdynamics.com/en/news/arep-launches-powerhouse-data-centers-plans-21-million-sq-ft-338mw-across-virginias-loudoun-county/" TargetMode="External"/><Relationship Id="rId1553" Type="http://schemas.openxmlformats.org/officeDocument/2006/relationships/hyperlink" Target="https://www.thetimes-tribune.com/2025/05/18/data-centers-could-reshape-landscape-in-nepa/" TargetMode="External"/><Relationship Id="rId2884" Type="http://schemas.openxmlformats.org/officeDocument/2006/relationships/hyperlink" Target="https://reparcelasmt.loudoun.gov/pt/Datalets/Datalet.aspx?UseSearch=no&amp;mode=profileall&amp;pin=044461959000&amp;jur=107&amp;taxyr=2024" TargetMode="External"/><Relationship Id="rId1543" Type="http://schemas.openxmlformats.org/officeDocument/2006/relationships/hyperlink" Target="https://www.change.org/p/oppose-the-atlas-data-center-south-whitehall-township-pa" TargetMode="External"/><Relationship Id="rId2874" Type="http://schemas.openxmlformats.org/officeDocument/2006/relationships/hyperlink" Target="https://www.datacenterdynamics.com/en/news/vantage-files-to-develop-second-virginia-campus-in-sterling/" TargetMode="External"/><Relationship Id="rId1544" Type="http://schemas.openxmlformats.org/officeDocument/2006/relationships/hyperlink" Target="https://www.wfmz.com/news/area/lehighvalley/lehigh-county/western-lehigh-county/plans-for-massive-new-data-center-campus-near-parkland-high-school-emerge/article_813c3592-8181-423a-a089-699018952712.html?utm_source=SND&amp;utm_medium=social&amp;utm_campaign=WFMZ-Facebook" TargetMode="External"/><Relationship Id="rId2875" Type="http://schemas.openxmlformats.org/officeDocument/2006/relationships/hyperlink" Target="https://reparcelasmt.loudoun.gov/pt/Datalets/Datalet.aspx?UseSearch=no&amp;mode=profileall&amp;pin=032155119000&amp;jur=107&amp;taxyr=2024" TargetMode="External"/><Relationship Id="rId1545" Type="http://schemas.openxmlformats.org/officeDocument/2006/relationships/hyperlink" Target="https://www.msn.com/en-us/money/news/lehigh-valley-planners-get-a-look-at-another-massive-data-center-project/ar-AA1UvwCJ" TargetMode="External"/><Relationship Id="rId2876" Type="http://schemas.openxmlformats.org/officeDocument/2006/relationships/hyperlink" Target="https://reparcelasmt.loudoun.gov/pt/datalets/datalet.aspx?mode=profileall&amp;UseSearch=no&amp;pin=044174648000&amp;jur=107&amp;taxyr=2024&amp;LMparent=20" TargetMode="External"/><Relationship Id="rId1546" Type="http://schemas.openxmlformats.org/officeDocument/2006/relationships/hyperlink" Target="https://www.mcall.com/2026/01/20/i-do-not-want-this-in-my-backyard-south-whitehall-residents-push-back-against-proposed-data-center-at-lehigh-valley-planners-meeting/" TargetMode="External"/><Relationship Id="rId2877" Type="http://schemas.openxmlformats.org/officeDocument/2006/relationships/hyperlink" Target="https://www.bizjournals.com/washington/news/2024/02/27/sterling-digital-realty-trust-western-lands-dulles.html" TargetMode="External"/><Relationship Id="rId1547" Type="http://schemas.openxmlformats.org/officeDocument/2006/relationships/hyperlink" Target="https://www.change.org/p/oppose-the-atlas-data-center-south-whitehall-township-pa" TargetMode="External"/><Relationship Id="rId2878" Type="http://schemas.openxmlformats.org/officeDocument/2006/relationships/hyperlink" Target="https://reparcelasmt.loudoun.gov/pt/datalets/datalet.aspx?mode=profileall&amp;UseSearch=no&amp;pin=093185459000&amp;jur=107&amp;taxyr=2024&amp;LMparent=20" TargetMode="External"/><Relationship Id="rId1548" Type="http://schemas.openxmlformats.org/officeDocument/2006/relationships/hyperlink" Target="https://www.datacenterdynamics.com/en/news/edged-eyes-725mw-data-center-campus-in-pennsylvania/" TargetMode="External"/><Relationship Id="rId2879" Type="http://schemas.openxmlformats.org/officeDocument/2006/relationships/hyperlink" Target="https://loudouncountyvaeg.tylerhost.net/prod/selfservice" TargetMode="External"/><Relationship Id="rId1549" Type="http://schemas.openxmlformats.org/officeDocument/2006/relationships/hyperlink" Target="https://projectatlaspa.com/" TargetMode="External"/><Relationship Id="rId959" Type="http://schemas.openxmlformats.org/officeDocument/2006/relationships/hyperlink" Target="https://www.datacenterdynamics.com/en/news/minnesota-abortion-clinic-site-set-to-be-turned-into-data-center-pro-life-memorial-held/" TargetMode="External"/><Relationship Id="rId954" Type="http://schemas.openxmlformats.org/officeDocument/2006/relationships/hyperlink" Target="https://www.duluthnewstribune.com/news/local/charged-debate-over-hermantown-data-center-draws-crowd" TargetMode="External"/><Relationship Id="rId953" Type="http://schemas.openxmlformats.org/officeDocument/2006/relationships/hyperlink" Target="https://www.fox9.com/news/hermantown-city-council-data-center" TargetMode="External"/><Relationship Id="rId952" Type="http://schemas.openxmlformats.org/officeDocument/2006/relationships/hyperlink" Target="https://hermantownmn.com/project/" TargetMode="External"/><Relationship Id="rId951" Type="http://schemas.openxmlformats.org/officeDocument/2006/relationships/hyperlink" Target="https://web.archive.org/web/20250923222004/https://www.startribune.com/northern-minnesota-mystery-project-identified-as-data-center-in-communications-to-city/601477059" TargetMode="External"/><Relationship Id="rId958" Type="http://schemas.openxmlformats.org/officeDocument/2006/relationships/hyperlink" Target="https://www.datacenterdynamics.com/en/news/google-confirms-it-is-behind-403-acre-data-center-campus-in-hermantown-minnesota/" TargetMode="External"/><Relationship Id="rId957" Type="http://schemas.openxmlformats.org/officeDocument/2006/relationships/hyperlink" Target="https://www.mprnews.org/story/2025/11/14/hermantown-data-center-developer-plans-public-meeting" TargetMode="External"/><Relationship Id="rId956" Type="http://schemas.openxmlformats.org/officeDocument/2006/relationships/hyperlink" Target="https://www.mprnews.org/story/2025/10/22/hermantown-delays-permits-for-disputed-data-center" TargetMode="External"/><Relationship Id="rId955" Type="http://schemas.openxmlformats.org/officeDocument/2006/relationships/hyperlink" Target="https://www.mprnews.org/story/2025/10/21/hermantown-data-center-moves-forward-despite-opposition" TargetMode="External"/><Relationship Id="rId950" Type="http://schemas.openxmlformats.org/officeDocument/2006/relationships/hyperlink" Target="https://www.change.org/p/stop-the-hermantown-data-center-protect-our-community-and-environment" TargetMode="External"/><Relationship Id="rId2870" Type="http://schemas.openxmlformats.org/officeDocument/2006/relationships/hyperlink" Target="https://www.datacenterdynamics.com/en/news/ta-realty-buys-data-center-zoned-land-in-sterling-virginia/" TargetMode="External"/><Relationship Id="rId1540" Type="http://schemas.openxmlformats.org/officeDocument/2006/relationships/hyperlink" Target="https://aliquippapa.gov/wp-content/uploads/2025/02/doc07611720250225144324.pdf" TargetMode="External"/><Relationship Id="rId2871" Type="http://schemas.openxmlformats.org/officeDocument/2006/relationships/hyperlink" Target="https://datacenterhawk.com/marketplace/providers/vantage-data-centers/45200-vantage-data-plaza/va11" TargetMode="External"/><Relationship Id="rId1541" Type="http://schemas.openxmlformats.org/officeDocument/2006/relationships/hyperlink" Target="https://www.datacenterknowledge.com/energy-power-supply/pennsylvania-s-70-billion-race-for-america-s-data-centers" TargetMode="External"/><Relationship Id="rId2872" Type="http://schemas.openxmlformats.org/officeDocument/2006/relationships/hyperlink" Target="https://reparcelasmt.loudoun.gov/pt/datalets/datalet.aspx?mode=profileall&amp;UseSearch=no&amp;pin=044288975001&amp;jur=107&amp;taxyr=2024&amp;LMparent=20" TargetMode="External"/><Relationship Id="rId1542" Type="http://schemas.openxmlformats.org/officeDocument/2006/relationships/hyperlink" Target="https://www.facebook.com/groups/whitehallwhiners/posts/2314717255718484/" TargetMode="External"/><Relationship Id="rId2873" Type="http://schemas.openxmlformats.org/officeDocument/2006/relationships/hyperlink" Target="https://reparcelasmt.loudoun.gov/pt/datalets/datalet.aspx?mode=profileall&amp;UseSearch=no&amp;pin=044288975002&amp;jur=107&amp;taxyr=2024&amp;LMparent=20" TargetMode="External"/><Relationship Id="rId2027" Type="http://schemas.openxmlformats.org/officeDocument/2006/relationships/hyperlink" Target="https://www.kbtx.com/2025/12/24/leon-county-bracing-1500-megawatt-data-center/" TargetMode="External"/><Relationship Id="rId2028" Type="http://schemas.openxmlformats.org/officeDocument/2006/relationships/hyperlink" Target="https://www.knowleoncounty.org/docs/Project-Kahla-Leon-County.pdf" TargetMode="External"/><Relationship Id="rId2029" Type="http://schemas.openxmlformats.org/officeDocument/2006/relationships/hyperlink" Target="https://www.datacenterdynamics.com/en/news/barrio-energy-plans-sites-for-two-10mw-data-centers-in-matagorda-county-texas/" TargetMode="External"/><Relationship Id="rId107" Type="http://schemas.openxmlformats.org/officeDocument/2006/relationships/hyperlink" Target="https://www.datacenterdynamics.com/en/news/prime-data-centers-breaks-ground-on-three-out-of-five-buildings-at-its-240mw-campus-in-phoenix-arizona/" TargetMode="External"/><Relationship Id="rId106" Type="http://schemas.openxmlformats.org/officeDocument/2006/relationships/hyperlink" Target="https://www.datacenterdynamics.com/en/news/prime-and-vantage-buy-land-phoenix-arizona/" TargetMode="External"/><Relationship Id="rId105" Type="http://schemas.openxmlformats.org/officeDocument/2006/relationships/hyperlink" Target="https://www.datacenterdynamics.com/en/news/land-developer-vermaland-plans-33bn-data-center-in-arizona/" TargetMode="External"/><Relationship Id="rId104" Type="http://schemas.openxmlformats.org/officeDocument/2006/relationships/hyperlink" Target="https://azbigmedia.com/business/33-billion-data-center-industrial-park-coming-to-pinal-county/" TargetMode="External"/><Relationship Id="rId109" Type="http://schemas.openxmlformats.org/officeDocument/2006/relationships/hyperlink" Target="https://www.datacenterdynamics.com/en/news/arizona-land-consulting-buys-land-for-potential-15gw-data-center/" TargetMode="External"/><Relationship Id="rId108" Type="http://schemas.openxmlformats.org/officeDocument/2006/relationships/hyperlink" Target="https://www.bloomberg.com/news/articles/2025-05-27/palihapitiya-buys-stake-in-arizona-property-for-data-center-bet" TargetMode="External"/><Relationship Id="rId2020" Type="http://schemas.openxmlformats.org/officeDocument/2006/relationships/hyperlink" Target="https://www.datacenterdynamics.com/en/news/data-center-to-be-built-in-lueders-texas/" TargetMode="External"/><Relationship Id="rId2021" Type="http://schemas.openxmlformats.org/officeDocument/2006/relationships/hyperlink" Target="https://www.datacenterdynamics.com/en/news/hyperdatagrid-eyes-data-center-outside-lufkin-texas/" TargetMode="External"/><Relationship Id="rId2022" Type="http://schemas.openxmlformats.org/officeDocument/2006/relationships/hyperlink" Target="https://lufkindailynews.com/news/local/ai-data-center-planned-on-1-000-acres-at-former-southland-paper-mill-site/article_ff9e97bf-361d-5649-835b-68a75818bd94.html" TargetMode="External"/><Relationship Id="rId103" Type="http://schemas.openxmlformats.org/officeDocument/2006/relationships/hyperlink" Target="https://www.azcentral.com/story/news/local/pinal/2025/07/30/developer-plans-33-billion-data-center-in-pinal-county/85381868007/" TargetMode="External"/><Relationship Id="rId2023" Type="http://schemas.openxmlformats.org/officeDocument/2006/relationships/hyperlink" Target="https://www.datacenterdynamics.com/en/news/multi-gigawatt-data-center-campus-planned-in-east-texas/" TargetMode="External"/><Relationship Id="rId102" Type="http://schemas.openxmlformats.org/officeDocument/2006/relationships/hyperlink" Target="https://www.bizjournals.com/phoenix/news/2025/08/01/vermaland-proposed-pinal-county-data-center.html" TargetMode="External"/><Relationship Id="rId2024" Type="http://schemas.openxmlformats.org/officeDocument/2006/relationships/hyperlink" Target="https://www.datacenterdynamics.com/en/news/rowan-secures-500m-for-300mw-texas-data-center-project/" TargetMode="External"/><Relationship Id="rId101" Type="http://schemas.openxmlformats.org/officeDocument/2006/relationships/hyperlink" Target="https://menlo-digital.com/portfolio/md-phx1-phoenix/" TargetMode="External"/><Relationship Id="rId2025" Type="http://schemas.openxmlformats.org/officeDocument/2006/relationships/hyperlink" Target="https://www.datacentermap.com/usa/texas/san-antonio/rowan-cinco/" TargetMode="External"/><Relationship Id="rId100" Type="http://schemas.openxmlformats.org/officeDocument/2006/relationships/hyperlink" Target="https://www.datacenterdynamics.com/en/news/menlo-equities-plans-five-building-data-center-campus-in-phoenix-arizona/" TargetMode="External"/><Relationship Id="rId2026" Type="http://schemas.openxmlformats.org/officeDocument/2006/relationships/hyperlink" Target="https://www.datacenterdynamics.com/en/news/legacy-investing-eyes-50mw-data-center-outside-san-antonio-texas/" TargetMode="External"/><Relationship Id="rId2016" Type="http://schemas.openxmlformats.org/officeDocument/2006/relationships/hyperlink" Target="https://www.datacenterdynamics.com/en/news/qts-files-to-add-another-building-to-wilmer-data-center-campus-texas/" TargetMode="External"/><Relationship Id="rId2017" Type="http://schemas.openxmlformats.org/officeDocument/2006/relationships/hyperlink" Target="https://www.datacenterdynamics.com/en/news/medical-equipment-manufacturer-pivots-chemical-plant-to-data-center-and-manufacturing-campus/" TargetMode="External"/><Relationship Id="rId2018" Type="http://schemas.openxmlformats.org/officeDocument/2006/relationships/hyperlink" Target="https://www.tract.com/project/caldwellvalley/" TargetMode="External"/><Relationship Id="rId2019" Type="http://schemas.openxmlformats.org/officeDocument/2006/relationships/hyperlink" Target="https://www.datacenterdynamics.com/en/news/tract-expands-austin-data-center-park-to-3000-acres/" TargetMode="External"/><Relationship Id="rId2010" Type="http://schemas.openxmlformats.org/officeDocument/2006/relationships/hyperlink" Target="https://www.datacenterdynamics.com/en/news/infrakey-city-of-lacy-lakeview-unveil-925mw-data-center-district-in-mclennan-county-texas/" TargetMode="External"/><Relationship Id="rId2011" Type="http://schemas.openxmlformats.org/officeDocument/2006/relationships/hyperlink" Target="https://www.datacenterdynamics.com/en/news/yondr-expands-into-texas-plans-550mw-data-center-in-dallas/" TargetMode="External"/><Relationship Id="rId2012" Type="http://schemas.openxmlformats.org/officeDocument/2006/relationships/hyperlink" Target="https://comptroller.texas.gov/taxes/data-centers/data-center-lists.php" TargetMode="External"/><Relationship Id="rId2013" Type="http://schemas.openxmlformats.org/officeDocument/2006/relationships/hyperlink" Target="https://baxtel.com/data-center/skybox-powercampus-dallas" TargetMode="External"/><Relationship Id="rId2014" Type="http://schemas.openxmlformats.org/officeDocument/2006/relationships/hyperlink" Target="https://www.datacenterdynamics.com/en/news/large-data-center-campus-proposed-in-lancaster-area-of-dallas-texas/" TargetMode="External"/><Relationship Id="rId2015" Type="http://schemas.openxmlformats.org/officeDocument/2006/relationships/hyperlink" Target="https://www.datacenterdynamics.com/en/news/large-data-center-campus-proposed-in-lancaster-area-of-dallas-texas/" TargetMode="External"/><Relationship Id="rId2049" Type="http://schemas.openxmlformats.org/officeDocument/2006/relationships/hyperlink" Target="https://www.datacenterdynamics.com/en/news/cielo-digital-infrastructure-plans-300mw-data-center-campus-in-south-carolina/" TargetMode="External"/><Relationship Id="rId129" Type="http://schemas.openxmlformats.org/officeDocument/2006/relationships/hyperlink" Target="https://www.facebook.com/profile.php?id=61585975718358" TargetMode="External"/><Relationship Id="rId128" Type="http://schemas.openxmlformats.org/officeDocument/2006/relationships/hyperlink" Target="https://www.instagram.com/stopgilroydatacenternow/?hl=en" TargetMode="External"/><Relationship Id="rId127" Type="http://schemas.openxmlformats.org/officeDocument/2006/relationships/hyperlink" Target="https://www.datacenterdynamics.com/en/news/developer-withdraws-plan-to-replace-hotel-with-data-center-in-el-segundo-california/" TargetMode="External"/><Relationship Id="rId126" Type="http://schemas.openxmlformats.org/officeDocument/2006/relationships/hyperlink" Target="https://www.datacenterdynamics.com/en/news/us-department-of-the-air-force-accepting-proposals-for-ai-data-centers-in-military-bases/" TargetMode="External"/><Relationship Id="rId2040" Type="http://schemas.openxmlformats.org/officeDocument/2006/relationships/hyperlink" Target="https://www.mrt.com/business/article/midland-data-centers-320-acres-21049718.php" TargetMode="External"/><Relationship Id="rId121" Type="http://schemas.openxmlformats.org/officeDocument/2006/relationships/hyperlink" Target="https://www.datacenterdynamics.com/en/news/160-acre-project-baccara-is-recommended-for-approval-in-maricopa-county-arizona/" TargetMode="External"/><Relationship Id="rId2041" Type="http://schemas.openxmlformats.org/officeDocument/2006/relationships/hyperlink" Target="https://www.powerhousedata.com/data-center/powerhouse-grand-prairie" TargetMode="External"/><Relationship Id="rId120" Type="http://schemas.openxmlformats.org/officeDocument/2006/relationships/hyperlink" Target="https://www.datacenterdynamics.com/en/news/two-data-center-projects-proposed-near-phoenix-arizona/" TargetMode="External"/><Relationship Id="rId2042" Type="http://schemas.openxmlformats.org/officeDocument/2006/relationships/hyperlink" Target="https://www.tdlr.texas.gov/TABS/Projects/TABS2026016734" TargetMode="External"/><Relationship Id="rId2043" Type="http://schemas.openxmlformats.org/officeDocument/2006/relationships/hyperlink" Target="https://baxtel.com/news/texas-critical-data-centers-signs-mou-for-ai-data-center" TargetMode="External"/><Relationship Id="rId2044" Type="http://schemas.openxmlformats.org/officeDocument/2006/relationships/hyperlink" Target="https://finance.yahoo.com/news/north-texas-city-earmarked-nearly-220200323.html" TargetMode="External"/><Relationship Id="rId125" Type="http://schemas.openxmlformats.org/officeDocument/2006/relationships/hyperlink" Target="https://www.businessinsider.com/coachella-considers-halting-a-major-data-center-project-amid-protests-2026-5?utm_campaign=inventions-link-post&amp;utm_medium=social&amp;utm_source=facebook" TargetMode="External"/><Relationship Id="rId2045" Type="http://schemas.openxmlformats.org/officeDocument/2006/relationships/hyperlink" Target="https://www.datacenterdynamics.com/en/news/google-files-for-fifth-data-center-at-midlothian-campus-in-texas/" TargetMode="External"/><Relationship Id="rId124" Type="http://schemas.openxmlformats.org/officeDocument/2006/relationships/hyperlink" Target="https://www.datacenterdynamics.com/en/news/600mw-data-center-could-be-built-in-coachella-california/" TargetMode="External"/><Relationship Id="rId2046" Type="http://schemas.openxmlformats.org/officeDocument/2006/relationships/hyperlink" Target="https://www.datacenterdynamics.com/en/news/google-is-behind-500m-sharka-data-center-in-midlothian-texas/" TargetMode="External"/><Relationship Id="rId123" Type="http://schemas.openxmlformats.org/officeDocument/2006/relationships/hyperlink" Target="https://www.change.org/p/stop-the-proposed-coachella-data-center-project" TargetMode="External"/><Relationship Id="rId2047" Type="http://schemas.openxmlformats.org/officeDocument/2006/relationships/hyperlink" Target="https://www.energy.gov/policy/articles/first-made-usa-solar-plant-set-power-google-data-centers-boosting-local-economy-and" TargetMode="External"/><Relationship Id="rId122" Type="http://schemas.openxmlformats.org/officeDocument/2006/relationships/hyperlink" Target="https://www.datacenterdynamics.com/en/news/proposed-data-center-scaled-down-amid-environmental-concerns-near-san-francisco-california/" TargetMode="External"/><Relationship Id="rId2048" Type="http://schemas.openxmlformats.org/officeDocument/2006/relationships/hyperlink" Target="https://www.bizjournals.com/austin/news/2025/05/12/sb-energy-milam-county-data-center-orion-solar.html" TargetMode="External"/><Relationship Id="rId2038" Type="http://schemas.openxmlformats.org/officeDocument/2006/relationships/hyperlink" Target="https://www.zabalist.com/projects/TABS2026011989" TargetMode="External"/><Relationship Id="rId2039" Type="http://schemas.openxmlformats.org/officeDocument/2006/relationships/hyperlink" Target="https://www.tdlr.texas.gov/TABS/Search/Project/TABS2026011989" TargetMode="External"/><Relationship Id="rId118" Type="http://schemas.openxmlformats.org/officeDocument/2006/relationships/hyperlink" Target="https://www.datacenterdynamics.com/en/news/aligned-breaks-ground-on-data-center-in-phoenix-arizona/" TargetMode="External"/><Relationship Id="rId117" Type="http://schemas.openxmlformats.org/officeDocument/2006/relationships/hyperlink" Target="https://news.azpm.org/p/azpmnews/2026/5/28/229919-arizona-water-officials-approve-wells-tied-to-project-blue-data-center/" TargetMode="External"/><Relationship Id="rId116" Type="http://schemas.openxmlformats.org/officeDocument/2006/relationships/hyperlink" Target="https://www.kgun9.com/news/local-news/project-blue-moves-to-build-despite-opposition" TargetMode="External"/><Relationship Id="rId115" Type="http://schemas.openxmlformats.org/officeDocument/2006/relationships/hyperlink" Target="https://apnews.com/article/tucson-data-management-and-storage-arizona-general-news-environmental-conservation-42c1e554b02b4293685a08a4574db9f0" TargetMode="External"/><Relationship Id="rId119" Type="http://schemas.openxmlformats.org/officeDocument/2006/relationships/hyperlink" Target="https://www.facebook.com/groups/1067323452056728/" TargetMode="External"/><Relationship Id="rId110" Type="http://schemas.openxmlformats.org/officeDocument/2006/relationships/hyperlink" Target="https://www.datacenterdynamics.com/en/news/us-department-of-the-air-force-accepting-proposals-for-ai-data-centers-in-military-bases/" TargetMode="External"/><Relationship Id="rId2030" Type="http://schemas.openxmlformats.org/officeDocument/2006/relationships/hyperlink" Target="https://www.wjbf.com/business/press-releases/cision/20250813DA50630/barrio-energy-announces-two-new-10mw-data-center-developments-in-matagorda-county-tx/" TargetMode="External"/><Relationship Id="rId2031" Type="http://schemas.openxmlformats.org/officeDocument/2006/relationships/hyperlink" Target="https://www.datacenterdynamics.com/en/news/edged-files-to-develop-2-million-sq-ft-data-center-campus-outside-austin-texas/" TargetMode="External"/><Relationship Id="rId2032" Type="http://schemas.openxmlformats.org/officeDocument/2006/relationships/hyperlink" Target="https://www.datacenterdynamics.com/en/news/prime-files-to-build-two-data-centers-outside-austin-texas/" TargetMode="External"/><Relationship Id="rId2033" Type="http://schemas.openxmlformats.org/officeDocument/2006/relationships/hyperlink" Target="https://www.mysanantonio.com/business/article/1547-mctx1-data-center-mcallen-20802823.php" TargetMode="External"/><Relationship Id="rId114" Type="http://schemas.openxmlformats.org/officeDocument/2006/relationships/hyperlink" Target="https://www.foxbusiness.com/economy/arizona-city-defeats-massive-data-center-project-over-water-energy-concerns" TargetMode="External"/><Relationship Id="rId2034" Type="http://schemas.openxmlformats.org/officeDocument/2006/relationships/hyperlink" Target="https://www.datacenterdynamics.com/en/news/galaxy-digital-eyes-second-texas-data-center-site-buys-land-outside-waco/" TargetMode="External"/><Relationship Id="rId113" Type="http://schemas.openxmlformats.org/officeDocument/2006/relationships/hyperlink" Target="https://www.datacenterdynamics.com/en/news/amazon-named-as-company-behind-290-acre-data-center-campus-in-tuscson-arizona/" TargetMode="External"/><Relationship Id="rId2035" Type="http://schemas.openxmlformats.org/officeDocument/2006/relationships/hyperlink" Target="https://gis-tceq.opendata.arcgis.com/datasets/daece6e3181140f69093ab69cf9ae0ba/explore?layer=0&amp;showTable=true" TargetMode="External"/><Relationship Id="rId112" Type="http://schemas.openxmlformats.org/officeDocument/2006/relationships/hyperlink" Target="https://www.datacenterdynamics.com/en/news/arizona-land-parcel-rezoned-and-sold-to-develop-project-blue-data-center/" TargetMode="External"/><Relationship Id="rId2036" Type="http://schemas.openxmlformats.org/officeDocument/2006/relationships/hyperlink" Target="https://www.datacenterdynamics.com/en/news/microsoft-to-invest-52m-in-data-centers-in-medina-texas/" TargetMode="External"/><Relationship Id="rId111" Type="http://schemas.openxmlformats.org/officeDocument/2006/relationships/hyperlink" Target="https://www.datacenterdynamics.com/en/news/eia-retired-military-jet-engines-could-be-repurposed-to-power-data-centers/" TargetMode="External"/><Relationship Id="rId2037" Type="http://schemas.openxmlformats.org/officeDocument/2006/relationships/hyperlink" Target="https://www.datacenterdynamics.com/en/news/intersect-is-being-acquired-by-googles-parent-company-alphabet/" TargetMode="External"/><Relationship Id="rId2005" Type="http://schemas.openxmlformats.org/officeDocument/2006/relationships/hyperlink" Target="https://www.youtube.com/watch?v=a89iVxblu9I" TargetMode="External"/><Relationship Id="rId2006" Type="http://schemas.openxmlformats.org/officeDocument/2006/relationships/hyperlink" Target="https://www.datacenterdynamics.com/en/news/30m-data-center-near-austin-texas-fails-to-get-recommendation-for-approval-from-pz-commission/" TargetMode="External"/><Relationship Id="rId2007" Type="http://schemas.openxmlformats.org/officeDocument/2006/relationships/hyperlink" Target="https://www.kxxv.com/news/local-news/in-your-neighborhood/we-dont-want-this-lacy-lakeview-approves-data-center-agreement-despite-neighbors-opposition" TargetMode="External"/><Relationship Id="rId2008" Type="http://schemas.openxmlformats.org/officeDocument/2006/relationships/hyperlink" Target="https://www.change.org/p/stop-infrakey-data-center-from-building-in-lacy-lakeview" TargetMode="External"/><Relationship Id="rId2009" Type="http://schemas.openxmlformats.org/officeDocument/2006/relationships/hyperlink" Target="https://www.datacenterdynamics.com/en/news/10bn-data-center-project-recieves-approval-in-lacy-lakeview-texas/" TargetMode="External"/><Relationship Id="rId2000" Type="http://schemas.openxmlformats.org/officeDocument/2006/relationships/hyperlink" Target="https://www.bizjournals.com/austin/news/2025/08/27/data-center-jarrell-austin-development-power-water.html" TargetMode="External"/><Relationship Id="rId2001" Type="http://schemas.openxmlformats.org/officeDocument/2006/relationships/hyperlink" Target="https://elementcritical.com/data-centers/houston-data-center/" TargetMode="External"/><Relationship Id="rId2002" Type="http://schemas.openxmlformats.org/officeDocument/2006/relationships/hyperlink" Target="https://www.prnewswire.com/news-releases/element-critical-adds-10mw-of-ai-ready-capacity-at-houston-one-campus-302619374.html" TargetMode="External"/><Relationship Id="rId2003" Type="http://schemas.openxmlformats.org/officeDocument/2006/relationships/hyperlink" Target="https://kdhnews.com/news/local/killeen-planning-and-zoning-commission-to-consider-approving-data-center-in-south-killeen/article_5539153b-752e-4def-9ab1-bf4cc7ad9e46.html" TargetMode="External"/><Relationship Id="rId2004" Type="http://schemas.openxmlformats.org/officeDocument/2006/relationships/hyperlink" Target="https://www.kcentv.com/video/news/local/killeen-planning-commission-rejects-30m-data-center-project/500-8b6dcb99-d07d-4d47-ba71-43d10e942a01" TargetMode="External"/><Relationship Id="rId2090" Type="http://schemas.openxmlformats.org/officeDocument/2006/relationships/hyperlink" Target="https://www.datacenterdynamics.com/en/news/aws-rockfish-planning-documents-reveal-three-amazon-data-centers-in-texas/" TargetMode="External"/><Relationship Id="rId2091" Type="http://schemas.openxmlformats.org/officeDocument/2006/relationships/hyperlink" Target="https://www.tdlr.texas.gov/TABS/Search/Project/TABS2021003294" TargetMode="External"/><Relationship Id="rId2092" Type="http://schemas.openxmlformats.org/officeDocument/2006/relationships/hyperlink" Target="https://www.datacenterdynamics.com/en/news/aws-rockfish-planning-documents-reveal-three-amazon-data-centers-in-texas/" TargetMode="External"/><Relationship Id="rId2093" Type="http://schemas.openxmlformats.org/officeDocument/2006/relationships/hyperlink" Target="https://www.datacenterdynamics.com/en/news/aws-rockfish-planning-documents-reveal-three-amazon-data-centers-in-texas/" TargetMode="External"/><Relationship Id="rId2094" Type="http://schemas.openxmlformats.org/officeDocument/2006/relationships/hyperlink" Target="https://gis-tceq.opendata.arcgis.com/datasets/daece6e3181140f69093ab69cf9ae0ba/explore?layer=0&amp;showTable=true" TargetMode="External"/><Relationship Id="rId2095" Type="http://schemas.openxmlformats.org/officeDocument/2006/relationships/hyperlink" Target="https://gis-tceq.opendata.arcgis.com/datasets/daece6e3181140f69093ab69cf9ae0ba/explore?layer=0&amp;showTable=true" TargetMode="External"/><Relationship Id="rId2096" Type="http://schemas.openxmlformats.org/officeDocument/2006/relationships/hyperlink" Target="https://www.expressnews.com/business/article/san-antonio-microsoft-west-side-data-centers-21061920.php" TargetMode="External"/><Relationship Id="rId2097" Type="http://schemas.openxmlformats.org/officeDocument/2006/relationships/hyperlink" Target="https://www.datacenterdynamics.com/en/news/vantage-buys-two-land-plots-in-san-antonio-texas/" TargetMode="External"/><Relationship Id="rId2098" Type="http://schemas.openxmlformats.org/officeDocument/2006/relationships/hyperlink" Target="https://www.datacenterdynamics.com/en/news/microsoft-planning-another-data-center-in-san-antonio-texas/" TargetMode="External"/><Relationship Id="rId2099" Type="http://schemas.openxmlformats.org/officeDocument/2006/relationships/hyperlink" Target="https://www.datacenterdynamics.com/en/news/vantage-buys-two-land-plots-in-san-antonio-texas/" TargetMode="External"/><Relationship Id="rId2060" Type="http://schemas.openxmlformats.org/officeDocument/2006/relationships/hyperlink" Target="https://www.datacenterdynamics.com/en/news/soluna-to-develop-two-new-data-centers-in-texas-with-a-combined-capacity-of-350mw/" TargetMode="External"/><Relationship Id="rId2061" Type="http://schemas.openxmlformats.org/officeDocument/2006/relationships/hyperlink" Target="https://www.datacenterdynamics.com/en/news/core-scientific-secures-300mw-capacity-at-pecos-data-center-in-texas-looks-to-behind-the-meter-power/" TargetMode="External"/><Relationship Id="rId2062" Type="http://schemas.openxmlformats.org/officeDocument/2006/relationships/hyperlink" Target="https://www.datacenterdynamics.com/en/news/pacifico-energy-unveils-5gw-offgrid-natural-gas-project-in-texas-slated-to-serve-a-hyperscale-data-center/" TargetMode="External"/><Relationship Id="rId2063" Type="http://schemas.openxmlformats.org/officeDocument/2006/relationships/hyperlink" Target="https://www.pacificoenergy.com/gw-ranch" TargetMode="External"/><Relationship Id="rId2064" Type="http://schemas.openxmlformats.org/officeDocument/2006/relationships/hyperlink" Target="https://finance.yahoo.com/news/pacifico-energy-secures-7-65-120000106.html" TargetMode="External"/><Relationship Id="rId2065" Type="http://schemas.openxmlformats.org/officeDocument/2006/relationships/hyperlink" Target="https://www.tdlr.texas.gov/TABS/Search/Project/TABS2024016342" TargetMode="External"/><Relationship Id="rId2066" Type="http://schemas.openxmlformats.org/officeDocument/2006/relationships/hyperlink" Target="https://www.mysanantonio.com/business/article/skybox-datacenter-hutto-pflugerville-19411678.php" TargetMode="External"/><Relationship Id="rId2067" Type="http://schemas.openxmlformats.org/officeDocument/2006/relationships/hyperlink" Target="https://www.datacenterdynamics.com/en/news/powered-land-company-cloverleaf-proposing-633-acre-data-center-in-canadian-county-oklahoma/" TargetMode="External"/><Relationship Id="rId2068" Type="http://schemas.openxmlformats.org/officeDocument/2006/relationships/hyperlink" Target="https://www.datacenterdynamics.com/en/news/aligned-announces-second-data-center-at-plano-campus-in-texas/" TargetMode="External"/><Relationship Id="rId2069" Type="http://schemas.openxmlformats.org/officeDocument/2006/relationships/hyperlink" Target="https://comptroller.texas.gov/taxes/data-centers/data-center-lists.php" TargetMode="External"/><Relationship Id="rId2050" Type="http://schemas.openxmlformats.org/officeDocument/2006/relationships/hyperlink" Target="https://www.datacenterdynamics.com/en/news/soluna-to-develop-two-new-data-centers-in-texas-with-a-combined-capacity-of-350mw/" TargetMode="External"/><Relationship Id="rId2051" Type="http://schemas.openxmlformats.org/officeDocument/2006/relationships/hyperlink" Target="https://www.datacenterdynamics.com/en/news/soluna-to-develop-two-new-data-centers-in-texas-with-a-combined-capacity-of-350mw/" TargetMode="External"/><Relationship Id="rId2052" Type="http://schemas.openxmlformats.org/officeDocument/2006/relationships/hyperlink" Target="https://www.solunacomputing.com/news/project-hedy-term-sheet/" TargetMode="External"/><Relationship Id="rId2053" Type="http://schemas.openxmlformats.org/officeDocument/2006/relationships/hyperlink" Target="https://www.datacenterdynamics.com/en/news/soluna-to-develop-two-new-data-centers-in-texas-with-a-combined-capacity-of-350mw/" TargetMode="External"/><Relationship Id="rId2054" Type="http://schemas.openxmlformats.org/officeDocument/2006/relationships/hyperlink" Target="https://www.datacenterdynamics.com/en/news/soluna-to-develop-two-new-data-centers-in-texas-with-a-combined-capacity-of-350mw/" TargetMode="External"/><Relationship Id="rId2055" Type="http://schemas.openxmlformats.org/officeDocument/2006/relationships/hyperlink" Target="https://www.yahoo.com/news/hays-county-says-ai-data-231555198.html" TargetMode="External"/><Relationship Id="rId2056" Type="http://schemas.openxmlformats.org/officeDocument/2006/relationships/hyperlink" Target="https://www.facebook.com/statesman/posts/hays-county-residents-packed-a-courtroom-tuesday-to-hear-some-of-the-first-infor/1112782817556071/" TargetMode="External"/><Relationship Id="rId2057" Type="http://schemas.openxmlformats.org/officeDocument/2006/relationships/hyperlink" Target="https://www.kut.org/energy-environment/2025-06-04/hays-county-texas-data-center-ai" TargetMode="External"/><Relationship Id="rId2058" Type="http://schemas.openxmlformats.org/officeDocument/2006/relationships/hyperlink" Target="https://www.datacenterdynamics.com/en/news/apr-energy-obtains-approval-for-800-acre-natural-gas-powered-data-center-in-pampa-texas/" TargetMode="External"/><Relationship Id="rId2059" Type="http://schemas.openxmlformats.org/officeDocument/2006/relationships/hyperlink" Target="https://www.monarchprivate.com/impact-investing-projects/view/tyson-nick-solar/" TargetMode="External"/><Relationship Id="rId2080" Type="http://schemas.openxmlformats.org/officeDocument/2006/relationships/hyperlink" Target="https://www.tdlr.texas.gov/TABS/Search/Project/TABS2020019741" TargetMode="External"/><Relationship Id="rId2081" Type="http://schemas.openxmlformats.org/officeDocument/2006/relationships/hyperlink" Target="https://www.datacenterdynamics.com/en/news/prime-and-vantage-buy-land-phoenix-arizona/" TargetMode="External"/><Relationship Id="rId2082" Type="http://schemas.openxmlformats.org/officeDocument/2006/relationships/hyperlink" Target="https://www.datacenterdynamics.com/en/news/cipher-looks-to-build-500mw-campus-near-coal-plant-outside-waco-texas/" TargetMode="External"/><Relationship Id="rId2083" Type="http://schemas.openxmlformats.org/officeDocument/2006/relationships/hyperlink" Target="https://gis-tceq.opendata.arcgis.com/datasets/daece6e3181140f69093ab69cf9ae0ba/explore?layer=0&amp;showTable=true" TargetMode="External"/><Relationship Id="rId2084" Type="http://schemas.openxmlformats.org/officeDocument/2006/relationships/hyperlink" Target="https://www.datacenterdynamics.com/en/news/hut-8-signs-352mw-data-center-lease-in-texas-with-investment-grade-tenant/" TargetMode="External"/><Relationship Id="rId2085" Type="http://schemas.openxmlformats.org/officeDocument/2006/relationships/hyperlink" Target="https://protectroundrock.org/" TargetMode="External"/><Relationship Id="rId2086" Type="http://schemas.openxmlformats.org/officeDocument/2006/relationships/hyperlink" Target="https://www.roundrocktexas.gov/city-departments/administration/data-centers-in-round-rock/" TargetMode="External"/><Relationship Id="rId2087" Type="http://schemas.openxmlformats.org/officeDocument/2006/relationships/hyperlink" Target="https://cbsaustin.com/news/local/round-rock-council-hears-hours-of-testimony-thursday-on-skybox-rezoning-plan" TargetMode="External"/><Relationship Id="rId2088" Type="http://schemas.openxmlformats.org/officeDocument/2006/relationships/hyperlink" Target="https://www.datacenterdynamics.com/en/news/skybox-eyes-six-building-data-center-campus-in-san-angelo-texas/" TargetMode="External"/><Relationship Id="rId2089" Type="http://schemas.openxmlformats.org/officeDocument/2006/relationships/hyperlink" Target="https://www.datacenterdynamics.com/en/news/aws-files-to-develop-data-centers-in-san-antonio-texas/" TargetMode="External"/><Relationship Id="rId2070" Type="http://schemas.openxmlformats.org/officeDocument/2006/relationships/hyperlink" Target="https://itbrief.news/story/aligned-lambda-join-forces-on-ai-ready-data-centre-in-texas" TargetMode="External"/><Relationship Id="rId2071" Type="http://schemas.openxmlformats.org/officeDocument/2006/relationships/hyperlink" Target="https://www.datacenterdynamics.com/en/news/lambda-cloud-to-take-capacity-at-aligneds-dfw-04-dallas-fort-worth-data-center/" TargetMode="External"/><Relationship Id="rId2072" Type="http://schemas.openxmlformats.org/officeDocument/2006/relationships/hyperlink" Target="https://aligneddc.com/dallas/" TargetMode="External"/><Relationship Id="rId2073" Type="http://schemas.openxmlformats.org/officeDocument/2006/relationships/hyperlink" Target="https://genesisdigitalassets.com/our-work-and-impact/" TargetMode="External"/><Relationship Id="rId2074" Type="http://schemas.openxmlformats.org/officeDocument/2006/relationships/hyperlink" Target="https://www.datacenterdynamics.com/en/news/core-scientific-buys-land-outside-dallas-texas-for-285mw-data-center-campus/" TargetMode="External"/><Relationship Id="rId2075" Type="http://schemas.openxmlformats.org/officeDocument/2006/relationships/hyperlink" Target="https://www.datacenterdynamics.com/en/news/databank-files-to-develop-two-more-data-centers-at-upcoming-red-oak-texas-campus/" TargetMode="External"/><Relationship Id="rId2076" Type="http://schemas.openxmlformats.org/officeDocument/2006/relationships/hyperlink" Target="https://www.datacenterdynamics.com/en/news/google-announces-plans-for-red-oak-data-center-campus-in-texas/" TargetMode="External"/><Relationship Id="rId2077" Type="http://schemas.openxmlformats.org/officeDocument/2006/relationships/hyperlink" Target="https://comptroller.texas.gov/taxes/data-centers/data-center-lists.php" TargetMode="External"/><Relationship Id="rId2078" Type="http://schemas.openxmlformats.org/officeDocument/2006/relationships/hyperlink" Target="https://baxtel.com/data-center/google-red-oak-tx" TargetMode="External"/><Relationship Id="rId2079" Type="http://schemas.openxmlformats.org/officeDocument/2006/relationships/hyperlink" Target="https://www.datacenterdynamics.com/en/news/compass-buys-land-second-dallas-campus/" TargetMode="External"/><Relationship Id="rId2940" Type="http://schemas.openxmlformats.org/officeDocument/2006/relationships/hyperlink" Target="https://www.datacenterdynamics.com/en/news/h5-acquires-new-york-data-centers-from-yahoo-in-sale-leaseback-deal/" TargetMode="External"/><Relationship Id="rId1610" Type="http://schemas.openxmlformats.org/officeDocument/2006/relationships/hyperlink" Target="https://datacenterwatch.substack.com/p/briefing-11212025" TargetMode="External"/><Relationship Id="rId2941" Type="http://schemas.openxmlformats.org/officeDocument/2006/relationships/hyperlink" Target="https://www.datacenterdynamics.com/en/news/six-building-data-center-campus-proposed-in-washington-by-fertilizer-company/" TargetMode="External"/><Relationship Id="rId1611" Type="http://schemas.openxmlformats.org/officeDocument/2006/relationships/hyperlink" Target="https://www.datacenterdynamics.com/en/news/energy-capital-partners-announces-plans-for-5bn-pennsylvania-data-center/" TargetMode="External"/><Relationship Id="rId2942" Type="http://schemas.openxmlformats.org/officeDocument/2006/relationships/hyperlink" Target="https://www.datacenterdynamics.com/en/news/digital-realty-plans-data-center-in-seattle-washington/" TargetMode="External"/><Relationship Id="rId1612" Type="http://schemas.openxmlformats.org/officeDocument/2006/relationships/hyperlink" Target="https://www.yorkdispatch.com/story/news/local/2025/07/18/york-county-to-host-5-billion-data-center-in-peach-bottom/85270282007/" TargetMode="External"/><Relationship Id="rId2943" Type="http://schemas.openxmlformats.org/officeDocument/2006/relationships/hyperlink" Target="https://www.datacenterdynamics.com/en/news/digital-realty-plans-data-center-in-seattle-washington/" TargetMode="External"/><Relationship Id="rId1613" Type="http://schemas.openxmlformats.org/officeDocument/2006/relationships/hyperlink" Target="https://www.datacenterdynamics.com/en/news/developer-may-build-data-center-instead-of-warehouse-in-perry-county-pennsylvania/" TargetMode="External"/><Relationship Id="rId2944" Type="http://schemas.openxmlformats.org/officeDocument/2006/relationships/hyperlink" Target="https://www.edgeconnex.com/locations/americas/seattle-wa/" TargetMode="External"/><Relationship Id="rId1614" Type="http://schemas.openxmlformats.org/officeDocument/2006/relationships/hyperlink" Target="https://www.change.org/p/stop-the-massive-data-center-in-east-stroudsburg-pa" TargetMode="External"/><Relationship Id="rId2945" Type="http://schemas.openxmlformats.org/officeDocument/2006/relationships/hyperlink" Target="https://www.datacenterdynamics.com/en/news/20mw-data-center-proposed-in-starbucks-seattle-hq-building-in-washington/" TargetMode="External"/><Relationship Id="rId1615" Type="http://schemas.openxmlformats.org/officeDocument/2006/relationships/hyperlink" Target="https://www.datacenterdynamics.com/en/news/data-center-could-come-to-stroudsburg-pennsylvania/" TargetMode="External"/><Relationship Id="rId2946" Type="http://schemas.openxmlformats.org/officeDocument/2006/relationships/hyperlink" Target="https://www.facebook.com/groups/24901633966193019" TargetMode="External"/><Relationship Id="rId1616" Type="http://schemas.openxmlformats.org/officeDocument/2006/relationships/hyperlink" Target="https://smithfieldtownship.com/odp/gatewaysketch/" TargetMode="External"/><Relationship Id="rId2947" Type="http://schemas.openxmlformats.org/officeDocument/2006/relationships/hyperlink" Target="https://www.datacenterdynamics.com/en/news/520-acre-data-center-campus-planned-in-beaver-dam-wisconsin/" TargetMode="External"/><Relationship Id="rId907" Type="http://schemas.openxmlformats.org/officeDocument/2006/relationships/hyperlink" Target="https://www.wxyz.com/news/region/oakland-county/lyon-township-residents-blindsided-by-ai-data-center-approval-near-homes" TargetMode="External"/><Relationship Id="rId1617" Type="http://schemas.openxmlformats.org/officeDocument/2006/relationships/hyperlink" Target="https://vilogics.com/" TargetMode="External"/><Relationship Id="rId2948" Type="http://schemas.openxmlformats.org/officeDocument/2006/relationships/hyperlink" Target="https://www.tmj4.com/news/dodge-county/its-really-scary-beaver-dam-residents-raise-water-concerns-about-metas-ai-data-center" TargetMode="External"/><Relationship Id="rId906" Type="http://schemas.openxmlformats.org/officeDocument/2006/relationships/hyperlink" Target="https://www.facebook.com/groups/nodatacenterinlyontownship/?sorting_setting=CHRONOLOGICAL" TargetMode="External"/><Relationship Id="rId1618" Type="http://schemas.openxmlformats.org/officeDocument/2006/relationships/hyperlink" Target="https://www.datacenterdynamics.com/en/news/developer-says-it-will-build-larger-data-center-if-plans-for-smaller-facility-near-philadelphia-go-unapproved/" TargetMode="External"/><Relationship Id="rId2949" Type="http://schemas.openxmlformats.org/officeDocument/2006/relationships/hyperlink" Target="https://about.fb.com/news/2025/11/metas-30th-data-center-delivering-ai-supporting-wetlands-restoration/" TargetMode="External"/><Relationship Id="rId905" Type="http://schemas.openxmlformats.org/officeDocument/2006/relationships/hyperlink" Target="https://choose-marshall.s3.amazonaws.com/images/economic-development-images/BrooksIndParkINFASTRUCTURE.jpg?v=1757959619" TargetMode="External"/><Relationship Id="rId1619" Type="http://schemas.openxmlformats.org/officeDocument/2006/relationships/hyperlink" Target="https://www.spotlightpa.org/news/2026/03/pennsylvania-data-centers-archbald-ai-evictions-environment/" TargetMode="External"/><Relationship Id="rId904" Type="http://schemas.openxmlformats.org/officeDocument/2006/relationships/hyperlink" Target="https://www.mlive.com/news/jackson/2025/12/marshall-approves-112m-land-sale-for-data-center-gas-plant-project.html" TargetMode="External"/><Relationship Id="rId909" Type="http://schemas.openxmlformats.org/officeDocument/2006/relationships/hyperlink" Target="https://planetdetroit.org/2025/12/michigan-data-center-news-roundup/" TargetMode="External"/><Relationship Id="rId908" Type="http://schemas.openxmlformats.org/officeDocument/2006/relationships/hyperlink" Target="https://www.hometownlife.com/story/news/2025/12/12/lyon-township-data-center-business-park/87734299007/" TargetMode="External"/><Relationship Id="rId903" Type="http://schemas.openxmlformats.org/officeDocument/2006/relationships/hyperlink" Target="https://www.datacenterdynamics.com/en/news/michigan-utility-consumers-energy-to-provide-1gw-of-power-to-new-hyperscale-data-center/" TargetMode="External"/><Relationship Id="rId902" Type="http://schemas.openxmlformats.org/officeDocument/2006/relationships/hyperlink" Target="https://www.datacenterdynamics.com/en/news/microsoft-plans-data-centers-in-dorr-and-lowell-townships-applies-for-property-rezoning-in-gaines-townships/" TargetMode="External"/><Relationship Id="rId901" Type="http://schemas.openxmlformats.org/officeDocument/2006/relationships/hyperlink" Target="https://www.wzzm13.com/article/news/local/microsoft-proposed-lowell-data-center/69-7cdddbc3-6793-4fbc-bd27-1d99f2a76e8e" TargetMode="External"/><Relationship Id="rId900" Type="http://schemas.openxmlformats.org/officeDocument/2006/relationships/hyperlink" Target="https://www.datacenterdynamics.com/en/news/developer-in-lowell-township-michigan-withdraws-data-center-application-following-opposition/" TargetMode="External"/><Relationship Id="rId2930" Type="http://schemas.openxmlformats.org/officeDocument/2006/relationships/hyperlink" Target="https://wisecova.interactivegis.com/jtf/35364" TargetMode="External"/><Relationship Id="rId1600" Type="http://schemas.openxmlformats.org/officeDocument/2006/relationships/hyperlink" Target="https://nodatacenter.net/" TargetMode="External"/><Relationship Id="rId2931" Type="http://schemas.openxmlformats.org/officeDocument/2006/relationships/hyperlink" Target="https://www.datacenterdynamics.com/en/news/10m-sq-ft-amazon-files-for-four-data-center-campuses-in-virginias-spotsylvania-and-caroline-counties/" TargetMode="External"/><Relationship Id="rId1601" Type="http://schemas.openxmlformats.org/officeDocument/2006/relationships/hyperlink" Target="https://www.datacenterdynamics.com/en/news/15gw-data-center-campus-proposed-in-pennsylvania/" TargetMode="External"/><Relationship Id="rId2932" Type="http://schemas.openxmlformats.org/officeDocument/2006/relationships/hyperlink" Target="https://fredericksburg.com/news/local/data-center-proposals-pile-up-in-spotsylvania/article_0b3a873c-ff26-11ed-97a1-df0bb17d1b49.html" TargetMode="External"/><Relationship Id="rId1602" Type="http://schemas.openxmlformats.org/officeDocument/2006/relationships/hyperlink" Target="https://www.citizensvoice.com/2025/08/11/senate-data-center-hearing-at-valley-view-largely-touts-benefits/" TargetMode="External"/><Relationship Id="rId2933" Type="http://schemas.openxmlformats.org/officeDocument/2006/relationships/hyperlink" Target="https://co.caroline.va.us/DocumentCenter/View/7255/RZ-02-2023-Orrock-Tech-Camus?bidId=" TargetMode="External"/><Relationship Id="rId1603" Type="http://schemas.openxmlformats.org/officeDocument/2006/relationships/hyperlink" Target="https://trackdatacenters.com/state/pennsylvania" TargetMode="External"/><Relationship Id="rId2934" Type="http://schemas.openxmlformats.org/officeDocument/2006/relationships/hyperlink" Target="https://www.datacenterdynamics.com/en/news/stack-commits-735bn-investment-into-data-center-campus-in-berry-hill-virginia/" TargetMode="External"/><Relationship Id="rId1604" Type="http://schemas.openxmlformats.org/officeDocument/2006/relationships/hyperlink" Target="https://www.flexential.com/data-centers/pa/philadelphia/collegeville-data-center" TargetMode="External"/><Relationship Id="rId2935" Type="http://schemas.openxmlformats.org/officeDocument/2006/relationships/hyperlink" Target="https://www.datacenterdynamics.com/en/news/microsoft-to-buy-more-than-100-acres-in-chelan-county-washington/" TargetMode="External"/><Relationship Id="rId1605" Type="http://schemas.openxmlformats.org/officeDocument/2006/relationships/hyperlink" Target="https://www.change.org/p/no-conshy-or-plymouth-data-centers" TargetMode="External"/><Relationship Id="rId2936" Type="http://schemas.openxmlformats.org/officeDocument/2006/relationships/hyperlink" Target="https://www.datacenterdynamics.com/en/news/microsoft-secures-power-supply-for-data-center-project-in-malaga-washington/" TargetMode="External"/><Relationship Id="rId1606" Type="http://schemas.openxmlformats.org/officeDocument/2006/relationships/hyperlink" Target="https://www.datacenterdynamics.com/en/news/planning-agency-of-plymouth-township-pennsylvania-votes-not-to-recommend-data-center-proposal/" TargetMode="External"/><Relationship Id="rId2937" Type="http://schemas.openxmlformats.org/officeDocument/2006/relationships/hyperlink" Target="https://www.tomshardware.com/tech-industry/cryptomining/major-bitcoin-mining-firm-pivoting-to-ai-plans-to-fully-abandon-crypto-mining-by-2027-bitfarm-to-leverage-341-megawatt-capacity-for-ai-following-usd46-million-q3-loss" TargetMode="External"/><Relationship Id="rId1607" Type="http://schemas.openxmlformats.org/officeDocument/2006/relationships/hyperlink" Target="https://whyy.org/articles/conshohocken-pennsylvania-residents-pushback-data-center-proposal/" TargetMode="External"/><Relationship Id="rId2938" Type="http://schemas.openxmlformats.org/officeDocument/2006/relationships/hyperlink" Target="https://bitfarms.com/our-portfolio/data-centers/north-america/" TargetMode="External"/><Relationship Id="rId1608" Type="http://schemas.openxmlformats.org/officeDocument/2006/relationships/hyperlink" Target="https://vista.today/2025/11/fight-against-conshohocken-data-center/" TargetMode="External"/><Relationship Id="rId2939" Type="http://schemas.openxmlformats.org/officeDocument/2006/relationships/hyperlink" Target="https://www.datacenterdynamics.com/en/news/bitfarms-to-convert-washington-cryptomine-to-hpcai-hosting/" TargetMode="External"/><Relationship Id="rId1609" Type="http://schemas.openxmlformats.org/officeDocument/2006/relationships/hyperlink" Target="https://www.inquirer.com/news/pennsylvania/ai-data-center-construction-conshohocken-proposal-withdrawn-20251118.html" TargetMode="External"/><Relationship Id="rId1631" Type="http://schemas.openxmlformats.org/officeDocument/2006/relationships/hyperlink" Target="https://www.fox43.com/article/news/local/dauphin-county/dauphin-highlands-golf-course-to-be-sold-456-million-to-build-new-data-center/521-0b9bf4e4-3d23-438f-a74f-4d373640f428" TargetMode="External"/><Relationship Id="rId2962" Type="http://schemas.openxmlformats.org/officeDocument/2006/relationships/hyperlink" Target="https://www.facebook.com/groups/1140996281561878/?ref=share&amp;mibextid=NSMWBT" TargetMode="External"/><Relationship Id="rId1632" Type="http://schemas.openxmlformats.org/officeDocument/2006/relationships/hyperlink" Target="https://fox56.com/news/local/crowd-of-100-gathers-in-hazle-twp-as-supervisor-board-votes-down-proposed-data-center" TargetMode="External"/><Relationship Id="rId2963" Type="http://schemas.openxmlformats.org/officeDocument/2006/relationships/hyperlink" Target="https://www.facebook.com/groups/1140996281561878/" TargetMode="External"/><Relationship Id="rId1633" Type="http://schemas.openxmlformats.org/officeDocument/2006/relationships/hyperlink" Target="https://www.foodandwaterwatch.org/" TargetMode="External"/><Relationship Id="rId2964" Type="http://schemas.openxmlformats.org/officeDocument/2006/relationships/hyperlink" Target="https://www.datacenterdynamics.com/en/news/qts-plans-15-building-data-center-campus-in-madison-wisconsin/" TargetMode="External"/><Relationship Id="rId1634" Type="http://schemas.openxmlformats.org/officeDocument/2006/relationships/hyperlink" Target="https://www.facebook.com/share/g/1MmD3egK9Z/" TargetMode="External"/><Relationship Id="rId2965" Type="http://schemas.openxmlformats.org/officeDocument/2006/relationships/hyperlink" Target="https://www.wpr.org/news/developer-qts-data-centers-looks-build-data-campus-dane-county-vienna" TargetMode="External"/><Relationship Id="rId1635" Type="http://schemas.openxmlformats.org/officeDocument/2006/relationships/hyperlink" Target="https://www.timesleader.com/news/1685632/luzerne-county-real-estate-tax-break-requested-for-15-building-data-center-in-hazle-township" TargetMode="External"/><Relationship Id="rId2966" Type="http://schemas.openxmlformats.org/officeDocument/2006/relationships/hyperlink" Target="https://www.wmtv15news.com/2025/07/31/large-data-center-proposal-raises-questions-rural-dane-county/" TargetMode="External"/><Relationship Id="rId1636" Type="http://schemas.openxmlformats.org/officeDocument/2006/relationships/hyperlink" Target="https://www.foodandwaterwatch.org/2025/11/18/hazle-township-pa-unanimously-rejects-data-center-campus/" TargetMode="External"/><Relationship Id="rId2967" Type="http://schemas.openxmlformats.org/officeDocument/2006/relationships/hyperlink" Target="https://www.datacenterdynamics.com/en/news/qts-data-centers-looks-to-build-another-facility-near-madison-wisconsin/" TargetMode="External"/><Relationship Id="rId1637" Type="http://schemas.openxmlformats.org/officeDocument/2006/relationships/hyperlink" Target="https://www.2822news.com/news/local-news/outcry-grows-over-proposed-data-center-campus/" TargetMode="External"/><Relationship Id="rId2968" Type="http://schemas.openxmlformats.org/officeDocument/2006/relationships/hyperlink" Target="https://www.datacenterdynamics.com/en/news/qts-drops-plan-for-data-center-near-madison-wisconsin-amid-opposition-from-local-officials/" TargetMode="External"/><Relationship Id="rId1638" Type="http://schemas.openxmlformats.org/officeDocument/2006/relationships/hyperlink" Target="https://www.foodandwaterwatch.org/2025/11/18/hazle-township-pa-unanimously-rejects-data-center-campus/" TargetMode="External"/><Relationship Id="rId2969" Type="http://schemas.openxmlformats.org/officeDocument/2006/relationships/hyperlink" Target="https://www.datacenterdynamics.com/en/news/qts-drops-plan-for-data-center-near-madison-wisconsin-amid-opposition-from-local-officials/" TargetMode="External"/><Relationship Id="rId929" Type="http://schemas.openxmlformats.org/officeDocument/2006/relationships/hyperlink" Target="https://planetdetroit.org/2026/01/van-buren-data-center-protest/" TargetMode="External"/><Relationship Id="rId1639" Type="http://schemas.openxmlformats.org/officeDocument/2006/relationships/hyperlink" Target="https://www.concernedresidentsofwesternpa.com/" TargetMode="External"/><Relationship Id="rId928" Type="http://schemas.openxmlformats.org/officeDocument/2006/relationships/hyperlink" Target="https://planetdetroit.org/2025/12/van-buren-data-center-pitch/" TargetMode="External"/><Relationship Id="rId927" Type="http://schemas.openxmlformats.org/officeDocument/2006/relationships/hyperlink" Target="https://www.wemu.org/wemu-news/2025-12-12/big-crowd-in-van-buren-township-looks-for-answers-on-proposed-data-center" TargetMode="External"/><Relationship Id="rId926" Type="http://schemas.openxmlformats.org/officeDocument/2006/relationships/hyperlink" Target="https://www.datacenterdynamics.com/en/news/panattoni-looks-to-develop-1gw-data-center-campus-outside-detroit-michigan/" TargetMode="External"/><Relationship Id="rId921" Type="http://schemas.openxmlformats.org/officeDocument/2006/relationships/hyperlink" Target="https://www.mlive.com/news/ann-arbor/2025/10/rural-residents-in-an-uproar-over-openais-massive-data-center-project-in-saline-township.html" TargetMode="External"/><Relationship Id="rId920" Type="http://schemas.openxmlformats.org/officeDocument/2006/relationships/hyperlink" Target="https://www.mlive.com/news/ann-arbor/2025/09/data-center-for-ai-computing-rejected-in-farming-community-near-ann-arbor.html" TargetMode="External"/><Relationship Id="rId925" Type="http://schemas.openxmlformats.org/officeDocument/2006/relationships/hyperlink" Target="https://www.change.org/p/stop-the-massive-data-center-in-van-buren-township-michigan" TargetMode="External"/><Relationship Id="rId924" Type="http://schemas.openxmlformats.org/officeDocument/2006/relationships/hyperlink" Target="https://www.datacenterdynamics.com/en/news/or/" TargetMode="External"/><Relationship Id="rId923" Type="http://schemas.openxmlformats.org/officeDocument/2006/relationships/hyperlink" Target="https://planetdetroit.org/2026/02/saline-data-center-air-wetlands-permits/" TargetMode="External"/><Relationship Id="rId922" Type="http://schemas.openxmlformats.org/officeDocument/2006/relationships/hyperlink" Target="https://www.mlive.com/news/2025/11/dte-asks-to-rush-approval-of-massive-data-center-deal-avoiding-hearings.html" TargetMode="External"/><Relationship Id="rId2960" Type="http://schemas.openxmlformats.org/officeDocument/2006/relationships/hyperlink" Target="https://wisconsinwatch.org/2026/04/wisconsin-data-center-rural-town-cassville-rejects-plan-driftless-area-zoning/" TargetMode="External"/><Relationship Id="rId1630" Type="http://schemas.openxmlformats.org/officeDocument/2006/relationships/hyperlink" Target="https://www.fox43.com/article/news/local/dauphin-county/dauphin-highlands-golf-course-to-be-sold-456-million-to-build-new-data-center/521-0b9bf4e4-3d23-438f-a74f-4d373640f428" TargetMode="External"/><Relationship Id="rId2961" Type="http://schemas.openxmlformats.org/officeDocument/2006/relationships/hyperlink" Target="https://www.thecooldown.com/green-tech/data-center-plan-grant-county-opposition/" TargetMode="External"/><Relationship Id="rId1620" Type="http://schemas.openxmlformats.org/officeDocument/2006/relationships/hyperlink" Target="https://www.thetimes-tribune.com/2025/05/14/developer-seeks-to-convert-archbald-junkyard-to-data-centers/" TargetMode="External"/><Relationship Id="rId2951" Type="http://schemas.openxmlformats.org/officeDocument/2006/relationships/hyperlink" Target="https://www.widatacenterfacts.org/communities/beaver-dam" TargetMode="External"/><Relationship Id="rId1621" Type="http://schemas.openxmlformats.org/officeDocument/2006/relationships/hyperlink" Target="https://www.wnep.com/article/news/local/lackawanna-county/data-center-lackawanna-county-archbald-blakely-jessup-council-votes/523-627d1d15-f8e2-436e-be39-732ec3ee3b26" TargetMode="External"/><Relationship Id="rId2952" Type="http://schemas.openxmlformats.org/officeDocument/2006/relationships/hyperlink" Target="https://www.jsonline.com/story/news/environment/2025/12/10/suit-demands-energy-use-projections-at-metas-beaver-dam-data-center/87703071007/" TargetMode="External"/><Relationship Id="rId1622" Type="http://schemas.openxmlformats.org/officeDocument/2006/relationships/hyperlink" Target="https://www.datacenterdynamics.com/en/news/junkyard-in-pennsylvania-acquired-developer-files-to-develop-data-center-campus/" TargetMode="External"/><Relationship Id="rId2953" Type="http://schemas.openxmlformats.org/officeDocument/2006/relationships/hyperlink" Target="https://www.datacenterdynamics.com/en/news/real-estate-developer-panattoni-takes-over-meta-backed-data-center-proposal-in-southern-wisconsin/" TargetMode="External"/><Relationship Id="rId1623" Type="http://schemas.openxmlformats.org/officeDocument/2006/relationships/hyperlink" Target="https://www.pennlive.com/business/2025/07/750000-square-foot-data-center-planned-along-interstate-83.html" TargetMode="External"/><Relationship Id="rId2954" Type="http://schemas.openxmlformats.org/officeDocument/2006/relationships/hyperlink" Target="https://www.datacenterdynamics.com/en/news/oppidan-targets-edge-data-center-in-beaver-dam-wisconsin/" TargetMode="External"/><Relationship Id="rId1624" Type="http://schemas.openxmlformats.org/officeDocument/2006/relationships/hyperlink" Target="https://www.datacenterdynamics.com/en/news/750000-sq-ft-data-center-could-be-built-in-fairview-township-pennsylvania/" TargetMode="External"/><Relationship Id="rId2955" Type="http://schemas.openxmlformats.org/officeDocument/2006/relationships/hyperlink" Target="https://www.facebook.com/groups/1347060293852060/" TargetMode="External"/><Relationship Id="rId1625" Type="http://schemas.openxmlformats.org/officeDocument/2006/relationships/hyperlink" Target="https://www.fox43.com/article/news/local/york-county/500-million-data-center-fairview-township-york-county/521-81526e0c-e19d-4211-adaf-d2cee8ecda8f" TargetMode="External"/><Relationship Id="rId2956" Type="http://schemas.openxmlformats.org/officeDocument/2006/relationships/hyperlink" Target="https://www.datacenterdynamics.com/en/news/meta-signs-pre-development-agreement-for-data-center-in-beloit-wisconsin/" TargetMode="External"/><Relationship Id="rId1626" Type="http://schemas.openxmlformats.org/officeDocument/2006/relationships/hyperlink" Target="https://twp.fairview.pa.us/Portals/0/Documents/Ordinances/Ord_%202025-03%20Zoning%20Text%20Amendment-Data%20Centers.pdf?ver=lnIE88kB2GVscYisHhcOOA%3d%3d" TargetMode="External"/><Relationship Id="rId2957" Type="http://schemas.openxmlformats.org/officeDocument/2006/relationships/hyperlink" Target="https://www.datacenterdynamics.com/en/news/cloverleaf-walks-away-from-data-center-site-project-in-kewaunee-wisconsin/" TargetMode="External"/><Relationship Id="rId1627" Type="http://schemas.openxmlformats.org/officeDocument/2006/relationships/hyperlink" Target="https://www.arkdna.com/data-centers/pennsylvania/" TargetMode="External"/><Relationship Id="rId2958" Type="http://schemas.openxmlformats.org/officeDocument/2006/relationships/hyperlink" Target="https://pbswisconsin.org/news-item/kewaunee-county-town-staves-off-plan-for-a-land-purchase-by-a-data-center-developer/" TargetMode="External"/><Relationship Id="rId918" Type="http://schemas.openxmlformats.org/officeDocument/2006/relationships/hyperlink" Target="https://www.datacenterdynamics.com/en/news/related-pitches-575-acre-data-center-campus-outside-detroit-michigan/" TargetMode="External"/><Relationship Id="rId1628" Type="http://schemas.openxmlformats.org/officeDocument/2006/relationships/hyperlink" Target="https://www.datacenterfrontier.com/site-selection/article/55281341/pennsylvanias-homer-city-energy-campus-a-brownfield-transformed-for-data-center-innovation" TargetMode="External"/><Relationship Id="rId2959" Type="http://schemas.openxmlformats.org/officeDocument/2006/relationships/hyperlink" Target="https://wisconsinwatch.org/2026/06/a-2-billion-proposal-then-silence-how-a-driftless-area-data-center-deal-fell-apart/" TargetMode="External"/><Relationship Id="rId917" Type="http://schemas.openxmlformats.org/officeDocument/2006/relationships/hyperlink" Target="https://www.datacenterdynamics.com/en/news/oracle-and-openai-start-construction-on-stargate-data-center-campus-in-saline-township-michigan/" TargetMode="External"/><Relationship Id="rId1629" Type="http://schemas.openxmlformats.org/officeDocument/2006/relationships/hyperlink" Target="https://www.datacenterdynamics.com/en/news/golf-course-set-to-become-data-center-in-dauphin-county-pennsylvania/" TargetMode="External"/><Relationship Id="rId916" Type="http://schemas.openxmlformats.org/officeDocument/2006/relationships/hyperlink" Target="https://thesalinepost.com/g/saline-mi/n/358617/city-saline-institutes-temporary-moratorium-data-centers" TargetMode="External"/><Relationship Id="rId915" Type="http://schemas.openxmlformats.org/officeDocument/2006/relationships/hyperlink" Target="https://www.datacenterdynamics.com/en/news/michigans-oakland-university-board-votes-to-move-ahead-with-data-center-project/" TargetMode="External"/><Relationship Id="rId919" Type="http://schemas.openxmlformats.org/officeDocument/2006/relationships/hyperlink" Target="https://www.msn.com/en-us/money/realestate/proposal-to-build-computer-data-center-near-saline-sparks-debate/ar-AA1KqiDZ?apiversion=v2&amp;noservercache=1&amp;domshim=1&amp;renderwebcomponents=1&amp;wcseo=1&amp;batchservertelemetry=1&amp;noservertelemetry=1" TargetMode="External"/><Relationship Id="rId910" Type="http://schemas.openxmlformats.org/officeDocument/2006/relationships/hyperlink" Target="https://planetdetroit.org/2026/01/lyon-township-data-center-plan/" TargetMode="External"/><Relationship Id="rId914" Type="http://schemas.openxmlformats.org/officeDocument/2006/relationships/hyperlink" Target="https://www.datacenterdynamics.com/en/news/michigans-oakland-university-puts-out-call-for-data-center-proposals/" TargetMode="External"/><Relationship Id="rId913" Type="http://schemas.openxmlformats.org/officeDocument/2006/relationships/hyperlink" Target="https://www.datacenterdynamics.com/en/news/alphabet-spin-out-verrus-plans-three-building-data-center-campus-outside-portland-oregon/" TargetMode="External"/><Relationship Id="rId912" Type="http://schemas.openxmlformats.org/officeDocument/2006/relationships/hyperlink" Target="https://www.crainsdetroit.com/technology/cdb-anthropic-projectflex-datacenter-20260414/?utm_id=gfta-ur-260414&amp;share-code=F4JNH5GIING7NDXCBOJBJ5QVZM&amp;user_id=9885400&amp;customer_secondary_source=cdb_articleGifting&amp;fbclid=IwdGRjcARLdD9jbGNrBEt0NmV4dG4DYWVtAjExAHNydGMGYXBwX2lkDDM1MDY4NTUzMTcyOAABHuy4NDQbhkRm0MqYKNA8xHVyzE_IEbw7Q63iYC4OtY7wS2VOuDb-HW1V_hun_aem_aeBEd6Vy6DKHXUxdtutdIw" TargetMode="External"/><Relationship Id="rId911" Type="http://schemas.openxmlformats.org/officeDocument/2006/relationships/hyperlink" Target="https://www.datacenterdynamics.com/en/news/180-acre-data-center-set-to-be-built-in-lyon-township-michigan/" TargetMode="External"/><Relationship Id="rId2950" Type="http://schemas.openxmlformats.org/officeDocument/2006/relationships/hyperlink" Target="https://www.newsbreak.com/jim-delillo-1721389/4350500248657-a-1-billion-warning-meta-s-new-wisconsin-ai-data-center-could-change-beaver-dam-forever" TargetMode="External"/><Relationship Id="rId2900" Type="http://schemas.openxmlformats.org/officeDocument/2006/relationships/hyperlink" Target="https://reparcelasmt.loudoun.gov/pt/datalets/datalet.aspx?mode=profileall&amp;UseSearch=no&amp;pin=044175589000&amp;jur=107&amp;taxyr=2025&amp;LMparent=20" TargetMode="External"/><Relationship Id="rId2901" Type="http://schemas.openxmlformats.org/officeDocument/2006/relationships/hyperlink" Target="https://go.boarddocs.com/va/tocva/Board.nsf/files/CTNP796180C4/$file/Copper%20Ridge%20Data%20Center_RZStaffReport.pdf" TargetMode="External"/><Relationship Id="rId2902" Type="http://schemas.openxmlformats.org/officeDocument/2006/relationships/hyperlink" Target="https://gis.vgsi.com/culpeperva/Parcel.aspx?pid=10215" TargetMode="External"/><Relationship Id="rId2903" Type="http://schemas.openxmlformats.org/officeDocument/2006/relationships/hyperlink" Target="https://loudouncountyvaeg.tylerhost.net/prod/selfservice" TargetMode="External"/><Relationship Id="rId2904" Type="http://schemas.openxmlformats.org/officeDocument/2006/relationships/hyperlink" Target="https://reparcelasmt.loudoun.gov/pt/Datalets/Datalet.aspx?UseSearch=no&amp;mode=profileall&amp;pin=203172023000&amp;jur=107&amp;taxyr=2024" TargetMode="External"/><Relationship Id="rId2905" Type="http://schemas.openxmlformats.org/officeDocument/2006/relationships/hyperlink" Target="https://reparcelasmt.loudoun.gov/pt/datalets/datalet.aspx?mode=profileall&amp;UseSearch=no&amp;pin=203354208000&amp;jur=107&amp;taxyr=2024&amp;LMparent=20" TargetMode="External"/><Relationship Id="rId2906" Type="http://schemas.openxmlformats.org/officeDocument/2006/relationships/hyperlink" Target="https://www.datacenterdynamics.com/en/news/aws-sells-land-in-manassas-to-stack-buys-land-data-centers-in-loudoun-county-from-stack-owner-ipi/" TargetMode="External"/><Relationship Id="rId2907" Type="http://schemas.openxmlformats.org/officeDocument/2006/relationships/hyperlink" Target="https://reparcelasmt.loudoun.gov/pt/Datalets/Datalet.aspx?mode=commercial&amp;UseSearch=no&amp;pin=246203645000&amp;jur=107&amp;taxyr=2024&amp;card=1&amp;item=0&amp;State=2%7C1%7C1%7C1%7C1%7C&amp;items=4" TargetMode="External"/><Relationship Id="rId2908" Type="http://schemas.openxmlformats.org/officeDocument/2006/relationships/hyperlink" Target="https://www.ipetitions.com/petition/petition-no-data-centers-yes-to-rural/" TargetMode="External"/><Relationship Id="rId2909" Type="http://schemas.openxmlformats.org/officeDocument/2006/relationships/hyperlink" Target="https://www.datacenterdynamics.com/en/news/87-acre-project-tallmadge-to-be-built-in-strasburg-virginia/" TargetMode="External"/><Relationship Id="rId2920" Type="http://schemas.openxmlformats.org/officeDocument/2006/relationships/hyperlink" Target="https://propertysearch.virginiabeach.gov/" TargetMode="External"/><Relationship Id="rId2921" Type="http://schemas.openxmlformats.org/officeDocument/2006/relationships/hyperlink" Target="https://www.fauquiernow.com/news/data-center-database-where-projects-stand-across-fauquier-county/article_18be50e8-49f6-11ef-95cf-3b45407fea55.html" TargetMode="External"/><Relationship Id="rId2922" Type="http://schemas.openxmlformats.org/officeDocument/2006/relationships/hyperlink" Target="https://gis.vgsi.com/fauquierva/Parcel.aspx?pid=46425" TargetMode="External"/><Relationship Id="rId2923" Type="http://schemas.openxmlformats.org/officeDocument/2006/relationships/hyperlink" Target="https://commdevpay.fauquiercounty.gov/Energov_Prod/SelfService" TargetMode="External"/><Relationship Id="rId2924" Type="http://schemas.openxmlformats.org/officeDocument/2006/relationships/hyperlink" Target="https://www.fauquier.com/news/article_55011450-b2d5-11ed-bd87-df7e49eb5e4a.html" TargetMode="External"/><Relationship Id="rId2925" Type="http://schemas.openxmlformats.org/officeDocument/2006/relationships/hyperlink" Target="https://www.datacenterdynamics.com/en/news/two-sites-in-virginias-fauquier-county-bought-by-data-center-developer/" TargetMode="External"/><Relationship Id="rId2926" Type="http://schemas.openxmlformats.org/officeDocument/2006/relationships/hyperlink" Target="https://gis.vgsi.com/fauquierva/Parcel.aspx?pid=46540" TargetMode="External"/><Relationship Id="rId2927" Type="http://schemas.openxmlformats.org/officeDocument/2006/relationships/hyperlink" Target="https://commdevpay.fauquiercounty.gov/Energov_Prod/SelfService" TargetMode="External"/><Relationship Id="rId2928" Type="http://schemas.openxmlformats.org/officeDocument/2006/relationships/hyperlink" Target="https://commdevpay.fauquiercounty.gov/Energov_Prod/SelfService" TargetMode="External"/><Relationship Id="rId2929" Type="http://schemas.openxmlformats.org/officeDocument/2006/relationships/hyperlink" Target="https://www.dpfacilities.com/markets/wise-va/" TargetMode="External"/><Relationship Id="rId2910" Type="http://schemas.openxmlformats.org/officeDocument/2006/relationships/hyperlink" Target="https://www.strasburgva.com/administration/project/data-center-informatione-built-in-strasburg-virginia/" TargetMode="External"/><Relationship Id="rId2911" Type="http://schemas.openxmlformats.org/officeDocument/2006/relationships/hyperlink" Target="https://cardinalnews.org/2025/06/24/google-buys-botetourt-county-land-for-data-center-plans/" TargetMode="External"/><Relationship Id="rId2912" Type="http://schemas.openxmlformats.org/officeDocument/2006/relationships/hyperlink" Target="https://www.wsls.com/news/local/2025/09/12/western-virginia-water-authority-planning-ahead-as-google-builds-new-data-center-in-botetourt-county/" TargetMode="External"/><Relationship Id="rId2913" Type="http://schemas.openxmlformats.org/officeDocument/2006/relationships/hyperlink" Target="https://www.datacenterdynamics.com/en/news/google-details-planned-data-center-in-botetourt-county-virginia/" TargetMode="External"/><Relationship Id="rId2914" Type="http://schemas.openxmlformats.org/officeDocument/2006/relationships/hyperlink" Target="https://www.fairfaxcounty.gov/planning-development/sites/planning-development/files/Assets/Documents/PDF/data-centers-report.pdf" TargetMode="External"/><Relationship Id="rId2915" Type="http://schemas.openxmlformats.org/officeDocument/2006/relationships/hyperlink" Target="https://icare.fairfaxcounty.gov/ffxcare/Datalets/Datalet.aspx?mode=&amp;UseSearch=no&amp;pin=0294%2006%20%200097F&amp;jur=129&amp;taxyr=2025" TargetMode="External"/><Relationship Id="rId2916" Type="http://schemas.openxmlformats.org/officeDocument/2006/relationships/hyperlink" Target="https://www.fairfaxcounty.gov/planning-development/sites/planning-development/files/Assets/Documents/PDF/data-centers-report.pdf" TargetMode="External"/><Relationship Id="rId2917" Type="http://schemas.openxmlformats.org/officeDocument/2006/relationships/hyperlink" Target="https://www.datacenterdynamics.com/en/news/serverfarm-enters-virginia-targets-data-center-in-tysons-corner/" TargetMode="External"/><Relationship Id="rId2918" Type="http://schemas.openxmlformats.org/officeDocument/2006/relationships/hyperlink" Target="https://propertysearch.virginiabeach.gov/" TargetMode="External"/><Relationship Id="rId2919" Type="http://schemas.openxmlformats.org/officeDocument/2006/relationships/hyperlink" Target="https://baxtel.com/data-center/telxius-cable-landing-station-virginia-beach" TargetMode="External"/><Relationship Id="rId1697" Type="http://schemas.openxmlformats.org/officeDocument/2006/relationships/hyperlink" Target="https://www.prnewswire.com/news-releases/tecfusions-unveils-massive-1400-acre-data-center-project-in-pennsylvania-revitalizing-former-industrial-plant-302350041.html" TargetMode="External"/><Relationship Id="rId1698" Type="http://schemas.openxmlformats.org/officeDocument/2006/relationships/hyperlink" Target="https://triblive.com/local/valley-news-dispatch/upper-burrell-data-center-to-use-natural-gas-for-more-than-2-gigawatts-of-power-generation/" TargetMode="External"/><Relationship Id="rId1699" Type="http://schemas.openxmlformats.org/officeDocument/2006/relationships/hyperlink" Target="https://www.spotlightpa.org/news/2025/10/pennsylvania-data-centers-community-opposition-ai-development-environment/" TargetMode="External"/><Relationship Id="rId866" Type="http://schemas.openxmlformats.org/officeDocument/2006/relationships/hyperlink" Target="https://www.change.org/p/prevent-the-construction-of-a-data-center-in-dundee-mi" TargetMode="External"/><Relationship Id="rId865" Type="http://schemas.openxmlformats.org/officeDocument/2006/relationships/hyperlink" Target="https://www.datacenterdynamics.com/en/news/hyperscale-data-completes-land-acquisition-to-expand-michigan-campus/" TargetMode="External"/><Relationship Id="rId864" Type="http://schemas.openxmlformats.org/officeDocument/2006/relationships/hyperlink" Target="https://www.datacenterdynamics.com/en/news/hyperscale-data-signs-20mw-capacity-agreement-with-neocloud-customer-at-its-michigan-data-center/" TargetMode="External"/><Relationship Id="rId863" Type="http://schemas.openxmlformats.org/officeDocument/2006/relationships/hyperlink" Target="https://www.mlive.com/news/kalamazoo/2026/06/a-prison-in-our-own-yard-life-next-to-a-data-center-and-its-never-ending-noise.html" TargetMode="External"/><Relationship Id="rId869" Type="http://schemas.openxmlformats.org/officeDocument/2006/relationships/hyperlink" Target="https://www.cbsnews.com/detroit/news/southfield-data-center-proposal-city-council-vote/" TargetMode="External"/><Relationship Id="rId868" Type="http://schemas.openxmlformats.org/officeDocument/2006/relationships/hyperlink" Target="https://www.fox2detroit.com/news/new-ai-data-center-proposed-southfield-amid-others-across-metro-detroit" TargetMode="External"/><Relationship Id="rId867" Type="http://schemas.openxmlformats.org/officeDocument/2006/relationships/hyperlink" Target="https://www.datacenterdynamics.com/en/news/cloverleaf-drops-initial-plans-for-michigan-data-center-council-votes-to-block-water-supply/" TargetMode="External"/><Relationship Id="rId1690" Type="http://schemas.openxmlformats.org/officeDocument/2006/relationships/hyperlink" Target="https://paenvironmentdaily.blogspot.com/2025/08/bitfarms-announces-partnership-to.html" TargetMode="External"/><Relationship Id="rId1691" Type="http://schemas.openxmlformats.org/officeDocument/2006/relationships/hyperlink" Target="https://investor.bitfarms.com/news-releases/news-release-details/bitfarms-announces-partnership-t5-data-centers-advance-hpcai" TargetMode="External"/><Relationship Id="rId1692" Type="http://schemas.openxmlformats.org/officeDocument/2006/relationships/hyperlink" Target="https://www.tnonline.com/20251120/bitfarms-details-data-center-plan-job-potential/" TargetMode="External"/><Relationship Id="rId862" Type="http://schemas.openxmlformats.org/officeDocument/2006/relationships/hyperlink" Target="https://www.datacenterdynamics.com/en/news/hyperscale-data-purchases-485-acres-in-southwest-michigan-to-expand-data-center-campus/" TargetMode="External"/><Relationship Id="rId1693" Type="http://schemas.openxmlformats.org/officeDocument/2006/relationships/hyperlink" Target="https://www.change.org/p/preserve-the-rural-character-of-mahoning-township-and-surrounding-area-in-lawrence-county" TargetMode="External"/><Relationship Id="rId861" Type="http://schemas.openxmlformats.org/officeDocument/2006/relationships/hyperlink" Target="https://www.dbusiness.com/daily-news/hyperscale-data-planning-major-expansion-of-michigan-ai-data-center-by-2029/" TargetMode="External"/><Relationship Id="rId1694" Type="http://schemas.openxmlformats.org/officeDocument/2006/relationships/hyperlink" Target="https://www.datacenterdynamics.com/en/news/data-center-campus-proposed-at-former-dynamite-factory-site-in-lawrence-county-pennsylvania/" TargetMode="External"/><Relationship Id="rId860" Type="http://schemas.openxmlformats.org/officeDocument/2006/relationships/hyperlink" Target="https://www.datacenterdynamics.com/en/news/microsoft-plans-data-centers-in-dorr-and-lowell-townships-applies-for-property-rezoning-in-gaines-townships/" TargetMode="External"/><Relationship Id="rId1695" Type="http://schemas.openxmlformats.org/officeDocument/2006/relationships/hyperlink" Target="https://www.facebook.com/photo?fbid=10237319121305210&amp;set=gm.1273615847314795&amp;idorvanity=400148284661560" TargetMode="External"/><Relationship Id="rId1696" Type="http://schemas.openxmlformats.org/officeDocument/2006/relationships/hyperlink" Target="https://www.protectpt.org/data-center" TargetMode="External"/><Relationship Id="rId1686" Type="http://schemas.openxmlformats.org/officeDocument/2006/relationships/hyperlink" Target="https://www.sungazette.com/uncategorized/2026/06/data-center-proposed-in-muncy-township/" TargetMode="External"/><Relationship Id="rId1687" Type="http://schemas.openxmlformats.org/officeDocument/2006/relationships/hyperlink" Target="https://www.sungazette.com/news/top-news/2026/07/muncy-township-solicitor-data-center-filings-are-inconsistent/" TargetMode="External"/><Relationship Id="rId1688" Type="http://schemas.openxmlformats.org/officeDocument/2006/relationships/hyperlink" Target="https://www.tomshardware.com/tech-industry/cryptomining/major-bitcoin-mining-firm-pivoting-to-ai-plans-to-fully-abandon-crypto-mining-by-2027-bitfarm-to-leverage-341-megawatt-capacity-for-ai-following-usd46-million-q3-loss" TargetMode="External"/><Relationship Id="rId1689" Type="http://schemas.openxmlformats.org/officeDocument/2006/relationships/hyperlink" Target="https://bitfarms.com/our-portfolio/data-centers/north-america/" TargetMode="External"/><Relationship Id="rId855" Type="http://schemas.openxmlformats.org/officeDocument/2006/relationships/hyperlink" Target="https://www.datacenterdynamics.com/en/news/mystery-tech-firm-looks-to-build-800-acre-data-center-campus-outside-grand-rapids-michigan/" TargetMode="External"/><Relationship Id="rId854" Type="http://schemas.openxmlformats.org/officeDocument/2006/relationships/hyperlink" Target="https://www.datacenterdynamics.com/en/news/switch-plans-second-expansion-of-pyramid-data-center-campus-in-grand-rapids-michigan/" TargetMode="External"/><Relationship Id="rId853" Type="http://schemas.openxmlformats.org/officeDocument/2006/relationships/hyperlink" Target="https://www.datacenterdynamics.com/en/news/microsoft-looks-to-buy-578-additional-acres-in-gaines-township-michigan/" TargetMode="External"/><Relationship Id="rId852" Type="http://schemas.openxmlformats.org/officeDocument/2006/relationships/hyperlink" Target="https://www.datacenterdynamics.com/en/news/panattoni-looks-to-develop-1gw-data-center-campus-outside-detroit-michigan/" TargetMode="External"/><Relationship Id="rId859" Type="http://schemas.openxmlformats.org/officeDocument/2006/relationships/hyperlink" Target="https://docs.google.com/viewerng/viewer?url=https://www.hayestownshipmi.gov/wp-content/uploads/2026/06/PSA-and-E-mail-Response_Hayes-Twp_FINAL-1.pdf&amp;hl=en_US" TargetMode="External"/><Relationship Id="rId858" Type="http://schemas.openxmlformats.org/officeDocument/2006/relationships/hyperlink" Target="https://www.mlive.com/environment/2026/03/northern-michigan-township-extends-data-center-pause-amid-concerns-over-big-rock-point.html" TargetMode="External"/><Relationship Id="rId857" Type="http://schemas.openxmlformats.org/officeDocument/2006/relationships/hyperlink" Target="https://www.mlive.com/environment/2026/02/former-nuclear-plant-site-draws-data-center-concerns-in-northern-michigan.html" TargetMode="External"/><Relationship Id="rId856" Type="http://schemas.openxmlformats.org/officeDocument/2006/relationships/hyperlink" Target="https://nocharlevoixdatacenter.org/" TargetMode="External"/><Relationship Id="rId1680" Type="http://schemas.openxmlformats.org/officeDocument/2006/relationships/hyperlink" Target="https://www.fallstwp.com/resources/news/article/?id=10070" TargetMode="External"/><Relationship Id="rId1681" Type="http://schemas.openxmlformats.org/officeDocument/2006/relationships/hyperlink" Target="https://www.gofundme.com/f/support-our-fight-against-data-center-development" TargetMode="External"/><Relationship Id="rId851" Type="http://schemas.openxmlformats.org/officeDocument/2006/relationships/hyperlink" Target="https://ussignal.com/data-centers/mi03-detroit/" TargetMode="External"/><Relationship Id="rId1682" Type="http://schemas.openxmlformats.org/officeDocument/2006/relationships/hyperlink" Target="https://www.datacenterdynamics.com/en/news/municipal-leaders-debate-data-center-zoning-ordinance-in-dorrance-township-pennsylvania/" TargetMode="External"/><Relationship Id="rId850" Type="http://schemas.openxmlformats.org/officeDocument/2006/relationships/hyperlink" Target="https://www.datacenterdynamics.com/en/news/us-signal-to-expand-capacity-at-data-centers-in-michigan-detroit/" TargetMode="External"/><Relationship Id="rId1683" Type="http://schemas.openxmlformats.org/officeDocument/2006/relationships/hyperlink" Target="https://web.archive.org/web/20251010033215/https://www.citizensvoice.com/2025/10/08/developer-challenges-dorrance-twp-zoning-ordinance-arguing-it-unlawfully-excluded-data-centers/" TargetMode="External"/><Relationship Id="rId1684" Type="http://schemas.openxmlformats.org/officeDocument/2006/relationships/hyperlink" Target="https://www.gofundme.com/f/support-our-fight-against-data-center-development" TargetMode="External"/><Relationship Id="rId1685" Type="http://schemas.openxmlformats.org/officeDocument/2006/relationships/hyperlink" Target="https://www.northcentralpa.com/business/williamsport-company-proposes-data-center-in-muncy-township/article_003d97a3-bddd-4d12-ba00-8efb4ba98fa4.html" TargetMode="External"/><Relationship Id="rId888" Type="http://schemas.openxmlformats.org/officeDocument/2006/relationships/hyperlink" Target="https://www.datacenterdynamics.com/en/news/opposition-leads-developer-to-withdraw-data-center-proposal-in-kalkaska-county-michigan/" TargetMode="External"/><Relationship Id="rId887" Type="http://schemas.openxmlformats.org/officeDocument/2006/relationships/hyperlink" Target="https://wwmt.com/news/local/data-center-indistrial-hub-pavilion-township-community-concerns-halt-project-kalamazoo-county-franklin-partners-llc" TargetMode="External"/><Relationship Id="rId886" Type="http://schemas.openxmlformats.org/officeDocument/2006/relationships/hyperlink" Target="https://www.youtube.com/watch?v=7TLuvv42Hjo" TargetMode="External"/><Relationship Id="rId885" Type="http://schemas.openxmlformats.org/officeDocument/2006/relationships/hyperlink" Target="https://www.facebook.com/groups/1291506282276814/" TargetMode="External"/><Relationship Id="rId889" Type="http://schemas.openxmlformats.org/officeDocument/2006/relationships/hyperlink" Target="https://www.interlochenpublicradio.org/2025-11-19/yall-should-stop-crowd-gives-cold-response-to-kalkaska-data-center-idea" TargetMode="External"/><Relationship Id="rId880" Type="http://schemas.openxmlformats.org/officeDocument/2006/relationships/hyperlink" Target="https://www.whmi.com/news/article/developers-withdraw-re-zoning-application-for-proposed-data-center-in-howell-twp?fbclid=IwY2xjawOjxD5leHRuA2FlbQIxMABicmlkETFGTWdNTnFwVzhHUFAxcXRrc3J0YwZhcHBfaWQQMjIyMDM5MTc4ODIwMDg5MgABHqbt42SjPESM_B2BmdYNZGnBkWqqW2rX4bXuiVk3lYnyLj84qbo_n3pDm2Yp_aem_SOH2yzjxxo5bOquwuYeBEw" TargetMode="External"/><Relationship Id="rId884" Type="http://schemas.openxmlformats.org/officeDocument/2006/relationships/hyperlink" Target="https://www.datacenterdynamics.com/en/news/owners-of-indoor-cannabis-farm-in-michigan-offer-site-up-for-data-center-use/" TargetMode="External"/><Relationship Id="rId883" Type="http://schemas.openxmlformats.org/officeDocument/2006/relationships/hyperlink" Target="https://www.datacenterdynamics.com/en/news/microsoft-confirms-plans-for-data-center-in-grand-rapids-michigan/" TargetMode="External"/><Relationship Id="rId882" Type="http://schemas.openxmlformats.org/officeDocument/2006/relationships/hyperlink" Target="https://planetdetroit.org/2025/12/billion-dollar-data-center-paused/" TargetMode="External"/><Relationship Id="rId881" Type="http://schemas.openxmlformats.org/officeDocument/2006/relationships/hyperlink" Target="https://www.whmi.com/news/article/vangilder-family-farm-data-center" TargetMode="External"/><Relationship Id="rId877" Type="http://schemas.openxmlformats.org/officeDocument/2006/relationships/hyperlink" Target="https://www.cbsnews.com/detroit/news/howell-township-data-center-developer-withdraws-project-application/" TargetMode="External"/><Relationship Id="rId876" Type="http://schemas.openxmlformats.org/officeDocument/2006/relationships/hyperlink" Target="https://planetdetroit.org/2025/09/data-center-rezoning-howell/" TargetMode="External"/><Relationship Id="rId875" Type="http://schemas.openxmlformats.org/officeDocument/2006/relationships/hyperlink" Target="https://www.datacenterdynamics.com/en/news/1000-acre-data-center-campus-planned-outside-detroit-michigan-set-to-be-blocked/" TargetMode="External"/><Relationship Id="rId874" Type="http://schemas.openxmlformats.org/officeDocument/2006/relationships/hyperlink" Target="https://www.change.org/p/demand-the-howell-township-board-enact-a-6-month-moratorium-on-rezoning" TargetMode="External"/><Relationship Id="rId879" Type="http://schemas.openxmlformats.org/officeDocument/2006/relationships/hyperlink" Target="https://www.mlive.com/news/ann-arbor/2025/11/meta-behind-1b-data-center-project-near-howell-trustee-confirms.html" TargetMode="External"/><Relationship Id="rId878" Type="http://schemas.openxmlformats.org/officeDocument/2006/relationships/hyperlink" Target="https://michiganadvance.com/2025/11/21/local-michigan-township-trustee-says-meta-is-behind-data-center-project-planned-near-howell/" TargetMode="External"/><Relationship Id="rId873" Type="http://schemas.openxmlformats.org/officeDocument/2006/relationships/hyperlink" Target="https://www.change.org/p/stop-the-construction-of-michigan-s-largest-data-center-in-howell" TargetMode="External"/><Relationship Id="rId872" Type="http://schemas.openxmlformats.org/officeDocument/2006/relationships/hyperlink" Target="https://www.facebook.com/groups/1890995838502334/" TargetMode="External"/><Relationship Id="rId871" Type="http://schemas.openxmlformats.org/officeDocument/2006/relationships/hyperlink" Target="https://www.wxyz.com/news/southfield-residents-voice-concerns-over-proposed-data-center-at-packed-council-meeting" TargetMode="External"/><Relationship Id="rId870" Type="http://schemas.openxmlformats.org/officeDocument/2006/relationships/hyperlink" Target="https://planetdetroit.org/2025/12/southfield-data-center-approval/" TargetMode="External"/><Relationship Id="rId1653" Type="http://schemas.openxmlformats.org/officeDocument/2006/relationships/hyperlink" Target="https://www.facebook.com/p/Penn-Forest-Residents-Against-Data-Center-61580305181244/" TargetMode="External"/><Relationship Id="rId2984" Type="http://schemas.openxmlformats.org/officeDocument/2006/relationships/hyperlink" Target="https://www.facebook.com/people/Kenoshans-Unite-Against-Microsoft-Data-Center/61583067017308/" TargetMode="External"/><Relationship Id="rId1654" Type="http://schemas.openxmlformats.org/officeDocument/2006/relationships/hyperlink" Target="https://www.wfmz.com/news/area/poconos-coal/carbon-county/penn-forest-community-discusses-potential-data-center/article_266fe14e-2bc7-474d-88a1-f309707f90af.html" TargetMode="External"/><Relationship Id="rId2985" Type="http://schemas.openxmlformats.org/officeDocument/2006/relationships/hyperlink" Target="https://www.change.org/p/stop-the-opening-of-the-microsoft-data-center-in-kenosha?" TargetMode="External"/><Relationship Id="rId1655" Type="http://schemas.openxmlformats.org/officeDocument/2006/relationships/hyperlink" Target="https://www.tnonline.com/20250911/data-center-on-rt-903-discussed/" TargetMode="External"/><Relationship Id="rId2986" Type="http://schemas.openxmlformats.org/officeDocument/2006/relationships/hyperlink" Target="https://biztimes.com/microsoft-buys-240-acres-of-land-in-kenosha-for-data-center-development/" TargetMode="External"/><Relationship Id="rId1656" Type="http://schemas.openxmlformats.org/officeDocument/2006/relationships/hyperlink" Target="https://www.tomshardware.com/tech-industry/cryptomining/major-bitcoin-mining-firm-pivoting-to-ai-plans-to-fully-abandon-crypto-mining-by-2027-bitfarm-to-leverage-341-megawatt-capacity-for-ai-following-usd46-million-q3-loss" TargetMode="External"/><Relationship Id="rId2987" Type="http://schemas.openxmlformats.org/officeDocument/2006/relationships/hyperlink" Target="https://www.kaba.org/news-item/psc-approves-natural-gas-power-plants-planned-in-oak-creek-and-kenosha-county/" TargetMode="External"/><Relationship Id="rId1657" Type="http://schemas.openxmlformats.org/officeDocument/2006/relationships/hyperlink" Target="https://bitfarms.com/our-portfolio/data-centers/north-america/" TargetMode="External"/><Relationship Id="rId2988" Type="http://schemas.openxmlformats.org/officeDocument/2006/relationships/hyperlink" Target="https://www.datacenterdynamics.com/en/news/former-walmart-in-milwaukee-wisconsin-could-become-data-center/" TargetMode="External"/><Relationship Id="rId1658" Type="http://schemas.openxmlformats.org/officeDocument/2006/relationships/hyperlink" Target="https://dastorllc.com/locations/" TargetMode="External"/><Relationship Id="rId2989" Type="http://schemas.openxmlformats.org/officeDocument/2006/relationships/hyperlink" Target="https://www.datacenterdynamics.com/en/news/plans-for-milwaukee-wisconsin-data-center-in-former-walmart-building-shelved-amid-strong-local-opposition/" TargetMode="External"/><Relationship Id="rId1659" Type="http://schemas.openxmlformats.org/officeDocument/2006/relationships/hyperlink" Target="https://www.datacenterdynamics.com/en/news/coreweave-plans-6bn-data-center-in-lancaster-pennsylvania/" TargetMode="External"/><Relationship Id="rId829" Type="http://schemas.openxmlformats.org/officeDocument/2006/relationships/hyperlink" Target="https://www.datacenterdynamics.com/en/news/150mw-data-center-proposed-for-baltimore-county-maryland/" TargetMode="External"/><Relationship Id="rId828" Type="http://schemas.openxmlformats.org/officeDocument/2006/relationships/hyperlink" Target="https://www.datacenterdynamics.com/en/news/data-center-in-maryland-sold-to-local-real-estate-group/" TargetMode="External"/><Relationship Id="rId827" Type="http://schemas.openxmlformats.org/officeDocument/2006/relationships/hyperlink" Target="https://www.datacenterdynamics.com/en/news/harrison-street-sells-two-powered-shell-data-center-sites-in-maryland/" TargetMode="External"/><Relationship Id="rId822" Type="http://schemas.openxmlformats.org/officeDocument/2006/relationships/hyperlink" Target="https://actionnetwork.org/groups/charles-county-against-data-centers" TargetMode="External"/><Relationship Id="rId821" Type="http://schemas.openxmlformats.org/officeDocument/2006/relationships/hyperlink" Target="https://www.datacenterdynamics.com/en/news/aws-proposes-data-center-campus-next-to-nuclear-plant-in-calvert-county-maryland/" TargetMode="External"/><Relationship Id="rId820" Type="http://schemas.openxmlformats.org/officeDocument/2006/relationships/hyperlink" Target="https://www.datacenterdynamics.com/en/news/harrison-street-sells-two-powered-shell-data-center-sites-in-maryland/" TargetMode="External"/><Relationship Id="rId826" Type="http://schemas.openxmlformats.org/officeDocument/2006/relationships/hyperlink" Target="https://www.expedient.com/data-centers/baltimore/" TargetMode="External"/><Relationship Id="rId825" Type="http://schemas.openxmlformats.org/officeDocument/2006/relationships/hyperlink" Target="https://investors.terawulf.com/news-events/press-releases/detail/129/terawulf-expands-digital-and-power-infrastructure-portfolio" TargetMode="External"/><Relationship Id="rId824" Type="http://schemas.openxmlformats.org/officeDocument/2006/relationships/hyperlink" Target="https://thebaynet.com/charles-countys-morgantown-plant-being-bought-by-data-infrastructure-company/" TargetMode="External"/><Relationship Id="rId823" Type="http://schemas.openxmlformats.org/officeDocument/2006/relationships/hyperlink" Target="https://www.change.org/p/reject-zta-25-187-data-centers-we-want-more-transparency-and-community-involvement" TargetMode="External"/><Relationship Id="rId2980" Type="http://schemas.openxmlformats.org/officeDocument/2006/relationships/hyperlink" Target="https://www.widatacenterfacts.org/communities/janesville-fact-checking-the-citys-fact-checking" TargetMode="External"/><Relationship Id="rId1650" Type="http://schemas.openxmlformats.org/officeDocument/2006/relationships/hyperlink" Target="https://www.citizensvoice.com/2025/08/11/senate-data-center-hearing-at-valley-view-largely-touts-benefits/" TargetMode="External"/><Relationship Id="rId2981" Type="http://schemas.openxmlformats.org/officeDocument/2006/relationships/hyperlink" Target="https://www.facebook.com/people/No-Janesville-Data-Center/61580624576545/" TargetMode="External"/><Relationship Id="rId1651" Type="http://schemas.openxmlformats.org/officeDocument/2006/relationships/hyperlink" Target="https://www.thetimes-tribune.com/2025/05/18/data-centers-could-reshape-landscape-in-nepa/" TargetMode="External"/><Relationship Id="rId2982" Type="http://schemas.openxmlformats.org/officeDocument/2006/relationships/hyperlink" Target="https://www.facebook.com/groups/1347060293852060/" TargetMode="External"/><Relationship Id="rId1652" Type="http://schemas.openxmlformats.org/officeDocument/2006/relationships/hyperlink" Target="https://web.archive.org/web/20250917231914/https://www.thetimes-tribune.com/2025/09/16/developer-shifts-from-warehouse-to-data-center-by-power-plant-in-jessup/" TargetMode="External"/><Relationship Id="rId2983" Type="http://schemas.openxmlformats.org/officeDocument/2006/relationships/hyperlink" Target="https://www.datacenterdynamics.com/en/news/developer-panattoni-seeks-to-claw-back-cash-from-town-of-turtle-wisconsin-for-430-acre-data-center/" TargetMode="External"/><Relationship Id="rId1642" Type="http://schemas.openxmlformats.org/officeDocument/2006/relationships/hyperlink" Target="https://www.datacenterdynamics.com/en/news/homer-city-and-kiewit-unveil-plans-for-45gw-natural-gas-powered-ai-data-center-in-pennsylvania/" TargetMode="External"/><Relationship Id="rId2973" Type="http://schemas.openxmlformats.org/officeDocument/2006/relationships/hyperlink" Target="https://www.gannett-cdn.com/authoring/authoring-images/2025/04/29/PMJS/83351569007-mjs-250422-data-center-p-15.jpg" TargetMode="External"/><Relationship Id="rId1643" Type="http://schemas.openxmlformats.org/officeDocument/2006/relationships/hyperlink" Target="https://triblive.com/local/regional/dep-gives-preliminary-nod-to-homer-city-plant-but-enviromental-group-sounds-alarm-regarding-pollution/" TargetMode="External"/><Relationship Id="rId2974" Type="http://schemas.openxmlformats.org/officeDocument/2006/relationships/hyperlink" Target="https://www.facebook.com/groups/2066040647465173/_join_/" TargetMode="External"/><Relationship Id="rId1644" Type="http://schemas.openxmlformats.org/officeDocument/2006/relationships/hyperlink" Target="https://www.homercityredevelopment.com/project-overview" TargetMode="External"/><Relationship Id="rId2975" Type="http://schemas.openxmlformats.org/officeDocument/2006/relationships/hyperlink" Target="https://www.datacenterdynamics.com/en/news/residents-of-greenleaf-wisconsin-offered-up-to-120000-per-acre-to-sell-land-for-data-center-report/" TargetMode="External"/><Relationship Id="rId1645" Type="http://schemas.openxmlformats.org/officeDocument/2006/relationships/hyperlink" Target="https://www.datacenterfrontier.com/site-selection/article/55281341/pennsylvanias-homer-city-energy-campus-a-brownfield-transformed-for-data-center-innovation" TargetMode="External"/><Relationship Id="rId2976" Type="http://schemas.openxmlformats.org/officeDocument/2006/relationships/hyperlink" Target="https://www.datacenterdynamics.com/en/news/cloverleaf-backs-out-of-data-center-project-in-greenleaf-wisconsin/" TargetMode="External"/><Relationship Id="rId1646" Type="http://schemas.openxmlformats.org/officeDocument/2006/relationships/hyperlink" Target="https://www.indianagazette.com/news/environmental-advocates-pa-youths-appeal-permit-for-homer-city-energy-campus/article_7a34ee2f-e81a-41e0-9138-a25f5cbd9de4.html?fbclid=IwY2xjawPp60BleHRuA2FlbQIxMQBzcnRjBmFwcF9pZBAyMjIwMzkxNzg4MjAwODkyAAEeRuDRB7oOPRZeqxrV5GLOlv4YEkleEG7D6Ml3jQPSw4r0bhIaswlYqUZ15sg_aem_7zjyQqhwcx_teLrh61aVDA" TargetMode="External"/><Relationship Id="rId2977" Type="http://schemas.openxmlformats.org/officeDocument/2006/relationships/hyperlink" Target="https://spectrumnews1.com/wi/milwaukee/news/2026/01/13/data-center-withdraws-plans-to-build-in-brown-county-following-community-pushback-greenleaf-" TargetMode="External"/><Relationship Id="rId1647" Type="http://schemas.openxmlformats.org/officeDocument/2006/relationships/hyperlink" Target="https://www.businesswire.com/news/home/20260401716982/en/Homer-City-Redevelopment-Crosses-the-First-Steel-Threshold" TargetMode="External"/><Relationship Id="rId2978" Type="http://schemas.openxmlformats.org/officeDocument/2006/relationships/hyperlink" Target="https://www.change.org/p/no-janesville-data-center" TargetMode="External"/><Relationship Id="rId1648" Type="http://schemas.openxmlformats.org/officeDocument/2006/relationships/hyperlink" Target="https://www.datacenterdynamics.com/en/news/data-centers-planned-at-former-quarry-in-dauphin-county-pennsylvania/" TargetMode="External"/><Relationship Id="rId2979" Type="http://schemas.openxmlformats.org/officeDocument/2006/relationships/hyperlink" Target="https://www.datacenterdynamics.com/en/news/officials-in-janesville-wisconsin-seek-data-center-partner-for-former-gm-auto-assembly-plant/" TargetMode="External"/><Relationship Id="rId1649" Type="http://schemas.openxmlformats.org/officeDocument/2006/relationships/hyperlink" Target="https://www.yahoo.com/news/articles/convenience-store-developer-proposes-ai-000500338.html" TargetMode="External"/><Relationship Id="rId819" Type="http://schemas.openxmlformats.org/officeDocument/2006/relationships/hyperlink" Target="https://www.washingtoninformer.com/landover-data-center-protest/" TargetMode="External"/><Relationship Id="rId818" Type="http://schemas.openxmlformats.org/officeDocument/2006/relationships/hyperlink" Target="https://web.archive.org/web/20250401004408/https://www.pgcedc.com/latest-pgcedc-news/2024/10/29/5b-data-center-campus-on-former-landover-mall-footprint-could-break-ground-by-2026" TargetMode="External"/><Relationship Id="rId817" Type="http://schemas.openxmlformats.org/officeDocument/2006/relationships/hyperlink" Target="https://www.washingtoninformer.com/landover-data-center-protest/" TargetMode="External"/><Relationship Id="rId816" Type="http://schemas.openxmlformats.org/officeDocument/2006/relationships/hyperlink" Target="https://www.nbcwashington.com/news/local/prince-georges-county-to-pause-data-center-development/3988847/" TargetMode="External"/><Relationship Id="rId811" Type="http://schemas.openxmlformats.org/officeDocument/2006/relationships/hyperlink" Target="https://www.change.org/p/prohibit-data-centers-in-the-sugarloaf-plan-area/u/33486187" TargetMode="External"/><Relationship Id="rId810" Type="http://schemas.openxmlformats.org/officeDocument/2006/relationships/hyperlink" Target="https://www.sugarloaf-alliance.com/" TargetMode="External"/><Relationship Id="rId815" Type="http://schemas.openxmlformats.org/officeDocument/2006/relationships/hyperlink" Target="https://www.change.org/p/stop-data-center-at-former-landover-mall-site" TargetMode="External"/><Relationship Id="rId814" Type="http://schemas.openxmlformats.org/officeDocument/2006/relationships/hyperlink" Target="https://www.wypr.org/wypr-news/2025-09-19/maryland-organizations-put-spotlight-on-data-center-industry" TargetMode="External"/><Relationship Id="rId813" Type="http://schemas.openxmlformats.org/officeDocument/2006/relationships/hyperlink" Target="https://news.alcoa.com/press-releases/press-release-details/2021/Alcoa-Sells-Former-Eastalco-Site-for-100-Million-Buyer-to-Use-Repurposed-Land-for-Next-Generation-Data-Centers/default.aspx" TargetMode="External"/><Relationship Id="rId812" Type="http://schemas.openxmlformats.org/officeDocument/2006/relationships/hyperlink" Target="https://www.datacenterdynamics.com/en/news/aligned-looks-to-develop-three-more-data-centers-at-quantum-frederick-park-in-maryland/" TargetMode="External"/><Relationship Id="rId2970" Type="http://schemas.openxmlformats.org/officeDocument/2006/relationships/hyperlink" Target="https://pbswisconsin.org/news-item/the-local-battles-over-data-center-developments-in-wisconsin/?fbclid=IwY2xjawQb89xleHRuA2FlbQIxMQBzcnRjBmFwcF9pZBAyMjIwMzkxNzg4MjAwODkyAAEe_9n-9GXVsrmup4ro8JcBXofGIGDBBJOvEis3IhU4EDbZm0ChkaEapPFbbd8_aem_HvzltHtS42i2Jp2jBPjrRA" TargetMode="External"/><Relationship Id="rId1640" Type="http://schemas.openxmlformats.org/officeDocument/2006/relationships/hyperlink" Target="https://www.protectpt.org/data-center" TargetMode="External"/><Relationship Id="rId2971" Type="http://schemas.openxmlformats.org/officeDocument/2006/relationships/hyperlink" Target="https://www.expedient.com/data-centers/milwaukee/" TargetMode="External"/><Relationship Id="rId1641" Type="http://schemas.openxmlformats.org/officeDocument/2006/relationships/hyperlink" Target="https://triblive.com/local/regional/developers-offer-details-on-planned-natural-gas-fueled-power-generating-plant-in-homer-city/" TargetMode="External"/><Relationship Id="rId2972" Type="http://schemas.openxmlformats.org/officeDocument/2006/relationships/hyperlink" Target="https://www.jsonline.com/story/communities/north/2025/04/08/port-washington-takes-up-zoning-standards-for-proposed-data-center/82774695007/" TargetMode="External"/><Relationship Id="rId1675" Type="http://schemas.openxmlformats.org/officeDocument/2006/relationships/hyperlink" Target="https://www.heraldstandard.com/gcm/2025/oct/16/data-center-project-announced-for-greene-county/" TargetMode="External"/><Relationship Id="rId1676" Type="http://schemas.openxmlformats.org/officeDocument/2006/relationships/hyperlink" Target="https://www.observer-reporter.com/uncategorized/2025/oct/16/data-center-project-announced-for-greene-county/" TargetMode="External"/><Relationship Id="rId1677" Type="http://schemas.openxmlformats.org/officeDocument/2006/relationships/hyperlink" Target="https://www.observer-reporter.com/uncategorized/2025/dec/19/greene-county-planners-ok-early-work-on-proposed-data-center-site/" TargetMode="External"/><Relationship Id="rId1678" Type="http://schemas.openxmlformats.org/officeDocument/2006/relationships/hyperlink" Target="https://www.datacenterdynamics.com/en/news/falls-township-approves-nda-for-data-center-project-outside-philadelphia-in-pennsylvania/" TargetMode="External"/><Relationship Id="rId1679" Type="http://schemas.openxmlformats.org/officeDocument/2006/relationships/hyperlink" Target="https://technical.ly/civics/amazon-20b-pennsylvania-cloud-ai/" TargetMode="External"/><Relationship Id="rId849" Type="http://schemas.openxmlformats.org/officeDocument/2006/relationships/hyperlink" Target="https://bridgemi.com/michigan-environment-watch/tiny-michigan-town-hopes-to-stop-data-center-with-ballot-initiative/" TargetMode="External"/><Relationship Id="rId844" Type="http://schemas.openxmlformats.org/officeDocument/2006/relationships/hyperlink" Target="https://planetdetroit.org/2026/01/allen-park-postpones-data-center-decision/" TargetMode="External"/><Relationship Id="rId843" Type="http://schemas.openxmlformats.org/officeDocument/2006/relationships/hyperlink" Target="https://planetdetroit.org/2026/01/allen-park-data-center-proposal/" TargetMode="External"/><Relationship Id="rId842" Type="http://schemas.openxmlformats.org/officeDocument/2006/relationships/hyperlink" Target="https://cms3.revize.com/revize/allenparkmi/Documents/Departments/Building%20and%20Engineering/Development%20Projects%20&amp;%20Public%20Hearings/2026/2026.01.08%20Data%20Center/SD-SPBG01-ZZ-Z-BGT-RP-Z-80412%20Report%20for%20PC.pdf?t=202601051514460&amp;t=202601051514460" TargetMode="External"/><Relationship Id="rId841" Type="http://schemas.openxmlformats.org/officeDocument/2006/relationships/hyperlink" Target="https://cityofallenpark.org/departments/building_and_engineering/faq.php" TargetMode="External"/><Relationship Id="rId848" Type="http://schemas.openxmlformats.org/officeDocument/2006/relationships/hyperlink" Target="https://augustatownship.org/wp-content/uploads/2025/05/Data_Center_Review.pdf" TargetMode="External"/><Relationship Id="rId847" Type="http://schemas.openxmlformats.org/officeDocument/2006/relationships/hyperlink" Target="https://www.datacenterdynamics.com/en/news/local-officials-recommend-denial-of-thor-equities-data-center-in-michigan/" TargetMode="External"/><Relationship Id="rId846" Type="http://schemas.openxmlformats.org/officeDocument/2006/relationships/hyperlink" Target="https://www.mlive.com/news/ann-arbor/2025/07/farmland-rezoned-for-proposed-1b-data-center-in-southeast-washtenaw-county.html" TargetMode="External"/><Relationship Id="rId845" Type="http://schemas.openxmlformats.org/officeDocument/2006/relationships/hyperlink" Target="https://www.datacenterdynamics.com/en/news/oppidan-data-center-outside-minneapolis-rejected/" TargetMode="External"/><Relationship Id="rId1670" Type="http://schemas.openxmlformats.org/officeDocument/2006/relationships/hyperlink" Target="https://www.datacenterdynamics.com/en/news/northern-data-launches-data-center-in-pittsburgh-pennsylvania/" TargetMode="External"/><Relationship Id="rId840" Type="http://schemas.openxmlformats.org/officeDocument/2006/relationships/hyperlink" Target="https://www.thenewsherald.com/2025/12/08/data-center-proposed-in-allen-park-to-be-considered-by-planners/" TargetMode="External"/><Relationship Id="rId1671" Type="http://schemas.openxmlformats.org/officeDocument/2006/relationships/hyperlink" Target="https://www.gem.wiki/Mawson_Infrastructure_Group_Beaver_County_facility" TargetMode="External"/><Relationship Id="rId1672" Type="http://schemas.openxmlformats.org/officeDocument/2006/relationships/hyperlink" Target="https://www.post-gazette.com/business/tech-news/2026/02/08/beaver-valley-data-centers-shippingport-aligned/stories/202602080033" TargetMode="External"/><Relationship Id="rId1673" Type="http://schemas.openxmlformats.org/officeDocument/2006/relationships/hyperlink" Target="https://www.cbsnews.com/pittsburgh/news/ai-infrastructure-beaver-valley/" TargetMode="External"/><Relationship Id="rId1674" Type="http://schemas.openxmlformats.org/officeDocument/2006/relationships/hyperlink" Target="https://centerforcoalfieldjustice.org/" TargetMode="External"/><Relationship Id="rId1664" Type="http://schemas.openxmlformats.org/officeDocument/2006/relationships/hyperlink" Target="https://www.datacenterdynamics.com/en/news/plans-for-data-center-submitted-in-mifflin-county-pennsylvania-just-two-days-before-local-moratorium-vote/" TargetMode="External"/><Relationship Id="rId2995" Type="http://schemas.openxmlformats.org/officeDocument/2006/relationships/hyperlink" Target="https://www.tomshardware.com/tech-industry/artificial-intelligence/microsoft-announces-worlds-most-powerful-ai-data-center-315-acre-site-to-house-hundreds-of-thousands-of-nvidia-gpus-and-enough-fiber-to-circle-the-earth-4-5-times" TargetMode="External"/><Relationship Id="rId1665" Type="http://schemas.openxmlformats.org/officeDocument/2006/relationships/hyperlink" Target="https://www.datacenterdynamics.com/en/news/aws-plans-25-million-sq-ft-data-center-campus-in-kline-township-pennsylvania/" TargetMode="External"/><Relationship Id="rId2996" Type="http://schemas.openxmlformats.org/officeDocument/2006/relationships/hyperlink" Target="https://epoch.ai/data/data-centers/satellite-explorer/MicrosoftFairwaterMountPleasantWisconsin?ref=404media.co" TargetMode="External"/><Relationship Id="rId1666" Type="http://schemas.openxmlformats.org/officeDocument/2006/relationships/hyperlink" Target="https://www.robinsonwater.com/" TargetMode="External"/><Relationship Id="rId2997" Type="http://schemas.openxmlformats.org/officeDocument/2006/relationships/hyperlink" Target="https://www.wisn.com/article/whats-that-sound-its-mount-pleasants-new-ai-data-center/70850595" TargetMode="External"/><Relationship Id="rId1667" Type="http://schemas.openxmlformats.org/officeDocument/2006/relationships/hyperlink" Target="https://centerforcoalfieldjustice.org/" TargetMode="External"/><Relationship Id="rId2998" Type="http://schemas.openxmlformats.org/officeDocument/2006/relationships/hyperlink" Target="https://www.facebook.com/GreatLakesNeighborsUnited" TargetMode="External"/><Relationship Id="rId1668" Type="http://schemas.openxmlformats.org/officeDocument/2006/relationships/hyperlink" Target="https://imperialland.com/fort-cherry-development-district/" TargetMode="External"/><Relationship Id="rId2999" Type="http://schemas.openxmlformats.org/officeDocument/2006/relationships/hyperlink" Target="https://www.change.org/p/stop-the-port-washington-wi-data-center" TargetMode="External"/><Relationship Id="rId1669" Type="http://schemas.openxmlformats.org/officeDocument/2006/relationships/hyperlink" Target="https://www.datacenterdynamics.com/en/news/liberty-energy-range-resources-ilc-to-build-gas-plant-for-data-centers-in-pennsylvania/" TargetMode="External"/><Relationship Id="rId839" Type="http://schemas.openxmlformats.org/officeDocument/2006/relationships/hyperlink" Target="https://www.change.org/p/non-allen-park-mi-residents-help-keep-ai-data-centers-out-of-wayne-county-cities-listed" TargetMode="External"/><Relationship Id="rId838" Type="http://schemas.openxmlformats.org/officeDocument/2006/relationships/hyperlink" Target="https://tockify.com/miresistevents/detail/1285/1767913200000" TargetMode="External"/><Relationship Id="rId833" Type="http://schemas.openxmlformats.org/officeDocument/2006/relationships/hyperlink" Target="https://www.datacenterdynamics.com/en/news/tier-iii-ai-data-center-proposed-for-lewiston-bates-mill-in-maine/" TargetMode="External"/><Relationship Id="rId832" Type="http://schemas.openxmlformats.org/officeDocument/2006/relationships/hyperlink" Target="https://www.facebook.com/groups/881401921000636/" TargetMode="External"/><Relationship Id="rId831" Type="http://schemas.openxmlformats.org/officeDocument/2006/relationships/hyperlink" Target="https://www.datacenterdynamics.com/en/news/underwater-data-center-powered-by-tidal-energy-proposed-off-the-coast-of-maine/" TargetMode="External"/><Relationship Id="rId830" Type="http://schemas.openxmlformats.org/officeDocument/2006/relationships/hyperlink" Target="https://www.facebook.com/groups/286077786303933/posts/1307011727543862/" TargetMode="External"/><Relationship Id="rId837" Type="http://schemas.openxmlformats.org/officeDocument/2006/relationships/hyperlink" Target="https://www.datacenterdynamics.com/en/news/vampire-data-center-scheme-irks-residents-in-wiscasset-maine/" TargetMode="External"/><Relationship Id="rId836" Type="http://schemas.openxmlformats.org/officeDocument/2006/relationships/hyperlink" Target="https://insideclimatenews.org/news/26112025/maine-data-center-green-innovation" TargetMode="External"/><Relationship Id="rId835" Type="http://schemas.openxmlformats.org/officeDocument/2006/relationships/hyperlink" Target="https://www.newscentermaine.com/article/news/local/lewiston-auburn/lewiston-city-councilors-unanimously-vote-down-ai-data-center-proposal/97-392ae679-b55b-430c-b1b3-8dd641dd3489" TargetMode="External"/><Relationship Id="rId834" Type="http://schemas.openxmlformats.org/officeDocument/2006/relationships/hyperlink" Target="https://www.mainepublic.org/business-and-economy/2025-12-17/lewiston-city-council-shoots-down-data-center-proposal" TargetMode="External"/><Relationship Id="rId2990" Type="http://schemas.openxmlformats.org/officeDocument/2006/relationships/hyperlink" Target="https://www.datacenterdynamics.com/en/news/microsoft-pauses-construction-on-part-of-data-center-site-in-mount-pleasant-wisconsin/" TargetMode="External"/><Relationship Id="rId1660" Type="http://schemas.openxmlformats.org/officeDocument/2006/relationships/hyperlink" Target="https://web.archive.org/web/20250727192710/https://lancasteronline.com/opinion/editorials/we-have-numerous-questions-about-the-new-data-center-planned-for-lancaster-city-editorial/article_c2cf2479-33f1-4425-921f-1fac8b46f7df.html" TargetMode="External"/><Relationship Id="rId2991" Type="http://schemas.openxmlformats.org/officeDocument/2006/relationships/hyperlink" Target="https://www.datacenterdynamics.com/en/news/racine-county-wisconsin-approves-microsofts-1000-acre-expansion-of-mount-pleasant-campus/" TargetMode="External"/><Relationship Id="rId1661" Type="http://schemas.openxmlformats.org/officeDocument/2006/relationships/hyperlink" Target="https://www.fox43.com/article/news/local/lancaster-outlines-new-community-agreement-with-data-centers-communty-lancaster-county/521-ff141d3b-7896-472f-9351-6c74a4c85bd1" TargetMode="External"/><Relationship Id="rId2992" Type="http://schemas.openxmlformats.org/officeDocument/2006/relationships/hyperlink" Target="https://www.datacenterdynamics.com/en/news/microsoft-breaks-ground-on-1bn-data-center-in-wisconsin/" TargetMode="External"/><Relationship Id="rId1662" Type="http://schemas.openxmlformats.org/officeDocument/2006/relationships/hyperlink" Target="https://www.datacenterdynamics.com/en/news/coreweave-plans-6bn-data-center-in-lancaster-pennsylvania/" TargetMode="External"/><Relationship Id="rId2993" Type="http://schemas.openxmlformats.org/officeDocument/2006/relationships/hyperlink" Target="https://rbnenergy.com/i-know-places-tech-giants-may-be-the-surest-bets-for-data-center-power-demand" TargetMode="External"/><Relationship Id="rId1663" Type="http://schemas.openxmlformats.org/officeDocument/2006/relationships/hyperlink" Target="https://www.fox43.com/article/news/local/lancaster-outlines-new-community-agreement-with-data-centers-communty-lancaster-county/521-ff141d3b-7896-472f-9351-6c74a4c85bd1" TargetMode="External"/><Relationship Id="rId2994" Type="http://schemas.openxmlformats.org/officeDocument/2006/relationships/hyperlink" Target="https://www.jsonline.com/story/news/local/2025/09/15/suit-filed-to-learn-lake-michigan-water-use-at-microsoft-data-center/86161113007/" TargetMode="External"/><Relationship Id="rId2148" Type="http://schemas.openxmlformats.org/officeDocument/2006/relationships/hyperlink" Target="https://www.datacenterdynamics.com/en/news/powerhouse-looking-to-build-500-acre-data-center-near-austin-texas/" TargetMode="External"/><Relationship Id="rId2149" Type="http://schemas.openxmlformats.org/officeDocument/2006/relationships/hyperlink" Target="https://www.datacentermap.com/usa/texas/austin/tract-uhland/" TargetMode="External"/><Relationship Id="rId2140" Type="http://schemas.openxmlformats.org/officeDocument/2006/relationships/hyperlink" Target="https://www.kcentv.com/video/news/local/700-million-data-center-coming-to-temple/500-f7b6d768-127b-4b2d-aacb-b83bf46572cb" TargetMode="External"/><Relationship Id="rId2141" Type="http://schemas.openxmlformats.org/officeDocument/2006/relationships/hyperlink" Target="https://invest.jll.com/us/en/listings/special-purpose-facility/8-asset-switch-portfolio" TargetMode="External"/><Relationship Id="rId2142" Type="http://schemas.openxmlformats.org/officeDocument/2006/relationships/hyperlink" Target="https://www.datacenterdynamics.com/en/news/5000-acre-plot-listed-for-sale-for-data-center-development-in-the-texas-panhandle/" TargetMode="External"/><Relationship Id="rId2143" Type="http://schemas.openxmlformats.org/officeDocument/2006/relationships/hyperlink" Target="https://www.nbcdfw.com/news/local/hood-county-residents-concerned-about-proposed-data-center/3967981/" TargetMode="External"/><Relationship Id="rId2144" Type="http://schemas.openxmlformats.org/officeDocument/2006/relationships/hyperlink" Target="https://www.youtube.com/watch?v=8ecYhZEItYA" TargetMode="External"/><Relationship Id="rId2145" Type="http://schemas.openxmlformats.org/officeDocument/2006/relationships/hyperlink" Target="https://www.texastribune.org/2026/06/02/texas-data-centers-hood-county-local-control-rural-water-power/" TargetMode="External"/><Relationship Id="rId2146" Type="http://schemas.openxmlformats.org/officeDocument/2006/relationships/hyperlink" Target="https://www.keranews.org/government/2026-06-09/hood-county-approves-comanche-circle-data-center-without-conditions-after-contentious-meeting" TargetMode="External"/><Relationship Id="rId2147" Type="http://schemas.openxmlformats.org/officeDocument/2006/relationships/hyperlink" Target="https://www.datacenterdynamics.com/en/news/tyler-texas-rejects-bitcoin-mining-data-center/" TargetMode="External"/><Relationship Id="rId2137" Type="http://schemas.openxmlformats.org/officeDocument/2006/relationships/hyperlink" Target="https://www.kcentv.com/article/news/local/temple-city-council-moves-forward-plan-data-center/500-8ae0ede9-cbff-4d47-a390-209ecb44043e" TargetMode="External"/><Relationship Id="rId2138" Type="http://schemas.openxmlformats.org/officeDocument/2006/relationships/hyperlink" Target="https://www.datacenterdynamics.com/en/news/rowan-closes-3bn-green-financing-for-texas-data-center-campus/" TargetMode="External"/><Relationship Id="rId2139" Type="http://schemas.openxmlformats.org/officeDocument/2006/relationships/hyperlink" Target="https://www.rowantemple.com/faqs" TargetMode="External"/><Relationship Id="rId2130" Type="http://schemas.openxmlformats.org/officeDocument/2006/relationships/hyperlink" Target="https://trerc.tamu.edu/news-talk/development-underway-on-metas-temple-data-center/" TargetMode="External"/><Relationship Id="rId2131" Type="http://schemas.openxmlformats.org/officeDocument/2006/relationships/hyperlink" Target="https://jedunn.com/projects/meta-temple-data-center/" TargetMode="External"/><Relationship Id="rId2132" Type="http://schemas.openxmlformats.org/officeDocument/2006/relationships/hyperlink" Target="https://dgtlinfra.com/polmer-800m-temple-texas-data-center/" TargetMode="External"/><Relationship Id="rId2133" Type="http://schemas.openxmlformats.org/officeDocument/2006/relationships/hyperlink" Target="https://www.tdlr.texas.gov/TABS/Search/Project/TABS2025007641" TargetMode="External"/><Relationship Id="rId2134" Type="http://schemas.openxmlformats.org/officeDocument/2006/relationships/hyperlink" Target="https://www.bizjournals.com/austin/news/2025/09/15/rowan-temple-data-center-campus-austin-market-meta.html" TargetMode="External"/><Relationship Id="rId2135" Type="http://schemas.openxmlformats.org/officeDocument/2006/relationships/hyperlink" Target="https://www.rowantemple.com/faqs" TargetMode="External"/><Relationship Id="rId2136" Type="http://schemas.openxmlformats.org/officeDocument/2006/relationships/hyperlink" Target="https://www.datacenterdynamics.com/en/news/rowan-starts-work-on-300mw-data-center-in-temple-texas/" TargetMode="External"/><Relationship Id="rId2160" Type="http://schemas.openxmlformats.org/officeDocument/2006/relationships/hyperlink" Target="https://www.datacenterdynamics.com/en/news/crusoe-taps-blue-energy-to-supply-nuclear-power-for-up-to-15gw-data-center-in-port-of-victoria-texas/" TargetMode="External"/><Relationship Id="rId2161" Type="http://schemas.openxmlformats.org/officeDocument/2006/relationships/hyperlink" Target="https://www.datacenterdynamics.com/en/news/cyrusone-partners-with-constellation-for-760mw-data-center-campus-in-texas/" TargetMode="External"/><Relationship Id="rId2162" Type="http://schemas.openxmlformats.org/officeDocument/2006/relationships/hyperlink" Target="https://www.datacenterdynamics.com/en/news/cyrusone-signs-210mw-energy-deal-with-calpine-for-texas-data-center-campus/" TargetMode="External"/><Relationship Id="rId2163" Type="http://schemas.openxmlformats.org/officeDocument/2006/relationships/hyperlink" Target="https://www.datacenterdynamics.com/en/news/cyrusone-tops-out-latest-texas-data-center/" TargetMode="External"/><Relationship Id="rId2164" Type="http://schemas.openxmlformats.org/officeDocument/2006/relationships/hyperlink" Target="https://www.dallasnews.com/business/energy/2025/07/30/cyrusone-calpine-to-develop-a-12b-hyperscale-data-center-campus-in-central-texas/" TargetMode="External"/><Relationship Id="rId2165" Type="http://schemas.openxmlformats.org/officeDocument/2006/relationships/hyperlink" Target="https://www.power-eng.com/gas/calpine-lands-190-mw-agreement-for-new-hyperscale-data-center-in-texas/" TargetMode="External"/><Relationship Id="rId2166" Type="http://schemas.openxmlformats.org/officeDocument/2006/relationships/hyperlink" Target="https://www.datacenterdynamics.com/en/news/comcast-to-convert-former-bank-into-data-center-in-new-jersey/" TargetMode="External"/><Relationship Id="rId2167" Type="http://schemas.openxmlformats.org/officeDocument/2006/relationships/hyperlink" Target="https://www.tdlr.texas.gov/TABS/Search/Project/TABS2024025831" TargetMode="External"/><Relationship Id="rId2168" Type="http://schemas.openxmlformats.org/officeDocument/2006/relationships/hyperlink" Target="https://www.datacenterdynamics.com/en/news/cipher-mining-to-develop-300mw-cryptomining-data-center-site-in-west-texas/" TargetMode="External"/><Relationship Id="rId2169" Type="http://schemas.openxmlformats.org/officeDocument/2006/relationships/hyperlink" Target="https://www.tdlr.texas.gov/TABS/Search/Project/TABS2025001763" TargetMode="External"/><Relationship Id="rId2159" Type="http://schemas.openxmlformats.org/officeDocument/2006/relationships/hyperlink" Target="https://www.crusoe.ai/resources/newsroom/blue-energy-and-crusoe-partner-to-develop-nuclear-powered-ai-data-center" TargetMode="External"/><Relationship Id="rId2150" Type="http://schemas.openxmlformats.org/officeDocument/2006/relationships/hyperlink" Target="https://www.datacenterdynamics.com/en/news/black-mountain-power-buys-432-acres-in-san-antonio-texas/" TargetMode="External"/><Relationship Id="rId2151" Type="http://schemas.openxmlformats.org/officeDocument/2006/relationships/hyperlink" Target="https://8888cre.com/Data-center-land-for-sale-in-tax-incentive-zone-data-center-land-for-sale-with-power-substation-access-megawatt-powerline-near-Dallas-Texas-Fort-Worth-TX.pdf" TargetMode="External"/><Relationship Id="rId2152" Type="http://schemas.openxmlformats.org/officeDocument/2006/relationships/hyperlink" Target="https://8888cre.com/Data-center-land-for-sale-in-tax-incentive-zone-data-center-land-for-sale-with-power-substation-access-megawatt-powerline-near-Dallas-Texas-Fort-Worth-TX.pdf" TargetMode="External"/><Relationship Id="rId2153" Type="http://schemas.openxmlformats.org/officeDocument/2006/relationships/hyperlink" Target="https://8888cre.com/Data-center-land-for-sale-in-tax-incentive-zone-data-center-land-for-sale-with-power-substation-access-megawatt-powerline-near-Dallas-Texas-Fort-Worth-TX.pdf" TargetMode="External"/><Relationship Id="rId2154" Type="http://schemas.openxmlformats.org/officeDocument/2006/relationships/hyperlink" Target="https://8888cre.com/Data-center-land-for-sale-in-tax-incentive-zone-data-center-land-for-sale-with-power-substation-access-megawatt-powerline-near-Dallas-Texas-Fort-Worth-TX.pdf" TargetMode="External"/><Relationship Id="rId2155" Type="http://schemas.openxmlformats.org/officeDocument/2006/relationships/hyperlink" Target="https://8888cre.com/Data-center-land-for-sale-in-tax-incentive-zone-data-center-land-for-sale-with-power-substation-access-megawatt-powerline-near-Dallas-Texas-Fort-Worth-TX.pdf" TargetMode="External"/><Relationship Id="rId2156" Type="http://schemas.openxmlformats.org/officeDocument/2006/relationships/hyperlink" Target="https://8888cre.com/Data-center-land-for-sale-in-tax-incentive-zone-data-center-land-for-sale-with-power-substation-access-megawatt-powerline-near-Dallas-Texas-Fort-Worth-TX.pdf" TargetMode="External"/><Relationship Id="rId2157" Type="http://schemas.openxmlformats.org/officeDocument/2006/relationships/hyperlink" Target="https://cityofvenus.diligent.community/document/feb4f78c-9858-42f6-b202-88862555f9a3/" TargetMode="External"/><Relationship Id="rId2158" Type="http://schemas.openxmlformats.org/officeDocument/2006/relationships/hyperlink" Target="https://www.datacenterdynamics.com/en/news/soluna-breaks-ground-on-50mw-cryptomine-data-center-expansion-in-texas/" TargetMode="External"/><Relationship Id="rId2104" Type="http://schemas.openxmlformats.org/officeDocument/2006/relationships/hyperlink" Target="https://www.datacenterdynamics.com/en/news/microsoft-files-for-data-center-campus-outside-san-antonio/" TargetMode="External"/><Relationship Id="rId2105" Type="http://schemas.openxmlformats.org/officeDocument/2006/relationships/hyperlink" Target="https://www.datacenterdynamics.com/en/news/vantage-files-plans-for-san-antonio-data-center/" TargetMode="External"/><Relationship Id="rId2106" Type="http://schemas.openxmlformats.org/officeDocument/2006/relationships/hyperlink" Target="https://www.datacenterdynamics.com/en/news/vantage-buys-two-land-plots-in-san-antonio-texas/" TargetMode="External"/><Relationship Id="rId2107" Type="http://schemas.openxmlformats.org/officeDocument/2006/relationships/hyperlink" Target="https://www.datacenterdynamics.com/en/news/vantage-files-to-build-second-san-antonio-data-center-in-texas/" TargetMode="External"/><Relationship Id="rId2108" Type="http://schemas.openxmlformats.org/officeDocument/2006/relationships/hyperlink" Target="https://www.datacenterdynamics.com/en/news/vantage-buys-two-land-plots-in-san-antonio-texas/" TargetMode="External"/><Relationship Id="rId2109" Type="http://schemas.openxmlformats.org/officeDocument/2006/relationships/hyperlink" Target="https://www.datacenterdynamics.com/en/news/vantage-files-to-build-another-data-center-in-san-antonio-texas/" TargetMode="External"/><Relationship Id="rId2100" Type="http://schemas.openxmlformats.org/officeDocument/2006/relationships/hyperlink" Target="https://www.datacenterdynamics.com/en/news/vantage-buys-two-land-plots-in-san-antonio-texas/" TargetMode="External"/><Relationship Id="rId2101" Type="http://schemas.openxmlformats.org/officeDocument/2006/relationships/hyperlink" Target="https://www.datacenterdynamics.com/en/news/vantage-files-to-build-another-data-center-in-san-antonio-texas/" TargetMode="External"/><Relationship Id="rId2102" Type="http://schemas.openxmlformats.org/officeDocument/2006/relationships/hyperlink" Target="https://gis-tceq.opendata.arcgis.com/datasets/daece6e3181140f69093ab69cf9ae0ba/explore?layer=0&amp;showTable=true" TargetMode="External"/><Relationship Id="rId2103" Type="http://schemas.openxmlformats.org/officeDocument/2006/relationships/hyperlink" Target="https://gis-tceq.opendata.arcgis.com/datasets/daece6e3181140f69093ab69cf9ae0ba/explore?layer=0&amp;showTable=true" TargetMode="External"/><Relationship Id="rId899" Type="http://schemas.openxmlformats.org/officeDocument/2006/relationships/hyperlink" Target="https://www.change.org/p/big-tech-wants-our-community-lowell-mi-and-great-lakes-allies-say-no" TargetMode="External"/><Relationship Id="rId898" Type="http://schemas.openxmlformats.org/officeDocument/2006/relationships/hyperlink" Target="https://www.mlive.com/news/grand-rapids/2025/12/why-a-top-10-company-is-eyeing-a-data-center-in-this-west-michigan-town.html" TargetMode="External"/><Relationship Id="rId897" Type="http://schemas.openxmlformats.org/officeDocument/2006/relationships/hyperlink" Target="https://www.change.org/p/no-lowell-data-center" TargetMode="External"/><Relationship Id="rId896" Type="http://schemas.openxmlformats.org/officeDocument/2006/relationships/hyperlink" Target="https://linktr.ee/residentsunitedlowell" TargetMode="External"/><Relationship Id="rId891" Type="http://schemas.openxmlformats.org/officeDocument/2006/relationships/hyperlink" Target="https://www.lansingstatejournal.com/story/money/business/2025/11/05/lansing-data-center-deep-green-bwl/87051236007/" TargetMode="External"/><Relationship Id="rId890" Type="http://schemas.openxmlformats.org/officeDocument/2006/relationships/hyperlink" Target="https://www.9and10news.com/2025/11/17/residents-voice-concerns-over-proposed-data-center-in-kalkaska-county" TargetMode="External"/><Relationship Id="rId895" Type="http://schemas.openxmlformats.org/officeDocument/2006/relationships/hyperlink" Target="https://www.facebook.com/residentsunitedlowell" TargetMode="External"/><Relationship Id="rId894" Type="http://schemas.openxmlformats.org/officeDocument/2006/relationships/hyperlink" Target="https://www.datacenterdynamics.com/en/news/uks-deep-green-withdraws-proposals-for-data-center-project-in-michigan/" TargetMode="External"/><Relationship Id="rId893" Type="http://schemas.openxmlformats.org/officeDocument/2006/relationships/hyperlink" Target="https://www.datacenterdynamics.com/en/news/lansing-michigan-sends-mixed-messages-regarding-120m-data-center/" TargetMode="External"/><Relationship Id="rId892" Type="http://schemas.openxmlformats.org/officeDocument/2006/relationships/hyperlink" Target="https://www.wilx.com/2025/11/19/citizens-call-data-center-contract-transparency-lansing/" TargetMode="External"/><Relationship Id="rId2126" Type="http://schemas.openxmlformats.org/officeDocument/2006/relationships/hyperlink" Target="https://www.404media.co/a-farmer-donated-land-to-turn-into-a-park-the-city-is-building-a-massive-data-center-instead/" TargetMode="External"/><Relationship Id="rId2127" Type="http://schemas.openxmlformats.org/officeDocument/2006/relationships/hyperlink" Target="https://www.datacenterdynamics.com/en/news/360mw-data-center-to-be-built-outside-austin-texas/" TargetMode="External"/><Relationship Id="rId2128" Type="http://schemas.openxmlformats.org/officeDocument/2006/relationships/hyperlink" Target="https://www.statesman.com/business/technology/article/taylor-data-center-samsung-22153681.php" TargetMode="External"/><Relationship Id="rId2129" Type="http://schemas.openxmlformats.org/officeDocument/2006/relationships/hyperlink" Target="https://rbnenergy.com/i-know-places-tech-giants-may-be-the-surest-bets-for-data-center-power-demand" TargetMode="External"/><Relationship Id="rId2120" Type="http://schemas.openxmlformats.org/officeDocument/2006/relationships/hyperlink" Target="https://msbglobalservices.com/matrix-data-center-campus-breaks-ground-in-sulphur-springs-tx-a-new-era-for-net-zero-ai-infrastructure/" TargetMode="External"/><Relationship Id="rId2121" Type="http://schemas.openxmlformats.org/officeDocument/2006/relationships/hyperlink" Target="https://www.ketk.com/news/local-news/30-ai-data-centers-to-be-built-at-sulphur-springs-campus/" TargetMode="External"/><Relationship Id="rId2122" Type="http://schemas.openxmlformats.org/officeDocument/2006/relationships/hyperlink" Target="https://www.datacenterdynamics.com/en/news/iren-plans-75mw-liquid-cooled-ai-data-center-in-texas/" TargetMode="External"/><Relationship Id="rId2123" Type="http://schemas.openxmlformats.org/officeDocument/2006/relationships/hyperlink" Target="https://www.datacenterdynamics.com/en/news/360mw-data-center-to-be-built-outside-austin-texas/" TargetMode="External"/><Relationship Id="rId2124" Type="http://schemas.openxmlformats.org/officeDocument/2006/relationships/hyperlink" Target="https://www.datacenterdynamics.com/en/news/blueprint-projects-gets-greenlight-for-data-center-in-taylor-texas/" TargetMode="External"/><Relationship Id="rId2125" Type="http://schemas.openxmlformats.org/officeDocument/2006/relationships/hyperlink" Target="https://www.taylortx.gov/1293/Blueprint-Projects-Data-Center" TargetMode="External"/><Relationship Id="rId2115" Type="http://schemas.openxmlformats.org/officeDocument/2006/relationships/hyperlink" Target="https://www.datacenterdynamics.com/en/news/soluna-partners-with-metrobloks-for-texas-campus/" TargetMode="External"/><Relationship Id="rId2116" Type="http://schemas.openxmlformats.org/officeDocument/2006/relationships/hyperlink" Target="https://www.datacenterdynamics.com/en/news/soluna-to-develop-two-new-data-centers-in-texas-with-a-combined-capacity-of-350mw/" TargetMode="External"/><Relationship Id="rId2117" Type="http://schemas.openxmlformats.org/officeDocument/2006/relationships/hyperlink" Target="https://www.datacenterdynamics.com/en/news/soluna-to-develop-two-new-data-centers-in-texas-with-a-combined-capacity-of-350mw/" TargetMode="External"/><Relationship Id="rId2118" Type="http://schemas.openxmlformats.org/officeDocument/2006/relationships/hyperlink" Target="https://www.datacenterdynamics.com/en/news/oppidan-files-for-5mw-data-center-in-el-paso-texas/" TargetMode="External"/><Relationship Id="rId2119" Type="http://schemas.openxmlformats.org/officeDocument/2006/relationships/hyperlink" Target="https://invest.jll.com/us/en/listings/special-purpose-facility/8-asset-switch-portfolio" TargetMode="External"/><Relationship Id="rId2110" Type="http://schemas.openxmlformats.org/officeDocument/2006/relationships/hyperlink" Target="https://www.datacenterdynamics.com/en/news/vantage-files-to-build-another-data-center-in-san-antonio-texas/" TargetMode="External"/><Relationship Id="rId2111" Type="http://schemas.openxmlformats.org/officeDocument/2006/relationships/hyperlink" Target="https://www.datacenterdynamics.com/en/news/706-acre-data-center-approved-for-development-outside-san-antonio-texas/" TargetMode="External"/><Relationship Id="rId2112" Type="http://schemas.openxmlformats.org/officeDocument/2006/relationships/hyperlink" Target="https://www.datacenterdynamics.com/en/news/data-center-proposed-for-200-acre-site-in-san-marcos-texas/" TargetMode="External"/><Relationship Id="rId2113" Type="http://schemas.openxmlformats.org/officeDocument/2006/relationships/hyperlink" Target="https://www.datacenterdynamics.com/en/news/data-center-proposal-rejected-in-san-marcos-texas/" TargetMode="External"/><Relationship Id="rId2114" Type="http://schemas.openxmlformats.org/officeDocument/2006/relationships/hyperlink" Target="https://www.datacenterdynamics.com/en/news/soluna-to-develop-two-new-data-centers-in-texas-with-a-combined-capacity-of-350mw/"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36.13"/>
    <col customWidth="1" min="2" max="2" width="28.5"/>
    <col customWidth="1" min="3" max="3" width="17.13"/>
    <col customWidth="1" min="9" max="9" width="13.5"/>
    <col customWidth="1" min="12" max="12" width="23.38"/>
    <col customWidth="1" min="15" max="15" width="21.75"/>
    <col customWidth="1" min="34" max="34" width="20.25"/>
  </cols>
  <sheetData>
    <row r="1">
      <c r="A1" s="1" t="str">
        <f>IFERROR(__xludf.DUMMYFUNCTION("{IMPORTRANGE(""https://docs.google.com/spreadsheets/d/1JJ6kcVo-NjlAYtznwHOki2DVl4WWV6lhy-eXhFCdKKU"", ""DB_output_V2!A:AR"")}"),"facility_name")</f>
        <v>facility_name</v>
      </c>
      <c r="B1" s="1" t="str">
        <f>IFERROR(__xludf.DUMMYFUNCTION("""COMPUTED_VALUE"""),"address")</f>
        <v>address</v>
      </c>
      <c r="C1" s="1" t="str">
        <f>IFERROR(__xludf.DUMMYFUNCTION("""COMPUTED_VALUE"""),"city")</f>
        <v>city</v>
      </c>
      <c r="D1" s="1" t="str">
        <f>IFERROR(__xludf.DUMMYFUNCTION("""COMPUTED_VALUE"""),"state")</f>
        <v>state</v>
      </c>
      <c r="E1" s="1" t="str">
        <f>IFERROR(__xludf.DUMMYFUNCTION("""COMPUTED_VALUE"""),"zip")</f>
        <v>zip</v>
      </c>
      <c r="F1" s="1" t="str">
        <f>IFERROR(__xludf.DUMMYFUNCTION("""COMPUTED_VALUE"""),"county")</f>
        <v>county</v>
      </c>
      <c r="G1" s="1" t="str">
        <f>IFERROR(__xludf.DUMMYFUNCTION("""COMPUTED_VALUE"""),"lat")</f>
        <v>lat</v>
      </c>
      <c r="H1" s="1" t="str">
        <f>IFERROR(__xludf.DUMMYFUNCTION("""COMPUTED_VALUE"""),"long")</f>
        <v>long</v>
      </c>
      <c r="I1" s="1" t="str">
        <f>IFERROR(__xludf.DUMMYFUNCTION("""COMPUTED_VALUE"""),"status")</f>
        <v>status</v>
      </c>
      <c r="J1" s="1" t="str">
        <f>IFERROR(__xludf.DUMMYFUNCTION("""COMPUTED_VALUE"""),"location_confidence")</f>
        <v>location_confidence</v>
      </c>
      <c r="K1" s="1" t="str">
        <f>IFERROR(__xludf.DUMMYFUNCTION("""COMPUTED_VALUE"""),"purpose")</f>
        <v>purpose</v>
      </c>
      <c r="L1" s="1" t="str">
        <f>IFERROR(__xludf.DUMMYFUNCTION("""COMPUTED_VALUE"""),"operator_name")</f>
        <v>operator_name</v>
      </c>
      <c r="M1" s="1" t="str">
        <f>IFERROR(__xludf.DUMMYFUNCTION("""COMPUTED_VALUE"""),"tenant")</f>
        <v>tenant</v>
      </c>
      <c r="N1" s="1" t="str">
        <f>IFERROR(__xludf.DUMMYFUNCTION("""COMPUTED_VALUE"""),"mw")</f>
        <v>mw</v>
      </c>
      <c r="O1" s="1" t="str">
        <f>IFERROR(__xludf.DUMMYFUNCTION("""COMPUTED_VALUE"""),"sizerank")</f>
        <v>sizerank</v>
      </c>
      <c r="P1" s="1" t="str">
        <f>IFERROR(__xludf.DUMMYFUNCTION("""COMPUTED_VALUE"""),"power_source")</f>
        <v>power_source</v>
      </c>
      <c r="Q1" s="1" t="str">
        <f>IFERROR(__xludf.DUMMYFUNCTION("""COMPUTED_VALUE"""),"dedicated_power_plant")</f>
        <v>dedicated_power_plant</v>
      </c>
      <c r="R1" s="1" t="str">
        <f>IFERROR(__xludf.DUMMYFUNCTION("""COMPUTED_VALUE"""),"number_of_generators")</f>
        <v>number_of_generators</v>
      </c>
      <c r="S1" s="1" t="str">
        <f>IFERROR(__xludf.DUMMYFUNCTION("""COMPUTED_VALUE"""),"number_of_buildings")</f>
        <v>number_of_buildings</v>
      </c>
      <c r="T1" s="1" t="str">
        <f>IFERROR(__xludf.DUMMYFUNCTION("""COMPUTED_VALUE"""),"cooling_source")</f>
        <v>cooling_source</v>
      </c>
      <c r="U1" s="1" t="str">
        <f>IFERROR(__xludf.DUMMYFUNCTION("""COMPUTED_VALUE"""),"cooling_type")</f>
        <v>cooling_type</v>
      </c>
      <c r="V1" s="1" t="str">
        <f>IFERROR(__xludf.DUMMYFUNCTION("""COMPUTED_VALUE"""),"facility_size_sqft")</f>
        <v>facility_size_sqft</v>
      </c>
      <c r="W1" s="1" t="str">
        <f>IFERROR(__xludf.DUMMYFUNCTION("""COMPUTED_VALUE"""),"property_size_acres")</f>
        <v>property_size_acres</v>
      </c>
      <c r="X1" s="1" t="str">
        <f>IFERROR(__xludf.DUMMYFUNCTION("""COMPUTED_VALUE"""),"project_cost")</f>
        <v>project_cost</v>
      </c>
      <c r="Y1" s="1" t="str">
        <f>IFERROR(__xludf.DUMMYFUNCTION("""COMPUTED_VALUE"""),"expected_date_online")</f>
        <v>expected_date_online</v>
      </c>
      <c r="Z1" s="1" t="str">
        <f>IFERROR(__xludf.DUMMYFUNCTION("""COMPUTED_VALUE"""),"community_pushback")</f>
        <v>community_pushback</v>
      </c>
      <c r="AA1" s="1" t="str">
        <f>IFERROR(__xludf.DUMMYFUNCTION("""COMPUTED_VALUE"""),"advocacy_information")</f>
        <v>advocacy_information</v>
      </c>
      <c r="AB1" s="1" t="str">
        <f>IFERROR(__xludf.DUMMYFUNCTION("""COMPUTED_VALUE"""),"resistance_status")</f>
        <v>resistance_status</v>
      </c>
      <c r="AC1" s="1" t="str">
        <f>IFERROR(__xludf.DUMMYFUNCTION("""COMPUTED_VALUE"""),"nda")</f>
        <v>nda</v>
      </c>
      <c r="AD1" s="1" t="str">
        <f>IFERROR(__xludf.DUMMYFUNCTION("""COMPUTED_VALUE"""),"community_group_website_1")</f>
        <v>community_group_website_1</v>
      </c>
      <c r="AE1" s="1" t="str">
        <f>IFERROR(__xludf.DUMMYFUNCTION("""COMPUTED_VALUE"""),"community_group_website_2")</f>
        <v>community_group_website_2</v>
      </c>
      <c r="AF1" s="1" t="str">
        <f>IFERROR(__xludf.DUMMYFUNCTION("""COMPUTED_VALUE"""),"petition_url")</f>
        <v>petition_url</v>
      </c>
      <c r="AG1" s="1" t="str">
        <f>IFERROR(__xludf.DUMMYFUNCTION("""COMPUTED_VALUE"""),"other_info")</f>
        <v>other_info</v>
      </c>
      <c r="AH1" s="1" t="str">
        <f>IFERROR(__xludf.DUMMYFUNCTION("""COMPUTED_VALUE"""),"information_source")</f>
        <v>information_source</v>
      </c>
      <c r="AI1" s="1" t="str">
        <f>IFERROR(__xludf.DUMMYFUNCTION("""COMPUTED_VALUE"""),"info_source_1")</f>
        <v>info_source_1</v>
      </c>
      <c r="AJ1" s="1" t="str">
        <f>IFERROR(__xludf.DUMMYFUNCTION("""COMPUTED_VALUE"""),"info_source_2")</f>
        <v>info_source_2</v>
      </c>
      <c r="AK1" s="1" t="str">
        <f>IFERROR(__xludf.DUMMYFUNCTION("""COMPUTED_VALUE"""),"info_source_3")</f>
        <v>info_source_3</v>
      </c>
      <c r="AL1" s="1" t="str">
        <f>IFERROR(__xludf.DUMMYFUNCTION("""COMPUTED_VALUE"""),"info_source_4")</f>
        <v>info_source_4</v>
      </c>
      <c r="AM1" s="1" t="str">
        <f>IFERROR(__xludf.DUMMYFUNCTION("""COMPUTED_VALUE"""),"info_source_5")</f>
        <v>info_source_5</v>
      </c>
      <c r="AN1" s="1" t="str">
        <f>IFERROR(__xludf.DUMMYFUNCTION("""COMPUTED_VALUE"""),"info_source_6")</f>
        <v>info_source_6</v>
      </c>
      <c r="AO1" s="1" t="str">
        <f>IFERROR(__xludf.DUMMYFUNCTION("""COMPUTED_VALUE"""),"info_source_7")</f>
        <v>info_source_7</v>
      </c>
      <c r="AP1" s="1" t="str">
        <f>IFERROR(__xludf.DUMMYFUNCTION("""COMPUTED_VALUE"""),"info_source_8")</f>
        <v>info_source_8</v>
      </c>
      <c r="AQ1" s="1" t="str">
        <f>IFERROR(__xludf.DUMMYFUNCTION("""COMPUTED_VALUE"""),"date_created")</f>
        <v>date_created</v>
      </c>
      <c r="AR1" s="1" t="str">
        <f>IFERROR(__xludf.DUMMYFUNCTION("""COMPUTED_VALUE"""),"date_updated")</f>
        <v>date_updated</v>
      </c>
    </row>
    <row r="2">
      <c r="A2" s="1" t="str">
        <f>IFERROR(__xludf.DUMMYFUNCTION("""COMPUTED_VALUE"""),"Global Stack Data Center")</f>
        <v>Global Stack Data Center</v>
      </c>
      <c r="B2" s="1" t="str">
        <f>IFERROR(__xludf.DUMMYFUNCTION("""COMPUTED_VALUE"""),"")</f>
        <v/>
      </c>
      <c r="C2" s="1" t="str">
        <f>IFERROR(__xludf.DUMMYFUNCTION("""COMPUTED_VALUE"""),"")</f>
        <v/>
      </c>
      <c r="D2" s="1" t="str">
        <f>IFERROR(__xludf.DUMMYFUNCTION("""COMPUTED_VALUE"""),"")</f>
        <v/>
      </c>
      <c r="E2" s="1" t="str">
        <f>IFERROR(__xludf.DUMMYFUNCTION("""COMPUTED_VALUE"""),"")</f>
        <v/>
      </c>
      <c r="F2" s="1" t="str">
        <f>IFERROR(__xludf.DUMMYFUNCTION("""COMPUTED_VALUE"""),"Napa")</f>
        <v>Napa</v>
      </c>
      <c r="G2" s="1" t="str">
        <f>IFERROR(__xludf.DUMMYFUNCTION("""COMPUTED_VALUE"""),"38.585007")</f>
        <v>38.585007</v>
      </c>
      <c r="H2" s="1" t="str">
        <f>IFERROR(__xludf.DUMMYFUNCTION("""COMPUTED_VALUE"""),"-122.58886")</f>
        <v>-122.58886</v>
      </c>
      <c r="I2" s="1" t="str">
        <f>IFERROR(__xludf.DUMMYFUNCTION("""COMPUTED_VALUE"""),"Proposed")</f>
        <v>Proposed</v>
      </c>
      <c r="J2" s="1" t="str">
        <f>IFERROR(__xludf.DUMMYFUNCTION("""COMPUTED_VALUE"""),"Medium")</f>
        <v>Medium</v>
      </c>
      <c r="K2" s="1" t="str">
        <f>IFERROR(__xludf.DUMMYFUNCTION("""COMPUTED_VALUE"""),"")</f>
        <v/>
      </c>
      <c r="L2" s="1" t="str">
        <f>IFERROR(__xludf.DUMMYFUNCTION("""COMPUTED_VALUE"""),"Global Stack/ Edge")</f>
        <v>Global Stack/ Edge</v>
      </c>
      <c r="M2" s="1" t="str">
        <f>IFERROR(__xludf.DUMMYFUNCTION("""COMPUTED_VALUE"""),"")</f>
        <v/>
      </c>
      <c r="N2" s="1" t="str">
        <f>IFERROR(__xludf.DUMMYFUNCTION("""COMPUTED_VALUE"""),"10")</f>
        <v>10</v>
      </c>
      <c r="O2" s="1" t="str">
        <f>IFERROR(__xludf.DUMMYFUNCTION("""COMPUTED_VALUE"""),"Small (0-10 MW)")</f>
        <v>Small (0-10 MW)</v>
      </c>
      <c r="P2" s="1" t="str">
        <f>IFERROR(__xludf.DUMMYFUNCTION("""COMPUTED_VALUE"""),"")</f>
        <v/>
      </c>
      <c r="Q2" s="1" t="str">
        <f>IFERROR(__xludf.DUMMYFUNCTION("""COMPUTED_VALUE"""),"")</f>
        <v/>
      </c>
      <c r="R2" s="1" t="str">
        <f>IFERROR(__xludf.DUMMYFUNCTION("""COMPUTED_VALUE"""),"")</f>
        <v/>
      </c>
      <c r="S2" s="1" t="str">
        <f>IFERROR(__xludf.DUMMYFUNCTION("""COMPUTED_VALUE"""),"")</f>
        <v/>
      </c>
      <c r="T2" s="1" t="str">
        <f>IFERROR(__xludf.DUMMYFUNCTION("""COMPUTED_VALUE"""),"")</f>
        <v/>
      </c>
      <c r="U2" s="1" t="str">
        <f>IFERROR(__xludf.DUMMYFUNCTION("""COMPUTED_VALUE"""),"")</f>
        <v/>
      </c>
      <c r="V2" s="1" t="str">
        <f>IFERROR(__xludf.DUMMYFUNCTION("""COMPUTED_VALUE"""),"")</f>
        <v/>
      </c>
      <c r="W2" s="1" t="str">
        <f>IFERROR(__xludf.DUMMYFUNCTION("""COMPUTED_VALUE"""),"70")</f>
        <v>70</v>
      </c>
      <c r="X2" s="1" t="str">
        <f>IFERROR(__xludf.DUMMYFUNCTION("""COMPUTED_VALUE"""),"")</f>
        <v/>
      </c>
      <c r="Y2" s="1" t="str">
        <f>IFERROR(__xludf.DUMMYFUNCTION("""COMPUTED_VALUE"""),"")</f>
        <v/>
      </c>
      <c r="Z2" s="1" t="str">
        <f>IFERROR(__xludf.DUMMYFUNCTION("""COMPUTED_VALUE"""),"Yes")</f>
        <v>Yes</v>
      </c>
      <c r="AA2" s="1" t="str">
        <f>IFERROR(__xludf.DUMMYFUNCTION("""COMPUTED_VALUE"""),"")</f>
        <v/>
      </c>
      <c r="AB2" s="1" t="str">
        <f>IFERROR(__xludf.DUMMYFUNCTION("""COMPUTED_VALUE"""),"Emerging Concern")</f>
        <v>Emerging Concern</v>
      </c>
      <c r="AC2" s="1" t="str">
        <f>IFERROR(__xludf.DUMMYFUNCTION("""COMPUTED_VALUE"""),"")</f>
        <v/>
      </c>
      <c r="AD2" s="1" t="str">
        <f>IFERROR(__xludf.DUMMYFUNCTION("""COMPUTED_VALUE"""),"")</f>
        <v/>
      </c>
      <c r="AE2" s="1" t="str">
        <f>IFERROR(__xludf.DUMMYFUNCTION("""COMPUTED_VALUE"""),"")</f>
        <v/>
      </c>
      <c r="AF2" s="1" t="str">
        <f>IFERROR(__xludf.DUMMYFUNCTION("""COMPUTED_VALUE"""),"")</f>
        <v/>
      </c>
      <c r="AG2" s="1" t="str">
        <f>IFERROR(__xludf.DUMMYFUNCTION("""COMPUTED_VALUE"""),"")</f>
        <v/>
      </c>
      <c r="AH2" s="1" t="str">
        <f>IFERROR(__xludf.DUMMYFUNCTION("""COMPUTED_VALUE"""),"Media Monitoring")</f>
        <v>Media Monitoring</v>
      </c>
      <c r="AI2" s="2" t="str">
        <f>IFERROR(__xludf.DUMMYFUNCTION("""COMPUTED_VALUE"""),"https://www.datacenterdynamics.com/en/news/developer-of-edge-data-centers-helipads-and-parking-garages-proposes-project-on-former-fairground-in-calistoga-california/")</f>
        <v>https://www.datacenterdynamics.com/en/news/developer-of-edge-data-centers-helipads-and-parking-garages-proposes-project-on-former-fairground-in-calistoga-california/</v>
      </c>
      <c r="AJ2" s="2" t="str">
        <f>IFERROR(__xludf.DUMMYFUNCTION("""COMPUTED_VALUE"""),"https://calistoga.civicweb.net/document/116181/Global%20Stack%20Opportunity%20Overview.pdf?handle=92DF9DCF83B442A68B3263107EF2411A")</f>
        <v>https://calistoga.civicweb.net/document/116181/Global%20Stack%20Opportunity%20Overview.pdf?handle=92DF9DCF83B442A68B3263107EF2411A</v>
      </c>
      <c r="AK2" s="1" t="str">
        <f>IFERROR(__xludf.DUMMYFUNCTION("""COMPUTED_VALUE"""),"")</f>
        <v/>
      </c>
      <c r="AL2" s="1" t="str">
        <f>IFERROR(__xludf.DUMMYFUNCTION("""COMPUTED_VALUE"""),"")</f>
        <v/>
      </c>
      <c r="AM2" s="1" t="str">
        <f>IFERROR(__xludf.DUMMYFUNCTION("""COMPUTED_VALUE"""),"")</f>
        <v/>
      </c>
      <c r="AN2" s="1" t="str">
        <f>IFERROR(__xludf.DUMMYFUNCTION("""COMPUTED_VALUE"""),"")</f>
        <v/>
      </c>
      <c r="AO2" s="1" t="str">
        <f>IFERROR(__xludf.DUMMYFUNCTION("""COMPUTED_VALUE"""),"")</f>
        <v/>
      </c>
      <c r="AP2" s="1" t="str">
        <f>IFERROR(__xludf.DUMMYFUNCTION("""COMPUTED_VALUE"""),"")</f>
        <v/>
      </c>
      <c r="AQ2" s="1" t="str">
        <f>IFERROR(__xludf.DUMMYFUNCTION("""COMPUTED_VALUE"""),"06/29/2026")</f>
        <v>06/29/2026</v>
      </c>
      <c r="AR2" s="1" t="str">
        <f>IFERROR(__xludf.DUMMYFUNCTION("""COMPUTED_VALUE"""),"06/29/2026")</f>
        <v>06/29/2026</v>
      </c>
    </row>
    <row r="3">
      <c r="A3" s="1" t="str">
        <f>IFERROR(__xludf.DUMMYFUNCTION("""COMPUTED_VALUE"""),"Stak Energy Data Center")</f>
        <v>Stak Energy Data Center</v>
      </c>
      <c r="B3" s="1" t="str">
        <f>IFERROR(__xludf.DUMMYFUNCTION("""COMPUTED_VALUE"""),"Dalton Hwy, 26 miles south of Deadhorse")</f>
        <v>Dalton Hwy, 26 miles south of Deadhorse</v>
      </c>
      <c r="C3" s="1" t="str">
        <f>IFERROR(__xludf.DUMMYFUNCTION("""COMPUTED_VALUE"""),"North Slope Borough")</f>
        <v>North Slope Borough</v>
      </c>
      <c r="D3" s="1" t="str">
        <f>IFERROR(__xludf.DUMMYFUNCTION("""COMPUTED_VALUE"""),"AK")</f>
        <v>AK</v>
      </c>
      <c r="E3" s="1" t="str">
        <f>IFERROR(__xludf.DUMMYFUNCTION("""COMPUTED_VALUE"""),"")</f>
        <v/>
      </c>
      <c r="F3" s="1" t="str">
        <f>IFERROR(__xludf.DUMMYFUNCTION("""COMPUTED_VALUE"""),"North Slope")</f>
        <v>North Slope</v>
      </c>
      <c r="G3" s="1" t="str">
        <f>IFERROR(__xludf.DUMMYFUNCTION("""COMPUTED_VALUE"""),"69.90071")</f>
        <v>69.90071</v>
      </c>
      <c r="H3" s="1" t="str">
        <f>IFERROR(__xludf.DUMMYFUNCTION("""COMPUTED_VALUE"""),"-148.81477")</f>
        <v>-148.81477</v>
      </c>
      <c r="I3" s="1" t="str">
        <f>IFERROR(__xludf.DUMMYFUNCTION("""COMPUTED_VALUE"""),"Proposed")</f>
        <v>Proposed</v>
      </c>
      <c r="J3" s="1" t="str">
        <f>IFERROR(__xludf.DUMMYFUNCTION("""COMPUTED_VALUE"""),"Medium")</f>
        <v>Medium</v>
      </c>
      <c r="K3" s="1" t="str">
        <f>IFERROR(__xludf.DUMMYFUNCTION("""COMPUTED_VALUE"""),"")</f>
        <v/>
      </c>
      <c r="L3" s="1" t="str">
        <f>IFERROR(__xludf.DUMMYFUNCTION("""COMPUTED_VALUE"""),"Stak")</f>
        <v>Stak</v>
      </c>
      <c r="M3" s="1" t="str">
        <f>IFERROR(__xludf.DUMMYFUNCTION("""COMPUTED_VALUE"""),"")</f>
        <v/>
      </c>
      <c r="N3" s="1" t="str">
        <f>IFERROR(__xludf.DUMMYFUNCTION("""COMPUTED_VALUE"""),"3000")</f>
        <v>3000</v>
      </c>
      <c r="O3" s="1" t="str">
        <f>IFERROR(__xludf.DUMMYFUNCTION("""COMPUTED_VALUE"""),"Mega campus (&gt;1,000 MW)")</f>
        <v>Mega campus (&gt;1,000 MW)</v>
      </c>
      <c r="P3" s="1" t="str">
        <f>IFERROR(__xludf.DUMMYFUNCTION("""COMPUTED_VALUE"""),"Natural gas")</f>
        <v>Natural gas</v>
      </c>
      <c r="Q3" s="1" t="str">
        <f>IFERROR(__xludf.DUMMYFUNCTION("""COMPUTED_VALUE"""),"Yes")</f>
        <v>Yes</v>
      </c>
      <c r="R3" s="1" t="str">
        <f>IFERROR(__xludf.DUMMYFUNCTION("""COMPUTED_VALUE"""),"")</f>
        <v/>
      </c>
      <c r="S3" s="1" t="str">
        <f>IFERROR(__xludf.DUMMYFUNCTION("""COMPUTED_VALUE"""),"")</f>
        <v/>
      </c>
      <c r="T3" s="1" t="str">
        <f>IFERROR(__xludf.DUMMYFUNCTION("""COMPUTED_VALUE"""),"")</f>
        <v/>
      </c>
      <c r="U3" s="1" t="str">
        <f>IFERROR(__xludf.DUMMYFUNCTION("""COMPUTED_VALUE"""),"")</f>
        <v/>
      </c>
      <c r="V3" s="1" t="str">
        <f>IFERROR(__xludf.DUMMYFUNCTION("""COMPUTED_VALUE"""),"")</f>
        <v/>
      </c>
      <c r="W3" s="1" t="str">
        <f>IFERROR(__xludf.DUMMYFUNCTION("""COMPUTED_VALUE"""),"715")</f>
        <v>715</v>
      </c>
      <c r="X3" s="1" t="str">
        <f>IFERROR(__xludf.DUMMYFUNCTION("""COMPUTED_VALUE"""),"")</f>
        <v/>
      </c>
      <c r="Y3" s="1" t="str">
        <f>IFERROR(__xludf.DUMMYFUNCTION("""COMPUTED_VALUE"""),"2028")</f>
        <v>2028</v>
      </c>
      <c r="Z3" s="1" t="str">
        <f>IFERROR(__xludf.DUMMYFUNCTION("""COMPUTED_VALUE"""),"Unknown")</f>
        <v>Unknown</v>
      </c>
      <c r="AA3" s="1" t="str">
        <f>IFERROR(__xludf.DUMMYFUNCTION("""COMPUTED_VALUE"""),"")</f>
        <v/>
      </c>
      <c r="AB3" s="1" t="str">
        <f>IFERROR(__xludf.DUMMYFUNCTION("""COMPUTED_VALUE"""),"")</f>
        <v/>
      </c>
      <c r="AC3" s="1" t="str">
        <f>IFERROR(__xludf.DUMMYFUNCTION("""COMPUTED_VALUE"""),"")</f>
        <v/>
      </c>
      <c r="AD3" s="1" t="str">
        <f>IFERROR(__xludf.DUMMYFUNCTION("""COMPUTED_VALUE"""),"")</f>
        <v/>
      </c>
      <c r="AE3" s="1" t="str">
        <f>IFERROR(__xludf.DUMMYFUNCTION("""COMPUTED_VALUE"""),"")</f>
        <v/>
      </c>
      <c r="AF3" s="1" t="str">
        <f>IFERROR(__xludf.DUMMYFUNCTION("""COMPUTED_VALUE"""),"")</f>
        <v/>
      </c>
      <c r="AG3" s="1" t="str">
        <f>IFERROR(__xludf.DUMMYFUNCTION("""COMPUTED_VALUE"""),"")</f>
        <v/>
      </c>
      <c r="AH3" s="1" t="str">
        <f>IFERROR(__xludf.DUMMYFUNCTION("""COMPUTED_VALUE"""),"Media Monitoring")</f>
        <v>Media Monitoring</v>
      </c>
      <c r="AI3" s="2" t="str">
        <f>IFERROR(__xludf.DUMMYFUNCTION("""COMPUTED_VALUE"""),"https://www.datacenterdynamics.com/en/news/stak-energy-proposes-3gw-natural-gas-powered-data-center-in-alaskas-north-slope/")</f>
        <v>https://www.datacenterdynamics.com/en/news/stak-energy-proposes-3gw-natural-gas-powered-data-center-in-alaskas-north-slope/</v>
      </c>
      <c r="AJ3" s="2" t="str">
        <f>IFERROR(__xludf.DUMMYFUNCTION("""COMPUTED_VALUE"""),"https://www.cbc.ca/news/canada/north/yukon-alaska-data-centre-indigenous-environment-9.7239464")</f>
        <v>https://www.cbc.ca/news/canada/north/yukon-alaska-data-centre-indigenous-environment-9.7239464</v>
      </c>
      <c r="AK3" s="1" t="str">
        <f>IFERROR(__xludf.DUMMYFUNCTION("""COMPUTED_VALUE"""),"")</f>
        <v/>
      </c>
      <c r="AL3" s="1" t="str">
        <f>IFERROR(__xludf.DUMMYFUNCTION("""COMPUTED_VALUE"""),"")</f>
        <v/>
      </c>
      <c r="AM3" s="1" t="str">
        <f>IFERROR(__xludf.DUMMYFUNCTION("""COMPUTED_VALUE"""),"")</f>
        <v/>
      </c>
      <c r="AN3" s="1" t="str">
        <f>IFERROR(__xludf.DUMMYFUNCTION("""COMPUTED_VALUE"""),"")</f>
        <v/>
      </c>
      <c r="AO3" s="1" t="str">
        <f>IFERROR(__xludf.DUMMYFUNCTION("""COMPUTED_VALUE"""),"")</f>
        <v/>
      </c>
      <c r="AP3" s="1" t="str">
        <f>IFERROR(__xludf.DUMMYFUNCTION("""COMPUTED_VALUE"""),"")</f>
        <v/>
      </c>
      <c r="AQ3" s="1" t="str">
        <f>IFERROR(__xludf.DUMMYFUNCTION("""COMPUTED_VALUE"""),"05/20/2026")</f>
        <v>05/20/2026</v>
      </c>
      <c r="AR3" s="1" t="str">
        <f>IFERROR(__xludf.DUMMYFUNCTION("""COMPUTED_VALUE"""),"06/24/2026")</f>
        <v>06/24/2026</v>
      </c>
    </row>
    <row r="4">
      <c r="A4" s="1" t="str">
        <f>IFERROR(__xludf.DUMMYFUNCTION("""COMPUTED_VALUE"""),"Prudhoe Bay Data Center")</f>
        <v>Prudhoe Bay Data Center</v>
      </c>
      <c r="B4" s="1" t="str">
        <f>IFERROR(__xludf.DUMMYFUNCTION("""COMPUTED_VALUE"""),"Dalton Hwy")</f>
        <v>Dalton Hwy</v>
      </c>
      <c r="C4" s="1" t="str">
        <f>IFERROR(__xludf.DUMMYFUNCTION("""COMPUTED_VALUE"""),"Prudhoe Bay")</f>
        <v>Prudhoe Bay</v>
      </c>
      <c r="D4" s="1" t="str">
        <f>IFERROR(__xludf.DUMMYFUNCTION("""COMPUTED_VALUE"""),"AK")</f>
        <v>AK</v>
      </c>
      <c r="E4" s="1" t="str">
        <f>IFERROR(__xludf.DUMMYFUNCTION("""COMPUTED_VALUE"""),"99734")</f>
        <v>99734</v>
      </c>
      <c r="F4" s="1" t="str">
        <f>IFERROR(__xludf.DUMMYFUNCTION("""COMPUTED_VALUE"""),"North Slope")</f>
        <v>North Slope</v>
      </c>
      <c r="G4" s="1" t="str">
        <f>IFERROR(__xludf.DUMMYFUNCTION("""COMPUTED_VALUE"""),"70.18478")</f>
        <v>70.18478</v>
      </c>
      <c r="H4" s="1" t="str">
        <f>IFERROR(__xludf.DUMMYFUNCTION("""COMPUTED_VALUE"""),"-148.44")</f>
        <v>-148.44</v>
      </c>
      <c r="I4" s="1" t="str">
        <f>IFERROR(__xludf.DUMMYFUNCTION("""COMPUTED_VALUE"""),"Operating")</f>
        <v>Operating</v>
      </c>
      <c r="J4" s="1" t="str">
        <f>IFERROR(__xludf.DUMMYFUNCTION("""COMPUTED_VALUE"""),"Medium")</f>
        <v>Medium</v>
      </c>
      <c r="K4" s="1" t="str">
        <f>IFERROR(__xludf.DUMMYFUNCTION("""COMPUTED_VALUE"""),"")</f>
        <v/>
      </c>
      <c r="L4" s="1" t="str">
        <f>IFERROR(__xludf.DUMMYFUNCTION("""COMPUTED_VALUE"""),"Far North Digital, LLC")</f>
        <v>Far North Digital, LLC</v>
      </c>
      <c r="M4" s="1" t="str">
        <f>IFERROR(__xludf.DUMMYFUNCTION("""COMPUTED_VALUE"""),"")</f>
        <v/>
      </c>
      <c r="N4" s="1" t="str">
        <f>IFERROR(__xludf.DUMMYFUNCTION("""COMPUTED_VALUE"""),"120")</f>
        <v>120</v>
      </c>
      <c r="O4" s="1" t="str">
        <f>IFERROR(__xludf.DUMMYFUNCTION("""COMPUTED_VALUE"""),"Hyperscale (100-999 MW)")</f>
        <v>Hyperscale (100-999 MW)</v>
      </c>
      <c r="P4" s="1" t="str">
        <f>IFERROR(__xludf.DUMMYFUNCTION("""COMPUTED_VALUE"""),"")</f>
        <v/>
      </c>
      <c r="Q4" s="1" t="str">
        <f>IFERROR(__xludf.DUMMYFUNCTION("""COMPUTED_VALUE"""),"")</f>
        <v/>
      </c>
      <c r="R4" s="1" t="str">
        <f>IFERROR(__xludf.DUMMYFUNCTION("""COMPUTED_VALUE"""),"")</f>
        <v/>
      </c>
      <c r="S4" s="1" t="str">
        <f>IFERROR(__xludf.DUMMYFUNCTION("""COMPUTED_VALUE"""),"")</f>
        <v/>
      </c>
      <c r="T4" s="1" t="str">
        <f>IFERROR(__xludf.DUMMYFUNCTION("""COMPUTED_VALUE"""),"Air")</f>
        <v>Air</v>
      </c>
      <c r="U4" s="1" t="str">
        <f>IFERROR(__xludf.DUMMYFUNCTION("""COMPUTED_VALUE"""),"")</f>
        <v/>
      </c>
      <c r="V4" s="1" t="str">
        <f>IFERROR(__xludf.DUMMYFUNCTION("""COMPUTED_VALUE"""),"")</f>
        <v/>
      </c>
      <c r="W4" s="1" t="str">
        <f>IFERROR(__xludf.DUMMYFUNCTION("""COMPUTED_VALUE"""),"100")</f>
        <v>100</v>
      </c>
      <c r="X4" s="1" t="str">
        <f>IFERROR(__xludf.DUMMYFUNCTION("""COMPUTED_VALUE"""),"")</f>
        <v/>
      </c>
      <c r="Y4" s="1" t="str">
        <f>IFERROR(__xludf.DUMMYFUNCTION("""COMPUTED_VALUE"""),"")</f>
        <v/>
      </c>
      <c r="Z4" s="1" t="str">
        <f>IFERROR(__xludf.DUMMYFUNCTION("""COMPUTED_VALUE"""),"Unknown")</f>
        <v>Unknown</v>
      </c>
      <c r="AA4" s="1" t="str">
        <f>IFERROR(__xludf.DUMMYFUNCTION("""COMPUTED_VALUE"""),"")</f>
        <v/>
      </c>
      <c r="AB4" s="1" t="str">
        <f>IFERROR(__xludf.DUMMYFUNCTION("""COMPUTED_VALUE"""),"")</f>
        <v/>
      </c>
      <c r="AC4" s="1" t="str">
        <f>IFERROR(__xludf.DUMMYFUNCTION("""COMPUTED_VALUE"""),"")</f>
        <v/>
      </c>
      <c r="AD4" s="1" t="str">
        <f>IFERROR(__xludf.DUMMYFUNCTION("""COMPUTED_VALUE"""),"")</f>
        <v/>
      </c>
      <c r="AE4" s="1" t="str">
        <f>IFERROR(__xludf.DUMMYFUNCTION("""COMPUTED_VALUE"""),"")</f>
        <v/>
      </c>
      <c r="AF4" s="1" t="str">
        <f>IFERROR(__xludf.DUMMYFUNCTION("""COMPUTED_VALUE"""),"")</f>
        <v/>
      </c>
      <c r="AG4" s="1" t="str">
        <f>IFERROR(__xludf.DUMMYFUNCTION("""COMPUTED_VALUE"""),"")</f>
        <v/>
      </c>
      <c r="AH4" s="1" t="str">
        <f>IFERROR(__xludf.DUMMYFUNCTION("""COMPUTED_VALUE"""),"Media Monitoring")</f>
        <v>Media Monitoring</v>
      </c>
      <c r="AI4" s="2" t="str">
        <f>IFERROR(__xludf.DUMMYFUNCTION("""COMPUTED_VALUE"""),"https://www.fn-digital.com/data-center")</f>
        <v>https://www.fn-digital.com/data-center</v>
      </c>
      <c r="AJ4" s="2" t="str">
        <f>IFERROR(__xludf.DUMMYFUNCTION("""COMPUTED_VALUE"""),"https://www.datacenterdynamics.com/en/news/stak-energy-proposes-3gw-natural-gas-powered-data-center-in-alaskas-north-slope/")</f>
        <v>https://www.datacenterdynamics.com/en/news/stak-energy-proposes-3gw-natural-gas-powered-data-center-in-alaskas-north-slope/</v>
      </c>
      <c r="AK4" s="1" t="str">
        <f>IFERROR(__xludf.DUMMYFUNCTION("""COMPUTED_VALUE"""),"")</f>
        <v/>
      </c>
      <c r="AL4" s="1" t="str">
        <f>IFERROR(__xludf.DUMMYFUNCTION("""COMPUTED_VALUE"""),"")</f>
        <v/>
      </c>
      <c r="AM4" s="1" t="str">
        <f>IFERROR(__xludf.DUMMYFUNCTION("""COMPUTED_VALUE"""),"")</f>
        <v/>
      </c>
      <c r="AN4" s="1" t="str">
        <f>IFERROR(__xludf.DUMMYFUNCTION("""COMPUTED_VALUE"""),"")</f>
        <v/>
      </c>
      <c r="AO4" s="1" t="str">
        <f>IFERROR(__xludf.DUMMYFUNCTION("""COMPUTED_VALUE"""),"")</f>
        <v/>
      </c>
      <c r="AP4" s="1" t="str">
        <f>IFERROR(__xludf.DUMMYFUNCTION("""COMPUTED_VALUE"""),"")</f>
        <v/>
      </c>
      <c r="AQ4" s="1" t="str">
        <f>IFERROR(__xludf.DUMMYFUNCTION("""COMPUTED_VALUE"""),"05/20/2026")</f>
        <v>05/20/2026</v>
      </c>
      <c r="AR4" s="1" t="str">
        <f>IFERROR(__xludf.DUMMYFUNCTION("""COMPUTED_VALUE"""),"05/20/2026")</f>
        <v>05/20/2026</v>
      </c>
    </row>
    <row r="5">
      <c r="A5" s="1" t="str">
        <f>IFERROR(__xludf.DUMMYFUNCTION("""COMPUTED_VALUE"""),"Grant County Data Center")</f>
        <v>Grant County Data Center</v>
      </c>
      <c r="B5" s="1" t="str">
        <f>IFERROR(__xludf.DUMMYFUNCTION("""COMPUTED_VALUE"""),"Just outside the city limits of Sheridan, Arkansas, in rural Grant County.")</f>
        <v>Just outside the city limits of Sheridan, Arkansas, in rural Grant County.</v>
      </c>
      <c r="C5" s="1" t="str">
        <f>IFERROR(__xludf.DUMMYFUNCTION("""COMPUTED_VALUE"""),"Sheridan")</f>
        <v>Sheridan</v>
      </c>
      <c r="D5" s="1" t="str">
        <f>IFERROR(__xludf.DUMMYFUNCTION("""COMPUTED_VALUE"""),"AK")</f>
        <v>AK</v>
      </c>
      <c r="E5" s="1" t="str">
        <f>IFERROR(__xludf.DUMMYFUNCTION("""COMPUTED_VALUE"""),"72150")</f>
        <v>72150</v>
      </c>
      <c r="F5" s="1" t="str">
        <f>IFERROR(__xludf.DUMMYFUNCTION("""COMPUTED_VALUE"""),"Grant")</f>
        <v>Grant</v>
      </c>
      <c r="G5" s="1" t="str">
        <f>IFERROR(__xludf.DUMMYFUNCTION("""COMPUTED_VALUE"""),"34.3065")</f>
        <v>34.3065</v>
      </c>
      <c r="H5" s="1" t="str">
        <f>IFERROR(__xludf.DUMMYFUNCTION("""COMPUTED_VALUE"""),"-92.4045")</f>
        <v>-92.4045</v>
      </c>
      <c r="I5" s="1" t="str">
        <f>IFERROR(__xludf.DUMMYFUNCTION("""COMPUTED_VALUE"""),"Proposed")</f>
        <v>Proposed</v>
      </c>
      <c r="J5" s="1" t="str">
        <f>IFERROR(__xludf.DUMMYFUNCTION("""COMPUTED_VALUE"""),"Low")</f>
        <v>Low</v>
      </c>
      <c r="K5" s="1" t="str">
        <f>IFERROR(__xludf.DUMMYFUNCTION("""COMPUTED_VALUE"""),"AI Data center and solar fam")</f>
        <v>AI Data center and solar fam</v>
      </c>
      <c r="L5" s="1" t="str">
        <f>IFERROR(__xludf.DUMMYFUNCTION("""COMPUTED_VALUE"""),"Clean Cloud Energy")</f>
        <v>Clean Cloud Energy</v>
      </c>
      <c r="M5" s="1" t="str">
        <f>IFERROR(__xludf.DUMMYFUNCTION("""COMPUTED_VALUE"""),"")</f>
        <v/>
      </c>
      <c r="N5" s="1" t="str">
        <f>IFERROR(__xludf.DUMMYFUNCTION("""COMPUTED_VALUE"""),"500")</f>
        <v>500</v>
      </c>
      <c r="O5" s="1" t="str">
        <f>IFERROR(__xludf.DUMMYFUNCTION("""COMPUTED_VALUE"""),"Hyperscale (100-999 MW)")</f>
        <v>Hyperscale (100-999 MW)</v>
      </c>
      <c r="P5" s="1" t="str">
        <f>IFERROR(__xludf.DUMMYFUNCTION("""COMPUTED_VALUE"""),"Solar, Grid (unspecified mix), Natural gas")</f>
        <v>Solar, Grid (unspecified mix), Natural gas</v>
      </c>
      <c r="Q5" s="1" t="str">
        <f>IFERROR(__xludf.DUMMYFUNCTION("""COMPUTED_VALUE"""),"")</f>
        <v/>
      </c>
      <c r="R5" s="1" t="str">
        <f>IFERROR(__xludf.DUMMYFUNCTION("""COMPUTED_VALUE"""),"")</f>
        <v/>
      </c>
      <c r="S5" s="1" t="str">
        <f>IFERROR(__xludf.DUMMYFUNCTION("""COMPUTED_VALUE"""),"4")</f>
        <v>4</v>
      </c>
      <c r="T5" s="1" t="str">
        <f>IFERROR(__xludf.DUMMYFUNCTION("""COMPUTED_VALUE"""),"Water")</f>
        <v>Water</v>
      </c>
      <c r="U5" s="1" t="str">
        <f>IFERROR(__xludf.DUMMYFUNCTION("""COMPUTED_VALUE"""),"")</f>
        <v/>
      </c>
      <c r="V5" s="1" t="str">
        <f>IFERROR(__xludf.DUMMYFUNCTION("""COMPUTED_VALUE"""),"1,000,000")</f>
        <v>1,000,000</v>
      </c>
      <c r="W5" s="1" t="str">
        <f>IFERROR(__xludf.DUMMYFUNCTION("""COMPUTED_VALUE"""),"753")</f>
        <v>753</v>
      </c>
      <c r="X5" s="1" t="str">
        <f>IFERROR(__xludf.DUMMYFUNCTION("""COMPUTED_VALUE"""),"4 million")</f>
        <v>4 million</v>
      </c>
      <c r="Y5" s="1" t="str">
        <f>IFERROR(__xludf.DUMMYFUNCTION("""COMPUTED_VALUE"""),"")</f>
        <v/>
      </c>
      <c r="Z5" s="1" t="str">
        <f>IFERROR(__xludf.DUMMYFUNCTION("""COMPUTED_VALUE"""),"Yes")</f>
        <v>Yes</v>
      </c>
      <c r="AA5" s="1" t="str">
        <f>IFERROR(__xludf.DUMMYFUNCTION("""COMPUTED_VALUE"""),"")</f>
        <v/>
      </c>
      <c r="AB5" s="1" t="str">
        <f>IFERROR(__xludf.DUMMYFUNCTION("""COMPUTED_VALUE"""),"Organized Advocacy")</f>
        <v>Organized Advocacy</v>
      </c>
      <c r="AC5" s="1" t="str">
        <f>IFERROR(__xludf.DUMMYFUNCTION("""COMPUTED_VALUE"""),"")</f>
        <v/>
      </c>
      <c r="AD5" s="2" t="str">
        <f>IFERROR(__xludf.DUMMYFUNCTION("""COMPUTED_VALUE"""),"https://www.facebook.com/groups/1489861802232589/")</f>
        <v>https://www.facebook.com/groups/1489861802232589/</v>
      </c>
      <c r="AE5" s="1" t="str">
        <f>IFERROR(__xludf.DUMMYFUNCTION("""COMPUTED_VALUE"""),"")</f>
        <v/>
      </c>
      <c r="AF5" s="2" t="str">
        <f>IFERROR(__xludf.DUMMYFUNCTION("""COMPUTED_VALUE"""),"https://www.change.org/p/ban-new-data-centers-on-farmland-and-in-towns")</f>
        <v>https://www.change.org/p/ban-new-data-centers-on-farmland-and-in-towns</v>
      </c>
      <c r="AG5" s="1" t="str">
        <f>IFERROR(__xludf.DUMMYFUNCTION("""COMPUTED_VALUE"""),"")</f>
        <v/>
      </c>
      <c r="AH5" s="1" t="str">
        <f>IFERROR(__xludf.DUMMYFUNCTION("""COMPUTED_VALUE"""),"Media Monitoring")</f>
        <v>Media Monitoring</v>
      </c>
      <c r="AI5" s="2" t="str">
        <f>IFERROR(__xludf.DUMMYFUNCTION("""COMPUTED_VALUE"""),"https://www.deltaplexnews.com/local-news/data-center-for-grant-county-not-close-yet-to-determine-possible-user/")</f>
        <v>https://www.deltaplexnews.com/local-news/data-center-for-grant-county-not-close-yet-to-determine-possible-user/</v>
      </c>
      <c r="AJ5" s="2" t="str">
        <f>IFERROR(__xludf.DUMMYFUNCTION("""COMPUTED_VALUE"""),"https://www.southarkansasreckoning.com/grant-county-data-center-opponents-to-protest-monday/")</f>
        <v>https://www.southarkansasreckoning.com/grant-county-data-center-opponents-to-protest-monday/</v>
      </c>
      <c r="AK5" s="2" t="str">
        <f>IFERROR(__xludf.DUMMYFUNCTION("""COMPUTED_VALUE"""),"https://www.kark.com/news/local-news/people-protest-at-the-grant-county-courthouse-against-proposed-data-and-solar-center-near-sheridan/#:~:text=In%20October%2C%20the%20Grant%20County,be%20built%20in%20West%20Memphis")</f>
        <v>https://www.kark.com/news/local-news/people-protest-at-the-grant-county-courthouse-against-proposed-data-and-solar-center-near-sheridan/#:~:text=In%20October%2C%20the%20Grant%20County,be%20built%20in%20West%20Memphis</v>
      </c>
      <c r="AL5" s="2" t="str">
        <f>IFERROR(__xludf.DUMMYFUNCTION("""COMPUTED_VALUE"""),"https://arktimes.com/arkansas-blog/2025/11/12/solar-project-in-grant-county-to-help-power-google-data-centers-details-are-scant-on-west-memphis-agreement")</f>
        <v>https://arktimes.com/arkansas-blog/2025/11/12/solar-project-in-grant-county-to-help-power-google-data-centers-details-are-scant-on-west-memphis-agreement</v>
      </c>
      <c r="AM5" s="2" t="str">
        <f>IFERROR(__xludf.DUMMYFUNCTION("""COMPUTED_VALUE"""),"https://www.kark.com/news/state-news/grant-county-residents-voice-concerns-over-proposed-data-solar-center/#:~:text=Pruitt%20emphasized%20that%20the%20resolution,large%20names%2C%E2%80%9D%20Pruitt%20said.")</f>
        <v>https://www.kark.com/news/state-news/grant-county-residents-voice-concerns-over-proposed-data-solar-center/#:~:text=Pruitt%20emphasized%20that%20the%20resolution,large%20names%2C%E2%80%9D%20Pruitt%20said.</v>
      </c>
      <c r="AN5" s="1" t="str">
        <f>IFERROR(__xludf.DUMMYFUNCTION("""COMPUTED_VALUE"""),"")</f>
        <v/>
      </c>
      <c r="AO5" s="1" t="str">
        <f>IFERROR(__xludf.DUMMYFUNCTION("""COMPUTED_VALUE"""),"")</f>
        <v/>
      </c>
      <c r="AP5" s="1" t="str">
        <f>IFERROR(__xludf.DUMMYFUNCTION("""COMPUTED_VALUE"""),"")</f>
        <v/>
      </c>
      <c r="AQ5" s="1" t="str">
        <f>IFERROR(__xludf.DUMMYFUNCTION("""COMPUTED_VALUE"""),"04/28/2026")</f>
        <v>04/28/2026</v>
      </c>
      <c r="AR5" s="1" t="str">
        <f>IFERROR(__xludf.DUMMYFUNCTION("""COMPUTED_VALUE"""),"04/28/2026")</f>
        <v>04/28/2026</v>
      </c>
    </row>
    <row r="6">
      <c r="A6" s="1" t="str">
        <f>IFERROR(__xludf.DUMMYFUNCTION("""COMPUTED_VALUE"""),"Project Marvel")</f>
        <v>Project Marvel</v>
      </c>
      <c r="B6" s="1" t="str">
        <f>IFERROR(__xludf.DUMMYFUNCTION("""COMPUTED_VALUE"""),"Rock Mountain Lake Rd")</f>
        <v>Rock Mountain Lake Rd</v>
      </c>
      <c r="C6" s="1" t="str">
        <f>IFERROR(__xludf.DUMMYFUNCTION("""COMPUTED_VALUE"""),"Bessemer")</f>
        <v>Bessemer</v>
      </c>
      <c r="D6" s="1" t="str">
        <f>IFERROR(__xludf.DUMMYFUNCTION("""COMPUTED_VALUE"""),"AL")</f>
        <v>AL</v>
      </c>
      <c r="E6" s="1" t="str">
        <f>IFERROR(__xludf.DUMMYFUNCTION("""COMPUTED_VALUE"""),"35022")</f>
        <v>35022</v>
      </c>
      <c r="F6" s="1" t="str">
        <f>IFERROR(__xludf.DUMMYFUNCTION("""COMPUTED_VALUE"""),"Jefferson")</f>
        <v>Jefferson</v>
      </c>
      <c r="G6" s="1" t="str">
        <f>IFERROR(__xludf.DUMMYFUNCTION("""COMPUTED_VALUE"""),"33.342")</f>
        <v>33.342</v>
      </c>
      <c r="H6" s="1" t="str">
        <f>IFERROR(__xludf.DUMMYFUNCTION("""COMPUTED_VALUE"""),"-87.0341")</f>
        <v>-87.0341</v>
      </c>
      <c r="I6" s="1" t="str">
        <f>IFERROR(__xludf.DUMMYFUNCTION("""COMPUTED_VALUE"""),"Proposed")</f>
        <v>Proposed</v>
      </c>
      <c r="J6" s="1" t="str">
        <f>IFERROR(__xludf.DUMMYFUNCTION("""COMPUTED_VALUE"""),"High")</f>
        <v>High</v>
      </c>
      <c r="K6" s="1" t="str">
        <f>IFERROR(__xludf.DUMMYFUNCTION("""COMPUTED_VALUE"""),"")</f>
        <v/>
      </c>
      <c r="L6" s="1" t="str">
        <f>IFERROR(__xludf.DUMMYFUNCTION("""COMPUTED_VALUE"""),"Logistic Land Investments LLC")</f>
        <v>Logistic Land Investments LLC</v>
      </c>
      <c r="M6" s="1" t="str">
        <f>IFERROR(__xludf.DUMMYFUNCTION("""COMPUTED_VALUE"""),"")</f>
        <v/>
      </c>
      <c r="N6" s="1" t="str">
        <f>IFERROR(__xludf.DUMMYFUNCTION("""COMPUTED_VALUE"""),"1200")</f>
        <v>1200</v>
      </c>
      <c r="O6" s="1" t="str">
        <f>IFERROR(__xludf.DUMMYFUNCTION("""COMPUTED_VALUE"""),"Mega campus (&gt;1,000 MW)")</f>
        <v>Mega campus (&gt;1,000 MW)</v>
      </c>
      <c r="P6" s="1" t="str">
        <f>IFERROR(__xludf.DUMMYFUNCTION("""COMPUTED_VALUE"""),"")</f>
        <v/>
      </c>
      <c r="Q6" s="1" t="str">
        <f>IFERROR(__xludf.DUMMYFUNCTION("""COMPUTED_VALUE"""),"")</f>
        <v/>
      </c>
      <c r="R6" s="1" t="str">
        <f>IFERROR(__xludf.DUMMYFUNCTION("""COMPUTED_VALUE"""),"")</f>
        <v/>
      </c>
      <c r="S6" s="1" t="str">
        <f>IFERROR(__xludf.DUMMYFUNCTION("""COMPUTED_VALUE"""),"18")</f>
        <v>18</v>
      </c>
      <c r="T6" s="1" t="str">
        <f>IFERROR(__xludf.DUMMYFUNCTION("""COMPUTED_VALUE"""),"")</f>
        <v/>
      </c>
      <c r="U6" s="1" t="str">
        <f>IFERROR(__xludf.DUMMYFUNCTION("""COMPUTED_VALUE"""),"")</f>
        <v/>
      </c>
      <c r="V6" s="1" t="str">
        <f>IFERROR(__xludf.DUMMYFUNCTION("""COMPUTED_VALUE"""),"4,500,000")</f>
        <v>4,500,000</v>
      </c>
      <c r="W6" s="1" t="str">
        <f>IFERROR(__xludf.DUMMYFUNCTION("""COMPUTED_VALUE"""),"1600")</f>
        <v>1600</v>
      </c>
      <c r="X6" s="1" t="str">
        <f>IFERROR(__xludf.DUMMYFUNCTION("""COMPUTED_VALUE"""),"$14 billion")</f>
        <v>$14 billion</v>
      </c>
      <c r="Y6" s="1" t="str">
        <f>IFERROR(__xludf.DUMMYFUNCTION("""COMPUTED_VALUE"""),"2032")</f>
        <v>2032</v>
      </c>
      <c r="Z6" s="1" t="str">
        <f>IFERROR(__xludf.DUMMYFUNCTION("""COMPUTED_VALUE"""),"Yes")</f>
        <v>Yes</v>
      </c>
      <c r="AA6" s="1" t="str">
        <f>IFERROR(__xludf.DUMMYFUNCTION("""COMPUTED_VALUE"""),"Bessemer Data Center - We Say No!")</f>
        <v>Bessemer Data Center - We Say No!</v>
      </c>
      <c r="AB6" s="1" t="str">
        <f>IFERROR(__xludf.DUMMYFUNCTION("""COMPUTED_VALUE"""),"Organized Advocacy")</f>
        <v>Organized Advocacy</v>
      </c>
      <c r="AC6" s="1" t="str">
        <f>IFERROR(__xludf.DUMMYFUNCTION("""COMPUTED_VALUE"""),"Bessemer Mayor Kenneth Gulley, the city attorney, and other city leaders signed NDAs")</f>
        <v>Bessemer Mayor Kenneth Gulley, the city attorney, and other city leaders signed NDAs</v>
      </c>
      <c r="AD6" s="2" t="str">
        <f>IFERROR(__xludf.DUMMYFUNCTION("""COMPUTED_VALUE"""),"https://www.facebook.com/groups/1153501246871845")</f>
        <v>https://www.facebook.com/groups/1153501246871845</v>
      </c>
      <c r="AE6" s="2" t="str">
        <f>IFERROR(__xludf.DUMMYFUNCTION("""COMPUTED_VALUE"""),"https://www.facebook.com/groups/740748888833453")</f>
        <v>https://www.facebook.com/groups/740748888833453</v>
      </c>
      <c r="AF6" s="1" t="str">
        <f>IFERROR(__xludf.DUMMYFUNCTION("""COMPUTED_VALUE"""),"")</f>
        <v/>
      </c>
      <c r="AG6" s="1" t="str">
        <f>IFERROR(__xludf.DUMMYFUNCTION("""COMPUTED_VALUE"""),"Request for 700 acres of land to be rezoned from agriculture to light industrial approved by the Bessemer City Council November 2025. As of January 2026 a second rezoning request was submitted to expand the campus by 900 acres. Revised plans including lar"&amp;"ger residential buffers was prposed in February 2026 and is awaiting approval from the Bessemer Planning and Zoning Commission.  Could impact Bessemer darter, a fish on Endangered Species list")</f>
        <v>Request for 700 acres of land to be rezoned from agriculture to light industrial approved by the Bessemer City Council November 2025. As of January 2026 a second rezoning request was submitted to expand the campus by 900 acres. Revised plans including larger residential buffers was prposed in February 2026 and is awaiting approval from the Bessemer Planning and Zoning Commission.  Could impact Bessemer darter, a fish on Endangered Species list</v>
      </c>
      <c r="AH6" s="1" t="str">
        <f>IFERROR(__xludf.DUMMYFUNCTION("""COMPUTED_VALUE"""),"Media Monitoring")</f>
        <v>Media Monitoring</v>
      </c>
      <c r="AI6" s="2" t="str">
        <f>IFERROR(__xludf.DUMMYFUNCTION("""COMPUTED_VALUE"""),"https://www.datacenterdynamics.com/en/news/700-acre-data-center-in-bessemer-alabama-approved-despite-opposition/")</f>
        <v>https://www.datacenterdynamics.com/en/news/700-acre-data-center-in-bessemer-alabama-approved-despite-opposition/</v>
      </c>
      <c r="AJ6" s="2" t="str">
        <f>IFERROR(__xludf.DUMMYFUNCTION("""COMPUTED_VALUE"""),"https://www.youtube.com/watch?v=ICSrvQ7meow&amp;ab_channel=InsideClimateNews")</f>
        <v>https://www.youtube.com/watch?v=ICSrvQ7meow&amp;ab_channel=InsideClimateNews</v>
      </c>
      <c r="AK6" s="2" t="str">
        <f>IFERROR(__xludf.DUMMYFUNCTION("""COMPUTED_VALUE"""),"https://www.al.com/news/2025/06/14-billion-proposed-data-center-near-birmingham-hits-another-hurdle.html")</f>
        <v>https://www.al.com/news/2025/06/14-billion-proposed-data-center-near-birmingham-hits-another-hurdle.html</v>
      </c>
      <c r="AL6" s="2" t="str">
        <f>IFERROR(__xludf.DUMMYFUNCTION("""COMPUTED_VALUE"""),"https://www.wbrc.com/2025/09/14/bessemer-residents-frustrated-over-proposed-data-center/")</f>
        <v>https://www.wbrc.com/2025/09/14/bessemer-residents-frustrated-over-proposed-data-center/</v>
      </c>
      <c r="AM6" s="2" t="str">
        <f>IFERROR(__xludf.DUMMYFUNCTION("""COMPUTED_VALUE"""),"https://www.wbrc.com/2025/11/19/bessemer-city-council-approves-149-billion-data-center-project-despite-transparency-concerns/?fbclid=IwY2xjawOKTxFleHRuA2FlbQIxMABicmlkETEwaFplSmJPZzc4OFJiUWo5c3J0YwZhcHBfaWQQMjIyMDM5MTc4ODIwMDg5MgABHvStxnxA58rPAQ18A844EkSU"&amp;"Q5kDNMyIy5_2P5dSogqkTSIEBa9p7N7V4Vr6_aem_ZzcqUxOQ-qztwhUEQJHxfQ")</f>
        <v>https://www.wbrc.com/2025/11/19/bessemer-city-council-approves-149-billion-data-center-project-despite-transparency-concerns/?fbclid=IwY2xjawOKTxFleHRuA2FlbQIxMABicmlkETEwaFplSmJPZzc4OFJiUWo5c3J0YwZhcHBfaWQQMjIyMDM5MTc4ODIwMDg5MgABHvStxnxA58rPAQ18A844EkSUQ5kDNMyIy5_2P5dSogqkTSIEBa9p7N7V4Vr6_aem_ZzcqUxOQ-qztwhUEQJHxfQ</v>
      </c>
      <c r="AN6" s="2" t="str">
        <f>IFERROR(__xludf.DUMMYFUNCTION("""COMPUTED_VALUE"""),"https://www.datacenterdynamics.com/en/news/alabamas-planned-14bn-project-marvel-data-center-could-double-in-size/")</f>
        <v>https://www.datacenterdynamics.com/en/news/alabamas-planned-14bn-project-marvel-data-center-could-double-in-size/</v>
      </c>
      <c r="AO6" s="2" t="str">
        <f>IFERROR(__xludf.DUMMYFUNCTION("""COMPUTED_VALUE"""),"https://abc3340.com/news/abc-3340-news-iteam/bessemer-unveils-revised-project-marvel-data-center-campus-plan-amid-ongoing-controversy")</f>
        <v>https://abc3340.com/news/abc-3340-news-iteam/bessemer-unveils-revised-project-marvel-data-center-campus-plan-amid-ongoing-controversy</v>
      </c>
      <c r="AP6" s="2" t="str">
        <f>IFERROR(__xludf.DUMMYFUNCTION("""COMPUTED_VALUE"""),"https://insideclimatenews.org/news/13112025/proposed-alabama-data-center-clashes-with-northern-beltline-birmingham-darter/")</f>
        <v>https://insideclimatenews.org/news/13112025/proposed-alabama-data-center-clashes-with-northern-beltline-birmingham-darter/</v>
      </c>
      <c r="AQ6" s="1" t="str">
        <f>IFERROR(__xludf.DUMMYFUNCTION("""COMPUTED_VALUE"""),"09/16/2025")</f>
        <v>09/16/2025</v>
      </c>
      <c r="AR6" s="1" t="str">
        <f>IFERROR(__xludf.DUMMYFUNCTION("""COMPUTED_VALUE"""),"03/13/2026")</f>
        <v>03/13/2026</v>
      </c>
    </row>
    <row r="7">
      <c r="A7" s="1" t="str">
        <f>IFERROR(__xludf.DUMMYFUNCTION("""COMPUTED_VALUE"""),"BHM01 Nebius Data Center")</f>
        <v>BHM01 Nebius Data Center</v>
      </c>
      <c r="B7" s="1" t="str">
        <f>IFERROR(__xludf.DUMMYFUNCTION("""COMPUTED_VALUE"""),"201 Milan Parkway ")</f>
        <v>201 Milan Parkway </v>
      </c>
      <c r="C7" s="1" t="str">
        <f>IFERROR(__xludf.DUMMYFUNCTION("""COMPUTED_VALUE"""),"Birmingham")</f>
        <v>Birmingham</v>
      </c>
      <c r="D7" s="1" t="str">
        <f>IFERROR(__xludf.DUMMYFUNCTION("""COMPUTED_VALUE"""),"AL")</f>
        <v>AL</v>
      </c>
      <c r="E7" s="1" t="str">
        <f>IFERROR(__xludf.DUMMYFUNCTION("""COMPUTED_VALUE"""),"35221")</f>
        <v>35221</v>
      </c>
      <c r="F7" s="1" t="str">
        <f>IFERROR(__xludf.DUMMYFUNCTION("""COMPUTED_VALUE"""),"Jefferson")</f>
        <v>Jefferson</v>
      </c>
      <c r="G7" s="1" t="str">
        <f>IFERROR(__xludf.DUMMYFUNCTION("""COMPUTED_VALUE"""),"33.42746")</f>
        <v>33.42746</v>
      </c>
      <c r="H7" s="1" t="str">
        <f>IFERROR(__xludf.DUMMYFUNCTION("""COMPUTED_VALUE"""),"-86.88143")</f>
        <v>-86.88143</v>
      </c>
      <c r="I7" s="1" t="str">
        <f>IFERROR(__xludf.DUMMYFUNCTION("""COMPUTED_VALUE"""),"Proposed")</f>
        <v>Proposed</v>
      </c>
      <c r="J7" s="1" t="str">
        <f>IFERROR(__xludf.DUMMYFUNCTION("""COMPUTED_VALUE"""),"High")</f>
        <v>High</v>
      </c>
      <c r="K7" s="1" t="str">
        <f>IFERROR(__xludf.DUMMYFUNCTION("""COMPUTED_VALUE"""),"")</f>
        <v/>
      </c>
      <c r="L7" s="1" t="str">
        <f>IFERROR(__xludf.DUMMYFUNCTION("""COMPUTED_VALUE"""),"Nebius")</f>
        <v>Nebius</v>
      </c>
      <c r="M7" s="1" t="str">
        <f>IFERROR(__xludf.DUMMYFUNCTION("""COMPUTED_VALUE"""),"")</f>
        <v/>
      </c>
      <c r="N7" s="1" t="str">
        <f>IFERROR(__xludf.DUMMYFUNCTION("""COMPUTED_VALUE"""),"300")</f>
        <v>300</v>
      </c>
      <c r="O7" s="1" t="str">
        <f>IFERROR(__xludf.DUMMYFUNCTION("""COMPUTED_VALUE"""),"Hyperscale (100-999 MW)")</f>
        <v>Hyperscale (100-999 MW)</v>
      </c>
      <c r="P7" s="1" t="str">
        <f>IFERROR(__xludf.DUMMYFUNCTION("""COMPUTED_VALUE"""),"")</f>
        <v/>
      </c>
      <c r="Q7" s="1" t="str">
        <f>IFERROR(__xludf.DUMMYFUNCTION("""COMPUTED_VALUE"""),"")</f>
        <v/>
      </c>
      <c r="R7" s="1" t="str">
        <f>IFERROR(__xludf.DUMMYFUNCTION("""COMPUTED_VALUE"""),"")</f>
        <v/>
      </c>
      <c r="S7" s="1" t="str">
        <f>IFERROR(__xludf.DUMMYFUNCTION("""COMPUTED_VALUE"""),"")</f>
        <v/>
      </c>
      <c r="T7" s="1" t="str">
        <f>IFERROR(__xludf.DUMMYFUNCTION("""COMPUTED_VALUE"""),"")</f>
        <v/>
      </c>
      <c r="U7" s="1" t="str">
        <f>IFERROR(__xludf.DUMMYFUNCTION("""COMPUTED_VALUE"""),"")</f>
        <v/>
      </c>
      <c r="V7" s="1" t="str">
        <f>IFERROR(__xludf.DUMMYFUNCTION("""COMPUTED_VALUE"""),"")</f>
        <v/>
      </c>
      <c r="W7" s="1" t="str">
        <f>IFERROR(__xludf.DUMMYFUNCTION("""COMPUTED_VALUE"""),"80")</f>
        <v>80</v>
      </c>
      <c r="X7" s="1" t="str">
        <f>IFERROR(__xludf.DUMMYFUNCTION("""COMPUTED_VALUE"""),"$90 million")</f>
        <v>$90 million</v>
      </c>
      <c r="Y7" s="1" t="str">
        <f>IFERROR(__xludf.DUMMYFUNCTION("""COMPUTED_VALUE"""),"")</f>
        <v/>
      </c>
      <c r="Z7" s="1" t="str">
        <f>IFERROR(__xludf.DUMMYFUNCTION("""COMPUTED_VALUE"""),"Unknown")</f>
        <v>Unknown</v>
      </c>
      <c r="AA7" s="1" t="str">
        <f>IFERROR(__xludf.DUMMYFUNCTION("""COMPUTED_VALUE"""),"")</f>
        <v/>
      </c>
      <c r="AB7" s="1" t="str">
        <f>IFERROR(__xludf.DUMMYFUNCTION("""COMPUTED_VALUE"""),"")</f>
        <v/>
      </c>
      <c r="AC7" s="1" t="str">
        <f>IFERROR(__xludf.DUMMYFUNCTION("""COMPUTED_VALUE"""),"")</f>
        <v/>
      </c>
      <c r="AD7" s="1" t="str">
        <f>IFERROR(__xludf.DUMMYFUNCTION("""COMPUTED_VALUE"""),"")</f>
        <v/>
      </c>
      <c r="AE7" s="1" t="str">
        <f>IFERROR(__xludf.DUMMYFUNCTION("""COMPUTED_VALUE"""),"")</f>
        <v/>
      </c>
      <c r="AF7" s="1" t="str">
        <f>IFERROR(__xludf.DUMMYFUNCTION("""COMPUTED_VALUE"""),"")</f>
        <v/>
      </c>
      <c r="AG7" s="1" t="str">
        <f>IFERROR(__xludf.DUMMYFUNCTION("""COMPUTED_VALUE"""),"Birmingham also currently considering data center moratorium")</f>
        <v>Birmingham also currently considering data center moratorium</v>
      </c>
      <c r="AH7" s="1" t="str">
        <f>IFERROR(__xludf.DUMMYFUNCTION("""COMPUTED_VALUE"""),"Media Monitoring")</f>
        <v>Media Monitoring</v>
      </c>
      <c r="AI7" s="2" t="str">
        <f>IFERROR(__xludf.DUMMYFUNCTION("""COMPUTED_VALUE"""),"https://www.datacenterdynamics.com/en/news/nebius-targets-data-center-development-in-birmingham-alabama/")</f>
        <v>https://www.datacenterdynamics.com/en/news/nebius-targets-data-center-development-in-birmingham-alabama/</v>
      </c>
      <c r="AJ7" s="2" t="str">
        <f>IFERROR(__xludf.DUMMYFUNCTION("""COMPUTED_VALUE"""),"https://www.bhamyouthfirst.org/news/city-birmingham-proposes-temporary-pause-new-data-center-applications")</f>
        <v>https://www.bhamyouthfirst.org/news/city-birmingham-proposes-temporary-pause-new-data-center-applications</v>
      </c>
      <c r="AK7" s="1" t="str">
        <f>IFERROR(__xludf.DUMMYFUNCTION("""COMPUTED_VALUE"""),"")</f>
        <v/>
      </c>
      <c r="AL7" s="1" t="str">
        <f>IFERROR(__xludf.DUMMYFUNCTION("""COMPUTED_VALUE"""),"")</f>
        <v/>
      </c>
      <c r="AM7" s="1" t="str">
        <f>IFERROR(__xludf.DUMMYFUNCTION("""COMPUTED_VALUE"""),"")</f>
        <v/>
      </c>
      <c r="AN7" s="1" t="str">
        <f>IFERROR(__xludf.DUMMYFUNCTION("""COMPUTED_VALUE"""),"")</f>
        <v/>
      </c>
      <c r="AO7" s="1" t="str">
        <f>IFERROR(__xludf.DUMMYFUNCTION("""COMPUTED_VALUE"""),"")</f>
        <v/>
      </c>
      <c r="AP7" s="1" t="str">
        <f>IFERROR(__xludf.DUMMYFUNCTION("""COMPUTED_VALUE"""),"")</f>
        <v/>
      </c>
      <c r="AQ7" s="1" t="str">
        <f>IFERROR(__xludf.DUMMYFUNCTION("""COMPUTED_VALUE"""),"02/20/2026")</f>
        <v>02/20/2026</v>
      </c>
      <c r="AR7" s="1" t="str">
        <f>IFERROR(__xludf.DUMMYFUNCTION("""COMPUTED_VALUE"""),"02/20/2026")</f>
        <v>02/20/2026</v>
      </c>
    </row>
    <row r="8">
      <c r="A8" s="1" t="str">
        <f>IFERROR(__xludf.DUMMYFUNCTION("""COMPUTED_VALUE"""),"DC Blox")</f>
        <v>DC Blox</v>
      </c>
      <c r="B8" s="1" t="str">
        <f>IFERROR(__xludf.DUMMYFUNCTION("""COMPUTED_VALUE"""),"433 6th St S")</f>
        <v>433 6th St S</v>
      </c>
      <c r="C8" s="1" t="str">
        <f>IFERROR(__xludf.DUMMYFUNCTION("""COMPUTED_VALUE"""),"Birmingham")</f>
        <v>Birmingham</v>
      </c>
      <c r="D8" s="1" t="str">
        <f>IFERROR(__xludf.DUMMYFUNCTION("""COMPUTED_VALUE"""),"AL")</f>
        <v>AL</v>
      </c>
      <c r="E8" s="1" t="str">
        <f>IFERROR(__xludf.DUMMYFUNCTION("""COMPUTED_VALUE"""),"35233")</f>
        <v>35233</v>
      </c>
      <c r="F8" s="1" t="str">
        <f>IFERROR(__xludf.DUMMYFUNCTION("""COMPUTED_VALUE"""),"Jefferson")</f>
        <v>Jefferson</v>
      </c>
      <c r="G8" s="1" t="str">
        <f>IFERROR(__xludf.DUMMYFUNCTION("""COMPUTED_VALUE"""),"33.50051")</f>
        <v>33.50051</v>
      </c>
      <c r="H8" s="1" t="str">
        <f>IFERROR(__xludf.DUMMYFUNCTION("""COMPUTED_VALUE"""),"-86.821")</f>
        <v>-86.821</v>
      </c>
      <c r="I8" s="1" t="str">
        <f>IFERROR(__xludf.DUMMYFUNCTION("""COMPUTED_VALUE"""),"Operating")</f>
        <v>Operating</v>
      </c>
      <c r="J8" s="1" t="str">
        <f>IFERROR(__xludf.DUMMYFUNCTION("""COMPUTED_VALUE"""),"High")</f>
        <v>High</v>
      </c>
      <c r="K8" s="1" t="str">
        <f>IFERROR(__xludf.DUMMYFUNCTION("""COMPUTED_VALUE"""),"")</f>
        <v/>
      </c>
      <c r="L8" s="1" t="str">
        <f>IFERROR(__xludf.DUMMYFUNCTION("""COMPUTED_VALUE"""),"")</f>
        <v/>
      </c>
      <c r="M8" s="1" t="str">
        <f>IFERROR(__xludf.DUMMYFUNCTION("""COMPUTED_VALUE"""),"")</f>
        <v/>
      </c>
      <c r="N8" s="1" t="str">
        <f>IFERROR(__xludf.DUMMYFUNCTION("""COMPUTED_VALUE"""),"")</f>
        <v/>
      </c>
      <c r="O8" s="1" t="str">
        <f>IFERROR(__xludf.DUMMYFUNCTION("""COMPUTED_VALUE"""),"Unknown")</f>
        <v>Unknown</v>
      </c>
      <c r="P8" s="1" t="str">
        <f>IFERROR(__xludf.DUMMYFUNCTION("""COMPUTED_VALUE"""),"")</f>
        <v/>
      </c>
      <c r="Q8" s="1" t="str">
        <f>IFERROR(__xludf.DUMMYFUNCTION("""COMPUTED_VALUE"""),"")</f>
        <v/>
      </c>
      <c r="R8" s="1" t="str">
        <f>IFERROR(__xludf.DUMMYFUNCTION("""COMPUTED_VALUE"""),"")</f>
        <v/>
      </c>
      <c r="S8" s="1" t="str">
        <f>IFERROR(__xludf.DUMMYFUNCTION("""COMPUTED_VALUE"""),"")</f>
        <v/>
      </c>
      <c r="T8" s="1" t="str">
        <f>IFERROR(__xludf.DUMMYFUNCTION("""COMPUTED_VALUE"""),"")</f>
        <v/>
      </c>
      <c r="U8" s="1" t="str">
        <f>IFERROR(__xludf.DUMMYFUNCTION("""COMPUTED_VALUE"""),"")</f>
        <v/>
      </c>
      <c r="V8" s="1" t="str">
        <f>IFERROR(__xludf.DUMMYFUNCTION("""COMPUTED_VALUE"""),"")</f>
        <v/>
      </c>
      <c r="W8" s="1" t="str">
        <f>IFERROR(__xludf.DUMMYFUNCTION("""COMPUTED_VALUE"""),"")</f>
        <v/>
      </c>
      <c r="X8" s="1" t="str">
        <f>IFERROR(__xludf.DUMMYFUNCTION("""COMPUTED_VALUE"""),"")</f>
        <v/>
      </c>
      <c r="Y8" s="1" t="str">
        <f>IFERROR(__xludf.DUMMYFUNCTION("""COMPUTED_VALUE"""),"")</f>
        <v/>
      </c>
      <c r="Z8" s="1" t="str">
        <f>IFERROR(__xludf.DUMMYFUNCTION("""COMPUTED_VALUE"""),"Unknown")</f>
        <v>Unknown</v>
      </c>
      <c r="AA8" s="1" t="str">
        <f>IFERROR(__xludf.DUMMYFUNCTION("""COMPUTED_VALUE"""),"")</f>
        <v/>
      </c>
      <c r="AB8" s="1" t="str">
        <f>IFERROR(__xludf.DUMMYFUNCTION("""COMPUTED_VALUE"""),"")</f>
        <v/>
      </c>
      <c r="AC8" s="1" t="str">
        <f>IFERROR(__xludf.DUMMYFUNCTION("""COMPUTED_VALUE"""),"")</f>
        <v/>
      </c>
      <c r="AD8" s="1" t="str">
        <f>IFERROR(__xludf.DUMMYFUNCTION("""COMPUTED_VALUE"""),"")</f>
        <v/>
      </c>
      <c r="AE8" s="1" t="str">
        <f>IFERROR(__xludf.DUMMYFUNCTION("""COMPUTED_VALUE"""),"")</f>
        <v/>
      </c>
      <c r="AF8" s="1" t="str">
        <f>IFERROR(__xludf.DUMMYFUNCTION("""COMPUTED_VALUE"""),"")</f>
        <v/>
      </c>
      <c r="AG8" s="1" t="str">
        <f>IFERROR(__xludf.DUMMYFUNCTION("""COMPUTED_VALUE"""),"")</f>
        <v/>
      </c>
      <c r="AH8" s="1" t="str">
        <f>IFERROR(__xludf.DUMMYFUNCTION("""COMPUTED_VALUE"""),"Media Monitoring")</f>
        <v>Media Monitoring</v>
      </c>
      <c r="AI8" s="1" t="str">
        <f>IFERROR(__xludf.DUMMYFUNCTION("""COMPUTED_VALUE"""),"")</f>
        <v/>
      </c>
      <c r="AJ8" s="1" t="str">
        <f>IFERROR(__xludf.DUMMYFUNCTION("""COMPUTED_VALUE"""),"")</f>
        <v/>
      </c>
      <c r="AK8" s="1" t="str">
        <f>IFERROR(__xludf.DUMMYFUNCTION("""COMPUTED_VALUE"""),"")</f>
        <v/>
      </c>
      <c r="AL8" s="1" t="str">
        <f>IFERROR(__xludf.DUMMYFUNCTION("""COMPUTED_VALUE"""),"")</f>
        <v/>
      </c>
      <c r="AM8" s="1" t="str">
        <f>IFERROR(__xludf.DUMMYFUNCTION("""COMPUTED_VALUE"""),"")</f>
        <v/>
      </c>
      <c r="AN8" s="1" t="str">
        <f>IFERROR(__xludf.DUMMYFUNCTION("""COMPUTED_VALUE"""),"")</f>
        <v/>
      </c>
      <c r="AO8" s="1" t="str">
        <f>IFERROR(__xludf.DUMMYFUNCTION("""COMPUTED_VALUE"""),"")</f>
        <v/>
      </c>
      <c r="AP8" s="1" t="str">
        <f>IFERROR(__xludf.DUMMYFUNCTION("""COMPUTED_VALUE"""),"")</f>
        <v/>
      </c>
      <c r="AQ8" s="1" t="str">
        <f>IFERROR(__xludf.DUMMYFUNCTION("""COMPUTED_VALUE"""),"08/25/2025")</f>
        <v>08/25/2025</v>
      </c>
      <c r="AR8" s="1" t="str">
        <f>IFERROR(__xludf.DUMMYFUNCTION("""COMPUTED_VALUE"""),"08/25/2025")</f>
        <v>08/25/2025</v>
      </c>
    </row>
    <row r="9">
      <c r="A9" s="1" t="str">
        <f>IFERROR(__xludf.DUMMYFUNCTION("""COMPUTED_VALUE"""),"Google Data Center")</f>
        <v>Google Data Center</v>
      </c>
      <c r="B9" s="1" t="str">
        <f>IFERROR(__xludf.DUMMYFUNCTION("""COMPUTED_VALUE"""),"48809 Alabama 277")</f>
        <v>48809 Alabama 277</v>
      </c>
      <c r="C9" s="1" t="str">
        <f>IFERROR(__xludf.DUMMYFUNCTION("""COMPUTED_VALUE"""),"Bridgeport")</f>
        <v>Bridgeport</v>
      </c>
      <c r="D9" s="1" t="str">
        <f>IFERROR(__xludf.DUMMYFUNCTION("""COMPUTED_VALUE"""),"AL")</f>
        <v>AL</v>
      </c>
      <c r="E9" s="1" t="str">
        <f>IFERROR(__xludf.DUMMYFUNCTION("""COMPUTED_VALUE"""),"35740")</f>
        <v>35740</v>
      </c>
      <c r="F9" s="1" t="str">
        <f>IFERROR(__xludf.DUMMYFUNCTION("""COMPUTED_VALUE"""),"Jackson")</f>
        <v>Jackson</v>
      </c>
      <c r="G9" s="1" t="str">
        <f>IFERROR(__xludf.DUMMYFUNCTION("""COMPUTED_VALUE"""),"34.92019")</f>
        <v>34.92019</v>
      </c>
      <c r="H9" s="1" t="str">
        <f>IFERROR(__xludf.DUMMYFUNCTION("""COMPUTED_VALUE"""),"-85.7446")</f>
        <v>-85.7446</v>
      </c>
      <c r="I9" s="1" t="str">
        <f>IFERROR(__xludf.DUMMYFUNCTION("""COMPUTED_VALUE"""),"Operating")</f>
        <v>Operating</v>
      </c>
      <c r="J9" s="1" t="str">
        <f>IFERROR(__xludf.DUMMYFUNCTION("""COMPUTED_VALUE"""),"High")</f>
        <v>High</v>
      </c>
      <c r="K9" s="1" t="str">
        <f>IFERROR(__xludf.DUMMYFUNCTION("""COMPUTED_VALUE"""),"")</f>
        <v/>
      </c>
      <c r="L9" s="1" t="str">
        <f>IFERROR(__xludf.DUMMYFUNCTION("""COMPUTED_VALUE"""),"Google")</f>
        <v>Google</v>
      </c>
      <c r="M9" s="1" t="str">
        <f>IFERROR(__xludf.DUMMYFUNCTION("""COMPUTED_VALUE"""),"")</f>
        <v/>
      </c>
      <c r="N9" s="1" t="str">
        <f>IFERROR(__xludf.DUMMYFUNCTION("""COMPUTED_VALUE"""),"")</f>
        <v/>
      </c>
      <c r="O9" s="1" t="str">
        <f>IFERROR(__xludf.DUMMYFUNCTION("""COMPUTED_VALUE"""),"Hyperscale (100-999 MW)")</f>
        <v>Hyperscale (100-999 MW)</v>
      </c>
      <c r="P9" s="1" t="str">
        <f>IFERROR(__xludf.DUMMYFUNCTION("""COMPUTED_VALUE"""),"")</f>
        <v/>
      </c>
      <c r="Q9" s="1" t="str">
        <f>IFERROR(__xludf.DUMMYFUNCTION("""COMPUTED_VALUE"""),"")</f>
        <v/>
      </c>
      <c r="R9" s="1" t="str">
        <f>IFERROR(__xludf.DUMMYFUNCTION("""COMPUTED_VALUE"""),"")</f>
        <v/>
      </c>
      <c r="S9" s="1" t="str">
        <f>IFERROR(__xludf.DUMMYFUNCTION("""COMPUTED_VALUE"""),"")</f>
        <v/>
      </c>
      <c r="T9" s="1" t="str">
        <f>IFERROR(__xludf.DUMMYFUNCTION("""COMPUTED_VALUE"""),"")</f>
        <v/>
      </c>
      <c r="U9" s="1" t="str">
        <f>IFERROR(__xludf.DUMMYFUNCTION("""COMPUTED_VALUE"""),"")</f>
        <v/>
      </c>
      <c r="V9" s="1" t="str">
        <f>IFERROR(__xludf.DUMMYFUNCTION("""COMPUTED_VALUE"""),"270,000")</f>
        <v>270,000</v>
      </c>
      <c r="W9" s="1" t="str">
        <f>IFERROR(__xludf.DUMMYFUNCTION("""COMPUTED_VALUE"""),"360")</f>
        <v>360</v>
      </c>
      <c r="X9" s="1" t="str">
        <f>IFERROR(__xludf.DUMMYFUNCTION("""COMPUTED_VALUE"""),"$600 million")</f>
        <v>$600 million</v>
      </c>
      <c r="Y9" s="1" t="str">
        <f>IFERROR(__xludf.DUMMYFUNCTION("""COMPUTED_VALUE"""),"")</f>
        <v/>
      </c>
      <c r="Z9" s="1" t="str">
        <f>IFERROR(__xludf.DUMMYFUNCTION("""COMPUTED_VALUE"""),"Unknown")</f>
        <v>Unknown</v>
      </c>
      <c r="AA9" s="1" t="str">
        <f>IFERROR(__xludf.DUMMYFUNCTION("""COMPUTED_VALUE"""),"")</f>
        <v/>
      </c>
      <c r="AB9" s="1" t="str">
        <f>IFERROR(__xludf.DUMMYFUNCTION("""COMPUTED_VALUE"""),"")</f>
        <v/>
      </c>
      <c r="AC9" s="1" t="str">
        <f>IFERROR(__xludf.DUMMYFUNCTION("""COMPUTED_VALUE"""),"")</f>
        <v/>
      </c>
      <c r="AD9" s="1" t="str">
        <f>IFERROR(__xludf.DUMMYFUNCTION("""COMPUTED_VALUE"""),"")</f>
        <v/>
      </c>
      <c r="AE9" s="1" t="str">
        <f>IFERROR(__xludf.DUMMYFUNCTION("""COMPUTED_VALUE"""),"")</f>
        <v/>
      </c>
      <c r="AF9" s="1" t="str">
        <f>IFERROR(__xludf.DUMMYFUNCTION("""COMPUTED_VALUE"""),"")</f>
        <v/>
      </c>
      <c r="AG9" s="1" t="str">
        <f>IFERROR(__xludf.DUMMYFUNCTION("""COMPUTED_VALUE"""),"")</f>
        <v/>
      </c>
      <c r="AH9" s="1" t="str">
        <f>IFERROR(__xludf.DUMMYFUNCTION("""COMPUTED_VALUE"""),"Media Monitoring")</f>
        <v>Media Monitoring</v>
      </c>
      <c r="AI9" s="2" t="str">
        <f>IFERROR(__xludf.DUMMYFUNCTION("""COMPUTED_VALUE"""),"https://www.madeinalabama.com/2018/04/google-kicks-off-construction-on-alabama-data-center/")</f>
        <v>https://www.madeinalabama.com/2018/04/google-kicks-off-construction-on-alabama-data-center/</v>
      </c>
      <c r="AJ9" s="2" t="str">
        <f>IFERROR(__xludf.DUMMYFUNCTION("""COMPUTED_VALUE"""),"https://claycorp.com/work/mission-critical")</f>
        <v>https://claycorp.com/work/mission-critical</v>
      </c>
      <c r="AK9" s="1" t="str">
        <f>IFERROR(__xludf.DUMMYFUNCTION("""COMPUTED_VALUE"""),"")</f>
        <v/>
      </c>
      <c r="AL9" s="1" t="str">
        <f>IFERROR(__xludf.DUMMYFUNCTION("""COMPUTED_VALUE"""),"")</f>
        <v/>
      </c>
      <c r="AM9" s="1" t="str">
        <f>IFERROR(__xludf.DUMMYFUNCTION("""COMPUTED_VALUE"""),"")</f>
        <v/>
      </c>
      <c r="AN9" s="1" t="str">
        <f>IFERROR(__xludf.DUMMYFUNCTION("""COMPUTED_VALUE"""),"")</f>
        <v/>
      </c>
      <c r="AO9" s="1" t="str">
        <f>IFERROR(__xludf.DUMMYFUNCTION("""COMPUTED_VALUE"""),"")</f>
        <v/>
      </c>
      <c r="AP9" s="1" t="str">
        <f>IFERROR(__xludf.DUMMYFUNCTION("""COMPUTED_VALUE"""),"")</f>
        <v/>
      </c>
      <c r="AQ9" s="1" t="str">
        <f>IFERROR(__xludf.DUMMYFUNCTION("""COMPUTED_VALUE"""),"07/15/2025")</f>
        <v>07/15/2025</v>
      </c>
      <c r="AR9" s="1" t="str">
        <f>IFERROR(__xludf.DUMMYFUNCTION("""COMPUTED_VALUE"""),"02/18/2026")</f>
        <v>02/18/2026</v>
      </c>
    </row>
    <row r="10">
      <c r="A10" s="1" t="str">
        <f>IFERROR(__xludf.DUMMYFUNCTION("""COMPUTED_VALUE"""),"Western Hospitality Partners Data Center")</f>
        <v>Western Hospitality Partners Data Center</v>
      </c>
      <c r="B10" s="1" t="str">
        <f>IFERROR(__xludf.DUMMYFUNCTION("""COMPUTED_VALUE"""),"Childersburg Industrial Park")</f>
        <v>Childersburg Industrial Park</v>
      </c>
      <c r="C10" s="1" t="str">
        <f>IFERROR(__xludf.DUMMYFUNCTION("""COMPUTED_VALUE"""),"Childersburg")</f>
        <v>Childersburg</v>
      </c>
      <c r="D10" s="1" t="str">
        <f>IFERROR(__xludf.DUMMYFUNCTION("""COMPUTED_VALUE"""),"AL")</f>
        <v>AL</v>
      </c>
      <c r="E10" s="1" t="str">
        <f>IFERROR(__xludf.DUMMYFUNCTION("""COMPUTED_VALUE"""),"35044")</f>
        <v>35044</v>
      </c>
      <c r="F10" s="1" t="str">
        <f>IFERROR(__xludf.DUMMYFUNCTION("""COMPUTED_VALUE"""),"Talladega")</f>
        <v>Talladega</v>
      </c>
      <c r="G10" s="1" t="str">
        <f>IFERROR(__xludf.DUMMYFUNCTION("""COMPUTED_VALUE"""),"33.340885")</f>
        <v>33.340885</v>
      </c>
      <c r="H10" s="1" t="str">
        <f>IFERROR(__xludf.DUMMYFUNCTION("""COMPUTED_VALUE"""),"-86.336205")</f>
        <v>-86.336205</v>
      </c>
      <c r="I10" s="1" t="str">
        <f>IFERROR(__xludf.DUMMYFUNCTION("""COMPUTED_VALUE"""),"Proposed")</f>
        <v>Proposed</v>
      </c>
      <c r="J10" s="1" t="str">
        <f>IFERROR(__xludf.DUMMYFUNCTION("""COMPUTED_VALUE"""),"Medium")</f>
        <v>Medium</v>
      </c>
      <c r="K10" s="1" t="str">
        <f>IFERROR(__xludf.DUMMYFUNCTION("""COMPUTED_VALUE"""),"")</f>
        <v/>
      </c>
      <c r="L10" s="1" t="str">
        <f>IFERROR(__xludf.DUMMYFUNCTION("""COMPUTED_VALUE"""),"")</f>
        <v/>
      </c>
      <c r="M10" s="1" t="str">
        <f>IFERROR(__xludf.DUMMYFUNCTION("""COMPUTED_VALUE"""),"")</f>
        <v/>
      </c>
      <c r="N10" s="1" t="str">
        <f>IFERROR(__xludf.DUMMYFUNCTION("""COMPUTED_VALUE"""),"500")</f>
        <v>500</v>
      </c>
      <c r="O10" s="1" t="str">
        <f>IFERROR(__xludf.DUMMYFUNCTION("""COMPUTED_VALUE"""),"Hyperscale (100-999 MW)")</f>
        <v>Hyperscale (100-999 MW)</v>
      </c>
      <c r="P10" s="1" t="str">
        <f>IFERROR(__xludf.DUMMYFUNCTION("""COMPUTED_VALUE"""),"")</f>
        <v/>
      </c>
      <c r="Q10" s="1" t="str">
        <f>IFERROR(__xludf.DUMMYFUNCTION("""COMPUTED_VALUE"""),"")</f>
        <v/>
      </c>
      <c r="R10" s="1" t="str">
        <f>IFERROR(__xludf.DUMMYFUNCTION("""COMPUTED_VALUE"""),"")</f>
        <v/>
      </c>
      <c r="S10" s="1" t="str">
        <f>IFERROR(__xludf.DUMMYFUNCTION("""COMPUTED_VALUE"""),"")</f>
        <v/>
      </c>
      <c r="T10" s="1" t="str">
        <f>IFERROR(__xludf.DUMMYFUNCTION("""COMPUTED_VALUE"""),"")</f>
        <v/>
      </c>
      <c r="U10" s="1" t="str">
        <f>IFERROR(__xludf.DUMMYFUNCTION("""COMPUTED_VALUE"""),"")</f>
        <v/>
      </c>
      <c r="V10" s="1" t="str">
        <f>IFERROR(__xludf.DUMMYFUNCTION("""COMPUTED_VALUE"""),"")</f>
        <v/>
      </c>
      <c r="W10" s="1" t="str">
        <f>IFERROR(__xludf.DUMMYFUNCTION("""COMPUTED_VALUE"""),"486")</f>
        <v>486</v>
      </c>
      <c r="X10" s="1" t="str">
        <f>IFERROR(__xludf.DUMMYFUNCTION("""COMPUTED_VALUE"""),"$6 billion")</f>
        <v>$6 billion</v>
      </c>
      <c r="Y10" s="1" t="str">
        <f>IFERROR(__xludf.DUMMYFUNCTION("""COMPUTED_VALUE"""),"")</f>
        <v/>
      </c>
      <c r="Z10" s="1" t="str">
        <f>IFERROR(__xludf.DUMMYFUNCTION("""COMPUTED_VALUE"""),"Yes")</f>
        <v>Yes</v>
      </c>
      <c r="AA10" s="1" t="str">
        <f>IFERROR(__xludf.DUMMYFUNCTION("""COMPUTED_VALUE"""),"")</f>
        <v/>
      </c>
      <c r="AB10" s="1" t="str">
        <f>IFERROR(__xludf.DUMMYFUNCTION("""COMPUTED_VALUE"""),"Organized Advocacy")</f>
        <v>Organized Advocacy</v>
      </c>
      <c r="AC10" s="1" t="str">
        <f>IFERROR(__xludf.DUMMYFUNCTION("""COMPUTED_VALUE"""),"")</f>
        <v/>
      </c>
      <c r="AD10" s="2" t="str">
        <f>IFERROR(__xludf.DUMMYFUNCTION("""COMPUTED_VALUE"""),"https://www.facebook.com/groups/904402025318961e")</f>
        <v>https://www.facebook.com/groups/904402025318961e</v>
      </c>
      <c r="AE10" s="1" t="str">
        <f>IFERROR(__xludf.DUMMYFUNCTION("""COMPUTED_VALUE"""),"")</f>
        <v/>
      </c>
      <c r="AF10" s="1" t="str">
        <f>IFERROR(__xludf.DUMMYFUNCTION("""COMPUTED_VALUE"""),"")</f>
        <v/>
      </c>
      <c r="AG10" s="1" t="str">
        <f>IFERROR(__xludf.DUMMYFUNCTION("""COMPUTED_VALUE"""),"")</f>
        <v/>
      </c>
      <c r="AH10" s="1" t="str">
        <f>IFERROR(__xludf.DUMMYFUNCTION("""COMPUTED_VALUE"""),"Media Monitoring")</f>
        <v>Media Monitoring</v>
      </c>
      <c r="AI10" s="2" t="str">
        <f>IFERROR(__xludf.DUMMYFUNCTION("""COMPUTED_VALUE"""),"https://www.datacenterdynamics.com/en/news/planned-data-center-project-outside-chicago-illinois-paused-due-to-energy-infrastructure/")</f>
        <v>https://www.datacenterdynamics.com/en/news/planned-data-center-project-outside-chicago-illinois-paused-due-to-energy-infrastructure/</v>
      </c>
      <c r="AJ10" s="2" t="str">
        <f>IFERROR(__xludf.DUMMYFUNCTION("""COMPUTED_VALUE"""),"https://www.childersburg.org/childersburg-industrial-park")</f>
        <v>https://www.childersburg.org/childersburg-industrial-park</v>
      </c>
      <c r="AK10" s="2" t="str">
        <f>IFERROR(__xludf.DUMMYFUNCTION("""COMPUTED_VALUE"""),"https://abc3340.com/news/local/concerns-grow-in-childersburg-over-possible-data-center-at-industrial-park")</f>
        <v>https://abc3340.com/news/local/concerns-grow-in-childersburg-over-possible-data-center-at-industrial-park</v>
      </c>
      <c r="AL10" s="1" t="str">
        <f>IFERROR(__xludf.DUMMYFUNCTION("""COMPUTED_VALUE"""),"")</f>
        <v/>
      </c>
      <c r="AM10" s="1" t="str">
        <f>IFERROR(__xludf.DUMMYFUNCTION("""COMPUTED_VALUE"""),"")</f>
        <v/>
      </c>
      <c r="AN10" s="1" t="str">
        <f>IFERROR(__xludf.DUMMYFUNCTION("""COMPUTED_VALUE"""),"")</f>
        <v/>
      </c>
      <c r="AO10" s="1" t="str">
        <f>IFERROR(__xludf.DUMMYFUNCTION("""COMPUTED_VALUE"""),"")</f>
        <v/>
      </c>
      <c r="AP10" s="1" t="str">
        <f>IFERROR(__xludf.DUMMYFUNCTION("""COMPUTED_VALUE"""),"")</f>
        <v/>
      </c>
      <c r="AQ10" s="1" t="str">
        <f>IFERROR(__xludf.DUMMYFUNCTION("""COMPUTED_VALUE"""),"01/26/2026")</f>
        <v>01/26/2026</v>
      </c>
      <c r="AR10" s="1" t="str">
        <f>IFERROR(__xludf.DUMMYFUNCTION("""COMPUTED_VALUE"""),"05/03/2026")</f>
        <v>05/03/2026</v>
      </c>
    </row>
    <row r="11">
      <c r="A11" s="1" t="str">
        <f>IFERROR(__xludf.DUMMYFUNCTION("""COMPUTED_VALUE"""),"DC Blox")</f>
        <v>DC Blox</v>
      </c>
      <c r="B11" s="1" t="str">
        <f>IFERROR(__xludf.DUMMYFUNCTION("""COMPUTED_VALUE"""),"333 Diamond Dr NW")</f>
        <v>333 Diamond Dr NW</v>
      </c>
      <c r="C11" s="1" t="str">
        <f>IFERROR(__xludf.DUMMYFUNCTION("""COMPUTED_VALUE"""),"Huntsville")</f>
        <v>Huntsville</v>
      </c>
      <c r="D11" s="1" t="str">
        <f>IFERROR(__xludf.DUMMYFUNCTION("""COMPUTED_VALUE"""),"AL")</f>
        <v>AL</v>
      </c>
      <c r="E11" s="1" t="str">
        <f>IFERROR(__xludf.DUMMYFUNCTION("""COMPUTED_VALUE"""),"35806")</f>
        <v>35806</v>
      </c>
      <c r="F11" s="1" t="str">
        <f>IFERROR(__xludf.DUMMYFUNCTION("""COMPUTED_VALUE"""),"Madison")</f>
        <v>Madison</v>
      </c>
      <c r="G11" s="1" t="str">
        <f>IFERROR(__xludf.DUMMYFUNCTION("""COMPUTED_VALUE"""),"34.71003")</f>
        <v>34.71003</v>
      </c>
      <c r="H11" s="1" t="str">
        <f>IFERROR(__xludf.DUMMYFUNCTION("""COMPUTED_VALUE"""),"-86.693")</f>
        <v>-86.693</v>
      </c>
      <c r="I11" s="1" t="str">
        <f>IFERROR(__xludf.DUMMYFUNCTION("""COMPUTED_VALUE"""),"Operating")</f>
        <v>Operating</v>
      </c>
      <c r="J11" s="1" t="str">
        <f>IFERROR(__xludf.DUMMYFUNCTION("""COMPUTED_VALUE"""),"High")</f>
        <v>High</v>
      </c>
      <c r="K11" s="1" t="str">
        <f>IFERROR(__xludf.DUMMYFUNCTION("""COMPUTED_VALUE"""),"")</f>
        <v/>
      </c>
      <c r="L11" s="1" t="str">
        <f>IFERROR(__xludf.DUMMYFUNCTION("""COMPUTED_VALUE"""),"")</f>
        <v/>
      </c>
      <c r="M11" s="1" t="str">
        <f>IFERROR(__xludf.DUMMYFUNCTION("""COMPUTED_VALUE"""),"")</f>
        <v/>
      </c>
      <c r="N11" s="1" t="str">
        <f>IFERROR(__xludf.DUMMYFUNCTION("""COMPUTED_VALUE"""),"")</f>
        <v/>
      </c>
      <c r="O11" s="1" t="str">
        <f>IFERROR(__xludf.DUMMYFUNCTION("""COMPUTED_VALUE"""),"Unknown")</f>
        <v>Unknown</v>
      </c>
      <c r="P11" s="1" t="str">
        <f>IFERROR(__xludf.DUMMYFUNCTION("""COMPUTED_VALUE"""),"")</f>
        <v/>
      </c>
      <c r="Q11" s="1" t="str">
        <f>IFERROR(__xludf.DUMMYFUNCTION("""COMPUTED_VALUE"""),"")</f>
        <v/>
      </c>
      <c r="R11" s="1" t="str">
        <f>IFERROR(__xludf.DUMMYFUNCTION("""COMPUTED_VALUE"""),"")</f>
        <v/>
      </c>
      <c r="S11" s="1" t="str">
        <f>IFERROR(__xludf.DUMMYFUNCTION("""COMPUTED_VALUE"""),"")</f>
        <v/>
      </c>
      <c r="T11" s="1" t="str">
        <f>IFERROR(__xludf.DUMMYFUNCTION("""COMPUTED_VALUE"""),"")</f>
        <v/>
      </c>
      <c r="U11" s="1" t="str">
        <f>IFERROR(__xludf.DUMMYFUNCTION("""COMPUTED_VALUE"""),"")</f>
        <v/>
      </c>
      <c r="V11" s="1" t="str">
        <f>IFERROR(__xludf.DUMMYFUNCTION("""COMPUTED_VALUE"""),"")</f>
        <v/>
      </c>
      <c r="W11" s="1" t="str">
        <f>IFERROR(__xludf.DUMMYFUNCTION("""COMPUTED_VALUE"""),"")</f>
        <v/>
      </c>
      <c r="X11" s="1" t="str">
        <f>IFERROR(__xludf.DUMMYFUNCTION("""COMPUTED_VALUE"""),"")</f>
        <v/>
      </c>
      <c r="Y11" s="1" t="str">
        <f>IFERROR(__xludf.DUMMYFUNCTION("""COMPUTED_VALUE"""),"")</f>
        <v/>
      </c>
      <c r="Z11" s="1" t="str">
        <f>IFERROR(__xludf.DUMMYFUNCTION("""COMPUTED_VALUE"""),"Unknown")</f>
        <v>Unknown</v>
      </c>
      <c r="AA11" s="1" t="str">
        <f>IFERROR(__xludf.DUMMYFUNCTION("""COMPUTED_VALUE"""),"")</f>
        <v/>
      </c>
      <c r="AB11" s="1" t="str">
        <f>IFERROR(__xludf.DUMMYFUNCTION("""COMPUTED_VALUE"""),"")</f>
        <v/>
      </c>
      <c r="AC11" s="1" t="str">
        <f>IFERROR(__xludf.DUMMYFUNCTION("""COMPUTED_VALUE"""),"")</f>
        <v/>
      </c>
      <c r="AD11" s="1" t="str">
        <f>IFERROR(__xludf.DUMMYFUNCTION("""COMPUTED_VALUE"""),"")</f>
        <v/>
      </c>
      <c r="AE11" s="1" t="str">
        <f>IFERROR(__xludf.DUMMYFUNCTION("""COMPUTED_VALUE"""),"")</f>
        <v/>
      </c>
      <c r="AF11" s="1" t="str">
        <f>IFERROR(__xludf.DUMMYFUNCTION("""COMPUTED_VALUE"""),"")</f>
        <v/>
      </c>
      <c r="AG11" s="1" t="str">
        <f>IFERROR(__xludf.DUMMYFUNCTION("""COMPUTED_VALUE"""),"")</f>
        <v/>
      </c>
      <c r="AH11" s="1" t="str">
        <f>IFERROR(__xludf.DUMMYFUNCTION("""COMPUTED_VALUE"""),"Media Monitoring")</f>
        <v>Media Monitoring</v>
      </c>
      <c r="AI11" s="1" t="str">
        <f>IFERROR(__xludf.DUMMYFUNCTION("""COMPUTED_VALUE"""),"")</f>
        <v/>
      </c>
      <c r="AJ11" s="1" t="str">
        <f>IFERROR(__xludf.DUMMYFUNCTION("""COMPUTED_VALUE"""),"")</f>
        <v/>
      </c>
      <c r="AK11" s="1" t="str">
        <f>IFERROR(__xludf.DUMMYFUNCTION("""COMPUTED_VALUE"""),"")</f>
        <v/>
      </c>
      <c r="AL11" s="1" t="str">
        <f>IFERROR(__xludf.DUMMYFUNCTION("""COMPUTED_VALUE"""),"")</f>
        <v/>
      </c>
      <c r="AM11" s="1" t="str">
        <f>IFERROR(__xludf.DUMMYFUNCTION("""COMPUTED_VALUE"""),"")</f>
        <v/>
      </c>
      <c r="AN11" s="1" t="str">
        <f>IFERROR(__xludf.DUMMYFUNCTION("""COMPUTED_VALUE"""),"")</f>
        <v/>
      </c>
      <c r="AO11" s="1" t="str">
        <f>IFERROR(__xludf.DUMMYFUNCTION("""COMPUTED_VALUE"""),"")</f>
        <v/>
      </c>
      <c r="AP11" s="1" t="str">
        <f>IFERROR(__xludf.DUMMYFUNCTION("""COMPUTED_VALUE"""),"")</f>
        <v/>
      </c>
      <c r="AQ11" s="1" t="str">
        <f>IFERROR(__xludf.DUMMYFUNCTION("""COMPUTED_VALUE"""),"08/25/2025")</f>
        <v>08/25/2025</v>
      </c>
      <c r="AR11" s="1" t="str">
        <f>IFERROR(__xludf.DUMMYFUNCTION("""COMPUTED_VALUE"""),"08/25/2025")</f>
        <v>08/25/2025</v>
      </c>
    </row>
    <row r="12">
      <c r="A12" s="1" t="str">
        <f>IFERROR(__xludf.DUMMYFUNCTION("""COMPUTED_VALUE"""),"Meta Data Center")</f>
        <v>Meta Data Center</v>
      </c>
      <c r="B12" s="1" t="str">
        <f>IFERROR(__xludf.DUMMYFUNCTION("""COMPUTED_VALUE"""),"5400 Prosperity Dr NW")</f>
        <v>5400 Prosperity Dr NW</v>
      </c>
      <c r="C12" s="1" t="str">
        <f>IFERROR(__xludf.DUMMYFUNCTION("""COMPUTED_VALUE"""),"Huntsville")</f>
        <v>Huntsville</v>
      </c>
      <c r="D12" s="1" t="str">
        <f>IFERROR(__xludf.DUMMYFUNCTION("""COMPUTED_VALUE"""),"AL")</f>
        <v>AL</v>
      </c>
      <c r="E12" s="1" t="str">
        <f>IFERROR(__xludf.DUMMYFUNCTION("""COMPUTED_VALUE"""),"35810")</f>
        <v>35810</v>
      </c>
      <c r="F12" s="1" t="str">
        <f>IFERROR(__xludf.DUMMYFUNCTION("""COMPUTED_VALUE"""),"Madison")</f>
        <v>Madison</v>
      </c>
      <c r="G12" s="1" t="str">
        <f>IFERROR(__xludf.DUMMYFUNCTION("""COMPUTED_VALUE"""),"34.84065")</f>
        <v>34.84065</v>
      </c>
      <c r="H12" s="1" t="str">
        <f>IFERROR(__xludf.DUMMYFUNCTION("""COMPUTED_VALUE"""),"-86.6295")</f>
        <v>-86.6295</v>
      </c>
      <c r="I12" s="1" t="str">
        <f>IFERROR(__xludf.DUMMYFUNCTION("""COMPUTED_VALUE"""),"Operating")</f>
        <v>Operating</v>
      </c>
      <c r="J12" s="1" t="str">
        <f>IFERROR(__xludf.DUMMYFUNCTION("""COMPUTED_VALUE"""),"High")</f>
        <v>High</v>
      </c>
      <c r="K12" s="1" t="str">
        <f>IFERROR(__xludf.DUMMYFUNCTION("""COMPUTED_VALUE"""),"")</f>
        <v/>
      </c>
      <c r="L12" s="1" t="str">
        <f>IFERROR(__xludf.DUMMYFUNCTION("""COMPUTED_VALUE"""),"Meta")</f>
        <v>Meta</v>
      </c>
      <c r="M12" s="1" t="str">
        <f>IFERROR(__xludf.DUMMYFUNCTION("""COMPUTED_VALUE"""),"")</f>
        <v/>
      </c>
      <c r="N12" s="1" t="str">
        <f>IFERROR(__xludf.DUMMYFUNCTION("""COMPUTED_VALUE"""),"")</f>
        <v/>
      </c>
      <c r="O12" s="1" t="str">
        <f>IFERROR(__xludf.DUMMYFUNCTION("""COMPUTED_VALUE"""),"Unknown")</f>
        <v>Unknown</v>
      </c>
      <c r="P12" s="1" t="str">
        <f>IFERROR(__xludf.DUMMYFUNCTION("""COMPUTED_VALUE"""),"")</f>
        <v/>
      </c>
      <c r="Q12" s="1" t="str">
        <f>IFERROR(__xludf.DUMMYFUNCTION("""COMPUTED_VALUE"""),"")</f>
        <v/>
      </c>
      <c r="R12" s="1" t="str">
        <f>IFERROR(__xludf.DUMMYFUNCTION("""COMPUTED_VALUE"""),"")</f>
        <v/>
      </c>
      <c r="S12" s="1" t="str">
        <f>IFERROR(__xludf.DUMMYFUNCTION("""COMPUTED_VALUE"""),"")</f>
        <v/>
      </c>
      <c r="T12" s="1" t="str">
        <f>IFERROR(__xludf.DUMMYFUNCTION("""COMPUTED_VALUE"""),"")</f>
        <v/>
      </c>
      <c r="U12" s="1" t="str">
        <f>IFERROR(__xludf.DUMMYFUNCTION("""COMPUTED_VALUE"""),"")</f>
        <v/>
      </c>
      <c r="V12" s="1" t="str">
        <f>IFERROR(__xludf.DUMMYFUNCTION("""COMPUTED_VALUE"""),"")</f>
        <v/>
      </c>
      <c r="W12" s="1" t="str">
        <f>IFERROR(__xludf.DUMMYFUNCTION("""COMPUTED_VALUE"""),"")</f>
        <v/>
      </c>
      <c r="X12" s="1" t="str">
        <f>IFERROR(__xludf.DUMMYFUNCTION("""COMPUTED_VALUE"""),"")</f>
        <v/>
      </c>
      <c r="Y12" s="1" t="str">
        <f>IFERROR(__xludf.DUMMYFUNCTION("""COMPUTED_VALUE"""),"")</f>
        <v/>
      </c>
      <c r="Z12" s="1" t="str">
        <f>IFERROR(__xludf.DUMMYFUNCTION("""COMPUTED_VALUE"""),"Unknown")</f>
        <v>Unknown</v>
      </c>
      <c r="AA12" s="1" t="str">
        <f>IFERROR(__xludf.DUMMYFUNCTION("""COMPUTED_VALUE"""),"")</f>
        <v/>
      </c>
      <c r="AB12" s="1" t="str">
        <f>IFERROR(__xludf.DUMMYFUNCTION("""COMPUTED_VALUE"""),"")</f>
        <v/>
      </c>
      <c r="AC12" s="1" t="str">
        <f>IFERROR(__xludf.DUMMYFUNCTION("""COMPUTED_VALUE"""),"")</f>
        <v/>
      </c>
      <c r="AD12" s="1" t="str">
        <f>IFERROR(__xludf.DUMMYFUNCTION("""COMPUTED_VALUE"""),"")</f>
        <v/>
      </c>
      <c r="AE12" s="1" t="str">
        <f>IFERROR(__xludf.DUMMYFUNCTION("""COMPUTED_VALUE"""),"")</f>
        <v/>
      </c>
      <c r="AF12" s="1" t="str">
        <f>IFERROR(__xludf.DUMMYFUNCTION("""COMPUTED_VALUE"""),"")</f>
        <v/>
      </c>
      <c r="AG12" s="1" t="str">
        <f>IFERROR(__xludf.DUMMYFUNCTION("""COMPUTED_VALUE"""),"")</f>
        <v/>
      </c>
      <c r="AH12" s="1" t="str">
        <f>IFERROR(__xludf.DUMMYFUNCTION("""COMPUTED_VALUE"""),"Media Monitoring")</f>
        <v>Media Monitoring</v>
      </c>
      <c r="AI12" s="2" t="str">
        <f>IFERROR(__xludf.DUMMYFUNCTION("""COMPUTED_VALUE"""),"https://www.datacenterdynamics.com/en/news/meta-to-build-800m-data-center-in-montgomery-alabama/")</f>
        <v>https://www.datacenterdynamics.com/en/news/meta-to-build-800m-data-center-in-montgomery-alabama/</v>
      </c>
      <c r="AJ12" s="1" t="str">
        <f>IFERROR(__xludf.DUMMYFUNCTION("""COMPUTED_VALUE"""),"")</f>
        <v/>
      </c>
      <c r="AK12" s="1" t="str">
        <f>IFERROR(__xludf.DUMMYFUNCTION("""COMPUTED_VALUE"""),"")</f>
        <v/>
      </c>
      <c r="AL12" s="1" t="str">
        <f>IFERROR(__xludf.DUMMYFUNCTION("""COMPUTED_VALUE"""),"")</f>
        <v/>
      </c>
      <c r="AM12" s="1" t="str">
        <f>IFERROR(__xludf.DUMMYFUNCTION("""COMPUTED_VALUE"""),"")</f>
        <v/>
      </c>
      <c r="AN12" s="1" t="str">
        <f>IFERROR(__xludf.DUMMYFUNCTION("""COMPUTED_VALUE"""),"")</f>
        <v/>
      </c>
      <c r="AO12" s="1" t="str">
        <f>IFERROR(__xludf.DUMMYFUNCTION("""COMPUTED_VALUE"""),"")</f>
        <v/>
      </c>
      <c r="AP12" s="1" t="str">
        <f>IFERROR(__xludf.DUMMYFUNCTION("""COMPUTED_VALUE"""),"")</f>
        <v/>
      </c>
      <c r="AQ12" s="1" t="str">
        <f>IFERROR(__xludf.DUMMYFUNCTION("""COMPUTED_VALUE"""),"08/11/2025")</f>
        <v>08/11/2025</v>
      </c>
      <c r="AR12" s="1" t="str">
        <f>IFERROR(__xludf.DUMMYFUNCTION("""COMPUTED_VALUE"""),"08/11/2025")</f>
        <v>08/11/2025</v>
      </c>
    </row>
    <row r="13">
      <c r="A13" s="1" t="str">
        <f>IFERROR(__xludf.DUMMYFUNCTION("""COMPUTED_VALUE"""),"Meta Data Center")</f>
        <v>Meta Data Center</v>
      </c>
      <c r="B13" s="1" t="str">
        <f>IFERROR(__xludf.DUMMYFUNCTION("""COMPUTED_VALUE"""),"~1125 Hyundai Blvd")</f>
        <v>~1125 Hyundai Blvd</v>
      </c>
      <c r="C13" s="1" t="str">
        <f>IFERROR(__xludf.DUMMYFUNCTION("""COMPUTED_VALUE"""),"Montgomery")</f>
        <v>Montgomery</v>
      </c>
      <c r="D13" s="1" t="str">
        <f>IFERROR(__xludf.DUMMYFUNCTION("""COMPUTED_VALUE"""),"AL")</f>
        <v>AL</v>
      </c>
      <c r="E13" s="1" t="str">
        <f>IFERROR(__xludf.DUMMYFUNCTION("""COMPUTED_VALUE"""),"36105")</f>
        <v>36105</v>
      </c>
      <c r="F13" s="1" t="str">
        <f>IFERROR(__xludf.DUMMYFUNCTION("""COMPUTED_VALUE"""),"Montgomery")</f>
        <v>Montgomery</v>
      </c>
      <c r="G13" s="1" t="str">
        <f>IFERROR(__xludf.DUMMYFUNCTION("""COMPUTED_VALUE"""),"32.27604")</f>
        <v>32.27604</v>
      </c>
      <c r="H13" s="1" t="str">
        <f>IFERROR(__xludf.DUMMYFUNCTION("""COMPUTED_VALUE"""),"-86.3287")</f>
        <v>-86.3287</v>
      </c>
      <c r="I13" s="1" t="str">
        <f>IFERROR(__xludf.DUMMYFUNCTION("""COMPUTED_VALUE"""),"Approved/Permitted/Under construction")</f>
        <v>Approved/Permitted/Under construction</v>
      </c>
      <c r="J13" s="1" t="str">
        <f>IFERROR(__xludf.DUMMYFUNCTION("""COMPUTED_VALUE"""),"Medium")</f>
        <v>Medium</v>
      </c>
      <c r="K13" s="1" t="str">
        <f>IFERROR(__xludf.DUMMYFUNCTION("""COMPUTED_VALUE"""),"")</f>
        <v/>
      </c>
      <c r="L13" s="1" t="str">
        <f>IFERROR(__xludf.DUMMYFUNCTION("""COMPUTED_VALUE"""),"Meta")</f>
        <v>Meta</v>
      </c>
      <c r="M13" s="1" t="str">
        <f>IFERROR(__xludf.DUMMYFUNCTION("""COMPUTED_VALUE"""),"")</f>
        <v/>
      </c>
      <c r="N13" s="1" t="str">
        <f>IFERROR(__xludf.DUMMYFUNCTION("""COMPUTED_VALUE"""),"100-200")</f>
        <v>100-200</v>
      </c>
      <c r="O13" s="1" t="str">
        <f>IFERROR(__xludf.DUMMYFUNCTION("""COMPUTED_VALUE"""),"Hyperscale (100-999 MW)")</f>
        <v>Hyperscale (100-999 MW)</v>
      </c>
      <c r="P13" s="1" t="str">
        <f>IFERROR(__xludf.DUMMYFUNCTION("""COMPUTED_VALUE"""),"Grid (unspecified mix)")</f>
        <v>Grid (unspecified mix)</v>
      </c>
      <c r="Q13" s="1" t="str">
        <f>IFERROR(__xludf.DUMMYFUNCTION("""COMPUTED_VALUE"""),"")</f>
        <v/>
      </c>
      <c r="R13" s="1" t="str">
        <f>IFERROR(__xludf.DUMMYFUNCTION("""COMPUTED_VALUE"""),"")</f>
        <v/>
      </c>
      <c r="S13" s="1" t="str">
        <f>IFERROR(__xludf.DUMMYFUNCTION("""COMPUTED_VALUE"""),"4")</f>
        <v>4</v>
      </c>
      <c r="T13" s="1" t="str">
        <f>IFERROR(__xludf.DUMMYFUNCTION("""COMPUTED_VALUE"""),"Water")</f>
        <v>Water</v>
      </c>
      <c r="U13" s="1" t="str">
        <f>IFERROR(__xludf.DUMMYFUNCTION("""COMPUTED_VALUE"""),"Closed loop")</f>
        <v>Closed loop</v>
      </c>
      <c r="V13" s="1" t="str">
        <f>IFERROR(__xludf.DUMMYFUNCTION("""COMPUTED_VALUE"""),"715,000")</f>
        <v>715,000</v>
      </c>
      <c r="W13" s="1" t="str">
        <f>IFERROR(__xludf.DUMMYFUNCTION("""COMPUTED_VALUE"""),"")</f>
        <v/>
      </c>
      <c r="X13" s="1" t="str">
        <f>IFERROR(__xludf.DUMMYFUNCTION("""COMPUTED_VALUE"""),"$800 million")</f>
        <v>$800 million</v>
      </c>
      <c r="Y13" s="1" t="str">
        <f>IFERROR(__xludf.DUMMYFUNCTION("""COMPUTED_VALUE"""),"")</f>
        <v/>
      </c>
      <c r="Z13" s="1" t="str">
        <f>IFERROR(__xludf.DUMMYFUNCTION("""COMPUTED_VALUE"""),"Unknown")</f>
        <v>Unknown</v>
      </c>
      <c r="AA13" s="1" t="str">
        <f>IFERROR(__xludf.DUMMYFUNCTION("""COMPUTED_VALUE"""),"")</f>
        <v/>
      </c>
      <c r="AB13" s="1" t="str">
        <f>IFERROR(__xludf.DUMMYFUNCTION("""COMPUTED_VALUE"""),"")</f>
        <v/>
      </c>
      <c r="AC13" s="1" t="str">
        <f>IFERROR(__xludf.DUMMYFUNCTION("""COMPUTED_VALUE"""),"")</f>
        <v/>
      </c>
      <c r="AD13" s="1" t="str">
        <f>IFERROR(__xludf.DUMMYFUNCTION("""COMPUTED_VALUE"""),"")</f>
        <v/>
      </c>
      <c r="AE13" s="1" t="str">
        <f>IFERROR(__xludf.DUMMYFUNCTION("""COMPUTED_VALUE"""),"")</f>
        <v/>
      </c>
      <c r="AF13" s="1" t="str">
        <f>IFERROR(__xludf.DUMMYFUNCTION("""COMPUTED_VALUE"""),"")</f>
        <v/>
      </c>
      <c r="AG13" s="1" t="str">
        <f>IFERROR(__xludf.DUMMYFUNCTION("""COMPUTED_VALUE"""),"")</f>
        <v/>
      </c>
      <c r="AH13" s="1" t="str">
        <f>IFERROR(__xludf.DUMMYFUNCTION("""COMPUTED_VALUE"""),"Media Monitoring")</f>
        <v>Media Monitoring</v>
      </c>
      <c r="AI13" s="2" t="str">
        <f>IFERROR(__xludf.DUMMYFUNCTION("""COMPUTED_VALUE"""),"https://www.datacenterdynamics.com/en/news/meta-to-build-800m-data-center-in-montgomery-alabama/")</f>
        <v>https://www.datacenterdynamics.com/en/news/meta-to-build-800m-data-center-in-montgomery-alabama/</v>
      </c>
      <c r="AJ13" s="1" t="str">
        <f>IFERROR(__xludf.DUMMYFUNCTION("""COMPUTED_VALUE"""),"")</f>
        <v/>
      </c>
      <c r="AK13" s="1" t="str">
        <f>IFERROR(__xludf.DUMMYFUNCTION("""COMPUTED_VALUE"""),"")</f>
        <v/>
      </c>
      <c r="AL13" s="1" t="str">
        <f>IFERROR(__xludf.DUMMYFUNCTION("""COMPUTED_VALUE"""),"")</f>
        <v/>
      </c>
      <c r="AM13" s="1" t="str">
        <f>IFERROR(__xludf.DUMMYFUNCTION("""COMPUTED_VALUE"""),"")</f>
        <v/>
      </c>
      <c r="AN13" s="1" t="str">
        <f>IFERROR(__xludf.DUMMYFUNCTION("""COMPUTED_VALUE"""),"")</f>
        <v/>
      </c>
      <c r="AO13" s="1" t="str">
        <f>IFERROR(__xludf.DUMMYFUNCTION("""COMPUTED_VALUE"""),"")</f>
        <v/>
      </c>
      <c r="AP13" s="1" t="str">
        <f>IFERROR(__xludf.DUMMYFUNCTION("""COMPUTED_VALUE"""),"")</f>
        <v/>
      </c>
      <c r="AQ13" s="1" t="str">
        <f>IFERROR(__xludf.DUMMYFUNCTION("""COMPUTED_VALUE"""),"08/11/2025")</f>
        <v>08/11/2025</v>
      </c>
      <c r="AR13" s="1" t="str">
        <f>IFERROR(__xludf.DUMMYFUNCTION("""COMPUTED_VALUE"""),"02/10/2026")</f>
        <v>02/10/2026</v>
      </c>
    </row>
    <row r="14">
      <c r="A14" s="1" t="str">
        <f>IFERROR(__xludf.DUMMYFUNCTION("""COMPUTED_VALUE"""),"Beacon Data Center")</f>
        <v>Beacon Data Center</v>
      </c>
      <c r="B14" s="1" t="str">
        <f>IFERROR(__xludf.DUMMYFUNCTION("""COMPUTED_VALUE"""),"betw Highway 43 and Shepard House Rd")</f>
        <v>betw Highway 43 and Shepard House Rd</v>
      </c>
      <c r="C14" s="1" t="str">
        <f>IFERROR(__xludf.DUMMYFUNCTION("""COMPUTED_VALUE"""),"Mount Vernon")</f>
        <v>Mount Vernon</v>
      </c>
      <c r="D14" s="1" t="str">
        <f>IFERROR(__xludf.DUMMYFUNCTION("""COMPUTED_VALUE"""),"AL")</f>
        <v>AL</v>
      </c>
      <c r="E14" s="1" t="str">
        <f>IFERROR(__xludf.DUMMYFUNCTION("""COMPUTED_VALUE"""),"36560")</f>
        <v>36560</v>
      </c>
      <c r="F14" s="1" t="str">
        <f>IFERROR(__xludf.DUMMYFUNCTION("""COMPUTED_VALUE"""),"Mobile")</f>
        <v>Mobile</v>
      </c>
      <c r="G14" s="1" t="str">
        <f>IFERROR(__xludf.DUMMYFUNCTION("""COMPUTED_VALUE"""),"31.12417")</f>
        <v>31.12417</v>
      </c>
      <c r="H14" s="1" t="str">
        <f>IFERROR(__xludf.DUMMYFUNCTION("""COMPUTED_VALUE"""),"-88.03166")</f>
        <v>-88.03166</v>
      </c>
      <c r="I14" s="1" t="str">
        <f>IFERROR(__xludf.DUMMYFUNCTION("""COMPUTED_VALUE"""),"Proposed")</f>
        <v>Proposed</v>
      </c>
      <c r="J14" s="1" t="str">
        <f>IFERROR(__xludf.DUMMYFUNCTION("""COMPUTED_VALUE"""),"Medium")</f>
        <v>Medium</v>
      </c>
      <c r="K14" s="1" t="str">
        <f>IFERROR(__xludf.DUMMYFUNCTION("""COMPUTED_VALUE"""),"")</f>
        <v/>
      </c>
      <c r="L14" s="1" t="str">
        <f>IFERROR(__xludf.DUMMYFUNCTION("""COMPUTED_VALUE"""),"Beacon")</f>
        <v>Beacon</v>
      </c>
      <c r="M14" s="1" t="str">
        <f>IFERROR(__xludf.DUMMYFUNCTION("""COMPUTED_VALUE"""),"")</f>
        <v/>
      </c>
      <c r="N14" s="1" t="str">
        <f>IFERROR(__xludf.DUMMYFUNCTION("""COMPUTED_VALUE"""),"")</f>
        <v/>
      </c>
      <c r="O14" s="1" t="str">
        <f>IFERROR(__xludf.DUMMYFUNCTION("""COMPUTED_VALUE"""),"Unknown")</f>
        <v>Unknown</v>
      </c>
      <c r="P14" s="1" t="str">
        <f>IFERROR(__xludf.DUMMYFUNCTION("""COMPUTED_VALUE"""),"")</f>
        <v/>
      </c>
      <c r="Q14" s="1" t="str">
        <f>IFERROR(__xludf.DUMMYFUNCTION("""COMPUTED_VALUE"""),"")</f>
        <v/>
      </c>
      <c r="R14" s="1" t="str">
        <f>IFERROR(__xludf.DUMMYFUNCTION("""COMPUTED_VALUE"""),"")</f>
        <v/>
      </c>
      <c r="S14" s="1" t="str">
        <f>IFERROR(__xludf.DUMMYFUNCTION("""COMPUTED_VALUE"""),"2")</f>
        <v>2</v>
      </c>
      <c r="T14" s="1" t="str">
        <f>IFERROR(__xludf.DUMMYFUNCTION("""COMPUTED_VALUE"""),"")</f>
        <v/>
      </c>
      <c r="U14" s="1" t="str">
        <f>IFERROR(__xludf.DUMMYFUNCTION("""COMPUTED_VALUE"""),"Closed loop")</f>
        <v>Closed loop</v>
      </c>
      <c r="V14" s="1" t="str">
        <f>IFERROR(__xludf.DUMMYFUNCTION("""COMPUTED_VALUE"""),"")</f>
        <v/>
      </c>
      <c r="W14" s="1" t="str">
        <f>IFERROR(__xludf.DUMMYFUNCTION("""COMPUTED_VALUE"""),"95")</f>
        <v>95</v>
      </c>
      <c r="X14" s="1" t="str">
        <f>IFERROR(__xludf.DUMMYFUNCTION("""COMPUTED_VALUE"""),"")</f>
        <v/>
      </c>
      <c r="Y14" s="1" t="str">
        <f>IFERROR(__xludf.DUMMYFUNCTION("""COMPUTED_VALUE"""),"")</f>
        <v/>
      </c>
      <c r="Z14" s="1" t="str">
        <f>IFERROR(__xludf.DUMMYFUNCTION("""COMPUTED_VALUE"""),"")</f>
        <v/>
      </c>
      <c r="AA14" s="1" t="str">
        <f>IFERROR(__xludf.DUMMYFUNCTION("""COMPUTED_VALUE"""),"")</f>
        <v/>
      </c>
      <c r="AB14" s="1" t="str">
        <f>IFERROR(__xludf.DUMMYFUNCTION("""COMPUTED_VALUE"""),"")</f>
        <v/>
      </c>
      <c r="AC14" s="1" t="str">
        <f>IFERROR(__xludf.DUMMYFUNCTION("""COMPUTED_VALUE"""),"")</f>
        <v/>
      </c>
      <c r="AD14" s="1" t="str">
        <f>IFERROR(__xludf.DUMMYFUNCTION("""COMPUTED_VALUE"""),"")</f>
        <v/>
      </c>
      <c r="AE14" s="1" t="str">
        <f>IFERROR(__xludf.DUMMYFUNCTION("""COMPUTED_VALUE"""),"")</f>
        <v/>
      </c>
      <c r="AF14" s="1" t="str">
        <f>IFERROR(__xludf.DUMMYFUNCTION("""COMPUTED_VALUE"""),"")</f>
        <v/>
      </c>
      <c r="AG14" s="1" t="str">
        <f>IFERROR(__xludf.DUMMYFUNCTION("""COMPUTED_VALUE"""),"On-site substation. Takes up 95 out of 620 acres.")</f>
        <v>On-site substation. Takes up 95 out of 620 acres.</v>
      </c>
      <c r="AH14" s="1" t="str">
        <f>IFERROR(__xludf.DUMMYFUNCTION("""COMPUTED_VALUE"""),"Media Monitoring")</f>
        <v>Media Monitoring</v>
      </c>
      <c r="AI14" s="2" t="str">
        <f>IFERROR(__xludf.DUMMYFUNCTION("""COMPUTED_VALUE"""),"https://www.datacenterdynamics.com/en/news/canadas-beacon-details-plans-for-data-center-campus-in-alabama/")</f>
        <v>https://www.datacenterdynamics.com/en/news/canadas-beacon-details-plans-for-data-center-campus-in-alabama/</v>
      </c>
      <c r="AJ14" s="1" t="str">
        <f>IFERROR(__xludf.DUMMYFUNCTION("""COMPUTED_VALUE"""),"")</f>
        <v/>
      </c>
      <c r="AK14" s="1" t="str">
        <f>IFERROR(__xludf.DUMMYFUNCTION("""COMPUTED_VALUE"""),"")</f>
        <v/>
      </c>
      <c r="AL14" s="1" t="str">
        <f>IFERROR(__xludf.DUMMYFUNCTION("""COMPUTED_VALUE"""),"")</f>
        <v/>
      </c>
      <c r="AM14" s="1" t="str">
        <f>IFERROR(__xludf.DUMMYFUNCTION("""COMPUTED_VALUE"""),"")</f>
        <v/>
      </c>
      <c r="AN14" s="1" t="str">
        <f>IFERROR(__xludf.DUMMYFUNCTION("""COMPUTED_VALUE"""),"")</f>
        <v/>
      </c>
      <c r="AO14" s="1" t="str">
        <f>IFERROR(__xludf.DUMMYFUNCTION("""COMPUTED_VALUE"""),"")</f>
        <v/>
      </c>
      <c r="AP14" s="1" t="str">
        <f>IFERROR(__xludf.DUMMYFUNCTION("""COMPUTED_VALUE"""),"")</f>
        <v/>
      </c>
      <c r="AQ14" s="1" t="str">
        <f>IFERROR(__xludf.DUMMYFUNCTION("""COMPUTED_VALUE"""),"07/06/2026")</f>
        <v>07/06/2026</v>
      </c>
      <c r="AR14" s="1" t="str">
        <f>IFERROR(__xludf.DUMMYFUNCTION("""COMPUTED_VALUE"""),"07/06/2026")</f>
        <v>07/06/2026</v>
      </c>
    </row>
    <row r="15">
      <c r="A15" s="1" t="str">
        <f>IFERROR(__xludf.DUMMYFUNCTION("""COMPUTED_VALUE"""),"Voltcore Bitcoin Mine")</f>
        <v>Voltcore Bitcoin Mine</v>
      </c>
      <c r="B15" s="1" t="str">
        <f>IFERROR(__xludf.DUMMYFUNCTION("""COMPUTED_VALUE"""),"Union Rd, near intersection Hwy 36 and 67")</f>
        <v>Union Rd, near intersection Hwy 36 and 67</v>
      </c>
      <c r="C15" s="1" t="str">
        <f>IFERROR(__xludf.DUMMYFUNCTION("""COMPUTED_VALUE"""),"Somerville")</f>
        <v>Somerville</v>
      </c>
      <c r="D15" s="1" t="str">
        <f>IFERROR(__xludf.DUMMYFUNCTION("""COMPUTED_VALUE"""),"AL")</f>
        <v>AL</v>
      </c>
      <c r="E15" s="1" t="str">
        <f>IFERROR(__xludf.DUMMYFUNCTION("""COMPUTED_VALUE"""),"35670")</f>
        <v>35670</v>
      </c>
      <c r="F15" s="1" t="str">
        <f>IFERROR(__xludf.DUMMYFUNCTION("""COMPUTED_VALUE"""),"Morgan")</f>
        <v>Morgan</v>
      </c>
      <c r="G15" s="1" t="str">
        <f>IFERROR(__xludf.DUMMYFUNCTION("""COMPUTED_VALUE"""),"34.449276")</f>
        <v>34.449276</v>
      </c>
      <c r="H15" s="1" t="str">
        <f>IFERROR(__xludf.DUMMYFUNCTION("""COMPUTED_VALUE"""),"-86.76024")</f>
        <v>-86.76024</v>
      </c>
      <c r="I15" s="1" t="str">
        <f>IFERROR(__xludf.DUMMYFUNCTION("""COMPUTED_VALUE"""),"Suspended")</f>
        <v>Suspended</v>
      </c>
      <c r="J15" s="1" t="str">
        <f>IFERROR(__xludf.DUMMYFUNCTION("""COMPUTED_VALUE"""),"Medium")</f>
        <v>Medium</v>
      </c>
      <c r="K15" s="1" t="str">
        <f>IFERROR(__xludf.DUMMYFUNCTION("""COMPUTED_VALUE"""),"Crypto")</f>
        <v>Crypto</v>
      </c>
      <c r="L15" s="1" t="str">
        <f>IFERROR(__xludf.DUMMYFUNCTION("""COMPUTED_VALUE"""),"")</f>
        <v/>
      </c>
      <c r="M15" s="1" t="str">
        <f>IFERROR(__xludf.DUMMYFUNCTION("""COMPUTED_VALUE"""),"")</f>
        <v/>
      </c>
      <c r="N15" s="1" t="str">
        <f>IFERROR(__xludf.DUMMYFUNCTION("""COMPUTED_VALUE"""),"")</f>
        <v/>
      </c>
      <c r="O15" s="1" t="str">
        <f>IFERROR(__xludf.DUMMYFUNCTION("""COMPUTED_VALUE"""),"Unknown")</f>
        <v>Unknown</v>
      </c>
      <c r="P15" s="1" t="str">
        <f>IFERROR(__xludf.DUMMYFUNCTION("""COMPUTED_VALUE"""),"")</f>
        <v/>
      </c>
      <c r="Q15" s="1" t="str">
        <f>IFERROR(__xludf.DUMMYFUNCTION("""COMPUTED_VALUE"""),"")</f>
        <v/>
      </c>
      <c r="R15" s="1" t="str">
        <f>IFERROR(__xludf.DUMMYFUNCTION("""COMPUTED_VALUE"""),"")</f>
        <v/>
      </c>
      <c r="S15" s="1" t="str">
        <f>IFERROR(__xludf.DUMMYFUNCTION("""COMPUTED_VALUE"""),"")</f>
        <v/>
      </c>
      <c r="T15" s="1" t="str">
        <f>IFERROR(__xludf.DUMMYFUNCTION("""COMPUTED_VALUE"""),"")</f>
        <v/>
      </c>
      <c r="U15" s="1" t="str">
        <f>IFERROR(__xludf.DUMMYFUNCTION("""COMPUTED_VALUE"""),"")</f>
        <v/>
      </c>
      <c r="V15" s="1" t="str">
        <f>IFERROR(__xludf.DUMMYFUNCTION("""COMPUTED_VALUE"""),"")</f>
        <v/>
      </c>
      <c r="W15" s="1" t="str">
        <f>IFERROR(__xludf.DUMMYFUNCTION("""COMPUTED_VALUE"""),"15")</f>
        <v>15</v>
      </c>
      <c r="X15" s="1" t="str">
        <f>IFERROR(__xludf.DUMMYFUNCTION("""COMPUTED_VALUE"""),"")</f>
        <v/>
      </c>
      <c r="Y15" s="1" t="str">
        <f>IFERROR(__xludf.DUMMYFUNCTION("""COMPUTED_VALUE"""),"")</f>
        <v/>
      </c>
      <c r="Z15" s="1" t="str">
        <f>IFERROR(__xludf.DUMMYFUNCTION("""COMPUTED_VALUE"""),"Yes")</f>
        <v>Yes</v>
      </c>
      <c r="AA15" s="1" t="str">
        <f>IFERROR(__xludf.DUMMYFUNCTION("""COMPUTED_VALUE"""),"")</f>
        <v/>
      </c>
      <c r="AB15" s="1" t="str">
        <f>IFERROR(__xludf.DUMMYFUNCTION("""COMPUTED_VALUE"""),"Organized Advocacy")</f>
        <v>Organized Advocacy</v>
      </c>
      <c r="AC15" s="1" t="str">
        <f>IFERROR(__xludf.DUMMYFUNCTION("""COMPUTED_VALUE"""),"")</f>
        <v/>
      </c>
      <c r="AD15" s="1" t="str">
        <f>IFERROR(__xludf.DUMMYFUNCTION("""COMPUTED_VALUE"""),"")</f>
        <v/>
      </c>
      <c r="AE15" s="1" t="str">
        <f>IFERROR(__xludf.DUMMYFUNCTION("""COMPUTED_VALUE"""),"")</f>
        <v/>
      </c>
      <c r="AF15" s="1" t="str">
        <f>IFERROR(__xludf.DUMMYFUNCTION("""COMPUTED_VALUE"""),"")</f>
        <v/>
      </c>
      <c r="AG15" s="1" t="str">
        <f>IFERROR(__xludf.DUMMYFUNCTION("""COMPUTED_VALUE"""),"Moratorium now in place")</f>
        <v>Moratorium now in place</v>
      </c>
      <c r="AH15" s="1" t="str">
        <f>IFERROR(__xludf.DUMMYFUNCTION("""COMPUTED_VALUE"""),"Media Monitoring")</f>
        <v>Media Monitoring</v>
      </c>
      <c r="AI15" s="2" t="str">
        <f>IFERROR(__xludf.DUMMYFUNCTION("""COMPUTED_VALUE"""),"https://www.datacenterdynamics.com/en/news/morgan-county-alabama-passes-data-center-moratorium-blocking-cryptomine-proposal/")</f>
        <v>https://www.datacenterdynamics.com/en/news/morgan-county-alabama-passes-data-center-moratorium-blocking-cryptomine-proposal/</v>
      </c>
      <c r="AJ15" s="1" t="str">
        <f>IFERROR(__xludf.DUMMYFUNCTION("""COMPUTED_VALUE"""),"")</f>
        <v/>
      </c>
      <c r="AK15" s="1" t="str">
        <f>IFERROR(__xludf.DUMMYFUNCTION("""COMPUTED_VALUE"""),"")</f>
        <v/>
      </c>
      <c r="AL15" s="1" t="str">
        <f>IFERROR(__xludf.DUMMYFUNCTION("""COMPUTED_VALUE"""),"")</f>
        <v/>
      </c>
      <c r="AM15" s="1" t="str">
        <f>IFERROR(__xludf.DUMMYFUNCTION("""COMPUTED_VALUE"""),"")</f>
        <v/>
      </c>
      <c r="AN15" s="1" t="str">
        <f>IFERROR(__xludf.DUMMYFUNCTION("""COMPUTED_VALUE"""),"")</f>
        <v/>
      </c>
      <c r="AO15" s="1" t="str">
        <f>IFERROR(__xludf.DUMMYFUNCTION("""COMPUTED_VALUE"""),"")</f>
        <v/>
      </c>
      <c r="AP15" s="1" t="str">
        <f>IFERROR(__xludf.DUMMYFUNCTION("""COMPUTED_VALUE"""),"")</f>
        <v/>
      </c>
      <c r="AQ15" s="1" t="str">
        <f>IFERROR(__xludf.DUMMYFUNCTION("""COMPUTED_VALUE"""),"06/29/2026")</f>
        <v>06/29/2026</v>
      </c>
      <c r="AR15" s="1" t="str">
        <f>IFERROR(__xludf.DUMMYFUNCTION("""COMPUTED_VALUE"""),"06/29/2026")</f>
        <v>06/29/2026</v>
      </c>
    </row>
    <row r="16">
      <c r="A16" s="1" t="str">
        <f>IFERROR(__xludf.DUMMYFUNCTION("""COMPUTED_VALUE"""),"Wilsonville Data Center")</f>
        <v>Wilsonville Data Center</v>
      </c>
      <c r="B16" s="1" t="str">
        <f>IFERROR(__xludf.DUMMYFUNCTION("""COMPUTED_VALUE"""),"Shleby County Highway 61")</f>
        <v>Shleby County Highway 61</v>
      </c>
      <c r="C16" s="1" t="str">
        <f>IFERROR(__xludf.DUMMYFUNCTION("""COMPUTED_VALUE"""),"Wilsonville")</f>
        <v>Wilsonville</v>
      </c>
      <c r="D16" s="1" t="str">
        <f>IFERROR(__xludf.DUMMYFUNCTION("""COMPUTED_VALUE"""),"AL")</f>
        <v>AL</v>
      </c>
      <c r="E16" s="1" t="str">
        <f>IFERROR(__xludf.DUMMYFUNCTION("""COMPUTED_VALUE"""),"35186")</f>
        <v>35186</v>
      </c>
      <c r="F16" s="1" t="str">
        <f>IFERROR(__xludf.DUMMYFUNCTION("""COMPUTED_VALUE"""),"Shleby")</f>
        <v>Shleby</v>
      </c>
      <c r="G16" s="1" t="str">
        <f>IFERROR(__xludf.DUMMYFUNCTION("""COMPUTED_VALUE"""),"33.257")</f>
        <v>33.257</v>
      </c>
      <c r="H16" s="1" t="str">
        <f>IFERROR(__xludf.DUMMYFUNCTION("""COMPUTED_VALUE"""),"-86.495")</f>
        <v>-86.495</v>
      </c>
      <c r="I16" s="1" t="str">
        <f>IFERROR(__xludf.DUMMYFUNCTION("""COMPUTED_VALUE"""),"Proposed")</f>
        <v>Proposed</v>
      </c>
      <c r="J16" s="1" t="str">
        <f>IFERROR(__xludf.DUMMYFUNCTION("""COMPUTED_VALUE"""),"Medium")</f>
        <v>Medium</v>
      </c>
      <c r="K16" s="1" t="str">
        <f>IFERROR(__xludf.DUMMYFUNCTION("""COMPUTED_VALUE"""),"")</f>
        <v/>
      </c>
      <c r="L16" s="1" t="str">
        <f>IFERROR(__xludf.DUMMYFUNCTION("""COMPUTED_VALUE"""),"Northpoint Development ")</f>
        <v>Northpoint Development </v>
      </c>
      <c r="M16" s="1" t="str">
        <f>IFERROR(__xludf.DUMMYFUNCTION("""COMPUTED_VALUE"""),"")</f>
        <v/>
      </c>
      <c r="N16" s="1" t="str">
        <f>IFERROR(__xludf.DUMMYFUNCTION("""COMPUTED_VALUE"""),"1008")</f>
        <v>1008</v>
      </c>
      <c r="O16" s="1" t="str">
        <f>IFERROR(__xludf.DUMMYFUNCTION("""COMPUTED_VALUE"""),"Mega campus (&gt;1,000 MW)")</f>
        <v>Mega campus (&gt;1,000 MW)</v>
      </c>
      <c r="P16" s="1" t="str">
        <f>IFERROR(__xludf.DUMMYFUNCTION("""COMPUTED_VALUE"""),"")</f>
        <v/>
      </c>
      <c r="Q16" s="1" t="str">
        <f>IFERROR(__xludf.DUMMYFUNCTION("""COMPUTED_VALUE"""),"")</f>
        <v/>
      </c>
      <c r="R16" s="1" t="str">
        <f>IFERROR(__xludf.DUMMYFUNCTION("""COMPUTED_VALUE"""),"")</f>
        <v/>
      </c>
      <c r="S16" s="1" t="str">
        <f>IFERROR(__xludf.DUMMYFUNCTION("""COMPUTED_VALUE"""),"14")</f>
        <v>14</v>
      </c>
      <c r="T16" s="1" t="str">
        <f>IFERROR(__xludf.DUMMYFUNCTION("""COMPUTED_VALUE"""),"")</f>
        <v/>
      </c>
      <c r="U16" s="1" t="str">
        <f>IFERROR(__xludf.DUMMYFUNCTION("""COMPUTED_VALUE"""),"")</f>
        <v/>
      </c>
      <c r="V16" s="1" t="str">
        <f>IFERROR(__xludf.DUMMYFUNCTION("""COMPUTED_VALUE"""),"3,000,000")</f>
        <v>3,000,000</v>
      </c>
      <c r="W16" s="1" t="str">
        <f>IFERROR(__xludf.DUMMYFUNCTION("""COMPUTED_VALUE"""),"687")</f>
        <v>687</v>
      </c>
      <c r="X16" s="1" t="str">
        <f>IFERROR(__xludf.DUMMYFUNCTION("""COMPUTED_VALUE"""),"")</f>
        <v/>
      </c>
      <c r="Y16" s="1" t="str">
        <f>IFERROR(__xludf.DUMMYFUNCTION("""COMPUTED_VALUE"""),"")</f>
        <v/>
      </c>
      <c r="Z16" s="1" t="str">
        <f>IFERROR(__xludf.DUMMYFUNCTION("""COMPUTED_VALUE"""),"Yes")</f>
        <v>Yes</v>
      </c>
      <c r="AA16" s="1" t="str">
        <f>IFERROR(__xludf.DUMMYFUNCTION("""COMPUTED_VALUE"""),"")</f>
        <v/>
      </c>
      <c r="AB16" s="1" t="str">
        <f>IFERROR(__xludf.DUMMYFUNCTION("""COMPUTED_VALUE"""),"Organized Advocacy")</f>
        <v>Organized Advocacy</v>
      </c>
      <c r="AC16" s="1" t="str">
        <f>IFERROR(__xludf.DUMMYFUNCTION("""COMPUTED_VALUE"""),"Yes- https://www.al.com/news/2025/10/secrecy-agreements-fuel-pushback-of-14-billion-alabama-data-center.html")</f>
        <v>Yes- https://www.al.com/news/2025/10/secrecy-agreements-fuel-pushback-of-14-billion-alabama-data-center.html</v>
      </c>
      <c r="AD16" s="2" t="str">
        <f>IFERROR(__xludf.DUMMYFUNCTION("""COMPUTED_VALUE"""),"https://www.facebook.com/groups/4004296566505749/")</f>
        <v>https://www.facebook.com/groups/4004296566505749/</v>
      </c>
      <c r="AE16" s="1" t="str">
        <f>IFERROR(__xludf.DUMMYFUNCTION("""COMPUTED_VALUE"""),"")</f>
        <v/>
      </c>
      <c r="AF16" s="1" t="str">
        <f>IFERROR(__xludf.DUMMYFUNCTION("""COMPUTED_VALUE"""),"")</f>
        <v/>
      </c>
      <c r="AG16" s="1" t="str">
        <f>IFERROR(__xludf.DUMMYFUNCTION("""COMPUTED_VALUE"""),"")</f>
        <v/>
      </c>
      <c r="AH16" s="1" t="str">
        <f>IFERROR(__xludf.DUMMYFUNCTION("""COMPUTED_VALUE"""),"Media Monitoring")</f>
        <v>Media Monitoring</v>
      </c>
      <c r="AI16" s="2" t="str">
        <f>IFERROR(__xludf.DUMMYFUNCTION("""COMPUTED_VALUE"""),"https://alabamareflector.com/2025/08/24/wilsonville-residents-seek-preemptive-strike-against-massive-data-center-project/")</f>
        <v>https://alabamareflector.com/2025/08/24/wilsonville-residents-seek-preemptive-strike-against-massive-data-center-project/</v>
      </c>
      <c r="AJ16" s="2" t="str">
        <f>IFERROR(__xludf.DUMMYFUNCTION("""COMPUTED_VALUE"""),"https://www.al.com/news/birmingham/2025/08/alabama-towns-residents-seek-preemptive-strike-against-massive-data-center-project.html")</f>
        <v>https://www.al.com/news/birmingham/2025/08/alabama-towns-residents-seek-preemptive-strike-against-massive-data-center-project.html</v>
      </c>
      <c r="AK16" s="1" t="str">
        <f>IFERROR(__xludf.DUMMYFUNCTION("""COMPUTED_VALUE"""),"")</f>
        <v/>
      </c>
      <c r="AL16" s="1" t="str">
        <f>IFERROR(__xludf.DUMMYFUNCTION("""COMPUTED_VALUE"""),"")</f>
        <v/>
      </c>
      <c r="AM16" s="1" t="str">
        <f>IFERROR(__xludf.DUMMYFUNCTION("""COMPUTED_VALUE"""),"")</f>
        <v/>
      </c>
      <c r="AN16" s="1" t="str">
        <f>IFERROR(__xludf.DUMMYFUNCTION("""COMPUTED_VALUE"""),"")</f>
        <v/>
      </c>
      <c r="AO16" s="1" t="str">
        <f>IFERROR(__xludf.DUMMYFUNCTION("""COMPUTED_VALUE"""),"")</f>
        <v/>
      </c>
      <c r="AP16" s="1" t="str">
        <f>IFERROR(__xludf.DUMMYFUNCTION("""COMPUTED_VALUE"""),"")</f>
        <v/>
      </c>
      <c r="AQ16" s="1" t="str">
        <f>IFERROR(__xludf.DUMMYFUNCTION("""COMPUTED_VALUE"""),"05/03/2026")</f>
        <v>05/03/2026</v>
      </c>
      <c r="AR16" s="1" t="str">
        <f>IFERROR(__xludf.DUMMYFUNCTION("""COMPUTED_VALUE"""),"05/03/2026")</f>
        <v>05/03/2026</v>
      </c>
    </row>
    <row r="17">
      <c r="A17" s="1" t="str">
        <f>IFERROR(__xludf.DUMMYFUNCTION("""COMPUTED_VALUE"""),"Clarksville Data Center")</f>
        <v>Clarksville Data Center</v>
      </c>
      <c r="B17" s="1" t="str">
        <f>IFERROR(__xludf.DUMMYFUNCTION("""COMPUTED_VALUE"""),"North of Interstate 40")</f>
        <v>North of Interstate 40</v>
      </c>
      <c r="C17" s="1" t="str">
        <f>IFERROR(__xludf.DUMMYFUNCTION("""COMPUTED_VALUE"""),"Clarksville")</f>
        <v>Clarksville</v>
      </c>
      <c r="D17" s="1" t="str">
        <f>IFERROR(__xludf.DUMMYFUNCTION("""COMPUTED_VALUE"""),"AR")</f>
        <v>AR</v>
      </c>
      <c r="E17" s="1" t="str">
        <f>IFERROR(__xludf.DUMMYFUNCTION("""COMPUTED_VALUE"""),"72830")</f>
        <v>72830</v>
      </c>
      <c r="F17" s="1" t="str">
        <f>IFERROR(__xludf.DUMMYFUNCTION("""COMPUTED_VALUE"""),"Johnson")</f>
        <v>Johnson</v>
      </c>
      <c r="G17" s="1" t="str">
        <f>IFERROR(__xludf.DUMMYFUNCTION("""COMPUTED_VALUE"""),"35.454384")</f>
        <v>35.454384</v>
      </c>
      <c r="H17" s="1" t="str">
        <f>IFERROR(__xludf.DUMMYFUNCTION("""COMPUTED_VALUE"""),"-93.44725")</f>
        <v>-93.44725</v>
      </c>
      <c r="I17" s="1" t="str">
        <f>IFERROR(__xludf.DUMMYFUNCTION("""COMPUTED_VALUE"""),"Proposed")</f>
        <v>Proposed</v>
      </c>
      <c r="J17" s="1" t="str">
        <f>IFERROR(__xludf.DUMMYFUNCTION("""COMPUTED_VALUE"""),"Medium")</f>
        <v>Medium</v>
      </c>
      <c r="K17" s="1" t="str">
        <f>IFERROR(__xludf.DUMMYFUNCTION("""COMPUTED_VALUE"""),"")</f>
        <v/>
      </c>
      <c r="L17" s="1" t="str">
        <f>IFERROR(__xludf.DUMMYFUNCTION("""COMPUTED_VALUE"""),"Serverfarm")</f>
        <v>Serverfarm</v>
      </c>
      <c r="M17" s="1" t="str">
        <f>IFERROR(__xludf.DUMMYFUNCTION("""COMPUTED_VALUE"""),"")</f>
        <v/>
      </c>
      <c r="N17" s="1" t="str">
        <f>IFERROR(__xludf.DUMMYFUNCTION("""COMPUTED_VALUE"""),"")</f>
        <v/>
      </c>
      <c r="O17" s="1" t="str">
        <f>IFERROR(__xludf.DUMMYFUNCTION("""COMPUTED_VALUE"""),"Hyperscale (100-999 MW)")</f>
        <v>Hyperscale (100-999 MW)</v>
      </c>
      <c r="P17" s="1" t="str">
        <f>IFERROR(__xludf.DUMMYFUNCTION("""COMPUTED_VALUE"""),"Grid (unspecified mix)")</f>
        <v>Grid (unspecified mix)</v>
      </c>
      <c r="Q17" s="1" t="str">
        <f>IFERROR(__xludf.DUMMYFUNCTION("""COMPUTED_VALUE"""),"")</f>
        <v/>
      </c>
      <c r="R17" s="1" t="str">
        <f>IFERROR(__xludf.DUMMYFUNCTION("""COMPUTED_VALUE"""),"")</f>
        <v/>
      </c>
      <c r="S17" s="1" t="str">
        <f>IFERROR(__xludf.DUMMYFUNCTION("""COMPUTED_VALUE"""),"6")</f>
        <v>6</v>
      </c>
      <c r="T17" s="1" t="str">
        <f>IFERROR(__xludf.DUMMYFUNCTION("""COMPUTED_VALUE"""),"Water")</f>
        <v>Water</v>
      </c>
      <c r="U17" s="1" t="str">
        <f>IFERROR(__xludf.DUMMYFUNCTION("""COMPUTED_VALUE"""),"Closed loop")</f>
        <v>Closed loop</v>
      </c>
      <c r="V17" s="1" t="str">
        <f>IFERROR(__xludf.DUMMYFUNCTION("""COMPUTED_VALUE"""),"2,160,000")</f>
        <v>2,160,000</v>
      </c>
      <c r="W17" s="1" t="str">
        <f>IFERROR(__xludf.DUMMYFUNCTION("""COMPUTED_VALUE"""),"135")</f>
        <v>135</v>
      </c>
      <c r="X17" s="1" t="str">
        <f>IFERROR(__xludf.DUMMYFUNCTION("""COMPUTED_VALUE"""),"$8 billion")</f>
        <v>$8 billion</v>
      </c>
      <c r="Y17" s="1" t="str">
        <f>IFERROR(__xludf.DUMMYFUNCTION("""COMPUTED_VALUE"""),"")</f>
        <v/>
      </c>
      <c r="Z17" s="1" t="str">
        <f>IFERROR(__xludf.DUMMYFUNCTION("""COMPUTED_VALUE"""),"Yes")</f>
        <v>Yes</v>
      </c>
      <c r="AA17" s="1" t="str">
        <f>IFERROR(__xludf.DUMMYFUNCTION("""COMPUTED_VALUE"""),"")</f>
        <v/>
      </c>
      <c r="AB17" s="1" t="str">
        <f>IFERROR(__xludf.DUMMYFUNCTION("""COMPUTED_VALUE"""),"")</f>
        <v/>
      </c>
      <c r="AC17" s="1" t="str">
        <f>IFERROR(__xludf.DUMMYFUNCTION("""COMPUTED_VALUE"""),"")</f>
        <v/>
      </c>
      <c r="AD17" s="1" t="str">
        <f>IFERROR(__xludf.DUMMYFUNCTION("""COMPUTED_VALUE"""),"")</f>
        <v/>
      </c>
      <c r="AE17" s="1" t="str">
        <f>IFERROR(__xludf.DUMMYFUNCTION("""COMPUTED_VALUE"""),"")</f>
        <v/>
      </c>
      <c r="AF17" s="2" t="str">
        <f>IFERROR(__xludf.DUMMYFUNCTION("""COMPUTED_VALUE"""),"https://www.change.org/p/stop-the-mega-data-center-in-clarksville-arkansas?utm_source=chatgpt.com")</f>
        <v>https://www.change.org/p/stop-the-mega-data-center-in-clarksville-arkansas?utm_source=chatgpt.com</v>
      </c>
      <c r="AG17" s="1" t="str">
        <f>IFERROR(__xludf.DUMMYFUNCTION("""COMPUTED_VALUE"""),"The city’s planning commission approved Phase 1 of construction")</f>
        <v>The city’s planning commission approved Phase 1 of construction</v>
      </c>
      <c r="AH17" s="1" t="str">
        <f>IFERROR(__xludf.DUMMYFUNCTION("""COMPUTED_VALUE"""),"Media Monitoring")</f>
        <v>Media Monitoring</v>
      </c>
      <c r="AI17" s="2" t="str">
        <f>IFERROR(__xludf.DUMMYFUNCTION("""COMPUTED_VALUE"""),"https://www.datacenterdynamics.com/en/news/serverfarm-targets-135-acre-data-center-campus-in-arkansas/")</f>
        <v>https://www.datacenterdynamics.com/en/news/serverfarm-targets-135-acre-data-center-campus-in-arkansas/</v>
      </c>
      <c r="AJ17" s="1" t="str">
        <f>IFERROR(__xludf.DUMMYFUNCTION("""COMPUTED_VALUE"""),"")</f>
        <v/>
      </c>
      <c r="AK17" s="1" t="str">
        <f>IFERROR(__xludf.DUMMYFUNCTION("""COMPUTED_VALUE"""),"")</f>
        <v/>
      </c>
      <c r="AL17" s="1" t="str">
        <f>IFERROR(__xludf.DUMMYFUNCTION("""COMPUTED_VALUE"""),"")</f>
        <v/>
      </c>
      <c r="AM17" s="1" t="str">
        <f>IFERROR(__xludf.DUMMYFUNCTION("""COMPUTED_VALUE"""),"")</f>
        <v/>
      </c>
      <c r="AN17" s="1" t="str">
        <f>IFERROR(__xludf.DUMMYFUNCTION("""COMPUTED_VALUE"""),"")</f>
        <v/>
      </c>
      <c r="AO17" s="1" t="str">
        <f>IFERROR(__xludf.DUMMYFUNCTION("""COMPUTED_VALUE"""),"")</f>
        <v/>
      </c>
      <c r="AP17" s="1" t="str">
        <f>IFERROR(__xludf.DUMMYFUNCTION("""COMPUTED_VALUE"""),"")</f>
        <v/>
      </c>
      <c r="AQ17" s="1" t="str">
        <f>IFERROR(__xludf.DUMMYFUNCTION("""COMPUTED_VALUE"""),"11/27/2025")</f>
        <v>11/27/2025</v>
      </c>
      <c r="AR17" s="1" t="str">
        <f>IFERROR(__xludf.DUMMYFUNCTION("""COMPUTED_VALUE"""),"03/13/2026")</f>
        <v>03/13/2026</v>
      </c>
    </row>
    <row r="18">
      <c r="A18" s="1" t="str">
        <f>IFERROR(__xludf.DUMMYFUNCTION("""COMPUTED_VALUE"""),"Harrison Data Center")</f>
        <v>Harrison Data Center</v>
      </c>
      <c r="B18" s="1" t="str">
        <f>IFERROR(__xludf.DUMMYFUNCTION("""COMPUTED_VALUE"""),"Graham Street 202")</f>
        <v>Graham Street 202</v>
      </c>
      <c r="C18" s="1" t="str">
        <f>IFERROR(__xludf.DUMMYFUNCTION("""COMPUTED_VALUE"""),"Harrison")</f>
        <v>Harrison</v>
      </c>
      <c r="D18" s="1" t="str">
        <f>IFERROR(__xludf.DUMMYFUNCTION("""COMPUTED_VALUE"""),"AR")</f>
        <v>AR</v>
      </c>
      <c r="E18" s="1" t="str">
        <f>IFERROR(__xludf.DUMMYFUNCTION("""COMPUTED_VALUE"""),"72601")</f>
        <v>72601</v>
      </c>
      <c r="F18" s="1" t="str">
        <f>IFERROR(__xludf.DUMMYFUNCTION("""COMPUTED_VALUE"""),"Boone")</f>
        <v>Boone</v>
      </c>
      <c r="G18" s="1" t="str">
        <f>IFERROR(__xludf.DUMMYFUNCTION("""COMPUTED_VALUE"""),"36.21472")</f>
        <v>36.21472</v>
      </c>
      <c r="H18" s="1" t="str">
        <f>IFERROR(__xludf.DUMMYFUNCTION("""COMPUTED_VALUE"""),"-93.0786")</f>
        <v>-93.0786</v>
      </c>
      <c r="I18" s="1" t="str">
        <f>IFERROR(__xludf.DUMMYFUNCTION("""COMPUTED_VALUE"""),"Operating")</f>
        <v>Operating</v>
      </c>
      <c r="J18" s="1" t="str">
        <f>IFERROR(__xludf.DUMMYFUNCTION("""COMPUTED_VALUE"""),"High")</f>
        <v>High</v>
      </c>
      <c r="K18" s="1" t="str">
        <f>IFERROR(__xludf.DUMMYFUNCTION("""COMPUTED_VALUE"""),"Telecom / network data center")</f>
        <v>Telecom / network data center</v>
      </c>
      <c r="L18" s="1" t="str">
        <f>IFERROR(__xludf.DUMMYFUNCTION("""COMPUTED_VALUE"""),"Windstream")</f>
        <v>Windstream</v>
      </c>
      <c r="M18" s="1" t="str">
        <f>IFERROR(__xludf.DUMMYFUNCTION("""COMPUTED_VALUE"""),"")</f>
        <v/>
      </c>
      <c r="N18" s="1" t="str">
        <f>IFERROR(__xludf.DUMMYFUNCTION("""COMPUTED_VALUE"""),"")</f>
        <v/>
      </c>
      <c r="O18" s="1" t="str">
        <f>IFERROR(__xludf.DUMMYFUNCTION("""COMPUTED_VALUE"""),"Small (0-10 MW)")</f>
        <v>Small (0-10 MW)</v>
      </c>
      <c r="P18" s="1" t="str">
        <f>IFERROR(__xludf.DUMMYFUNCTION("""COMPUTED_VALUE"""),"")</f>
        <v/>
      </c>
      <c r="Q18" s="1" t="str">
        <f>IFERROR(__xludf.DUMMYFUNCTION("""COMPUTED_VALUE"""),"")</f>
        <v/>
      </c>
      <c r="R18" s="1" t="str">
        <f>IFERROR(__xludf.DUMMYFUNCTION("""COMPUTED_VALUE"""),"")</f>
        <v/>
      </c>
      <c r="S18" s="1" t="str">
        <f>IFERROR(__xludf.DUMMYFUNCTION("""COMPUTED_VALUE"""),"")</f>
        <v/>
      </c>
      <c r="T18" s="1" t="str">
        <f>IFERROR(__xludf.DUMMYFUNCTION("""COMPUTED_VALUE"""),"")</f>
        <v/>
      </c>
      <c r="U18" s="1" t="str">
        <f>IFERROR(__xludf.DUMMYFUNCTION("""COMPUTED_VALUE"""),"")</f>
        <v/>
      </c>
      <c r="V18" s="1" t="str">
        <f>IFERROR(__xludf.DUMMYFUNCTION("""COMPUTED_VALUE"""),"34,623")</f>
        <v>34,623</v>
      </c>
      <c r="W18" s="1" t="str">
        <f>IFERROR(__xludf.DUMMYFUNCTION("""COMPUTED_VALUE"""),"")</f>
        <v/>
      </c>
      <c r="X18" s="1" t="str">
        <f>IFERROR(__xludf.DUMMYFUNCTION("""COMPUTED_VALUE"""),"")</f>
        <v/>
      </c>
      <c r="Y18" s="1" t="str">
        <f>IFERROR(__xludf.DUMMYFUNCTION("""COMPUTED_VALUE"""),"")</f>
        <v/>
      </c>
      <c r="Z18" s="1" t="str">
        <f>IFERROR(__xludf.DUMMYFUNCTION("""COMPUTED_VALUE"""),"Unknown")</f>
        <v>Unknown</v>
      </c>
      <c r="AA18" s="1" t="str">
        <f>IFERROR(__xludf.DUMMYFUNCTION("""COMPUTED_VALUE"""),"")</f>
        <v/>
      </c>
      <c r="AB18" s="1" t="str">
        <f>IFERROR(__xludf.DUMMYFUNCTION("""COMPUTED_VALUE"""),"")</f>
        <v/>
      </c>
      <c r="AC18" s="1" t="str">
        <f>IFERROR(__xludf.DUMMYFUNCTION("""COMPUTED_VALUE"""),"")</f>
        <v/>
      </c>
      <c r="AD18" s="1" t="str">
        <f>IFERROR(__xludf.DUMMYFUNCTION("""COMPUTED_VALUE"""),"")</f>
        <v/>
      </c>
      <c r="AE18" s="1" t="str">
        <f>IFERROR(__xludf.DUMMYFUNCTION("""COMPUTED_VALUE"""),"")</f>
        <v/>
      </c>
      <c r="AF18" s="1" t="str">
        <f>IFERROR(__xludf.DUMMYFUNCTION("""COMPUTED_VALUE"""),"")</f>
        <v/>
      </c>
      <c r="AG18" s="1" t="str">
        <f>IFERROR(__xludf.DUMMYFUNCTION("""COMPUTED_VALUE"""),"Windstream telecom switch and network data center (legacy central-office class)")</f>
        <v>Windstream telecom switch and network data center (legacy central-office class)</v>
      </c>
      <c r="AH18" s="1" t="str">
        <f>IFERROR(__xludf.DUMMYFUNCTION("""COMPUTED_VALUE"""),"Media Monitoring")</f>
        <v>Media Monitoring</v>
      </c>
      <c r="AI18" s="2" t="str">
        <f>IFERROR(__xludf.DUMMYFUNCTION("""COMPUTED_VALUE"""),"https://invest.jll.com/us/en/listings/special-purpose-facility/8-asset-switch-portfolio")</f>
        <v>https://invest.jll.com/us/en/listings/special-purpose-facility/8-asset-switch-portfolio</v>
      </c>
      <c r="AJ18" s="1" t="str">
        <f>IFERROR(__xludf.DUMMYFUNCTION("""COMPUTED_VALUE"""),"")</f>
        <v/>
      </c>
      <c r="AK18" s="1" t="str">
        <f>IFERROR(__xludf.DUMMYFUNCTION("""COMPUTED_VALUE"""),"")</f>
        <v/>
      </c>
      <c r="AL18" s="1" t="str">
        <f>IFERROR(__xludf.DUMMYFUNCTION("""COMPUTED_VALUE"""),"")</f>
        <v/>
      </c>
      <c r="AM18" s="1" t="str">
        <f>IFERROR(__xludf.DUMMYFUNCTION("""COMPUTED_VALUE"""),"")</f>
        <v/>
      </c>
      <c r="AN18" s="1" t="str">
        <f>IFERROR(__xludf.DUMMYFUNCTION("""COMPUTED_VALUE"""),"")</f>
        <v/>
      </c>
      <c r="AO18" s="1" t="str">
        <f>IFERROR(__xludf.DUMMYFUNCTION("""COMPUTED_VALUE"""),"")</f>
        <v/>
      </c>
      <c r="AP18" s="1" t="str">
        <f>IFERROR(__xludf.DUMMYFUNCTION("""COMPUTED_VALUE"""),"")</f>
        <v/>
      </c>
      <c r="AQ18" s="1" t="str">
        <f>IFERROR(__xludf.DUMMYFUNCTION("""COMPUTED_VALUE"""),"05/27/2025")</f>
        <v>05/27/2025</v>
      </c>
      <c r="AR18" s="1" t="str">
        <f>IFERROR(__xludf.DUMMYFUNCTION("""COMPUTED_VALUE"""),"02/19/2026")</f>
        <v>02/19/2026</v>
      </c>
    </row>
    <row r="19">
      <c r="A19" s="1" t="str">
        <f>IFERROR(__xludf.DUMMYFUNCTION("""COMPUTED_VALUE"""),"Little Rock Port Data Center")</f>
        <v>Little Rock Port Data Center</v>
      </c>
      <c r="B19" s="1" t="str">
        <f>IFERROR(__xludf.DUMMYFUNCTION("""COMPUTED_VALUE"""),"Little Rock Port")</f>
        <v>Little Rock Port</v>
      </c>
      <c r="C19" s="1" t="str">
        <f>IFERROR(__xludf.DUMMYFUNCTION("""COMPUTED_VALUE"""),"Little Rock")</f>
        <v>Little Rock</v>
      </c>
      <c r="D19" s="1" t="str">
        <f>IFERROR(__xludf.DUMMYFUNCTION("""COMPUTED_VALUE"""),"AR")</f>
        <v>AR</v>
      </c>
      <c r="E19" s="1" t="str">
        <f>IFERROR(__xludf.DUMMYFUNCTION("""COMPUTED_VALUE"""),"72206")</f>
        <v>72206</v>
      </c>
      <c r="F19" s="1" t="str">
        <f>IFERROR(__xludf.DUMMYFUNCTION("""COMPUTED_VALUE"""),"Pulaski")</f>
        <v>Pulaski</v>
      </c>
      <c r="G19" s="1" t="str">
        <f>IFERROR(__xludf.DUMMYFUNCTION("""COMPUTED_VALUE"""),"34.71681")</f>
        <v>34.71681</v>
      </c>
      <c r="H19" s="1" t="str">
        <f>IFERROR(__xludf.DUMMYFUNCTION("""COMPUTED_VALUE"""),"-92.1737")</f>
        <v>-92.1737</v>
      </c>
      <c r="I19" s="1" t="str">
        <f>IFERROR(__xludf.DUMMYFUNCTION("""COMPUTED_VALUE"""),"Proposed")</f>
        <v>Proposed</v>
      </c>
      <c r="J19" s="1" t="str">
        <f>IFERROR(__xludf.DUMMYFUNCTION("""COMPUTED_VALUE"""),"Medium")</f>
        <v>Medium</v>
      </c>
      <c r="K19" s="1" t="str">
        <f>IFERROR(__xludf.DUMMYFUNCTION("""COMPUTED_VALUE"""),"")</f>
        <v/>
      </c>
      <c r="L19" s="1" t="str">
        <f>IFERROR(__xludf.DUMMYFUNCTION("""COMPUTED_VALUE"""),"Willowbend Capital LLC")</f>
        <v>Willowbend Capital LLC</v>
      </c>
      <c r="M19" s="1" t="str">
        <f>IFERROR(__xludf.DUMMYFUNCTION("""COMPUTED_VALUE"""),"")</f>
        <v/>
      </c>
      <c r="N19" s="1" t="str">
        <f>IFERROR(__xludf.DUMMYFUNCTION("""COMPUTED_VALUE"""),"")</f>
        <v/>
      </c>
      <c r="O19" s="1" t="str">
        <f>IFERROR(__xludf.DUMMYFUNCTION("""COMPUTED_VALUE"""),"Unknown")</f>
        <v>Unknown</v>
      </c>
      <c r="P19" s="1" t="str">
        <f>IFERROR(__xludf.DUMMYFUNCTION("""COMPUTED_VALUE"""),"")</f>
        <v/>
      </c>
      <c r="Q19" s="1" t="str">
        <f>IFERROR(__xludf.DUMMYFUNCTION("""COMPUTED_VALUE"""),"")</f>
        <v/>
      </c>
      <c r="R19" s="1" t="str">
        <f>IFERROR(__xludf.DUMMYFUNCTION("""COMPUTED_VALUE"""),"")</f>
        <v/>
      </c>
      <c r="S19" s="1" t="str">
        <f>IFERROR(__xludf.DUMMYFUNCTION("""COMPUTED_VALUE"""),"")</f>
        <v/>
      </c>
      <c r="T19" s="1" t="str">
        <f>IFERROR(__xludf.DUMMYFUNCTION("""COMPUTED_VALUE"""),"")</f>
        <v/>
      </c>
      <c r="U19" s="1" t="str">
        <f>IFERROR(__xludf.DUMMYFUNCTION("""COMPUTED_VALUE"""),"")</f>
        <v/>
      </c>
      <c r="V19" s="1" t="str">
        <f>IFERROR(__xludf.DUMMYFUNCTION("""COMPUTED_VALUE"""),"")</f>
        <v/>
      </c>
      <c r="W19" s="1" t="str">
        <f>IFERROR(__xludf.DUMMYFUNCTION("""COMPUTED_VALUE"""),"")</f>
        <v/>
      </c>
      <c r="X19" s="1" t="str">
        <f>IFERROR(__xludf.DUMMYFUNCTION("""COMPUTED_VALUE"""),"$1 billion")</f>
        <v>$1 billion</v>
      </c>
      <c r="Y19" s="1" t="str">
        <f>IFERROR(__xludf.DUMMYFUNCTION("""COMPUTED_VALUE"""),"")</f>
        <v/>
      </c>
      <c r="Z19" s="1" t="str">
        <f>IFERROR(__xludf.DUMMYFUNCTION("""COMPUTED_VALUE"""),"Unknown")</f>
        <v>Unknown</v>
      </c>
      <c r="AA19" s="1" t="str">
        <f>IFERROR(__xludf.DUMMYFUNCTION("""COMPUTED_VALUE"""),"")</f>
        <v/>
      </c>
      <c r="AB19" s="1" t="str">
        <f>IFERROR(__xludf.DUMMYFUNCTION("""COMPUTED_VALUE"""),"")</f>
        <v/>
      </c>
      <c r="AC19" s="1" t="str">
        <f>IFERROR(__xludf.DUMMYFUNCTION("""COMPUTED_VALUE"""),"")</f>
        <v/>
      </c>
      <c r="AD19" s="1" t="str">
        <f>IFERROR(__xludf.DUMMYFUNCTION("""COMPUTED_VALUE"""),"")</f>
        <v/>
      </c>
      <c r="AE19" s="1" t="str">
        <f>IFERROR(__xludf.DUMMYFUNCTION("""COMPUTED_VALUE"""),"")</f>
        <v/>
      </c>
      <c r="AF19" s="1" t="str">
        <f>IFERROR(__xludf.DUMMYFUNCTION("""COMPUTED_VALUE"""),"")</f>
        <v/>
      </c>
      <c r="AG19" s="1" t="str">
        <f>IFERROR(__xludf.DUMMYFUNCTION("""COMPUTED_VALUE"""),"$1B 300k sq ft data center proposed at Port of Little Rock; MoU approved with Willowbend Capital. End user reported as Google but not officially confirmed.")</f>
        <v>$1B 300k sq ft data center proposed at Port of Little Rock; MoU approved with Willowbend Capital. End user reported as Google but not officially confirmed.</v>
      </c>
      <c r="AH19" s="1" t="str">
        <f>IFERROR(__xludf.DUMMYFUNCTION("""COMPUTED_VALUE"""),"Media Monitoring")</f>
        <v>Media Monitoring</v>
      </c>
      <c r="AI19" s="2" t="str">
        <f>IFERROR(__xludf.DUMMYFUNCTION("""COMPUTED_VALUE"""),"https://www.datacenterdynamics.com/en/news/mystery-developer-plans-1bn-data-center-in-little-rock-arkansas/")</f>
        <v>https://www.datacenterdynamics.com/en/news/mystery-developer-plans-1bn-data-center-in-little-rock-arkansas/</v>
      </c>
      <c r="AJ19" s="2" t="str">
        <f>IFERROR(__xludf.DUMMYFUNCTION("""COMPUTED_VALUE"""),"https://www.kark.com/news/local-news/pulaski-county-sends-five-data-center-measures-to-planning-board-after-heated-debate-over-google-and-avaio-projects")</f>
        <v>https://www.kark.com/news/local-news/pulaski-county-sends-five-data-center-measures-to-planning-board-after-heated-debate-over-google-and-avaio-projects</v>
      </c>
      <c r="AK19" s="1" t="str">
        <f>IFERROR(__xludf.DUMMYFUNCTION("""COMPUTED_VALUE"""),"")</f>
        <v/>
      </c>
      <c r="AL19" s="1" t="str">
        <f>IFERROR(__xludf.DUMMYFUNCTION("""COMPUTED_VALUE"""),"")</f>
        <v/>
      </c>
      <c r="AM19" s="1" t="str">
        <f>IFERROR(__xludf.DUMMYFUNCTION("""COMPUTED_VALUE"""),"")</f>
        <v/>
      </c>
      <c r="AN19" s="1" t="str">
        <f>IFERROR(__xludf.DUMMYFUNCTION("""COMPUTED_VALUE"""),"")</f>
        <v/>
      </c>
      <c r="AO19" s="1" t="str">
        <f>IFERROR(__xludf.DUMMYFUNCTION("""COMPUTED_VALUE"""),"")</f>
        <v/>
      </c>
      <c r="AP19" s="1" t="str">
        <f>IFERROR(__xludf.DUMMYFUNCTION("""COMPUTED_VALUE"""),"")</f>
        <v/>
      </c>
      <c r="AQ19" s="1" t="str">
        <f>IFERROR(__xludf.DUMMYFUNCTION("""COMPUTED_VALUE"""),"05/27/2025")</f>
        <v>05/27/2025</v>
      </c>
      <c r="AR19" s="1" t="str">
        <f>IFERROR(__xludf.DUMMYFUNCTION("""COMPUTED_VALUE"""),"07/01/2026")</f>
        <v>07/01/2026</v>
      </c>
    </row>
    <row r="20">
      <c r="A20" s="1" t="str">
        <f>IFERROR(__xludf.DUMMYFUNCTION("""COMPUTED_VALUE"""),"Project Leo")</f>
        <v>Project Leo</v>
      </c>
      <c r="B20" s="1" t="str">
        <f>IFERROR(__xludf.DUMMYFUNCTION("""COMPUTED_VALUE"""),"near I-530 and 145th St")</f>
        <v>near I-530 and 145th St</v>
      </c>
      <c r="C20" s="1" t="str">
        <f>IFERROR(__xludf.DUMMYFUNCTION("""COMPUTED_VALUE"""),"Little Rock")</f>
        <v>Little Rock</v>
      </c>
      <c r="D20" s="1" t="str">
        <f>IFERROR(__xludf.DUMMYFUNCTION("""COMPUTED_VALUE"""),"AR")</f>
        <v>AR</v>
      </c>
      <c r="E20" s="1" t="str">
        <f>IFERROR(__xludf.DUMMYFUNCTION("""COMPUTED_VALUE"""),"72206")</f>
        <v>72206</v>
      </c>
      <c r="F20" s="1" t="str">
        <f>IFERROR(__xludf.DUMMYFUNCTION("""COMPUTED_VALUE"""),"Pulaski")</f>
        <v>Pulaski</v>
      </c>
      <c r="G20" s="1" t="str">
        <f>IFERROR(__xludf.DUMMYFUNCTION("""COMPUTED_VALUE"""),"34.618")</f>
        <v>34.618</v>
      </c>
      <c r="H20" s="1" t="str">
        <f>IFERROR(__xludf.DUMMYFUNCTION("""COMPUTED_VALUE"""),"-92.26808")</f>
        <v>-92.26808</v>
      </c>
      <c r="I20" s="1" t="str">
        <f>IFERROR(__xludf.DUMMYFUNCTION("""COMPUTED_VALUE"""),"Proposed")</f>
        <v>Proposed</v>
      </c>
      <c r="J20" s="1" t="str">
        <f>IFERROR(__xludf.DUMMYFUNCTION("""COMPUTED_VALUE"""),"Medium")</f>
        <v>Medium</v>
      </c>
      <c r="K20" s="1" t="str">
        <f>IFERROR(__xludf.DUMMYFUNCTION("""COMPUTED_VALUE"""),"")</f>
        <v/>
      </c>
      <c r="L20" s="1" t="str">
        <f>IFERROR(__xludf.DUMMYFUNCTION("""COMPUTED_VALUE"""),"Avaio Digital")</f>
        <v>Avaio Digital</v>
      </c>
      <c r="M20" s="1" t="str">
        <f>IFERROR(__xludf.DUMMYFUNCTION("""COMPUTED_VALUE"""),"")</f>
        <v/>
      </c>
      <c r="N20" s="1" t="str">
        <f>IFERROR(__xludf.DUMMYFUNCTION("""COMPUTED_VALUE"""),"150-1,000")</f>
        <v>150-1,000</v>
      </c>
      <c r="O20" s="1" t="str">
        <f>IFERROR(__xludf.DUMMYFUNCTION("""COMPUTED_VALUE"""),"Hyperscale (100-999 MW)")</f>
        <v>Hyperscale (100-999 MW)</v>
      </c>
      <c r="P20" s="1" t="str">
        <f>IFERROR(__xludf.DUMMYFUNCTION("""COMPUTED_VALUE"""),"Natural gas")</f>
        <v>Natural gas</v>
      </c>
      <c r="Q20" s="1" t="str">
        <f>IFERROR(__xludf.DUMMYFUNCTION("""COMPUTED_VALUE"""),"")</f>
        <v/>
      </c>
      <c r="R20" s="1" t="str">
        <f>IFERROR(__xludf.DUMMYFUNCTION("""COMPUTED_VALUE"""),"")</f>
        <v/>
      </c>
      <c r="S20" s="1" t="str">
        <f>IFERROR(__xludf.DUMMYFUNCTION("""COMPUTED_VALUE"""),"")</f>
        <v/>
      </c>
      <c r="T20" s="1" t="str">
        <f>IFERROR(__xludf.DUMMYFUNCTION("""COMPUTED_VALUE"""),"")</f>
        <v/>
      </c>
      <c r="U20" s="1" t="str">
        <f>IFERROR(__xludf.DUMMYFUNCTION("""COMPUTED_VALUE"""),"")</f>
        <v/>
      </c>
      <c r="V20" s="1" t="str">
        <f>IFERROR(__xludf.DUMMYFUNCTION("""COMPUTED_VALUE"""),"")</f>
        <v/>
      </c>
      <c r="W20" s="1" t="str">
        <f>IFERROR(__xludf.DUMMYFUNCTION("""COMPUTED_VALUE"""),"760")</f>
        <v>760</v>
      </c>
      <c r="X20" s="1" t="str">
        <f>IFERROR(__xludf.DUMMYFUNCTION("""COMPUTED_VALUE"""),"$6 billion")</f>
        <v>$6 billion</v>
      </c>
      <c r="Y20" s="1" t="str">
        <f>IFERROR(__xludf.DUMMYFUNCTION("""COMPUTED_VALUE"""),"2027")</f>
        <v>2027</v>
      </c>
      <c r="Z20" s="1" t="str">
        <f>IFERROR(__xludf.DUMMYFUNCTION("""COMPUTED_VALUE"""),"Yes")</f>
        <v>Yes</v>
      </c>
      <c r="AA20" s="1" t="str">
        <f>IFERROR(__xludf.DUMMYFUNCTION("""COMPUTED_VALUE"""),"")</f>
        <v/>
      </c>
      <c r="AB20" s="1" t="str">
        <f>IFERROR(__xludf.DUMMYFUNCTION("""COMPUTED_VALUE"""),"Organized Advocacy")</f>
        <v>Organized Advocacy</v>
      </c>
      <c r="AC20" s="1" t="str">
        <f>IFERROR(__xludf.DUMMYFUNCTION("""COMPUTED_VALUE"""),"")</f>
        <v/>
      </c>
      <c r="AD20" s="2" t="str">
        <f>IFERROR(__xludf.DUMMYFUNCTION("""COMPUTED_VALUE"""),"https://www.facebook.com/groups/881057251172141/")</f>
        <v>https://www.facebook.com/groups/881057251172141/</v>
      </c>
      <c r="AE20" s="2" t="str">
        <f>IFERROR(__xludf.DUMMYFUNCTION("""COMPUTED_VALUE"""),"https://www.facebook.com/groups/4339680782970126")</f>
        <v>https://www.facebook.com/groups/4339680782970126</v>
      </c>
      <c r="AF20" s="2" t="str">
        <f>IFERROR(__xludf.DUMMYFUNCTION("""COMPUTED_VALUE"""),"https://www.change.org/p/halt-construction-of-ai-data-center-in-little-rock-ar")</f>
        <v>https://www.change.org/p/halt-construction-of-ai-data-center-in-little-rock-ar</v>
      </c>
      <c r="AG20" s="1" t="str">
        <f>IFERROR(__xludf.DUMMYFUNCTION("""COMPUTED_VALUE"""),"Avaio is contracted with Entergy Arkansas and said the site features “substantial” on-site natural gas infrastructure.")</f>
        <v>Avaio is contracted with Entergy Arkansas and said the site features “substantial” on-site natural gas infrastructure.</v>
      </c>
      <c r="AH20" s="1" t="str">
        <f>IFERROR(__xludf.DUMMYFUNCTION("""COMPUTED_VALUE"""),"Media Monitoring")</f>
        <v>Media Monitoring</v>
      </c>
      <c r="AI20" s="2" t="str">
        <f>IFERROR(__xludf.DUMMYFUNCTION("""COMPUTED_VALUE"""),"https://www.datacenterdynamics.com/en/news/avaio-to-develop-6bn-data-center-campus-in-little-rock-arkansas/")</f>
        <v>https://www.datacenterdynamics.com/en/news/avaio-to-develop-6bn-data-center-campus-in-little-rock-arkansas/</v>
      </c>
      <c r="AJ20" s="2" t="str">
        <f>IFERROR(__xludf.DUMMYFUNCTION("""COMPUTED_VALUE"""),"https://www.arkansasonline.com/news/2026/jan/12/6b-data-center-announced-for-pulaski-county/")</f>
        <v>https://www.arkansasonline.com/news/2026/jan/12/6b-data-center-announced-for-pulaski-county/</v>
      </c>
      <c r="AK20" s="2" t="str">
        <f>IFERROR(__xludf.DUMMYFUNCTION("""COMPUTED_VALUE"""),"https://www.kark.com/news/local-news/pulaski-county-sends-five-data-center-measures-to-planning-board-after-heated-debate-over-google-and-avaio-projects")</f>
        <v>https://www.kark.com/news/local-news/pulaski-county-sends-five-data-center-measures-to-planning-board-after-heated-debate-over-google-and-avaio-projects</v>
      </c>
      <c r="AL20" s="1" t="str">
        <f>IFERROR(__xludf.DUMMYFUNCTION("""COMPUTED_VALUE"""),"")</f>
        <v/>
      </c>
      <c r="AM20" s="1" t="str">
        <f>IFERROR(__xludf.DUMMYFUNCTION("""COMPUTED_VALUE"""),"")</f>
        <v/>
      </c>
      <c r="AN20" s="1" t="str">
        <f>IFERROR(__xludf.DUMMYFUNCTION("""COMPUTED_VALUE"""),"")</f>
        <v/>
      </c>
      <c r="AO20" s="1" t="str">
        <f>IFERROR(__xludf.DUMMYFUNCTION("""COMPUTED_VALUE"""),"")</f>
        <v/>
      </c>
      <c r="AP20" s="1" t="str">
        <f>IFERROR(__xludf.DUMMYFUNCTION("""COMPUTED_VALUE"""),"")</f>
        <v/>
      </c>
      <c r="AQ20" s="1" t="str">
        <f>IFERROR(__xludf.DUMMYFUNCTION("""COMPUTED_VALUE"""),"01/13/2026")</f>
        <v>01/13/2026</v>
      </c>
      <c r="AR20" s="1" t="str">
        <f>IFERROR(__xludf.DUMMYFUNCTION("""COMPUTED_VALUE"""),"07/01/2026")</f>
        <v>07/01/2026</v>
      </c>
    </row>
    <row r="21">
      <c r="A21" s="1" t="str">
        <f>IFERROR(__xludf.DUMMYFUNCTION("""COMPUTED_VALUE"""),"ForgeLight Ventures Data Center")</f>
        <v>ForgeLight Ventures Data Center</v>
      </c>
      <c r="B21" s="1" t="str">
        <f>IFERROR(__xludf.DUMMYFUNCTION("""COMPUTED_VALUE"""),"Lollie Rd")</f>
        <v>Lollie Rd</v>
      </c>
      <c r="C21" s="1" t="str">
        <f>IFERROR(__xludf.DUMMYFUNCTION("""COMPUTED_VALUE"""),"Mayflower/ Conway")</f>
        <v>Mayflower/ Conway</v>
      </c>
      <c r="D21" s="1" t="str">
        <f>IFERROR(__xludf.DUMMYFUNCTION("""COMPUTED_VALUE"""),"AR")</f>
        <v>AR</v>
      </c>
      <c r="E21" s="1" t="str">
        <f>IFERROR(__xludf.DUMMYFUNCTION("""COMPUTED_VALUE"""),"72106")</f>
        <v>72106</v>
      </c>
      <c r="F21" s="1" t="str">
        <f>IFERROR(__xludf.DUMMYFUNCTION("""COMPUTED_VALUE"""),"Faulkner")</f>
        <v>Faulkner</v>
      </c>
      <c r="G21" s="1" t="str">
        <f>IFERROR(__xludf.DUMMYFUNCTION("""COMPUTED_VALUE"""),"35.01258")</f>
        <v>35.01258</v>
      </c>
      <c r="H21" s="1" t="str">
        <f>IFERROR(__xludf.DUMMYFUNCTION("""COMPUTED_VALUE"""),"-92.55369")</f>
        <v>-92.55369</v>
      </c>
      <c r="I21" s="1" t="str">
        <f>IFERROR(__xludf.DUMMYFUNCTION("""COMPUTED_VALUE"""),"Proposed")</f>
        <v>Proposed</v>
      </c>
      <c r="J21" s="1" t="str">
        <f>IFERROR(__xludf.DUMMYFUNCTION("""COMPUTED_VALUE"""),"Medium")</f>
        <v>Medium</v>
      </c>
      <c r="K21" s="1" t="str">
        <f>IFERROR(__xludf.DUMMYFUNCTION("""COMPUTED_VALUE"""),"")</f>
        <v/>
      </c>
      <c r="L21" s="1" t="str">
        <f>IFERROR(__xludf.DUMMYFUNCTION("""COMPUTED_VALUE"""),"ForgeLight Ventures, LLC")</f>
        <v>ForgeLight Ventures, LLC</v>
      </c>
      <c r="M21" s="1" t="str">
        <f>IFERROR(__xludf.DUMMYFUNCTION("""COMPUTED_VALUE"""),"")</f>
        <v/>
      </c>
      <c r="N21" s="1" t="str">
        <f>IFERROR(__xludf.DUMMYFUNCTION("""COMPUTED_VALUE"""),"")</f>
        <v/>
      </c>
      <c r="O21" s="1" t="str">
        <f>IFERROR(__xludf.DUMMYFUNCTION("""COMPUTED_VALUE"""),"Unknown")</f>
        <v>Unknown</v>
      </c>
      <c r="P21" s="1" t="str">
        <f>IFERROR(__xludf.DUMMYFUNCTION("""COMPUTED_VALUE"""),"Grid (unspecified mix)")</f>
        <v>Grid (unspecified mix)</v>
      </c>
      <c r="Q21" s="1" t="str">
        <f>IFERROR(__xludf.DUMMYFUNCTION("""COMPUTED_VALUE"""),"")</f>
        <v/>
      </c>
      <c r="R21" s="1" t="str">
        <f>IFERROR(__xludf.DUMMYFUNCTION("""COMPUTED_VALUE"""),"")</f>
        <v/>
      </c>
      <c r="S21" s="1" t="str">
        <f>IFERROR(__xludf.DUMMYFUNCTION("""COMPUTED_VALUE"""),"")</f>
        <v/>
      </c>
      <c r="T21" s="1" t="str">
        <f>IFERROR(__xludf.DUMMYFUNCTION("""COMPUTED_VALUE"""),"")</f>
        <v/>
      </c>
      <c r="U21" s="1" t="str">
        <f>IFERROR(__xludf.DUMMYFUNCTION("""COMPUTED_VALUE"""),"")</f>
        <v/>
      </c>
      <c r="V21" s="1" t="str">
        <f>IFERROR(__xludf.DUMMYFUNCTION("""COMPUTED_VALUE"""),"300000")</f>
        <v>300000</v>
      </c>
      <c r="W21" s="1" t="str">
        <f>IFERROR(__xludf.DUMMYFUNCTION("""COMPUTED_VALUE"""),"336")</f>
        <v>336</v>
      </c>
      <c r="X21" s="1" t="str">
        <f>IFERROR(__xludf.DUMMYFUNCTION("""COMPUTED_VALUE"""),"$1 billion")</f>
        <v>$1 billion</v>
      </c>
      <c r="Y21" s="1" t="str">
        <f>IFERROR(__xludf.DUMMYFUNCTION("""COMPUTED_VALUE"""),"")</f>
        <v/>
      </c>
      <c r="Z21" s="1" t="str">
        <f>IFERROR(__xludf.DUMMYFUNCTION("""COMPUTED_VALUE"""),"Yes")</f>
        <v>Yes</v>
      </c>
      <c r="AA21" s="1" t="str">
        <f>IFERROR(__xludf.DUMMYFUNCTION("""COMPUTED_VALUE"""),"")</f>
        <v/>
      </c>
      <c r="AB21" s="1" t="str">
        <f>IFERROR(__xludf.DUMMYFUNCTION("""COMPUTED_VALUE"""),"Emerging Concern")</f>
        <v>Emerging Concern</v>
      </c>
      <c r="AC21" s="1" t="str">
        <f>IFERROR(__xludf.DUMMYFUNCTION("""COMPUTED_VALUE"""),"")</f>
        <v/>
      </c>
      <c r="AD21" s="1" t="str">
        <f>IFERROR(__xludf.DUMMYFUNCTION("""COMPUTED_VALUE"""),"")</f>
        <v/>
      </c>
      <c r="AE21" s="1" t="str">
        <f>IFERROR(__xludf.DUMMYFUNCTION("""COMPUTED_VALUE"""),"")</f>
        <v/>
      </c>
      <c r="AF21" s="1" t="str">
        <f>IFERROR(__xludf.DUMMYFUNCTION("""COMPUTED_VALUE"""),"")</f>
        <v/>
      </c>
      <c r="AG21" s="1" t="str">
        <f>IFERROR(__xludf.DUMMYFUNCTION("""COMPUTED_VALUE"""),"")</f>
        <v/>
      </c>
      <c r="AH21" s="1" t="str">
        <f>IFERROR(__xludf.DUMMYFUNCTION("""COMPUTED_VALUE"""),"Media Monitoring")</f>
        <v>Media Monitoring</v>
      </c>
      <c r="AI21" s="2" t="str">
        <f>IFERROR(__xludf.DUMMYFUNCTION("""COMPUTED_VALUE"""),"https://katv.com/news/local/conway-residents-protest-proposed-1b-data-center-citing-tax-water-and-power-concerns-ai-lollie-road-city-citizens-fortune-100-investment-drain-resources")</f>
        <v>https://katv.com/news/local/conway-residents-protest-proposed-1b-data-center-citing-tax-water-and-power-concerns-ai-lollie-road-city-citizens-fortune-100-investment-drain-resources</v>
      </c>
      <c r="AJ21" s="2" t="str">
        <f>IFERROR(__xludf.DUMMYFUNCTION("""COMPUTED_VALUE"""),"https://armoneyandpolitics.com/conway-1-billion-data-center-fortune-100/")</f>
        <v>https://armoneyandpolitics.com/conway-1-billion-data-center-fortune-100/</v>
      </c>
      <c r="AK21" s="2" t="str">
        <f>IFERROR(__xludf.DUMMYFUNCTION("""COMPUTED_VALUE"""),"https://katv.com/news/local/conway-meeting-draws-crowd-demanding-answers-on-proposed-ai-data-center-near-lollie-road-billion-dollar-center-campus-facility-development-major-investment-benefits-cooling-operations-design-phase")</f>
        <v>https://katv.com/news/local/conway-meeting-draws-crowd-demanding-answers-on-proposed-ai-data-center-near-lollie-road-billion-dollar-center-campus-facility-development-major-investment-benefits-cooling-operations-design-phase</v>
      </c>
      <c r="AL21" s="2" t="str">
        <f>IFERROR(__xludf.DUMMYFUNCTION("""COMPUTED_VALUE"""),"https://www.datacenterdynamics.com/en/news/plans-for-300000-sq-ft-data-center-put-forward-in-conway-arkansas/")</f>
        <v>https://www.datacenterdynamics.com/en/news/plans-for-300000-sq-ft-data-center-put-forward-in-conway-arkansas/</v>
      </c>
      <c r="AM21" s="1" t="str">
        <f>IFERROR(__xludf.DUMMYFUNCTION("""COMPUTED_VALUE"""),"")</f>
        <v/>
      </c>
      <c r="AN21" s="1" t="str">
        <f>IFERROR(__xludf.DUMMYFUNCTION("""COMPUTED_VALUE"""),"")</f>
        <v/>
      </c>
      <c r="AO21" s="1" t="str">
        <f>IFERROR(__xludf.DUMMYFUNCTION("""COMPUTED_VALUE"""),"")</f>
        <v/>
      </c>
      <c r="AP21" s="1" t="str">
        <f>IFERROR(__xludf.DUMMYFUNCTION("""COMPUTED_VALUE"""),"")</f>
        <v/>
      </c>
      <c r="AQ21" s="1" t="str">
        <f>IFERROR(__xludf.DUMMYFUNCTION("""COMPUTED_VALUE"""),"05/28/2026")</f>
        <v>05/28/2026</v>
      </c>
      <c r="AR21" s="1" t="str">
        <f>IFERROR(__xludf.DUMMYFUNCTION("""COMPUTED_VALUE"""),"05/28/2026")</f>
        <v>05/28/2026</v>
      </c>
    </row>
    <row r="22">
      <c r="A22" s="1" t="str">
        <f>IFERROR(__xludf.DUMMYFUNCTION("""COMPUTED_VALUE"""),"Brightspeed Data Center")</f>
        <v>Brightspeed Data Center</v>
      </c>
      <c r="B22" s="1" t="str">
        <f>IFERROR(__xludf.DUMMYFUNCTION("""COMPUTED_VALUE"""),"214 S Denver Ave")</f>
        <v>214 S Denver Ave</v>
      </c>
      <c r="C22" s="1" t="str">
        <f>IFERROR(__xludf.DUMMYFUNCTION("""COMPUTED_VALUE"""),"Russellville")</f>
        <v>Russellville</v>
      </c>
      <c r="D22" s="1" t="str">
        <f>IFERROR(__xludf.DUMMYFUNCTION("""COMPUTED_VALUE"""),"AR")</f>
        <v>AR</v>
      </c>
      <c r="E22" s="1" t="str">
        <f>IFERROR(__xludf.DUMMYFUNCTION("""COMPUTED_VALUE"""),"72801")</f>
        <v>72801</v>
      </c>
      <c r="F22" s="1" t="str">
        <f>IFERROR(__xludf.DUMMYFUNCTION("""COMPUTED_VALUE"""),"Pope")</f>
        <v>Pope</v>
      </c>
      <c r="G22" s="1" t="str">
        <f>IFERROR(__xludf.DUMMYFUNCTION("""COMPUTED_VALUE"""),"35.27746")</f>
        <v>35.27746</v>
      </c>
      <c r="H22" s="1" t="str">
        <f>IFERROR(__xludf.DUMMYFUNCTION("""COMPUTED_VALUE"""),"-93.1372")</f>
        <v>-93.1372</v>
      </c>
      <c r="I22" s="1" t="str">
        <f>IFERROR(__xludf.DUMMYFUNCTION("""COMPUTED_VALUE"""),"Operating")</f>
        <v>Operating</v>
      </c>
      <c r="J22" s="1" t="str">
        <f>IFERROR(__xludf.DUMMYFUNCTION("""COMPUTED_VALUE"""),"High")</f>
        <v>High</v>
      </c>
      <c r="K22" s="1" t="str">
        <f>IFERROR(__xludf.DUMMYFUNCTION("""COMPUTED_VALUE"""),"")</f>
        <v/>
      </c>
      <c r="L22" s="1" t="str">
        <f>IFERROR(__xludf.DUMMYFUNCTION("""COMPUTED_VALUE"""),"")</f>
        <v/>
      </c>
      <c r="M22" s="1" t="str">
        <f>IFERROR(__xludf.DUMMYFUNCTION("""COMPUTED_VALUE"""),"")</f>
        <v/>
      </c>
      <c r="N22" s="1" t="str">
        <f>IFERROR(__xludf.DUMMYFUNCTION("""COMPUTED_VALUE"""),"")</f>
        <v/>
      </c>
      <c r="O22" s="1" t="str">
        <f>IFERROR(__xludf.DUMMYFUNCTION("""COMPUTED_VALUE"""),"Unknown")</f>
        <v>Unknown</v>
      </c>
      <c r="P22" s="1" t="str">
        <f>IFERROR(__xludf.DUMMYFUNCTION("""COMPUTED_VALUE"""),"")</f>
        <v/>
      </c>
      <c r="Q22" s="1" t="str">
        <f>IFERROR(__xludf.DUMMYFUNCTION("""COMPUTED_VALUE"""),"")</f>
        <v/>
      </c>
      <c r="R22" s="1" t="str">
        <f>IFERROR(__xludf.DUMMYFUNCTION("""COMPUTED_VALUE"""),"")</f>
        <v/>
      </c>
      <c r="S22" s="1" t="str">
        <f>IFERROR(__xludf.DUMMYFUNCTION("""COMPUTED_VALUE"""),"")</f>
        <v/>
      </c>
      <c r="T22" s="1" t="str">
        <f>IFERROR(__xludf.DUMMYFUNCTION("""COMPUTED_VALUE"""),"")</f>
        <v/>
      </c>
      <c r="U22" s="1" t="str">
        <f>IFERROR(__xludf.DUMMYFUNCTION("""COMPUTED_VALUE"""),"")</f>
        <v/>
      </c>
      <c r="V22" s="1" t="str">
        <f>IFERROR(__xludf.DUMMYFUNCTION("""COMPUTED_VALUE"""),"44,650")</f>
        <v>44,650</v>
      </c>
      <c r="W22" s="1" t="str">
        <f>IFERROR(__xludf.DUMMYFUNCTION("""COMPUTED_VALUE"""),"")</f>
        <v/>
      </c>
      <c r="X22" s="1" t="str">
        <f>IFERROR(__xludf.DUMMYFUNCTION("""COMPUTED_VALUE"""),"")</f>
        <v/>
      </c>
      <c r="Y22" s="1" t="str">
        <f>IFERROR(__xludf.DUMMYFUNCTION("""COMPUTED_VALUE"""),"")</f>
        <v/>
      </c>
      <c r="Z22" s="1" t="str">
        <f>IFERROR(__xludf.DUMMYFUNCTION("""COMPUTED_VALUE"""),"Unknown")</f>
        <v>Unknown</v>
      </c>
      <c r="AA22" s="1" t="str">
        <f>IFERROR(__xludf.DUMMYFUNCTION("""COMPUTED_VALUE"""),"")</f>
        <v/>
      </c>
      <c r="AB22" s="1" t="str">
        <f>IFERROR(__xludf.DUMMYFUNCTION("""COMPUTED_VALUE"""),"")</f>
        <v/>
      </c>
      <c r="AC22" s="1" t="str">
        <f>IFERROR(__xludf.DUMMYFUNCTION("""COMPUTED_VALUE"""),"")</f>
        <v/>
      </c>
      <c r="AD22" s="1" t="str">
        <f>IFERROR(__xludf.DUMMYFUNCTION("""COMPUTED_VALUE"""),"")</f>
        <v/>
      </c>
      <c r="AE22" s="1" t="str">
        <f>IFERROR(__xludf.DUMMYFUNCTION("""COMPUTED_VALUE"""),"")</f>
        <v/>
      </c>
      <c r="AF22" s="1" t="str">
        <f>IFERROR(__xludf.DUMMYFUNCTION("""COMPUTED_VALUE"""),"")</f>
        <v/>
      </c>
      <c r="AG22" s="1" t="str">
        <f>IFERROR(__xludf.DUMMYFUNCTION("""COMPUTED_VALUE"""),"Existing telecom / central-office data center (former CenturyLink facility) operated by Brightspeed; identified in DatacenterDynamics sale-leaseback listing for Arkansas telecom data centers.")</f>
        <v>Existing telecom / central-office data center (former CenturyLink facility) operated by Brightspeed; identified in DatacenterDynamics sale-leaseback listing for Arkansas telecom data centers.</v>
      </c>
      <c r="AH22" s="1" t="str">
        <f>IFERROR(__xludf.DUMMYFUNCTION("""COMPUTED_VALUE"""),"Media Monitoring")</f>
        <v>Media Monitoring</v>
      </c>
      <c r="AI22" s="2" t="str">
        <f>IFERROR(__xludf.DUMMYFUNCTION("""COMPUTED_VALUE"""),"https://www.datacenterdynamics.com/en/news/brightspeed-data-center-up-for-sale-leaseback-in-arkansas/")</f>
        <v>https://www.datacenterdynamics.com/en/news/brightspeed-data-center-up-for-sale-leaseback-in-arkansas/</v>
      </c>
      <c r="AJ22" s="1" t="str">
        <f>IFERROR(__xludf.DUMMYFUNCTION("""COMPUTED_VALUE"""),"")</f>
        <v/>
      </c>
      <c r="AK22" s="1" t="str">
        <f>IFERROR(__xludf.DUMMYFUNCTION("""COMPUTED_VALUE"""),"")</f>
        <v/>
      </c>
      <c r="AL22" s="1" t="str">
        <f>IFERROR(__xludf.DUMMYFUNCTION("""COMPUTED_VALUE"""),"")</f>
        <v/>
      </c>
      <c r="AM22" s="1" t="str">
        <f>IFERROR(__xludf.DUMMYFUNCTION("""COMPUTED_VALUE"""),"")</f>
        <v/>
      </c>
      <c r="AN22" s="1" t="str">
        <f>IFERROR(__xludf.DUMMYFUNCTION("""COMPUTED_VALUE"""),"")</f>
        <v/>
      </c>
      <c r="AO22" s="1" t="str">
        <f>IFERROR(__xludf.DUMMYFUNCTION("""COMPUTED_VALUE"""),"")</f>
        <v/>
      </c>
      <c r="AP22" s="1" t="str">
        <f>IFERROR(__xludf.DUMMYFUNCTION("""COMPUTED_VALUE"""),"")</f>
        <v/>
      </c>
      <c r="AQ22" s="1" t="str">
        <f>IFERROR(__xludf.DUMMYFUNCTION("""COMPUTED_VALUE"""),"05/27/2025")</f>
        <v>05/27/2025</v>
      </c>
      <c r="AR22" s="1" t="str">
        <f>IFERROR(__xludf.DUMMYFUNCTION("""COMPUTED_VALUE"""),"05/27/2025")</f>
        <v>05/27/2025</v>
      </c>
    </row>
    <row r="23">
      <c r="A23" s="1" t="str">
        <f>IFERROR(__xludf.DUMMYFUNCTION("""COMPUTED_VALUE"""),"Google Project Pyramid")</f>
        <v>Google Project Pyramid</v>
      </c>
      <c r="B23" s="1" t="str">
        <f>IFERROR(__xludf.DUMMYFUNCTION("""COMPUTED_VALUE"""),"Bollinger Rd")</f>
        <v>Bollinger Rd</v>
      </c>
      <c r="C23" s="1" t="str">
        <f>IFERROR(__xludf.DUMMYFUNCTION("""COMPUTED_VALUE"""),"West Memphis/Proctor")</f>
        <v>West Memphis/Proctor</v>
      </c>
      <c r="D23" s="1" t="str">
        <f>IFERROR(__xludf.DUMMYFUNCTION("""COMPUTED_VALUE"""),"AR")</f>
        <v>AR</v>
      </c>
      <c r="E23" s="1" t="str">
        <f>IFERROR(__xludf.DUMMYFUNCTION("""COMPUTED_VALUE"""),"72376")</f>
        <v>72376</v>
      </c>
      <c r="F23" s="1" t="str">
        <f>IFERROR(__xludf.DUMMYFUNCTION("""COMPUTED_VALUE"""),"Crittenden")</f>
        <v>Crittenden</v>
      </c>
      <c r="G23" s="1" t="str">
        <f>IFERROR(__xludf.DUMMYFUNCTION("""COMPUTED_VALUE"""),"35.11835")</f>
        <v>35.11835</v>
      </c>
      <c r="H23" s="1" t="str">
        <f>IFERROR(__xludf.DUMMYFUNCTION("""COMPUTED_VALUE"""),"-90.2123")</f>
        <v>-90.2123</v>
      </c>
      <c r="I23" s="1" t="str">
        <f>IFERROR(__xludf.DUMMYFUNCTION("""COMPUTED_VALUE"""),"Approved/Permitted/Under construction")</f>
        <v>Approved/Permitted/Under construction</v>
      </c>
      <c r="J23" s="1" t="str">
        <f>IFERROR(__xludf.DUMMYFUNCTION("""COMPUTED_VALUE"""),"High")</f>
        <v>High</v>
      </c>
      <c r="K23" s="1" t="str">
        <f>IFERROR(__xludf.DUMMYFUNCTION("""COMPUTED_VALUE"""),"AI/cloud-computing")</f>
        <v>AI/cloud-computing</v>
      </c>
      <c r="L23" s="1" t="str">
        <f>IFERROR(__xludf.DUMMYFUNCTION("""COMPUTED_VALUE"""),"Google/Groot LLC")</f>
        <v>Google/Groot LLC</v>
      </c>
      <c r="M23" s="1" t="str">
        <f>IFERROR(__xludf.DUMMYFUNCTION("""COMPUTED_VALUE"""),"")</f>
        <v/>
      </c>
      <c r="N23" s="1" t="str">
        <f>IFERROR(__xludf.DUMMYFUNCTION("""COMPUTED_VALUE"""),"")</f>
        <v/>
      </c>
      <c r="O23" s="1" t="str">
        <f>IFERROR(__xludf.DUMMYFUNCTION("""COMPUTED_VALUE"""),"Hyperscale (100-999 MW)")</f>
        <v>Hyperscale (100-999 MW)</v>
      </c>
      <c r="P23" s="1" t="str">
        <f>IFERROR(__xludf.DUMMYFUNCTION("""COMPUTED_VALUE"""),"")</f>
        <v/>
      </c>
      <c r="Q23" s="1" t="str">
        <f>IFERROR(__xludf.DUMMYFUNCTION("""COMPUTED_VALUE"""),"")</f>
        <v/>
      </c>
      <c r="R23" s="1" t="str">
        <f>IFERROR(__xludf.DUMMYFUNCTION("""COMPUTED_VALUE"""),"")</f>
        <v/>
      </c>
      <c r="S23" s="1" t="str">
        <f>IFERROR(__xludf.DUMMYFUNCTION("""COMPUTED_VALUE"""),"")</f>
        <v/>
      </c>
      <c r="T23" s="1" t="str">
        <f>IFERROR(__xludf.DUMMYFUNCTION("""COMPUTED_VALUE"""),"")</f>
        <v/>
      </c>
      <c r="U23" s="1" t="str">
        <f>IFERROR(__xludf.DUMMYFUNCTION("""COMPUTED_VALUE"""),"")</f>
        <v/>
      </c>
      <c r="V23" s="1" t="str">
        <f>IFERROR(__xludf.DUMMYFUNCTION("""COMPUTED_VALUE"""),"")</f>
        <v/>
      </c>
      <c r="W23" s="1" t="str">
        <f>IFERROR(__xludf.DUMMYFUNCTION("""COMPUTED_VALUE"""),"920")</f>
        <v>920</v>
      </c>
      <c r="X23" s="1" t="str">
        <f>IFERROR(__xludf.DUMMYFUNCTION("""COMPUTED_VALUE"""),"$10 billion")</f>
        <v>$10 billion</v>
      </c>
      <c r="Y23" s="1" t="str">
        <f>IFERROR(__xludf.DUMMYFUNCTION("""COMPUTED_VALUE"""),"")</f>
        <v/>
      </c>
      <c r="Z23" s="1" t="str">
        <f>IFERROR(__xludf.DUMMYFUNCTION("""COMPUTED_VALUE"""),"Unknown")</f>
        <v>Unknown</v>
      </c>
      <c r="AA23" s="1" t="str">
        <f>IFERROR(__xludf.DUMMYFUNCTION("""COMPUTED_VALUE"""),"")</f>
        <v/>
      </c>
      <c r="AB23" s="1" t="str">
        <f>IFERROR(__xludf.DUMMYFUNCTION("""COMPUTED_VALUE"""),"")</f>
        <v/>
      </c>
      <c r="AC23" s="1" t="str">
        <f>IFERROR(__xludf.DUMMYFUNCTION("""COMPUTED_VALUE"""),"")</f>
        <v/>
      </c>
      <c r="AD23" s="1" t="str">
        <f>IFERROR(__xludf.DUMMYFUNCTION("""COMPUTED_VALUE"""),"")</f>
        <v/>
      </c>
      <c r="AE23" s="1" t="str">
        <f>IFERROR(__xludf.DUMMYFUNCTION("""COMPUTED_VALUE"""),"")</f>
        <v/>
      </c>
      <c r="AF23" s="1" t="str">
        <f>IFERROR(__xludf.DUMMYFUNCTION("""COMPUTED_VALUE"""),"")</f>
        <v/>
      </c>
      <c r="AG23" s="1" t="str">
        <f>IFERROR(__xludf.DUMMYFUNCTION("""COMPUTED_VALUE"""),"")</f>
        <v/>
      </c>
      <c r="AH23" s="1" t="str">
        <f>IFERROR(__xludf.DUMMYFUNCTION("""COMPUTED_VALUE"""),"Media Monitoring")</f>
        <v>Media Monitoring</v>
      </c>
      <c r="AI23" s="2" t="str">
        <f>IFERROR(__xludf.DUMMYFUNCTION("""COMPUTED_VALUE"""),"https://wreg.com/news/local/data-center-deal-comes-as-area-emerges-as-tech-hub/")</f>
        <v>https://wreg.com/news/local/data-center-deal-comes-as-area-emerges-as-tech-hub/</v>
      </c>
      <c r="AJ23" s="2" t="str">
        <f>IFERROR(__xludf.DUMMYFUNCTION("""COMPUTED_VALUE"""),"https://rbnenergy.com/i-know-places-tech-giants-may-be-the-surest-bets-for-data-center-power-demand")</f>
        <v>https://rbnenergy.com/i-know-places-tech-giants-may-be-the-surest-bets-for-data-center-power-demand</v>
      </c>
      <c r="AK23" s="2" t="str">
        <f>IFERROR(__xludf.DUMMYFUNCTION("""COMPUTED_VALUE"""),"https://www.arkansasedc.com/news-events/newsroom/detail/2025/10/02/google-locating-new-data-center-in-west-memphis--arkansas-with-multi-billion-dollar-investment")</f>
        <v>https://www.arkansasedc.com/news-events/newsroom/detail/2025/10/02/google-locating-new-data-center-in-west-memphis--arkansas-with-multi-billion-dollar-investment</v>
      </c>
      <c r="AL23" s="1" t="str">
        <f>IFERROR(__xludf.DUMMYFUNCTION("""COMPUTED_VALUE"""),"")</f>
        <v/>
      </c>
      <c r="AM23" s="1" t="str">
        <f>IFERROR(__xludf.DUMMYFUNCTION("""COMPUTED_VALUE"""),"")</f>
        <v/>
      </c>
      <c r="AN23" s="1" t="str">
        <f>IFERROR(__xludf.DUMMYFUNCTION("""COMPUTED_VALUE"""),"")</f>
        <v/>
      </c>
      <c r="AO23" s="1" t="str">
        <f>IFERROR(__xludf.DUMMYFUNCTION("""COMPUTED_VALUE"""),"")</f>
        <v/>
      </c>
      <c r="AP23" s="1" t="str">
        <f>IFERROR(__xludf.DUMMYFUNCTION("""COMPUTED_VALUE"""),"")</f>
        <v/>
      </c>
      <c r="AQ23" s="1" t="str">
        <f>IFERROR(__xludf.DUMMYFUNCTION("""COMPUTED_VALUE"""),"05/23/2025")</f>
        <v>05/23/2025</v>
      </c>
      <c r="AR23" s="1" t="str">
        <f>IFERROR(__xludf.DUMMYFUNCTION("""COMPUTED_VALUE"""),"11/03/2025")</f>
        <v>11/03/2025</v>
      </c>
    </row>
    <row r="24">
      <c r="A24" s="1" t="str">
        <f>IFERROR(__xludf.DUMMYFUNCTION("""COMPUTED_VALUE"""),"Maricopa Data Center")</f>
        <v>Maricopa Data Center</v>
      </c>
      <c r="B24" s="1" t="str">
        <f>IFERROR(__xludf.DUMMYFUNCTION("""COMPUTED_VALUE"""),"2833rd Ave and W Patterson Rd")</f>
        <v>2833rd Ave and W Patterson Rd</v>
      </c>
      <c r="C24" s="1" t="str">
        <f>IFERROR(__xludf.DUMMYFUNCTION("""COMPUTED_VALUE"""),"Buckeye")</f>
        <v>Buckeye</v>
      </c>
      <c r="D24" s="1" t="str">
        <f>IFERROR(__xludf.DUMMYFUNCTION("""COMPUTED_VALUE"""),"AZ")</f>
        <v>AZ</v>
      </c>
      <c r="E24" s="1" t="str">
        <f>IFERROR(__xludf.DUMMYFUNCTION("""COMPUTED_VALUE"""),"85326")</f>
        <v>85326</v>
      </c>
      <c r="F24" s="1" t="str">
        <f>IFERROR(__xludf.DUMMYFUNCTION("""COMPUTED_VALUE"""),"Maricopa")</f>
        <v>Maricopa</v>
      </c>
      <c r="G24" s="1" t="str">
        <f>IFERROR(__xludf.DUMMYFUNCTION("""COMPUTED_VALUE"""),"33.192265")</f>
        <v>33.192265</v>
      </c>
      <c r="H24" s="1" t="str">
        <f>IFERROR(__xludf.DUMMYFUNCTION("""COMPUTED_VALUE"""),"-112.67318")</f>
        <v>-112.67318</v>
      </c>
      <c r="I24" s="1" t="str">
        <f>IFERROR(__xludf.DUMMYFUNCTION("""COMPUTED_VALUE"""),"Proposed")</f>
        <v>Proposed</v>
      </c>
      <c r="J24" s="1" t="str">
        <f>IFERROR(__xludf.DUMMYFUNCTION("""COMPUTED_VALUE"""),"High")</f>
        <v>High</v>
      </c>
      <c r="K24" s="1" t="str">
        <f>IFERROR(__xludf.DUMMYFUNCTION("""COMPUTED_VALUE"""),"")</f>
        <v/>
      </c>
      <c r="L24" s="1" t="str">
        <f>IFERROR(__xludf.DUMMYFUNCTION("""COMPUTED_VALUE"""),"Fortescue")</f>
        <v>Fortescue</v>
      </c>
      <c r="M24" s="1" t="str">
        <f>IFERROR(__xludf.DUMMYFUNCTION("""COMPUTED_VALUE"""),"")</f>
        <v/>
      </c>
      <c r="N24" s="1" t="str">
        <f>IFERROR(__xludf.DUMMYFUNCTION("""COMPUTED_VALUE"""),"")</f>
        <v/>
      </c>
      <c r="O24" s="1" t="str">
        <f>IFERROR(__xludf.DUMMYFUNCTION("""COMPUTED_VALUE"""),"Unknown")</f>
        <v>Unknown</v>
      </c>
      <c r="P24" s="1" t="str">
        <f>IFERROR(__xludf.DUMMYFUNCTION("""COMPUTED_VALUE"""),"")</f>
        <v/>
      </c>
      <c r="Q24" s="1" t="str">
        <f>IFERROR(__xludf.DUMMYFUNCTION("""COMPUTED_VALUE"""),"")</f>
        <v/>
      </c>
      <c r="R24" s="1" t="str">
        <f>IFERROR(__xludf.DUMMYFUNCTION("""COMPUTED_VALUE"""),"")</f>
        <v/>
      </c>
      <c r="S24" s="1" t="str">
        <f>IFERROR(__xludf.DUMMYFUNCTION("""COMPUTED_VALUE"""),"")</f>
        <v/>
      </c>
      <c r="T24" s="1" t="str">
        <f>IFERROR(__xludf.DUMMYFUNCTION("""COMPUTED_VALUE"""),"")</f>
        <v/>
      </c>
      <c r="U24" s="1" t="str">
        <f>IFERROR(__xludf.DUMMYFUNCTION("""COMPUTED_VALUE"""),"")</f>
        <v/>
      </c>
      <c r="V24" s="1" t="str">
        <f>IFERROR(__xludf.DUMMYFUNCTION("""COMPUTED_VALUE"""),"")</f>
        <v/>
      </c>
      <c r="W24" s="1" t="str">
        <f>IFERROR(__xludf.DUMMYFUNCTION("""COMPUTED_VALUE"""),"158")</f>
        <v>158</v>
      </c>
      <c r="X24" s="1" t="str">
        <f>IFERROR(__xludf.DUMMYFUNCTION("""COMPUTED_VALUE"""),"")</f>
        <v/>
      </c>
      <c r="Y24" s="1" t="str">
        <f>IFERROR(__xludf.DUMMYFUNCTION("""COMPUTED_VALUE"""),"")</f>
        <v/>
      </c>
      <c r="Z24" s="1" t="str">
        <f>IFERROR(__xludf.DUMMYFUNCTION("""COMPUTED_VALUE"""),"Yes")</f>
        <v>Yes</v>
      </c>
      <c r="AA24" s="1" t="str">
        <f>IFERROR(__xludf.DUMMYFUNCTION("""COMPUTED_VALUE"""),"")</f>
        <v/>
      </c>
      <c r="AB24" s="1" t="str">
        <f>IFERROR(__xludf.DUMMYFUNCTION("""COMPUTED_VALUE"""),"")</f>
        <v/>
      </c>
      <c r="AC24" s="1" t="str">
        <f>IFERROR(__xludf.DUMMYFUNCTION("""COMPUTED_VALUE"""),"")</f>
        <v/>
      </c>
      <c r="AD24" s="1" t="str">
        <f>IFERROR(__xludf.DUMMYFUNCTION("""COMPUTED_VALUE"""),"")</f>
        <v/>
      </c>
      <c r="AE24" s="1" t="str">
        <f>IFERROR(__xludf.DUMMYFUNCTION("""COMPUTED_VALUE"""),"")</f>
        <v/>
      </c>
      <c r="AF24" s="2" t="str">
        <f>IFERROR(__xludf.DUMMYFUNCTION("""COMPUTED_VALUE"""),"https://www.change.org/p/stop-the-building-of-a-data-center-in-our-community")</f>
        <v>https://www.change.org/p/stop-the-building-of-a-data-center-in-our-community</v>
      </c>
      <c r="AG24" s="1" t="str">
        <f>IFERROR(__xludf.DUMMYFUNCTION("""COMPUTED_VALUE"""),"On a site that Fortescue formerly planned to build a hydrogen production plant on, it is unclear whether the proposed data center plan would include a hydrogen plant. On February 10 2026, the Buckeye Area and Planning Commission voted to recommend the app"&amp;"roval of a request to modify the zoning of a 158 acre land parcel, now awaiting Buckeye City Council approval.")</f>
        <v>On a site that Fortescue formerly planned to build a hydrogen production plant on, it is unclear whether the proposed data center plan would include a hydrogen plant. On February 10 2026, the Buckeye Area and Planning Commission voted to recommend the approval of a request to modify the zoning of a 158 acre land parcel, now awaiting Buckeye City Council approval.</v>
      </c>
      <c r="AH24" s="1" t="str">
        <f>IFERROR(__xludf.DUMMYFUNCTION("""COMPUTED_VALUE"""),"Media Monitoring")</f>
        <v>Media Monitoring</v>
      </c>
      <c r="AI24" s="2" t="str">
        <f>IFERROR(__xludf.DUMMYFUNCTION("""COMPUTED_VALUE"""),"https://www.datacenterdynamics.com/en/news/australias-fortescue-could-get-zoning-permission-for-potential-data-center-near-phoenix-arizona/")</f>
        <v>https://www.datacenterdynamics.com/en/news/australias-fortescue-could-get-zoning-permission-for-potential-data-center-near-phoenix-arizona/</v>
      </c>
      <c r="AJ24" s="1" t="str">
        <f>IFERROR(__xludf.DUMMYFUNCTION("""COMPUTED_VALUE"""),"")</f>
        <v/>
      </c>
      <c r="AK24" s="1" t="str">
        <f>IFERROR(__xludf.DUMMYFUNCTION("""COMPUTED_VALUE"""),"")</f>
        <v/>
      </c>
      <c r="AL24" s="1" t="str">
        <f>IFERROR(__xludf.DUMMYFUNCTION("""COMPUTED_VALUE"""),"")</f>
        <v/>
      </c>
      <c r="AM24" s="1" t="str">
        <f>IFERROR(__xludf.DUMMYFUNCTION("""COMPUTED_VALUE"""),"")</f>
        <v/>
      </c>
      <c r="AN24" s="1" t="str">
        <f>IFERROR(__xludf.DUMMYFUNCTION("""COMPUTED_VALUE"""),"")</f>
        <v/>
      </c>
      <c r="AO24" s="1" t="str">
        <f>IFERROR(__xludf.DUMMYFUNCTION("""COMPUTED_VALUE"""),"")</f>
        <v/>
      </c>
      <c r="AP24" s="1" t="str">
        <f>IFERROR(__xludf.DUMMYFUNCTION("""COMPUTED_VALUE"""),"")</f>
        <v/>
      </c>
      <c r="AQ24" s="1" t="str">
        <f>IFERROR(__xludf.DUMMYFUNCTION("""COMPUTED_VALUE"""),"02/16/2026")</f>
        <v>02/16/2026</v>
      </c>
      <c r="AR24" s="1" t="str">
        <f>IFERROR(__xludf.DUMMYFUNCTION("""COMPUTED_VALUE"""),"03/14/2026")</f>
        <v>03/14/2026</v>
      </c>
    </row>
    <row r="25">
      <c r="A25" s="1" t="str">
        <f>IFERROR(__xludf.DUMMYFUNCTION("""COMPUTED_VALUE"""),"H5 Data Center")</f>
        <v>H5 Data Center</v>
      </c>
      <c r="B25" s="1" t="str">
        <f>IFERROR(__xludf.DUMMYFUNCTION("""COMPUTED_VALUE"""),"2600 W Germann Rd")</f>
        <v>2600 W Germann Rd</v>
      </c>
      <c r="C25" s="1" t="str">
        <f>IFERROR(__xludf.DUMMYFUNCTION("""COMPUTED_VALUE"""),"Chandler")</f>
        <v>Chandler</v>
      </c>
      <c r="D25" s="1" t="str">
        <f>IFERROR(__xludf.DUMMYFUNCTION("""COMPUTED_VALUE"""),"AZ")</f>
        <v>AZ</v>
      </c>
      <c r="E25" s="1" t="str">
        <f>IFERROR(__xludf.DUMMYFUNCTION("""COMPUTED_VALUE"""),"85286")</f>
        <v>85286</v>
      </c>
      <c r="F25" s="1" t="str">
        <f>IFERROR(__xludf.DUMMYFUNCTION("""COMPUTED_VALUE"""),"Maricopa")</f>
        <v>Maricopa</v>
      </c>
      <c r="G25" s="1" t="str">
        <f>IFERROR(__xludf.DUMMYFUNCTION("""COMPUTED_VALUE"""),"33.27716")</f>
        <v>33.27716</v>
      </c>
      <c r="H25" s="1" t="str">
        <f>IFERROR(__xludf.DUMMYFUNCTION("""COMPUTED_VALUE"""),"-111.886")</f>
        <v>-111.886</v>
      </c>
      <c r="I25" s="1" t="str">
        <f>IFERROR(__xludf.DUMMYFUNCTION("""COMPUTED_VALUE"""),"Operating")</f>
        <v>Operating</v>
      </c>
      <c r="J25" s="1" t="str">
        <f>IFERROR(__xludf.DUMMYFUNCTION("""COMPUTED_VALUE"""),"High")</f>
        <v>High</v>
      </c>
      <c r="K25" s="1" t="str">
        <f>IFERROR(__xludf.DUMMYFUNCTION("""COMPUTED_VALUE"""),"")</f>
        <v/>
      </c>
      <c r="L25" s="1" t="str">
        <f>IFERROR(__xludf.DUMMYFUNCTION("""COMPUTED_VALUE"""),"H5 Data Centers")</f>
        <v>H5 Data Centers</v>
      </c>
      <c r="M25" s="1" t="str">
        <f>IFERROR(__xludf.DUMMYFUNCTION("""COMPUTED_VALUE"""),"Multiple colocation tenants")</f>
        <v>Multiple colocation tenants</v>
      </c>
      <c r="N25" s="1" t="str">
        <f>IFERROR(__xludf.DUMMYFUNCTION("""COMPUTED_VALUE"""),"32")</f>
        <v>32</v>
      </c>
      <c r="O25" s="1" t="str">
        <f>IFERROR(__xludf.DUMMYFUNCTION("""COMPUTED_VALUE"""),"Medium (11-50 MW)")</f>
        <v>Medium (11-50 MW)</v>
      </c>
      <c r="P25" s="1" t="str">
        <f>IFERROR(__xludf.DUMMYFUNCTION("""COMPUTED_VALUE"""),"")</f>
        <v/>
      </c>
      <c r="Q25" s="1" t="str">
        <f>IFERROR(__xludf.DUMMYFUNCTION("""COMPUTED_VALUE"""),"")</f>
        <v/>
      </c>
      <c r="R25" s="1" t="str">
        <f>IFERROR(__xludf.DUMMYFUNCTION("""COMPUTED_VALUE"""),"")</f>
        <v/>
      </c>
      <c r="S25" s="1" t="str">
        <f>IFERROR(__xludf.DUMMYFUNCTION("""COMPUTED_VALUE"""),"")</f>
        <v/>
      </c>
      <c r="T25" s="1" t="str">
        <f>IFERROR(__xludf.DUMMYFUNCTION("""COMPUTED_VALUE"""),"")</f>
        <v/>
      </c>
      <c r="U25" s="1" t="str">
        <f>IFERROR(__xludf.DUMMYFUNCTION("""COMPUTED_VALUE"""),"")</f>
        <v/>
      </c>
      <c r="V25" s="1" t="str">
        <f>IFERROR(__xludf.DUMMYFUNCTION("""COMPUTED_VALUE"""),"210,000")</f>
        <v>210,000</v>
      </c>
      <c r="W25" s="1" t="str">
        <f>IFERROR(__xludf.DUMMYFUNCTION("""COMPUTED_VALUE"""),"")</f>
        <v/>
      </c>
      <c r="X25" s="1" t="str">
        <f>IFERROR(__xludf.DUMMYFUNCTION("""COMPUTED_VALUE"""),"")</f>
        <v/>
      </c>
      <c r="Y25" s="1" t="str">
        <f>IFERROR(__xludf.DUMMYFUNCTION("""COMPUTED_VALUE"""),"")</f>
        <v/>
      </c>
      <c r="Z25" s="1" t="str">
        <f>IFERROR(__xludf.DUMMYFUNCTION("""COMPUTED_VALUE"""),"Unknown")</f>
        <v>Unknown</v>
      </c>
      <c r="AA25" s="1" t="str">
        <f>IFERROR(__xludf.DUMMYFUNCTION("""COMPUTED_VALUE"""),"")</f>
        <v/>
      </c>
      <c r="AB25" s="1" t="str">
        <f>IFERROR(__xludf.DUMMYFUNCTION("""COMPUTED_VALUE"""),"")</f>
        <v/>
      </c>
      <c r="AC25" s="1" t="str">
        <f>IFERROR(__xludf.DUMMYFUNCTION("""COMPUTED_VALUE"""),"")</f>
        <v/>
      </c>
      <c r="AD25" s="1" t="str">
        <f>IFERROR(__xludf.DUMMYFUNCTION("""COMPUTED_VALUE"""),"")</f>
        <v/>
      </c>
      <c r="AE25" s="1" t="str">
        <f>IFERROR(__xludf.DUMMYFUNCTION("""COMPUTED_VALUE"""),"")</f>
        <v/>
      </c>
      <c r="AF25" s="1" t="str">
        <f>IFERROR(__xludf.DUMMYFUNCTION("""COMPUTED_VALUE"""),"")</f>
        <v/>
      </c>
      <c r="AG25" s="1" t="str">
        <f>IFERROR(__xludf.DUMMYFUNCTION("""COMPUTED_VALUE"""),"")</f>
        <v/>
      </c>
      <c r="AH25" s="1" t="str">
        <f>IFERROR(__xludf.DUMMYFUNCTION("""COMPUTED_VALUE"""),"Media Monitoring")</f>
        <v>Media Monitoring</v>
      </c>
      <c r="AI25" s="2" t="str">
        <f>IFERROR(__xludf.DUMMYFUNCTION("""COMPUTED_VALUE"""),"https://www.datacenterdynamics.com/en/news/h5-data-centers-expanding-phoenix-data-center-by-30000-sq-ft/")</f>
        <v>https://www.datacenterdynamics.com/en/news/h5-data-centers-expanding-phoenix-data-center-by-30000-sq-ft/</v>
      </c>
      <c r="AJ25" s="1" t="str">
        <f>IFERROR(__xludf.DUMMYFUNCTION("""COMPUTED_VALUE"""),"")</f>
        <v/>
      </c>
      <c r="AK25" s="1" t="str">
        <f>IFERROR(__xludf.DUMMYFUNCTION("""COMPUTED_VALUE"""),"")</f>
        <v/>
      </c>
      <c r="AL25" s="1" t="str">
        <f>IFERROR(__xludf.DUMMYFUNCTION("""COMPUTED_VALUE"""),"")</f>
        <v/>
      </c>
      <c r="AM25" s="1" t="str">
        <f>IFERROR(__xludf.DUMMYFUNCTION("""COMPUTED_VALUE"""),"")</f>
        <v/>
      </c>
      <c r="AN25" s="1" t="str">
        <f>IFERROR(__xludf.DUMMYFUNCTION("""COMPUTED_VALUE"""),"")</f>
        <v/>
      </c>
      <c r="AO25" s="1" t="str">
        <f>IFERROR(__xludf.DUMMYFUNCTION("""COMPUTED_VALUE"""),"")</f>
        <v/>
      </c>
      <c r="AP25" s="1" t="str">
        <f>IFERROR(__xludf.DUMMYFUNCTION("""COMPUTED_VALUE"""),"")</f>
        <v/>
      </c>
      <c r="AQ25" s="1" t="str">
        <f>IFERROR(__xludf.DUMMYFUNCTION("""COMPUTED_VALUE"""),"05/28/2025")</f>
        <v>05/28/2025</v>
      </c>
      <c r="AR25" s="1" t="str">
        <f>IFERROR(__xludf.DUMMYFUNCTION("""COMPUTED_VALUE"""),"02/17/2026")</f>
        <v>02/17/2026</v>
      </c>
    </row>
    <row r="26">
      <c r="A26" s="1" t="str">
        <f>IFERROR(__xludf.DUMMYFUNCTION("""COMPUTED_VALUE"""),"Compass Data Center")</f>
        <v>Compass Data Center</v>
      </c>
      <c r="B26" s="1" t="str">
        <f>IFERROR(__xludf.DUMMYFUNCTION("""COMPUTED_VALUE"""),"850 S Bullard Ave")</f>
        <v>850 S Bullard Ave</v>
      </c>
      <c r="C26" s="1" t="str">
        <f>IFERROR(__xludf.DUMMYFUNCTION("""COMPUTED_VALUE"""),"Goodyear")</f>
        <v>Goodyear</v>
      </c>
      <c r="D26" s="1" t="str">
        <f>IFERROR(__xludf.DUMMYFUNCTION("""COMPUTED_VALUE"""),"AZ")</f>
        <v>AZ</v>
      </c>
      <c r="E26" s="1" t="str">
        <f>IFERROR(__xludf.DUMMYFUNCTION("""COMPUTED_VALUE"""),"85338")</f>
        <v>85338</v>
      </c>
      <c r="F26" s="1" t="str">
        <f>IFERROR(__xludf.DUMMYFUNCTION("""COMPUTED_VALUE"""),"Maricopa")</f>
        <v>Maricopa</v>
      </c>
      <c r="G26" s="1" t="str">
        <f>IFERROR(__xludf.DUMMYFUNCTION("""COMPUTED_VALUE"""),"33.44123")</f>
        <v>33.44123</v>
      </c>
      <c r="H26" s="1" t="str">
        <f>IFERROR(__xludf.DUMMYFUNCTION("""COMPUTED_VALUE"""),"-112.377")</f>
        <v>-112.377</v>
      </c>
      <c r="I26" s="1" t="str">
        <f>IFERROR(__xludf.DUMMYFUNCTION("""COMPUTED_VALUE"""),"Approved/Permitted/Under construction")</f>
        <v>Approved/Permitted/Under construction</v>
      </c>
      <c r="J26" s="1" t="str">
        <f>IFERROR(__xludf.DUMMYFUNCTION("""COMPUTED_VALUE"""),"High")</f>
        <v>High</v>
      </c>
      <c r="K26" s="1" t="str">
        <f>IFERROR(__xludf.DUMMYFUNCTION("""COMPUTED_VALUE"""),"")</f>
        <v/>
      </c>
      <c r="L26" s="1" t="str">
        <f>IFERROR(__xludf.DUMMYFUNCTION("""COMPUTED_VALUE"""),"Compass Data Centers")</f>
        <v>Compass Data Centers</v>
      </c>
      <c r="M26" s="1" t="str">
        <f>IFERROR(__xludf.DUMMYFUNCTION("""COMPUTED_VALUE"""),"")</f>
        <v/>
      </c>
      <c r="N26" s="1" t="str">
        <f>IFERROR(__xludf.DUMMYFUNCTION("""COMPUTED_VALUE"""),"")</f>
        <v/>
      </c>
      <c r="O26" s="1" t="str">
        <f>IFERROR(__xludf.DUMMYFUNCTION("""COMPUTED_VALUE"""),"Hyperscale (100-999 MW)")</f>
        <v>Hyperscale (100-999 MW)</v>
      </c>
      <c r="P26" s="1" t="str">
        <f>IFERROR(__xludf.DUMMYFUNCTION("""COMPUTED_VALUE"""),"")</f>
        <v/>
      </c>
      <c r="Q26" s="1" t="str">
        <f>IFERROR(__xludf.DUMMYFUNCTION("""COMPUTED_VALUE"""),"")</f>
        <v/>
      </c>
      <c r="R26" s="1" t="str">
        <f>IFERROR(__xludf.DUMMYFUNCTION("""COMPUTED_VALUE"""),"")</f>
        <v/>
      </c>
      <c r="S26" s="1" t="str">
        <f>IFERROR(__xludf.DUMMYFUNCTION("""COMPUTED_VALUE"""),"")</f>
        <v/>
      </c>
      <c r="T26" s="1" t="str">
        <f>IFERROR(__xludf.DUMMYFUNCTION("""COMPUTED_VALUE"""),"")</f>
        <v/>
      </c>
      <c r="U26" s="1" t="str">
        <f>IFERROR(__xludf.DUMMYFUNCTION("""COMPUTED_VALUE"""),"")</f>
        <v/>
      </c>
      <c r="V26" s="1" t="str">
        <f>IFERROR(__xludf.DUMMYFUNCTION("""COMPUTED_VALUE"""),"")</f>
        <v/>
      </c>
      <c r="W26" s="1" t="str">
        <f>IFERROR(__xludf.DUMMYFUNCTION("""COMPUTED_VALUE"""),"")</f>
        <v/>
      </c>
      <c r="X26" s="1" t="str">
        <f>IFERROR(__xludf.DUMMYFUNCTION("""COMPUTED_VALUE"""),"")</f>
        <v/>
      </c>
      <c r="Y26" s="1" t="str">
        <f>IFERROR(__xludf.DUMMYFUNCTION("""COMPUTED_VALUE"""),"")</f>
        <v/>
      </c>
      <c r="Z26" s="1" t="str">
        <f>IFERROR(__xludf.DUMMYFUNCTION("""COMPUTED_VALUE"""),"Unknown")</f>
        <v>Unknown</v>
      </c>
      <c r="AA26" s="1" t="str">
        <f>IFERROR(__xludf.DUMMYFUNCTION("""COMPUTED_VALUE"""),"")</f>
        <v/>
      </c>
      <c r="AB26" s="1" t="str">
        <f>IFERROR(__xludf.DUMMYFUNCTION("""COMPUTED_VALUE"""),"")</f>
        <v/>
      </c>
      <c r="AC26" s="1" t="str">
        <f>IFERROR(__xludf.DUMMYFUNCTION("""COMPUTED_VALUE"""),"")</f>
        <v/>
      </c>
      <c r="AD26" s="1" t="str">
        <f>IFERROR(__xludf.DUMMYFUNCTION("""COMPUTED_VALUE"""),"")</f>
        <v/>
      </c>
      <c r="AE26" s="1" t="str">
        <f>IFERROR(__xludf.DUMMYFUNCTION("""COMPUTED_VALUE"""),"")</f>
        <v/>
      </c>
      <c r="AF26" s="1" t="str">
        <f>IFERROR(__xludf.DUMMYFUNCTION("""COMPUTED_VALUE"""),"")</f>
        <v/>
      </c>
      <c r="AG26" s="1" t="str">
        <f>IFERROR(__xludf.DUMMYFUNCTION("""COMPUTED_VALUE"""),"")</f>
        <v/>
      </c>
      <c r="AH26" s="1" t="str">
        <f>IFERROR(__xludf.DUMMYFUNCTION("""COMPUTED_VALUE"""),"Media Monitoring")</f>
        <v>Media Monitoring</v>
      </c>
      <c r="AI26" s="2" t="str">
        <f>IFERROR(__xludf.DUMMYFUNCTION("""COMPUTED_VALUE"""),"https://www.datacenterdynamics.com/en/news/compass-datacenters-starts-build-hyperscale-arizona-campus/")</f>
        <v>https://www.datacenterdynamics.com/en/news/compass-datacenters-starts-build-hyperscale-arizona-campus/</v>
      </c>
      <c r="AJ26" s="2" t="str">
        <f>IFERROR(__xludf.DUMMYFUNCTION("""COMPUTED_VALUE"""),"https://azbigmedia.com/real-estate/phoenix-data-center-market-displays-remarkable-momentum/")</f>
        <v>https://azbigmedia.com/real-estate/phoenix-data-center-market-displays-remarkable-momentum/</v>
      </c>
      <c r="AK26" s="1" t="str">
        <f>IFERROR(__xludf.DUMMYFUNCTION("""COMPUTED_VALUE"""),"")</f>
        <v/>
      </c>
      <c r="AL26" s="1" t="str">
        <f>IFERROR(__xludf.DUMMYFUNCTION("""COMPUTED_VALUE"""),"")</f>
        <v/>
      </c>
      <c r="AM26" s="1" t="str">
        <f>IFERROR(__xludf.DUMMYFUNCTION("""COMPUTED_VALUE"""),"")</f>
        <v/>
      </c>
      <c r="AN26" s="1" t="str">
        <f>IFERROR(__xludf.DUMMYFUNCTION("""COMPUTED_VALUE"""),"")</f>
        <v/>
      </c>
      <c r="AO26" s="1" t="str">
        <f>IFERROR(__xludf.DUMMYFUNCTION("""COMPUTED_VALUE"""),"")</f>
        <v/>
      </c>
      <c r="AP26" s="1" t="str">
        <f>IFERROR(__xludf.DUMMYFUNCTION("""COMPUTED_VALUE"""),"")</f>
        <v/>
      </c>
      <c r="AQ26" s="1" t="str">
        <f>IFERROR(__xludf.DUMMYFUNCTION("""COMPUTED_VALUE"""),"05/28/2025")</f>
        <v>05/28/2025</v>
      </c>
      <c r="AR26" s="1" t="str">
        <f>IFERROR(__xludf.DUMMYFUNCTION("""COMPUTED_VALUE"""),"05/28/2025")</f>
        <v>05/28/2025</v>
      </c>
    </row>
    <row r="27">
      <c r="A27" s="1" t="str">
        <f>IFERROR(__xludf.DUMMYFUNCTION("""COMPUTED_VALUE"""),"Microsoft Data Center")</f>
        <v>Microsoft Data Center</v>
      </c>
      <c r="B27" s="1" t="str">
        <f>IFERROR(__xludf.DUMMYFUNCTION("""COMPUTED_VALUE"""),"14250 W Broadway Rd")</f>
        <v>14250 W Broadway Rd</v>
      </c>
      <c r="C27" s="1" t="str">
        <f>IFERROR(__xludf.DUMMYFUNCTION("""COMPUTED_VALUE"""),"Goodyear")</f>
        <v>Goodyear</v>
      </c>
      <c r="D27" s="1" t="str">
        <f>IFERROR(__xludf.DUMMYFUNCTION("""COMPUTED_VALUE"""),"AZ")</f>
        <v>AZ</v>
      </c>
      <c r="E27" s="1" t="str">
        <f>IFERROR(__xludf.DUMMYFUNCTION("""COMPUTED_VALUE"""),"85338")</f>
        <v>85338</v>
      </c>
      <c r="F27" s="1" t="str">
        <f>IFERROR(__xludf.DUMMYFUNCTION("""COMPUTED_VALUE"""),"Maricopa")</f>
        <v>Maricopa</v>
      </c>
      <c r="G27" s="1" t="str">
        <f>IFERROR(__xludf.DUMMYFUNCTION("""COMPUTED_VALUE"""),"33.410748")</f>
        <v>33.410748</v>
      </c>
      <c r="H27" s="1" t="str">
        <f>IFERROR(__xludf.DUMMYFUNCTION("""COMPUTED_VALUE"""),"-112.36683")</f>
        <v>-112.36683</v>
      </c>
      <c r="I27" s="1" t="str">
        <f>IFERROR(__xludf.DUMMYFUNCTION("""COMPUTED_VALUE"""),"Expanding")</f>
        <v>Expanding</v>
      </c>
      <c r="J27" s="1" t="str">
        <f>IFERROR(__xludf.DUMMYFUNCTION("""COMPUTED_VALUE"""),"High")</f>
        <v>High</v>
      </c>
      <c r="K27" s="1" t="str">
        <f>IFERROR(__xludf.DUMMYFUNCTION("""COMPUTED_VALUE"""),"")</f>
        <v/>
      </c>
      <c r="L27" s="1" t="str">
        <f>IFERROR(__xludf.DUMMYFUNCTION("""COMPUTED_VALUE"""),"Microsoft")</f>
        <v>Microsoft</v>
      </c>
      <c r="M27" s="1" t="str">
        <f>IFERROR(__xludf.DUMMYFUNCTION("""COMPUTED_VALUE"""),"")</f>
        <v/>
      </c>
      <c r="N27" s="1" t="str">
        <f>IFERROR(__xludf.DUMMYFUNCTION("""COMPUTED_VALUE"""),"")</f>
        <v/>
      </c>
      <c r="O27" s="1" t="str">
        <f>IFERROR(__xludf.DUMMYFUNCTION("""COMPUTED_VALUE"""),"Unknown")</f>
        <v>Unknown</v>
      </c>
      <c r="P27" s="1" t="str">
        <f>IFERROR(__xludf.DUMMYFUNCTION("""COMPUTED_VALUE"""),"")</f>
        <v/>
      </c>
      <c r="Q27" s="1" t="str">
        <f>IFERROR(__xludf.DUMMYFUNCTION("""COMPUTED_VALUE"""),"")</f>
        <v/>
      </c>
      <c r="R27" s="1" t="str">
        <f>IFERROR(__xludf.DUMMYFUNCTION("""COMPUTED_VALUE"""),"")</f>
        <v/>
      </c>
      <c r="S27" s="1" t="str">
        <f>IFERROR(__xludf.DUMMYFUNCTION("""COMPUTED_VALUE"""),"")</f>
        <v/>
      </c>
      <c r="T27" s="1" t="str">
        <f>IFERROR(__xludf.DUMMYFUNCTION("""COMPUTED_VALUE"""),"")</f>
        <v/>
      </c>
      <c r="U27" s="1" t="str">
        <f>IFERROR(__xludf.DUMMYFUNCTION("""COMPUTED_VALUE"""),"")</f>
        <v/>
      </c>
      <c r="V27" s="1" t="str">
        <f>IFERROR(__xludf.DUMMYFUNCTION("""COMPUTED_VALUE"""),"")</f>
        <v/>
      </c>
      <c r="W27" s="1" t="str">
        <f>IFERROR(__xludf.DUMMYFUNCTION("""COMPUTED_VALUE"""),"250")</f>
        <v>250</v>
      </c>
      <c r="X27" s="1" t="str">
        <f>IFERROR(__xludf.DUMMYFUNCTION("""COMPUTED_VALUE"""),"")</f>
        <v/>
      </c>
      <c r="Y27" s="1" t="str">
        <f>IFERROR(__xludf.DUMMYFUNCTION("""COMPUTED_VALUE"""),"")</f>
        <v/>
      </c>
      <c r="Z27" s="1" t="str">
        <f>IFERROR(__xludf.DUMMYFUNCTION("""COMPUTED_VALUE"""),"Unknown")</f>
        <v>Unknown</v>
      </c>
      <c r="AA27" s="1" t="str">
        <f>IFERROR(__xludf.DUMMYFUNCTION("""COMPUTED_VALUE"""),"")</f>
        <v/>
      </c>
      <c r="AB27" s="1" t="str">
        <f>IFERROR(__xludf.DUMMYFUNCTION("""COMPUTED_VALUE"""),"")</f>
        <v/>
      </c>
      <c r="AC27" s="1" t="str">
        <f>IFERROR(__xludf.DUMMYFUNCTION("""COMPUTED_VALUE"""),"")</f>
        <v/>
      </c>
      <c r="AD27" s="1" t="str">
        <f>IFERROR(__xludf.DUMMYFUNCTION("""COMPUTED_VALUE"""),"")</f>
        <v/>
      </c>
      <c r="AE27" s="1" t="str">
        <f>IFERROR(__xludf.DUMMYFUNCTION("""COMPUTED_VALUE"""),"")</f>
        <v/>
      </c>
      <c r="AF27" s="1" t="str">
        <f>IFERROR(__xludf.DUMMYFUNCTION("""COMPUTED_VALUE"""),"")</f>
        <v/>
      </c>
      <c r="AG27" s="1" t="str">
        <f>IFERROR(__xludf.DUMMYFUNCTION("""COMPUTED_VALUE"""),"")</f>
        <v/>
      </c>
      <c r="AH27" s="1" t="str">
        <f>IFERROR(__xludf.DUMMYFUNCTION("""COMPUTED_VALUE"""),"Media Monitoring")</f>
        <v>Media Monitoring</v>
      </c>
      <c r="AI27" s="2" t="str">
        <f>IFERROR(__xludf.DUMMYFUNCTION("""COMPUTED_VALUE"""),"https://www.levelset.com/property-owners/microsoft-corporation/project-history/")</f>
        <v>https://www.levelset.com/property-owners/microsoft-corporation/project-history/</v>
      </c>
      <c r="AJ27" s="2" t="str">
        <f>IFERROR(__xludf.DUMMYFUNCTION("""COMPUTED_VALUE"""),"https://www.datacenterdynamics.com/en/news/owners-of-indoor-cannabis-farm-in-michigan-offer-site-up-for-data-center-use/")</f>
        <v>https://www.datacenterdynamics.com/en/news/owners-of-indoor-cannabis-farm-in-michigan-offer-site-up-for-data-center-use/</v>
      </c>
      <c r="AK27" s="1" t="str">
        <f>IFERROR(__xludf.DUMMYFUNCTION("""COMPUTED_VALUE"""),"")</f>
        <v/>
      </c>
      <c r="AL27" s="1" t="str">
        <f>IFERROR(__xludf.DUMMYFUNCTION("""COMPUTED_VALUE"""),"")</f>
        <v/>
      </c>
      <c r="AM27" s="1" t="str">
        <f>IFERROR(__xludf.DUMMYFUNCTION("""COMPUTED_VALUE"""),"")</f>
        <v/>
      </c>
      <c r="AN27" s="1" t="str">
        <f>IFERROR(__xludf.DUMMYFUNCTION("""COMPUTED_VALUE"""),"")</f>
        <v/>
      </c>
      <c r="AO27" s="1" t="str">
        <f>IFERROR(__xludf.DUMMYFUNCTION("""COMPUTED_VALUE"""),"")</f>
        <v/>
      </c>
      <c r="AP27" s="1" t="str">
        <f>IFERROR(__xludf.DUMMYFUNCTION("""COMPUTED_VALUE"""),"")</f>
        <v/>
      </c>
      <c r="AQ27" s="1" t="str">
        <f>IFERROR(__xludf.DUMMYFUNCTION("""COMPUTED_VALUE"""),"09/16/2025")</f>
        <v>09/16/2025</v>
      </c>
      <c r="AR27" s="1" t="str">
        <f>IFERROR(__xludf.DUMMYFUNCTION("""COMPUTED_VALUE"""),"06/12/2026")</f>
        <v>06/12/2026</v>
      </c>
    </row>
    <row r="28">
      <c r="A28" s="1" t="str">
        <f>IFERROR(__xludf.DUMMYFUNCTION("""COMPUTED_VALUE"""),"Stream Data Center")</f>
        <v>Stream Data Center</v>
      </c>
      <c r="B28" s="1" t="str">
        <f>IFERROR(__xludf.DUMMYFUNCTION("""COMPUTED_VALUE"""),"2950 S Litchfield Rd")</f>
        <v>2950 S Litchfield Rd</v>
      </c>
      <c r="C28" s="1" t="str">
        <f>IFERROR(__xludf.DUMMYFUNCTION("""COMPUTED_VALUE"""),"Goodyear")</f>
        <v>Goodyear</v>
      </c>
      <c r="D28" s="1" t="str">
        <f>IFERROR(__xludf.DUMMYFUNCTION("""COMPUTED_VALUE"""),"AZ")</f>
        <v>AZ</v>
      </c>
      <c r="E28" s="1" t="str">
        <f>IFERROR(__xludf.DUMMYFUNCTION("""COMPUTED_VALUE"""),"85338")</f>
        <v>85338</v>
      </c>
      <c r="F28" s="1" t="str">
        <f>IFERROR(__xludf.DUMMYFUNCTION("""COMPUTED_VALUE"""),"Maricopa")</f>
        <v>Maricopa</v>
      </c>
      <c r="G28" s="1" t="str">
        <f>IFERROR(__xludf.DUMMYFUNCTION("""COMPUTED_VALUE"""),"33.41965")</f>
        <v>33.41965</v>
      </c>
      <c r="H28" s="1" t="str">
        <f>IFERROR(__xludf.DUMMYFUNCTION("""COMPUTED_VALUE"""),"-112.35942")</f>
        <v>-112.35942</v>
      </c>
      <c r="I28" s="1" t="str">
        <f>IFERROR(__xludf.DUMMYFUNCTION("""COMPUTED_VALUE"""),"Approved/Permitted/Under construction")</f>
        <v>Approved/Permitted/Under construction</v>
      </c>
      <c r="J28" s="1" t="str">
        <f>IFERROR(__xludf.DUMMYFUNCTION("""COMPUTED_VALUE"""),"High")</f>
        <v>High</v>
      </c>
      <c r="K28" s="1" t="str">
        <f>IFERROR(__xludf.DUMMYFUNCTION("""COMPUTED_VALUE"""),"")</f>
        <v/>
      </c>
      <c r="L28" s="1" t="str">
        <f>IFERROR(__xludf.DUMMYFUNCTION("""COMPUTED_VALUE"""),"Stream Data Centers")</f>
        <v>Stream Data Centers</v>
      </c>
      <c r="M28" s="1" t="str">
        <f>IFERROR(__xludf.DUMMYFUNCTION("""COMPUTED_VALUE"""),"")</f>
        <v/>
      </c>
      <c r="N28" s="1" t="str">
        <f>IFERROR(__xludf.DUMMYFUNCTION("""COMPUTED_VALUE"""),"200")</f>
        <v>200</v>
      </c>
      <c r="O28" s="1" t="str">
        <f>IFERROR(__xludf.DUMMYFUNCTION("""COMPUTED_VALUE"""),"Hyperscale (100-999 MW)")</f>
        <v>Hyperscale (100-999 MW)</v>
      </c>
      <c r="P28" s="1" t="str">
        <f>IFERROR(__xludf.DUMMYFUNCTION("""COMPUTED_VALUE"""),"")</f>
        <v/>
      </c>
      <c r="Q28" s="1" t="str">
        <f>IFERROR(__xludf.DUMMYFUNCTION("""COMPUTED_VALUE"""),"")</f>
        <v/>
      </c>
      <c r="R28" s="1" t="str">
        <f>IFERROR(__xludf.DUMMYFUNCTION("""COMPUTED_VALUE"""),"")</f>
        <v/>
      </c>
      <c r="S28" s="1" t="str">
        <f>IFERROR(__xludf.DUMMYFUNCTION("""COMPUTED_VALUE"""),"")</f>
        <v/>
      </c>
      <c r="T28" s="1" t="str">
        <f>IFERROR(__xludf.DUMMYFUNCTION("""COMPUTED_VALUE"""),"")</f>
        <v/>
      </c>
      <c r="U28" s="1" t="str">
        <f>IFERROR(__xludf.DUMMYFUNCTION("""COMPUTED_VALUE"""),"")</f>
        <v/>
      </c>
      <c r="V28" s="1" t="str">
        <f>IFERROR(__xludf.DUMMYFUNCTION("""COMPUTED_VALUE"""),"2,000,000")</f>
        <v>2,000,000</v>
      </c>
      <c r="W28" s="1" t="str">
        <f>IFERROR(__xludf.DUMMYFUNCTION("""COMPUTED_VALUE"""),"")</f>
        <v/>
      </c>
      <c r="X28" s="1" t="str">
        <f>IFERROR(__xludf.DUMMYFUNCTION("""COMPUTED_VALUE"""),"")</f>
        <v/>
      </c>
      <c r="Y28" s="1" t="str">
        <f>IFERROR(__xludf.DUMMYFUNCTION("""COMPUTED_VALUE"""),"")</f>
        <v/>
      </c>
      <c r="Z28" s="1" t="str">
        <f>IFERROR(__xludf.DUMMYFUNCTION("""COMPUTED_VALUE"""),"Unknown")</f>
        <v>Unknown</v>
      </c>
      <c r="AA28" s="1" t="str">
        <f>IFERROR(__xludf.DUMMYFUNCTION("""COMPUTED_VALUE"""),"")</f>
        <v/>
      </c>
      <c r="AB28" s="1" t="str">
        <f>IFERROR(__xludf.DUMMYFUNCTION("""COMPUTED_VALUE"""),"")</f>
        <v/>
      </c>
      <c r="AC28" s="1" t="str">
        <f>IFERROR(__xludf.DUMMYFUNCTION("""COMPUTED_VALUE"""),"")</f>
        <v/>
      </c>
      <c r="AD28" s="1" t="str">
        <f>IFERROR(__xludf.DUMMYFUNCTION("""COMPUTED_VALUE"""),"")</f>
        <v/>
      </c>
      <c r="AE28" s="1" t="str">
        <f>IFERROR(__xludf.DUMMYFUNCTION("""COMPUTED_VALUE"""),"")</f>
        <v/>
      </c>
      <c r="AF28" s="1" t="str">
        <f>IFERROR(__xludf.DUMMYFUNCTION("""COMPUTED_VALUE"""),"")</f>
        <v/>
      </c>
      <c r="AG28" s="1" t="str">
        <f>IFERROR(__xludf.DUMMYFUNCTION("""COMPUTED_VALUE"""),"")</f>
        <v/>
      </c>
      <c r="AH28" s="1" t="str">
        <f>IFERROR(__xludf.DUMMYFUNCTION("""COMPUTED_VALUE"""),"Media Monitoring")</f>
        <v>Media Monitoring</v>
      </c>
      <c r="AI28" s="2" t="str">
        <f>IFERROR(__xludf.DUMMYFUNCTION("""COMPUTED_VALUE"""),"https://www.datacenterdynamics.com/en/news/stream-dc-files-to-expand-phoenix-campus-to-200mw/")</f>
        <v>https://www.datacenterdynamics.com/en/news/stream-dc-files-to-expand-phoenix-campus-to-200mw/</v>
      </c>
      <c r="AJ28" s="1" t="str">
        <f>IFERROR(__xludf.DUMMYFUNCTION("""COMPUTED_VALUE"""),"")</f>
        <v/>
      </c>
      <c r="AK28" s="1" t="str">
        <f>IFERROR(__xludf.DUMMYFUNCTION("""COMPUTED_VALUE"""),"")</f>
        <v/>
      </c>
      <c r="AL28" s="1" t="str">
        <f>IFERROR(__xludf.DUMMYFUNCTION("""COMPUTED_VALUE"""),"")</f>
        <v/>
      </c>
      <c r="AM28" s="1" t="str">
        <f>IFERROR(__xludf.DUMMYFUNCTION("""COMPUTED_VALUE"""),"")</f>
        <v/>
      </c>
      <c r="AN28" s="1" t="str">
        <f>IFERROR(__xludf.DUMMYFUNCTION("""COMPUTED_VALUE"""),"")</f>
        <v/>
      </c>
      <c r="AO28" s="1" t="str">
        <f>IFERROR(__xludf.DUMMYFUNCTION("""COMPUTED_VALUE"""),"")</f>
        <v/>
      </c>
      <c r="AP28" s="1" t="str">
        <f>IFERROR(__xludf.DUMMYFUNCTION("""COMPUTED_VALUE"""),"")</f>
        <v/>
      </c>
      <c r="AQ28" s="1" t="str">
        <f>IFERROR(__xludf.DUMMYFUNCTION("""COMPUTED_VALUE"""),"05/28/2025")</f>
        <v>05/28/2025</v>
      </c>
      <c r="AR28" s="1" t="str">
        <f>IFERROR(__xludf.DUMMYFUNCTION("""COMPUTED_VALUE"""),"05/28/2025")</f>
        <v>05/28/2025</v>
      </c>
    </row>
    <row r="29">
      <c r="A29" s="1" t="str">
        <f>IFERROR(__xludf.DUMMYFUNCTION("""COMPUTED_VALUE"""),"Vantage Data Center")</f>
        <v>Vantage Data Center</v>
      </c>
      <c r="B29" s="1" t="str">
        <f>IFERROR(__xludf.DUMMYFUNCTION("""COMPUTED_VALUE"""),"45 S Bullard Ave")</f>
        <v>45 S Bullard Ave</v>
      </c>
      <c r="C29" s="1" t="str">
        <f>IFERROR(__xludf.DUMMYFUNCTION("""COMPUTED_VALUE"""),"Goodyear")</f>
        <v>Goodyear</v>
      </c>
      <c r="D29" s="1" t="str">
        <f>IFERROR(__xludf.DUMMYFUNCTION("""COMPUTED_VALUE"""),"AZ")</f>
        <v>AZ</v>
      </c>
      <c r="E29" s="1" t="str">
        <f>IFERROR(__xludf.DUMMYFUNCTION("""COMPUTED_VALUE"""),"85338")</f>
        <v>85338</v>
      </c>
      <c r="F29" s="1" t="str">
        <f>IFERROR(__xludf.DUMMYFUNCTION("""COMPUTED_VALUE"""),"Maricopa")</f>
        <v>Maricopa</v>
      </c>
      <c r="G29" s="1" t="str">
        <f>IFERROR(__xludf.DUMMYFUNCTION("""COMPUTED_VALUE"""),"33.44718")</f>
        <v>33.44718</v>
      </c>
      <c r="H29" s="1" t="str">
        <f>IFERROR(__xludf.DUMMYFUNCTION("""COMPUTED_VALUE"""),"-112.373")</f>
        <v>-112.373</v>
      </c>
      <c r="I29" s="1" t="str">
        <f>IFERROR(__xludf.DUMMYFUNCTION("""COMPUTED_VALUE"""),"Approved/Permitted/Under construction")</f>
        <v>Approved/Permitted/Under construction</v>
      </c>
      <c r="J29" s="1" t="str">
        <f>IFERROR(__xludf.DUMMYFUNCTION("""COMPUTED_VALUE"""),"High")</f>
        <v>High</v>
      </c>
      <c r="K29" s="1" t="str">
        <f>IFERROR(__xludf.DUMMYFUNCTION("""COMPUTED_VALUE"""),"")</f>
        <v/>
      </c>
      <c r="L29" s="1" t="str">
        <f>IFERROR(__xludf.DUMMYFUNCTION("""COMPUTED_VALUE"""),"Vantage Data Centers")</f>
        <v>Vantage Data Centers</v>
      </c>
      <c r="M29" s="1" t="str">
        <f>IFERROR(__xludf.DUMMYFUNCTION("""COMPUTED_VALUE"""),"")</f>
        <v/>
      </c>
      <c r="N29" s="1" t="str">
        <f>IFERROR(__xludf.DUMMYFUNCTION("""COMPUTED_VALUE"""),"176")</f>
        <v>176</v>
      </c>
      <c r="O29" s="1" t="str">
        <f>IFERROR(__xludf.DUMMYFUNCTION("""COMPUTED_VALUE"""),"Hyperscale (100-999 MW)")</f>
        <v>Hyperscale (100-999 MW)</v>
      </c>
      <c r="P29" s="1" t="str">
        <f>IFERROR(__xludf.DUMMYFUNCTION("""COMPUTED_VALUE"""),"")</f>
        <v/>
      </c>
      <c r="Q29" s="1" t="str">
        <f>IFERROR(__xludf.DUMMYFUNCTION("""COMPUTED_VALUE"""),"")</f>
        <v/>
      </c>
      <c r="R29" s="1" t="str">
        <f>IFERROR(__xludf.DUMMYFUNCTION("""COMPUTED_VALUE"""),"")</f>
        <v/>
      </c>
      <c r="S29" s="1" t="str">
        <f>IFERROR(__xludf.DUMMYFUNCTION("""COMPUTED_VALUE"""),"")</f>
        <v/>
      </c>
      <c r="T29" s="1" t="str">
        <f>IFERROR(__xludf.DUMMYFUNCTION("""COMPUTED_VALUE"""),"")</f>
        <v/>
      </c>
      <c r="U29" s="1" t="str">
        <f>IFERROR(__xludf.DUMMYFUNCTION("""COMPUTED_VALUE"""),"")</f>
        <v/>
      </c>
      <c r="V29" s="1" t="str">
        <f>IFERROR(__xludf.DUMMYFUNCTION("""COMPUTED_VALUE"""),"")</f>
        <v/>
      </c>
      <c r="W29" s="1" t="str">
        <f>IFERROR(__xludf.DUMMYFUNCTION("""COMPUTED_VALUE"""),"")</f>
        <v/>
      </c>
      <c r="X29" s="1" t="str">
        <f>IFERROR(__xludf.DUMMYFUNCTION("""COMPUTED_VALUE"""),"")</f>
        <v/>
      </c>
      <c r="Y29" s="1" t="str">
        <f>IFERROR(__xludf.DUMMYFUNCTION("""COMPUTED_VALUE"""),"")</f>
        <v/>
      </c>
      <c r="Z29" s="1" t="str">
        <f>IFERROR(__xludf.DUMMYFUNCTION("""COMPUTED_VALUE"""),"Unknown")</f>
        <v>Unknown</v>
      </c>
      <c r="AA29" s="1" t="str">
        <f>IFERROR(__xludf.DUMMYFUNCTION("""COMPUTED_VALUE"""),"")</f>
        <v/>
      </c>
      <c r="AB29" s="1" t="str">
        <f>IFERROR(__xludf.DUMMYFUNCTION("""COMPUTED_VALUE"""),"")</f>
        <v/>
      </c>
      <c r="AC29" s="1" t="str">
        <f>IFERROR(__xludf.DUMMYFUNCTION("""COMPUTED_VALUE"""),"")</f>
        <v/>
      </c>
      <c r="AD29" s="1" t="str">
        <f>IFERROR(__xludf.DUMMYFUNCTION("""COMPUTED_VALUE"""),"")</f>
        <v/>
      </c>
      <c r="AE29" s="1" t="str">
        <f>IFERROR(__xludf.DUMMYFUNCTION("""COMPUTED_VALUE"""),"")</f>
        <v/>
      </c>
      <c r="AF29" s="1" t="str">
        <f>IFERROR(__xludf.DUMMYFUNCTION("""COMPUTED_VALUE"""),"")</f>
        <v/>
      </c>
      <c r="AG29" s="1" t="str">
        <f>IFERROR(__xludf.DUMMYFUNCTION("""COMPUTED_VALUE"""),"")</f>
        <v/>
      </c>
      <c r="AH29" s="1" t="str">
        <f>IFERROR(__xludf.DUMMYFUNCTION("""COMPUTED_VALUE"""),"Media Monitoring")</f>
        <v>Media Monitoring</v>
      </c>
      <c r="AI29" s="2" t="str">
        <f>IFERROR(__xludf.DUMMYFUNCTION("""COMPUTED_VALUE"""),"https://www.datacenterdynamics.com/en/news/vantage-completes-construction-on-first-data-center-in-goodyear-arizona/")</f>
        <v>https://www.datacenterdynamics.com/en/news/vantage-completes-construction-on-first-data-center-in-goodyear-arizona/</v>
      </c>
      <c r="AJ29" s="2" t="str">
        <f>IFERROR(__xludf.DUMMYFUNCTION("""COMPUTED_VALUE"""),"https://vantage-dc.com/news/vantage-data-centers-and-mccarthy-building-companies-celebrate-topping-out-of-construction-on-phase-ii-of-major-data-center-project-in-goodyear-ariz/?utm_source=chatgpt.com")</f>
        <v>https://vantage-dc.com/news/vantage-data-centers-and-mccarthy-building-companies-celebrate-topping-out-of-construction-on-phase-ii-of-major-data-center-project-in-goodyear-ariz/?utm_source=chatgpt.com</v>
      </c>
      <c r="AK29" s="1" t="str">
        <f>IFERROR(__xludf.DUMMYFUNCTION("""COMPUTED_VALUE"""),"")</f>
        <v/>
      </c>
      <c r="AL29" s="1" t="str">
        <f>IFERROR(__xludf.DUMMYFUNCTION("""COMPUTED_VALUE"""),"")</f>
        <v/>
      </c>
      <c r="AM29" s="1" t="str">
        <f>IFERROR(__xludf.DUMMYFUNCTION("""COMPUTED_VALUE"""),"")</f>
        <v/>
      </c>
      <c r="AN29" s="1" t="str">
        <f>IFERROR(__xludf.DUMMYFUNCTION("""COMPUTED_VALUE"""),"")</f>
        <v/>
      </c>
      <c r="AO29" s="1" t="str">
        <f>IFERROR(__xludf.DUMMYFUNCTION("""COMPUTED_VALUE"""),"")</f>
        <v/>
      </c>
      <c r="AP29" s="1" t="str">
        <f>IFERROR(__xludf.DUMMYFUNCTION("""COMPUTED_VALUE"""),"")</f>
        <v/>
      </c>
      <c r="AQ29" s="1" t="str">
        <f>IFERROR(__xludf.DUMMYFUNCTION("""COMPUTED_VALUE"""),"05/28/2025")</f>
        <v>05/28/2025</v>
      </c>
      <c r="AR29" s="1" t="str">
        <f>IFERROR(__xludf.DUMMYFUNCTION("""COMPUTED_VALUE"""),"05/28/2025")</f>
        <v>05/28/2025</v>
      </c>
    </row>
    <row r="30">
      <c r="A30" s="1" t="str">
        <f>IFERROR(__xludf.DUMMYFUNCTION("""COMPUTED_VALUE"""),"Vintage Partners ")</f>
        <v>Vintage Partners </v>
      </c>
      <c r="B30" s="1" t="str">
        <f>IFERROR(__xludf.DUMMYFUNCTION("""COMPUTED_VALUE""")," Lower Buckeye Road and the Loop 202")</f>
        <v> Lower Buckeye Road and the Loop 202</v>
      </c>
      <c r="C30" s="1" t="str">
        <f>IFERROR(__xludf.DUMMYFUNCTION("""COMPUTED_VALUE"""),"Laveen, Phoenix")</f>
        <v>Laveen, Phoenix</v>
      </c>
      <c r="D30" s="1" t="str">
        <f>IFERROR(__xludf.DUMMYFUNCTION("""COMPUTED_VALUE"""),"AZ")</f>
        <v>AZ</v>
      </c>
      <c r="E30" s="1" t="str">
        <f>IFERROR(__xludf.DUMMYFUNCTION("""COMPUTED_VALUE"""),"85043")</f>
        <v>85043</v>
      </c>
      <c r="F30" s="1" t="str">
        <f>IFERROR(__xludf.DUMMYFUNCTION("""COMPUTED_VALUE"""),"Maricopa")</f>
        <v>Maricopa</v>
      </c>
      <c r="G30" s="1" t="str">
        <f>IFERROR(__xludf.DUMMYFUNCTION("""COMPUTED_VALUE"""),"33.421955")</f>
        <v>33.421955</v>
      </c>
      <c r="H30" s="1" t="str">
        <f>IFERROR(__xludf.DUMMYFUNCTION("""COMPUTED_VALUE"""),"-112.19218")</f>
        <v>-112.19218</v>
      </c>
      <c r="I30" s="1" t="str">
        <f>IFERROR(__xludf.DUMMYFUNCTION("""COMPUTED_VALUE"""),"Cancelled")</f>
        <v>Cancelled</v>
      </c>
      <c r="J30" s="1" t="str">
        <f>IFERROR(__xludf.DUMMYFUNCTION("""COMPUTED_VALUE"""),"Medium")</f>
        <v>Medium</v>
      </c>
      <c r="K30" s="1" t="str">
        <f>IFERROR(__xludf.DUMMYFUNCTION("""COMPUTED_VALUE"""),"")</f>
        <v/>
      </c>
      <c r="L30" s="1" t="str">
        <f>IFERROR(__xludf.DUMMYFUNCTION("""COMPUTED_VALUE"""),"")</f>
        <v/>
      </c>
      <c r="M30" s="1" t="str">
        <f>IFERROR(__xludf.DUMMYFUNCTION("""COMPUTED_VALUE"""),"")</f>
        <v/>
      </c>
      <c r="N30" s="1" t="str">
        <f>IFERROR(__xludf.DUMMYFUNCTION("""COMPUTED_VALUE"""),"")</f>
        <v/>
      </c>
      <c r="O30" s="1" t="str">
        <f>IFERROR(__xludf.DUMMYFUNCTION("""COMPUTED_VALUE"""),"Unknown")</f>
        <v>Unknown</v>
      </c>
      <c r="P30" s="1" t="str">
        <f>IFERROR(__xludf.DUMMYFUNCTION("""COMPUTED_VALUE"""),"")</f>
        <v/>
      </c>
      <c r="Q30" s="1" t="str">
        <f>IFERROR(__xludf.DUMMYFUNCTION("""COMPUTED_VALUE"""),"")</f>
        <v/>
      </c>
      <c r="R30" s="1" t="str">
        <f>IFERROR(__xludf.DUMMYFUNCTION("""COMPUTED_VALUE"""),"")</f>
        <v/>
      </c>
      <c r="S30" s="1" t="str">
        <f>IFERROR(__xludf.DUMMYFUNCTION("""COMPUTED_VALUE"""),"")</f>
        <v/>
      </c>
      <c r="T30" s="1" t="str">
        <f>IFERROR(__xludf.DUMMYFUNCTION("""COMPUTED_VALUE"""),"")</f>
        <v/>
      </c>
      <c r="U30" s="1" t="str">
        <f>IFERROR(__xludf.DUMMYFUNCTION("""COMPUTED_VALUE"""),"")</f>
        <v/>
      </c>
      <c r="V30" s="1" t="str">
        <f>IFERROR(__xludf.DUMMYFUNCTION("""COMPUTED_VALUE"""),"")</f>
        <v/>
      </c>
      <c r="W30" s="1" t="str">
        <f>IFERROR(__xludf.DUMMYFUNCTION("""COMPUTED_VALUE"""),"63")</f>
        <v>63</v>
      </c>
      <c r="X30" s="1" t="str">
        <f>IFERROR(__xludf.DUMMYFUNCTION("""COMPUTED_VALUE"""),"")</f>
        <v/>
      </c>
      <c r="Y30" s="1" t="str">
        <f>IFERROR(__xludf.DUMMYFUNCTION("""COMPUTED_VALUE"""),"")</f>
        <v/>
      </c>
      <c r="Z30" s="1" t="str">
        <f>IFERROR(__xludf.DUMMYFUNCTION("""COMPUTED_VALUE"""),"Unknown")</f>
        <v>Unknown</v>
      </c>
      <c r="AA30" s="1" t="str">
        <f>IFERROR(__xludf.DUMMYFUNCTION("""COMPUTED_VALUE"""),"")</f>
        <v/>
      </c>
      <c r="AB30" s="1" t="str">
        <f>IFERROR(__xludf.DUMMYFUNCTION("""COMPUTED_VALUE"""),"")</f>
        <v/>
      </c>
      <c r="AC30" s="1" t="str">
        <f>IFERROR(__xludf.DUMMYFUNCTION("""COMPUTED_VALUE"""),"")</f>
        <v/>
      </c>
      <c r="AD30" s="1" t="str">
        <f>IFERROR(__xludf.DUMMYFUNCTION("""COMPUTED_VALUE"""),"")</f>
        <v/>
      </c>
      <c r="AE30" s="1" t="str">
        <f>IFERROR(__xludf.DUMMYFUNCTION("""COMPUTED_VALUE"""),"")</f>
        <v/>
      </c>
      <c r="AF30" s="1" t="str">
        <f>IFERROR(__xludf.DUMMYFUNCTION("""COMPUTED_VALUE"""),"")</f>
        <v/>
      </c>
      <c r="AG30" s="1" t="str">
        <f>IFERROR(__xludf.DUMMYFUNCTION("""COMPUTED_VALUE"""),"Will be a mixed-use project instead")</f>
        <v>Will be a mixed-use project instead</v>
      </c>
      <c r="AH30" s="1" t="str">
        <f>IFERROR(__xludf.DUMMYFUNCTION("""COMPUTED_VALUE"""),"Media Monitoring")</f>
        <v>Media Monitoring</v>
      </c>
      <c r="AI30" s="2" t="str">
        <f>IFERROR(__xludf.DUMMYFUNCTION("""COMPUTED_VALUE"""),"https://www.datacenterdynamics.com/en/news/vintage-partners-scraps-phoenix-arizona-data-center-plans/")</f>
        <v>https://www.datacenterdynamics.com/en/news/vintage-partners-scraps-phoenix-arizona-data-center-plans/</v>
      </c>
      <c r="AJ30" s="1" t="str">
        <f>IFERROR(__xludf.DUMMYFUNCTION("""COMPUTED_VALUE"""),"")</f>
        <v/>
      </c>
      <c r="AK30" s="1" t="str">
        <f>IFERROR(__xludf.DUMMYFUNCTION("""COMPUTED_VALUE"""),"")</f>
        <v/>
      </c>
      <c r="AL30" s="1" t="str">
        <f>IFERROR(__xludf.DUMMYFUNCTION("""COMPUTED_VALUE"""),"")</f>
        <v/>
      </c>
      <c r="AM30" s="1" t="str">
        <f>IFERROR(__xludf.DUMMYFUNCTION("""COMPUTED_VALUE"""),"")</f>
        <v/>
      </c>
      <c r="AN30" s="1" t="str">
        <f>IFERROR(__xludf.DUMMYFUNCTION("""COMPUTED_VALUE"""),"")</f>
        <v/>
      </c>
      <c r="AO30" s="1" t="str">
        <f>IFERROR(__xludf.DUMMYFUNCTION("""COMPUTED_VALUE"""),"")</f>
        <v/>
      </c>
      <c r="AP30" s="1" t="str">
        <f>IFERROR(__xludf.DUMMYFUNCTION("""COMPUTED_VALUE"""),"")</f>
        <v/>
      </c>
      <c r="AQ30" s="1" t="str">
        <f>IFERROR(__xludf.DUMMYFUNCTION("""COMPUTED_VALUE"""),"03/14/2026")</f>
        <v>03/14/2026</v>
      </c>
      <c r="AR30" s="1" t="str">
        <f>IFERROR(__xludf.DUMMYFUNCTION("""COMPUTED_VALUE"""),"03/14/2026")</f>
        <v>03/14/2026</v>
      </c>
    </row>
    <row r="31">
      <c r="A31" s="1" t="str">
        <f>IFERROR(__xludf.DUMMYFUNCTION("""COMPUTED_VALUE"""),"Project Blue Marana")</f>
        <v>Project Blue Marana</v>
      </c>
      <c r="B31" s="1" t="str">
        <f>IFERROR(__xludf.DUMMYFUNCTION("""COMPUTED_VALUE"""),"14990 W Hardin Rd")</f>
        <v>14990 W Hardin Rd</v>
      </c>
      <c r="C31" s="1" t="str">
        <f>IFERROR(__xludf.DUMMYFUNCTION("""COMPUTED_VALUE"""),"Marana")</f>
        <v>Marana</v>
      </c>
      <c r="D31" s="1" t="str">
        <f>IFERROR(__xludf.DUMMYFUNCTION("""COMPUTED_VALUE"""),"AZ")</f>
        <v>AZ</v>
      </c>
      <c r="E31" s="1" t="str">
        <f>IFERROR(__xludf.DUMMYFUNCTION("""COMPUTED_VALUE"""),"85653")</f>
        <v>85653</v>
      </c>
      <c r="F31" s="1" t="str">
        <f>IFERROR(__xludf.DUMMYFUNCTION("""COMPUTED_VALUE"""),"Pima")</f>
        <v>Pima</v>
      </c>
      <c r="G31" s="1" t="str">
        <f>IFERROR(__xludf.DUMMYFUNCTION("""COMPUTED_VALUE"""),"32.4929")</f>
        <v>32.4929</v>
      </c>
      <c r="H31" s="1" t="str">
        <f>IFERROR(__xludf.DUMMYFUNCTION("""COMPUTED_VALUE"""),"-111.28652")</f>
        <v>-111.28652</v>
      </c>
      <c r="I31" s="1" t="str">
        <f>IFERROR(__xludf.DUMMYFUNCTION("""COMPUTED_VALUE"""),"Proposed")</f>
        <v>Proposed</v>
      </c>
      <c r="J31" s="1" t="str">
        <f>IFERROR(__xludf.DUMMYFUNCTION("""COMPUTED_VALUE"""),"High")</f>
        <v>High</v>
      </c>
      <c r="K31" s="1" t="str">
        <f>IFERROR(__xludf.DUMMYFUNCTION("""COMPUTED_VALUE"""),"")</f>
        <v/>
      </c>
      <c r="L31" s="1" t="str">
        <f>IFERROR(__xludf.DUMMYFUNCTION("""COMPUTED_VALUE"""),"Beale Infrastructure")</f>
        <v>Beale Infrastructure</v>
      </c>
      <c r="M31" s="1" t="str">
        <f>IFERROR(__xludf.DUMMYFUNCTION("""COMPUTED_VALUE"""),"")</f>
        <v/>
      </c>
      <c r="N31" s="1" t="str">
        <f>IFERROR(__xludf.DUMMYFUNCTION("""COMPUTED_VALUE"""),"250-600")</f>
        <v>250-600</v>
      </c>
      <c r="O31" s="1" t="str">
        <f>IFERROR(__xludf.DUMMYFUNCTION("""COMPUTED_VALUE"""),"Hyperscale (100-999 MW)")</f>
        <v>Hyperscale (100-999 MW)</v>
      </c>
      <c r="P31" s="1" t="str">
        <f>IFERROR(__xludf.DUMMYFUNCTION("""COMPUTED_VALUE"""),"")</f>
        <v/>
      </c>
      <c r="Q31" s="1" t="str">
        <f>IFERROR(__xludf.DUMMYFUNCTION("""COMPUTED_VALUE"""),"")</f>
        <v/>
      </c>
      <c r="R31" s="1" t="str">
        <f>IFERROR(__xludf.DUMMYFUNCTION("""COMPUTED_VALUE"""),"")</f>
        <v/>
      </c>
      <c r="S31" s="1" t="str">
        <f>IFERROR(__xludf.DUMMYFUNCTION("""COMPUTED_VALUE"""),"")</f>
        <v/>
      </c>
      <c r="T31" s="1" t="str">
        <f>IFERROR(__xludf.DUMMYFUNCTION("""COMPUTED_VALUE"""),"Air")</f>
        <v>Air</v>
      </c>
      <c r="U31" s="1" t="str">
        <f>IFERROR(__xludf.DUMMYFUNCTION("""COMPUTED_VALUE"""),"")</f>
        <v/>
      </c>
      <c r="V31" s="1" t="str">
        <f>IFERROR(__xludf.DUMMYFUNCTION("""COMPUTED_VALUE"""),"")</f>
        <v/>
      </c>
      <c r="W31" s="1" t="str">
        <f>IFERROR(__xludf.DUMMYFUNCTION("""COMPUTED_VALUE"""),"610")</f>
        <v>610</v>
      </c>
      <c r="X31" s="1" t="str">
        <f>IFERROR(__xludf.DUMMYFUNCTION("""COMPUTED_VALUE"""),"")</f>
        <v/>
      </c>
      <c r="Y31" s="1" t="str">
        <f>IFERROR(__xludf.DUMMYFUNCTION("""COMPUTED_VALUE"""),"2027")</f>
        <v>2027</v>
      </c>
      <c r="Z31" s="1" t="str">
        <f>IFERROR(__xludf.DUMMYFUNCTION("""COMPUTED_VALUE"""),"Yes")</f>
        <v>Yes</v>
      </c>
      <c r="AA31" s="1" t="str">
        <f>IFERROR(__xludf.DUMMYFUNCTION("""COMPUTED_VALUE"""),"")</f>
        <v/>
      </c>
      <c r="AB31" s="1" t="str">
        <f>IFERROR(__xludf.DUMMYFUNCTION("""COMPUTED_VALUE"""),"Emerging Concern")</f>
        <v>Emerging Concern</v>
      </c>
      <c r="AC31" s="1" t="str">
        <f>IFERROR(__xludf.DUMMYFUNCTION("""COMPUTED_VALUE"""),"")</f>
        <v/>
      </c>
      <c r="AD31" s="2" t="str">
        <f>IFERROR(__xludf.DUMMYFUNCTION("""COMPUTED_VALUE"""),"https://www.facebook.com/groups/1247158236748842/")</f>
        <v>https://www.facebook.com/groups/1247158236748842/</v>
      </c>
      <c r="AE31" s="1" t="str">
        <f>IFERROR(__xludf.DUMMYFUNCTION("""COMPUTED_VALUE"""),"")</f>
        <v/>
      </c>
      <c r="AF31" s="1" t="str">
        <f>IFERROR(__xludf.DUMMYFUNCTION("""COMPUTED_VALUE"""),"")</f>
        <v/>
      </c>
      <c r="AG31" s="1" t="str">
        <f>IFERROR(__xludf.DUMMYFUNCTION("""COMPUTED_VALUE"""),"")</f>
        <v/>
      </c>
      <c r="AH31" s="1" t="str">
        <f>IFERROR(__xludf.DUMMYFUNCTION("""COMPUTED_VALUE"""),"Media Monitoring")</f>
        <v>Media Monitoring</v>
      </c>
      <c r="AI31" s="2" t="str">
        <f>IFERROR(__xludf.DUMMYFUNCTION("""COMPUTED_VALUE"""),"https://tucson.com/news/local/environment/article_52f0d4ba-aa9e-4c17-b290-ca3c2ad8d011.html")</f>
        <v>https://tucson.com/news/local/environment/article_52f0d4ba-aa9e-4c17-b290-ca3c2ad8d011.html</v>
      </c>
      <c r="AJ31" s="2" t="str">
        <f>IFERROR(__xludf.DUMMYFUNCTION("""COMPUTED_VALUE"""),"https://tucson.com/news/local/government-politics/article_b7e0a874-021f-406b-9722-7c8ef05bf476.html")</f>
        <v>https://tucson.com/news/local/government-politics/article_b7e0a874-021f-406b-9722-7c8ef05bf476.html</v>
      </c>
      <c r="AK31" s="2" t="str">
        <f>IFERROR(__xludf.DUMMYFUNCTION("""COMPUTED_VALUE"""),"https://news.azpm.org/s/102447-marana-town-council-approves-rezoning-for-luckett-road-project-600-acre-hyperscale-data-center/")</f>
        <v>https://news.azpm.org/s/102447-marana-town-council-approves-rezoning-for-luckett-road-project-600-acre-hyperscale-data-center/</v>
      </c>
      <c r="AL31" s="2" t="str">
        <f>IFERROR(__xludf.DUMMYFUNCTION("""COMPUTED_VALUE"""),"https://www.maranaaz.gov/files/assets/cityofmarana/v/2/development-services/documents/data-centers/luckett-data-center.pdf")</f>
        <v>https://www.maranaaz.gov/files/assets/cityofmarana/v/2/development-services/documents/data-centers/luckett-data-center.pdf</v>
      </c>
      <c r="AM31" s="2" t="str">
        <f>IFERROR(__xludf.DUMMYFUNCTION("""COMPUTED_VALUE"""),"https://www.tucsonaz.gov/files/sharedassets/public/v/1/government/city-manager-office/documents/project-blue_faq-responses_final.pdf")</f>
        <v>https://www.tucsonaz.gov/files/sharedassets/public/v/1/government/city-manager-office/documents/project-blue_faq-responses_final.pdf</v>
      </c>
      <c r="AN31" s="1" t="str">
        <f>IFERROR(__xludf.DUMMYFUNCTION("""COMPUTED_VALUE"""),"")</f>
        <v/>
      </c>
      <c r="AO31" s="1" t="str">
        <f>IFERROR(__xludf.DUMMYFUNCTION("""COMPUTED_VALUE"""),"")</f>
        <v/>
      </c>
      <c r="AP31" s="1" t="str">
        <f>IFERROR(__xludf.DUMMYFUNCTION("""COMPUTED_VALUE"""),"")</f>
        <v/>
      </c>
      <c r="AQ31" s="1" t="str">
        <f>IFERROR(__xludf.DUMMYFUNCTION("""COMPUTED_VALUE"""),"01/11/2026")</f>
        <v>01/11/2026</v>
      </c>
      <c r="AR31" s="1" t="str">
        <f>IFERROR(__xludf.DUMMYFUNCTION("""COMPUTED_VALUE"""),"05/17/2026")</f>
        <v>05/17/2026</v>
      </c>
    </row>
    <row r="32">
      <c r="A32" s="1" t="str">
        <f>IFERROR(__xludf.DUMMYFUNCTION("""COMPUTED_VALUE"""),"Apple Data Center")</f>
        <v>Apple Data Center</v>
      </c>
      <c r="B32" s="1" t="str">
        <f>IFERROR(__xludf.DUMMYFUNCTION("""COMPUTED_VALUE"""),"3740 S Signal Butte Rd")</f>
        <v>3740 S Signal Butte Rd</v>
      </c>
      <c r="C32" s="1" t="str">
        <f>IFERROR(__xludf.DUMMYFUNCTION("""COMPUTED_VALUE"""),"Mesa")</f>
        <v>Mesa</v>
      </c>
      <c r="D32" s="1" t="str">
        <f>IFERROR(__xludf.DUMMYFUNCTION("""COMPUTED_VALUE"""),"AZ")</f>
        <v>AZ</v>
      </c>
      <c r="E32" s="1" t="str">
        <f>IFERROR(__xludf.DUMMYFUNCTION("""COMPUTED_VALUE"""),"85212")</f>
        <v>85212</v>
      </c>
      <c r="F32" s="1" t="str">
        <f>IFERROR(__xludf.DUMMYFUNCTION("""COMPUTED_VALUE"""),"Maricopa")</f>
        <v>Maricopa</v>
      </c>
      <c r="G32" s="1" t="str">
        <f>IFERROR(__xludf.DUMMYFUNCTION("""COMPUTED_VALUE"""),"33.3471")</f>
        <v>33.3471</v>
      </c>
      <c r="H32" s="1" t="str">
        <f>IFERROR(__xludf.DUMMYFUNCTION("""COMPUTED_VALUE"""),"-111.604")</f>
        <v>-111.604</v>
      </c>
      <c r="I32" s="1" t="str">
        <f>IFERROR(__xludf.DUMMYFUNCTION("""COMPUTED_VALUE"""),"Operating")</f>
        <v>Operating</v>
      </c>
      <c r="J32" s="1" t="str">
        <f>IFERROR(__xludf.DUMMYFUNCTION("""COMPUTED_VALUE"""),"High")</f>
        <v>High</v>
      </c>
      <c r="K32" s="1" t="str">
        <f>IFERROR(__xludf.DUMMYFUNCTION("""COMPUTED_VALUE"""),"")</f>
        <v/>
      </c>
      <c r="L32" s="1" t="str">
        <f>IFERROR(__xludf.DUMMYFUNCTION("""COMPUTED_VALUE"""),"")</f>
        <v/>
      </c>
      <c r="M32" s="1" t="str">
        <f>IFERROR(__xludf.DUMMYFUNCTION("""COMPUTED_VALUE"""),"")</f>
        <v/>
      </c>
      <c r="N32" s="1" t="str">
        <f>IFERROR(__xludf.DUMMYFUNCTION("""COMPUTED_VALUE"""),"")</f>
        <v/>
      </c>
      <c r="O32" s="1" t="str">
        <f>IFERROR(__xludf.DUMMYFUNCTION("""COMPUTED_VALUE"""),"Unknown")</f>
        <v>Unknown</v>
      </c>
      <c r="P32" s="1" t="str">
        <f>IFERROR(__xludf.DUMMYFUNCTION("""COMPUTED_VALUE"""),"")</f>
        <v/>
      </c>
      <c r="Q32" s="1" t="str">
        <f>IFERROR(__xludf.DUMMYFUNCTION("""COMPUTED_VALUE"""),"")</f>
        <v/>
      </c>
      <c r="R32" s="1" t="str">
        <f>IFERROR(__xludf.DUMMYFUNCTION("""COMPUTED_VALUE"""),"")</f>
        <v/>
      </c>
      <c r="S32" s="1" t="str">
        <f>IFERROR(__xludf.DUMMYFUNCTION("""COMPUTED_VALUE"""),"")</f>
        <v/>
      </c>
      <c r="T32" s="1" t="str">
        <f>IFERROR(__xludf.DUMMYFUNCTION("""COMPUTED_VALUE"""),"")</f>
        <v/>
      </c>
      <c r="U32" s="1" t="str">
        <f>IFERROR(__xludf.DUMMYFUNCTION("""COMPUTED_VALUE"""),"")</f>
        <v/>
      </c>
      <c r="V32" s="1" t="str">
        <f>IFERROR(__xludf.DUMMYFUNCTION("""COMPUTED_VALUE"""),"")</f>
        <v/>
      </c>
      <c r="W32" s="1" t="str">
        <f>IFERROR(__xludf.DUMMYFUNCTION("""COMPUTED_VALUE"""),"")</f>
        <v/>
      </c>
      <c r="X32" s="1" t="str">
        <f>IFERROR(__xludf.DUMMYFUNCTION("""COMPUTED_VALUE"""),"")</f>
        <v/>
      </c>
      <c r="Y32" s="1" t="str">
        <f>IFERROR(__xludf.DUMMYFUNCTION("""COMPUTED_VALUE"""),"")</f>
        <v/>
      </c>
      <c r="Z32" s="1" t="str">
        <f>IFERROR(__xludf.DUMMYFUNCTION("""COMPUTED_VALUE"""),"Unknown")</f>
        <v>Unknown</v>
      </c>
      <c r="AA32" s="1" t="str">
        <f>IFERROR(__xludf.DUMMYFUNCTION("""COMPUTED_VALUE"""),"")</f>
        <v/>
      </c>
      <c r="AB32" s="1" t="str">
        <f>IFERROR(__xludf.DUMMYFUNCTION("""COMPUTED_VALUE"""),"")</f>
        <v/>
      </c>
      <c r="AC32" s="1" t="str">
        <f>IFERROR(__xludf.DUMMYFUNCTION("""COMPUTED_VALUE"""),"")</f>
        <v/>
      </c>
      <c r="AD32" s="1" t="str">
        <f>IFERROR(__xludf.DUMMYFUNCTION("""COMPUTED_VALUE"""),"")</f>
        <v/>
      </c>
      <c r="AE32" s="1" t="str">
        <f>IFERROR(__xludf.DUMMYFUNCTION("""COMPUTED_VALUE"""),"")</f>
        <v/>
      </c>
      <c r="AF32" s="1" t="str">
        <f>IFERROR(__xludf.DUMMYFUNCTION("""COMPUTED_VALUE"""),"")</f>
        <v/>
      </c>
      <c r="AG32" s="1" t="str">
        <f>IFERROR(__xludf.DUMMYFUNCTION("""COMPUTED_VALUE"""),"")</f>
        <v/>
      </c>
      <c r="AH32" s="1" t="str">
        <f>IFERROR(__xludf.DUMMYFUNCTION("""COMPUTED_VALUE"""),"Media Monitoring")</f>
        <v>Media Monitoring</v>
      </c>
      <c r="AI32" s="2" t="str">
        <f>IFERROR(__xludf.DUMMYFUNCTION("""COMPUTED_VALUE"""),"https://www.datacenterdynamics.com/en/news/aws-plots-four-data-centers-in-mesa-arizona/")</f>
        <v>https://www.datacenterdynamics.com/en/news/aws-plots-four-data-centers-in-mesa-arizona/</v>
      </c>
      <c r="AJ32" s="1" t="str">
        <f>IFERROR(__xludf.DUMMYFUNCTION("""COMPUTED_VALUE"""),"")</f>
        <v/>
      </c>
      <c r="AK32" s="1" t="str">
        <f>IFERROR(__xludf.DUMMYFUNCTION("""COMPUTED_VALUE"""),"")</f>
        <v/>
      </c>
      <c r="AL32" s="1" t="str">
        <f>IFERROR(__xludf.DUMMYFUNCTION("""COMPUTED_VALUE"""),"")</f>
        <v/>
      </c>
      <c r="AM32" s="1" t="str">
        <f>IFERROR(__xludf.DUMMYFUNCTION("""COMPUTED_VALUE"""),"")</f>
        <v/>
      </c>
      <c r="AN32" s="1" t="str">
        <f>IFERROR(__xludf.DUMMYFUNCTION("""COMPUTED_VALUE"""),"")</f>
        <v/>
      </c>
      <c r="AO32" s="1" t="str">
        <f>IFERROR(__xludf.DUMMYFUNCTION("""COMPUTED_VALUE"""),"")</f>
        <v/>
      </c>
      <c r="AP32" s="1" t="str">
        <f>IFERROR(__xludf.DUMMYFUNCTION("""COMPUTED_VALUE"""),"")</f>
        <v/>
      </c>
      <c r="AQ32" s="1" t="str">
        <f>IFERROR(__xludf.DUMMYFUNCTION("""COMPUTED_VALUE"""),"08/14/2025")</f>
        <v>08/14/2025</v>
      </c>
      <c r="AR32" s="1" t="str">
        <f>IFERROR(__xludf.DUMMYFUNCTION("""COMPUTED_VALUE"""),"08/14/2025")</f>
        <v>08/14/2025</v>
      </c>
    </row>
    <row r="33">
      <c r="A33" s="1" t="str">
        <f>IFERROR(__xludf.DUMMYFUNCTION("""COMPUTED_VALUE"""),"Edged Mesa Data Center")</f>
        <v>Edged Mesa Data Center</v>
      </c>
      <c r="B33" s="1" t="str">
        <f>IFERROR(__xludf.DUMMYFUNCTION("""COMPUTED_VALUE"""),"8811 E Warner Rd")</f>
        <v>8811 E Warner Rd</v>
      </c>
      <c r="C33" s="1" t="str">
        <f>IFERROR(__xludf.DUMMYFUNCTION("""COMPUTED_VALUE"""),"Mesa")</f>
        <v>Mesa</v>
      </c>
      <c r="D33" s="1" t="str">
        <f>IFERROR(__xludf.DUMMYFUNCTION("""COMPUTED_VALUE"""),"AZ")</f>
        <v>AZ</v>
      </c>
      <c r="E33" s="1" t="str">
        <f>IFERROR(__xludf.DUMMYFUNCTION("""COMPUTED_VALUE"""),"85212")</f>
        <v>85212</v>
      </c>
      <c r="F33" s="1" t="str">
        <f>IFERROR(__xludf.DUMMYFUNCTION("""COMPUTED_VALUE"""),"Maricopa")</f>
        <v>Maricopa</v>
      </c>
      <c r="G33" s="1" t="str">
        <f>IFERROR(__xludf.DUMMYFUNCTION("""COMPUTED_VALUE"""),"33.335514")</f>
        <v>33.335514</v>
      </c>
      <c r="H33" s="1" t="str">
        <f>IFERROR(__xludf.DUMMYFUNCTION("""COMPUTED_VALUE"""),"-111.64406")</f>
        <v>-111.64406</v>
      </c>
      <c r="I33" s="1" t="str">
        <f>IFERROR(__xludf.DUMMYFUNCTION("""COMPUTED_VALUE"""),"Operating")</f>
        <v>Operating</v>
      </c>
      <c r="J33" s="1" t="str">
        <f>IFERROR(__xludf.DUMMYFUNCTION("""COMPUTED_VALUE"""),"High")</f>
        <v>High</v>
      </c>
      <c r="K33" s="1" t="str">
        <f>IFERROR(__xludf.DUMMYFUNCTION("""COMPUTED_VALUE"""),"")</f>
        <v/>
      </c>
      <c r="L33" s="1" t="str">
        <f>IFERROR(__xludf.DUMMYFUNCTION("""COMPUTED_VALUE"""),"Edged")</f>
        <v>Edged</v>
      </c>
      <c r="M33" s="1" t="str">
        <f>IFERROR(__xludf.DUMMYFUNCTION("""COMPUTED_VALUE"""),"")</f>
        <v/>
      </c>
      <c r="N33" s="1" t="str">
        <f>IFERROR(__xludf.DUMMYFUNCTION("""COMPUTED_VALUE"""),"36")</f>
        <v>36</v>
      </c>
      <c r="O33" s="1" t="str">
        <f>IFERROR(__xludf.DUMMYFUNCTION("""COMPUTED_VALUE"""),"Medium (11-50 MW)")</f>
        <v>Medium (11-50 MW)</v>
      </c>
      <c r="P33" s="1" t="str">
        <f>IFERROR(__xludf.DUMMYFUNCTION("""COMPUTED_VALUE"""),"")</f>
        <v/>
      </c>
      <c r="Q33" s="1" t="str">
        <f>IFERROR(__xludf.DUMMYFUNCTION("""COMPUTED_VALUE"""),"")</f>
        <v/>
      </c>
      <c r="R33" s="1" t="str">
        <f>IFERROR(__xludf.DUMMYFUNCTION("""COMPUTED_VALUE"""),"")</f>
        <v/>
      </c>
      <c r="S33" s="1" t="str">
        <f>IFERROR(__xludf.DUMMYFUNCTION("""COMPUTED_VALUE"""),"")</f>
        <v/>
      </c>
      <c r="T33" s="1" t="str">
        <f>IFERROR(__xludf.DUMMYFUNCTION("""COMPUTED_VALUE"""),"")</f>
        <v/>
      </c>
      <c r="U33" s="1" t="str">
        <f>IFERROR(__xludf.DUMMYFUNCTION("""COMPUTED_VALUE"""),"")</f>
        <v/>
      </c>
      <c r="V33" s="1" t="str">
        <f>IFERROR(__xludf.DUMMYFUNCTION("""COMPUTED_VALUE"""),"210,000")</f>
        <v>210,000</v>
      </c>
      <c r="W33" s="1" t="str">
        <f>IFERROR(__xludf.DUMMYFUNCTION("""COMPUTED_VALUE"""),"12")</f>
        <v>12</v>
      </c>
      <c r="X33" s="1" t="str">
        <f>IFERROR(__xludf.DUMMYFUNCTION("""COMPUTED_VALUE"""),"")</f>
        <v/>
      </c>
      <c r="Y33" s="1" t="str">
        <f>IFERROR(__xludf.DUMMYFUNCTION("""COMPUTED_VALUE"""),"")</f>
        <v/>
      </c>
      <c r="Z33" s="1" t="str">
        <f>IFERROR(__xludf.DUMMYFUNCTION("""COMPUTED_VALUE"""),"Unknown")</f>
        <v>Unknown</v>
      </c>
      <c r="AA33" s="1" t="str">
        <f>IFERROR(__xludf.DUMMYFUNCTION("""COMPUTED_VALUE"""),"")</f>
        <v/>
      </c>
      <c r="AB33" s="1" t="str">
        <f>IFERROR(__xludf.DUMMYFUNCTION("""COMPUTED_VALUE"""),"")</f>
        <v/>
      </c>
      <c r="AC33" s="1" t="str">
        <f>IFERROR(__xludf.DUMMYFUNCTION("""COMPUTED_VALUE"""),"")</f>
        <v/>
      </c>
      <c r="AD33" s="1" t="str">
        <f>IFERROR(__xludf.DUMMYFUNCTION("""COMPUTED_VALUE"""),"")</f>
        <v/>
      </c>
      <c r="AE33" s="1" t="str">
        <f>IFERROR(__xludf.DUMMYFUNCTION("""COMPUTED_VALUE"""),"")</f>
        <v/>
      </c>
      <c r="AF33" s="1" t="str">
        <f>IFERROR(__xludf.DUMMYFUNCTION("""COMPUTED_VALUE"""),"")</f>
        <v/>
      </c>
      <c r="AG33" s="1" t="str">
        <f>IFERROR(__xludf.DUMMYFUNCTION("""COMPUTED_VALUE"""),"")</f>
        <v/>
      </c>
      <c r="AH33" s="1" t="str">
        <f>IFERROR(__xludf.DUMMYFUNCTION("""COMPUTED_VALUE"""),"Media Monitoring")</f>
        <v>Media Monitoring</v>
      </c>
      <c r="AI33" s="2" t="str">
        <f>IFERROR(__xludf.DUMMYFUNCTION("""COMPUTED_VALUE"""),"https://www.datacenterdynamics.com/en/news/edged-launches-36mw-data-center-in-phoenix-arizona/")</f>
        <v>https://www.datacenterdynamics.com/en/news/edged-launches-36mw-data-center-in-phoenix-arizona/</v>
      </c>
      <c r="AJ33" s="1" t="str">
        <f>IFERROR(__xludf.DUMMYFUNCTION("""COMPUTED_VALUE"""),"")</f>
        <v/>
      </c>
      <c r="AK33" s="1" t="str">
        <f>IFERROR(__xludf.DUMMYFUNCTION("""COMPUTED_VALUE"""),"")</f>
        <v/>
      </c>
      <c r="AL33" s="1" t="str">
        <f>IFERROR(__xludf.DUMMYFUNCTION("""COMPUTED_VALUE"""),"")</f>
        <v/>
      </c>
      <c r="AM33" s="1" t="str">
        <f>IFERROR(__xludf.DUMMYFUNCTION("""COMPUTED_VALUE"""),"")</f>
        <v/>
      </c>
      <c r="AN33" s="1" t="str">
        <f>IFERROR(__xludf.DUMMYFUNCTION("""COMPUTED_VALUE"""),"")</f>
        <v/>
      </c>
      <c r="AO33" s="1" t="str">
        <f>IFERROR(__xludf.DUMMYFUNCTION("""COMPUTED_VALUE"""),"")</f>
        <v/>
      </c>
      <c r="AP33" s="1" t="str">
        <f>IFERROR(__xludf.DUMMYFUNCTION("""COMPUTED_VALUE"""),"")</f>
        <v/>
      </c>
      <c r="AQ33" s="1" t="str">
        <f>IFERROR(__xludf.DUMMYFUNCTION("""COMPUTED_VALUE"""),"04/15/2026")</f>
        <v>04/15/2026</v>
      </c>
      <c r="AR33" s="1" t="str">
        <f>IFERROR(__xludf.DUMMYFUNCTION("""COMPUTED_VALUE"""),"04/15/2026")</f>
        <v>04/15/2026</v>
      </c>
    </row>
    <row r="34">
      <c r="A34" s="1" t="str">
        <f>IFERROR(__xludf.DUMMYFUNCTION("""COMPUTED_VALUE"""),"Mesa Amazon Data Center 1")</f>
        <v>Mesa Amazon Data Center 1</v>
      </c>
      <c r="B34" s="1" t="str">
        <f>IFERROR(__xludf.DUMMYFUNCTION("""COMPUTED_VALUE"""),"10464 E Pecos Rd")</f>
        <v>10464 E Pecos Rd</v>
      </c>
      <c r="C34" s="1" t="str">
        <f>IFERROR(__xludf.DUMMYFUNCTION("""COMPUTED_VALUE"""),"Mesa")</f>
        <v>Mesa</v>
      </c>
      <c r="D34" s="1" t="str">
        <f>IFERROR(__xludf.DUMMYFUNCTION("""COMPUTED_VALUE"""),"AZ")</f>
        <v>AZ</v>
      </c>
      <c r="E34" s="1" t="str">
        <f>IFERROR(__xludf.DUMMYFUNCTION("""COMPUTED_VALUE"""),"85212")</f>
        <v>85212</v>
      </c>
      <c r="F34" s="1" t="str">
        <f>IFERROR(__xludf.DUMMYFUNCTION("""COMPUTED_VALUE"""),"Maricopa")</f>
        <v>Maricopa</v>
      </c>
      <c r="G34" s="1" t="str">
        <f>IFERROR(__xludf.DUMMYFUNCTION("""COMPUTED_VALUE"""),"33.29757")</f>
        <v>33.29757</v>
      </c>
      <c r="H34" s="1" t="str">
        <f>IFERROR(__xludf.DUMMYFUNCTION("""COMPUTED_VALUE"""),"-111.607")</f>
        <v>-111.607</v>
      </c>
      <c r="I34" s="1" t="str">
        <f>IFERROR(__xludf.DUMMYFUNCTION("""COMPUTED_VALUE"""),"Proposed")</f>
        <v>Proposed</v>
      </c>
      <c r="J34" s="1" t="str">
        <f>IFERROR(__xludf.DUMMYFUNCTION("""COMPUTED_VALUE"""),"High")</f>
        <v>High</v>
      </c>
      <c r="K34" s="1" t="str">
        <f>IFERROR(__xludf.DUMMYFUNCTION("""COMPUTED_VALUE"""),"")</f>
        <v/>
      </c>
      <c r="L34" s="1" t="str">
        <f>IFERROR(__xludf.DUMMYFUNCTION("""COMPUTED_VALUE"""),"Amazon")</f>
        <v>Amazon</v>
      </c>
      <c r="M34" s="1" t="str">
        <f>IFERROR(__xludf.DUMMYFUNCTION("""COMPUTED_VALUE"""),"")</f>
        <v/>
      </c>
      <c r="N34" s="1" t="str">
        <f>IFERROR(__xludf.DUMMYFUNCTION("""COMPUTED_VALUE"""),"")</f>
        <v/>
      </c>
      <c r="O34" s="1" t="str">
        <f>IFERROR(__xludf.DUMMYFUNCTION("""COMPUTED_VALUE"""),"Hyperscale (100-999 MW)")</f>
        <v>Hyperscale (100-999 MW)</v>
      </c>
      <c r="P34" s="1" t="str">
        <f>IFERROR(__xludf.DUMMYFUNCTION("""COMPUTED_VALUE"""),"Grid (unspecified mix)")</f>
        <v>Grid (unspecified mix)</v>
      </c>
      <c r="Q34" s="1" t="str">
        <f>IFERROR(__xludf.DUMMYFUNCTION("""COMPUTED_VALUE"""),"")</f>
        <v/>
      </c>
      <c r="R34" s="1" t="str">
        <f>IFERROR(__xludf.DUMMYFUNCTION("""COMPUTED_VALUE"""),"")</f>
        <v/>
      </c>
      <c r="S34" s="1" t="str">
        <f>IFERROR(__xludf.DUMMYFUNCTION("""COMPUTED_VALUE"""),"1")</f>
        <v>1</v>
      </c>
      <c r="T34" s="1" t="str">
        <f>IFERROR(__xludf.DUMMYFUNCTION("""COMPUTED_VALUE"""),"")</f>
        <v/>
      </c>
      <c r="U34" s="1" t="str">
        <f>IFERROR(__xludf.DUMMYFUNCTION("""COMPUTED_VALUE"""),"")</f>
        <v/>
      </c>
      <c r="V34" s="1" t="str">
        <f>IFERROR(__xludf.DUMMYFUNCTION("""COMPUTED_VALUE"""),"")</f>
        <v/>
      </c>
      <c r="W34" s="1" t="str">
        <f>IFERROR(__xludf.DUMMYFUNCTION("""COMPUTED_VALUE"""),"71")</f>
        <v>71</v>
      </c>
      <c r="X34" s="1" t="str">
        <f>IFERROR(__xludf.DUMMYFUNCTION("""COMPUTED_VALUE"""),"$18 million")</f>
        <v>$18 million</v>
      </c>
      <c r="Y34" s="1" t="str">
        <f>IFERROR(__xludf.DUMMYFUNCTION("""COMPUTED_VALUE"""),"")</f>
        <v/>
      </c>
      <c r="Z34" s="1" t="str">
        <f>IFERROR(__xludf.DUMMYFUNCTION("""COMPUTED_VALUE"""),"Unknown")</f>
        <v>Unknown</v>
      </c>
      <c r="AA34" s="1" t="str">
        <f>IFERROR(__xludf.DUMMYFUNCTION("""COMPUTED_VALUE"""),"")</f>
        <v/>
      </c>
      <c r="AB34" s="1" t="str">
        <f>IFERROR(__xludf.DUMMYFUNCTION("""COMPUTED_VALUE"""),"")</f>
        <v/>
      </c>
      <c r="AC34" s="1" t="str">
        <f>IFERROR(__xludf.DUMMYFUNCTION("""COMPUTED_VALUE"""),"")</f>
        <v/>
      </c>
      <c r="AD34" s="1" t="str">
        <f>IFERROR(__xludf.DUMMYFUNCTION("""COMPUTED_VALUE"""),"")</f>
        <v/>
      </c>
      <c r="AE34" s="1" t="str">
        <f>IFERROR(__xludf.DUMMYFUNCTION("""COMPUTED_VALUE"""),"")</f>
        <v/>
      </c>
      <c r="AF34" s="1" t="str">
        <f>IFERROR(__xludf.DUMMYFUNCTION("""COMPUTED_VALUE"""),"")</f>
        <v/>
      </c>
      <c r="AG34" s="1" t="str">
        <f>IFERROR(__xludf.DUMMYFUNCTION("""COMPUTED_VALUE"""),"")</f>
        <v/>
      </c>
      <c r="AH34" s="1" t="str">
        <f>IFERROR(__xludf.DUMMYFUNCTION("""COMPUTED_VALUE"""),"Media Monitoring")</f>
        <v>Media Monitoring</v>
      </c>
      <c r="AI34" s="2" t="str">
        <f>IFERROR(__xludf.DUMMYFUNCTION("""COMPUTED_VALUE"""),"https://www.datacenterdynamics.com/en/news/aws-plots-four-data-centers-in-mesa-arizona/")</f>
        <v>https://www.datacenterdynamics.com/en/news/aws-plots-four-data-centers-in-mesa-arizona/</v>
      </c>
      <c r="AJ34" s="2" t="str">
        <f>IFERROR(__xludf.DUMMYFUNCTION("""COMPUTED_VALUE"""),"https://azbex.com/planning-development/amazon-submits-docs-for-2-mesa-data-centers/")</f>
        <v>https://azbex.com/planning-development/amazon-submits-docs-for-2-mesa-data-centers/</v>
      </c>
      <c r="AK34" s="1" t="str">
        <f>IFERROR(__xludf.DUMMYFUNCTION("""COMPUTED_VALUE"""),"")</f>
        <v/>
      </c>
      <c r="AL34" s="1" t="str">
        <f>IFERROR(__xludf.DUMMYFUNCTION("""COMPUTED_VALUE"""),"")</f>
        <v/>
      </c>
      <c r="AM34" s="1" t="str">
        <f>IFERROR(__xludf.DUMMYFUNCTION("""COMPUTED_VALUE"""),"")</f>
        <v/>
      </c>
      <c r="AN34" s="1" t="str">
        <f>IFERROR(__xludf.DUMMYFUNCTION("""COMPUTED_VALUE"""),"")</f>
        <v/>
      </c>
      <c r="AO34" s="1" t="str">
        <f>IFERROR(__xludf.DUMMYFUNCTION("""COMPUTED_VALUE"""),"")</f>
        <v/>
      </c>
      <c r="AP34" s="1" t="str">
        <f>IFERROR(__xludf.DUMMYFUNCTION("""COMPUTED_VALUE"""),"")</f>
        <v/>
      </c>
      <c r="AQ34" s="1" t="str">
        <f>IFERROR(__xludf.DUMMYFUNCTION("""COMPUTED_VALUE"""),"08/14/2025")</f>
        <v>08/14/2025</v>
      </c>
      <c r="AR34" s="1" t="str">
        <f>IFERROR(__xludf.DUMMYFUNCTION("""COMPUTED_VALUE"""),"02/10/2026")</f>
        <v>02/10/2026</v>
      </c>
    </row>
    <row r="35">
      <c r="A35" s="1" t="str">
        <f>IFERROR(__xludf.DUMMYFUNCTION("""COMPUTED_VALUE"""),"Mesa Amazon Data Center 2")</f>
        <v>Mesa Amazon Data Center 2</v>
      </c>
      <c r="B35" s="1" t="str">
        <f>IFERROR(__xludf.DUMMYFUNCTION("""COMPUTED_VALUE"""),"near Apple Data Center at Elliot/Signal Butte Rds")</f>
        <v>near Apple Data Center at Elliot/Signal Butte Rds</v>
      </c>
      <c r="C35" s="1" t="str">
        <f>IFERROR(__xludf.DUMMYFUNCTION("""COMPUTED_VALUE"""),"Mesa")</f>
        <v>Mesa</v>
      </c>
      <c r="D35" s="1" t="str">
        <f>IFERROR(__xludf.DUMMYFUNCTION("""COMPUTED_VALUE"""),"AZ")</f>
        <v>AZ</v>
      </c>
      <c r="E35" s="1" t="str">
        <f>IFERROR(__xludf.DUMMYFUNCTION("""COMPUTED_VALUE"""),"85212")</f>
        <v>85212</v>
      </c>
      <c r="F35" s="1" t="str">
        <f>IFERROR(__xludf.DUMMYFUNCTION("""COMPUTED_VALUE"""),"Maricopa")</f>
        <v>Maricopa</v>
      </c>
      <c r="G35" s="1" t="str">
        <f>IFERROR(__xludf.DUMMYFUNCTION("""COMPUTED_VALUE"""),"33.34263")</f>
        <v>33.34263</v>
      </c>
      <c r="H35" s="1" t="str">
        <f>IFERROR(__xludf.DUMMYFUNCTION("""COMPUTED_VALUE"""),"-111.604")</f>
        <v>-111.604</v>
      </c>
      <c r="I35" s="1" t="str">
        <f>IFERROR(__xludf.DUMMYFUNCTION("""COMPUTED_VALUE"""),"Proposed")</f>
        <v>Proposed</v>
      </c>
      <c r="J35" s="1" t="str">
        <f>IFERROR(__xludf.DUMMYFUNCTION("""COMPUTED_VALUE"""),"Medium")</f>
        <v>Medium</v>
      </c>
      <c r="K35" s="1" t="str">
        <f>IFERROR(__xludf.DUMMYFUNCTION("""COMPUTED_VALUE"""),"")</f>
        <v/>
      </c>
      <c r="L35" s="1" t="str">
        <f>IFERROR(__xludf.DUMMYFUNCTION("""COMPUTED_VALUE"""),"Amazon")</f>
        <v>Amazon</v>
      </c>
      <c r="M35" s="1" t="str">
        <f>IFERROR(__xludf.DUMMYFUNCTION("""COMPUTED_VALUE"""),"")</f>
        <v/>
      </c>
      <c r="N35" s="1" t="str">
        <f>IFERROR(__xludf.DUMMYFUNCTION("""COMPUTED_VALUE"""),"")</f>
        <v/>
      </c>
      <c r="O35" s="1" t="str">
        <f>IFERROR(__xludf.DUMMYFUNCTION("""COMPUTED_VALUE"""),"Unknown")</f>
        <v>Unknown</v>
      </c>
      <c r="P35" s="1" t="str">
        <f>IFERROR(__xludf.DUMMYFUNCTION("""COMPUTED_VALUE"""),"")</f>
        <v/>
      </c>
      <c r="Q35" s="1" t="str">
        <f>IFERROR(__xludf.DUMMYFUNCTION("""COMPUTED_VALUE"""),"")</f>
        <v/>
      </c>
      <c r="R35" s="1" t="str">
        <f>IFERROR(__xludf.DUMMYFUNCTION("""COMPUTED_VALUE"""),"")</f>
        <v/>
      </c>
      <c r="S35" s="1" t="str">
        <f>IFERROR(__xludf.DUMMYFUNCTION("""COMPUTED_VALUE"""),"")</f>
        <v/>
      </c>
      <c r="T35" s="1" t="str">
        <f>IFERROR(__xludf.DUMMYFUNCTION("""COMPUTED_VALUE"""),"")</f>
        <v/>
      </c>
      <c r="U35" s="1" t="str">
        <f>IFERROR(__xludf.DUMMYFUNCTION("""COMPUTED_VALUE"""),"")</f>
        <v/>
      </c>
      <c r="V35" s="1" t="str">
        <f>IFERROR(__xludf.DUMMYFUNCTION("""COMPUTED_VALUE"""),"")</f>
        <v/>
      </c>
      <c r="W35" s="1" t="str">
        <f>IFERROR(__xludf.DUMMYFUNCTION("""COMPUTED_VALUE"""),"43")</f>
        <v>43</v>
      </c>
      <c r="X35" s="1" t="str">
        <f>IFERROR(__xludf.DUMMYFUNCTION("""COMPUTED_VALUE"""),"$16.9 million")</f>
        <v>$16.9 million</v>
      </c>
      <c r="Y35" s="1" t="str">
        <f>IFERROR(__xludf.DUMMYFUNCTION("""COMPUTED_VALUE"""),"")</f>
        <v/>
      </c>
      <c r="Z35" s="1" t="str">
        <f>IFERROR(__xludf.DUMMYFUNCTION("""COMPUTED_VALUE"""),"Unknown")</f>
        <v>Unknown</v>
      </c>
      <c r="AA35" s="1" t="str">
        <f>IFERROR(__xludf.DUMMYFUNCTION("""COMPUTED_VALUE"""),"")</f>
        <v/>
      </c>
      <c r="AB35" s="1" t="str">
        <f>IFERROR(__xludf.DUMMYFUNCTION("""COMPUTED_VALUE"""),"")</f>
        <v/>
      </c>
      <c r="AC35" s="1" t="str">
        <f>IFERROR(__xludf.DUMMYFUNCTION("""COMPUTED_VALUE"""),"")</f>
        <v/>
      </c>
      <c r="AD35" s="1" t="str">
        <f>IFERROR(__xludf.DUMMYFUNCTION("""COMPUTED_VALUE"""),"")</f>
        <v/>
      </c>
      <c r="AE35" s="1" t="str">
        <f>IFERROR(__xludf.DUMMYFUNCTION("""COMPUTED_VALUE"""),"")</f>
        <v/>
      </c>
      <c r="AF35" s="1" t="str">
        <f>IFERROR(__xludf.DUMMYFUNCTION("""COMPUTED_VALUE"""),"")</f>
        <v/>
      </c>
      <c r="AG35" s="1" t="str">
        <f>IFERROR(__xludf.DUMMYFUNCTION("""COMPUTED_VALUE"""),"")</f>
        <v/>
      </c>
      <c r="AH35" s="1" t="str">
        <f>IFERROR(__xludf.DUMMYFUNCTION("""COMPUTED_VALUE"""),"Media Monitoring")</f>
        <v>Media Monitoring</v>
      </c>
      <c r="AI35" s="2" t="str">
        <f>IFERROR(__xludf.DUMMYFUNCTION("""COMPUTED_VALUE"""),"https://www.datacenterdynamics.com/en/news/aws-plots-four-data-centers-in-mesa-arizona/")</f>
        <v>https://www.datacenterdynamics.com/en/news/aws-plots-four-data-centers-in-mesa-arizona/</v>
      </c>
      <c r="AJ35" s="1" t="str">
        <f>IFERROR(__xludf.DUMMYFUNCTION("""COMPUTED_VALUE"""),"")</f>
        <v/>
      </c>
      <c r="AK35" s="1" t="str">
        <f>IFERROR(__xludf.DUMMYFUNCTION("""COMPUTED_VALUE"""),"")</f>
        <v/>
      </c>
      <c r="AL35" s="1" t="str">
        <f>IFERROR(__xludf.DUMMYFUNCTION("""COMPUTED_VALUE"""),"")</f>
        <v/>
      </c>
      <c r="AM35" s="1" t="str">
        <f>IFERROR(__xludf.DUMMYFUNCTION("""COMPUTED_VALUE"""),"")</f>
        <v/>
      </c>
      <c r="AN35" s="1" t="str">
        <f>IFERROR(__xludf.DUMMYFUNCTION("""COMPUTED_VALUE"""),"")</f>
        <v/>
      </c>
      <c r="AO35" s="1" t="str">
        <f>IFERROR(__xludf.DUMMYFUNCTION("""COMPUTED_VALUE"""),"")</f>
        <v/>
      </c>
      <c r="AP35" s="1" t="str">
        <f>IFERROR(__xludf.DUMMYFUNCTION("""COMPUTED_VALUE"""),"")</f>
        <v/>
      </c>
      <c r="AQ35" s="1" t="str">
        <f>IFERROR(__xludf.DUMMYFUNCTION("""COMPUTED_VALUE"""),"08/14/2025")</f>
        <v>08/14/2025</v>
      </c>
      <c r="AR35" s="1" t="str">
        <f>IFERROR(__xludf.DUMMYFUNCTION("""COMPUTED_VALUE"""),"08/14/2025")</f>
        <v>08/14/2025</v>
      </c>
    </row>
    <row r="36">
      <c r="A36" s="1" t="str">
        <f>IFERROR(__xludf.DUMMYFUNCTION("""COMPUTED_VALUE"""),"Meta Data Center")</f>
        <v>Meta Data Center</v>
      </c>
      <c r="B36" s="1" t="str">
        <f>IFERROR(__xludf.DUMMYFUNCTION("""COMPUTED_VALUE"""),"7610 E Elliot Rd")</f>
        <v>7610 E Elliot Rd</v>
      </c>
      <c r="C36" s="1" t="str">
        <f>IFERROR(__xludf.DUMMYFUNCTION("""COMPUTED_VALUE"""),"Mesa")</f>
        <v>Mesa</v>
      </c>
      <c r="D36" s="1" t="str">
        <f>IFERROR(__xludf.DUMMYFUNCTION("""COMPUTED_VALUE"""),"AZ")</f>
        <v>AZ</v>
      </c>
      <c r="E36" s="1" t="str">
        <f>IFERROR(__xludf.DUMMYFUNCTION("""COMPUTED_VALUE"""),"85212")</f>
        <v>85212</v>
      </c>
      <c r="F36" s="1" t="str">
        <f>IFERROR(__xludf.DUMMYFUNCTION("""COMPUTED_VALUE"""),"Maricopa")</f>
        <v>Maricopa</v>
      </c>
      <c r="G36" s="1" t="str">
        <f>IFERROR(__xludf.DUMMYFUNCTION("""COMPUTED_VALUE"""),"33.35076")</f>
        <v>33.35076</v>
      </c>
      <c r="H36" s="1" t="str">
        <f>IFERROR(__xludf.DUMMYFUNCTION("""COMPUTED_VALUE"""),"-111.67")</f>
        <v>-111.67</v>
      </c>
      <c r="I36" s="1" t="str">
        <f>IFERROR(__xludf.DUMMYFUNCTION("""COMPUTED_VALUE"""),"Approved/Permitted/Under construction")</f>
        <v>Approved/Permitted/Under construction</v>
      </c>
      <c r="J36" s="1" t="str">
        <f>IFERROR(__xludf.DUMMYFUNCTION("""COMPUTED_VALUE"""),"Medium")</f>
        <v>Medium</v>
      </c>
      <c r="K36" s="1" t="str">
        <f>IFERROR(__xludf.DUMMYFUNCTION("""COMPUTED_VALUE"""),"")</f>
        <v/>
      </c>
      <c r="L36" s="1" t="str">
        <f>IFERROR(__xludf.DUMMYFUNCTION("""COMPUTED_VALUE"""),"Meta")</f>
        <v>Meta</v>
      </c>
      <c r="M36" s="1" t="str">
        <f>IFERROR(__xludf.DUMMYFUNCTION("""COMPUTED_VALUE"""),"")</f>
        <v/>
      </c>
      <c r="N36" s="1" t="str">
        <f>IFERROR(__xludf.DUMMYFUNCTION("""COMPUTED_VALUE"""),"")</f>
        <v/>
      </c>
      <c r="O36" s="1" t="str">
        <f>IFERROR(__xludf.DUMMYFUNCTION("""COMPUTED_VALUE"""),"Unknown")</f>
        <v>Unknown</v>
      </c>
      <c r="P36" s="1" t="str">
        <f>IFERROR(__xludf.DUMMYFUNCTION("""COMPUTED_VALUE"""),"")</f>
        <v/>
      </c>
      <c r="Q36" s="1" t="str">
        <f>IFERROR(__xludf.DUMMYFUNCTION("""COMPUTED_VALUE"""),"")</f>
        <v/>
      </c>
      <c r="R36" s="1" t="str">
        <f>IFERROR(__xludf.DUMMYFUNCTION("""COMPUTED_VALUE"""),"")</f>
        <v/>
      </c>
      <c r="S36" s="1" t="str">
        <f>IFERROR(__xludf.DUMMYFUNCTION("""COMPUTED_VALUE"""),"")</f>
        <v/>
      </c>
      <c r="T36" s="1" t="str">
        <f>IFERROR(__xludf.DUMMYFUNCTION("""COMPUTED_VALUE"""),"")</f>
        <v/>
      </c>
      <c r="U36" s="1" t="str">
        <f>IFERROR(__xludf.DUMMYFUNCTION("""COMPUTED_VALUE"""),"")</f>
        <v/>
      </c>
      <c r="V36" s="1" t="str">
        <f>IFERROR(__xludf.DUMMYFUNCTION("""COMPUTED_VALUE"""),"750,000")</f>
        <v>750,000</v>
      </c>
      <c r="W36" s="1" t="str">
        <f>IFERROR(__xludf.DUMMYFUNCTION("""COMPUTED_VALUE"""),"187")</f>
        <v>187</v>
      </c>
      <c r="X36" s="1" t="str">
        <f>IFERROR(__xludf.DUMMYFUNCTION("""COMPUTED_VALUE"""),"")</f>
        <v/>
      </c>
      <c r="Y36" s="1" t="str">
        <f>IFERROR(__xludf.DUMMYFUNCTION("""COMPUTED_VALUE"""),"")</f>
        <v/>
      </c>
      <c r="Z36" s="1" t="str">
        <f>IFERROR(__xludf.DUMMYFUNCTION("""COMPUTED_VALUE"""),"Unknown")</f>
        <v>Unknown</v>
      </c>
      <c r="AA36" s="1" t="str">
        <f>IFERROR(__xludf.DUMMYFUNCTION("""COMPUTED_VALUE"""),"")</f>
        <v/>
      </c>
      <c r="AB36" s="1" t="str">
        <f>IFERROR(__xludf.DUMMYFUNCTION("""COMPUTED_VALUE"""),"")</f>
        <v/>
      </c>
      <c r="AC36" s="1" t="str">
        <f>IFERROR(__xludf.DUMMYFUNCTION("""COMPUTED_VALUE"""),"")</f>
        <v/>
      </c>
      <c r="AD36" s="1" t="str">
        <f>IFERROR(__xludf.DUMMYFUNCTION("""COMPUTED_VALUE"""),"")</f>
        <v/>
      </c>
      <c r="AE36" s="1" t="str">
        <f>IFERROR(__xludf.DUMMYFUNCTION("""COMPUTED_VALUE"""),"")</f>
        <v/>
      </c>
      <c r="AF36" s="1" t="str">
        <f>IFERROR(__xludf.DUMMYFUNCTION("""COMPUTED_VALUE"""),"")</f>
        <v/>
      </c>
      <c r="AG36" s="1" t="str">
        <f>IFERROR(__xludf.DUMMYFUNCTION("""COMPUTED_VALUE"""),"")</f>
        <v/>
      </c>
      <c r="AH36" s="1" t="str">
        <f>IFERROR(__xludf.DUMMYFUNCTION("""COMPUTED_VALUE"""),"Media Monitoring")</f>
        <v>Media Monitoring</v>
      </c>
      <c r="AI36" s="2" t="str">
        <f>IFERROR(__xludf.DUMMYFUNCTION("""COMPUTED_VALUE"""),"https://www.datacenterdynamics.com/en/news/google-files-to-build-second-data-center-at-mesa-campus-in-arizona/")</f>
        <v>https://www.datacenterdynamics.com/en/news/google-files-to-build-second-data-center-at-mesa-campus-in-arizona/</v>
      </c>
      <c r="AJ36" s="1" t="str">
        <f>IFERROR(__xludf.DUMMYFUNCTION("""COMPUTED_VALUE"""),"")</f>
        <v/>
      </c>
      <c r="AK36" s="1" t="str">
        <f>IFERROR(__xludf.DUMMYFUNCTION("""COMPUTED_VALUE"""),"")</f>
        <v/>
      </c>
      <c r="AL36" s="1" t="str">
        <f>IFERROR(__xludf.DUMMYFUNCTION("""COMPUTED_VALUE"""),"")</f>
        <v/>
      </c>
      <c r="AM36" s="1" t="str">
        <f>IFERROR(__xludf.DUMMYFUNCTION("""COMPUTED_VALUE"""),"")</f>
        <v/>
      </c>
      <c r="AN36" s="1" t="str">
        <f>IFERROR(__xludf.DUMMYFUNCTION("""COMPUTED_VALUE"""),"")</f>
        <v/>
      </c>
      <c r="AO36" s="1" t="str">
        <f>IFERROR(__xludf.DUMMYFUNCTION("""COMPUTED_VALUE"""),"")</f>
        <v/>
      </c>
      <c r="AP36" s="1" t="str">
        <f>IFERROR(__xludf.DUMMYFUNCTION("""COMPUTED_VALUE"""),"")</f>
        <v/>
      </c>
      <c r="AQ36" s="1" t="str">
        <f>IFERROR(__xludf.DUMMYFUNCTION("""COMPUTED_VALUE"""),"08/14/2025")</f>
        <v>08/14/2025</v>
      </c>
      <c r="AR36" s="1" t="str">
        <f>IFERROR(__xludf.DUMMYFUNCTION("""COMPUTED_VALUE"""),"08/14/2025")</f>
        <v>08/14/2025</v>
      </c>
    </row>
    <row r="37">
      <c r="A37" s="1" t="str">
        <f>IFERROR(__xludf.DUMMYFUNCTION("""COMPUTED_VALUE"""),"NTT Data Center")</f>
        <v>NTT Data Center</v>
      </c>
      <c r="B37" s="1" t="str">
        <f>IFERROR(__xludf.DUMMYFUNCTION("""COMPUTED_VALUE"""),"10256 Elliot Road")</f>
        <v>10256 Elliot Road</v>
      </c>
      <c r="C37" s="1" t="str">
        <f>IFERROR(__xludf.DUMMYFUNCTION("""COMPUTED_VALUE"""),"Mesa")</f>
        <v>Mesa</v>
      </c>
      <c r="D37" s="1" t="str">
        <f>IFERROR(__xludf.DUMMYFUNCTION("""COMPUTED_VALUE"""),"AZ")</f>
        <v>AZ</v>
      </c>
      <c r="E37" s="1" t="str">
        <f>IFERROR(__xludf.DUMMYFUNCTION("""COMPUTED_VALUE"""),"85212")</f>
        <v>85212</v>
      </c>
      <c r="F37" s="1" t="str">
        <f>IFERROR(__xludf.DUMMYFUNCTION("""COMPUTED_VALUE"""),"Maricopa")</f>
        <v>Maricopa</v>
      </c>
      <c r="G37" s="1" t="str">
        <f>IFERROR(__xludf.DUMMYFUNCTION("""COMPUTED_VALUE"""),"33.35061")</f>
        <v>33.35061</v>
      </c>
      <c r="H37" s="1" t="str">
        <f>IFERROR(__xludf.DUMMYFUNCTION("""COMPUTED_VALUE"""),"-111.61")</f>
        <v>-111.61</v>
      </c>
      <c r="I37" s="1" t="str">
        <f>IFERROR(__xludf.DUMMYFUNCTION("""COMPUTED_VALUE"""),"Operating")</f>
        <v>Operating</v>
      </c>
      <c r="J37" s="1" t="str">
        <f>IFERROR(__xludf.DUMMYFUNCTION("""COMPUTED_VALUE"""),"High")</f>
        <v>High</v>
      </c>
      <c r="K37" s="1" t="str">
        <f>IFERROR(__xludf.DUMMYFUNCTION("""COMPUTED_VALUE"""),"")</f>
        <v/>
      </c>
      <c r="L37" s="1" t="str">
        <f>IFERROR(__xludf.DUMMYFUNCTION("""COMPUTED_VALUE"""),"")</f>
        <v/>
      </c>
      <c r="M37" s="1" t="str">
        <f>IFERROR(__xludf.DUMMYFUNCTION("""COMPUTED_VALUE"""),"")</f>
        <v/>
      </c>
      <c r="N37" s="1" t="str">
        <f>IFERROR(__xludf.DUMMYFUNCTION("""COMPUTED_VALUE"""),"240")</f>
        <v>240</v>
      </c>
      <c r="O37" s="1" t="str">
        <f>IFERROR(__xludf.DUMMYFUNCTION("""COMPUTED_VALUE"""),"Hyperscale (100-999 MW)")</f>
        <v>Hyperscale (100-999 MW)</v>
      </c>
      <c r="P37" s="1" t="str">
        <f>IFERROR(__xludf.DUMMYFUNCTION("""COMPUTED_VALUE"""),"")</f>
        <v/>
      </c>
      <c r="Q37" s="1" t="str">
        <f>IFERROR(__xludf.DUMMYFUNCTION("""COMPUTED_VALUE"""),"")</f>
        <v/>
      </c>
      <c r="R37" s="1" t="str">
        <f>IFERROR(__xludf.DUMMYFUNCTION("""COMPUTED_VALUE"""),"")</f>
        <v/>
      </c>
      <c r="S37" s="1" t="str">
        <f>IFERROR(__xludf.DUMMYFUNCTION("""COMPUTED_VALUE"""),"6")</f>
        <v>6</v>
      </c>
      <c r="T37" s="1" t="str">
        <f>IFERROR(__xludf.DUMMYFUNCTION("""COMPUTED_VALUE"""),"")</f>
        <v/>
      </c>
      <c r="U37" s="1" t="str">
        <f>IFERROR(__xludf.DUMMYFUNCTION("""COMPUTED_VALUE"""),"")</f>
        <v/>
      </c>
      <c r="V37" s="1" t="str">
        <f>IFERROR(__xludf.DUMMYFUNCTION("""COMPUTED_VALUE"""),"")</f>
        <v/>
      </c>
      <c r="W37" s="1" t="str">
        <f>IFERROR(__xludf.DUMMYFUNCTION("""COMPUTED_VALUE"""),"102")</f>
        <v>102</v>
      </c>
      <c r="X37" s="1" t="str">
        <f>IFERROR(__xludf.DUMMYFUNCTION("""COMPUTED_VALUE"""),"")</f>
        <v/>
      </c>
      <c r="Y37" s="1" t="str">
        <f>IFERROR(__xludf.DUMMYFUNCTION("""COMPUTED_VALUE"""),"")</f>
        <v/>
      </c>
      <c r="Z37" s="1" t="str">
        <f>IFERROR(__xludf.DUMMYFUNCTION("""COMPUTED_VALUE"""),"Unknown")</f>
        <v>Unknown</v>
      </c>
      <c r="AA37" s="1" t="str">
        <f>IFERROR(__xludf.DUMMYFUNCTION("""COMPUTED_VALUE"""),"")</f>
        <v/>
      </c>
      <c r="AB37" s="1" t="str">
        <f>IFERROR(__xludf.DUMMYFUNCTION("""COMPUTED_VALUE"""),"")</f>
        <v/>
      </c>
      <c r="AC37" s="1" t="str">
        <f>IFERROR(__xludf.DUMMYFUNCTION("""COMPUTED_VALUE"""),"")</f>
        <v/>
      </c>
      <c r="AD37" s="1" t="str">
        <f>IFERROR(__xludf.DUMMYFUNCTION("""COMPUTED_VALUE"""),"")</f>
        <v/>
      </c>
      <c r="AE37" s="1" t="str">
        <f>IFERROR(__xludf.DUMMYFUNCTION("""COMPUTED_VALUE"""),"")</f>
        <v/>
      </c>
      <c r="AF37" s="1" t="str">
        <f>IFERROR(__xludf.DUMMYFUNCTION("""COMPUTED_VALUE"""),"")</f>
        <v/>
      </c>
      <c r="AG37" s="1" t="str">
        <f>IFERROR(__xludf.DUMMYFUNCTION("""COMPUTED_VALUE"""),"Secondary Project (500 - 700 MW) planned")</f>
        <v>Secondary Project (500 - 700 MW) planned</v>
      </c>
      <c r="AH37" s="1" t="str">
        <f>IFERROR(__xludf.DUMMYFUNCTION("""COMPUTED_VALUE"""),"Media Monitoring")</f>
        <v>Media Monitoring</v>
      </c>
      <c r="AI37" s="2" t="str">
        <f>IFERROR(__xludf.DUMMYFUNCTION("""COMPUTED_VALUE"""),"https://www.datacenterdynamics.com/en/news/ntt-acquires-173-acre-planned-data-center-park-in-mesa-arizona-for-300m/")</f>
        <v>https://www.datacenterdynamics.com/en/news/ntt-acquires-173-acre-planned-data-center-park-in-mesa-arizona-for-300m/</v>
      </c>
      <c r="AJ37" s="2" t="str">
        <f>IFERROR(__xludf.DUMMYFUNCTION("""COMPUTED_VALUE"""),"https://www.datacenterdynamics.com/en/news/two-data-center-projects-proposed-near-phoenix-arizona/")</f>
        <v>https://www.datacenterdynamics.com/en/news/two-data-center-projects-proposed-near-phoenix-arizona/</v>
      </c>
      <c r="AK37" s="2" t="str">
        <f>IFERROR(__xludf.DUMMYFUNCTION("""COMPUTED_VALUE"""),"https://www.yourvalley.net/mesa-independent/stories/6th-building-planned-at-mesa-data-center,652356")</f>
        <v>https://www.yourvalley.net/mesa-independent/stories/6th-building-planned-at-mesa-data-center,652356</v>
      </c>
      <c r="AL37" s="1" t="str">
        <f>IFERROR(__xludf.DUMMYFUNCTION("""COMPUTED_VALUE"""),"")</f>
        <v/>
      </c>
      <c r="AM37" s="1" t="str">
        <f>IFERROR(__xludf.DUMMYFUNCTION("""COMPUTED_VALUE"""),"")</f>
        <v/>
      </c>
      <c r="AN37" s="1" t="str">
        <f>IFERROR(__xludf.DUMMYFUNCTION("""COMPUTED_VALUE"""),"")</f>
        <v/>
      </c>
      <c r="AO37" s="1" t="str">
        <f>IFERROR(__xludf.DUMMYFUNCTION("""COMPUTED_VALUE"""),"")</f>
        <v/>
      </c>
      <c r="AP37" s="1" t="str">
        <f>IFERROR(__xludf.DUMMYFUNCTION("""COMPUTED_VALUE"""),"")</f>
        <v/>
      </c>
      <c r="AQ37" s="1" t="str">
        <f>IFERROR(__xludf.DUMMYFUNCTION("""COMPUTED_VALUE"""),"05/28/2025")</f>
        <v>05/28/2025</v>
      </c>
      <c r="AR37" s="1" t="str">
        <f>IFERROR(__xludf.DUMMYFUNCTION("""COMPUTED_VALUE"""),"04/16/2026")</f>
        <v>04/16/2026</v>
      </c>
    </row>
    <row r="38">
      <c r="A38" s="1" t="str">
        <f>IFERROR(__xludf.DUMMYFUNCTION("""COMPUTED_VALUE"""),"NTT Data Center")</f>
        <v>NTT Data Center</v>
      </c>
      <c r="B38" s="1" t="str">
        <f>IFERROR(__xludf.DUMMYFUNCTION("""COMPUTED_VALUE"""),"22000-21794 E Pecos Rd")</f>
        <v>22000-21794 E Pecos Rd</v>
      </c>
      <c r="C38" s="1" t="str">
        <f>IFERROR(__xludf.DUMMYFUNCTION("""COMPUTED_VALUE"""),"Mesa")</f>
        <v>Mesa</v>
      </c>
      <c r="D38" s="1" t="str">
        <f>IFERROR(__xludf.DUMMYFUNCTION("""COMPUTED_VALUE"""),"AZ")</f>
        <v>AZ</v>
      </c>
      <c r="E38" s="1" t="str">
        <f>IFERROR(__xludf.DUMMYFUNCTION("""COMPUTED_VALUE"""),"85212")</f>
        <v>85212</v>
      </c>
      <c r="F38" s="1" t="str">
        <f>IFERROR(__xludf.DUMMYFUNCTION("""COMPUTED_VALUE"""),"Maricopa")</f>
        <v>Maricopa</v>
      </c>
      <c r="G38" s="1" t="str">
        <f>IFERROR(__xludf.DUMMYFUNCTION("""COMPUTED_VALUE"""),"33.29556")</f>
        <v>33.29556</v>
      </c>
      <c r="H38" s="1" t="str">
        <f>IFERROR(__xludf.DUMMYFUNCTION("""COMPUTED_VALUE"""),"-111.614")</f>
        <v>-111.614</v>
      </c>
      <c r="I38" s="1" t="str">
        <f>IFERROR(__xludf.DUMMYFUNCTION("""COMPUTED_VALUE"""),"Approved/Permitted/Under construction")</f>
        <v>Approved/Permitted/Under construction</v>
      </c>
      <c r="J38" s="1" t="str">
        <f>IFERROR(__xludf.DUMMYFUNCTION("""COMPUTED_VALUE"""),"High")</f>
        <v>High</v>
      </c>
      <c r="K38" s="1" t="str">
        <f>IFERROR(__xludf.DUMMYFUNCTION("""COMPUTED_VALUE"""),"")</f>
        <v/>
      </c>
      <c r="L38" s="1" t="str">
        <f>IFERROR(__xludf.DUMMYFUNCTION("""COMPUTED_VALUE"""),"NTT Global Data Centers")</f>
        <v>NTT Global Data Centers</v>
      </c>
      <c r="M38" s="1" t="str">
        <f>IFERROR(__xludf.DUMMYFUNCTION("""COMPUTED_VALUE"""),"")</f>
        <v/>
      </c>
      <c r="N38" s="1" t="str">
        <f>IFERROR(__xludf.DUMMYFUNCTION("""COMPUTED_VALUE"""),"200")</f>
        <v>200</v>
      </c>
      <c r="O38" s="1" t="str">
        <f>IFERROR(__xludf.DUMMYFUNCTION("""COMPUTED_VALUE"""),"Hyperscale (100-999 MW)")</f>
        <v>Hyperscale (100-999 MW)</v>
      </c>
      <c r="P38" s="1" t="str">
        <f>IFERROR(__xludf.DUMMYFUNCTION("""COMPUTED_VALUE"""),"")</f>
        <v/>
      </c>
      <c r="Q38" s="1" t="str">
        <f>IFERROR(__xludf.DUMMYFUNCTION("""COMPUTED_VALUE"""),"")</f>
        <v/>
      </c>
      <c r="R38" s="1" t="str">
        <f>IFERROR(__xludf.DUMMYFUNCTION("""COMPUTED_VALUE"""),"")</f>
        <v/>
      </c>
      <c r="S38" s="1" t="str">
        <f>IFERROR(__xludf.DUMMYFUNCTION("""COMPUTED_VALUE"""),"")</f>
        <v/>
      </c>
      <c r="T38" s="1" t="str">
        <f>IFERROR(__xludf.DUMMYFUNCTION("""COMPUTED_VALUE"""),"")</f>
        <v/>
      </c>
      <c r="U38" s="1" t="str">
        <f>IFERROR(__xludf.DUMMYFUNCTION("""COMPUTED_VALUE"""),"")</f>
        <v/>
      </c>
      <c r="V38" s="1" t="str">
        <f>IFERROR(__xludf.DUMMYFUNCTION("""COMPUTED_VALUE"""),"")</f>
        <v/>
      </c>
      <c r="W38" s="1" t="str">
        <f>IFERROR(__xludf.DUMMYFUNCTION("""COMPUTED_VALUE"""),"173")</f>
        <v>173</v>
      </c>
      <c r="X38" s="1" t="str">
        <f>IFERROR(__xludf.DUMMYFUNCTION("""COMPUTED_VALUE"""),"$300 million")</f>
        <v>$300 million</v>
      </c>
      <c r="Y38" s="1" t="str">
        <f>IFERROR(__xludf.DUMMYFUNCTION("""COMPUTED_VALUE"""),"")</f>
        <v/>
      </c>
      <c r="Z38" s="1" t="str">
        <f>IFERROR(__xludf.DUMMYFUNCTION("""COMPUTED_VALUE"""),"Unknown")</f>
        <v>Unknown</v>
      </c>
      <c r="AA38" s="1" t="str">
        <f>IFERROR(__xludf.DUMMYFUNCTION("""COMPUTED_VALUE"""),"")</f>
        <v/>
      </c>
      <c r="AB38" s="1" t="str">
        <f>IFERROR(__xludf.DUMMYFUNCTION("""COMPUTED_VALUE"""),"")</f>
        <v/>
      </c>
      <c r="AC38" s="1" t="str">
        <f>IFERROR(__xludf.DUMMYFUNCTION("""COMPUTED_VALUE"""),"")</f>
        <v/>
      </c>
      <c r="AD38" s="1" t="str">
        <f>IFERROR(__xludf.DUMMYFUNCTION("""COMPUTED_VALUE"""),"")</f>
        <v/>
      </c>
      <c r="AE38" s="1" t="str">
        <f>IFERROR(__xludf.DUMMYFUNCTION("""COMPUTED_VALUE"""),"")</f>
        <v/>
      </c>
      <c r="AF38" s="1" t="str">
        <f>IFERROR(__xludf.DUMMYFUNCTION("""COMPUTED_VALUE"""),"")</f>
        <v/>
      </c>
      <c r="AG38" s="1" t="str">
        <f>IFERROR(__xludf.DUMMYFUNCTION("""COMPUTED_VALUE"""),"")</f>
        <v/>
      </c>
      <c r="AH38" s="1" t="str">
        <f>IFERROR(__xludf.DUMMYFUNCTION("""COMPUTED_VALUE"""),"Media Monitoring")</f>
        <v>Media Monitoring</v>
      </c>
      <c r="AI38" s="2" t="str">
        <f>IFERROR(__xludf.DUMMYFUNCTION("""COMPUTED_VALUE"""),"https://www.datacenterdynamics.com/en/news/ntt-acquires-173-acre-planned-data-center-park-in-mesa-arizona-for-300m/")</f>
        <v>https://www.datacenterdynamics.com/en/news/ntt-acquires-173-acre-planned-data-center-park-in-mesa-arizona-for-300m/</v>
      </c>
      <c r="AJ38" s="2" t="str">
        <f>IFERROR(__xludf.DUMMYFUNCTION("""COMPUTED_VALUE"""),"https://www.datacenterdynamics.com/en/news/two-data-center-projects-proposed-near-phoenix-arizona/")</f>
        <v>https://www.datacenterdynamics.com/en/news/two-data-center-projects-proposed-near-phoenix-arizona/</v>
      </c>
      <c r="AK38" s="1" t="str">
        <f>IFERROR(__xludf.DUMMYFUNCTION("""COMPUTED_VALUE"""),"")</f>
        <v/>
      </c>
      <c r="AL38" s="1" t="str">
        <f>IFERROR(__xludf.DUMMYFUNCTION("""COMPUTED_VALUE"""),"")</f>
        <v/>
      </c>
      <c r="AM38" s="1" t="str">
        <f>IFERROR(__xludf.DUMMYFUNCTION("""COMPUTED_VALUE"""),"")</f>
        <v/>
      </c>
      <c r="AN38" s="1" t="str">
        <f>IFERROR(__xludf.DUMMYFUNCTION("""COMPUTED_VALUE"""),"")</f>
        <v/>
      </c>
      <c r="AO38" s="1" t="str">
        <f>IFERROR(__xludf.DUMMYFUNCTION("""COMPUTED_VALUE"""),"")</f>
        <v/>
      </c>
      <c r="AP38" s="1" t="str">
        <f>IFERROR(__xludf.DUMMYFUNCTION("""COMPUTED_VALUE"""),"")</f>
        <v/>
      </c>
      <c r="AQ38" s="1" t="str">
        <f>IFERROR(__xludf.DUMMYFUNCTION("""COMPUTED_VALUE"""),"05/28/2025")</f>
        <v>05/28/2025</v>
      </c>
      <c r="AR38" s="1" t="str">
        <f>IFERROR(__xludf.DUMMYFUNCTION("""COMPUTED_VALUE"""),"02/19/2026")</f>
        <v>02/19/2026</v>
      </c>
    </row>
    <row r="39">
      <c r="A39" s="1" t="str">
        <f>IFERROR(__xludf.DUMMYFUNCTION("""COMPUTED_VALUE"""),"Page Data Center")</f>
        <v>Page Data Center</v>
      </c>
      <c r="B39" s="1" t="str">
        <f>IFERROR(__xludf.DUMMYFUNCTION("""COMPUTED_VALUE"""),"Near Horseshoe Bend")</f>
        <v>Near Horseshoe Bend</v>
      </c>
      <c r="C39" s="1" t="str">
        <f>IFERROR(__xludf.DUMMYFUNCTION("""COMPUTED_VALUE"""),"Page")</f>
        <v>Page</v>
      </c>
      <c r="D39" s="1" t="str">
        <f>IFERROR(__xludf.DUMMYFUNCTION("""COMPUTED_VALUE"""),"AZ")</f>
        <v>AZ</v>
      </c>
      <c r="E39" s="1" t="str">
        <f>IFERROR(__xludf.DUMMYFUNCTION("""COMPUTED_VALUE"""),"86046")</f>
        <v>86046</v>
      </c>
      <c r="F39" s="1" t="str">
        <f>IFERROR(__xludf.DUMMYFUNCTION("""COMPUTED_VALUE"""),"Coconino")</f>
        <v>Coconino</v>
      </c>
      <c r="G39" s="1" t="str">
        <f>IFERROR(__xludf.DUMMYFUNCTION("""COMPUTED_VALUE"""),"36.898376")</f>
        <v>36.898376</v>
      </c>
      <c r="H39" s="1" t="str">
        <f>IFERROR(__xludf.DUMMYFUNCTION("""COMPUTED_VALUE"""),"-111.483154")</f>
        <v>-111.483154</v>
      </c>
      <c r="I39" s="1" t="str">
        <f>IFERROR(__xludf.DUMMYFUNCTION("""COMPUTED_VALUE"""),"Proposed")</f>
        <v>Proposed</v>
      </c>
      <c r="J39" s="1" t="str">
        <f>IFERROR(__xludf.DUMMYFUNCTION("""COMPUTED_VALUE"""),"High")</f>
        <v>High</v>
      </c>
      <c r="K39" s="1" t="str">
        <f>IFERROR(__xludf.DUMMYFUNCTION("""COMPUTED_VALUE"""),"")</f>
        <v/>
      </c>
      <c r="L39" s="1" t="str">
        <f>IFERROR(__xludf.DUMMYFUNCTION("""COMPUTED_VALUE"""),"Huntley LLC")</f>
        <v>Huntley LLC</v>
      </c>
      <c r="M39" s="1" t="str">
        <f>IFERROR(__xludf.DUMMYFUNCTION("""COMPUTED_VALUE"""),"")</f>
        <v/>
      </c>
      <c r="N39" s="1" t="str">
        <f>IFERROR(__xludf.DUMMYFUNCTION("""COMPUTED_VALUE"""),"")</f>
        <v/>
      </c>
      <c r="O39" s="1" t="str">
        <f>IFERROR(__xludf.DUMMYFUNCTION("""COMPUTED_VALUE"""),"Hyperscale (100-999 MW)")</f>
        <v>Hyperscale (100-999 MW)</v>
      </c>
      <c r="P39" s="1" t="str">
        <f>IFERROR(__xludf.DUMMYFUNCTION("""COMPUTED_VALUE"""),"Hydroelectric")</f>
        <v>Hydroelectric</v>
      </c>
      <c r="Q39" s="1" t="str">
        <f>IFERROR(__xludf.DUMMYFUNCTION("""COMPUTED_VALUE"""),"")</f>
        <v/>
      </c>
      <c r="R39" s="1" t="str">
        <f>IFERROR(__xludf.DUMMYFUNCTION("""COMPUTED_VALUE"""),"")</f>
        <v/>
      </c>
      <c r="S39" s="1" t="str">
        <f>IFERROR(__xludf.DUMMYFUNCTION("""COMPUTED_VALUE"""),"")</f>
        <v/>
      </c>
      <c r="T39" s="1" t="str">
        <f>IFERROR(__xludf.DUMMYFUNCTION("""COMPUTED_VALUE"""),"")</f>
        <v/>
      </c>
      <c r="U39" s="1" t="str">
        <f>IFERROR(__xludf.DUMMYFUNCTION("""COMPUTED_VALUE"""),"")</f>
        <v/>
      </c>
      <c r="V39" s="1" t="str">
        <f>IFERROR(__xludf.DUMMYFUNCTION("""COMPUTED_VALUE"""),"")</f>
        <v/>
      </c>
      <c r="W39" s="1" t="str">
        <f>IFERROR(__xludf.DUMMYFUNCTION("""COMPUTED_VALUE"""),"500")</f>
        <v>500</v>
      </c>
      <c r="X39" s="1" t="str">
        <f>IFERROR(__xludf.DUMMYFUNCTION("""COMPUTED_VALUE"""),"")</f>
        <v/>
      </c>
      <c r="Y39" s="1" t="str">
        <f>IFERROR(__xludf.DUMMYFUNCTION("""COMPUTED_VALUE"""),"")</f>
        <v/>
      </c>
      <c r="Z39" s="1" t="str">
        <f>IFERROR(__xludf.DUMMYFUNCTION("""COMPUTED_VALUE"""),"Yes")</f>
        <v>Yes</v>
      </c>
      <c r="AA39" s="1" t="str">
        <f>IFERROR(__xludf.DUMMYFUNCTION("""COMPUTED_VALUE"""),"In December 2026 a referendum was filed by citizens to veto the city council’s vote to sell 500 acres for a data center.")</f>
        <v>In December 2026 a referendum was filed by citizens to veto the city council’s vote to sell 500 acres for a data center.</v>
      </c>
      <c r="AB39" s="1" t="str">
        <f>IFERROR(__xludf.DUMMYFUNCTION("""COMPUTED_VALUE"""),"Organized Advocacy")</f>
        <v>Organized Advocacy</v>
      </c>
      <c r="AC39" s="1" t="str">
        <f>IFERROR(__xludf.DUMMYFUNCTION("""COMPUTED_VALUE"""),"")</f>
        <v/>
      </c>
      <c r="AD39" s="2" t="str">
        <f>IFERROR(__xludf.DUMMYFUNCTION("""COMPUTED_VALUE"""),"https://www.facebook.com/groups/641796558723863/")</f>
        <v>https://www.facebook.com/groups/641796558723863/</v>
      </c>
      <c r="AE39" s="2" t="str">
        <f>IFERROR(__xludf.DUMMYFUNCTION("""COMPUTED_VALUE"""),"https://www.facebook.com/groups/1117995533656453")</f>
        <v>https://www.facebook.com/groups/1117995533656453</v>
      </c>
      <c r="AF39" s="2" t="str">
        <f>IFERROR(__xludf.DUMMYFUNCTION("""COMPUTED_VALUE"""),"https://www.change.org/p/no-data-center-in-page-az")</f>
        <v>https://www.change.org/p/no-data-center-in-page-az</v>
      </c>
      <c r="AG39" s="1" t="str">
        <f>IFERROR(__xludf.DUMMYFUNCTION("""COMPUTED_VALUE"""),"Plans to draw power from Glen Canyon Dam. October, the Page City Council voted 5-2 to approve a contract and rezoning of the site from recreational use, allowing a feasibility study on the data center project.")</f>
        <v>Plans to draw power from Glen Canyon Dam. October, the Page City Council voted 5-2 to approve a contract and rezoning of the site from recreational use, allowing a feasibility study on the data center project.</v>
      </c>
      <c r="AH39" s="1" t="str">
        <f>IFERROR(__xludf.DUMMYFUNCTION("""COMPUTED_VALUE"""),"Media Monitoring")</f>
        <v>Media Monitoring</v>
      </c>
      <c r="AI39" s="2" t="str">
        <f>IFERROR(__xludf.DUMMYFUNCTION("""COMPUTED_VALUE"""),"https://www.datacenterdynamics.com/en/news/data-center-proposed-for-500-acre-site-in-page-arizona/")</f>
        <v>https://www.datacenterdynamics.com/en/news/data-center-proposed-for-500-acre-site-in-page-arizona/</v>
      </c>
      <c r="AJ39" s="2" t="str">
        <f>IFERROR(__xludf.DUMMYFUNCTION("""COMPUTED_VALUE"""),"https://www.fox10phoenix.com/news/10b-data-center-plan-page-area-faces-pushback-from-residents")</f>
        <v>https://www.fox10phoenix.com/news/10b-data-center-plan-page-area-faces-pushback-from-residents</v>
      </c>
      <c r="AK39" s="2" t="str">
        <f>IFERROR(__xludf.DUMMYFUNCTION("""COMPUTED_VALUE"""),"https://lakepowellchronicle.com/stories/international-development-company-proposes-10-billion-data-center-for-page,78901")</f>
        <v>https://lakepowellchronicle.com/stories/international-development-company-proposes-10-billion-data-center-for-page,78901</v>
      </c>
      <c r="AL39" s="1" t="str">
        <f>IFERROR(__xludf.DUMMYFUNCTION("""COMPUTED_VALUE"""),"")</f>
        <v/>
      </c>
      <c r="AM39" s="1" t="str">
        <f>IFERROR(__xludf.DUMMYFUNCTION("""COMPUTED_VALUE"""),"")</f>
        <v/>
      </c>
      <c r="AN39" s="1" t="str">
        <f>IFERROR(__xludf.DUMMYFUNCTION("""COMPUTED_VALUE"""),"")</f>
        <v/>
      </c>
      <c r="AO39" s="1" t="str">
        <f>IFERROR(__xludf.DUMMYFUNCTION("""COMPUTED_VALUE"""),"")</f>
        <v/>
      </c>
      <c r="AP39" s="1" t="str">
        <f>IFERROR(__xludf.DUMMYFUNCTION("""COMPUTED_VALUE"""),"")</f>
        <v/>
      </c>
      <c r="AQ39" s="1" t="str">
        <f>IFERROR(__xludf.DUMMYFUNCTION("""COMPUTED_VALUE"""),"11/27/2025")</f>
        <v>11/27/2025</v>
      </c>
      <c r="AR39" s="1" t="str">
        <f>IFERROR(__xludf.DUMMYFUNCTION("""COMPUTED_VALUE"""),"05/03/2026")</f>
        <v>05/03/2026</v>
      </c>
    </row>
    <row r="40">
      <c r="A40" s="1" t="str">
        <f>IFERROR(__xludf.DUMMYFUNCTION("""COMPUTED_VALUE"""),"Aligned")</f>
        <v>Aligned</v>
      </c>
      <c r="B40" s="1" t="str">
        <f>IFERROR(__xludf.DUMMYFUNCTION("""COMPUTED_VALUE"""),"2500 W Union Hills Dr")</f>
        <v>2500 W Union Hills Dr</v>
      </c>
      <c r="C40" s="1" t="str">
        <f>IFERROR(__xludf.DUMMYFUNCTION("""COMPUTED_VALUE"""),"Phoenix")</f>
        <v>Phoenix</v>
      </c>
      <c r="D40" s="1" t="str">
        <f>IFERROR(__xludf.DUMMYFUNCTION("""COMPUTED_VALUE"""),"AZ")</f>
        <v>AZ</v>
      </c>
      <c r="E40" s="1" t="str">
        <f>IFERROR(__xludf.DUMMYFUNCTION("""COMPUTED_VALUE"""),"85027")</f>
        <v>85027</v>
      </c>
      <c r="F40" s="1" t="str">
        <f>IFERROR(__xludf.DUMMYFUNCTION("""COMPUTED_VALUE"""),"Maricopa")</f>
        <v>Maricopa</v>
      </c>
      <c r="G40" s="1" t="str">
        <f>IFERROR(__xludf.DUMMYFUNCTION("""COMPUTED_VALUE"""),"33.65898")</f>
        <v>33.65898</v>
      </c>
      <c r="H40" s="1" t="str">
        <f>IFERROR(__xludf.DUMMYFUNCTION("""COMPUTED_VALUE"""),"-112.111")</f>
        <v>-112.111</v>
      </c>
      <c r="I40" s="1" t="str">
        <f>IFERROR(__xludf.DUMMYFUNCTION("""COMPUTED_VALUE"""),"Operating")</f>
        <v>Operating</v>
      </c>
      <c r="J40" s="1" t="str">
        <f>IFERROR(__xludf.DUMMYFUNCTION("""COMPUTED_VALUE"""),"High")</f>
        <v>High</v>
      </c>
      <c r="K40" s="1" t="str">
        <f>IFERROR(__xludf.DUMMYFUNCTION("""COMPUTED_VALUE"""),"")</f>
        <v/>
      </c>
      <c r="L40" s="1" t="str">
        <f>IFERROR(__xludf.DUMMYFUNCTION("""COMPUTED_VALUE"""),"")</f>
        <v/>
      </c>
      <c r="M40" s="1" t="str">
        <f>IFERROR(__xludf.DUMMYFUNCTION("""COMPUTED_VALUE"""),"")</f>
        <v/>
      </c>
      <c r="N40" s="1" t="str">
        <f>IFERROR(__xludf.DUMMYFUNCTION("""COMPUTED_VALUE"""),"180")</f>
        <v>180</v>
      </c>
      <c r="O40" s="1" t="str">
        <f>IFERROR(__xludf.DUMMYFUNCTION("""COMPUTED_VALUE"""),"Hyperscale (100-999 MW)")</f>
        <v>Hyperscale (100-999 MW)</v>
      </c>
      <c r="P40" s="1" t="str">
        <f>IFERROR(__xludf.DUMMYFUNCTION("""COMPUTED_VALUE"""),"")</f>
        <v/>
      </c>
      <c r="Q40" s="1" t="str">
        <f>IFERROR(__xludf.DUMMYFUNCTION("""COMPUTED_VALUE"""),"")</f>
        <v/>
      </c>
      <c r="R40" s="1" t="str">
        <f>IFERROR(__xludf.DUMMYFUNCTION("""COMPUTED_VALUE"""),"")</f>
        <v/>
      </c>
      <c r="S40" s="1" t="str">
        <f>IFERROR(__xludf.DUMMYFUNCTION("""COMPUTED_VALUE"""),"")</f>
        <v/>
      </c>
      <c r="T40" s="1" t="str">
        <f>IFERROR(__xludf.DUMMYFUNCTION("""COMPUTED_VALUE"""),"")</f>
        <v/>
      </c>
      <c r="U40" s="1" t="str">
        <f>IFERROR(__xludf.DUMMYFUNCTION("""COMPUTED_VALUE"""),"")</f>
        <v/>
      </c>
      <c r="V40" s="1" t="str">
        <f>IFERROR(__xludf.DUMMYFUNCTION("""COMPUTED_VALUE"""),"550,000")</f>
        <v>550,000</v>
      </c>
      <c r="W40" s="1" t="str">
        <f>IFERROR(__xludf.DUMMYFUNCTION("""COMPUTED_VALUE"""),"")</f>
        <v/>
      </c>
      <c r="X40" s="1" t="str">
        <f>IFERROR(__xludf.DUMMYFUNCTION("""COMPUTED_VALUE"""),"")</f>
        <v/>
      </c>
      <c r="Y40" s="1" t="str">
        <f>IFERROR(__xludf.DUMMYFUNCTION("""COMPUTED_VALUE"""),"")</f>
        <v/>
      </c>
      <c r="Z40" s="1" t="str">
        <f>IFERROR(__xludf.DUMMYFUNCTION("""COMPUTED_VALUE"""),"Unknown")</f>
        <v>Unknown</v>
      </c>
      <c r="AA40" s="1" t="str">
        <f>IFERROR(__xludf.DUMMYFUNCTION("""COMPUTED_VALUE"""),"")</f>
        <v/>
      </c>
      <c r="AB40" s="1" t="str">
        <f>IFERROR(__xludf.DUMMYFUNCTION("""COMPUTED_VALUE"""),"")</f>
        <v/>
      </c>
      <c r="AC40" s="1" t="str">
        <f>IFERROR(__xludf.DUMMYFUNCTION("""COMPUTED_VALUE"""),"")</f>
        <v/>
      </c>
      <c r="AD40" s="1" t="str">
        <f>IFERROR(__xludf.DUMMYFUNCTION("""COMPUTED_VALUE"""),"")</f>
        <v/>
      </c>
      <c r="AE40" s="1" t="str">
        <f>IFERROR(__xludf.DUMMYFUNCTION("""COMPUTED_VALUE"""),"")</f>
        <v/>
      </c>
      <c r="AF40" s="1" t="str">
        <f>IFERROR(__xludf.DUMMYFUNCTION("""COMPUTED_VALUE"""),"")</f>
        <v/>
      </c>
      <c r="AG40" s="1" t="str">
        <f>IFERROR(__xludf.DUMMYFUNCTION("""COMPUTED_VALUE"""),"")</f>
        <v/>
      </c>
      <c r="AH40" s="1" t="str">
        <f>IFERROR(__xludf.DUMMYFUNCTION("""COMPUTED_VALUE"""),"Media Monitoring")</f>
        <v>Media Monitoring</v>
      </c>
      <c r="AI40" s="2" t="str">
        <f>IFERROR(__xludf.DUMMYFUNCTION("""COMPUTED_VALUE"""),"https://www.datacenterdynamics.com/en/news/aligned-acquires-two-plots-in-phoenix-plans-two-campuses-totaling-400mw/")</f>
        <v>https://www.datacenterdynamics.com/en/news/aligned-acquires-two-plots-in-phoenix-plans-two-campuses-totaling-400mw/</v>
      </c>
      <c r="AJ40" s="1" t="str">
        <f>IFERROR(__xludf.DUMMYFUNCTION("""COMPUTED_VALUE"""),"")</f>
        <v/>
      </c>
      <c r="AK40" s="1" t="str">
        <f>IFERROR(__xludf.DUMMYFUNCTION("""COMPUTED_VALUE"""),"")</f>
        <v/>
      </c>
      <c r="AL40" s="1" t="str">
        <f>IFERROR(__xludf.DUMMYFUNCTION("""COMPUTED_VALUE"""),"")</f>
        <v/>
      </c>
      <c r="AM40" s="1" t="str">
        <f>IFERROR(__xludf.DUMMYFUNCTION("""COMPUTED_VALUE"""),"")</f>
        <v/>
      </c>
      <c r="AN40" s="1" t="str">
        <f>IFERROR(__xludf.DUMMYFUNCTION("""COMPUTED_VALUE"""),"")</f>
        <v/>
      </c>
      <c r="AO40" s="1" t="str">
        <f>IFERROR(__xludf.DUMMYFUNCTION("""COMPUTED_VALUE"""),"")</f>
        <v/>
      </c>
      <c r="AP40" s="1" t="str">
        <f>IFERROR(__xludf.DUMMYFUNCTION("""COMPUTED_VALUE"""),"")</f>
        <v/>
      </c>
      <c r="AQ40" s="1" t="str">
        <f>IFERROR(__xludf.DUMMYFUNCTION("""COMPUTED_VALUE"""),"05/28/2025")</f>
        <v>05/28/2025</v>
      </c>
      <c r="AR40" s="1" t="str">
        <f>IFERROR(__xludf.DUMMYFUNCTION("""COMPUTED_VALUE"""),"02/18/2026")</f>
        <v>02/18/2026</v>
      </c>
    </row>
    <row r="41">
      <c r="A41" s="1" t="str">
        <f>IFERROR(__xludf.DUMMYFUNCTION("""COMPUTED_VALUE"""),"Expedient Data Center")</f>
        <v>Expedient Data Center</v>
      </c>
      <c r="B41" s="1" t="str">
        <f>IFERROR(__xludf.DUMMYFUNCTION("""COMPUTED_VALUE"""),"2475 West Townley Avenue")</f>
        <v>2475 West Townley Avenue</v>
      </c>
      <c r="C41" s="1" t="str">
        <f>IFERROR(__xludf.DUMMYFUNCTION("""COMPUTED_VALUE"""),"Phoenix")</f>
        <v>Phoenix</v>
      </c>
      <c r="D41" s="1" t="str">
        <f>IFERROR(__xludf.DUMMYFUNCTION("""COMPUTED_VALUE"""),"AZ")</f>
        <v>AZ</v>
      </c>
      <c r="E41" s="1" t="str">
        <f>IFERROR(__xludf.DUMMYFUNCTION("""COMPUTED_VALUE"""),"85021")</f>
        <v>85021</v>
      </c>
      <c r="F41" s="1" t="str">
        <f>IFERROR(__xludf.DUMMYFUNCTION("""COMPUTED_VALUE"""),"Maricopa")</f>
        <v>Maricopa</v>
      </c>
      <c r="G41" s="1" t="str">
        <f>IFERROR(__xludf.DUMMYFUNCTION("""COMPUTED_VALUE"""),"33.56452")</f>
        <v>33.56452</v>
      </c>
      <c r="H41" s="1" t="str">
        <f>IFERROR(__xludf.DUMMYFUNCTION("""COMPUTED_VALUE"""),"-112.112")</f>
        <v>-112.112</v>
      </c>
      <c r="I41" s="1" t="str">
        <f>IFERROR(__xludf.DUMMYFUNCTION("""COMPUTED_VALUE"""),"Operating")</f>
        <v>Operating</v>
      </c>
      <c r="J41" s="1" t="str">
        <f>IFERROR(__xludf.DUMMYFUNCTION("""COMPUTED_VALUE"""),"High")</f>
        <v>High</v>
      </c>
      <c r="K41" s="1" t="str">
        <f>IFERROR(__xludf.DUMMYFUNCTION("""COMPUTED_VALUE"""),"")</f>
        <v/>
      </c>
      <c r="L41" s="1" t="str">
        <f>IFERROR(__xludf.DUMMYFUNCTION("""COMPUTED_VALUE"""),"Expedient")</f>
        <v>Expedient</v>
      </c>
      <c r="M41" s="1" t="str">
        <f>IFERROR(__xludf.DUMMYFUNCTION("""COMPUTED_VALUE"""),"")</f>
        <v/>
      </c>
      <c r="N41" s="1" t="str">
        <f>IFERROR(__xludf.DUMMYFUNCTION("""COMPUTED_VALUE"""),"2")</f>
        <v>2</v>
      </c>
      <c r="O41" s="1" t="str">
        <f>IFERROR(__xludf.DUMMYFUNCTION("""COMPUTED_VALUE"""),"Medium (11-50 MW)")</f>
        <v>Medium (11-50 MW)</v>
      </c>
      <c r="P41" s="1" t="str">
        <f>IFERROR(__xludf.DUMMYFUNCTION("""COMPUTED_VALUE"""),"")</f>
        <v/>
      </c>
      <c r="Q41" s="1" t="str">
        <f>IFERROR(__xludf.DUMMYFUNCTION("""COMPUTED_VALUE"""),"")</f>
        <v/>
      </c>
      <c r="R41" s="1" t="str">
        <f>IFERROR(__xludf.DUMMYFUNCTION("""COMPUTED_VALUE"""),"")</f>
        <v/>
      </c>
      <c r="S41" s="1" t="str">
        <f>IFERROR(__xludf.DUMMYFUNCTION("""COMPUTED_VALUE"""),"")</f>
        <v/>
      </c>
      <c r="T41" s="1" t="str">
        <f>IFERROR(__xludf.DUMMYFUNCTION("""COMPUTED_VALUE"""),"")</f>
        <v/>
      </c>
      <c r="U41" s="1" t="str">
        <f>IFERROR(__xludf.DUMMYFUNCTION("""COMPUTED_VALUE"""),"")</f>
        <v/>
      </c>
      <c r="V41" s="1" t="str">
        <f>IFERROR(__xludf.DUMMYFUNCTION("""COMPUTED_VALUE"""),"45,000")</f>
        <v>45,000</v>
      </c>
      <c r="W41" s="1" t="str">
        <f>IFERROR(__xludf.DUMMYFUNCTION("""COMPUTED_VALUE"""),"")</f>
        <v/>
      </c>
      <c r="X41" s="1" t="str">
        <f>IFERROR(__xludf.DUMMYFUNCTION("""COMPUTED_VALUE"""),"")</f>
        <v/>
      </c>
      <c r="Y41" s="1" t="str">
        <f>IFERROR(__xludf.DUMMYFUNCTION("""COMPUTED_VALUE"""),"")</f>
        <v/>
      </c>
      <c r="Z41" s="1" t="str">
        <f>IFERROR(__xludf.DUMMYFUNCTION("""COMPUTED_VALUE"""),"Unknown")</f>
        <v>Unknown</v>
      </c>
      <c r="AA41" s="1" t="str">
        <f>IFERROR(__xludf.DUMMYFUNCTION("""COMPUTED_VALUE"""),"")</f>
        <v/>
      </c>
      <c r="AB41" s="1" t="str">
        <f>IFERROR(__xludf.DUMMYFUNCTION("""COMPUTED_VALUE"""),"")</f>
        <v/>
      </c>
      <c r="AC41" s="1" t="str">
        <f>IFERROR(__xludf.DUMMYFUNCTION("""COMPUTED_VALUE"""),"")</f>
        <v/>
      </c>
      <c r="AD41" s="1" t="str">
        <f>IFERROR(__xludf.DUMMYFUNCTION("""COMPUTED_VALUE"""),"")</f>
        <v/>
      </c>
      <c r="AE41" s="1" t="str">
        <f>IFERROR(__xludf.DUMMYFUNCTION("""COMPUTED_VALUE"""),"")</f>
        <v/>
      </c>
      <c r="AF41" s="1" t="str">
        <f>IFERROR(__xludf.DUMMYFUNCTION("""COMPUTED_VALUE"""),"")</f>
        <v/>
      </c>
      <c r="AG41" s="1" t="str">
        <f>IFERROR(__xludf.DUMMYFUNCTION("""COMPUTED_VALUE"""),"")</f>
        <v/>
      </c>
      <c r="AH41" s="1" t="str">
        <f>IFERROR(__xludf.DUMMYFUNCTION("""COMPUTED_VALUE"""),"Media Monitoring")</f>
        <v>Media Monitoring</v>
      </c>
      <c r="AI41" s="2" t="str">
        <f>IFERROR(__xludf.DUMMYFUNCTION("""COMPUTED_VALUE"""),"https://www.datacenterdynamics.com/en/news/expedient-opens-data-center-in-phoenix-arizona/")</f>
        <v>https://www.datacenterdynamics.com/en/news/expedient-opens-data-center-in-phoenix-arizona/</v>
      </c>
      <c r="AJ41" s="1" t="str">
        <f>IFERROR(__xludf.DUMMYFUNCTION("""COMPUTED_VALUE"""),"")</f>
        <v/>
      </c>
      <c r="AK41" s="1" t="str">
        <f>IFERROR(__xludf.DUMMYFUNCTION("""COMPUTED_VALUE"""),"")</f>
        <v/>
      </c>
      <c r="AL41" s="1" t="str">
        <f>IFERROR(__xludf.DUMMYFUNCTION("""COMPUTED_VALUE"""),"")</f>
        <v/>
      </c>
      <c r="AM41" s="1" t="str">
        <f>IFERROR(__xludf.DUMMYFUNCTION("""COMPUTED_VALUE"""),"")</f>
        <v/>
      </c>
      <c r="AN41" s="1" t="str">
        <f>IFERROR(__xludf.DUMMYFUNCTION("""COMPUTED_VALUE"""),"")</f>
        <v/>
      </c>
      <c r="AO41" s="1" t="str">
        <f>IFERROR(__xludf.DUMMYFUNCTION("""COMPUTED_VALUE"""),"")</f>
        <v/>
      </c>
      <c r="AP41" s="1" t="str">
        <f>IFERROR(__xludf.DUMMYFUNCTION("""COMPUTED_VALUE"""),"")</f>
        <v/>
      </c>
      <c r="AQ41" s="1" t="str">
        <f>IFERROR(__xludf.DUMMYFUNCTION("""COMPUTED_VALUE"""),"05/28/2025")</f>
        <v>05/28/2025</v>
      </c>
      <c r="AR41" s="1" t="str">
        <f>IFERROR(__xludf.DUMMYFUNCTION("""COMPUTED_VALUE"""),"02/19/2026")</f>
        <v>02/19/2026</v>
      </c>
    </row>
    <row r="42">
      <c r="A42" s="1" t="str">
        <f>IFERROR(__xludf.DUMMYFUNCTION("""COMPUTED_VALUE"""),"PHX1")</f>
        <v>PHX1</v>
      </c>
      <c r="B42" s="1" t="str">
        <f>IFERROR(__xludf.DUMMYFUNCTION("""COMPUTED_VALUE"""),"2475 W Townley Ave")</f>
        <v>2475 W Townley Ave</v>
      </c>
      <c r="C42" s="1" t="str">
        <f>IFERROR(__xludf.DUMMYFUNCTION("""COMPUTED_VALUE"""),"Phoenix")</f>
        <v>Phoenix</v>
      </c>
      <c r="D42" s="1" t="str">
        <f>IFERROR(__xludf.DUMMYFUNCTION("""COMPUTED_VALUE"""),"AZ")</f>
        <v>AZ</v>
      </c>
      <c r="E42" s="1" t="str">
        <f>IFERROR(__xludf.DUMMYFUNCTION("""COMPUTED_VALUE"""),"85021")</f>
        <v>85021</v>
      </c>
      <c r="F42" s="1" t="str">
        <f>IFERROR(__xludf.DUMMYFUNCTION("""COMPUTED_VALUE"""),"Maricopa")</f>
        <v>Maricopa</v>
      </c>
      <c r="G42" s="1" t="str">
        <f>IFERROR(__xludf.DUMMYFUNCTION("""COMPUTED_VALUE"""),"33.56456")</f>
        <v>33.56456</v>
      </c>
      <c r="H42" s="1" t="str">
        <f>IFERROR(__xludf.DUMMYFUNCTION("""COMPUTED_VALUE"""),"-112.112")</f>
        <v>-112.112</v>
      </c>
      <c r="I42" s="1" t="str">
        <f>IFERROR(__xludf.DUMMYFUNCTION("""COMPUTED_VALUE"""),"Operating")</f>
        <v>Operating</v>
      </c>
      <c r="J42" s="1" t="str">
        <f>IFERROR(__xludf.DUMMYFUNCTION("""COMPUTED_VALUE"""),"High")</f>
        <v>High</v>
      </c>
      <c r="K42" s="1" t="str">
        <f>IFERROR(__xludf.DUMMYFUNCTION("""COMPUTED_VALUE"""),"")</f>
        <v/>
      </c>
      <c r="L42" s="1" t="str">
        <f>IFERROR(__xludf.DUMMYFUNCTION("""COMPUTED_VALUE"""),"")</f>
        <v/>
      </c>
      <c r="M42" s="1" t="str">
        <f>IFERROR(__xludf.DUMMYFUNCTION("""COMPUTED_VALUE"""),"")</f>
        <v/>
      </c>
      <c r="N42" s="1" t="str">
        <f>IFERROR(__xludf.DUMMYFUNCTION("""COMPUTED_VALUE"""),"4")</f>
        <v>4</v>
      </c>
      <c r="O42" s="1" t="str">
        <f>IFERROR(__xludf.DUMMYFUNCTION("""COMPUTED_VALUE"""),"Small (0-10 MW)")</f>
        <v>Small (0-10 MW)</v>
      </c>
      <c r="P42" s="1" t="str">
        <f>IFERROR(__xludf.DUMMYFUNCTION("""COMPUTED_VALUE"""),"")</f>
        <v/>
      </c>
      <c r="Q42" s="1" t="str">
        <f>IFERROR(__xludf.DUMMYFUNCTION("""COMPUTED_VALUE"""),"")</f>
        <v/>
      </c>
      <c r="R42" s="1" t="str">
        <f>IFERROR(__xludf.DUMMYFUNCTION("""COMPUTED_VALUE"""),"")</f>
        <v/>
      </c>
      <c r="S42" s="1" t="str">
        <f>IFERROR(__xludf.DUMMYFUNCTION("""COMPUTED_VALUE"""),"")</f>
        <v/>
      </c>
      <c r="T42" s="1" t="str">
        <f>IFERROR(__xludf.DUMMYFUNCTION("""COMPUTED_VALUE"""),"")</f>
        <v/>
      </c>
      <c r="U42" s="1" t="str">
        <f>IFERROR(__xludf.DUMMYFUNCTION("""COMPUTED_VALUE"""),"")</f>
        <v/>
      </c>
      <c r="V42" s="1" t="str">
        <f>IFERROR(__xludf.DUMMYFUNCTION("""COMPUTED_VALUE"""),"46,000")</f>
        <v>46,000</v>
      </c>
      <c r="W42" s="1" t="str">
        <f>IFERROR(__xludf.DUMMYFUNCTION("""COMPUTED_VALUE"""),"")</f>
        <v/>
      </c>
      <c r="X42" s="1" t="str">
        <f>IFERROR(__xludf.DUMMYFUNCTION("""COMPUTED_VALUE"""),"")</f>
        <v/>
      </c>
      <c r="Y42" s="1" t="str">
        <f>IFERROR(__xludf.DUMMYFUNCTION("""COMPUTED_VALUE"""),"")</f>
        <v/>
      </c>
      <c r="Z42" s="1" t="str">
        <f>IFERROR(__xludf.DUMMYFUNCTION("""COMPUTED_VALUE"""),"Unknown")</f>
        <v>Unknown</v>
      </c>
      <c r="AA42" s="1" t="str">
        <f>IFERROR(__xludf.DUMMYFUNCTION("""COMPUTED_VALUE"""),"")</f>
        <v/>
      </c>
      <c r="AB42" s="1" t="str">
        <f>IFERROR(__xludf.DUMMYFUNCTION("""COMPUTED_VALUE"""),"")</f>
        <v/>
      </c>
      <c r="AC42" s="1" t="str">
        <f>IFERROR(__xludf.DUMMYFUNCTION("""COMPUTED_VALUE"""),"")</f>
        <v/>
      </c>
      <c r="AD42" s="1" t="str">
        <f>IFERROR(__xludf.DUMMYFUNCTION("""COMPUTED_VALUE"""),"")</f>
        <v/>
      </c>
      <c r="AE42" s="1" t="str">
        <f>IFERROR(__xludf.DUMMYFUNCTION("""COMPUTED_VALUE"""),"")</f>
        <v/>
      </c>
      <c r="AF42" s="1" t="str">
        <f>IFERROR(__xludf.DUMMYFUNCTION("""COMPUTED_VALUE"""),"")</f>
        <v/>
      </c>
      <c r="AG42" s="1" t="str">
        <f>IFERROR(__xludf.DUMMYFUNCTION("""COMPUTED_VALUE"""),"")</f>
        <v/>
      </c>
      <c r="AH42" s="1" t="str">
        <f>IFERROR(__xludf.DUMMYFUNCTION("""COMPUTED_VALUE"""),"Media Monitoring")</f>
        <v>Media Monitoring</v>
      </c>
      <c r="AI42" s="2" t="str">
        <f>IFERROR(__xludf.DUMMYFUNCTION("""COMPUTED_VALUE"""),"https://www.expedient.com/data-centers/phoenix/")</f>
        <v>https://www.expedient.com/data-centers/phoenix/</v>
      </c>
      <c r="AJ42" s="1" t="str">
        <f>IFERROR(__xludf.DUMMYFUNCTION("""COMPUTED_VALUE"""),"")</f>
        <v/>
      </c>
      <c r="AK42" s="1" t="str">
        <f>IFERROR(__xludf.DUMMYFUNCTION("""COMPUTED_VALUE"""),"")</f>
        <v/>
      </c>
      <c r="AL42" s="1" t="str">
        <f>IFERROR(__xludf.DUMMYFUNCTION("""COMPUTED_VALUE"""),"")</f>
        <v/>
      </c>
      <c r="AM42" s="1" t="str">
        <f>IFERROR(__xludf.DUMMYFUNCTION("""COMPUTED_VALUE"""),"")</f>
        <v/>
      </c>
      <c r="AN42" s="1" t="str">
        <f>IFERROR(__xludf.DUMMYFUNCTION("""COMPUTED_VALUE"""),"")</f>
        <v/>
      </c>
      <c r="AO42" s="1" t="str">
        <f>IFERROR(__xludf.DUMMYFUNCTION("""COMPUTED_VALUE"""),"")</f>
        <v/>
      </c>
      <c r="AP42" s="1" t="str">
        <f>IFERROR(__xludf.DUMMYFUNCTION("""COMPUTED_VALUE"""),"")</f>
        <v/>
      </c>
      <c r="AQ42" s="1" t="str">
        <f>IFERROR(__xludf.DUMMYFUNCTION("""COMPUTED_VALUE"""),"09/01/2025")</f>
        <v>09/01/2025</v>
      </c>
      <c r="AR42" s="1" t="str">
        <f>IFERROR(__xludf.DUMMYFUNCTION("""COMPUTED_VALUE"""),"02/19/2026")</f>
        <v>02/19/2026</v>
      </c>
    </row>
    <row r="43">
      <c r="A43" s="1" t="str">
        <f>IFERROR(__xludf.DUMMYFUNCTION("""COMPUTED_VALUE"""),"QTS")</f>
        <v>QTS</v>
      </c>
      <c r="B43" s="1" t="str">
        <f>IFERROR(__xludf.DUMMYFUNCTION("""COMPUTED_VALUE"""),"120 E Van Buren St")</f>
        <v>120 E Van Buren St</v>
      </c>
      <c r="C43" s="1" t="str">
        <f>IFERROR(__xludf.DUMMYFUNCTION("""COMPUTED_VALUE"""),"Phoenix")</f>
        <v>Phoenix</v>
      </c>
      <c r="D43" s="1" t="str">
        <f>IFERROR(__xludf.DUMMYFUNCTION("""COMPUTED_VALUE"""),"AZ")</f>
        <v>AZ</v>
      </c>
      <c r="E43" s="1" t="str">
        <f>IFERROR(__xludf.DUMMYFUNCTION("""COMPUTED_VALUE"""),"85004")</f>
        <v>85004</v>
      </c>
      <c r="F43" s="1" t="str">
        <f>IFERROR(__xludf.DUMMYFUNCTION("""COMPUTED_VALUE"""),"Maricopa")</f>
        <v>Maricopa</v>
      </c>
      <c r="G43" s="1" t="str">
        <f>IFERROR(__xludf.DUMMYFUNCTION("""COMPUTED_VALUE"""),"33.45193")</f>
        <v>33.45193</v>
      </c>
      <c r="H43" s="1" t="str">
        <f>IFERROR(__xludf.DUMMYFUNCTION("""COMPUTED_VALUE"""),"-112.072")</f>
        <v>-112.072</v>
      </c>
      <c r="I43" s="1" t="str">
        <f>IFERROR(__xludf.DUMMYFUNCTION("""COMPUTED_VALUE"""),"Operating")</f>
        <v>Operating</v>
      </c>
      <c r="J43" s="1" t="str">
        <f>IFERROR(__xludf.DUMMYFUNCTION("""COMPUTED_VALUE"""),"High")</f>
        <v>High</v>
      </c>
      <c r="K43" s="1" t="str">
        <f>IFERROR(__xludf.DUMMYFUNCTION("""COMPUTED_VALUE"""),"")</f>
        <v/>
      </c>
      <c r="L43" s="1" t="str">
        <f>IFERROR(__xludf.DUMMYFUNCTION("""COMPUTED_VALUE"""),"QTS Data Centers")</f>
        <v>QTS Data Centers</v>
      </c>
      <c r="M43" s="1" t="str">
        <f>IFERROR(__xludf.DUMMYFUNCTION("""COMPUTED_VALUE"""),"")</f>
        <v/>
      </c>
      <c r="N43" s="1" t="str">
        <f>IFERROR(__xludf.DUMMYFUNCTION("""COMPUTED_VALUE"""),"32")</f>
        <v>32</v>
      </c>
      <c r="O43" s="1" t="str">
        <f>IFERROR(__xludf.DUMMYFUNCTION("""COMPUTED_VALUE"""),"Medium (11-50 MW)")</f>
        <v>Medium (11-50 MW)</v>
      </c>
      <c r="P43" s="1" t="str">
        <f>IFERROR(__xludf.DUMMYFUNCTION("""COMPUTED_VALUE"""),"")</f>
        <v/>
      </c>
      <c r="Q43" s="1" t="str">
        <f>IFERROR(__xludf.DUMMYFUNCTION("""COMPUTED_VALUE"""),"")</f>
        <v/>
      </c>
      <c r="R43" s="1" t="str">
        <f>IFERROR(__xludf.DUMMYFUNCTION("""COMPUTED_VALUE"""),"")</f>
        <v/>
      </c>
      <c r="S43" s="1" t="str">
        <f>IFERROR(__xludf.DUMMYFUNCTION("""COMPUTED_VALUE"""),"")</f>
        <v/>
      </c>
      <c r="T43" s="1" t="str">
        <f>IFERROR(__xludf.DUMMYFUNCTION("""COMPUTED_VALUE"""),"")</f>
        <v/>
      </c>
      <c r="U43" s="1" t="str">
        <f>IFERROR(__xludf.DUMMYFUNCTION("""COMPUTED_VALUE"""),"")</f>
        <v/>
      </c>
      <c r="V43" s="1" t="str">
        <f>IFERROR(__xludf.DUMMYFUNCTION("""COMPUTED_VALUE"""),"288,000")</f>
        <v>288,000</v>
      </c>
      <c r="W43" s="1" t="str">
        <f>IFERROR(__xludf.DUMMYFUNCTION("""COMPUTED_VALUE"""),"")</f>
        <v/>
      </c>
      <c r="X43" s="1" t="str">
        <f>IFERROR(__xludf.DUMMYFUNCTION("""COMPUTED_VALUE"""),"")</f>
        <v/>
      </c>
      <c r="Y43" s="1" t="str">
        <f>IFERROR(__xludf.DUMMYFUNCTION("""COMPUTED_VALUE"""),"")</f>
        <v/>
      </c>
      <c r="Z43" s="1" t="str">
        <f>IFERROR(__xludf.DUMMYFUNCTION("""COMPUTED_VALUE"""),"Unknown")</f>
        <v>Unknown</v>
      </c>
      <c r="AA43" s="1" t="str">
        <f>IFERROR(__xludf.DUMMYFUNCTION("""COMPUTED_VALUE"""),"")</f>
        <v/>
      </c>
      <c r="AB43" s="1" t="str">
        <f>IFERROR(__xludf.DUMMYFUNCTION("""COMPUTED_VALUE"""),"")</f>
        <v/>
      </c>
      <c r="AC43" s="1" t="str">
        <f>IFERROR(__xludf.DUMMYFUNCTION("""COMPUTED_VALUE"""),"")</f>
        <v/>
      </c>
      <c r="AD43" s="1" t="str">
        <f>IFERROR(__xludf.DUMMYFUNCTION("""COMPUTED_VALUE"""),"")</f>
        <v/>
      </c>
      <c r="AE43" s="1" t="str">
        <f>IFERROR(__xludf.DUMMYFUNCTION("""COMPUTED_VALUE"""),"")</f>
        <v/>
      </c>
      <c r="AF43" s="1" t="str">
        <f>IFERROR(__xludf.DUMMYFUNCTION("""COMPUTED_VALUE"""),"")</f>
        <v/>
      </c>
      <c r="AG43" s="1" t="str">
        <f>IFERROR(__xludf.DUMMYFUNCTION("""COMPUTED_VALUE"""),"")</f>
        <v/>
      </c>
      <c r="AH43" s="1" t="str">
        <f>IFERROR(__xludf.DUMMYFUNCTION("""COMPUTED_VALUE"""),"Media Monitoring")</f>
        <v>Media Monitoring</v>
      </c>
      <c r="AI43" s="2" t="str">
        <f>IFERROR(__xludf.DUMMYFUNCTION("""COMPUTED_VALUE"""),"https://www.datacenterdynamics.com/en/news/qts-breaks-ground-on-data-center-in-phoenix-arizona/")</f>
        <v>https://www.datacenterdynamics.com/en/news/qts-breaks-ground-on-data-center-in-phoenix-arizona/</v>
      </c>
      <c r="AJ43" s="1" t="str">
        <f>IFERROR(__xludf.DUMMYFUNCTION("""COMPUTED_VALUE"""),"")</f>
        <v/>
      </c>
      <c r="AK43" s="1" t="str">
        <f>IFERROR(__xludf.DUMMYFUNCTION("""COMPUTED_VALUE"""),"")</f>
        <v/>
      </c>
      <c r="AL43" s="1" t="str">
        <f>IFERROR(__xludf.DUMMYFUNCTION("""COMPUTED_VALUE"""),"")</f>
        <v/>
      </c>
      <c r="AM43" s="1" t="str">
        <f>IFERROR(__xludf.DUMMYFUNCTION("""COMPUTED_VALUE"""),"")</f>
        <v/>
      </c>
      <c r="AN43" s="1" t="str">
        <f>IFERROR(__xludf.DUMMYFUNCTION("""COMPUTED_VALUE"""),"")</f>
        <v/>
      </c>
      <c r="AO43" s="1" t="str">
        <f>IFERROR(__xludf.DUMMYFUNCTION("""COMPUTED_VALUE"""),"")</f>
        <v/>
      </c>
      <c r="AP43" s="1" t="str">
        <f>IFERROR(__xludf.DUMMYFUNCTION("""COMPUTED_VALUE"""),"")</f>
        <v/>
      </c>
      <c r="AQ43" s="1" t="str">
        <f>IFERROR(__xludf.DUMMYFUNCTION("""COMPUTED_VALUE"""),"05/28/2025")</f>
        <v>05/28/2025</v>
      </c>
      <c r="AR43" s="1" t="str">
        <f>IFERROR(__xludf.DUMMYFUNCTION("""COMPUTED_VALUE"""),"02/19/2026")</f>
        <v>02/19/2026</v>
      </c>
    </row>
    <row r="44">
      <c r="A44" s="1" t="str">
        <f>IFERROR(__xludf.DUMMYFUNCTION("""COMPUTED_VALUE"""),"QTS")</f>
        <v>QTS</v>
      </c>
      <c r="B44" s="1" t="str">
        <f>IFERROR(__xludf.DUMMYFUNCTION("""COMPUTED_VALUE"""),"1200 N 40th St")</f>
        <v>1200 N 40th St</v>
      </c>
      <c r="C44" s="1" t="str">
        <f>IFERROR(__xludf.DUMMYFUNCTION("""COMPUTED_VALUE"""),"Phoenix")</f>
        <v>Phoenix</v>
      </c>
      <c r="D44" s="1" t="str">
        <f>IFERROR(__xludf.DUMMYFUNCTION("""COMPUTED_VALUE"""),"AZ")</f>
        <v>AZ</v>
      </c>
      <c r="E44" s="1" t="str">
        <f>IFERROR(__xludf.DUMMYFUNCTION("""COMPUTED_VALUE"""),"85008")</f>
        <v>85008</v>
      </c>
      <c r="F44" s="1" t="str">
        <f>IFERROR(__xludf.DUMMYFUNCTION("""COMPUTED_VALUE"""),"Maricopa")</f>
        <v>Maricopa</v>
      </c>
      <c r="G44" s="1" t="str">
        <f>IFERROR(__xludf.DUMMYFUNCTION("""COMPUTED_VALUE"""),"33.46237")</f>
        <v>33.46237</v>
      </c>
      <c r="H44" s="1" t="str">
        <f>IFERROR(__xludf.DUMMYFUNCTION("""COMPUTED_VALUE"""),"-111.996")</f>
        <v>-111.996</v>
      </c>
      <c r="I44" s="1" t="str">
        <f>IFERROR(__xludf.DUMMYFUNCTION("""COMPUTED_VALUE"""),"Operating")</f>
        <v>Operating</v>
      </c>
      <c r="J44" s="1" t="str">
        <f>IFERROR(__xludf.DUMMYFUNCTION("""COMPUTED_VALUE"""),"High")</f>
        <v>High</v>
      </c>
      <c r="K44" s="1" t="str">
        <f>IFERROR(__xludf.DUMMYFUNCTION("""COMPUTED_VALUE"""),"")</f>
        <v/>
      </c>
      <c r="L44" s="1" t="str">
        <f>IFERROR(__xludf.DUMMYFUNCTION("""COMPUTED_VALUE"""),"QTS Data Centers")</f>
        <v>QTS Data Centers</v>
      </c>
      <c r="M44" s="1" t="str">
        <f>IFERROR(__xludf.DUMMYFUNCTION("""COMPUTED_VALUE"""),"")</f>
        <v/>
      </c>
      <c r="N44" s="1" t="str">
        <f>IFERROR(__xludf.DUMMYFUNCTION("""COMPUTED_VALUE"""),"42")</f>
        <v>42</v>
      </c>
      <c r="O44" s="1" t="str">
        <f>IFERROR(__xludf.DUMMYFUNCTION("""COMPUTED_VALUE"""),"Hyperscale (100-999 MW)")</f>
        <v>Hyperscale (100-999 MW)</v>
      </c>
      <c r="P44" s="1" t="str">
        <f>IFERROR(__xludf.DUMMYFUNCTION("""COMPUTED_VALUE"""),"")</f>
        <v/>
      </c>
      <c r="Q44" s="1" t="str">
        <f>IFERROR(__xludf.DUMMYFUNCTION("""COMPUTED_VALUE"""),"")</f>
        <v/>
      </c>
      <c r="R44" s="1" t="str">
        <f>IFERROR(__xludf.DUMMYFUNCTION("""COMPUTED_VALUE"""),"")</f>
        <v/>
      </c>
      <c r="S44" s="1" t="str">
        <f>IFERROR(__xludf.DUMMYFUNCTION("""COMPUTED_VALUE"""),"")</f>
        <v/>
      </c>
      <c r="T44" s="1" t="str">
        <f>IFERROR(__xludf.DUMMYFUNCTION("""COMPUTED_VALUE"""),"")</f>
        <v/>
      </c>
      <c r="U44" s="1" t="str">
        <f>IFERROR(__xludf.DUMMYFUNCTION("""COMPUTED_VALUE"""),"")</f>
        <v/>
      </c>
      <c r="V44" s="1" t="str">
        <f>IFERROR(__xludf.DUMMYFUNCTION("""COMPUTED_VALUE"""),"337,330")</f>
        <v>337,330</v>
      </c>
      <c r="W44" s="1" t="str">
        <f>IFERROR(__xludf.DUMMYFUNCTION("""COMPUTED_VALUE"""),"")</f>
        <v/>
      </c>
      <c r="X44" s="1" t="str">
        <f>IFERROR(__xludf.DUMMYFUNCTION("""COMPUTED_VALUE"""),"")</f>
        <v/>
      </c>
      <c r="Y44" s="1" t="str">
        <f>IFERROR(__xludf.DUMMYFUNCTION("""COMPUTED_VALUE"""),"")</f>
        <v/>
      </c>
      <c r="Z44" s="1" t="str">
        <f>IFERROR(__xludf.DUMMYFUNCTION("""COMPUTED_VALUE"""),"Unknown")</f>
        <v>Unknown</v>
      </c>
      <c r="AA44" s="1" t="str">
        <f>IFERROR(__xludf.DUMMYFUNCTION("""COMPUTED_VALUE"""),"")</f>
        <v/>
      </c>
      <c r="AB44" s="1" t="str">
        <f>IFERROR(__xludf.DUMMYFUNCTION("""COMPUTED_VALUE"""),"")</f>
        <v/>
      </c>
      <c r="AC44" s="1" t="str">
        <f>IFERROR(__xludf.DUMMYFUNCTION("""COMPUTED_VALUE"""),"")</f>
        <v/>
      </c>
      <c r="AD44" s="1" t="str">
        <f>IFERROR(__xludf.DUMMYFUNCTION("""COMPUTED_VALUE"""),"")</f>
        <v/>
      </c>
      <c r="AE44" s="1" t="str">
        <f>IFERROR(__xludf.DUMMYFUNCTION("""COMPUTED_VALUE"""),"")</f>
        <v/>
      </c>
      <c r="AF44" s="1" t="str">
        <f>IFERROR(__xludf.DUMMYFUNCTION("""COMPUTED_VALUE"""),"")</f>
        <v/>
      </c>
      <c r="AG44" s="1" t="str">
        <f>IFERROR(__xludf.DUMMYFUNCTION("""COMPUTED_VALUE"""),"")</f>
        <v/>
      </c>
      <c r="AH44" s="1" t="str">
        <f>IFERROR(__xludf.DUMMYFUNCTION("""COMPUTED_VALUE"""),"Media Monitoring")</f>
        <v>Media Monitoring</v>
      </c>
      <c r="AI44" s="2" t="str">
        <f>IFERROR(__xludf.DUMMYFUNCTION("""COMPUTED_VALUE"""),"https://www.datacenterdynamics.com/en/news/qts-breaks-ground-on-data-center-in-phoenix-arizona/")</f>
        <v>https://www.datacenterdynamics.com/en/news/qts-breaks-ground-on-data-center-in-phoenix-arizona/</v>
      </c>
      <c r="AJ44" s="1" t="str">
        <f>IFERROR(__xludf.DUMMYFUNCTION("""COMPUTED_VALUE"""),"")</f>
        <v/>
      </c>
      <c r="AK44" s="1" t="str">
        <f>IFERROR(__xludf.DUMMYFUNCTION("""COMPUTED_VALUE"""),"")</f>
        <v/>
      </c>
      <c r="AL44" s="1" t="str">
        <f>IFERROR(__xludf.DUMMYFUNCTION("""COMPUTED_VALUE"""),"")</f>
        <v/>
      </c>
      <c r="AM44" s="1" t="str">
        <f>IFERROR(__xludf.DUMMYFUNCTION("""COMPUTED_VALUE"""),"")</f>
        <v/>
      </c>
      <c r="AN44" s="1" t="str">
        <f>IFERROR(__xludf.DUMMYFUNCTION("""COMPUTED_VALUE"""),"")</f>
        <v/>
      </c>
      <c r="AO44" s="1" t="str">
        <f>IFERROR(__xludf.DUMMYFUNCTION("""COMPUTED_VALUE"""),"")</f>
        <v/>
      </c>
      <c r="AP44" s="1" t="str">
        <f>IFERROR(__xludf.DUMMYFUNCTION("""COMPUTED_VALUE"""),"")</f>
        <v/>
      </c>
      <c r="AQ44" s="1" t="str">
        <f>IFERROR(__xludf.DUMMYFUNCTION("""COMPUTED_VALUE"""),"05/28/2025")</f>
        <v>05/28/2025</v>
      </c>
      <c r="AR44" s="1" t="str">
        <f>IFERROR(__xludf.DUMMYFUNCTION("""COMPUTED_VALUE"""),"02/19/2026")</f>
        <v>02/19/2026</v>
      </c>
    </row>
    <row r="45">
      <c r="A45" s="1" t="str">
        <f>IFERROR(__xludf.DUMMYFUNCTION("""COMPUTED_VALUE"""),"Tract Phoenix Data Center")</f>
        <v>Tract Phoenix Data Center</v>
      </c>
      <c r="B45" s="1" t="str">
        <f>IFERROR(__xludf.DUMMYFUNCTION("""COMPUTED_VALUE"""),"S. Johnson Rd and W. Southern Ave")</f>
        <v>S. Johnson Rd and W. Southern Ave</v>
      </c>
      <c r="C45" s="1" t="str">
        <f>IFERROR(__xludf.DUMMYFUNCTION("""COMPUTED_VALUE"""),"Phoenix")</f>
        <v>Phoenix</v>
      </c>
      <c r="D45" s="1" t="str">
        <f>IFERROR(__xludf.DUMMYFUNCTION("""COMPUTED_VALUE"""),"AZ")</f>
        <v>AZ</v>
      </c>
      <c r="E45" s="1" t="str">
        <f>IFERROR(__xludf.DUMMYFUNCTION("""COMPUTED_VALUE"""),"85326")</f>
        <v>85326</v>
      </c>
      <c r="F45" s="1" t="str">
        <f>IFERROR(__xludf.DUMMYFUNCTION("""COMPUTED_VALUE"""),"Maricopa")</f>
        <v>Maricopa</v>
      </c>
      <c r="G45" s="1" t="str">
        <f>IFERROR(__xludf.DUMMYFUNCTION("""COMPUTED_VALUE"""),"33.41019")</f>
        <v>33.41019</v>
      </c>
      <c r="H45" s="1" t="str">
        <f>IFERROR(__xludf.DUMMYFUNCTION("""COMPUTED_VALUE"""),"-112.713")</f>
        <v>-112.713</v>
      </c>
      <c r="I45" s="1" t="str">
        <f>IFERROR(__xludf.DUMMYFUNCTION("""COMPUTED_VALUE"""),"Approved/Permitted/Under construction")</f>
        <v>Approved/Permitted/Under construction</v>
      </c>
      <c r="J45" s="1" t="str">
        <f>IFERROR(__xludf.DUMMYFUNCTION("""COMPUTED_VALUE"""),"High")</f>
        <v>High</v>
      </c>
      <c r="K45" s="1" t="str">
        <f>IFERROR(__xludf.DUMMYFUNCTION("""COMPUTED_VALUE"""),"")</f>
        <v/>
      </c>
      <c r="L45" s="1" t="str">
        <f>IFERROR(__xludf.DUMMYFUNCTION("""COMPUTED_VALUE"""),"Tract Data Centers")</f>
        <v>Tract Data Centers</v>
      </c>
      <c r="M45" s="1" t="str">
        <f>IFERROR(__xludf.DUMMYFUNCTION("""COMPUTED_VALUE"""),"")</f>
        <v/>
      </c>
      <c r="N45" s="1" t="str">
        <f>IFERROR(__xludf.DUMMYFUNCTION("""COMPUTED_VALUE"""),"")</f>
        <v/>
      </c>
      <c r="O45" s="1" t="str">
        <f>IFERROR(__xludf.DUMMYFUNCTION("""COMPUTED_VALUE"""),"Mega campus (&gt;1,000 MW)")</f>
        <v>Mega campus (&gt;1,000 MW)</v>
      </c>
      <c r="P45" s="1" t="str">
        <f>IFERROR(__xludf.DUMMYFUNCTION("""COMPUTED_VALUE"""),"")</f>
        <v/>
      </c>
      <c r="Q45" s="1" t="str">
        <f>IFERROR(__xludf.DUMMYFUNCTION("""COMPUTED_VALUE"""),"")</f>
        <v/>
      </c>
      <c r="R45" s="1" t="str">
        <f>IFERROR(__xludf.DUMMYFUNCTION("""COMPUTED_VALUE"""),"")</f>
        <v/>
      </c>
      <c r="S45" s="1" t="str">
        <f>IFERROR(__xludf.DUMMYFUNCTION("""COMPUTED_VALUE"""),"")</f>
        <v/>
      </c>
      <c r="T45" s="1" t="str">
        <f>IFERROR(__xludf.DUMMYFUNCTION("""COMPUTED_VALUE"""),"")</f>
        <v/>
      </c>
      <c r="U45" s="1" t="str">
        <f>IFERROR(__xludf.DUMMYFUNCTION("""COMPUTED_VALUE"""),"")</f>
        <v/>
      </c>
      <c r="V45" s="1" t="str">
        <f>IFERROR(__xludf.DUMMYFUNCTION("""COMPUTED_VALUE"""),"")</f>
        <v/>
      </c>
      <c r="W45" s="1" t="str">
        <f>IFERROR(__xludf.DUMMYFUNCTION("""COMPUTED_VALUE"""),"2069")</f>
        <v>2069</v>
      </c>
      <c r="X45" s="1" t="str">
        <f>IFERROR(__xludf.DUMMYFUNCTION("""COMPUTED_VALUE"""),"")</f>
        <v/>
      </c>
      <c r="Y45" s="1" t="str">
        <f>IFERROR(__xludf.DUMMYFUNCTION("""COMPUTED_VALUE"""),"")</f>
        <v/>
      </c>
      <c r="Z45" s="1" t="str">
        <f>IFERROR(__xludf.DUMMYFUNCTION("""COMPUTED_VALUE"""),"Unknown")</f>
        <v>Unknown</v>
      </c>
      <c r="AA45" s="1" t="str">
        <f>IFERROR(__xludf.DUMMYFUNCTION("""COMPUTED_VALUE"""),"")</f>
        <v/>
      </c>
      <c r="AB45" s="1" t="str">
        <f>IFERROR(__xludf.DUMMYFUNCTION("""COMPUTED_VALUE"""),"")</f>
        <v/>
      </c>
      <c r="AC45" s="1" t="str">
        <f>IFERROR(__xludf.DUMMYFUNCTION("""COMPUTED_VALUE"""),"")</f>
        <v/>
      </c>
      <c r="AD45" s="1" t="str">
        <f>IFERROR(__xludf.DUMMYFUNCTION("""COMPUTED_VALUE"""),"")</f>
        <v/>
      </c>
      <c r="AE45" s="1" t="str">
        <f>IFERROR(__xludf.DUMMYFUNCTION("""COMPUTED_VALUE"""),"")</f>
        <v/>
      </c>
      <c r="AF45" s="1" t="str">
        <f>IFERROR(__xludf.DUMMYFUNCTION("""COMPUTED_VALUE"""),"")</f>
        <v/>
      </c>
      <c r="AG45" s="1" t="str">
        <f>IFERROR(__xludf.DUMMYFUNCTION("""COMPUTED_VALUE"""),"")</f>
        <v/>
      </c>
      <c r="AH45" s="1" t="str">
        <f>IFERROR(__xludf.DUMMYFUNCTION("""COMPUTED_VALUE"""),"Media Monitoring")</f>
        <v>Media Monitoring</v>
      </c>
      <c r="AI45" s="2" t="str">
        <f>IFERROR(__xludf.DUMMYFUNCTION("""COMPUTED_VALUE"""),"https://www.datacenterwatch.org/report")</f>
        <v>https://www.datacenterwatch.org/report</v>
      </c>
      <c r="AJ45" s="2" t="str">
        <f>IFERROR(__xludf.DUMMYFUNCTION("""COMPUTED_VALUE"""),"https://www.tract.com/news/tract-closes-acquisition-of-2069-acres-in-buckeye-arizona/")</f>
        <v>https://www.tract.com/news/tract-closes-acquisition-of-2069-acres-in-buckeye-arizona/</v>
      </c>
      <c r="AK45" s="1" t="str">
        <f>IFERROR(__xludf.DUMMYFUNCTION("""COMPUTED_VALUE"""),"")</f>
        <v/>
      </c>
      <c r="AL45" s="1" t="str">
        <f>IFERROR(__xludf.DUMMYFUNCTION("""COMPUTED_VALUE"""),"")</f>
        <v/>
      </c>
      <c r="AM45" s="1" t="str">
        <f>IFERROR(__xludf.DUMMYFUNCTION("""COMPUTED_VALUE"""),"")</f>
        <v/>
      </c>
      <c r="AN45" s="1" t="str">
        <f>IFERROR(__xludf.DUMMYFUNCTION("""COMPUTED_VALUE"""),"")</f>
        <v/>
      </c>
      <c r="AO45" s="1" t="str">
        <f>IFERROR(__xludf.DUMMYFUNCTION("""COMPUTED_VALUE"""),"")</f>
        <v/>
      </c>
      <c r="AP45" s="1" t="str">
        <f>IFERROR(__xludf.DUMMYFUNCTION("""COMPUTED_VALUE"""),"")</f>
        <v/>
      </c>
      <c r="AQ45" s="1" t="str">
        <f>IFERROR(__xludf.DUMMYFUNCTION("""COMPUTED_VALUE"""),"05/23/2025")</f>
        <v>05/23/2025</v>
      </c>
      <c r="AR45" s="1" t="str">
        <f>IFERROR(__xludf.DUMMYFUNCTION("""COMPUTED_VALUE"""),"02/19/2026")</f>
        <v>02/19/2026</v>
      </c>
    </row>
    <row r="46">
      <c r="A46" s="1" t="str">
        <f>IFERROR(__xludf.DUMMYFUNCTION("""COMPUTED_VALUE"""),"MD-PHX1 Data Center")</f>
        <v>MD-PHX1 Data Center</v>
      </c>
      <c r="B46" s="1" t="str">
        <f>IFERROR(__xludf.DUMMYFUNCTION("""COMPUTED_VALUE"""),"4801–4811 East Thistle Landing Drive")</f>
        <v>4801–4811 East Thistle Landing Drive</v>
      </c>
      <c r="C46" s="1" t="str">
        <f>IFERROR(__xludf.DUMMYFUNCTION("""COMPUTED_VALUE"""),"Phoeniz ")</f>
        <v>Phoeniz </v>
      </c>
      <c r="D46" s="1" t="str">
        <f>IFERROR(__xludf.DUMMYFUNCTION("""COMPUTED_VALUE"""),"AZ")</f>
        <v>AZ</v>
      </c>
      <c r="E46" s="1" t="str">
        <f>IFERROR(__xludf.DUMMYFUNCTION("""COMPUTED_VALUE"""),"85044")</f>
        <v>85044</v>
      </c>
      <c r="F46" s="1" t="str">
        <f>IFERROR(__xludf.DUMMYFUNCTION("""COMPUTED_VALUE"""),"Maricopa")</f>
        <v>Maricopa</v>
      </c>
      <c r="G46" s="1" t="str">
        <f>IFERROR(__xludf.DUMMYFUNCTION("""COMPUTED_VALUE"""),"33.31197")</f>
        <v>33.31197</v>
      </c>
      <c r="H46" s="1" t="str">
        <f>IFERROR(__xludf.DUMMYFUNCTION("""COMPUTED_VALUE"""),"-111.97816")</f>
        <v>-111.97816</v>
      </c>
      <c r="I46" s="1" t="str">
        <f>IFERROR(__xludf.DUMMYFUNCTION("""COMPUTED_VALUE"""),"Proposed")</f>
        <v>Proposed</v>
      </c>
      <c r="J46" s="1" t="str">
        <f>IFERROR(__xludf.DUMMYFUNCTION("""COMPUTED_VALUE"""),"High")</f>
        <v>High</v>
      </c>
      <c r="K46" s="1" t="str">
        <f>IFERROR(__xludf.DUMMYFUNCTION("""COMPUTED_VALUE"""),"")</f>
        <v/>
      </c>
      <c r="L46" s="1" t="str">
        <f>IFERROR(__xludf.DUMMYFUNCTION("""COMPUTED_VALUE"""),"Menlo Digital ")</f>
        <v>Menlo Digital </v>
      </c>
      <c r="M46" s="1" t="str">
        <f>IFERROR(__xludf.DUMMYFUNCTION("""COMPUTED_VALUE"""),"")</f>
        <v/>
      </c>
      <c r="N46" s="1" t="str">
        <f>IFERROR(__xludf.DUMMYFUNCTION("""COMPUTED_VALUE"""),"180")</f>
        <v>180</v>
      </c>
      <c r="O46" s="1" t="str">
        <f>IFERROR(__xludf.DUMMYFUNCTION("""COMPUTED_VALUE"""),"Hyperscale (100-999 MW)")</f>
        <v>Hyperscale (100-999 MW)</v>
      </c>
      <c r="P46" s="1" t="str">
        <f>IFERROR(__xludf.DUMMYFUNCTION("""COMPUTED_VALUE"""),"")</f>
        <v/>
      </c>
      <c r="Q46" s="1" t="str">
        <f>IFERROR(__xludf.DUMMYFUNCTION("""COMPUTED_VALUE"""),"Salt River Project (SRP) substation")</f>
        <v>Salt River Project (SRP) substation</v>
      </c>
      <c r="R46" s="1" t="str">
        <f>IFERROR(__xludf.DUMMYFUNCTION("""COMPUTED_VALUE"""),"")</f>
        <v/>
      </c>
      <c r="S46" s="1" t="str">
        <f>IFERROR(__xludf.DUMMYFUNCTION("""COMPUTED_VALUE"""),"5")</f>
        <v>5</v>
      </c>
      <c r="T46" s="1" t="str">
        <f>IFERROR(__xludf.DUMMYFUNCTION("""COMPUTED_VALUE"""),"")</f>
        <v/>
      </c>
      <c r="U46" s="1" t="str">
        <f>IFERROR(__xludf.DUMMYFUNCTION("""COMPUTED_VALUE"""),"")</f>
        <v/>
      </c>
      <c r="V46" s="1" t="str">
        <f>IFERROR(__xludf.DUMMYFUNCTION("""COMPUTED_VALUE"""),"1,000,000")</f>
        <v>1,000,000</v>
      </c>
      <c r="W46" s="1" t="str">
        <f>IFERROR(__xludf.DUMMYFUNCTION("""COMPUTED_VALUE"""),"38")</f>
        <v>38</v>
      </c>
      <c r="X46" s="1" t="str">
        <f>IFERROR(__xludf.DUMMYFUNCTION("""COMPUTED_VALUE"""),"51.25 million ")</f>
        <v>51.25 million </v>
      </c>
      <c r="Y46" s="1" t="str">
        <f>IFERROR(__xludf.DUMMYFUNCTION("""COMPUTED_VALUE"""),"")</f>
        <v/>
      </c>
      <c r="Z46" s="1" t="str">
        <f>IFERROR(__xludf.DUMMYFUNCTION("""COMPUTED_VALUE"""),"Yes")</f>
        <v>Yes</v>
      </c>
      <c r="AA46" s="1" t="str">
        <f>IFERROR(__xludf.DUMMYFUNCTION("""COMPUTED_VALUE"""),"")</f>
        <v/>
      </c>
      <c r="AB46" s="1" t="str">
        <f>IFERROR(__xludf.DUMMYFUNCTION("""COMPUTED_VALUE"""),"")</f>
        <v/>
      </c>
      <c r="AC46" s="1" t="str">
        <f>IFERROR(__xludf.DUMMYFUNCTION("""COMPUTED_VALUE"""),"")</f>
        <v/>
      </c>
      <c r="AD46" s="2" t="str">
        <f>IFERROR(__xludf.DUMMYFUNCTION("""COMPUTED_VALUE"""),"https://www.facebook.com/groups/1757504565223476/")</f>
        <v>https://www.facebook.com/groups/1757504565223476/</v>
      </c>
      <c r="AE46" s="1" t="str">
        <f>IFERROR(__xludf.DUMMYFUNCTION("""COMPUTED_VALUE"""),"")</f>
        <v/>
      </c>
      <c r="AF46" s="1" t="str">
        <f>IFERROR(__xludf.DUMMYFUNCTION("""COMPUTED_VALUE"""),"")</f>
        <v/>
      </c>
      <c r="AG46" s="1" t="str">
        <f>IFERROR(__xludf.DUMMYFUNCTION("""COMPUTED_VALUE"""),"")</f>
        <v/>
      </c>
      <c r="AH46" s="1" t="str">
        <f>IFERROR(__xludf.DUMMYFUNCTION("""COMPUTED_VALUE"""),"Media Monitoring")</f>
        <v>Media Monitoring</v>
      </c>
      <c r="AI46" s="2" t="str">
        <f>IFERROR(__xludf.DUMMYFUNCTION("""COMPUTED_VALUE"""),"https://www.datacenterdynamics.com/en/news/menlo-equities-plans-five-building-data-center-campus-in-phoenix-arizona/")</f>
        <v>https://www.datacenterdynamics.com/en/news/menlo-equities-plans-five-building-data-center-campus-in-phoenix-arizona/</v>
      </c>
      <c r="AJ46" s="2" t="str">
        <f>IFERROR(__xludf.DUMMYFUNCTION("""COMPUTED_VALUE"""),"https://menlo-digital.com/portfolio/md-phx1-phoenix/")</f>
        <v>https://menlo-digital.com/portfolio/md-phx1-phoenix/</v>
      </c>
      <c r="AK46" s="1" t="str">
        <f>IFERROR(__xludf.DUMMYFUNCTION("""COMPUTED_VALUE"""),"")</f>
        <v/>
      </c>
      <c r="AL46" s="1" t="str">
        <f>IFERROR(__xludf.DUMMYFUNCTION("""COMPUTED_VALUE"""),"")</f>
        <v/>
      </c>
      <c r="AM46" s="1" t="str">
        <f>IFERROR(__xludf.DUMMYFUNCTION("""COMPUTED_VALUE"""),"")</f>
        <v/>
      </c>
      <c r="AN46" s="1" t="str">
        <f>IFERROR(__xludf.DUMMYFUNCTION("""COMPUTED_VALUE"""),"")</f>
        <v/>
      </c>
      <c r="AO46" s="1" t="str">
        <f>IFERROR(__xludf.DUMMYFUNCTION("""COMPUTED_VALUE"""),"")</f>
        <v/>
      </c>
      <c r="AP46" s="1" t="str">
        <f>IFERROR(__xludf.DUMMYFUNCTION("""COMPUTED_VALUE"""),"")</f>
        <v/>
      </c>
      <c r="AQ46" s="1" t="str">
        <f>IFERROR(__xludf.DUMMYFUNCTION("""COMPUTED_VALUE"""),"05/10/2026")</f>
        <v>05/10/2026</v>
      </c>
      <c r="AR46" s="1" t="str">
        <f>IFERROR(__xludf.DUMMYFUNCTION("""COMPUTED_VALUE"""),"05/10/2026")</f>
        <v>05/10/2026</v>
      </c>
    </row>
    <row r="47">
      <c r="A47" s="1" t="str">
        <f>IFERROR(__xludf.DUMMYFUNCTION("""COMPUTED_VALUE"""),"Vermaland Data Center")</f>
        <v>Vermaland Data Center</v>
      </c>
      <c r="B47" s="1" t="str">
        <f>IFERROR(__xludf.DUMMYFUNCTION("""COMPUTED_VALUE"""),"near Hwy 10")</f>
        <v>near Hwy 10</v>
      </c>
      <c r="C47" s="1" t="str">
        <f>IFERROR(__xludf.DUMMYFUNCTION("""COMPUTED_VALUE"""),"Red Rock")</f>
        <v>Red Rock</v>
      </c>
      <c r="D47" s="1" t="str">
        <f>IFERROR(__xludf.DUMMYFUNCTION("""COMPUTED_VALUE"""),"AZ")</f>
        <v>AZ</v>
      </c>
      <c r="E47" s="1" t="str">
        <f>IFERROR(__xludf.DUMMYFUNCTION("""COMPUTED_VALUE"""),"85658")</f>
        <v>85658</v>
      </c>
      <c r="F47" s="1" t="str">
        <f>IFERROR(__xludf.DUMMYFUNCTION("""COMPUTED_VALUE"""),"Pinal")</f>
        <v>Pinal</v>
      </c>
      <c r="G47" s="1" t="str">
        <f>IFERROR(__xludf.DUMMYFUNCTION("""COMPUTED_VALUE"""),"32.55145")</f>
        <v>32.55145</v>
      </c>
      <c r="H47" s="1" t="str">
        <f>IFERROR(__xludf.DUMMYFUNCTION("""COMPUTED_VALUE"""),"-111.452")</f>
        <v>-111.452</v>
      </c>
      <c r="I47" s="1" t="str">
        <f>IFERROR(__xludf.DUMMYFUNCTION("""COMPUTED_VALUE"""),"Proposed")</f>
        <v>Proposed</v>
      </c>
      <c r="J47" s="1" t="str">
        <f>IFERROR(__xludf.DUMMYFUNCTION("""COMPUTED_VALUE"""),"High")</f>
        <v>High</v>
      </c>
      <c r="K47" s="1" t="str">
        <f>IFERROR(__xludf.DUMMYFUNCTION("""COMPUTED_VALUE"""),"")</f>
        <v/>
      </c>
      <c r="L47" s="1" t="str">
        <f>IFERROR(__xludf.DUMMYFUNCTION("""COMPUTED_VALUE"""),"Vermaland LLC")</f>
        <v>Vermaland LLC</v>
      </c>
      <c r="M47" s="1" t="str">
        <f>IFERROR(__xludf.DUMMYFUNCTION("""COMPUTED_VALUE"""),"")</f>
        <v/>
      </c>
      <c r="N47" s="1" t="str">
        <f>IFERROR(__xludf.DUMMYFUNCTION("""COMPUTED_VALUE"""),"3000")</f>
        <v>3000</v>
      </c>
      <c r="O47" s="1" t="str">
        <f>IFERROR(__xludf.DUMMYFUNCTION("""COMPUTED_VALUE"""),"Mega campus (&gt;1,000 MW)")</f>
        <v>Mega campus (&gt;1,000 MW)</v>
      </c>
      <c r="P47" s="1" t="str">
        <f>IFERROR(__xludf.DUMMYFUNCTION("""COMPUTED_VALUE"""),"")</f>
        <v/>
      </c>
      <c r="Q47" s="1" t="str">
        <f>IFERROR(__xludf.DUMMYFUNCTION("""COMPUTED_VALUE"""),"")</f>
        <v/>
      </c>
      <c r="R47" s="1" t="str">
        <f>IFERROR(__xludf.DUMMYFUNCTION("""COMPUTED_VALUE"""),"")</f>
        <v/>
      </c>
      <c r="S47" s="1" t="str">
        <f>IFERROR(__xludf.DUMMYFUNCTION("""COMPUTED_VALUE"""),"")</f>
        <v/>
      </c>
      <c r="T47" s="1" t="str">
        <f>IFERROR(__xludf.DUMMYFUNCTION("""COMPUTED_VALUE"""),"")</f>
        <v/>
      </c>
      <c r="U47" s="1" t="str">
        <f>IFERROR(__xludf.DUMMYFUNCTION("""COMPUTED_VALUE"""),"")</f>
        <v/>
      </c>
      <c r="V47" s="1" t="str">
        <f>IFERROR(__xludf.DUMMYFUNCTION("""COMPUTED_VALUE"""),"")</f>
        <v/>
      </c>
      <c r="W47" s="1" t="str">
        <f>IFERROR(__xludf.DUMMYFUNCTION("""COMPUTED_VALUE"""),"3300")</f>
        <v>3300</v>
      </c>
      <c r="X47" s="1" t="str">
        <f>IFERROR(__xludf.DUMMYFUNCTION("""COMPUTED_VALUE"""),"$33 billion")</f>
        <v>$33 billion</v>
      </c>
      <c r="Y47" s="1" t="str">
        <f>IFERROR(__xludf.DUMMYFUNCTION("""COMPUTED_VALUE"""),"")</f>
        <v/>
      </c>
      <c r="Z47" s="1" t="str">
        <f>IFERROR(__xludf.DUMMYFUNCTION("""COMPUTED_VALUE"""),"Unknown")</f>
        <v>Unknown</v>
      </c>
      <c r="AA47" s="1" t="str">
        <f>IFERROR(__xludf.DUMMYFUNCTION("""COMPUTED_VALUE"""),"")</f>
        <v/>
      </c>
      <c r="AB47" s="1" t="str">
        <f>IFERROR(__xludf.DUMMYFUNCTION("""COMPUTED_VALUE"""),"")</f>
        <v/>
      </c>
      <c r="AC47" s="1" t="str">
        <f>IFERROR(__xludf.DUMMYFUNCTION("""COMPUTED_VALUE"""),"")</f>
        <v/>
      </c>
      <c r="AD47" s="1" t="str">
        <f>IFERROR(__xludf.DUMMYFUNCTION("""COMPUTED_VALUE"""),"")</f>
        <v/>
      </c>
      <c r="AE47" s="1" t="str">
        <f>IFERROR(__xludf.DUMMYFUNCTION("""COMPUTED_VALUE"""),"")</f>
        <v/>
      </c>
      <c r="AF47" s="1" t="str">
        <f>IFERROR(__xludf.DUMMYFUNCTION("""COMPUTED_VALUE"""),"")</f>
        <v/>
      </c>
      <c r="AG47" s="1" t="str">
        <f>IFERROR(__xludf.DUMMYFUNCTION("""COMPUTED_VALUE"""),"")</f>
        <v/>
      </c>
      <c r="AH47" s="1" t="str">
        <f>IFERROR(__xludf.DUMMYFUNCTION("""COMPUTED_VALUE"""),"Media Monitoring")</f>
        <v>Media Monitoring</v>
      </c>
      <c r="AI47" s="2" t="str">
        <f>IFERROR(__xludf.DUMMYFUNCTION("""COMPUTED_VALUE"""),"https://www.bizjournals.com/phoenix/news/2025/08/01/vermaland-proposed-pinal-county-data-center.html")</f>
        <v>https://www.bizjournals.com/phoenix/news/2025/08/01/vermaland-proposed-pinal-county-data-center.html</v>
      </c>
      <c r="AJ47" s="2" t="str">
        <f>IFERROR(__xludf.DUMMYFUNCTION("""COMPUTED_VALUE"""),"https://www.azcentral.com/story/news/local/pinal/2025/07/30/developer-plans-33-billion-data-center-in-pinal-county/85381868007/")</f>
        <v>https://www.azcentral.com/story/news/local/pinal/2025/07/30/developer-plans-33-billion-data-center-in-pinal-county/85381868007/</v>
      </c>
      <c r="AK47" s="2" t="str">
        <f>IFERROR(__xludf.DUMMYFUNCTION("""COMPUTED_VALUE"""),"https://azbigmedia.com/business/33-billion-data-center-industrial-park-coming-to-pinal-county/")</f>
        <v>https://azbigmedia.com/business/33-billion-data-center-industrial-park-coming-to-pinal-county/</v>
      </c>
      <c r="AL47" s="2" t="str">
        <f>IFERROR(__xludf.DUMMYFUNCTION("""COMPUTED_VALUE"""),"https://www.datacenterdynamics.com/en/news/land-developer-vermaland-plans-33bn-data-center-in-arizona/")</f>
        <v>https://www.datacenterdynamics.com/en/news/land-developer-vermaland-plans-33bn-data-center-in-arizona/</v>
      </c>
      <c r="AM47" s="1" t="str">
        <f>IFERROR(__xludf.DUMMYFUNCTION("""COMPUTED_VALUE"""),"")</f>
        <v/>
      </c>
      <c r="AN47" s="1" t="str">
        <f>IFERROR(__xludf.DUMMYFUNCTION("""COMPUTED_VALUE"""),"")</f>
        <v/>
      </c>
      <c r="AO47" s="1" t="str">
        <f>IFERROR(__xludf.DUMMYFUNCTION("""COMPUTED_VALUE"""),"")</f>
        <v/>
      </c>
      <c r="AP47" s="1" t="str">
        <f>IFERROR(__xludf.DUMMYFUNCTION("""COMPUTED_VALUE"""),"")</f>
        <v/>
      </c>
      <c r="AQ47" s="1" t="str">
        <f>IFERROR(__xludf.DUMMYFUNCTION("""COMPUTED_VALUE"""),"08/01/2025")</f>
        <v>08/01/2025</v>
      </c>
      <c r="AR47" s="1" t="str">
        <f>IFERROR(__xludf.DUMMYFUNCTION("""COMPUTED_VALUE"""),"02/19/2026")</f>
        <v>02/19/2026</v>
      </c>
    </row>
    <row r="48">
      <c r="A48" s="1" t="str">
        <f>IFERROR(__xludf.DUMMYFUNCTION("""COMPUTED_VALUE"""),"Prime Data Center")</f>
        <v>Prime Data Center</v>
      </c>
      <c r="B48" s="1" t="str">
        <f>IFERROR(__xludf.DUMMYFUNCTION("""COMPUTED_VALUE"""),"3700 S Avondale Blvd")</f>
        <v>3700 S Avondale Blvd</v>
      </c>
      <c r="C48" s="1" t="str">
        <f>IFERROR(__xludf.DUMMYFUNCTION("""COMPUTED_VALUE"""),"Tolleson")</f>
        <v>Tolleson</v>
      </c>
      <c r="D48" s="1" t="str">
        <f>IFERROR(__xludf.DUMMYFUNCTION("""COMPUTED_VALUE"""),"AZ")</f>
        <v>AZ</v>
      </c>
      <c r="E48" s="1" t="str">
        <f>IFERROR(__xludf.DUMMYFUNCTION("""COMPUTED_VALUE"""),"85353")</f>
        <v>85353</v>
      </c>
      <c r="F48" s="1" t="str">
        <f>IFERROR(__xludf.DUMMYFUNCTION("""COMPUTED_VALUE"""),"Maricopa")</f>
        <v>Maricopa</v>
      </c>
      <c r="G48" s="1" t="str">
        <f>IFERROR(__xludf.DUMMYFUNCTION("""COMPUTED_VALUE"""),"33.41237")</f>
        <v>33.41237</v>
      </c>
      <c r="H48" s="1" t="str">
        <f>IFERROR(__xludf.DUMMYFUNCTION("""COMPUTED_VALUE"""),"-112.30683")</f>
        <v>-112.30683</v>
      </c>
      <c r="I48" s="1" t="str">
        <f>IFERROR(__xludf.DUMMYFUNCTION("""COMPUTED_VALUE"""),"Approved/Permitted/Under construction")</f>
        <v>Approved/Permitted/Under construction</v>
      </c>
      <c r="J48" s="1" t="str">
        <f>IFERROR(__xludf.DUMMYFUNCTION("""COMPUTED_VALUE"""),"High")</f>
        <v>High</v>
      </c>
      <c r="K48" s="1" t="str">
        <f>IFERROR(__xludf.DUMMYFUNCTION("""COMPUTED_VALUE"""),"")</f>
        <v/>
      </c>
      <c r="L48" s="1" t="str">
        <f>IFERROR(__xludf.DUMMYFUNCTION("""COMPUTED_VALUE"""),"Prime Data Centers")</f>
        <v>Prime Data Centers</v>
      </c>
      <c r="M48" s="1" t="str">
        <f>IFERROR(__xludf.DUMMYFUNCTION("""COMPUTED_VALUE"""),"")</f>
        <v/>
      </c>
      <c r="N48" s="1" t="str">
        <f>IFERROR(__xludf.DUMMYFUNCTION("""COMPUTED_VALUE"""),"240")</f>
        <v>240</v>
      </c>
      <c r="O48" s="1" t="str">
        <f>IFERROR(__xludf.DUMMYFUNCTION("""COMPUTED_VALUE"""),"Hyperscale (100-999 MW)")</f>
        <v>Hyperscale (100-999 MW)</v>
      </c>
      <c r="P48" s="1" t="str">
        <f>IFERROR(__xludf.DUMMYFUNCTION("""COMPUTED_VALUE"""),"")</f>
        <v/>
      </c>
      <c r="Q48" s="1" t="str">
        <f>IFERROR(__xludf.DUMMYFUNCTION("""COMPUTED_VALUE"""),"")</f>
        <v/>
      </c>
      <c r="R48" s="1" t="str">
        <f>IFERROR(__xludf.DUMMYFUNCTION("""COMPUTED_VALUE"""),"")</f>
        <v/>
      </c>
      <c r="S48" s="1" t="str">
        <f>IFERROR(__xludf.DUMMYFUNCTION("""COMPUTED_VALUE"""),"5")</f>
        <v>5</v>
      </c>
      <c r="T48" s="1" t="str">
        <f>IFERROR(__xludf.DUMMYFUNCTION("""COMPUTED_VALUE"""),"")</f>
        <v/>
      </c>
      <c r="U48" s="1" t="str">
        <f>IFERROR(__xludf.DUMMYFUNCTION("""COMPUTED_VALUE"""),"")</f>
        <v/>
      </c>
      <c r="V48" s="1" t="str">
        <f>IFERROR(__xludf.DUMMYFUNCTION("""COMPUTED_VALUE"""),"1,300,000")</f>
        <v>1,300,000</v>
      </c>
      <c r="W48" s="1" t="str">
        <f>IFERROR(__xludf.DUMMYFUNCTION("""COMPUTED_VALUE"""),"66")</f>
        <v>66</v>
      </c>
      <c r="X48" s="1" t="str">
        <f>IFERROR(__xludf.DUMMYFUNCTION("""COMPUTED_VALUE"""),"$29 million")</f>
        <v>$29 million</v>
      </c>
      <c r="Y48" s="1" t="str">
        <f>IFERROR(__xludf.DUMMYFUNCTION("""COMPUTED_VALUE"""),"")</f>
        <v/>
      </c>
      <c r="Z48" s="1" t="str">
        <f>IFERROR(__xludf.DUMMYFUNCTION("""COMPUTED_VALUE"""),"Unknown")</f>
        <v>Unknown</v>
      </c>
      <c r="AA48" s="1" t="str">
        <f>IFERROR(__xludf.DUMMYFUNCTION("""COMPUTED_VALUE"""),"")</f>
        <v/>
      </c>
      <c r="AB48" s="1" t="str">
        <f>IFERROR(__xludf.DUMMYFUNCTION("""COMPUTED_VALUE"""),"")</f>
        <v/>
      </c>
      <c r="AC48" s="1" t="str">
        <f>IFERROR(__xludf.DUMMYFUNCTION("""COMPUTED_VALUE"""),"")</f>
        <v/>
      </c>
      <c r="AD48" s="1" t="str">
        <f>IFERROR(__xludf.DUMMYFUNCTION("""COMPUTED_VALUE"""),"")</f>
        <v/>
      </c>
      <c r="AE48" s="1" t="str">
        <f>IFERROR(__xludf.DUMMYFUNCTION("""COMPUTED_VALUE"""),"")</f>
        <v/>
      </c>
      <c r="AF48" s="1" t="str">
        <f>IFERROR(__xludf.DUMMYFUNCTION("""COMPUTED_VALUE"""),"")</f>
        <v/>
      </c>
      <c r="AG48" s="1" t="str">
        <f>IFERROR(__xludf.DUMMYFUNCTION("""COMPUTED_VALUE"""),"")</f>
        <v/>
      </c>
      <c r="AH48" s="1" t="str">
        <f>IFERROR(__xludf.DUMMYFUNCTION("""COMPUTED_VALUE"""),"Media Monitoring")</f>
        <v>Media Monitoring</v>
      </c>
      <c r="AI48" s="2" t="str">
        <f>IFERROR(__xludf.DUMMYFUNCTION("""COMPUTED_VALUE"""),"https://www.datacenterdynamics.com/en/news/prime-and-vantage-buy-land-phoenix-arizona/")</f>
        <v>https://www.datacenterdynamics.com/en/news/prime-and-vantage-buy-land-phoenix-arizona/</v>
      </c>
      <c r="AJ48" s="2" t="str">
        <f>IFERROR(__xludf.DUMMYFUNCTION("""COMPUTED_VALUE"""),"https://www.datacenterdynamics.com/en/news/prime-data-centers-breaks-ground-on-three-out-of-five-buildings-at-its-240mw-campus-in-phoenix-arizona/")</f>
        <v>https://www.datacenterdynamics.com/en/news/prime-data-centers-breaks-ground-on-three-out-of-five-buildings-at-its-240mw-campus-in-phoenix-arizona/</v>
      </c>
      <c r="AK48" s="1" t="str">
        <f>IFERROR(__xludf.DUMMYFUNCTION("""COMPUTED_VALUE"""),"")</f>
        <v/>
      </c>
      <c r="AL48" s="1" t="str">
        <f>IFERROR(__xludf.DUMMYFUNCTION("""COMPUTED_VALUE"""),"")</f>
        <v/>
      </c>
      <c r="AM48" s="1" t="str">
        <f>IFERROR(__xludf.DUMMYFUNCTION("""COMPUTED_VALUE"""),"")</f>
        <v/>
      </c>
      <c r="AN48" s="1" t="str">
        <f>IFERROR(__xludf.DUMMYFUNCTION("""COMPUTED_VALUE"""),"")</f>
        <v/>
      </c>
      <c r="AO48" s="1" t="str">
        <f>IFERROR(__xludf.DUMMYFUNCTION("""COMPUTED_VALUE"""),"")</f>
        <v/>
      </c>
      <c r="AP48" s="1" t="str">
        <f>IFERROR(__xludf.DUMMYFUNCTION("""COMPUTED_VALUE"""),"")</f>
        <v/>
      </c>
      <c r="AQ48" s="1" t="str">
        <f>IFERROR(__xludf.DUMMYFUNCTION("""COMPUTED_VALUE"""),"05/28/2025")</f>
        <v>05/28/2025</v>
      </c>
      <c r="AR48" s="1" t="str">
        <f>IFERROR(__xludf.DUMMYFUNCTION("""COMPUTED_VALUE"""),"05/28/2026")</f>
        <v>05/28/2026</v>
      </c>
    </row>
    <row r="49">
      <c r="A49" s="1" t="str">
        <f>IFERROR(__xludf.DUMMYFUNCTION("""COMPUTED_VALUE"""),"Arizona Land Consulting Co.")</f>
        <v>Arizona Land Consulting Co.</v>
      </c>
      <c r="B49" s="1" t="str">
        <f>IFERROR(__xludf.DUMMYFUNCTION("""COMPUTED_VALUE"""),"near 33511 Indian School Rd")</f>
        <v>near 33511 Indian School Rd</v>
      </c>
      <c r="C49" s="1" t="str">
        <f>IFERROR(__xludf.DUMMYFUNCTION("""COMPUTED_VALUE"""),"Tonopah")</f>
        <v>Tonopah</v>
      </c>
      <c r="D49" s="1" t="str">
        <f>IFERROR(__xludf.DUMMYFUNCTION("""COMPUTED_VALUE"""),"AZ")</f>
        <v>AZ</v>
      </c>
      <c r="E49" s="1" t="str">
        <f>IFERROR(__xludf.DUMMYFUNCTION("""COMPUTED_VALUE"""),"85354")</f>
        <v>85354</v>
      </c>
      <c r="F49" s="1" t="str">
        <f>IFERROR(__xludf.DUMMYFUNCTION("""COMPUTED_VALUE"""),"Maricopa")</f>
        <v>Maricopa</v>
      </c>
      <c r="G49" s="1" t="str">
        <f>IFERROR(__xludf.DUMMYFUNCTION("""COMPUTED_VALUE"""),"33.49648")</f>
        <v>33.49648</v>
      </c>
      <c r="H49" s="1" t="str">
        <f>IFERROR(__xludf.DUMMYFUNCTION("""COMPUTED_VALUE"""),"-112.775")</f>
        <v>-112.775</v>
      </c>
      <c r="I49" s="1" t="str">
        <f>IFERROR(__xludf.DUMMYFUNCTION("""COMPUTED_VALUE"""),"Proposed")</f>
        <v>Proposed</v>
      </c>
      <c r="J49" s="1" t="str">
        <f>IFERROR(__xludf.DUMMYFUNCTION("""COMPUTED_VALUE"""),"High")</f>
        <v>High</v>
      </c>
      <c r="K49" s="1" t="str">
        <f>IFERROR(__xludf.DUMMYFUNCTION("""COMPUTED_VALUE"""),"")</f>
        <v/>
      </c>
      <c r="L49" s="1" t="str">
        <f>IFERROR(__xludf.DUMMYFUNCTION("""COMPUTED_VALUE"""),"")</f>
        <v/>
      </c>
      <c r="M49" s="1" t="str">
        <f>IFERROR(__xludf.DUMMYFUNCTION("""COMPUTED_VALUE"""),"")</f>
        <v/>
      </c>
      <c r="N49" s="1" t="str">
        <f>IFERROR(__xludf.DUMMYFUNCTION("""COMPUTED_VALUE"""),"1500")</f>
        <v>1500</v>
      </c>
      <c r="O49" s="1" t="str">
        <f>IFERROR(__xludf.DUMMYFUNCTION("""COMPUTED_VALUE"""),"Mega campus (&gt;1,000 MW)")</f>
        <v>Mega campus (&gt;1,000 MW)</v>
      </c>
      <c r="P49" s="1" t="str">
        <f>IFERROR(__xludf.DUMMYFUNCTION("""COMPUTED_VALUE"""),"")</f>
        <v/>
      </c>
      <c r="Q49" s="1" t="str">
        <f>IFERROR(__xludf.DUMMYFUNCTION("""COMPUTED_VALUE"""),"")</f>
        <v/>
      </c>
      <c r="R49" s="1" t="str">
        <f>IFERROR(__xludf.DUMMYFUNCTION("""COMPUTED_VALUE"""),"")</f>
        <v/>
      </c>
      <c r="S49" s="1" t="str">
        <f>IFERROR(__xludf.DUMMYFUNCTION("""COMPUTED_VALUE"""),"")</f>
        <v/>
      </c>
      <c r="T49" s="1" t="str">
        <f>IFERROR(__xludf.DUMMYFUNCTION("""COMPUTED_VALUE"""),"")</f>
        <v/>
      </c>
      <c r="U49" s="1" t="str">
        <f>IFERROR(__xludf.DUMMYFUNCTION("""COMPUTED_VALUE"""),"")</f>
        <v/>
      </c>
      <c r="V49" s="1" t="str">
        <f>IFERROR(__xludf.DUMMYFUNCTION("""COMPUTED_VALUE"""),"")</f>
        <v/>
      </c>
      <c r="W49" s="1" t="str">
        <f>IFERROR(__xludf.DUMMYFUNCTION("""COMPUTED_VALUE"""),"2100")</f>
        <v>2100</v>
      </c>
      <c r="X49" s="1" t="str">
        <f>IFERROR(__xludf.DUMMYFUNCTION("""COMPUTED_VALUE"""),"$25 billion")</f>
        <v>$25 billion</v>
      </c>
      <c r="Y49" s="1" t="str">
        <f>IFERROR(__xludf.DUMMYFUNCTION("""COMPUTED_VALUE"""),"")</f>
        <v/>
      </c>
      <c r="Z49" s="1" t="str">
        <f>IFERROR(__xludf.DUMMYFUNCTION("""COMPUTED_VALUE"""),"Unknown")</f>
        <v>Unknown</v>
      </c>
      <c r="AA49" s="1" t="str">
        <f>IFERROR(__xludf.DUMMYFUNCTION("""COMPUTED_VALUE"""),"")</f>
        <v/>
      </c>
      <c r="AB49" s="1" t="str">
        <f>IFERROR(__xludf.DUMMYFUNCTION("""COMPUTED_VALUE"""),"")</f>
        <v/>
      </c>
      <c r="AC49" s="1" t="str">
        <f>IFERROR(__xludf.DUMMYFUNCTION("""COMPUTED_VALUE"""),"")</f>
        <v/>
      </c>
      <c r="AD49" s="1" t="str">
        <f>IFERROR(__xludf.DUMMYFUNCTION("""COMPUTED_VALUE"""),"")</f>
        <v/>
      </c>
      <c r="AE49" s="1" t="str">
        <f>IFERROR(__xludf.DUMMYFUNCTION("""COMPUTED_VALUE"""),"")</f>
        <v/>
      </c>
      <c r="AF49" s="1" t="str">
        <f>IFERROR(__xludf.DUMMYFUNCTION("""COMPUTED_VALUE"""),"")</f>
        <v/>
      </c>
      <c r="AG49" s="1" t="str">
        <f>IFERROR(__xludf.DUMMYFUNCTION("""COMPUTED_VALUE"""),"")</f>
        <v/>
      </c>
      <c r="AH49" s="1" t="str">
        <f>IFERROR(__xludf.DUMMYFUNCTION("""COMPUTED_VALUE"""),"Media Monitoring")</f>
        <v>Media Monitoring</v>
      </c>
      <c r="AI49" s="2" t="str">
        <f>IFERROR(__xludf.DUMMYFUNCTION("""COMPUTED_VALUE"""),"https://www.bloomberg.com/news/articles/2025-05-27/palihapitiya-buys-stake-in-arizona-property-for-data-center-bet")</f>
        <v>https://www.bloomberg.com/news/articles/2025-05-27/palihapitiya-buys-stake-in-arizona-property-for-data-center-bet</v>
      </c>
      <c r="AJ49" s="2" t="str">
        <f>IFERROR(__xludf.DUMMYFUNCTION("""COMPUTED_VALUE"""),"https://www.datacenterdynamics.com/en/news/arizona-land-consulting-buys-land-for-potential-15gw-data-center/")</f>
        <v>https://www.datacenterdynamics.com/en/news/arizona-land-consulting-buys-land-for-potential-15gw-data-center/</v>
      </c>
      <c r="AK49" s="1" t="str">
        <f>IFERROR(__xludf.DUMMYFUNCTION("""COMPUTED_VALUE"""),"")</f>
        <v/>
      </c>
      <c r="AL49" s="1" t="str">
        <f>IFERROR(__xludf.DUMMYFUNCTION("""COMPUTED_VALUE"""),"")</f>
        <v/>
      </c>
      <c r="AM49" s="1" t="str">
        <f>IFERROR(__xludf.DUMMYFUNCTION("""COMPUTED_VALUE"""),"")</f>
        <v/>
      </c>
      <c r="AN49" s="1" t="str">
        <f>IFERROR(__xludf.DUMMYFUNCTION("""COMPUTED_VALUE"""),"")</f>
        <v/>
      </c>
      <c r="AO49" s="1" t="str">
        <f>IFERROR(__xludf.DUMMYFUNCTION("""COMPUTED_VALUE"""),"")</f>
        <v/>
      </c>
      <c r="AP49" s="1" t="str">
        <f>IFERROR(__xludf.DUMMYFUNCTION("""COMPUTED_VALUE"""),"")</f>
        <v/>
      </c>
      <c r="AQ49" s="1" t="str">
        <f>IFERROR(__xludf.DUMMYFUNCTION("""COMPUTED_VALUE"""),"06/05/2025")</f>
        <v>06/05/2025</v>
      </c>
      <c r="AR49" s="1" t="str">
        <f>IFERROR(__xludf.DUMMYFUNCTION("""COMPUTED_VALUE"""),"06/05/2025")</f>
        <v>06/05/2025</v>
      </c>
    </row>
    <row r="50">
      <c r="A50" s="1" t="str">
        <f>IFERROR(__xludf.DUMMYFUNCTION("""COMPUTED_VALUE"""),"Data center: Davis-Monthan Air Force Base")</f>
        <v>Data center: Davis-Monthan Air Force Base</v>
      </c>
      <c r="B50" s="1" t="str">
        <f>IFERROR(__xludf.DUMMYFUNCTION("""COMPUTED_VALUE"""),"")</f>
        <v/>
      </c>
      <c r="C50" s="1" t="str">
        <f>IFERROR(__xludf.DUMMYFUNCTION("""COMPUTED_VALUE"""),"Tucson")</f>
        <v>Tucson</v>
      </c>
      <c r="D50" s="1" t="str">
        <f>IFERROR(__xludf.DUMMYFUNCTION("""COMPUTED_VALUE"""),"AZ")</f>
        <v>AZ</v>
      </c>
      <c r="E50" s="1" t="str">
        <f>IFERROR(__xludf.DUMMYFUNCTION("""COMPUTED_VALUE"""),"85707")</f>
        <v>85707</v>
      </c>
      <c r="F50" s="1" t="str">
        <f>IFERROR(__xludf.DUMMYFUNCTION("""COMPUTED_VALUE"""),"Pima")</f>
        <v>Pima</v>
      </c>
      <c r="G50" s="1" t="str">
        <f>IFERROR(__xludf.DUMMYFUNCTION("""COMPUTED_VALUE"""),"32.164318")</f>
        <v>32.164318</v>
      </c>
      <c r="H50" s="1" t="str">
        <f>IFERROR(__xludf.DUMMYFUNCTION("""COMPUTED_VALUE"""),"-110.86484")</f>
        <v>-110.86484</v>
      </c>
      <c r="I50" s="1" t="str">
        <f>IFERROR(__xludf.DUMMYFUNCTION("""COMPUTED_VALUE"""),"Proposed")</f>
        <v>Proposed</v>
      </c>
      <c r="J50" s="1" t="str">
        <f>IFERROR(__xludf.DUMMYFUNCTION("""COMPUTED_VALUE"""),"Medium")</f>
        <v>Medium</v>
      </c>
      <c r="K50" s="1" t="str">
        <f>IFERROR(__xludf.DUMMYFUNCTION("""COMPUTED_VALUE"""),"")</f>
        <v/>
      </c>
      <c r="L50" s="1" t="str">
        <f>IFERROR(__xludf.DUMMYFUNCTION("""COMPUTED_VALUE"""),"")</f>
        <v/>
      </c>
      <c r="M50" s="1" t="str">
        <f>IFERROR(__xludf.DUMMYFUNCTION("""COMPUTED_VALUE"""),"")</f>
        <v/>
      </c>
      <c r="N50" s="1" t="str">
        <f>IFERROR(__xludf.DUMMYFUNCTION("""COMPUTED_VALUE"""),"")</f>
        <v/>
      </c>
      <c r="O50" s="1" t="str">
        <f>IFERROR(__xludf.DUMMYFUNCTION("""COMPUTED_VALUE"""),"Unknown")</f>
        <v>Unknown</v>
      </c>
      <c r="P50" s="1" t="str">
        <f>IFERROR(__xludf.DUMMYFUNCTION("""COMPUTED_VALUE"""),"")</f>
        <v/>
      </c>
      <c r="Q50" s="1" t="str">
        <f>IFERROR(__xludf.DUMMYFUNCTION("""COMPUTED_VALUE"""),"May use jet engines from retired military planes")</f>
        <v>May use jet engines from retired military planes</v>
      </c>
      <c r="R50" s="1" t="str">
        <f>IFERROR(__xludf.DUMMYFUNCTION("""COMPUTED_VALUE"""),"")</f>
        <v/>
      </c>
      <c r="S50" s="1" t="str">
        <f>IFERROR(__xludf.DUMMYFUNCTION("""COMPUTED_VALUE"""),"")</f>
        <v/>
      </c>
      <c r="T50" s="1" t="str">
        <f>IFERROR(__xludf.DUMMYFUNCTION("""COMPUTED_VALUE"""),"")</f>
        <v/>
      </c>
      <c r="U50" s="1" t="str">
        <f>IFERROR(__xludf.DUMMYFUNCTION("""COMPUTED_VALUE"""),"")</f>
        <v/>
      </c>
      <c r="V50" s="1" t="str">
        <f>IFERROR(__xludf.DUMMYFUNCTION("""COMPUTED_VALUE"""),"")</f>
        <v/>
      </c>
      <c r="W50" s="1" t="str">
        <f>IFERROR(__xludf.DUMMYFUNCTION("""COMPUTED_VALUE"""),"300")</f>
        <v>300</v>
      </c>
      <c r="X50" s="1" t="str">
        <f>IFERROR(__xludf.DUMMYFUNCTION("""COMPUTED_VALUE"""),"")</f>
        <v/>
      </c>
      <c r="Y50" s="1" t="str">
        <f>IFERROR(__xludf.DUMMYFUNCTION("""COMPUTED_VALUE"""),"")</f>
        <v/>
      </c>
      <c r="Z50" s="1" t="str">
        <f>IFERROR(__xludf.DUMMYFUNCTION("""COMPUTED_VALUE"""),"Unknown")</f>
        <v>Unknown</v>
      </c>
      <c r="AA50" s="1" t="str">
        <f>IFERROR(__xludf.DUMMYFUNCTION("""COMPUTED_VALUE"""),"")</f>
        <v/>
      </c>
      <c r="AB50" s="1" t="str">
        <f>IFERROR(__xludf.DUMMYFUNCTION("""COMPUTED_VALUE"""),"")</f>
        <v/>
      </c>
      <c r="AC50" s="1" t="str">
        <f>IFERROR(__xludf.DUMMYFUNCTION("""COMPUTED_VALUE"""),"")</f>
        <v/>
      </c>
      <c r="AD50" s="1" t="str">
        <f>IFERROR(__xludf.DUMMYFUNCTION("""COMPUTED_VALUE"""),"")</f>
        <v/>
      </c>
      <c r="AE50" s="1" t="str">
        <f>IFERROR(__xludf.DUMMYFUNCTION("""COMPUTED_VALUE"""),"")</f>
        <v/>
      </c>
      <c r="AF50" s="1" t="str">
        <f>IFERROR(__xludf.DUMMYFUNCTION("""COMPUTED_VALUE"""),"")</f>
        <v/>
      </c>
      <c r="AG50" s="1" t="str">
        <f>IFERROR(__xludf.DUMMYFUNCTION("""COMPUTED_VALUE"""),"")</f>
        <v/>
      </c>
      <c r="AH50" s="1" t="str">
        <f>IFERROR(__xludf.DUMMYFUNCTION("""COMPUTED_VALUE"""),"Media Monitoring")</f>
        <v>Media Monitoring</v>
      </c>
      <c r="AI50" s="2" t="str">
        <f>IFERROR(__xludf.DUMMYFUNCTION("""COMPUTED_VALUE"""),"https://www.datacenterdynamics.com/en/news/us-department-of-the-air-force-accepting-proposals-for-ai-data-centers-in-military-bases/")</f>
        <v>https://www.datacenterdynamics.com/en/news/us-department-of-the-air-force-accepting-proposals-for-ai-data-centers-in-military-bases/</v>
      </c>
      <c r="AJ50" s="2" t="str">
        <f>IFERROR(__xludf.DUMMYFUNCTION("""COMPUTED_VALUE"""),"https://www.datacenterdynamics.com/en/news/eia-retired-military-jet-engines-could-be-repurposed-to-power-data-centers/")</f>
        <v>https://www.datacenterdynamics.com/en/news/eia-retired-military-jet-engines-could-be-repurposed-to-power-data-centers/</v>
      </c>
      <c r="AK50" s="1" t="str">
        <f>IFERROR(__xludf.DUMMYFUNCTION("""COMPUTED_VALUE"""),"")</f>
        <v/>
      </c>
      <c r="AL50" s="1" t="str">
        <f>IFERROR(__xludf.DUMMYFUNCTION("""COMPUTED_VALUE"""),"")</f>
        <v/>
      </c>
      <c r="AM50" s="1" t="str">
        <f>IFERROR(__xludf.DUMMYFUNCTION("""COMPUTED_VALUE"""),"")</f>
        <v/>
      </c>
      <c r="AN50" s="1" t="str">
        <f>IFERROR(__xludf.DUMMYFUNCTION("""COMPUTED_VALUE"""),"")</f>
        <v/>
      </c>
      <c r="AO50" s="1" t="str">
        <f>IFERROR(__xludf.DUMMYFUNCTION("""COMPUTED_VALUE"""),"")</f>
        <v/>
      </c>
      <c r="AP50" s="1" t="str">
        <f>IFERROR(__xludf.DUMMYFUNCTION("""COMPUTED_VALUE"""),"")</f>
        <v/>
      </c>
      <c r="AQ50" s="1" t="str">
        <f>IFERROR(__xludf.DUMMYFUNCTION("""COMPUTED_VALUE"""),"10/21/2025")</f>
        <v>10/21/2025</v>
      </c>
      <c r="AR50" s="1" t="str">
        <f>IFERROR(__xludf.DUMMYFUNCTION("""COMPUTED_VALUE"""),"10/21/2025")</f>
        <v>10/21/2025</v>
      </c>
    </row>
    <row r="51">
      <c r="A51" s="1" t="str">
        <f>IFERROR(__xludf.DUMMYFUNCTION("""COMPUTED_VALUE"""),"Project Blue Tucson")</f>
        <v>Project Blue Tucson</v>
      </c>
      <c r="B51" s="1" t="str">
        <f>IFERROR(__xludf.DUMMYFUNCTION("""COMPUTED_VALUE"""),"10098 E Brekke Rd")</f>
        <v>10098 E Brekke Rd</v>
      </c>
      <c r="C51" s="1" t="str">
        <f>IFERROR(__xludf.DUMMYFUNCTION("""COMPUTED_VALUE"""),"Tucson")</f>
        <v>Tucson</v>
      </c>
      <c r="D51" s="1" t="str">
        <f>IFERROR(__xludf.DUMMYFUNCTION("""COMPUTED_VALUE"""),"AZ")</f>
        <v>AZ</v>
      </c>
      <c r="E51" s="1" t="str">
        <f>IFERROR(__xludf.DUMMYFUNCTION("""COMPUTED_VALUE"""),"85747")</f>
        <v>85747</v>
      </c>
      <c r="F51" s="1" t="str">
        <f>IFERROR(__xludf.DUMMYFUNCTION("""COMPUTED_VALUE"""),"Pima")</f>
        <v>Pima</v>
      </c>
      <c r="G51" s="1" t="str">
        <f>IFERROR(__xludf.DUMMYFUNCTION("""COMPUTED_VALUE"""),"32.05091")</f>
        <v>32.05091</v>
      </c>
      <c r="H51" s="1" t="str">
        <f>IFERROR(__xludf.DUMMYFUNCTION("""COMPUTED_VALUE"""),"-110.783")</f>
        <v>-110.783</v>
      </c>
      <c r="I51" s="1" t="str">
        <f>IFERROR(__xludf.DUMMYFUNCTION("""COMPUTED_VALUE"""),"Approved/Permitted/Under construction")</f>
        <v>Approved/Permitted/Under construction</v>
      </c>
      <c r="J51" s="1" t="str">
        <f>IFERROR(__xludf.DUMMYFUNCTION("""COMPUTED_VALUE"""),"High")</f>
        <v>High</v>
      </c>
      <c r="K51" s="1" t="str">
        <f>IFERROR(__xludf.DUMMYFUNCTION("""COMPUTED_VALUE"""),"")</f>
        <v/>
      </c>
      <c r="L51" s="1" t="str">
        <f>IFERROR(__xludf.DUMMYFUNCTION("""COMPUTED_VALUE"""),"Beale Infrastructure")</f>
        <v>Beale Infrastructure</v>
      </c>
      <c r="M51" s="1" t="str">
        <f>IFERROR(__xludf.DUMMYFUNCTION("""COMPUTED_VALUE"""),"")</f>
        <v/>
      </c>
      <c r="N51" s="1" t="str">
        <f>IFERROR(__xludf.DUMMYFUNCTION("""COMPUTED_VALUE"""),"")</f>
        <v/>
      </c>
      <c r="O51" s="1" t="str">
        <f>IFERROR(__xludf.DUMMYFUNCTION("""COMPUTED_VALUE"""),"Unknown")</f>
        <v>Unknown</v>
      </c>
      <c r="P51" s="1" t="str">
        <f>IFERROR(__xludf.DUMMYFUNCTION("""COMPUTED_VALUE"""),"")</f>
        <v/>
      </c>
      <c r="Q51" s="1" t="str">
        <f>IFERROR(__xludf.DUMMYFUNCTION("""COMPUTED_VALUE"""),"")</f>
        <v/>
      </c>
      <c r="R51" s="1" t="str">
        <f>IFERROR(__xludf.DUMMYFUNCTION("""COMPUTED_VALUE"""),"")</f>
        <v/>
      </c>
      <c r="S51" s="1" t="str">
        <f>IFERROR(__xludf.DUMMYFUNCTION("""COMPUTED_VALUE"""),"")</f>
        <v/>
      </c>
      <c r="T51" s="1" t="str">
        <f>IFERROR(__xludf.DUMMYFUNCTION("""COMPUTED_VALUE"""),"Air")</f>
        <v>Air</v>
      </c>
      <c r="U51" s="1" t="str">
        <f>IFERROR(__xludf.DUMMYFUNCTION("""COMPUTED_VALUE"""),"Closed loop")</f>
        <v>Closed loop</v>
      </c>
      <c r="V51" s="1" t="str">
        <f>IFERROR(__xludf.DUMMYFUNCTION("""COMPUTED_VALUE"""),"")</f>
        <v/>
      </c>
      <c r="W51" s="1" t="str">
        <f>IFERROR(__xludf.DUMMYFUNCTION("""COMPUTED_VALUE"""),"290")</f>
        <v>290</v>
      </c>
      <c r="X51" s="1" t="str">
        <f>IFERROR(__xludf.DUMMYFUNCTION("""COMPUTED_VALUE"""),"$3.6 billion")</f>
        <v>$3.6 billion</v>
      </c>
      <c r="Y51" s="1" t="str">
        <f>IFERROR(__xludf.DUMMYFUNCTION("""COMPUTED_VALUE"""),"")</f>
        <v/>
      </c>
      <c r="Z51" s="1" t="str">
        <f>IFERROR(__xludf.DUMMYFUNCTION("""COMPUTED_VALUE"""),"Yes")</f>
        <v>Yes</v>
      </c>
      <c r="AA51" s="1" t="str">
        <f>IFERROR(__xludf.DUMMYFUNCTION("""COMPUTED_VALUE"""),"")</f>
        <v/>
      </c>
      <c r="AB51" s="1" t="str">
        <f>IFERROR(__xludf.DUMMYFUNCTION("""COMPUTED_VALUE"""),"")</f>
        <v/>
      </c>
      <c r="AC51" s="1" t="str">
        <f>IFERROR(__xludf.DUMMYFUNCTION("""COMPUTED_VALUE"""),"")</f>
        <v/>
      </c>
      <c r="AD51" s="1" t="str">
        <f>IFERROR(__xludf.DUMMYFUNCTION("""COMPUTED_VALUE"""),"")</f>
        <v/>
      </c>
      <c r="AE51" s="1" t="str">
        <f>IFERROR(__xludf.DUMMYFUNCTION("""COMPUTED_VALUE"""),"")</f>
        <v/>
      </c>
      <c r="AF51" s="1" t="str">
        <f>IFERROR(__xludf.DUMMYFUNCTION("""COMPUTED_VALUE"""),"")</f>
        <v/>
      </c>
      <c r="AG51" s="1" t="str">
        <f>IFERROR(__xludf.DUMMYFUNCTION("""COMPUTED_VALUE"""),"Formerly connected to Amazon. Voted down by the Tucson City Council, but in Decemebr 2025 the Arizona Corporation Commission approved a plan to let Tucson Electric Power power the project. Water wells supplying the project have been approved and it could "&amp;"use up to 31 million gallons of water annually")</f>
        <v>Formerly connected to Amazon. Voted down by the Tucson City Council, but in Decemebr 2025 the Arizona Corporation Commission approved a plan to let Tucson Electric Power power the project. Water wells supplying the project have been approved and it could use up to 31 million gallons of water annually</v>
      </c>
      <c r="AH51" s="1" t="str">
        <f>IFERROR(__xludf.DUMMYFUNCTION("""COMPUTED_VALUE"""),"Media Monitoring")</f>
        <v>Media Monitoring</v>
      </c>
      <c r="AI51" s="2" t="str">
        <f>IFERROR(__xludf.DUMMYFUNCTION("""COMPUTED_VALUE"""),"https://www.datacenterdynamics.com/en/news/arizona-land-parcel-rezoned-and-sold-to-develop-project-blue-data-center/")</f>
        <v>https://www.datacenterdynamics.com/en/news/arizona-land-parcel-rezoned-and-sold-to-develop-project-blue-data-center/</v>
      </c>
      <c r="AJ51" s="2" t="str">
        <f>IFERROR(__xludf.DUMMYFUNCTION("""COMPUTED_VALUE"""),"https://www.datacenterdynamics.com/en/news/amazon-named-as-company-behind-290-acre-data-center-campus-in-tuscson-arizona/")</f>
        <v>https://www.datacenterdynamics.com/en/news/amazon-named-as-company-behind-290-acre-data-center-campus-in-tuscson-arizona/</v>
      </c>
      <c r="AK51" s="2" t="str">
        <f>IFERROR(__xludf.DUMMYFUNCTION("""COMPUTED_VALUE"""),"https://www.foxbusiness.com/economy/arizona-city-defeats-massive-data-center-project-over-water-energy-concerns")</f>
        <v>https://www.foxbusiness.com/economy/arizona-city-defeats-massive-data-center-project-over-water-energy-concerns</v>
      </c>
      <c r="AL51" s="2" t="str">
        <f>IFERROR(__xludf.DUMMYFUNCTION("""COMPUTED_VALUE"""),"https://apnews.com/article/tucson-data-management-and-storage-arizona-general-news-environmental-conservation-42c1e554b02b4293685a08a4574db9f0")</f>
        <v>https://apnews.com/article/tucson-data-management-and-storage-arizona-general-news-environmental-conservation-42c1e554b02b4293685a08a4574db9f0</v>
      </c>
      <c r="AM51" s="2" t="str">
        <f>IFERROR(__xludf.DUMMYFUNCTION("""COMPUTED_VALUE"""),"https://www.kgun9.com/news/local-news/project-blue-moves-to-build-despite-opposition")</f>
        <v>https://www.kgun9.com/news/local-news/project-blue-moves-to-build-despite-opposition</v>
      </c>
      <c r="AN51" s="2" t="str">
        <f>IFERROR(__xludf.DUMMYFUNCTION("""COMPUTED_VALUE"""),"https://news.azpm.org/p/azpmnews/2026/5/28/229919-arizona-water-officials-approve-wells-tied-to-project-blue-data-center/")</f>
        <v>https://news.azpm.org/p/azpmnews/2026/5/28/229919-arizona-water-officials-approve-wells-tied-to-project-blue-data-center/</v>
      </c>
      <c r="AO51" s="1" t="str">
        <f>IFERROR(__xludf.DUMMYFUNCTION("""COMPUTED_VALUE"""),"")</f>
        <v/>
      </c>
      <c r="AP51" s="1" t="str">
        <f>IFERROR(__xludf.DUMMYFUNCTION("""COMPUTED_VALUE"""),"")</f>
        <v/>
      </c>
      <c r="AQ51" s="1" t="str">
        <f>IFERROR(__xludf.DUMMYFUNCTION("""COMPUTED_VALUE"""),"08/09/2025")</f>
        <v>08/09/2025</v>
      </c>
      <c r="AR51" s="1" t="str">
        <f>IFERROR(__xludf.DUMMYFUNCTION("""COMPUTED_VALUE"""),"06/23/2026")</f>
        <v>06/23/2026</v>
      </c>
    </row>
    <row r="52">
      <c r="A52" s="1" t="str">
        <f>IFERROR(__xludf.DUMMYFUNCTION("""COMPUTED_VALUE"""),"Aligned Data Centers Waddell Campus")</f>
        <v>Aligned Data Centers Waddell Campus</v>
      </c>
      <c r="B52" s="1" t="str">
        <f>IFERROR(__xludf.DUMMYFUNCTION("""COMPUTED_VALUE"""),"8785-8907 N. Reems Road")</f>
        <v>8785-8907 N. Reems Road</v>
      </c>
      <c r="C52" s="1" t="str">
        <f>IFERROR(__xludf.DUMMYFUNCTION("""COMPUTED_VALUE"""),"Waddell")</f>
        <v>Waddell</v>
      </c>
      <c r="D52" s="1" t="str">
        <f>IFERROR(__xludf.DUMMYFUNCTION("""COMPUTED_VALUE"""),"AZ")</f>
        <v>AZ</v>
      </c>
      <c r="E52" s="1" t="str">
        <f>IFERROR(__xludf.DUMMYFUNCTION("""COMPUTED_VALUE"""),"85355")</f>
        <v>85355</v>
      </c>
      <c r="F52" s="1" t="str">
        <f>IFERROR(__xludf.DUMMYFUNCTION("""COMPUTED_VALUE"""),"Maricopa")</f>
        <v>Maricopa</v>
      </c>
      <c r="G52" s="1" t="str">
        <f>IFERROR(__xludf.DUMMYFUNCTION("""COMPUTED_VALUE"""),"33.57577")</f>
        <v>33.57577</v>
      </c>
      <c r="H52" s="1" t="str">
        <f>IFERROR(__xludf.DUMMYFUNCTION("""COMPUTED_VALUE"""),"-112.45042")</f>
        <v>-112.45042</v>
      </c>
      <c r="I52" s="1" t="str">
        <f>IFERROR(__xludf.DUMMYFUNCTION("""COMPUTED_VALUE"""),"Approved/Permitted/Under construction")</f>
        <v>Approved/Permitted/Under construction</v>
      </c>
      <c r="J52" s="1" t="str">
        <f>IFERROR(__xludf.DUMMYFUNCTION("""COMPUTED_VALUE"""),"High")</f>
        <v>High</v>
      </c>
      <c r="K52" s="1" t="str">
        <f>IFERROR(__xludf.DUMMYFUNCTION("""COMPUTED_VALUE"""),"")</f>
        <v/>
      </c>
      <c r="L52" s="1" t="str">
        <f>IFERROR(__xludf.DUMMYFUNCTION("""COMPUTED_VALUE"""),"Aligned Data Centers")</f>
        <v>Aligned Data Centers</v>
      </c>
      <c r="M52" s="1" t="str">
        <f>IFERROR(__xludf.DUMMYFUNCTION("""COMPUTED_VALUE"""),"")</f>
        <v/>
      </c>
      <c r="N52" s="1" t="str">
        <f>IFERROR(__xludf.DUMMYFUNCTION("""COMPUTED_VALUE"""),"")</f>
        <v/>
      </c>
      <c r="O52" s="1" t="str">
        <f>IFERROR(__xludf.DUMMYFUNCTION("""COMPUTED_VALUE"""),"Hyperscale (100-999 MW)")</f>
        <v>Hyperscale (100-999 MW)</v>
      </c>
      <c r="P52" s="1" t="str">
        <f>IFERROR(__xludf.DUMMYFUNCTION("""COMPUTED_VALUE"""),"")</f>
        <v/>
      </c>
      <c r="Q52" s="1" t="str">
        <f>IFERROR(__xludf.DUMMYFUNCTION("""COMPUTED_VALUE"""),"")</f>
        <v/>
      </c>
      <c r="R52" s="1" t="str">
        <f>IFERROR(__xludf.DUMMYFUNCTION("""COMPUTED_VALUE"""),"")</f>
        <v/>
      </c>
      <c r="S52" s="1" t="str">
        <f>IFERROR(__xludf.DUMMYFUNCTION("""COMPUTED_VALUE"""),"")</f>
        <v/>
      </c>
      <c r="T52" s="1" t="str">
        <f>IFERROR(__xludf.DUMMYFUNCTION("""COMPUTED_VALUE"""),"")</f>
        <v/>
      </c>
      <c r="U52" s="1" t="str">
        <f>IFERROR(__xludf.DUMMYFUNCTION("""COMPUTED_VALUE"""),"")</f>
        <v/>
      </c>
      <c r="V52" s="1" t="str">
        <f>IFERROR(__xludf.DUMMYFUNCTION("""COMPUTED_VALUE"""),"1,000,000")</f>
        <v>1,000,000</v>
      </c>
      <c r="W52" s="1" t="str">
        <f>IFERROR(__xludf.DUMMYFUNCTION("""COMPUTED_VALUE"""),"100")</f>
        <v>100</v>
      </c>
      <c r="X52" s="1" t="str">
        <f>IFERROR(__xludf.DUMMYFUNCTION("""COMPUTED_VALUE"""),"")</f>
        <v/>
      </c>
      <c r="Y52" s="1" t="str">
        <f>IFERROR(__xludf.DUMMYFUNCTION("""COMPUTED_VALUE"""),"")</f>
        <v/>
      </c>
      <c r="Z52" s="1" t="str">
        <f>IFERROR(__xludf.DUMMYFUNCTION("""COMPUTED_VALUE"""),"Unknown")</f>
        <v>Unknown</v>
      </c>
      <c r="AA52" s="1" t="str">
        <f>IFERROR(__xludf.DUMMYFUNCTION("""COMPUTED_VALUE"""),"")</f>
        <v/>
      </c>
      <c r="AB52" s="1" t="str">
        <f>IFERROR(__xludf.DUMMYFUNCTION("""COMPUTED_VALUE"""),"")</f>
        <v/>
      </c>
      <c r="AC52" s="1" t="str">
        <f>IFERROR(__xludf.DUMMYFUNCTION("""COMPUTED_VALUE"""),"")</f>
        <v/>
      </c>
      <c r="AD52" s="1" t="str">
        <f>IFERROR(__xludf.DUMMYFUNCTION("""COMPUTED_VALUE"""),"")</f>
        <v/>
      </c>
      <c r="AE52" s="1" t="str">
        <f>IFERROR(__xludf.DUMMYFUNCTION("""COMPUTED_VALUE"""),"")</f>
        <v/>
      </c>
      <c r="AF52" s="1" t="str">
        <f>IFERROR(__xludf.DUMMYFUNCTION("""COMPUTED_VALUE"""),"")</f>
        <v/>
      </c>
      <c r="AG52" s="1" t="str">
        <f>IFERROR(__xludf.DUMMYFUNCTION("""COMPUTED_VALUE"""),"")</f>
        <v/>
      </c>
      <c r="AH52" s="1" t="str">
        <f>IFERROR(__xludf.DUMMYFUNCTION("""COMPUTED_VALUE"""),"Media Monitoring")</f>
        <v>Media Monitoring</v>
      </c>
      <c r="AI52" s="2" t="str">
        <f>IFERROR(__xludf.DUMMYFUNCTION("""COMPUTED_VALUE"""),"https://www.datacenterdynamics.com/en/news/aligned-breaks-ground-on-data-center-in-phoenix-arizona/")</f>
        <v>https://www.datacenterdynamics.com/en/news/aligned-breaks-ground-on-data-center-in-phoenix-arizona/</v>
      </c>
      <c r="AJ52" s="1" t="str">
        <f>IFERROR(__xludf.DUMMYFUNCTION("""COMPUTED_VALUE"""),"")</f>
        <v/>
      </c>
      <c r="AK52" s="1" t="str">
        <f>IFERROR(__xludf.DUMMYFUNCTION("""COMPUTED_VALUE"""),"")</f>
        <v/>
      </c>
      <c r="AL52" s="1" t="str">
        <f>IFERROR(__xludf.DUMMYFUNCTION("""COMPUTED_VALUE"""),"")</f>
        <v/>
      </c>
      <c r="AM52" s="1" t="str">
        <f>IFERROR(__xludf.DUMMYFUNCTION("""COMPUTED_VALUE"""),"")</f>
        <v/>
      </c>
      <c r="AN52" s="1" t="str">
        <f>IFERROR(__xludf.DUMMYFUNCTION("""COMPUTED_VALUE"""),"")</f>
        <v/>
      </c>
      <c r="AO52" s="1" t="str">
        <f>IFERROR(__xludf.DUMMYFUNCTION("""COMPUTED_VALUE"""),"")</f>
        <v/>
      </c>
      <c r="AP52" s="1" t="str">
        <f>IFERROR(__xludf.DUMMYFUNCTION("""COMPUTED_VALUE"""),"")</f>
        <v/>
      </c>
      <c r="AQ52" s="1" t="str">
        <f>IFERROR(__xludf.DUMMYFUNCTION("""COMPUTED_VALUE"""),"06/19/2025")</f>
        <v>06/19/2025</v>
      </c>
      <c r="AR52" s="1" t="str">
        <f>IFERROR(__xludf.DUMMYFUNCTION("""COMPUTED_VALUE"""),"02/19/2026")</f>
        <v>02/19/2026</v>
      </c>
    </row>
    <row r="53">
      <c r="A53" s="1" t="str">
        <f>IFERROR(__xludf.DUMMYFUNCTION("""COMPUTED_VALUE"""),"Takanock Data Center/Project Baccara")</f>
        <v>Takanock Data Center/Project Baccara</v>
      </c>
      <c r="B53" s="1" t="str">
        <f>IFERROR(__xludf.DUMMYFUNCTION("""COMPUTED_VALUE"""),"14707 W Olive Ave")</f>
        <v>14707 W Olive Ave</v>
      </c>
      <c r="C53" s="1" t="str">
        <f>IFERROR(__xludf.DUMMYFUNCTION("""COMPUTED_VALUE"""),"Waddell")</f>
        <v>Waddell</v>
      </c>
      <c r="D53" s="1" t="str">
        <f>IFERROR(__xludf.DUMMYFUNCTION("""COMPUTED_VALUE"""),"AZ")</f>
        <v>AZ</v>
      </c>
      <c r="E53" s="1" t="str">
        <f>IFERROR(__xludf.DUMMYFUNCTION("""COMPUTED_VALUE"""),"85355")</f>
        <v>85355</v>
      </c>
      <c r="F53" s="1" t="str">
        <f>IFERROR(__xludf.DUMMYFUNCTION("""COMPUTED_VALUE"""),"Maricopa")</f>
        <v>Maricopa</v>
      </c>
      <c r="G53" s="1" t="str">
        <f>IFERROR(__xludf.DUMMYFUNCTION("""COMPUTED_VALUE"""),"33.56755")</f>
        <v>33.56755</v>
      </c>
      <c r="H53" s="1" t="str">
        <f>IFERROR(__xludf.DUMMYFUNCTION("""COMPUTED_VALUE"""),"-112.37177")</f>
        <v>-112.37177</v>
      </c>
      <c r="I53" s="1" t="str">
        <f>IFERROR(__xludf.DUMMYFUNCTION("""COMPUTED_VALUE"""),"Proposed")</f>
        <v>Proposed</v>
      </c>
      <c r="J53" s="1" t="str">
        <f>IFERROR(__xludf.DUMMYFUNCTION("""COMPUTED_VALUE"""),"High")</f>
        <v>High</v>
      </c>
      <c r="K53" s="1" t="str">
        <f>IFERROR(__xludf.DUMMYFUNCTION("""COMPUTED_VALUE"""),"")</f>
        <v/>
      </c>
      <c r="L53" s="1" t="str">
        <f>IFERROR(__xludf.DUMMYFUNCTION("""COMPUTED_VALUE"""),"DigitalBridge")</f>
        <v>DigitalBridge</v>
      </c>
      <c r="M53" s="1" t="str">
        <f>IFERROR(__xludf.DUMMYFUNCTION("""COMPUTED_VALUE"""),"")</f>
        <v/>
      </c>
      <c r="N53" s="1" t="str">
        <f>IFERROR(__xludf.DUMMYFUNCTION("""COMPUTED_VALUE"""),"700")</f>
        <v>700</v>
      </c>
      <c r="O53" s="1" t="str">
        <f>IFERROR(__xludf.DUMMYFUNCTION("""COMPUTED_VALUE"""),"Hyperscale (100-999 MW)")</f>
        <v>Hyperscale (100-999 MW)</v>
      </c>
      <c r="P53" s="1" t="str">
        <f>IFERROR(__xludf.DUMMYFUNCTION("""COMPUTED_VALUE"""),"")</f>
        <v/>
      </c>
      <c r="Q53" s="1" t="str">
        <f>IFERROR(__xludf.DUMMYFUNCTION("""COMPUTED_VALUE"""),"Yes")</f>
        <v>Yes</v>
      </c>
      <c r="R53" s="1" t="str">
        <f>IFERROR(__xludf.DUMMYFUNCTION("""COMPUTED_VALUE"""),"")</f>
        <v/>
      </c>
      <c r="S53" s="1" t="str">
        <f>IFERROR(__xludf.DUMMYFUNCTION("""COMPUTED_VALUE"""),"2")</f>
        <v>2</v>
      </c>
      <c r="T53" s="1" t="str">
        <f>IFERROR(__xludf.DUMMYFUNCTION("""COMPUTED_VALUE"""),"")</f>
        <v/>
      </c>
      <c r="U53" s="1" t="str">
        <f>IFERROR(__xludf.DUMMYFUNCTION("""COMPUTED_VALUE"""),"")</f>
        <v/>
      </c>
      <c r="V53" s="1" t="str">
        <f>IFERROR(__xludf.DUMMYFUNCTION("""COMPUTED_VALUE"""),"2,000,000")</f>
        <v>2,000,000</v>
      </c>
      <c r="W53" s="1" t="str">
        <f>IFERROR(__xludf.DUMMYFUNCTION("""COMPUTED_VALUE"""),"160")</f>
        <v>160</v>
      </c>
      <c r="X53" s="1" t="str">
        <f>IFERROR(__xludf.DUMMYFUNCTION("""COMPUTED_VALUE"""),"")</f>
        <v/>
      </c>
      <c r="Y53" s="1" t="str">
        <f>IFERROR(__xludf.DUMMYFUNCTION("""COMPUTED_VALUE"""),"2028")</f>
        <v>2028</v>
      </c>
      <c r="Z53" s="1" t="str">
        <f>IFERROR(__xludf.DUMMYFUNCTION("""COMPUTED_VALUE"""),"Yes")</f>
        <v>Yes</v>
      </c>
      <c r="AA53" s="1" t="str">
        <f>IFERROR(__xludf.DUMMYFUNCTION("""COMPUTED_VALUE"""),"")</f>
        <v/>
      </c>
      <c r="AB53" s="1" t="str">
        <f>IFERROR(__xludf.DUMMYFUNCTION("""COMPUTED_VALUE"""),"Organized Advocacy")</f>
        <v>Organized Advocacy</v>
      </c>
      <c r="AC53" s="1" t="str">
        <f>IFERROR(__xludf.DUMMYFUNCTION("""COMPUTED_VALUE"""),"")</f>
        <v/>
      </c>
      <c r="AD53" s="2" t="str">
        <f>IFERROR(__xludf.DUMMYFUNCTION("""COMPUTED_VALUE"""),"https://www.facebook.com/groups/1067323452056728/")</f>
        <v>https://www.facebook.com/groups/1067323452056728/</v>
      </c>
      <c r="AE53" s="1" t="str">
        <f>IFERROR(__xludf.DUMMYFUNCTION("""COMPUTED_VALUE"""),"")</f>
        <v/>
      </c>
      <c r="AF53" s="1" t="str">
        <f>IFERROR(__xludf.DUMMYFUNCTION("""COMPUTED_VALUE"""),"")</f>
        <v/>
      </c>
      <c r="AG53" s="1" t="str">
        <f>IFERROR(__xludf.DUMMYFUNCTION("""COMPUTED_VALUE"""),"")</f>
        <v/>
      </c>
      <c r="AH53" s="1" t="str">
        <f>IFERROR(__xludf.DUMMYFUNCTION("""COMPUTED_VALUE"""),"Media Monitoring")</f>
        <v>Media Monitoring</v>
      </c>
      <c r="AI53" s="2" t="str">
        <f>IFERROR(__xludf.DUMMYFUNCTION("""COMPUTED_VALUE"""),"https://www.datacenterdynamics.com/en/news/two-data-center-projects-proposed-near-phoenix-arizona/")</f>
        <v>https://www.datacenterdynamics.com/en/news/two-data-center-projects-proposed-near-phoenix-arizona/</v>
      </c>
      <c r="AJ53" s="2" t="str">
        <f>IFERROR(__xludf.DUMMYFUNCTION("""COMPUTED_VALUE"""),"https://www.datacenterdynamics.com/en/news/160-acre-project-baccara-is-recommended-for-approval-in-maricopa-county-arizona/")</f>
        <v>https://www.datacenterdynamics.com/en/news/160-acre-project-baccara-is-recommended-for-approval-in-maricopa-county-arizona/</v>
      </c>
      <c r="AK53" s="1" t="str">
        <f>IFERROR(__xludf.DUMMYFUNCTION("""COMPUTED_VALUE"""),"")</f>
        <v/>
      </c>
      <c r="AL53" s="1" t="str">
        <f>IFERROR(__xludf.DUMMYFUNCTION("""COMPUTED_VALUE"""),"")</f>
        <v/>
      </c>
      <c r="AM53" s="1" t="str">
        <f>IFERROR(__xludf.DUMMYFUNCTION("""COMPUTED_VALUE"""),"")</f>
        <v/>
      </c>
      <c r="AN53" s="1" t="str">
        <f>IFERROR(__xludf.DUMMYFUNCTION("""COMPUTED_VALUE"""),"")</f>
        <v/>
      </c>
      <c r="AO53" s="1" t="str">
        <f>IFERROR(__xludf.DUMMYFUNCTION("""COMPUTED_VALUE"""),"")</f>
        <v/>
      </c>
      <c r="AP53" s="1" t="str">
        <f>IFERROR(__xludf.DUMMYFUNCTION("""COMPUTED_VALUE"""),"")</f>
        <v/>
      </c>
      <c r="AQ53" s="1" t="str">
        <f>IFERROR(__xludf.DUMMYFUNCTION("""COMPUTED_VALUE"""),"01/19/2026")</f>
        <v>01/19/2026</v>
      </c>
      <c r="AR53" s="1" t="str">
        <f>IFERROR(__xludf.DUMMYFUNCTION("""COMPUTED_VALUE"""),"04/15/2026")</f>
        <v>04/15/2026</v>
      </c>
    </row>
    <row r="54">
      <c r="A54" s="1" t="str">
        <f>IFERROR(__xludf.DUMMYFUNCTION("""COMPUTED_VALUE"""),"Guadalupe Quarry Redevelopment Project Data Center")</f>
        <v>Guadalupe Quarry Redevelopment Project Data Center</v>
      </c>
      <c r="B54" s="1" t="str">
        <f>IFERROR(__xludf.DUMMYFUNCTION("""COMPUTED_VALUE"""),"near Quarry Rd")</f>
        <v>near Quarry Rd</v>
      </c>
      <c r="C54" s="1" t="str">
        <f>IFERROR(__xludf.DUMMYFUNCTION("""COMPUTED_VALUE"""),"Brisbane")</f>
        <v>Brisbane</v>
      </c>
      <c r="D54" s="1" t="str">
        <f>IFERROR(__xludf.DUMMYFUNCTION("""COMPUTED_VALUE"""),"CA")</f>
        <v>CA</v>
      </c>
      <c r="E54" s="1" t="str">
        <f>IFERROR(__xludf.DUMMYFUNCTION("""COMPUTED_VALUE"""),"94005")</f>
        <v>94005</v>
      </c>
      <c r="F54" s="1" t="str">
        <f>IFERROR(__xludf.DUMMYFUNCTION("""COMPUTED_VALUE"""),"San Mateo")</f>
        <v>San Mateo</v>
      </c>
      <c r="G54" s="1" t="str">
        <f>IFERROR(__xludf.DUMMYFUNCTION("""COMPUTED_VALUE"""),"37.68586")</f>
        <v>37.68586</v>
      </c>
      <c r="H54" s="1" t="str">
        <f>IFERROR(__xludf.DUMMYFUNCTION("""COMPUTED_VALUE"""),"-122.416")</f>
        <v>-122.416</v>
      </c>
      <c r="I54" s="1" t="str">
        <f>IFERROR(__xludf.DUMMYFUNCTION("""COMPUTED_VALUE"""),"Proposed")</f>
        <v>Proposed</v>
      </c>
      <c r="J54" s="1" t="str">
        <f>IFERROR(__xludf.DUMMYFUNCTION("""COMPUTED_VALUE"""),"Medium")</f>
        <v>Medium</v>
      </c>
      <c r="K54" s="1" t="str">
        <f>IFERROR(__xludf.DUMMYFUNCTION("""COMPUTED_VALUE"""),"")</f>
        <v/>
      </c>
      <c r="L54" s="1" t="str">
        <f>IFERROR(__xludf.DUMMYFUNCTION("""COMPUTED_VALUE"""),"")</f>
        <v/>
      </c>
      <c r="M54" s="1" t="str">
        <f>IFERROR(__xludf.DUMMYFUNCTION("""COMPUTED_VALUE"""),"")</f>
        <v/>
      </c>
      <c r="N54" s="1" t="str">
        <f>IFERROR(__xludf.DUMMYFUNCTION("""COMPUTED_VALUE"""),"")</f>
        <v/>
      </c>
      <c r="O54" s="1" t="str">
        <f>IFERROR(__xludf.DUMMYFUNCTION("""COMPUTED_VALUE"""),"Unknown")</f>
        <v>Unknown</v>
      </c>
      <c r="P54" s="1" t="str">
        <f>IFERROR(__xludf.DUMMYFUNCTION("""COMPUTED_VALUE"""),"")</f>
        <v/>
      </c>
      <c r="Q54" s="1" t="str">
        <f>IFERROR(__xludf.DUMMYFUNCTION("""COMPUTED_VALUE"""),"")</f>
        <v/>
      </c>
      <c r="R54" s="1" t="str">
        <f>IFERROR(__xludf.DUMMYFUNCTION("""COMPUTED_VALUE"""),"")</f>
        <v/>
      </c>
      <c r="S54" s="1" t="str">
        <f>IFERROR(__xludf.DUMMYFUNCTION("""COMPUTED_VALUE"""),"")</f>
        <v/>
      </c>
      <c r="T54" s="1" t="str">
        <f>IFERROR(__xludf.DUMMYFUNCTION("""COMPUTED_VALUE"""),"")</f>
        <v/>
      </c>
      <c r="U54" s="1" t="str">
        <f>IFERROR(__xludf.DUMMYFUNCTION("""COMPUTED_VALUE"""),"")</f>
        <v/>
      </c>
      <c r="V54" s="1" t="str">
        <f>IFERROR(__xludf.DUMMYFUNCTION("""COMPUTED_VALUE"""),"180,000")</f>
        <v>180,000</v>
      </c>
      <c r="W54" s="1" t="str">
        <f>IFERROR(__xludf.DUMMYFUNCTION("""COMPUTED_VALUE"""),"62")</f>
        <v>62</v>
      </c>
      <c r="X54" s="1" t="str">
        <f>IFERROR(__xludf.DUMMYFUNCTION("""COMPUTED_VALUE"""),"")</f>
        <v/>
      </c>
      <c r="Y54" s="1" t="str">
        <f>IFERROR(__xludf.DUMMYFUNCTION("""COMPUTED_VALUE"""),"")</f>
        <v/>
      </c>
      <c r="Z54" s="1" t="str">
        <f>IFERROR(__xludf.DUMMYFUNCTION("""COMPUTED_VALUE"""),"Unknown")</f>
        <v>Unknown</v>
      </c>
      <c r="AA54" s="1" t="str">
        <f>IFERROR(__xludf.DUMMYFUNCTION("""COMPUTED_VALUE"""),"")</f>
        <v/>
      </c>
      <c r="AB54" s="1" t="str">
        <f>IFERROR(__xludf.DUMMYFUNCTION("""COMPUTED_VALUE"""),"")</f>
        <v/>
      </c>
      <c r="AC54" s="1" t="str">
        <f>IFERROR(__xludf.DUMMYFUNCTION("""COMPUTED_VALUE"""),"")</f>
        <v/>
      </c>
      <c r="AD54" s="1" t="str">
        <f>IFERROR(__xludf.DUMMYFUNCTION("""COMPUTED_VALUE"""),"")</f>
        <v/>
      </c>
      <c r="AE54" s="1" t="str">
        <f>IFERROR(__xludf.DUMMYFUNCTION("""COMPUTED_VALUE"""),"")</f>
        <v/>
      </c>
      <c r="AF54" s="1" t="str">
        <f>IFERROR(__xludf.DUMMYFUNCTION("""COMPUTED_VALUE"""),"")</f>
        <v/>
      </c>
      <c r="AG54" s="1" t="str">
        <f>IFERROR(__xludf.DUMMYFUNCTION("""COMPUTED_VALUE"""),"")</f>
        <v/>
      </c>
      <c r="AH54" s="1" t="str">
        <f>IFERROR(__xludf.DUMMYFUNCTION("""COMPUTED_VALUE"""),"Media Monitoring")</f>
        <v>Media Monitoring</v>
      </c>
      <c r="AI54" s="2" t="str">
        <f>IFERROR(__xludf.DUMMYFUNCTION("""COMPUTED_VALUE"""),"https://www.datacenterdynamics.com/en/news/proposed-data-center-scaled-down-amid-environmental-concerns-near-san-francisco-california/")</f>
        <v>https://www.datacenterdynamics.com/en/news/proposed-data-center-scaled-down-amid-environmental-concerns-near-san-francisco-california/</v>
      </c>
      <c r="AJ54" s="1" t="str">
        <f>IFERROR(__xludf.DUMMYFUNCTION("""COMPUTED_VALUE"""),"")</f>
        <v/>
      </c>
      <c r="AK54" s="1" t="str">
        <f>IFERROR(__xludf.DUMMYFUNCTION("""COMPUTED_VALUE"""),"")</f>
        <v/>
      </c>
      <c r="AL54" s="1" t="str">
        <f>IFERROR(__xludf.DUMMYFUNCTION("""COMPUTED_VALUE"""),"")</f>
        <v/>
      </c>
      <c r="AM54" s="1" t="str">
        <f>IFERROR(__xludf.DUMMYFUNCTION("""COMPUTED_VALUE"""),"")</f>
        <v/>
      </c>
      <c r="AN54" s="1" t="str">
        <f>IFERROR(__xludf.DUMMYFUNCTION("""COMPUTED_VALUE"""),"")</f>
        <v/>
      </c>
      <c r="AO54" s="1" t="str">
        <f>IFERROR(__xludf.DUMMYFUNCTION("""COMPUTED_VALUE"""),"")</f>
        <v/>
      </c>
      <c r="AP54" s="1" t="str">
        <f>IFERROR(__xludf.DUMMYFUNCTION("""COMPUTED_VALUE"""),"")</f>
        <v/>
      </c>
      <c r="AQ54" s="1" t="str">
        <f>IFERROR(__xludf.DUMMYFUNCTION("""COMPUTED_VALUE"""),"07/25/2025")</f>
        <v>07/25/2025</v>
      </c>
      <c r="AR54" s="1" t="str">
        <f>IFERROR(__xludf.DUMMYFUNCTION("""COMPUTED_VALUE"""),"07/25/2025")</f>
        <v>07/25/2025</v>
      </c>
    </row>
    <row r="55">
      <c r="A55" s="1" t="str">
        <f>IFERROR(__xludf.DUMMYFUNCTION("""COMPUTED_VALUE"""),"Coachella Valley Technology Campus")</f>
        <v>Coachella Valley Technology Campus</v>
      </c>
      <c r="B55" s="1" t="str">
        <f>IFERROR(__xludf.DUMMYFUNCTION("""COMPUTED_VALUE"""),"52nd Ave &amp; Fillmore St")</f>
        <v>52nd Ave &amp; Fillmore St</v>
      </c>
      <c r="C55" s="1" t="str">
        <f>IFERROR(__xludf.DUMMYFUNCTION("""COMPUTED_VALUE"""),"Coachella")</f>
        <v>Coachella</v>
      </c>
      <c r="D55" s="1" t="str">
        <f>IFERROR(__xludf.DUMMYFUNCTION("""COMPUTED_VALUE"""),"CA")</f>
        <v>CA</v>
      </c>
      <c r="E55" s="1" t="str">
        <f>IFERROR(__xludf.DUMMYFUNCTION("""COMPUTED_VALUE"""),"92274")</f>
        <v>92274</v>
      </c>
      <c r="F55" s="1" t="str">
        <f>IFERROR(__xludf.DUMMYFUNCTION("""COMPUTED_VALUE"""),"Riverside")</f>
        <v>Riverside</v>
      </c>
      <c r="G55" s="1" t="str">
        <f>IFERROR(__xludf.DUMMYFUNCTION("""COMPUTED_VALUE"""),"33.6714")</f>
        <v>33.6714</v>
      </c>
      <c r="H55" s="1" t="str">
        <f>IFERROR(__xludf.DUMMYFUNCTION("""COMPUTED_VALUE"""),"-116.129")</f>
        <v>-116.129</v>
      </c>
      <c r="I55" s="1" t="str">
        <f>IFERROR(__xludf.DUMMYFUNCTION("""COMPUTED_VALUE"""),"Proposed")</f>
        <v>Proposed</v>
      </c>
      <c r="J55" s="1" t="str">
        <f>IFERROR(__xludf.DUMMYFUNCTION("""COMPUTED_VALUE"""),"High")</f>
        <v>High</v>
      </c>
      <c r="K55" s="1" t="str">
        <f>IFERROR(__xludf.DUMMYFUNCTION("""COMPUTED_VALUE"""),"")</f>
        <v/>
      </c>
      <c r="L55" s="1" t="str">
        <f>IFERROR(__xludf.DUMMYFUNCTION("""COMPUTED_VALUE"""),"")</f>
        <v/>
      </c>
      <c r="M55" s="1" t="str">
        <f>IFERROR(__xludf.DUMMYFUNCTION("""COMPUTED_VALUE"""),"")</f>
        <v/>
      </c>
      <c r="N55" s="1" t="str">
        <f>IFERROR(__xludf.DUMMYFUNCTION("""COMPUTED_VALUE"""),"270-600")</f>
        <v>270-600</v>
      </c>
      <c r="O55" s="1" t="str">
        <f>IFERROR(__xludf.DUMMYFUNCTION("""COMPUTED_VALUE"""),"Hyperscale (100-999 MW)")</f>
        <v>Hyperscale (100-999 MW)</v>
      </c>
      <c r="P55" s="1" t="str">
        <f>IFERROR(__xludf.DUMMYFUNCTION("""COMPUTED_VALUE"""),"")</f>
        <v/>
      </c>
      <c r="Q55" s="1" t="str">
        <f>IFERROR(__xludf.DUMMYFUNCTION("""COMPUTED_VALUE"""),"")</f>
        <v/>
      </c>
      <c r="R55" s="1" t="str">
        <f>IFERROR(__xludf.DUMMYFUNCTION("""COMPUTED_VALUE"""),"")</f>
        <v/>
      </c>
      <c r="S55" s="1" t="str">
        <f>IFERROR(__xludf.DUMMYFUNCTION("""COMPUTED_VALUE"""),"6")</f>
        <v>6</v>
      </c>
      <c r="T55" s="1" t="str">
        <f>IFERROR(__xludf.DUMMYFUNCTION("""COMPUTED_VALUE"""),"")</f>
        <v/>
      </c>
      <c r="U55" s="1" t="str">
        <f>IFERROR(__xludf.DUMMYFUNCTION("""COMPUTED_VALUE"""),"")</f>
        <v/>
      </c>
      <c r="V55" s="1" t="str">
        <f>IFERROR(__xludf.DUMMYFUNCTION("""COMPUTED_VALUE"""),"")</f>
        <v/>
      </c>
      <c r="W55" s="1" t="str">
        <f>IFERROR(__xludf.DUMMYFUNCTION("""COMPUTED_VALUE"""),"240")</f>
        <v>240</v>
      </c>
      <c r="X55" s="1" t="str">
        <f>IFERROR(__xludf.DUMMYFUNCTION("""COMPUTED_VALUE"""),"")</f>
        <v/>
      </c>
      <c r="Y55" s="1" t="str">
        <f>IFERROR(__xludf.DUMMYFUNCTION("""COMPUTED_VALUE"""),"")</f>
        <v/>
      </c>
      <c r="Z55" s="1" t="str">
        <f>IFERROR(__xludf.DUMMYFUNCTION("""COMPUTED_VALUE"""),"Yes")</f>
        <v>Yes</v>
      </c>
      <c r="AA55" s="1" t="str">
        <f>IFERROR(__xludf.DUMMYFUNCTION("""COMPUTED_VALUE"""),"")</f>
        <v/>
      </c>
      <c r="AB55" s="1" t="str">
        <f>IFERROR(__xludf.DUMMYFUNCTION("""COMPUTED_VALUE"""),"Organized Advocacy")</f>
        <v>Organized Advocacy</v>
      </c>
      <c r="AC55" s="1" t="str">
        <f>IFERROR(__xludf.DUMMYFUNCTION("""COMPUTED_VALUE"""),"")</f>
        <v/>
      </c>
      <c r="AD55" s="1" t="str">
        <f>IFERROR(__xludf.DUMMYFUNCTION("""COMPUTED_VALUE"""),"")</f>
        <v/>
      </c>
      <c r="AE55" s="1" t="str">
        <f>IFERROR(__xludf.DUMMYFUNCTION("""COMPUTED_VALUE"""),"")</f>
        <v/>
      </c>
      <c r="AF55" s="2" t="str">
        <f>IFERROR(__xludf.DUMMYFUNCTION("""COMPUTED_VALUE"""),"https://www.change.org/p/stop-the-proposed-coachella-data-center-project")</f>
        <v>https://www.change.org/p/stop-the-proposed-coachella-data-center-project</v>
      </c>
      <c r="AG55" s="1" t="str">
        <f>IFERROR(__xludf.DUMMYFUNCTION("""COMPUTED_VALUE"""),"")</f>
        <v/>
      </c>
      <c r="AH55" s="1" t="str">
        <f>IFERROR(__xludf.DUMMYFUNCTION("""COMPUTED_VALUE"""),"Media Monitoring")</f>
        <v>Media Monitoring</v>
      </c>
      <c r="AI55" s="2" t="str">
        <f>IFERROR(__xludf.DUMMYFUNCTION("""COMPUTED_VALUE"""),"https://www.datacenterdynamics.com/en/news/600mw-data-center-could-be-built-in-coachella-california/")</f>
        <v>https://www.datacenterdynamics.com/en/news/600mw-data-center-could-be-built-in-coachella-california/</v>
      </c>
      <c r="AJ55" s="2" t="str">
        <f>IFERROR(__xludf.DUMMYFUNCTION("""COMPUTED_VALUE"""),"https://www.businessinsider.com/coachella-considers-halting-a-major-data-center-project-amid-protests-2026-5?utm_campaign=inventions-link-post&amp;utm_medium=social&amp;utm_source=facebook")</f>
        <v>https://www.businessinsider.com/coachella-considers-halting-a-major-data-center-project-amid-protests-2026-5?utm_campaign=inventions-link-post&amp;utm_medium=social&amp;utm_source=facebook</v>
      </c>
      <c r="AK55" s="1" t="str">
        <f>IFERROR(__xludf.DUMMYFUNCTION("""COMPUTED_VALUE"""),"")</f>
        <v/>
      </c>
      <c r="AL55" s="1" t="str">
        <f>IFERROR(__xludf.DUMMYFUNCTION("""COMPUTED_VALUE"""),"")</f>
        <v/>
      </c>
      <c r="AM55" s="1" t="str">
        <f>IFERROR(__xludf.DUMMYFUNCTION("""COMPUTED_VALUE"""),"")</f>
        <v/>
      </c>
      <c r="AN55" s="1" t="str">
        <f>IFERROR(__xludf.DUMMYFUNCTION("""COMPUTED_VALUE"""),"")</f>
        <v/>
      </c>
      <c r="AO55" s="1" t="str">
        <f>IFERROR(__xludf.DUMMYFUNCTION("""COMPUTED_VALUE"""),"")</f>
        <v/>
      </c>
      <c r="AP55" s="1" t="str">
        <f>IFERROR(__xludf.DUMMYFUNCTION("""COMPUTED_VALUE"""),"")</f>
        <v/>
      </c>
      <c r="AQ55" s="1" t="str">
        <f>IFERROR(__xludf.DUMMYFUNCTION("""COMPUTED_VALUE"""),"04/15/2026")</f>
        <v>04/15/2026</v>
      </c>
      <c r="AR55" s="1" t="str">
        <f>IFERROR(__xludf.DUMMYFUNCTION("""COMPUTED_VALUE"""),"06/04/2026")</f>
        <v>06/04/2026</v>
      </c>
    </row>
    <row r="56">
      <c r="A56" s="1" t="str">
        <f>IFERROR(__xludf.DUMMYFUNCTION("""COMPUTED_VALUE"""),"Edwards AFB Data Center")</f>
        <v>Edwards AFB Data Center</v>
      </c>
      <c r="B56" s="1" t="str">
        <f>IFERROR(__xludf.DUMMYFUNCTION("""COMPUTED_VALUE"""),"")</f>
        <v/>
      </c>
      <c r="C56" s="1" t="str">
        <f>IFERROR(__xludf.DUMMYFUNCTION("""COMPUTED_VALUE"""),"Edwards")</f>
        <v>Edwards</v>
      </c>
      <c r="D56" s="1" t="str">
        <f>IFERROR(__xludf.DUMMYFUNCTION("""COMPUTED_VALUE"""),"CA")</f>
        <v>CA</v>
      </c>
      <c r="E56" s="1" t="str">
        <f>IFERROR(__xludf.DUMMYFUNCTION("""COMPUTED_VALUE"""),"93524")</f>
        <v>93524</v>
      </c>
      <c r="F56" s="1" t="str">
        <f>IFERROR(__xludf.DUMMYFUNCTION("""COMPUTED_VALUE"""),"Kern")</f>
        <v>Kern</v>
      </c>
      <c r="G56" s="1" t="str">
        <f>IFERROR(__xludf.DUMMYFUNCTION("""COMPUTED_VALUE"""),"34.912052")</f>
        <v>34.912052</v>
      </c>
      <c r="H56" s="1" t="str">
        <f>IFERROR(__xludf.DUMMYFUNCTION("""COMPUTED_VALUE"""),"-117.93109")</f>
        <v>-117.93109</v>
      </c>
      <c r="I56" s="1" t="str">
        <f>IFERROR(__xludf.DUMMYFUNCTION("""COMPUTED_VALUE"""),"Proposed")</f>
        <v>Proposed</v>
      </c>
      <c r="J56" s="1" t="str">
        <f>IFERROR(__xludf.DUMMYFUNCTION("""COMPUTED_VALUE"""),"Medium")</f>
        <v>Medium</v>
      </c>
      <c r="K56" s="1" t="str">
        <f>IFERROR(__xludf.DUMMYFUNCTION("""COMPUTED_VALUE"""),"")</f>
        <v/>
      </c>
      <c r="L56" s="1" t="str">
        <f>IFERROR(__xludf.DUMMYFUNCTION("""COMPUTED_VALUE"""),"")</f>
        <v/>
      </c>
      <c r="M56" s="1" t="str">
        <f>IFERROR(__xludf.DUMMYFUNCTION("""COMPUTED_VALUE"""),"")</f>
        <v/>
      </c>
      <c r="N56" s="1" t="str">
        <f>IFERROR(__xludf.DUMMYFUNCTION("""COMPUTED_VALUE"""),"")</f>
        <v/>
      </c>
      <c r="O56" s="1" t="str">
        <f>IFERROR(__xludf.DUMMYFUNCTION("""COMPUTED_VALUE"""),"Unknown")</f>
        <v>Unknown</v>
      </c>
      <c r="P56" s="1" t="str">
        <f>IFERROR(__xludf.DUMMYFUNCTION("""COMPUTED_VALUE"""),"")</f>
        <v/>
      </c>
      <c r="Q56" s="1" t="str">
        <f>IFERROR(__xludf.DUMMYFUNCTION("""COMPUTED_VALUE"""),"")</f>
        <v/>
      </c>
      <c r="R56" s="1" t="str">
        <f>IFERROR(__xludf.DUMMYFUNCTION("""COMPUTED_VALUE"""),"")</f>
        <v/>
      </c>
      <c r="S56" s="1" t="str">
        <f>IFERROR(__xludf.DUMMYFUNCTION("""COMPUTED_VALUE"""),"")</f>
        <v/>
      </c>
      <c r="T56" s="1" t="str">
        <f>IFERROR(__xludf.DUMMYFUNCTION("""COMPUTED_VALUE"""),"")</f>
        <v/>
      </c>
      <c r="U56" s="1" t="str">
        <f>IFERROR(__xludf.DUMMYFUNCTION("""COMPUTED_VALUE"""),"")</f>
        <v/>
      </c>
      <c r="V56" s="1" t="str">
        <f>IFERROR(__xludf.DUMMYFUNCTION("""COMPUTED_VALUE"""),"")</f>
        <v/>
      </c>
      <c r="W56" s="1" t="str">
        <f>IFERROR(__xludf.DUMMYFUNCTION("""COMPUTED_VALUE"""),"")</f>
        <v/>
      </c>
      <c r="X56" s="1" t="str">
        <f>IFERROR(__xludf.DUMMYFUNCTION("""COMPUTED_VALUE"""),"")</f>
        <v/>
      </c>
      <c r="Y56" s="1" t="str">
        <f>IFERROR(__xludf.DUMMYFUNCTION("""COMPUTED_VALUE"""),"")</f>
        <v/>
      </c>
      <c r="Z56" s="1" t="str">
        <f>IFERROR(__xludf.DUMMYFUNCTION("""COMPUTED_VALUE"""),"Unknown")</f>
        <v>Unknown</v>
      </c>
      <c r="AA56" s="1" t="str">
        <f>IFERROR(__xludf.DUMMYFUNCTION("""COMPUTED_VALUE"""),"")</f>
        <v/>
      </c>
      <c r="AB56" s="1" t="str">
        <f>IFERROR(__xludf.DUMMYFUNCTION("""COMPUTED_VALUE"""),"")</f>
        <v/>
      </c>
      <c r="AC56" s="1" t="str">
        <f>IFERROR(__xludf.DUMMYFUNCTION("""COMPUTED_VALUE"""),"")</f>
        <v/>
      </c>
      <c r="AD56" s="1" t="str">
        <f>IFERROR(__xludf.DUMMYFUNCTION("""COMPUTED_VALUE"""),"")</f>
        <v/>
      </c>
      <c r="AE56" s="1" t="str">
        <f>IFERROR(__xludf.DUMMYFUNCTION("""COMPUTED_VALUE"""),"")</f>
        <v/>
      </c>
      <c r="AF56" s="1" t="str">
        <f>IFERROR(__xludf.DUMMYFUNCTION("""COMPUTED_VALUE"""),"")</f>
        <v/>
      </c>
      <c r="AG56" s="1" t="str">
        <f>IFERROR(__xludf.DUMMYFUNCTION("""COMPUTED_VALUE"""),"")</f>
        <v/>
      </c>
      <c r="AH56" s="1" t="str">
        <f>IFERROR(__xludf.DUMMYFUNCTION("""COMPUTED_VALUE"""),"Media Monitoring")</f>
        <v>Media Monitoring</v>
      </c>
      <c r="AI56" s="2" t="str">
        <f>IFERROR(__xludf.DUMMYFUNCTION("""COMPUTED_VALUE"""),"https://www.datacenterdynamics.com/en/news/us-department-of-the-air-force-accepting-proposals-for-ai-data-centers-in-military-bases/")</f>
        <v>https://www.datacenterdynamics.com/en/news/us-department-of-the-air-force-accepting-proposals-for-ai-data-centers-in-military-bases/</v>
      </c>
      <c r="AJ56" s="1" t="str">
        <f>IFERROR(__xludf.DUMMYFUNCTION("""COMPUTED_VALUE"""),"")</f>
        <v/>
      </c>
      <c r="AK56" s="1" t="str">
        <f>IFERROR(__xludf.DUMMYFUNCTION("""COMPUTED_VALUE"""),"")</f>
        <v/>
      </c>
      <c r="AL56" s="1" t="str">
        <f>IFERROR(__xludf.DUMMYFUNCTION("""COMPUTED_VALUE"""),"")</f>
        <v/>
      </c>
      <c r="AM56" s="1" t="str">
        <f>IFERROR(__xludf.DUMMYFUNCTION("""COMPUTED_VALUE"""),"")</f>
        <v/>
      </c>
      <c r="AN56" s="1" t="str">
        <f>IFERROR(__xludf.DUMMYFUNCTION("""COMPUTED_VALUE"""),"")</f>
        <v/>
      </c>
      <c r="AO56" s="1" t="str">
        <f>IFERROR(__xludf.DUMMYFUNCTION("""COMPUTED_VALUE"""),"")</f>
        <v/>
      </c>
      <c r="AP56" s="1" t="str">
        <f>IFERROR(__xludf.DUMMYFUNCTION("""COMPUTED_VALUE"""),"")</f>
        <v/>
      </c>
      <c r="AQ56" s="1" t="str">
        <f>IFERROR(__xludf.DUMMYFUNCTION("""COMPUTED_VALUE"""),"10/21/2025")</f>
        <v>10/21/2025</v>
      </c>
      <c r="AR56" s="1" t="str">
        <f>IFERROR(__xludf.DUMMYFUNCTION("""COMPUTED_VALUE"""),"10/21/2025")</f>
        <v>10/21/2025</v>
      </c>
    </row>
    <row r="57">
      <c r="A57" s="1" t="str">
        <f>IFERROR(__xludf.DUMMYFUNCTION("""COMPUTED_VALUE"""),"Eight Form Data Center")</f>
        <v>Eight Form Data Center</v>
      </c>
      <c r="B57" s="1" t="str">
        <f>IFERROR(__xludf.DUMMYFUNCTION("""COMPUTED_VALUE"""),"750 N. Nash St")</f>
        <v>750 N. Nash St</v>
      </c>
      <c r="C57" s="1" t="str">
        <f>IFERROR(__xludf.DUMMYFUNCTION("""COMPUTED_VALUE"""),"El Segundo")</f>
        <v>El Segundo</v>
      </c>
      <c r="D57" s="1" t="str">
        <f>IFERROR(__xludf.DUMMYFUNCTION("""COMPUTED_VALUE"""),"CA")</f>
        <v>CA</v>
      </c>
      <c r="E57" s="1" t="str">
        <f>IFERROR(__xludf.DUMMYFUNCTION("""COMPUTED_VALUE"""),"90245")</f>
        <v>90245</v>
      </c>
      <c r="F57" s="1" t="str">
        <f>IFERROR(__xludf.DUMMYFUNCTION("""COMPUTED_VALUE"""),"Los Angeles")</f>
        <v>Los Angeles</v>
      </c>
      <c r="G57" s="1" t="str">
        <f>IFERROR(__xludf.DUMMYFUNCTION("""COMPUTED_VALUE"""),"33.92638")</f>
        <v>33.92638</v>
      </c>
      <c r="H57" s="1" t="str">
        <f>IFERROR(__xludf.DUMMYFUNCTION("""COMPUTED_VALUE"""),"-118.38692")</f>
        <v>-118.38692</v>
      </c>
      <c r="I57" s="1" t="str">
        <f>IFERROR(__xludf.DUMMYFUNCTION("""COMPUTED_VALUE"""),"Cancelled")</f>
        <v>Cancelled</v>
      </c>
      <c r="J57" s="1" t="str">
        <f>IFERROR(__xludf.DUMMYFUNCTION("""COMPUTED_VALUE"""),"")</f>
        <v/>
      </c>
      <c r="K57" s="1" t="str">
        <f>IFERROR(__xludf.DUMMYFUNCTION("""COMPUTED_VALUE"""),"")</f>
        <v/>
      </c>
      <c r="L57" s="1" t="str">
        <f>IFERROR(__xludf.DUMMYFUNCTION("""COMPUTED_VALUE"""),"")</f>
        <v/>
      </c>
      <c r="M57" s="1" t="str">
        <f>IFERROR(__xludf.DUMMYFUNCTION("""COMPUTED_VALUE"""),"")</f>
        <v/>
      </c>
      <c r="N57" s="1" t="str">
        <f>IFERROR(__xludf.DUMMYFUNCTION("""COMPUTED_VALUE"""),"50")</f>
        <v>50</v>
      </c>
      <c r="O57" s="1" t="str">
        <f>IFERROR(__xludf.DUMMYFUNCTION("""COMPUTED_VALUE"""),"Medium (11-50 MW)")</f>
        <v>Medium (11-50 MW)</v>
      </c>
      <c r="P57" s="1" t="str">
        <f>IFERROR(__xludf.DUMMYFUNCTION("""COMPUTED_VALUE"""),"Grid (unspecified mix)")</f>
        <v>Grid (unspecified mix)</v>
      </c>
      <c r="Q57" s="1" t="str">
        <f>IFERROR(__xludf.DUMMYFUNCTION("""COMPUTED_VALUE"""),"")</f>
        <v/>
      </c>
      <c r="R57" s="1" t="str">
        <f>IFERROR(__xludf.DUMMYFUNCTION("""COMPUTED_VALUE"""),"")</f>
        <v/>
      </c>
      <c r="S57" s="1" t="str">
        <f>IFERROR(__xludf.DUMMYFUNCTION("""COMPUTED_VALUE"""),"")</f>
        <v/>
      </c>
      <c r="T57" s="1" t="str">
        <f>IFERROR(__xludf.DUMMYFUNCTION("""COMPUTED_VALUE"""),"")</f>
        <v/>
      </c>
      <c r="U57" s="1" t="str">
        <f>IFERROR(__xludf.DUMMYFUNCTION("""COMPUTED_VALUE"""),"")</f>
        <v/>
      </c>
      <c r="V57" s="1" t="str">
        <f>IFERROR(__xludf.DUMMYFUNCTION("""COMPUTED_VALUE"""),"230,780")</f>
        <v>230,780</v>
      </c>
      <c r="W57" s="1" t="str">
        <f>IFERROR(__xludf.DUMMYFUNCTION("""COMPUTED_VALUE"""),"")</f>
        <v/>
      </c>
      <c r="X57" s="1" t="str">
        <f>IFERROR(__xludf.DUMMYFUNCTION("""COMPUTED_VALUE"""),"")</f>
        <v/>
      </c>
      <c r="Y57" s="1" t="str">
        <f>IFERROR(__xludf.DUMMYFUNCTION("""COMPUTED_VALUE"""),"")</f>
        <v/>
      </c>
      <c r="Z57" s="1" t="str">
        <f>IFERROR(__xludf.DUMMYFUNCTION("""COMPUTED_VALUE"""),"Yes")</f>
        <v>Yes</v>
      </c>
      <c r="AA57" s="1" t="str">
        <f>IFERROR(__xludf.DUMMYFUNCTION("""COMPUTED_VALUE"""),"")</f>
        <v/>
      </c>
      <c r="AB57" s="1" t="str">
        <f>IFERROR(__xludf.DUMMYFUNCTION("""COMPUTED_VALUE"""),"Organized Advocacy")</f>
        <v>Organized Advocacy</v>
      </c>
      <c r="AC57" s="1" t="str">
        <f>IFERROR(__xludf.DUMMYFUNCTION("""COMPUTED_VALUE"""),"")</f>
        <v/>
      </c>
      <c r="AD57" s="1" t="str">
        <f>IFERROR(__xludf.DUMMYFUNCTION("""COMPUTED_VALUE"""),"")</f>
        <v/>
      </c>
      <c r="AE57" s="1" t="str">
        <f>IFERROR(__xludf.DUMMYFUNCTION("""COMPUTED_VALUE"""),"")</f>
        <v/>
      </c>
      <c r="AF57" s="1" t="str">
        <f>IFERROR(__xludf.DUMMYFUNCTION("""COMPUTED_VALUE"""),"")</f>
        <v/>
      </c>
      <c r="AG57" s="1" t="str">
        <f>IFERROR(__xludf.DUMMYFUNCTION("""COMPUTED_VALUE"""),"")</f>
        <v/>
      </c>
      <c r="AH57" s="1" t="str">
        <f>IFERROR(__xludf.DUMMYFUNCTION("""COMPUTED_VALUE"""),"Media Monitoring")</f>
        <v>Media Monitoring</v>
      </c>
      <c r="AI57" s="2" t="str">
        <f>IFERROR(__xludf.DUMMYFUNCTION("""COMPUTED_VALUE"""),"https://www.datacenterdynamics.com/en/news/developer-withdraws-plan-to-replace-hotel-with-data-center-in-el-segundo-california/")</f>
        <v>https://www.datacenterdynamics.com/en/news/developer-withdraws-plan-to-replace-hotel-with-data-center-in-el-segundo-california/</v>
      </c>
      <c r="AJ57" s="1" t="str">
        <f>IFERROR(__xludf.DUMMYFUNCTION("""COMPUTED_VALUE"""),"")</f>
        <v/>
      </c>
      <c r="AK57" s="1" t="str">
        <f>IFERROR(__xludf.DUMMYFUNCTION("""COMPUTED_VALUE"""),"")</f>
        <v/>
      </c>
      <c r="AL57" s="1" t="str">
        <f>IFERROR(__xludf.DUMMYFUNCTION("""COMPUTED_VALUE"""),"")</f>
        <v/>
      </c>
      <c r="AM57" s="1" t="str">
        <f>IFERROR(__xludf.DUMMYFUNCTION("""COMPUTED_VALUE"""),"")</f>
        <v/>
      </c>
      <c r="AN57" s="1" t="str">
        <f>IFERROR(__xludf.DUMMYFUNCTION("""COMPUTED_VALUE"""),"")</f>
        <v/>
      </c>
      <c r="AO57" s="1" t="str">
        <f>IFERROR(__xludf.DUMMYFUNCTION("""COMPUTED_VALUE"""),"")</f>
        <v/>
      </c>
      <c r="AP57" s="1" t="str">
        <f>IFERROR(__xludf.DUMMYFUNCTION("""COMPUTED_VALUE"""),"")</f>
        <v/>
      </c>
      <c r="AQ57" s="1" t="str">
        <f>IFERROR(__xludf.DUMMYFUNCTION("""COMPUTED_VALUE"""),"07/16/2026")</f>
        <v>07/16/2026</v>
      </c>
      <c r="AR57" s="1" t="str">
        <f>IFERROR(__xludf.DUMMYFUNCTION("""COMPUTED_VALUE"""),"07/16/2026")</f>
        <v>07/16/2026</v>
      </c>
    </row>
    <row r="58">
      <c r="A58" s="1" t="str">
        <f>IFERROR(__xludf.DUMMYFUNCTION("""COMPUTED_VALUE"""),"AWS Gilroy")</f>
        <v>AWS Gilroy</v>
      </c>
      <c r="B58" s="1" t="str">
        <f>IFERROR(__xludf.DUMMYFUNCTION("""COMPUTED_VALUE"""),"8050 Camino Arroyo Dr")</f>
        <v>8050 Camino Arroyo Dr</v>
      </c>
      <c r="C58" s="1" t="str">
        <f>IFERROR(__xludf.DUMMYFUNCTION("""COMPUTED_VALUE"""),"Gilroy")</f>
        <v>Gilroy</v>
      </c>
      <c r="D58" s="1" t="str">
        <f>IFERROR(__xludf.DUMMYFUNCTION("""COMPUTED_VALUE"""),"CA")</f>
        <v>CA</v>
      </c>
      <c r="E58" s="1" t="str">
        <f>IFERROR(__xludf.DUMMYFUNCTION("""COMPUTED_VALUE"""),"95020")</f>
        <v>95020</v>
      </c>
      <c r="F58" s="1" t="str">
        <f>IFERROR(__xludf.DUMMYFUNCTION("""COMPUTED_VALUE"""),"Santa Clara")</f>
        <v>Santa Clara</v>
      </c>
      <c r="G58" s="1" t="str">
        <f>IFERROR(__xludf.DUMMYFUNCTION("""COMPUTED_VALUE"""),"37.018684")</f>
        <v>37.018684</v>
      </c>
      <c r="H58" s="1" t="str">
        <f>IFERROR(__xludf.DUMMYFUNCTION("""COMPUTED_VALUE"""),"-121.56053")</f>
        <v>-121.56053</v>
      </c>
      <c r="I58" s="1" t="str">
        <f>IFERROR(__xludf.DUMMYFUNCTION("""COMPUTED_VALUE"""),"Approved/Permitted/Under construction")</f>
        <v>Approved/Permitted/Under construction</v>
      </c>
      <c r="J58" s="1" t="str">
        <f>IFERROR(__xludf.DUMMYFUNCTION("""COMPUTED_VALUE"""),"High")</f>
        <v>High</v>
      </c>
      <c r="K58" s="1" t="str">
        <f>IFERROR(__xludf.DUMMYFUNCTION("""COMPUTED_VALUE"""),"cloud services")</f>
        <v>cloud services</v>
      </c>
      <c r="L58" s="1" t="str">
        <f>IFERROR(__xludf.DUMMYFUNCTION("""COMPUTED_VALUE"""),"Amazon")</f>
        <v>Amazon</v>
      </c>
      <c r="M58" s="1" t="str">
        <f>IFERROR(__xludf.DUMMYFUNCTION("""COMPUTED_VALUE"""),"")</f>
        <v/>
      </c>
      <c r="N58" s="1" t="str">
        <f>IFERROR(__xludf.DUMMYFUNCTION("""COMPUTED_VALUE"""),"49-98")</f>
        <v>49-98</v>
      </c>
      <c r="O58" s="1" t="str">
        <f>IFERROR(__xludf.DUMMYFUNCTION("""COMPUTED_VALUE"""),"Large (51-99 MW)")</f>
        <v>Large (51-99 MW)</v>
      </c>
      <c r="P58" s="1" t="str">
        <f>IFERROR(__xludf.DUMMYFUNCTION("""COMPUTED_VALUE"""),"Natural gas")</f>
        <v>Natural gas</v>
      </c>
      <c r="Q58" s="1" t="str">
        <f>IFERROR(__xludf.DUMMYFUNCTION("""COMPUTED_VALUE"""),"")</f>
        <v/>
      </c>
      <c r="R58" s="1" t="str">
        <f>IFERROR(__xludf.DUMMYFUNCTION("""COMPUTED_VALUE"""),"25 2.5MW emergency generators for redundancy purposes")</f>
        <v>25 2.5MW emergency generators for redundancy purposes</v>
      </c>
      <c r="S58" s="1" t="str">
        <f>IFERROR(__xludf.DUMMYFUNCTION("""COMPUTED_VALUE"""),"2")</f>
        <v>2</v>
      </c>
      <c r="T58" s="1" t="str">
        <f>IFERROR(__xludf.DUMMYFUNCTION("""COMPUTED_VALUE"""),"Hybrid air/water")</f>
        <v>Hybrid air/water</v>
      </c>
      <c r="U58" s="1" t="str">
        <f>IFERROR(__xludf.DUMMYFUNCTION("""COMPUTED_VALUE"""),"")</f>
        <v/>
      </c>
      <c r="V58" s="1" t="str">
        <f>IFERROR(__xludf.DUMMYFUNCTION("""COMPUTED_VALUE"""),"438,500")</f>
        <v>438,500</v>
      </c>
      <c r="W58" s="1" t="str">
        <f>IFERROR(__xludf.DUMMYFUNCTION("""COMPUTED_VALUE"""),"56")</f>
        <v>56</v>
      </c>
      <c r="X58" s="1" t="str">
        <f>IFERROR(__xludf.DUMMYFUNCTION("""COMPUTED_VALUE"""),"")</f>
        <v/>
      </c>
      <c r="Y58" s="1" t="str">
        <f>IFERROR(__xludf.DUMMYFUNCTION("""COMPUTED_VALUE"""),"2026")</f>
        <v>2026</v>
      </c>
      <c r="Z58" s="1" t="str">
        <f>IFERROR(__xludf.DUMMYFUNCTION("""COMPUTED_VALUE"""),"Yes")</f>
        <v>Yes</v>
      </c>
      <c r="AA58" s="1" t="str">
        <f>IFERROR(__xludf.DUMMYFUNCTION("""COMPUTED_VALUE"""),"Stop Gilroy Data Center group meets weekly, calls to approval of the data center to be rescinded")</f>
        <v>Stop Gilroy Data Center group meets weekly, calls to approval of the data center to be rescinded</v>
      </c>
      <c r="AB58" s="1" t="str">
        <f>IFERROR(__xludf.DUMMYFUNCTION("""COMPUTED_VALUE"""),"Organized Advocacy")</f>
        <v>Organized Advocacy</v>
      </c>
      <c r="AC58" s="1" t="str">
        <f>IFERROR(__xludf.DUMMYFUNCTION("""COMPUTED_VALUE"""),"")</f>
        <v/>
      </c>
      <c r="AD58" s="2" t="str">
        <f>IFERROR(__xludf.DUMMYFUNCTION("""COMPUTED_VALUE"""),"https://www.instagram.com/stopgilroydatacenternow/?hl=en")</f>
        <v>https://www.instagram.com/stopgilroydatacenternow/?hl=en</v>
      </c>
      <c r="AE58" s="2" t="str">
        <f>IFERROR(__xludf.DUMMYFUNCTION("""COMPUTED_VALUE"""),"https://www.facebook.com/profile.php?id=61585975718358")</f>
        <v>https://www.facebook.com/profile.php?id=61585975718358</v>
      </c>
      <c r="AF58" s="2" t="str">
        <f>IFERROR(__xludf.DUMMYFUNCTION("""COMPUTED_VALUE"""),"https://www.change.org/p/banning-regulating-data-centers-in-gilroy?recruiter=938425783&amp;recruited_by_id=33993410-37fe-11e9-999d-091836f5a8c4&amp;utm_source=share_petition&amp;utm_campaign=petition_dashboard&amp;utm_medium=copylink&amp;share_id=RTdL9LSmrc")</f>
        <v>https://www.change.org/p/banning-regulating-data-centers-in-gilroy?recruiter=938425783&amp;recruited_by_id=33993410-37fe-11e9-999d-091836f5a8c4&amp;utm_source=share_petition&amp;utm_campaign=petition_dashboard&amp;utm_medium=copylink&amp;share_id=RTdL9LSmrc</v>
      </c>
      <c r="AG58" s="1" t="str">
        <f>IFERROR(__xludf.DUMMYFUNCTION("""COMPUTED_VALUE"""),"Two phases of construction planned, the first of which will require a power connection of 49MW from Pacific Gas and Electric and will include a dedicated sub-station and BESS on the site with up to 50MW of storage capacity. Approval was granted by Gilroy "&amp;"community development director on July 3, 2025 and grading permit and underground utilities permit issued on December 11, 2025")</f>
        <v>Two phases of construction planned, the first of which will require a power connection of 49MW from Pacific Gas and Electric and will include a dedicated sub-station and BESS on the site with up to 50MW of storage capacity. Approval was granted by Gilroy community development director on July 3, 2025 and grading permit and underground utilities permit issued on December 11, 2025</v>
      </c>
      <c r="AH58" s="1" t="str">
        <f>IFERROR(__xludf.DUMMYFUNCTION("""COMPUTED_VALUE"""),"Media Monitoring")</f>
        <v>Media Monitoring</v>
      </c>
      <c r="AI58" s="2" t="str">
        <f>IFERROR(__xludf.DUMMYFUNCTION("""COMPUTED_VALUE"""),"https://www.datacenterdynamics.com/en/news/amazon-data-services-gains-approval-for-data-center-on-56-acres-in-gilroy-california/")</f>
        <v>https://www.datacenterdynamics.com/en/news/amazon-data-services-gains-approval-for-data-center-on-56-acres-in-gilroy-california/</v>
      </c>
      <c r="AJ58" s="2" t="str">
        <f>IFERROR(__xludf.DUMMYFUNCTION("""COMPUTED_VALUE"""),"https://www.cityofgilroy.org/1019/15010/Gilroy-Data-Center-by-AWS")</f>
        <v>https://www.cityofgilroy.org/1019/15010/Gilroy-Data-Center-by-AWS</v>
      </c>
      <c r="AK58" s="2" t="str">
        <f>IFERROR(__xludf.DUMMYFUNCTION("""COMPUTED_VALUE"""),"https://www.kron4.com/news/technology-ai/gilroy-community-fights-against-amazon-from-constructing-data-center/")</f>
        <v>https://www.kron4.com/news/technology-ai/gilroy-community-fights-against-amazon-from-constructing-data-center/</v>
      </c>
      <c r="AL58" s="1" t="str">
        <f>IFERROR(__xludf.DUMMYFUNCTION("""COMPUTED_VALUE"""),"")</f>
        <v/>
      </c>
      <c r="AM58" s="1" t="str">
        <f>IFERROR(__xludf.DUMMYFUNCTION("""COMPUTED_VALUE"""),"")</f>
        <v/>
      </c>
      <c r="AN58" s="1" t="str">
        <f>IFERROR(__xludf.DUMMYFUNCTION("""COMPUTED_VALUE"""),"")</f>
        <v/>
      </c>
      <c r="AO58" s="1" t="str">
        <f>IFERROR(__xludf.DUMMYFUNCTION("""COMPUTED_VALUE"""),"")</f>
        <v/>
      </c>
      <c r="AP58" s="1" t="str">
        <f>IFERROR(__xludf.DUMMYFUNCTION("""COMPUTED_VALUE"""),"")</f>
        <v/>
      </c>
      <c r="AQ58" s="1" t="str">
        <f>IFERROR(__xludf.DUMMYFUNCTION("""COMPUTED_VALUE"""),"11/28/2025")</f>
        <v>11/28/2025</v>
      </c>
      <c r="AR58" s="1" t="str">
        <f>IFERROR(__xludf.DUMMYFUNCTION("""COMPUTED_VALUE"""),"03/14/2026")</f>
        <v>03/14/2026</v>
      </c>
    </row>
    <row r="59">
      <c r="A59" s="1" t="str">
        <f>IFERROR(__xludf.DUMMYFUNCTION("""COMPUTED_VALUE"""),"Imperial Data Center Project")</f>
        <v>Imperial Data Center Project</v>
      </c>
      <c r="B59" s="1" t="str">
        <f>IFERROR(__xludf.DUMMYFUNCTION("""COMPUTED_VALUE"""),"N. 8th St and Clark Rd")</f>
        <v>N. 8th St and Clark Rd</v>
      </c>
      <c r="C59" s="1" t="str">
        <f>IFERROR(__xludf.DUMMYFUNCTION("""COMPUTED_VALUE"""),"Imperial")</f>
        <v>Imperial</v>
      </c>
      <c r="D59" s="1" t="str">
        <f>IFERROR(__xludf.DUMMYFUNCTION("""COMPUTED_VALUE"""),"CA")</f>
        <v>CA</v>
      </c>
      <c r="E59" s="1" t="str">
        <f>IFERROR(__xludf.DUMMYFUNCTION("""COMPUTED_VALUE"""),"92243")</f>
        <v>92243</v>
      </c>
      <c r="F59" s="1" t="str">
        <f>IFERROR(__xludf.DUMMYFUNCTION("""COMPUTED_VALUE"""),"Imperial")</f>
        <v>Imperial</v>
      </c>
      <c r="G59" s="1" t="str">
        <f>IFERROR(__xludf.DUMMYFUNCTION("""COMPUTED_VALUE"""),"32.81923")</f>
        <v>32.81923</v>
      </c>
      <c r="H59" s="1" t="str">
        <f>IFERROR(__xludf.DUMMYFUNCTION("""COMPUTED_VALUE"""),"-115.56083")</f>
        <v>-115.56083</v>
      </c>
      <c r="I59" s="1" t="str">
        <f>IFERROR(__xludf.DUMMYFUNCTION("""COMPUTED_VALUE"""),"Approved/Permitted/Under construction")</f>
        <v>Approved/Permitted/Under construction</v>
      </c>
      <c r="J59" s="1" t="str">
        <f>IFERROR(__xludf.DUMMYFUNCTION("""COMPUTED_VALUE"""),"High")</f>
        <v>High</v>
      </c>
      <c r="K59" s="1" t="str">
        <f>IFERROR(__xludf.DUMMYFUNCTION("""COMPUTED_VALUE"""),"AI")</f>
        <v>AI</v>
      </c>
      <c r="L59" s="1" t="str">
        <f>IFERROR(__xludf.DUMMYFUNCTION("""COMPUTED_VALUE"""),"Imperial Valley Computer Manufacturing, LLC/ Google (unconfirmed)")</f>
        <v>Imperial Valley Computer Manufacturing, LLC/ Google (unconfirmed)</v>
      </c>
      <c r="M59" s="1" t="str">
        <f>IFERROR(__xludf.DUMMYFUNCTION("""COMPUTED_VALUE"""),"")</f>
        <v/>
      </c>
      <c r="N59" s="1" t="str">
        <f>IFERROR(__xludf.DUMMYFUNCTION("""COMPUTED_VALUE"""),"330")</f>
        <v>330</v>
      </c>
      <c r="O59" s="1" t="str">
        <f>IFERROR(__xludf.DUMMYFUNCTION("""COMPUTED_VALUE"""),"Hyperscale (100-999 MW)")</f>
        <v>Hyperscale (100-999 MW)</v>
      </c>
      <c r="P59" s="1" t="str">
        <f>IFERROR(__xludf.DUMMYFUNCTION("""COMPUTED_VALUE"""),"")</f>
        <v/>
      </c>
      <c r="Q59" s="1" t="str">
        <f>IFERROR(__xludf.DUMMYFUNCTION("""COMPUTED_VALUE"""),"")</f>
        <v/>
      </c>
      <c r="R59" s="1" t="str">
        <f>IFERROR(__xludf.DUMMYFUNCTION("""COMPUTED_VALUE"""),"100 natural gas-powered backup emergency generators connected to Southern California Gas Company’s high-pressure gas line")</f>
        <v>100 natural gas-powered backup emergency generators connected to Southern California Gas Company’s high-pressure gas line</v>
      </c>
      <c r="S59" s="1" t="str">
        <f>IFERROR(__xludf.DUMMYFUNCTION("""COMPUTED_VALUE"""),"1")</f>
        <v>1</v>
      </c>
      <c r="T59" s="1" t="str">
        <f>IFERROR(__xludf.DUMMYFUNCTION("""COMPUTED_VALUE"""),"")</f>
        <v/>
      </c>
      <c r="U59" s="1" t="str">
        <f>IFERROR(__xludf.DUMMYFUNCTION("""COMPUTED_VALUE"""),"")</f>
        <v/>
      </c>
      <c r="V59" s="1" t="str">
        <f>IFERROR(__xludf.DUMMYFUNCTION("""COMPUTED_VALUE"""),"950,000")</f>
        <v>950,000</v>
      </c>
      <c r="W59" s="1" t="str">
        <f>IFERROR(__xludf.DUMMYFUNCTION("""COMPUTED_VALUE"""),"74")</f>
        <v>74</v>
      </c>
      <c r="X59" s="1" t="str">
        <f>IFERROR(__xludf.DUMMYFUNCTION("""COMPUTED_VALUE"""),"$10 billion")</f>
        <v>$10 billion</v>
      </c>
      <c r="Y59" s="1" t="str">
        <f>IFERROR(__xludf.DUMMYFUNCTION("""COMPUTED_VALUE"""),"2027")</f>
        <v>2027</v>
      </c>
      <c r="Z59" s="1" t="str">
        <f>IFERROR(__xludf.DUMMYFUNCTION("""COMPUTED_VALUE"""),"Yes")</f>
        <v>Yes</v>
      </c>
      <c r="AA59" s="1" t="str">
        <f>IFERROR(__xludf.DUMMYFUNCTION("""COMPUTED_VALUE"""),"Not In My Back Yard Imperial organized a protest in January 2026. The City of Imperial has filed a lawsuit against the county (permitting authority for the data center), saying the project is not in compliance with the California Environmental Act. The co"&amp;"unty has set up a comment page for the project: https://imperialcounty.org/dc-comments/")</f>
        <v>Not In My Back Yard Imperial organized a protest in January 2026. The City of Imperial has filed a lawsuit against the county (permitting authority for the data center), saying the project is not in compliance with the California Environmental Act. The county has set up a comment page for the project: https://imperialcounty.org/dc-comments/</v>
      </c>
      <c r="AB59" s="1" t="str">
        <f>IFERROR(__xludf.DUMMYFUNCTION("""COMPUTED_VALUE"""),"Organized Advocacy")</f>
        <v>Organized Advocacy</v>
      </c>
      <c r="AC59" s="1" t="str">
        <f>IFERROR(__xludf.DUMMYFUNCTION("""COMPUTED_VALUE"""),"")</f>
        <v/>
      </c>
      <c r="AD59" s="2" t="str">
        <f>IFERROR(__xludf.DUMMYFUNCTION("""COMPUTED_VALUE"""),"https://www.facebook.com/profile.php?id=61585227101244")</f>
        <v>https://www.facebook.com/profile.php?id=61585227101244</v>
      </c>
      <c r="AE59" s="1" t="str">
        <f>IFERROR(__xludf.DUMMYFUNCTION("""COMPUTED_VALUE"""),"")</f>
        <v/>
      </c>
      <c r="AF59" s="2" t="str">
        <f>IFERROR(__xludf.DUMMYFUNCTION("""COMPUTED_VALUE"""),"https://www.change.org/p/stop-the-construction-of-the-data-center-at-aten-rd-and-clark-rd")</f>
        <v>https://www.change.org/p/stop-the-construction-of-the-data-center-at-aten-rd-and-clark-rd</v>
      </c>
      <c r="AG59" s="1" t="str">
        <f>IFERROR(__xludf.DUMMYFUNCTION("""COMPUTED_VALUE"""),"Includes emergency backup generator building (330MW), on-site substation, and Battery Energy Storage System (BESS, 862MWh) ")</f>
        <v>Includes emergency backup generator building (330MW), on-site substation, and Battery Energy Storage System (BESS, 862MWh) </v>
      </c>
      <c r="AH59" s="1" t="str">
        <f>IFERROR(__xludf.DUMMYFUNCTION("""COMPUTED_VALUE"""),"Media Monitoring")</f>
        <v>Media Monitoring</v>
      </c>
      <c r="AI59" s="2" t="str">
        <f>IFERROR(__xludf.DUMMYFUNCTION("""COMPUTED_VALUE"""),"https://www.datacenterdynamics.com/en/news/330mw-google-linked-data-center-proposed-in-southern-california/")</f>
        <v>https://www.datacenterdynamics.com/en/news/330mw-google-linked-data-center-proposed-in-southern-california/</v>
      </c>
      <c r="AJ59" s="2" t="str">
        <f>IFERROR(__xludf.DUMMYFUNCTION("""COMPUTED_VALUE"""),"https://www.imperialdatacenter.com/")</f>
        <v>https://www.imperialdatacenter.com/</v>
      </c>
      <c r="AK59" s="2" t="str">
        <f>IFERROR(__xludf.DUMMYFUNCTION("""COMPUTED_VALUE"""),"https://www.kpbs.org/news/environment/2026/01/21/the-plan-to-build-a-massive-data-center-in-imperial-county-without-environmental-review")</f>
        <v>https://www.kpbs.org/news/environment/2026/01/21/the-plan-to-build-a-massive-data-center-in-imperial-county-without-environmental-review</v>
      </c>
      <c r="AL59" s="2" t="str">
        <f>IFERROR(__xludf.DUMMYFUNCTION("""COMPUTED_VALUE"""),"https://www.kpbs.org/news/environment/2026/04/07/imperial-county-supervisors-clear-path-for-massive-data-center-complex-amid-fierce-opposition?utm_source=substack&amp;utm_medium=email")</f>
        <v>https://www.kpbs.org/news/environment/2026/04/07/imperial-county-supervisors-clear-path-for-massive-data-center-complex-amid-fierce-opposition?utm_source=substack&amp;utm_medium=email</v>
      </c>
      <c r="AM59" s="1" t="str">
        <f>IFERROR(__xludf.DUMMYFUNCTION("""COMPUTED_VALUE"""),"")</f>
        <v/>
      </c>
      <c r="AN59" s="1" t="str">
        <f>IFERROR(__xludf.DUMMYFUNCTION("""COMPUTED_VALUE"""),"")</f>
        <v/>
      </c>
      <c r="AO59" s="1" t="str">
        <f>IFERROR(__xludf.DUMMYFUNCTION("""COMPUTED_VALUE"""),"")</f>
        <v/>
      </c>
      <c r="AP59" s="1" t="str">
        <f>IFERROR(__xludf.DUMMYFUNCTION("""COMPUTED_VALUE"""),"")</f>
        <v/>
      </c>
      <c r="AQ59" s="1" t="str">
        <f>IFERROR(__xludf.DUMMYFUNCTION("""COMPUTED_VALUE"""),"01/13/2026")</f>
        <v>01/13/2026</v>
      </c>
      <c r="AR59" s="1" t="str">
        <f>IFERROR(__xludf.DUMMYFUNCTION("""COMPUTED_VALUE"""),"04/12/2026")</f>
        <v>04/12/2026</v>
      </c>
    </row>
    <row r="60">
      <c r="A60" s="1" t="str">
        <f>IFERROR(__xludf.DUMMYFUNCTION("""COMPUTED_VALUE"""),"Inyokern Data Center")</f>
        <v>Inyokern Data Center</v>
      </c>
      <c r="B60" s="1" t="str">
        <f>IFERROR(__xludf.DUMMYFUNCTION("""COMPUTED_VALUE"""),"Hwy 395 and Hwy 178")</f>
        <v>Hwy 395 and Hwy 178</v>
      </c>
      <c r="C60" s="1" t="str">
        <f>IFERROR(__xludf.DUMMYFUNCTION("""COMPUTED_VALUE"""),"Inyokern")</f>
        <v>Inyokern</v>
      </c>
      <c r="D60" s="1" t="str">
        <f>IFERROR(__xludf.DUMMYFUNCTION("""COMPUTED_VALUE"""),"CA")</f>
        <v>CA</v>
      </c>
      <c r="E60" s="1" t="str">
        <f>IFERROR(__xludf.DUMMYFUNCTION("""COMPUTED_VALUE"""),"93527")</f>
        <v>93527</v>
      </c>
      <c r="F60" s="1" t="str">
        <f>IFERROR(__xludf.DUMMYFUNCTION("""COMPUTED_VALUE"""),"Kern")</f>
        <v>Kern</v>
      </c>
      <c r="G60" s="1" t="str">
        <f>IFERROR(__xludf.DUMMYFUNCTION("""COMPUTED_VALUE"""),"35.651802")</f>
        <v>35.651802</v>
      </c>
      <c r="H60" s="1" t="str">
        <f>IFERROR(__xludf.DUMMYFUNCTION("""COMPUTED_VALUE"""),"-117.8052")</f>
        <v>-117.8052</v>
      </c>
      <c r="I60" s="1" t="str">
        <f>IFERROR(__xludf.DUMMYFUNCTION("""COMPUTED_VALUE"""),"Proposed")</f>
        <v>Proposed</v>
      </c>
      <c r="J60" s="1" t="str">
        <f>IFERROR(__xludf.DUMMYFUNCTION("""COMPUTED_VALUE"""),"Medium")</f>
        <v>Medium</v>
      </c>
      <c r="K60" s="1" t="str">
        <f>IFERROR(__xludf.DUMMYFUNCTION("""COMPUTED_VALUE"""),"")</f>
        <v/>
      </c>
      <c r="L60" s="1" t="str">
        <f>IFERROR(__xludf.DUMMYFUNCTION("""COMPUTED_VALUE"""),"")</f>
        <v/>
      </c>
      <c r="M60" s="1" t="str">
        <f>IFERROR(__xludf.DUMMYFUNCTION("""COMPUTED_VALUE"""),"")</f>
        <v/>
      </c>
      <c r="N60" s="1" t="str">
        <f>IFERROR(__xludf.DUMMYFUNCTION("""COMPUTED_VALUE"""),"99")</f>
        <v>99</v>
      </c>
      <c r="O60" s="1" t="str">
        <f>IFERROR(__xludf.DUMMYFUNCTION("""COMPUTED_VALUE"""),"Large (51-99 MW)")</f>
        <v>Large (51-99 MW)</v>
      </c>
      <c r="P60" s="1" t="str">
        <f>IFERROR(__xludf.DUMMYFUNCTION("""COMPUTED_VALUE"""),"")</f>
        <v/>
      </c>
      <c r="Q60" s="1" t="str">
        <f>IFERROR(__xludf.DUMMYFUNCTION("""COMPUTED_VALUE"""),"")</f>
        <v/>
      </c>
      <c r="R60" s="1" t="str">
        <f>IFERROR(__xludf.DUMMYFUNCTION("""COMPUTED_VALUE"""),"")</f>
        <v/>
      </c>
      <c r="S60" s="1" t="str">
        <f>IFERROR(__xludf.DUMMYFUNCTION("""COMPUTED_VALUE"""),"")</f>
        <v/>
      </c>
      <c r="T60" s="1" t="str">
        <f>IFERROR(__xludf.DUMMYFUNCTION("""COMPUTED_VALUE"""),"Hybrid air/water")</f>
        <v>Hybrid air/water</v>
      </c>
      <c r="U60" s="1" t="str">
        <f>IFERROR(__xludf.DUMMYFUNCTION("""COMPUTED_VALUE"""),"")</f>
        <v/>
      </c>
      <c r="V60" s="1" t="str">
        <f>IFERROR(__xludf.DUMMYFUNCTION("""COMPUTED_VALUE"""),"238,000")</f>
        <v>238,000</v>
      </c>
      <c r="W60" s="1" t="str">
        <f>IFERROR(__xludf.DUMMYFUNCTION("""COMPUTED_VALUE"""),"50")</f>
        <v>50</v>
      </c>
      <c r="X60" s="1" t="str">
        <f>IFERROR(__xludf.DUMMYFUNCTION("""COMPUTED_VALUE"""),"")</f>
        <v/>
      </c>
      <c r="Y60" s="1" t="str">
        <f>IFERROR(__xludf.DUMMYFUNCTION("""COMPUTED_VALUE"""),"2028")</f>
        <v>2028</v>
      </c>
      <c r="Z60" s="1" t="str">
        <f>IFERROR(__xludf.DUMMYFUNCTION("""COMPUTED_VALUE"""),"Yes")</f>
        <v>Yes</v>
      </c>
      <c r="AA60" s="1" t="str">
        <f>IFERROR(__xludf.DUMMYFUNCTION("""COMPUTED_VALUE"""),"")</f>
        <v/>
      </c>
      <c r="AB60" s="1" t="str">
        <f>IFERROR(__xludf.DUMMYFUNCTION("""COMPUTED_VALUE"""),"Organized Advocacy")</f>
        <v>Organized Advocacy</v>
      </c>
      <c r="AC60" s="1" t="str">
        <f>IFERROR(__xludf.DUMMYFUNCTION("""COMPUTED_VALUE"""),"")</f>
        <v/>
      </c>
      <c r="AD60" s="1" t="str">
        <f>IFERROR(__xludf.DUMMYFUNCTION("""COMPUTED_VALUE"""),"")</f>
        <v/>
      </c>
      <c r="AE60" s="1" t="str">
        <f>IFERROR(__xludf.DUMMYFUNCTION("""COMPUTED_VALUE"""),"")</f>
        <v/>
      </c>
      <c r="AF60" s="2" t="str">
        <f>IFERROR(__xludf.DUMMYFUNCTION("""COMPUTED_VALUE"""),"https://www.change.org/p/sign-the-petition-to-stop-the-rb-inyokern-data-center")</f>
        <v>https://www.change.org/p/sign-the-petition-to-stop-the-rb-inyokern-data-center</v>
      </c>
      <c r="AG60" s="1" t="str">
        <f>IFERROR(__xludf.DUMMYFUNCTION("""COMPUTED_VALUE"""),"Project includes on-site substation")</f>
        <v>Project includes on-site substation</v>
      </c>
      <c r="AH60" s="1" t="str">
        <f>IFERROR(__xludf.DUMMYFUNCTION("""COMPUTED_VALUE"""),"Media Monitoring")</f>
        <v>Media Monitoring</v>
      </c>
      <c r="AI60" s="2" t="str">
        <f>IFERROR(__xludf.DUMMYFUNCTION("""COMPUTED_VALUE"""),"https://www.datacenterdynamics.com/en/news/99mw-data-center-proposed-in-kern-county-california/")</f>
        <v>https://www.datacenterdynamics.com/en/news/99mw-data-center-proposed-in-kern-county-california/</v>
      </c>
      <c r="AJ60" s="1" t="str">
        <f>IFERROR(__xludf.DUMMYFUNCTION("""COMPUTED_VALUE"""),"")</f>
        <v/>
      </c>
      <c r="AK60" s="1" t="str">
        <f>IFERROR(__xludf.DUMMYFUNCTION("""COMPUTED_VALUE"""),"")</f>
        <v/>
      </c>
      <c r="AL60" s="1" t="str">
        <f>IFERROR(__xludf.DUMMYFUNCTION("""COMPUTED_VALUE"""),"")</f>
        <v/>
      </c>
      <c r="AM60" s="1" t="str">
        <f>IFERROR(__xludf.DUMMYFUNCTION("""COMPUTED_VALUE"""),"")</f>
        <v/>
      </c>
      <c r="AN60" s="1" t="str">
        <f>IFERROR(__xludf.DUMMYFUNCTION("""COMPUTED_VALUE"""),"")</f>
        <v/>
      </c>
      <c r="AO60" s="1" t="str">
        <f>IFERROR(__xludf.DUMMYFUNCTION("""COMPUTED_VALUE"""),"")</f>
        <v/>
      </c>
      <c r="AP60" s="1" t="str">
        <f>IFERROR(__xludf.DUMMYFUNCTION("""COMPUTED_VALUE"""),"")</f>
        <v/>
      </c>
      <c r="AQ60" s="1" t="str">
        <f>IFERROR(__xludf.DUMMYFUNCTION("""COMPUTED_VALUE"""),"07/06/2026")</f>
        <v>07/06/2026</v>
      </c>
      <c r="AR60" s="1" t="str">
        <f>IFERROR(__xludf.DUMMYFUNCTION("""COMPUTED_VALUE"""),"07/06/2026")</f>
        <v>07/06/2026</v>
      </c>
    </row>
    <row r="61">
      <c r="A61" s="1" t="str">
        <f>IFERROR(__xludf.DUMMYFUNCTION("""COMPUTED_VALUE"""),"Buena Vista Biomass Power site Data Center")</f>
        <v>Buena Vista Biomass Power site Data Center</v>
      </c>
      <c r="B61" s="1" t="str">
        <f>IFERROR(__xludf.DUMMYFUNCTION("""COMPUTED_VALUE"""),"4655 Coal Mine Rd")</f>
        <v>4655 Coal Mine Rd</v>
      </c>
      <c r="C61" s="1" t="str">
        <f>IFERROR(__xludf.DUMMYFUNCTION("""COMPUTED_VALUE"""),"Ione")</f>
        <v>Ione</v>
      </c>
      <c r="D61" s="1" t="str">
        <f>IFERROR(__xludf.DUMMYFUNCTION("""COMPUTED_VALUE"""),"CA")</f>
        <v>CA</v>
      </c>
      <c r="E61" s="1" t="str">
        <f>IFERROR(__xludf.DUMMYFUNCTION("""COMPUTED_VALUE"""),"95640")</f>
        <v>95640</v>
      </c>
      <c r="F61" s="1" t="str">
        <f>IFERROR(__xludf.DUMMYFUNCTION("""COMPUTED_VALUE"""),"Amador")</f>
        <v>Amador</v>
      </c>
      <c r="G61" s="1" t="str">
        <f>IFERROR(__xludf.DUMMYFUNCTION("""COMPUTED_VALUE"""),"38.277733")</f>
        <v>38.277733</v>
      </c>
      <c r="H61" s="1" t="str">
        <f>IFERROR(__xludf.DUMMYFUNCTION("""COMPUTED_VALUE"""),"-120.91554")</f>
        <v>-120.91554</v>
      </c>
      <c r="I61" s="1" t="str">
        <f>IFERROR(__xludf.DUMMYFUNCTION("""COMPUTED_VALUE"""),"Proposed")</f>
        <v>Proposed</v>
      </c>
      <c r="J61" s="1" t="str">
        <f>IFERROR(__xludf.DUMMYFUNCTION("""COMPUTED_VALUE"""),"High")</f>
        <v>High</v>
      </c>
      <c r="K61" s="1" t="str">
        <f>IFERROR(__xludf.DUMMYFUNCTION("""COMPUTED_VALUE"""),"AI")</f>
        <v>AI</v>
      </c>
      <c r="L61" s="1" t="str">
        <f>IFERROR(__xludf.DUMMYFUNCTION("""COMPUTED_VALUE"""),"")</f>
        <v/>
      </c>
      <c r="M61" s="1" t="str">
        <f>IFERROR(__xludf.DUMMYFUNCTION("""COMPUTED_VALUE"""),"")</f>
        <v/>
      </c>
      <c r="N61" s="1" t="str">
        <f>IFERROR(__xludf.DUMMYFUNCTION("""COMPUTED_VALUE"""),"41")</f>
        <v>41</v>
      </c>
      <c r="O61" s="1" t="str">
        <f>IFERROR(__xludf.DUMMYFUNCTION("""COMPUTED_VALUE"""),"Medium (11-50 MW)")</f>
        <v>Medium (11-50 MW)</v>
      </c>
      <c r="P61" s="1" t="str">
        <f>IFERROR(__xludf.DUMMYFUNCTION("""COMPUTED_VALUE"""),"Biomass")</f>
        <v>Biomass</v>
      </c>
      <c r="Q61" s="1" t="str">
        <f>IFERROR(__xludf.DUMMYFUNCTION("""COMPUTED_VALUE"""),"")</f>
        <v/>
      </c>
      <c r="R61" s="1" t="str">
        <f>IFERROR(__xludf.DUMMYFUNCTION("""COMPUTED_VALUE"""),"")</f>
        <v/>
      </c>
      <c r="S61" s="1" t="str">
        <f>IFERROR(__xludf.DUMMYFUNCTION("""COMPUTED_VALUE"""),"")</f>
        <v/>
      </c>
      <c r="T61" s="1" t="str">
        <f>IFERROR(__xludf.DUMMYFUNCTION("""COMPUTED_VALUE"""),"")</f>
        <v/>
      </c>
      <c r="U61" s="1" t="str">
        <f>IFERROR(__xludf.DUMMYFUNCTION("""COMPUTED_VALUE"""),"")</f>
        <v/>
      </c>
      <c r="V61" s="1" t="str">
        <f>IFERROR(__xludf.DUMMYFUNCTION("""COMPUTED_VALUE"""),"")</f>
        <v/>
      </c>
      <c r="W61" s="1" t="str">
        <f>IFERROR(__xludf.DUMMYFUNCTION("""COMPUTED_VALUE"""),"")</f>
        <v/>
      </c>
      <c r="X61" s="1" t="str">
        <f>IFERROR(__xludf.DUMMYFUNCTION("""COMPUTED_VALUE"""),"")</f>
        <v/>
      </c>
      <c r="Y61" s="1" t="str">
        <f>IFERROR(__xludf.DUMMYFUNCTION("""COMPUTED_VALUE"""),"")</f>
        <v/>
      </c>
      <c r="Z61" s="1" t="str">
        <f>IFERROR(__xludf.DUMMYFUNCTION("""COMPUTED_VALUE"""),"Unknown")</f>
        <v>Unknown</v>
      </c>
      <c r="AA61" s="1" t="str">
        <f>IFERROR(__xludf.DUMMYFUNCTION("""COMPUTED_VALUE"""),"")</f>
        <v/>
      </c>
      <c r="AB61" s="1" t="str">
        <f>IFERROR(__xludf.DUMMYFUNCTION("""COMPUTED_VALUE"""),"")</f>
        <v/>
      </c>
      <c r="AC61" s="1" t="str">
        <f>IFERROR(__xludf.DUMMYFUNCTION("""COMPUTED_VALUE"""),"")</f>
        <v/>
      </c>
      <c r="AD61" s="1" t="str">
        <f>IFERROR(__xludf.DUMMYFUNCTION("""COMPUTED_VALUE"""),"")</f>
        <v/>
      </c>
      <c r="AE61" s="1" t="str">
        <f>IFERROR(__xludf.DUMMYFUNCTION("""COMPUTED_VALUE"""),"")</f>
        <v/>
      </c>
      <c r="AF61" s="1" t="str">
        <f>IFERROR(__xludf.DUMMYFUNCTION("""COMPUTED_VALUE"""),"")</f>
        <v/>
      </c>
      <c r="AG61" s="1" t="str">
        <f>IFERROR(__xludf.DUMMYFUNCTION("""COMPUTED_VALUE"""),"Behind-the-meter")</f>
        <v>Behind-the-meter</v>
      </c>
      <c r="AH61" s="1" t="str">
        <f>IFERROR(__xludf.DUMMYFUNCTION("""COMPUTED_VALUE"""),"Media Monitoring")</f>
        <v>Media Monitoring</v>
      </c>
      <c r="AI61" s="2" t="str">
        <f>IFERROR(__xludf.DUMMYFUNCTION("""COMPUTED_VALUE"""),"https://www.datacenterdynamics.com/en/news/newyork-greencloud-acquires-californian-biomass-facility-for-carbon-negative-ai-data-center/")</f>
        <v>https://www.datacenterdynamics.com/en/news/newyork-greencloud-acquires-californian-biomass-facility-for-carbon-negative-ai-data-center/</v>
      </c>
      <c r="AJ61" s="1" t="str">
        <f>IFERROR(__xludf.DUMMYFUNCTION("""COMPUTED_VALUE"""),"")</f>
        <v/>
      </c>
      <c r="AK61" s="1" t="str">
        <f>IFERROR(__xludf.DUMMYFUNCTION("""COMPUTED_VALUE"""),"")</f>
        <v/>
      </c>
      <c r="AL61" s="1" t="str">
        <f>IFERROR(__xludf.DUMMYFUNCTION("""COMPUTED_VALUE"""),"")</f>
        <v/>
      </c>
      <c r="AM61" s="1" t="str">
        <f>IFERROR(__xludf.DUMMYFUNCTION("""COMPUTED_VALUE"""),"")</f>
        <v/>
      </c>
      <c r="AN61" s="1" t="str">
        <f>IFERROR(__xludf.DUMMYFUNCTION("""COMPUTED_VALUE"""),"")</f>
        <v/>
      </c>
      <c r="AO61" s="1" t="str">
        <f>IFERROR(__xludf.DUMMYFUNCTION("""COMPUTED_VALUE"""),"")</f>
        <v/>
      </c>
      <c r="AP61" s="1" t="str">
        <f>IFERROR(__xludf.DUMMYFUNCTION("""COMPUTED_VALUE"""),"")</f>
        <v/>
      </c>
      <c r="AQ61" s="1" t="str">
        <f>IFERROR(__xludf.DUMMYFUNCTION("""COMPUTED_VALUE"""),"01/19/2026")</f>
        <v>01/19/2026</v>
      </c>
      <c r="AR61" s="1" t="str">
        <f>IFERROR(__xludf.DUMMYFUNCTION("""COMPUTED_VALUE"""),"01/19/2026")</f>
        <v>01/19/2026</v>
      </c>
    </row>
    <row r="62">
      <c r="A62" s="1" t="str">
        <f>IFERROR(__xludf.DUMMYFUNCTION("""COMPUTED_VALUE"""),"Monterey Park Data Center")</f>
        <v>Monterey Park Data Center</v>
      </c>
      <c r="B62" s="1" t="str">
        <f>IFERROR(__xludf.DUMMYFUNCTION("""COMPUTED_VALUE"""),"1977 Saturn St")</f>
        <v>1977 Saturn St</v>
      </c>
      <c r="C62" s="1" t="str">
        <f>IFERROR(__xludf.DUMMYFUNCTION("""COMPUTED_VALUE"""),"Monterey Park")</f>
        <v>Monterey Park</v>
      </c>
      <c r="D62" s="1" t="str">
        <f>IFERROR(__xludf.DUMMYFUNCTION("""COMPUTED_VALUE"""),"CA")</f>
        <v>CA</v>
      </c>
      <c r="E62" s="1" t="str">
        <f>IFERROR(__xludf.DUMMYFUNCTION("""COMPUTED_VALUE"""),"91755")</f>
        <v>91755</v>
      </c>
      <c r="F62" s="1" t="str">
        <f>IFERROR(__xludf.DUMMYFUNCTION("""COMPUTED_VALUE"""),"Los Angeles")</f>
        <v>Los Angeles</v>
      </c>
      <c r="G62" s="1" t="str">
        <f>IFERROR(__xludf.DUMMYFUNCTION("""COMPUTED_VALUE"""),"34.04039")</f>
        <v>34.04039</v>
      </c>
      <c r="H62" s="1" t="str">
        <f>IFERROR(__xludf.DUMMYFUNCTION("""COMPUTED_VALUE"""),"-118.11365")</f>
        <v>-118.11365</v>
      </c>
      <c r="I62" s="1" t="str">
        <f>IFERROR(__xludf.DUMMYFUNCTION("""COMPUTED_VALUE"""),"Suspended")</f>
        <v>Suspended</v>
      </c>
      <c r="J62" s="1" t="str">
        <f>IFERROR(__xludf.DUMMYFUNCTION("""COMPUTED_VALUE"""),"High")</f>
        <v>High</v>
      </c>
      <c r="K62" s="1" t="str">
        <f>IFERROR(__xludf.DUMMYFUNCTION("""COMPUTED_VALUE"""),"")</f>
        <v/>
      </c>
      <c r="L62" s="1" t="str">
        <f>IFERROR(__xludf.DUMMYFUNCTION("""COMPUTED_VALUE"""),"HMC StratCorp and subsidiary DigiCo REIT")</f>
        <v>HMC StratCorp and subsidiary DigiCo REIT</v>
      </c>
      <c r="M62" s="1" t="str">
        <f>IFERROR(__xludf.DUMMYFUNCTION("""COMPUTED_VALUE"""),"")</f>
        <v/>
      </c>
      <c r="N62" s="1" t="str">
        <f>IFERROR(__xludf.DUMMYFUNCTION("""COMPUTED_VALUE"""),"")</f>
        <v/>
      </c>
      <c r="O62" s="1" t="str">
        <f>IFERROR(__xludf.DUMMYFUNCTION("""COMPUTED_VALUE"""),"Hyperscale (100-999 MW)")</f>
        <v>Hyperscale (100-999 MW)</v>
      </c>
      <c r="P62" s="1" t="str">
        <f>IFERROR(__xludf.DUMMYFUNCTION("""COMPUTED_VALUE"""),"")</f>
        <v/>
      </c>
      <c r="Q62" s="1" t="str">
        <f>IFERROR(__xludf.DUMMYFUNCTION("""COMPUTED_VALUE"""),"")</f>
        <v/>
      </c>
      <c r="R62" s="1" t="str">
        <f>IFERROR(__xludf.DUMMYFUNCTION("""COMPUTED_VALUE"""),"14 on-site diesel generators")</f>
        <v>14 on-site diesel generators</v>
      </c>
      <c r="S62" s="1" t="str">
        <f>IFERROR(__xludf.DUMMYFUNCTION("""COMPUTED_VALUE"""),"")</f>
        <v/>
      </c>
      <c r="T62" s="1" t="str">
        <f>IFERROR(__xludf.DUMMYFUNCTION("""COMPUTED_VALUE"""),"")</f>
        <v/>
      </c>
      <c r="U62" s="1" t="str">
        <f>IFERROR(__xludf.DUMMYFUNCTION("""COMPUTED_VALUE"""),"")</f>
        <v/>
      </c>
      <c r="V62" s="1" t="str">
        <f>IFERROR(__xludf.DUMMYFUNCTION("""COMPUTED_VALUE"""),"247,000")</f>
        <v>247,000</v>
      </c>
      <c r="W62" s="1" t="str">
        <f>IFERROR(__xludf.DUMMYFUNCTION("""COMPUTED_VALUE"""),"16")</f>
        <v>16</v>
      </c>
      <c r="X62" s="1" t="str">
        <f>IFERROR(__xludf.DUMMYFUNCTION("""COMPUTED_VALUE"""),"")</f>
        <v/>
      </c>
      <c r="Y62" s="1" t="str">
        <f>IFERROR(__xludf.DUMMYFUNCTION("""COMPUTED_VALUE"""),"")</f>
        <v/>
      </c>
      <c r="Z62" s="1" t="str">
        <f>IFERROR(__xludf.DUMMYFUNCTION("""COMPUTED_VALUE"""),"Yes")</f>
        <v>Yes</v>
      </c>
      <c r="AA62" s="1" t="str">
        <f>IFERROR(__xludf.DUMMYFUNCTION("""COMPUTED_VALUE"""),"No Data Center Monterey Park, San Gabriel Valley (SGV) Progressive Action")</f>
        <v>No Data Center Monterey Park, San Gabriel Valley (SGV) Progressive Action</v>
      </c>
      <c r="AB62" s="1" t="str">
        <f>IFERROR(__xludf.DUMMYFUNCTION("""COMPUTED_VALUE"""),"Organized Advocacy")</f>
        <v>Organized Advocacy</v>
      </c>
      <c r="AC62" s="1" t="str">
        <f>IFERROR(__xludf.DUMMYFUNCTION("""COMPUTED_VALUE"""),"")</f>
        <v/>
      </c>
      <c r="AD62" s="2" t="str">
        <f>IFERROR(__xludf.DUMMYFUNCTION("""COMPUTED_VALUE"""),"https://www.facebook.com/groups/1373626604509288/")</f>
        <v>https://www.facebook.com/groups/1373626604509288/</v>
      </c>
      <c r="AE62" s="2" t="str">
        <f>IFERROR(__xludf.DUMMYFUNCTION("""COMPUTED_VALUE"""),"https://www.nodatacentermpk.org/")</f>
        <v>https://www.nodatacentermpk.org/</v>
      </c>
      <c r="AF62" s="2" t="str">
        <f>IFERROR(__xludf.DUMMYFUNCTION("""COMPUTED_VALUE"""),"https://actionnetwork.org/petitions/no-data-centers-in-monterey-park?source=direct_link&amp;")</f>
        <v>https://actionnetwork.org/petitions/no-data-centers-in-monterey-park?source=direct_link&amp;</v>
      </c>
      <c r="AG62" s="1" t="str">
        <f>IFERROR(__xludf.DUMMYFUNCTION("""COMPUTED_VALUE"""),"")</f>
        <v/>
      </c>
      <c r="AH62" s="1" t="str">
        <f>IFERROR(__xludf.DUMMYFUNCTION("""COMPUTED_VALUE"""),"Media Monitoring")</f>
        <v>Media Monitoring</v>
      </c>
      <c r="AI62" s="2" t="str">
        <f>IFERROR(__xludf.DUMMYFUNCTION("""COMPUTED_VALUE"""),"https://www.theguardian.com/us-news/2026/feb/07/california-monterey-park-stop-datacenter-construction")</f>
        <v>https://www.theguardian.com/us-news/2026/feb/07/california-monterey-park-stop-datacenter-construction</v>
      </c>
      <c r="AJ62" s="2" t="str">
        <f>IFERROR(__xludf.DUMMYFUNCTION("""COMPUTED_VALUE"""),"https://www.datacenterdynamics.com/en/news/proposal-for-250000-sq-ft-data-center-in-monterey-park-california-facing-opposition/")</f>
        <v>https://www.datacenterdynamics.com/en/news/proposal-for-250000-sq-ft-data-center-in-monterey-park-california-facing-opposition/</v>
      </c>
      <c r="AK62" s="2" t="str">
        <f>IFERROR(__xludf.DUMMYFUNCTION("""COMPUTED_VALUE"""),"https://www.montereypark.ca.gov/1710/Data-Center-Information")</f>
        <v>https://www.montereypark.ca.gov/1710/Data-Center-Information</v>
      </c>
      <c r="AL62" s="2" t="str">
        <f>IFERROR(__xludf.DUMMYFUNCTION("""COMPUTED_VALUE"""),"https://www.sfgate.com/tech/article/monterey-park-data-center-21958037.php")</f>
        <v>https://www.sfgate.com/tech/article/monterey-park-data-center-21958037.php</v>
      </c>
      <c r="AM62" s="2" t="str">
        <f>IFERROR(__xludf.DUMMYFUNCTION("""COMPUTED_VALUE"""),"https://www.pasadenastarnews.com/2026/04/01/developer-withdraws-monterey-park-data-center-project-after-community-pushback/")</f>
        <v>https://www.pasadenastarnews.com/2026/04/01/developer-withdraws-monterey-park-data-center-project-after-community-pushback/</v>
      </c>
      <c r="AN62" s="1" t="str">
        <f>IFERROR(__xludf.DUMMYFUNCTION("""COMPUTED_VALUE"""),"")</f>
        <v/>
      </c>
      <c r="AO62" s="1" t="str">
        <f>IFERROR(__xludf.DUMMYFUNCTION("""COMPUTED_VALUE"""),"")</f>
        <v/>
      </c>
      <c r="AP62" s="1" t="str">
        <f>IFERROR(__xludf.DUMMYFUNCTION("""COMPUTED_VALUE"""),"")</f>
        <v/>
      </c>
      <c r="AQ62" s="1" t="str">
        <f>IFERROR(__xludf.DUMMYFUNCTION("""COMPUTED_VALUE"""),"02/24/2026")</f>
        <v>02/24/2026</v>
      </c>
      <c r="AR62" s="1" t="str">
        <f>IFERROR(__xludf.DUMMYFUNCTION("""COMPUTED_VALUE"""),"05/17/2026")</f>
        <v>05/17/2026</v>
      </c>
    </row>
    <row r="63">
      <c r="A63" s="1" t="str">
        <f>IFERROR(__xludf.DUMMYFUNCTION("""COMPUTED_VALUE"""),"ECL")</f>
        <v>ECL</v>
      </c>
      <c r="B63" s="1" t="str">
        <f>IFERROR(__xludf.DUMMYFUNCTION("""COMPUTED_VALUE"""),"411 Clyde Ave")</f>
        <v>411 Clyde Ave</v>
      </c>
      <c r="C63" s="1" t="str">
        <f>IFERROR(__xludf.DUMMYFUNCTION("""COMPUTED_VALUE"""),"Mountain View")</f>
        <v>Mountain View</v>
      </c>
      <c r="D63" s="1" t="str">
        <f>IFERROR(__xludf.DUMMYFUNCTION("""COMPUTED_VALUE"""),"CA")</f>
        <v>CA</v>
      </c>
      <c r="E63" s="1" t="str">
        <f>IFERROR(__xludf.DUMMYFUNCTION("""COMPUTED_VALUE"""),"94043")</f>
        <v>94043</v>
      </c>
      <c r="F63" s="1" t="str">
        <f>IFERROR(__xludf.DUMMYFUNCTION("""COMPUTED_VALUE"""),"Santa Clara")</f>
        <v>Santa Clara</v>
      </c>
      <c r="G63" s="1" t="str">
        <f>IFERROR(__xludf.DUMMYFUNCTION("""COMPUTED_VALUE"""),"37.39589")</f>
        <v>37.39589</v>
      </c>
      <c r="H63" s="1" t="str">
        <f>IFERROR(__xludf.DUMMYFUNCTION("""COMPUTED_VALUE"""),"-122.047")</f>
        <v>-122.047</v>
      </c>
      <c r="I63" s="1" t="str">
        <f>IFERROR(__xludf.DUMMYFUNCTION("""COMPUTED_VALUE"""),"Operating")</f>
        <v>Operating</v>
      </c>
      <c r="J63" s="1" t="str">
        <f>IFERROR(__xludf.DUMMYFUNCTION("""COMPUTED_VALUE"""),"High")</f>
        <v>High</v>
      </c>
      <c r="K63" s="1" t="str">
        <f>IFERROR(__xludf.DUMMYFUNCTION("""COMPUTED_VALUE"""),"")</f>
        <v/>
      </c>
      <c r="L63" s="1" t="str">
        <f>IFERROR(__xludf.DUMMYFUNCTION("""COMPUTED_VALUE"""),"")</f>
        <v/>
      </c>
      <c r="M63" s="1" t="str">
        <f>IFERROR(__xludf.DUMMYFUNCTION("""COMPUTED_VALUE"""),"")</f>
        <v/>
      </c>
      <c r="N63" s="1" t="str">
        <f>IFERROR(__xludf.DUMMYFUNCTION("""COMPUTED_VALUE"""),"")</f>
        <v/>
      </c>
      <c r="O63" s="1" t="str">
        <f>IFERROR(__xludf.DUMMYFUNCTION("""COMPUTED_VALUE"""),"Unknown")</f>
        <v>Unknown</v>
      </c>
      <c r="P63" s="1" t="str">
        <f>IFERROR(__xludf.DUMMYFUNCTION("""COMPUTED_VALUE"""),"")</f>
        <v/>
      </c>
      <c r="Q63" s="1" t="str">
        <f>IFERROR(__xludf.DUMMYFUNCTION("""COMPUTED_VALUE"""),"")</f>
        <v/>
      </c>
      <c r="R63" s="1" t="str">
        <f>IFERROR(__xludf.DUMMYFUNCTION("""COMPUTED_VALUE"""),"")</f>
        <v/>
      </c>
      <c r="S63" s="1" t="str">
        <f>IFERROR(__xludf.DUMMYFUNCTION("""COMPUTED_VALUE"""),"")</f>
        <v/>
      </c>
      <c r="T63" s="1" t="str">
        <f>IFERROR(__xludf.DUMMYFUNCTION("""COMPUTED_VALUE"""),"")</f>
        <v/>
      </c>
      <c r="U63" s="1" t="str">
        <f>IFERROR(__xludf.DUMMYFUNCTION("""COMPUTED_VALUE"""),"")</f>
        <v/>
      </c>
      <c r="V63" s="1" t="str">
        <f>IFERROR(__xludf.DUMMYFUNCTION("""COMPUTED_VALUE"""),"")</f>
        <v/>
      </c>
      <c r="W63" s="1" t="str">
        <f>IFERROR(__xludf.DUMMYFUNCTION("""COMPUTED_VALUE"""),"")</f>
        <v/>
      </c>
      <c r="X63" s="1" t="str">
        <f>IFERROR(__xludf.DUMMYFUNCTION("""COMPUTED_VALUE"""),"")</f>
        <v/>
      </c>
      <c r="Y63" s="1" t="str">
        <f>IFERROR(__xludf.DUMMYFUNCTION("""COMPUTED_VALUE"""),"")</f>
        <v/>
      </c>
      <c r="Z63" s="1" t="str">
        <f>IFERROR(__xludf.DUMMYFUNCTION("""COMPUTED_VALUE"""),"Unknown")</f>
        <v>Unknown</v>
      </c>
      <c r="AA63" s="1" t="str">
        <f>IFERROR(__xludf.DUMMYFUNCTION("""COMPUTED_VALUE"""),"")</f>
        <v/>
      </c>
      <c r="AB63" s="1" t="str">
        <f>IFERROR(__xludf.DUMMYFUNCTION("""COMPUTED_VALUE"""),"")</f>
        <v/>
      </c>
      <c r="AC63" s="1" t="str">
        <f>IFERROR(__xludf.DUMMYFUNCTION("""COMPUTED_VALUE"""),"")</f>
        <v/>
      </c>
      <c r="AD63" s="1" t="str">
        <f>IFERROR(__xludf.DUMMYFUNCTION("""COMPUTED_VALUE"""),"")</f>
        <v/>
      </c>
      <c r="AE63" s="1" t="str">
        <f>IFERROR(__xludf.DUMMYFUNCTION("""COMPUTED_VALUE"""),"")</f>
        <v/>
      </c>
      <c r="AF63" s="1" t="str">
        <f>IFERROR(__xludf.DUMMYFUNCTION("""COMPUTED_VALUE"""),"")</f>
        <v/>
      </c>
      <c r="AG63" s="1" t="str">
        <f>IFERROR(__xludf.DUMMYFUNCTION("""COMPUTED_VALUE"""),"Running on hydrogen fuel")</f>
        <v>Running on hydrogen fuel</v>
      </c>
      <c r="AH63" s="1" t="str">
        <f>IFERROR(__xludf.DUMMYFUNCTION("""COMPUTED_VALUE"""),"Media Monitoring")</f>
        <v>Media Monitoring</v>
      </c>
      <c r="AI63" s="1" t="str">
        <f>IFERROR(__xludf.DUMMYFUNCTION("""COMPUTED_VALUE"""),"")</f>
        <v/>
      </c>
      <c r="AJ63" s="1" t="str">
        <f>IFERROR(__xludf.DUMMYFUNCTION("""COMPUTED_VALUE"""),"")</f>
        <v/>
      </c>
      <c r="AK63" s="1" t="str">
        <f>IFERROR(__xludf.DUMMYFUNCTION("""COMPUTED_VALUE"""),"")</f>
        <v/>
      </c>
      <c r="AL63" s="1" t="str">
        <f>IFERROR(__xludf.DUMMYFUNCTION("""COMPUTED_VALUE"""),"")</f>
        <v/>
      </c>
      <c r="AM63" s="1" t="str">
        <f>IFERROR(__xludf.DUMMYFUNCTION("""COMPUTED_VALUE"""),"")</f>
        <v/>
      </c>
      <c r="AN63" s="1" t="str">
        <f>IFERROR(__xludf.DUMMYFUNCTION("""COMPUTED_VALUE"""),"")</f>
        <v/>
      </c>
      <c r="AO63" s="1" t="str">
        <f>IFERROR(__xludf.DUMMYFUNCTION("""COMPUTED_VALUE"""),"")</f>
        <v/>
      </c>
      <c r="AP63" s="1" t="str">
        <f>IFERROR(__xludf.DUMMYFUNCTION("""COMPUTED_VALUE"""),"")</f>
        <v/>
      </c>
      <c r="AQ63" s="1" t="str">
        <f>IFERROR(__xludf.DUMMYFUNCTION("""COMPUTED_VALUE"""),"08/06/2025")</f>
        <v>08/06/2025</v>
      </c>
      <c r="AR63" s="1" t="str">
        <f>IFERROR(__xludf.DUMMYFUNCTION("""COMPUTED_VALUE"""),"08/06/2025")</f>
        <v>08/06/2025</v>
      </c>
    </row>
    <row r="64">
      <c r="A64" s="1" t="str">
        <f>IFERROR(__xludf.DUMMYFUNCTION("""COMPUTED_VALUE"""),"Crystal Geyser location Data Center")</f>
        <v>Crystal Geyser location Data Center</v>
      </c>
      <c r="B64" s="1" t="str">
        <f>IFERROR(__xludf.DUMMYFUNCTION("""COMPUTED_VALUE"""),"210 Ski Village Dr")</f>
        <v>210 Ski Village Dr</v>
      </c>
      <c r="C64" s="1" t="str">
        <f>IFERROR(__xludf.DUMMYFUNCTION("""COMPUTED_VALUE"""),"Mount Shasta")</f>
        <v>Mount Shasta</v>
      </c>
      <c r="D64" s="1" t="str">
        <f>IFERROR(__xludf.DUMMYFUNCTION("""COMPUTED_VALUE"""),"CA")</f>
        <v>CA</v>
      </c>
      <c r="E64" s="1" t="str">
        <f>IFERROR(__xludf.DUMMYFUNCTION("""COMPUTED_VALUE"""),"96067")</f>
        <v>96067</v>
      </c>
      <c r="F64" s="1" t="str">
        <f>IFERROR(__xludf.DUMMYFUNCTION("""COMPUTED_VALUE"""),"Siskiyou ")</f>
        <v>Siskiyou </v>
      </c>
      <c r="G64" s="1" t="str">
        <f>IFERROR(__xludf.DUMMYFUNCTION("""COMPUTED_VALUE"""),"41.32638")</f>
        <v>41.32638</v>
      </c>
      <c r="H64" s="1" t="str">
        <f>IFERROR(__xludf.DUMMYFUNCTION("""COMPUTED_VALUE"""),"-122.31744")</f>
        <v>-122.31744</v>
      </c>
      <c r="I64" s="1" t="str">
        <f>IFERROR(__xludf.DUMMYFUNCTION("""COMPUTED_VALUE"""),"Cancelled")</f>
        <v>Cancelled</v>
      </c>
      <c r="J64" s="1" t="str">
        <f>IFERROR(__xludf.DUMMYFUNCTION("""COMPUTED_VALUE"""),"High")</f>
        <v>High</v>
      </c>
      <c r="K64" s="1" t="str">
        <f>IFERROR(__xludf.DUMMYFUNCTION("""COMPUTED_VALUE"""),"")</f>
        <v/>
      </c>
      <c r="L64" s="1" t="str">
        <f>IFERROR(__xludf.DUMMYFUNCTION("""COMPUTED_VALUE"""),"")</f>
        <v/>
      </c>
      <c r="M64" s="1" t="str">
        <f>IFERROR(__xludf.DUMMYFUNCTION("""COMPUTED_VALUE"""),"")</f>
        <v/>
      </c>
      <c r="N64" s="1" t="str">
        <f>IFERROR(__xludf.DUMMYFUNCTION("""COMPUTED_VALUE"""),"")</f>
        <v/>
      </c>
      <c r="O64" s="1" t="str">
        <f>IFERROR(__xludf.DUMMYFUNCTION("""COMPUTED_VALUE"""),"Unknown")</f>
        <v>Unknown</v>
      </c>
      <c r="P64" s="1" t="str">
        <f>IFERROR(__xludf.DUMMYFUNCTION("""COMPUTED_VALUE"""),"")</f>
        <v/>
      </c>
      <c r="Q64" s="1" t="str">
        <f>IFERROR(__xludf.DUMMYFUNCTION("""COMPUTED_VALUE"""),"")</f>
        <v/>
      </c>
      <c r="R64" s="1" t="str">
        <f>IFERROR(__xludf.DUMMYFUNCTION("""COMPUTED_VALUE"""),"")</f>
        <v/>
      </c>
      <c r="S64" s="1" t="str">
        <f>IFERROR(__xludf.DUMMYFUNCTION("""COMPUTED_VALUE"""),"")</f>
        <v/>
      </c>
      <c r="T64" s="1" t="str">
        <f>IFERROR(__xludf.DUMMYFUNCTION("""COMPUTED_VALUE"""),"")</f>
        <v/>
      </c>
      <c r="U64" s="1" t="str">
        <f>IFERROR(__xludf.DUMMYFUNCTION("""COMPUTED_VALUE"""),"")</f>
        <v/>
      </c>
      <c r="V64" s="1" t="str">
        <f>IFERROR(__xludf.DUMMYFUNCTION("""COMPUTED_VALUE"""),"")</f>
        <v/>
      </c>
      <c r="W64" s="1" t="str">
        <f>IFERROR(__xludf.DUMMYFUNCTION("""COMPUTED_VALUE"""),"")</f>
        <v/>
      </c>
      <c r="X64" s="1" t="str">
        <f>IFERROR(__xludf.DUMMYFUNCTION("""COMPUTED_VALUE"""),"")</f>
        <v/>
      </c>
      <c r="Y64" s="1" t="str">
        <f>IFERROR(__xludf.DUMMYFUNCTION("""COMPUTED_VALUE"""),"")</f>
        <v/>
      </c>
      <c r="Z64" s="1" t="str">
        <f>IFERROR(__xludf.DUMMYFUNCTION("""COMPUTED_VALUE"""),"Yes")</f>
        <v>Yes</v>
      </c>
      <c r="AA64" s="1" t="str">
        <f>IFERROR(__xludf.DUMMYFUNCTION("""COMPUTED_VALUE"""),"")</f>
        <v/>
      </c>
      <c r="AB64" s="1" t="str">
        <f>IFERROR(__xludf.DUMMYFUNCTION("""COMPUTED_VALUE"""),"Emerging Concern")</f>
        <v>Emerging Concern</v>
      </c>
      <c r="AC64" s="1" t="str">
        <f>IFERROR(__xludf.DUMMYFUNCTION("""COMPUTED_VALUE"""),"")</f>
        <v/>
      </c>
      <c r="AD64" s="1" t="str">
        <f>IFERROR(__xludf.DUMMYFUNCTION("""COMPUTED_VALUE"""),"")</f>
        <v/>
      </c>
      <c r="AE64" s="1" t="str">
        <f>IFERROR(__xludf.DUMMYFUNCTION("""COMPUTED_VALUE"""),"")</f>
        <v/>
      </c>
      <c r="AF64" s="1" t="str">
        <f>IFERROR(__xludf.DUMMYFUNCTION("""COMPUTED_VALUE"""),"")</f>
        <v/>
      </c>
      <c r="AG64" s="1" t="str">
        <f>IFERROR(__xludf.DUMMYFUNCTION("""COMPUTED_VALUE"""),"Project rejected before full plan even proposed")</f>
        <v>Project rejected before full plan even proposed</v>
      </c>
      <c r="AH64" s="1" t="str">
        <f>IFERROR(__xludf.DUMMYFUNCTION("""COMPUTED_VALUE"""),"Media Monitoring")</f>
        <v>Media Monitoring</v>
      </c>
      <c r="AI64" s="2" t="str">
        <f>IFERROR(__xludf.DUMMYFUNCTION("""COMPUTED_VALUE"""),"https://www.ijpr.org/environment-energy-and-transportation/2026-06-26/mount-shasta-ai-data-center-proposal-water-concerns")</f>
        <v>https://www.ijpr.org/environment-energy-and-transportation/2026-06-26/mount-shasta-ai-data-center-proposal-water-concerns</v>
      </c>
      <c r="AJ64" s="2" t="str">
        <f>IFERROR(__xludf.DUMMYFUNCTION("""COMPUTED_VALUE"""),"https://www.activenorcal.com/mount-shasta-rejects-a-proposed-ai-data-center-drinking-its-famous-water/")</f>
        <v>https://www.activenorcal.com/mount-shasta-rejects-a-proposed-ai-data-center-drinking-its-famous-water/</v>
      </c>
      <c r="AK64" s="2" t="str">
        <f>IFERROR(__xludf.DUMMYFUNCTION("""COMPUTED_VALUE"""),"https://www.datacenterdynamics.com/en/news/unnamed-data-center-developer-eyeing-former-crystal-geyser-bottling-site-in-mount-shasta-california/")</f>
        <v>https://www.datacenterdynamics.com/en/news/unnamed-data-center-developer-eyeing-former-crystal-geyser-bottling-site-in-mount-shasta-california/</v>
      </c>
      <c r="AL64" s="1" t="str">
        <f>IFERROR(__xludf.DUMMYFUNCTION("""COMPUTED_VALUE"""),"")</f>
        <v/>
      </c>
      <c r="AM64" s="1" t="str">
        <f>IFERROR(__xludf.DUMMYFUNCTION("""COMPUTED_VALUE"""),"")</f>
        <v/>
      </c>
      <c r="AN64" s="1" t="str">
        <f>IFERROR(__xludf.DUMMYFUNCTION("""COMPUTED_VALUE"""),"")</f>
        <v/>
      </c>
      <c r="AO64" s="1" t="str">
        <f>IFERROR(__xludf.DUMMYFUNCTION("""COMPUTED_VALUE"""),"")</f>
        <v/>
      </c>
      <c r="AP64" s="1" t="str">
        <f>IFERROR(__xludf.DUMMYFUNCTION("""COMPUTED_VALUE"""),"")</f>
        <v/>
      </c>
      <c r="AQ64" s="1" t="str">
        <f>IFERROR(__xludf.DUMMYFUNCTION("""COMPUTED_VALUE"""),"06/29/2026")</f>
        <v>06/29/2026</v>
      </c>
      <c r="AR64" s="1" t="str">
        <f>IFERROR(__xludf.DUMMYFUNCTION("""COMPUTED_VALUE"""),"06/29/2026")</f>
        <v>06/29/2026</v>
      </c>
    </row>
    <row r="65">
      <c r="A65" s="1" t="str">
        <f>IFERROR(__xludf.DUMMYFUNCTION("""COMPUTED_VALUE"""),"AWS")</f>
        <v>AWS</v>
      </c>
      <c r="B65" s="1" t="str">
        <f>IFERROR(__xludf.DUMMYFUNCTION("""COMPUTED_VALUE"""),"2964 Bradley St")</f>
        <v>2964 Bradley St</v>
      </c>
      <c r="C65" s="1" t="str">
        <f>IFERROR(__xludf.DUMMYFUNCTION("""COMPUTED_VALUE"""),"Pasadena")</f>
        <v>Pasadena</v>
      </c>
      <c r="D65" s="1" t="str">
        <f>IFERROR(__xludf.DUMMYFUNCTION("""COMPUTED_VALUE"""),"CA")</f>
        <v>CA</v>
      </c>
      <c r="E65" s="1" t="str">
        <f>IFERROR(__xludf.DUMMYFUNCTION("""COMPUTED_VALUE"""),"91107")</f>
        <v>91107</v>
      </c>
      <c r="F65" s="1" t="str">
        <f>IFERROR(__xludf.DUMMYFUNCTION("""COMPUTED_VALUE"""),"Los Angeles")</f>
        <v>Los Angeles</v>
      </c>
      <c r="G65" s="1" t="str">
        <f>IFERROR(__xludf.DUMMYFUNCTION("""COMPUTED_VALUE"""),"34.166836")</f>
        <v>34.166836</v>
      </c>
      <c r="H65" s="1" t="str">
        <f>IFERROR(__xludf.DUMMYFUNCTION("""COMPUTED_VALUE"""),"-118.08752")</f>
        <v>-118.08752</v>
      </c>
      <c r="I65" s="1" t="str">
        <f>IFERROR(__xludf.DUMMYFUNCTION("""COMPUTED_VALUE"""),"Proposed")</f>
        <v>Proposed</v>
      </c>
      <c r="J65" s="1" t="str">
        <f>IFERROR(__xludf.DUMMYFUNCTION("""COMPUTED_VALUE"""),"High")</f>
        <v>High</v>
      </c>
      <c r="K65" s="1" t="str">
        <f>IFERROR(__xludf.DUMMYFUNCTION("""COMPUTED_VALUE"""),"")</f>
        <v/>
      </c>
      <c r="L65" s="1" t="str">
        <f>IFERROR(__xludf.DUMMYFUNCTION("""COMPUTED_VALUE"""),"")</f>
        <v/>
      </c>
      <c r="M65" s="1" t="str">
        <f>IFERROR(__xludf.DUMMYFUNCTION("""COMPUTED_VALUE"""),"")</f>
        <v/>
      </c>
      <c r="N65" s="1" t="str">
        <f>IFERROR(__xludf.DUMMYFUNCTION("""COMPUTED_VALUE"""),"")</f>
        <v/>
      </c>
      <c r="O65" s="1" t="str">
        <f>IFERROR(__xludf.DUMMYFUNCTION("""COMPUTED_VALUE"""),"Unknown")</f>
        <v>Unknown</v>
      </c>
      <c r="P65" s="1" t="str">
        <f>IFERROR(__xludf.DUMMYFUNCTION("""COMPUTED_VALUE"""),"")</f>
        <v/>
      </c>
      <c r="Q65" s="1" t="str">
        <f>IFERROR(__xludf.DUMMYFUNCTION("""COMPUTED_VALUE"""),"")</f>
        <v/>
      </c>
      <c r="R65" s="1" t="str">
        <f>IFERROR(__xludf.DUMMYFUNCTION("""COMPUTED_VALUE"""),"")</f>
        <v/>
      </c>
      <c r="S65" s="1" t="str">
        <f>IFERROR(__xludf.DUMMYFUNCTION("""COMPUTED_VALUE"""),"")</f>
        <v/>
      </c>
      <c r="T65" s="1" t="str">
        <f>IFERROR(__xludf.DUMMYFUNCTION("""COMPUTED_VALUE"""),"")</f>
        <v/>
      </c>
      <c r="U65" s="1" t="str">
        <f>IFERROR(__xludf.DUMMYFUNCTION("""COMPUTED_VALUE"""),"")</f>
        <v/>
      </c>
      <c r="V65" s="1" t="str">
        <f>IFERROR(__xludf.DUMMYFUNCTION("""COMPUTED_VALUE"""),"168,000")</f>
        <v>168,000</v>
      </c>
      <c r="W65" s="1" t="str">
        <f>IFERROR(__xludf.DUMMYFUNCTION("""COMPUTED_VALUE"""),"")</f>
        <v/>
      </c>
      <c r="X65" s="1" t="str">
        <f>IFERROR(__xludf.DUMMYFUNCTION("""COMPUTED_VALUE"""),"$78 million")</f>
        <v>$78 million</v>
      </c>
      <c r="Y65" s="1" t="str">
        <f>IFERROR(__xludf.DUMMYFUNCTION("""COMPUTED_VALUE"""),"")</f>
        <v/>
      </c>
      <c r="Z65" s="1" t="str">
        <f>IFERROR(__xludf.DUMMYFUNCTION("""COMPUTED_VALUE"""),"Unknown")</f>
        <v>Unknown</v>
      </c>
      <c r="AA65" s="1" t="str">
        <f>IFERROR(__xludf.DUMMYFUNCTION("""COMPUTED_VALUE"""),"")</f>
        <v/>
      </c>
      <c r="AB65" s="1" t="str">
        <f>IFERROR(__xludf.DUMMYFUNCTION("""COMPUTED_VALUE"""),"")</f>
        <v/>
      </c>
      <c r="AC65" s="1" t="str">
        <f>IFERROR(__xludf.DUMMYFUNCTION("""COMPUTED_VALUE"""),"")</f>
        <v/>
      </c>
      <c r="AD65" s="1" t="str">
        <f>IFERROR(__xludf.DUMMYFUNCTION("""COMPUTED_VALUE"""),"")</f>
        <v/>
      </c>
      <c r="AE65" s="1" t="str">
        <f>IFERROR(__xludf.DUMMYFUNCTION("""COMPUTED_VALUE"""),"")</f>
        <v/>
      </c>
      <c r="AF65" s="1" t="str">
        <f>IFERROR(__xludf.DUMMYFUNCTION("""COMPUTED_VALUE"""),"")</f>
        <v/>
      </c>
      <c r="AG65" s="1" t="str">
        <f>IFERROR(__xludf.DUMMYFUNCTION("""COMPUTED_VALUE"""),"")</f>
        <v/>
      </c>
      <c r="AH65" s="1" t="str">
        <f>IFERROR(__xludf.DUMMYFUNCTION("""COMPUTED_VALUE"""),"Media Monitoring")</f>
        <v>Media Monitoring</v>
      </c>
      <c r="AI65" s="2" t="str">
        <f>IFERROR(__xludf.DUMMYFUNCTION("""COMPUTED_VALUE"""),"https://www.datacenterdynamics.com/en/news/aws-plans-another-quantum-research-center-in-pasadena-california/")</f>
        <v>https://www.datacenterdynamics.com/en/news/aws-plans-another-quantum-research-center-in-pasadena-california/</v>
      </c>
      <c r="AJ65" s="1" t="str">
        <f>IFERROR(__xludf.DUMMYFUNCTION("""COMPUTED_VALUE"""),"")</f>
        <v/>
      </c>
      <c r="AK65" s="1" t="str">
        <f>IFERROR(__xludf.DUMMYFUNCTION("""COMPUTED_VALUE"""),"")</f>
        <v/>
      </c>
      <c r="AL65" s="1" t="str">
        <f>IFERROR(__xludf.DUMMYFUNCTION("""COMPUTED_VALUE"""),"")</f>
        <v/>
      </c>
      <c r="AM65" s="1" t="str">
        <f>IFERROR(__xludf.DUMMYFUNCTION("""COMPUTED_VALUE"""),"")</f>
        <v/>
      </c>
      <c r="AN65" s="1" t="str">
        <f>IFERROR(__xludf.DUMMYFUNCTION("""COMPUTED_VALUE"""),"")</f>
        <v/>
      </c>
      <c r="AO65" s="1" t="str">
        <f>IFERROR(__xludf.DUMMYFUNCTION("""COMPUTED_VALUE"""),"")</f>
        <v/>
      </c>
      <c r="AP65" s="1" t="str">
        <f>IFERROR(__xludf.DUMMYFUNCTION("""COMPUTED_VALUE"""),"")</f>
        <v/>
      </c>
      <c r="AQ65" s="1" t="str">
        <f>IFERROR(__xludf.DUMMYFUNCTION("""COMPUTED_VALUE"""),"03/13/2026")</f>
        <v>03/13/2026</v>
      </c>
      <c r="AR65" s="1" t="str">
        <f>IFERROR(__xludf.DUMMYFUNCTION("""COMPUTED_VALUE"""),"03/13/2026")</f>
        <v>03/13/2026</v>
      </c>
    </row>
    <row r="66">
      <c r="A66" s="1" t="str">
        <f>IFERROR(__xludf.DUMMYFUNCTION("""COMPUTED_VALUE"""),"AVAIO Perseus Data Center")</f>
        <v>AVAIO Perseus Data Center</v>
      </c>
      <c r="B66" s="1" t="str">
        <f>IFERROR(__xludf.DUMMYFUNCTION("""COMPUTED_VALUE"""),"Golf Club Rd")</f>
        <v>Golf Club Rd</v>
      </c>
      <c r="C66" s="1" t="str">
        <f>IFERROR(__xludf.DUMMYFUNCTION("""COMPUTED_VALUE"""),"Pittsburg")</f>
        <v>Pittsburg</v>
      </c>
      <c r="D66" s="1" t="str">
        <f>IFERROR(__xludf.DUMMYFUNCTION("""COMPUTED_VALUE"""),"CA")</f>
        <v>CA</v>
      </c>
      <c r="E66" s="1" t="str">
        <f>IFERROR(__xludf.DUMMYFUNCTION("""COMPUTED_VALUE"""),"94565")</f>
        <v>94565</v>
      </c>
      <c r="F66" s="1" t="str">
        <f>IFERROR(__xludf.DUMMYFUNCTION("""COMPUTED_VALUE"""),"Contra Costa")</f>
        <v>Contra Costa</v>
      </c>
      <c r="G66" s="1" t="str">
        <f>IFERROR(__xludf.DUMMYFUNCTION("""COMPUTED_VALUE"""),"38.012596")</f>
        <v>38.012596</v>
      </c>
      <c r="H66" s="1" t="str">
        <f>IFERROR(__xludf.DUMMYFUNCTION("""COMPUTED_VALUE"""),"-121.90993")</f>
        <v>-121.90993</v>
      </c>
      <c r="I66" s="1" t="str">
        <f>IFERROR(__xludf.DUMMYFUNCTION("""COMPUTED_VALUE"""),"Approved/Permitted/Under construction")</f>
        <v>Approved/Permitted/Under construction</v>
      </c>
      <c r="J66" s="1" t="str">
        <f>IFERROR(__xludf.DUMMYFUNCTION("""COMPUTED_VALUE"""),"High")</f>
        <v>High</v>
      </c>
      <c r="K66" s="1" t="str">
        <f>IFERROR(__xludf.DUMMYFUNCTION("""COMPUTED_VALUE"""),"")</f>
        <v/>
      </c>
      <c r="L66" s="1" t="str">
        <f>IFERROR(__xludf.DUMMYFUNCTION("""COMPUTED_VALUE"""),"")</f>
        <v/>
      </c>
      <c r="M66" s="1" t="str">
        <f>IFERROR(__xludf.DUMMYFUNCTION("""COMPUTED_VALUE"""),"")</f>
        <v/>
      </c>
      <c r="N66" s="1" t="str">
        <f>IFERROR(__xludf.DUMMYFUNCTION("""COMPUTED_VALUE"""),"99")</f>
        <v>99</v>
      </c>
      <c r="O66" s="1" t="str">
        <f>IFERROR(__xludf.DUMMYFUNCTION("""COMPUTED_VALUE"""),"Hyperscale (100-999 MW)")</f>
        <v>Hyperscale (100-999 MW)</v>
      </c>
      <c r="P66" s="1" t="str">
        <f>IFERROR(__xludf.DUMMYFUNCTION("""COMPUTED_VALUE"""),"")</f>
        <v/>
      </c>
      <c r="Q66" s="1" t="str">
        <f>IFERROR(__xludf.DUMMYFUNCTION("""COMPUTED_VALUE"""),"")</f>
        <v/>
      </c>
      <c r="R66" s="1" t="str">
        <f>IFERROR(__xludf.DUMMYFUNCTION("""COMPUTED_VALUE"""),"")</f>
        <v/>
      </c>
      <c r="S66" s="1" t="str">
        <f>IFERROR(__xludf.DUMMYFUNCTION("""COMPUTED_VALUE"""),"3")</f>
        <v>3</v>
      </c>
      <c r="T66" s="1" t="str">
        <f>IFERROR(__xludf.DUMMYFUNCTION("""COMPUTED_VALUE"""),"")</f>
        <v/>
      </c>
      <c r="U66" s="1" t="str">
        <f>IFERROR(__xludf.DUMMYFUNCTION("""COMPUTED_VALUE"""),"")</f>
        <v/>
      </c>
      <c r="V66" s="1" t="str">
        <f>IFERROR(__xludf.DUMMYFUNCTION("""COMPUTED_VALUE"""),"300,000")</f>
        <v>300,000</v>
      </c>
      <c r="W66" s="1" t="str">
        <f>IFERROR(__xludf.DUMMYFUNCTION("""COMPUTED_VALUE"""),"76")</f>
        <v>76</v>
      </c>
      <c r="X66" s="1" t="str">
        <f>IFERROR(__xludf.DUMMYFUNCTION("""COMPUTED_VALUE"""),"")</f>
        <v/>
      </c>
      <c r="Y66" s="1" t="str">
        <f>IFERROR(__xludf.DUMMYFUNCTION("""COMPUTED_VALUE"""),"2027")</f>
        <v>2027</v>
      </c>
      <c r="Z66" s="1" t="str">
        <f>IFERROR(__xludf.DUMMYFUNCTION("""COMPUTED_VALUE"""),"Yes")</f>
        <v>Yes</v>
      </c>
      <c r="AA66" s="1" t="str">
        <f>IFERROR(__xludf.DUMMYFUNCTION("""COMPUTED_VALUE"""),"")</f>
        <v/>
      </c>
      <c r="AB66" s="1" t="str">
        <f>IFERROR(__xludf.DUMMYFUNCTION("""COMPUTED_VALUE"""),"Organized Advocacy")</f>
        <v>Organized Advocacy</v>
      </c>
      <c r="AC66" s="1" t="str">
        <f>IFERROR(__xludf.DUMMYFUNCTION("""COMPUTED_VALUE"""),"")</f>
        <v/>
      </c>
      <c r="AD66" s="1" t="str">
        <f>IFERROR(__xludf.DUMMYFUNCTION("""COMPUTED_VALUE"""),"")</f>
        <v/>
      </c>
      <c r="AE66" s="1" t="str">
        <f>IFERROR(__xludf.DUMMYFUNCTION("""COMPUTED_VALUE"""),"")</f>
        <v/>
      </c>
      <c r="AF66" s="2" t="str">
        <f>IFERROR(__xludf.DUMMYFUNCTION("""COMPUTED_VALUE"""),"https://www.change.org/NoDataCenterPittsburgCA")</f>
        <v>https://www.change.org/NoDataCenterPittsburgCA</v>
      </c>
      <c r="AG66" s="1" t="str">
        <f>IFERROR(__xludf.DUMMYFUNCTION("""COMPUTED_VALUE"""),"Has secured commitments for 100% renewable energy and recycled water for cooling, with backup generators using biodiesel")</f>
        <v>Has secured commitments for 100% renewable energy and recycled water for cooling, with backup generators using biodiesel</v>
      </c>
      <c r="AH66" s="1" t="str">
        <f>IFERROR(__xludf.DUMMYFUNCTION("""COMPUTED_VALUE"""),"Crowdsourced")</f>
        <v>Crowdsourced</v>
      </c>
      <c r="AI66" s="2" t="str">
        <f>IFERROR(__xludf.DUMMYFUNCTION("""COMPUTED_VALUE"""),"https://www.pittsburgca.gov/services/community-development/planning/advanced-planning-special-projects/pittsburg-technology-park-specific-plan-project")</f>
        <v>https://www.pittsburgca.gov/services/community-development/planning/advanced-planning-special-projects/pittsburg-technology-park-specific-plan-project</v>
      </c>
      <c r="AJ66" s="2" t="str">
        <f>IFERROR(__xludf.DUMMYFUNCTION("""COMPUTED_VALUE"""),"https://www.avaiodigital.com/developments/pittsburg-california")</f>
        <v>https://www.avaiodigital.com/developments/pittsburg-california</v>
      </c>
      <c r="AK66" s="2" t="str">
        <f>IFERROR(__xludf.DUMMYFUNCTION("""COMPUTED_VALUE"""),"https://contracosta.news/2024/12/03/avaio-digital-partners-achieves-major-milestone-for-pittsburg-technology-park-perseus-data-center-project/")</f>
        <v>https://contracosta.news/2024/12/03/avaio-digital-partners-achieves-major-milestone-for-pittsburg-technology-park-perseus-data-center-project/</v>
      </c>
      <c r="AL66" s="1" t="str">
        <f>IFERROR(__xludf.DUMMYFUNCTION("""COMPUTED_VALUE"""),"")</f>
        <v/>
      </c>
      <c r="AM66" s="1" t="str">
        <f>IFERROR(__xludf.DUMMYFUNCTION("""COMPUTED_VALUE"""),"")</f>
        <v/>
      </c>
      <c r="AN66" s="1" t="str">
        <f>IFERROR(__xludf.DUMMYFUNCTION("""COMPUTED_VALUE"""),"")</f>
        <v/>
      </c>
      <c r="AO66" s="1" t="str">
        <f>IFERROR(__xludf.DUMMYFUNCTION("""COMPUTED_VALUE"""),"")</f>
        <v/>
      </c>
      <c r="AP66" s="1" t="str">
        <f>IFERROR(__xludf.DUMMYFUNCTION("""COMPUTED_VALUE"""),"")</f>
        <v/>
      </c>
      <c r="AQ66" s="1" t="str">
        <f>IFERROR(__xludf.DUMMYFUNCTION("""COMPUTED_VALUE"""),"06/12/2026")</f>
        <v>06/12/2026</v>
      </c>
      <c r="AR66" s="1" t="str">
        <f>IFERROR(__xludf.DUMMYFUNCTION("""COMPUTED_VALUE"""),"06/12/2026")</f>
        <v>06/12/2026</v>
      </c>
    </row>
    <row r="67">
      <c r="A67" s="1" t="str">
        <f>IFERROR(__xludf.DUMMYFUNCTION("""COMPUTED_VALUE"""),"EdgeConneX Edge Data Center")</f>
        <v>EdgeConneX Edge Data Center</v>
      </c>
      <c r="B67" s="1" t="str">
        <f>IFERROR(__xludf.DUMMYFUNCTION("""COMPUTED_VALUE"""),"10980 Gold Center Dr.")</f>
        <v>10980 Gold Center Dr.</v>
      </c>
      <c r="C67" s="1" t="str">
        <f>IFERROR(__xludf.DUMMYFUNCTION("""COMPUTED_VALUE"""),"Rancho Cordoba")</f>
        <v>Rancho Cordoba</v>
      </c>
      <c r="D67" s="1" t="str">
        <f>IFERROR(__xludf.DUMMYFUNCTION("""COMPUTED_VALUE"""),"CA")</f>
        <v>CA</v>
      </c>
      <c r="E67" s="1" t="str">
        <f>IFERROR(__xludf.DUMMYFUNCTION("""COMPUTED_VALUE"""),"95670")</f>
        <v>95670</v>
      </c>
      <c r="F67" s="1" t="str">
        <f>IFERROR(__xludf.DUMMYFUNCTION("""COMPUTED_VALUE"""),"Sacramento")</f>
        <v>Sacramento</v>
      </c>
      <c r="G67" s="1" t="str">
        <f>IFERROR(__xludf.DUMMYFUNCTION("""COMPUTED_VALUE"""),"38.59231")</f>
        <v>38.59231</v>
      </c>
      <c r="H67" s="1" t="str">
        <f>IFERROR(__xludf.DUMMYFUNCTION("""COMPUTED_VALUE"""),"-121.277")</f>
        <v>-121.277</v>
      </c>
      <c r="I67" s="1" t="str">
        <f>IFERROR(__xludf.DUMMYFUNCTION("""COMPUTED_VALUE"""),"Operating")</f>
        <v>Operating</v>
      </c>
      <c r="J67" s="1" t="str">
        <f>IFERROR(__xludf.DUMMYFUNCTION("""COMPUTED_VALUE"""),"High")</f>
        <v>High</v>
      </c>
      <c r="K67" s="1" t="str">
        <f>IFERROR(__xludf.DUMMYFUNCTION("""COMPUTED_VALUE"""),"")</f>
        <v/>
      </c>
      <c r="L67" s="1" t="str">
        <f>IFERROR(__xludf.DUMMYFUNCTION("""COMPUTED_VALUE"""),"")</f>
        <v/>
      </c>
      <c r="M67" s="1" t="str">
        <f>IFERROR(__xludf.DUMMYFUNCTION("""COMPUTED_VALUE"""),"")</f>
        <v/>
      </c>
      <c r="N67" s="1" t="str">
        <f>IFERROR(__xludf.DUMMYFUNCTION("""COMPUTED_VALUE"""),"2-3")</f>
        <v>2-3</v>
      </c>
      <c r="O67" s="1" t="str">
        <f>IFERROR(__xludf.DUMMYFUNCTION("""COMPUTED_VALUE"""),"Small (0-10 MW)")</f>
        <v>Small (0-10 MW)</v>
      </c>
      <c r="P67" s="1" t="str">
        <f>IFERROR(__xludf.DUMMYFUNCTION("""COMPUTED_VALUE"""),"")</f>
        <v/>
      </c>
      <c r="Q67" s="1" t="str">
        <f>IFERROR(__xludf.DUMMYFUNCTION("""COMPUTED_VALUE"""),"")</f>
        <v/>
      </c>
      <c r="R67" s="1" t="str">
        <f>IFERROR(__xludf.DUMMYFUNCTION("""COMPUTED_VALUE"""),"")</f>
        <v/>
      </c>
      <c r="S67" s="1" t="str">
        <f>IFERROR(__xludf.DUMMYFUNCTION("""COMPUTED_VALUE"""),"")</f>
        <v/>
      </c>
      <c r="T67" s="1" t="str">
        <f>IFERROR(__xludf.DUMMYFUNCTION("""COMPUTED_VALUE"""),"")</f>
        <v/>
      </c>
      <c r="U67" s="1" t="str">
        <f>IFERROR(__xludf.DUMMYFUNCTION("""COMPUTED_VALUE"""),"")</f>
        <v/>
      </c>
      <c r="V67" s="1" t="str">
        <f>IFERROR(__xludf.DUMMYFUNCTION("""COMPUTED_VALUE"""),"28,500")</f>
        <v>28,500</v>
      </c>
      <c r="W67" s="1" t="str">
        <f>IFERROR(__xludf.DUMMYFUNCTION("""COMPUTED_VALUE"""),"")</f>
        <v/>
      </c>
      <c r="X67" s="1" t="str">
        <f>IFERROR(__xludf.DUMMYFUNCTION("""COMPUTED_VALUE"""),"")</f>
        <v/>
      </c>
      <c r="Y67" s="1" t="str">
        <f>IFERROR(__xludf.DUMMYFUNCTION("""COMPUTED_VALUE"""),"")</f>
        <v/>
      </c>
      <c r="Z67" s="1" t="str">
        <f>IFERROR(__xludf.DUMMYFUNCTION("""COMPUTED_VALUE"""),"Unknown")</f>
        <v>Unknown</v>
      </c>
      <c r="AA67" s="1" t="str">
        <f>IFERROR(__xludf.DUMMYFUNCTION("""COMPUTED_VALUE"""),"")</f>
        <v/>
      </c>
      <c r="AB67" s="1" t="str">
        <f>IFERROR(__xludf.DUMMYFUNCTION("""COMPUTED_VALUE"""),"")</f>
        <v/>
      </c>
      <c r="AC67" s="1" t="str">
        <f>IFERROR(__xludf.DUMMYFUNCTION("""COMPUTED_VALUE"""),"")</f>
        <v/>
      </c>
      <c r="AD67" s="1" t="str">
        <f>IFERROR(__xludf.DUMMYFUNCTION("""COMPUTED_VALUE"""),"")</f>
        <v/>
      </c>
      <c r="AE67" s="1" t="str">
        <f>IFERROR(__xludf.DUMMYFUNCTION("""COMPUTED_VALUE"""),"")</f>
        <v/>
      </c>
      <c r="AF67" s="1" t="str">
        <f>IFERROR(__xludf.DUMMYFUNCTION("""COMPUTED_VALUE"""),"")</f>
        <v/>
      </c>
      <c r="AG67" s="1" t="str">
        <f>IFERROR(__xludf.DUMMYFUNCTION("""COMPUTED_VALUE"""),"")</f>
        <v/>
      </c>
      <c r="AH67" s="1" t="str">
        <f>IFERROR(__xludf.DUMMYFUNCTION("""COMPUTED_VALUE"""),"Media Monitoring")</f>
        <v>Media Monitoring</v>
      </c>
      <c r="AI67" s="2" t="str">
        <f>IFERROR(__xludf.DUMMYFUNCTION("""COMPUTED_VALUE"""),"https://www.edgeconnex.com/locations/americas/sacramento-ca/")</f>
        <v>https://www.edgeconnex.com/locations/americas/sacramento-ca/</v>
      </c>
      <c r="AJ67" s="1" t="str">
        <f>IFERROR(__xludf.DUMMYFUNCTION("""COMPUTED_VALUE"""),"")</f>
        <v/>
      </c>
      <c r="AK67" s="1" t="str">
        <f>IFERROR(__xludf.DUMMYFUNCTION("""COMPUTED_VALUE"""),"")</f>
        <v/>
      </c>
      <c r="AL67" s="1" t="str">
        <f>IFERROR(__xludf.DUMMYFUNCTION("""COMPUTED_VALUE"""),"")</f>
        <v/>
      </c>
      <c r="AM67" s="1" t="str">
        <f>IFERROR(__xludf.DUMMYFUNCTION("""COMPUTED_VALUE"""),"")</f>
        <v/>
      </c>
      <c r="AN67" s="1" t="str">
        <f>IFERROR(__xludf.DUMMYFUNCTION("""COMPUTED_VALUE"""),"")</f>
        <v/>
      </c>
      <c r="AO67" s="1" t="str">
        <f>IFERROR(__xludf.DUMMYFUNCTION("""COMPUTED_VALUE"""),"")</f>
        <v/>
      </c>
      <c r="AP67" s="1" t="str">
        <f>IFERROR(__xludf.DUMMYFUNCTION("""COMPUTED_VALUE"""),"")</f>
        <v/>
      </c>
      <c r="AQ67" s="1" t="str">
        <f>IFERROR(__xludf.DUMMYFUNCTION("""COMPUTED_VALUE"""),"08/04/2025")</f>
        <v>08/04/2025</v>
      </c>
      <c r="AR67" s="1" t="str">
        <f>IFERROR(__xludf.DUMMYFUNCTION("""COMPUTED_VALUE"""),"08/04/2025")</f>
        <v>08/04/2025</v>
      </c>
    </row>
    <row r="68">
      <c r="A68" s="1" t="str">
        <f>IFERROR(__xludf.DUMMYFUNCTION("""COMPUTED_VALUE"""),"Equinix")</f>
        <v>Equinix</v>
      </c>
      <c r="B68" s="1" t="str">
        <f>IFERROR(__xludf.DUMMYFUNCTION("""COMPUTED_VALUE"""),"123 Great Oaks Blvd")</f>
        <v>123 Great Oaks Blvd</v>
      </c>
      <c r="C68" s="1" t="str">
        <f>IFERROR(__xludf.DUMMYFUNCTION("""COMPUTED_VALUE"""),"San Jose")</f>
        <v>San Jose</v>
      </c>
      <c r="D68" s="1" t="str">
        <f>IFERROR(__xludf.DUMMYFUNCTION("""COMPUTED_VALUE"""),"CA")</f>
        <v>CA</v>
      </c>
      <c r="E68" s="1" t="str">
        <f>IFERROR(__xludf.DUMMYFUNCTION("""COMPUTED_VALUE"""),"95119")</f>
        <v>95119</v>
      </c>
      <c r="F68" s="1" t="str">
        <f>IFERROR(__xludf.DUMMYFUNCTION("""COMPUTED_VALUE"""),"Santa Clara")</f>
        <v>Santa Clara</v>
      </c>
      <c r="G68" s="1" t="str">
        <f>IFERROR(__xludf.DUMMYFUNCTION("""COMPUTED_VALUE"""),"37.23319")</f>
        <v>37.23319</v>
      </c>
      <c r="H68" s="1" t="str">
        <f>IFERROR(__xludf.DUMMYFUNCTION("""COMPUTED_VALUE"""),"-121.78072")</f>
        <v>-121.78072</v>
      </c>
      <c r="I68" s="1" t="str">
        <f>IFERROR(__xludf.DUMMYFUNCTION("""COMPUTED_VALUE"""),"Approved/Permitted/Under construction")</f>
        <v>Approved/Permitted/Under construction</v>
      </c>
      <c r="J68" s="1" t="str">
        <f>IFERROR(__xludf.DUMMYFUNCTION("""COMPUTED_VALUE"""),"High")</f>
        <v>High</v>
      </c>
      <c r="K68" s="1" t="str">
        <f>IFERROR(__xludf.DUMMYFUNCTION("""COMPUTED_VALUE"""),"")</f>
        <v/>
      </c>
      <c r="L68" s="1" t="str">
        <f>IFERROR(__xludf.DUMMYFUNCTION("""COMPUTED_VALUE"""),"Equinix")</f>
        <v>Equinix</v>
      </c>
      <c r="M68" s="1" t="str">
        <f>IFERROR(__xludf.DUMMYFUNCTION("""COMPUTED_VALUE"""),"")</f>
        <v/>
      </c>
      <c r="N68" s="1" t="str">
        <f>IFERROR(__xludf.DUMMYFUNCTION("""COMPUTED_VALUE"""),"40")</f>
        <v>40</v>
      </c>
      <c r="O68" s="1" t="str">
        <f>IFERROR(__xludf.DUMMYFUNCTION("""COMPUTED_VALUE"""),"Medium (11-50 MW)")</f>
        <v>Medium (11-50 MW)</v>
      </c>
      <c r="P68" s="1" t="str">
        <f>IFERROR(__xludf.DUMMYFUNCTION("""COMPUTED_VALUE"""),"")</f>
        <v/>
      </c>
      <c r="Q68" s="1" t="str">
        <f>IFERROR(__xludf.DUMMYFUNCTION("""COMPUTED_VALUE"""),"")</f>
        <v/>
      </c>
      <c r="R68" s="1" t="str">
        <f>IFERROR(__xludf.DUMMYFUNCTION("""COMPUTED_VALUE"""),"")</f>
        <v/>
      </c>
      <c r="S68" s="1" t="str">
        <f>IFERROR(__xludf.DUMMYFUNCTION("""COMPUTED_VALUE"""),"")</f>
        <v/>
      </c>
      <c r="T68" s="1" t="str">
        <f>IFERROR(__xludf.DUMMYFUNCTION("""COMPUTED_VALUE"""),"")</f>
        <v/>
      </c>
      <c r="U68" s="1" t="str">
        <f>IFERROR(__xludf.DUMMYFUNCTION("""COMPUTED_VALUE"""),"")</f>
        <v/>
      </c>
      <c r="V68" s="1" t="str">
        <f>IFERROR(__xludf.DUMMYFUNCTION("""COMPUTED_VALUE"""),"150,000")</f>
        <v>150,000</v>
      </c>
      <c r="W68" s="1" t="str">
        <f>IFERROR(__xludf.DUMMYFUNCTION("""COMPUTED_VALUE"""),"")</f>
        <v/>
      </c>
      <c r="X68" s="1" t="str">
        <f>IFERROR(__xludf.DUMMYFUNCTION("""COMPUTED_VALUE"""),"")</f>
        <v/>
      </c>
      <c r="Y68" s="1" t="str">
        <f>IFERROR(__xludf.DUMMYFUNCTION("""COMPUTED_VALUE"""),"")</f>
        <v/>
      </c>
      <c r="Z68" s="1" t="str">
        <f>IFERROR(__xludf.DUMMYFUNCTION("""COMPUTED_VALUE"""),"Unknown")</f>
        <v>Unknown</v>
      </c>
      <c r="AA68" s="1" t="str">
        <f>IFERROR(__xludf.DUMMYFUNCTION("""COMPUTED_VALUE"""),"")</f>
        <v/>
      </c>
      <c r="AB68" s="1" t="str">
        <f>IFERROR(__xludf.DUMMYFUNCTION("""COMPUTED_VALUE"""),"")</f>
        <v/>
      </c>
      <c r="AC68" s="1" t="str">
        <f>IFERROR(__xludf.DUMMYFUNCTION("""COMPUTED_VALUE"""),"")</f>
        <v/>
      </c>
      <c r="AD68" s="1" t="str">
        <f>IFERROR(__xludf.DUMMYFUNCTION("""COMPUTED_VALUE"""),"")</f>
        <v/>
      </c>
      <c r="AE68" s="1" t="str">
        <f>IFERROR(__xludf.DUMMYFUNCTION("""COMPUTED_VALUE"""),"")</f>
        <v/>
      </c>
      <c r="AF68" s="1" t="str">
        <f>IFERROR(__xludf.DUMMYFUNCTION("""COMPUTED_VALUE"""),"")</f>
        <v/>
      </c>
      <c r="AG68" s="1" t="str">
        <f>IFERROR(__xludf.DUMMYFUNCTION("""COMPUTED_VALUE"""),"")</f>
        <v/>
      </c>
      <c r="AH68" s="1" t="str">
        <f>IFERROR(__xludf.DUMMYFUNCTION("""COMPUTED_VALUE"""),"Media Monitoring")</f>
        <v>Media Monitoring</v>
      </c>
      <c r="AI68" s="2" t="str">
        <f>IFERROR(__xludf.DUMMYFUNCTION("""COMPUTED_VALUE"""),"https://www.datacenterdynamics.com/en/news/equinix-launches-data-center-in-san-jose-california/")</f>
        <v>https://www.datacenterdynamics.com/en/news/equinix-launches-data-center-in-san-jose-california/</v>
      </c>
      <c r="AJ68" s="1" t="str">
        <f>IFERROR(__xludf.DUMMYFUNCTION("""COMPUTED_VALUE"""),"")</f>
        <v/>
      </c>
      <c r="AK68" s="1" t="str">
        <f>IFERROR(__xludf.DUMMYFUNCTION("""COMPUTED_VALUE"""),"")</f>
        <v/>
      </c>
      <c r="AL68" s="1" t="str">
        <f>IFERROR(__xludf.DUMMYFUNCTION("""COMPUTED_VALUE"""),"")</f>
        <v/>
      </c>
      <c r="AM68" s="1" t="str">
        <f>IFERROR(__xludf.DUMMYFUNCTION("""COMPUTED_VALUE"""),"")</f>
        <v/>
      </c>
      <c r="AN68" s="1" t="str">
        <f>IFERROR(__xludf.DUMMYFUNCTION("""COMPUTED_VALUE"""),"")</f>
        <v/>
      </c>
      <c r="AO68" s="1" t="str">
        <f>IFERROR(__xludf.DUMMYFUNCTION("""COMPUTED_VALUE"""),"")</f>
        <v/>
      </c>
      <c r="AP68" s="1" t="str">
        <f>IFERROR(__xludf.DUMMYFUNCTION("""COMPUTED_VALUE"""),"")</f>
        <v/>
      </c>
      <c r="AQ68" s="1" t="str">
        <f>IFERROR(__xludf.DUMMYFUNCTION("""COMPUTED_VALUE"""),"01/22/2026")</f>
        <v>01/22/2026</v>
      </c>
      <c r="AR68" s="1" t="str">
        <f>IFERROR(__xludf.DUMMYFUNCTION("""COMPUTED_VALUE"""),"01/22/2026")</f>
        <v>01/22/2026</v>
      </c>
    </row>
    <row r="69">
      <c r="A69" s="1" t="str">
        <f>IFERROR(__xludf.DUMMYFUNCTION("""COMPUTED_VALUE"""),"LBA Realty Data Center")</f>
        <v>LBA Realty Data Center</v>
      </c>
      <c r="B69" s="1" t="str">
        <f>IFERROR(__xludf.DUMMYFUNCTION("""COMPUTED_VALUE"""),"350 W Trimble Rd")</f>
        <v>350 W Trimble Rd</v>
      </c>
      <c r="C69" s="1" t="str">
        <f>IFERROR(__xludf.DUMMYFUNCTION("""COMPUTED_VALUE"""),"San Jose")</f>
        <v>San Jose</v>
      </c>
      <c r="D69" s="1" t="str">
        <f>IFERROR(__xludf.DUMMYFUNCTION("""COMPUTED_VALUE"""),"CA")</f>
        <v>CA</v>
      </c>
      <c r="E69" s="1" t="str">
        <f>IFERROR(__xludf.DUMMYFUNCTION("""COMPUTED_VALUE"""),"95131")</f>
        <v>95131</v>
      </c>
      <c r="F69" s="1" t="str">
        <f>IFERROR(__xludf.DUMMYFUNCTION("""COMPUTED_VALUE"""),"Santa Clara")</f>
        <v>Santa Clara</v>
      </c>
      <c r="G69" s="1" t="str">
        <f>IFERROR(__xludf.DUMMYFUNCTION("""COMPUTED_VALUE"""),"37.381")</f>
        <v>37.381</v>
      </c>
      <c r="H69" s="1" t="str">
        <f>IFERROR(__xludf.DUMMYFUNCTION("""COMPUTED_VALUE"""),"-121.935")</f>
        <v>-121.935</v>
      </c>
      <c r="I69" s="1" t="str">
        <f>IFERROR(__xludf.DUMMYFUNCTION("""COMPUTED_VALUE"""),"Proposed")</f>
        <v>Proposed</v>
      </c>
      <c r="J69" s="1" t="str">
        <f>IFERROR(__xludf.DUMMYFUNCTION("""COMPUTED_VALUE"""),"High")</f>
        <v>High</v>
      </c>
      <c r="K69" s="1" t="str">
        <f>IFERROR(__xludf.DUMMYFUNCTION("""COMPUTED_VALUE"""),"")</f>
        <v/>
      </c>
      <c r="L69" s="1" t="str">
        <f>IFERROR(__xludf.DUMMYFUNCTION("""COMPUTED_VALUE"""),"")</f>
        <v/>
      </c>
      <c r="M69" s="1" t="str">
        <f>IFERROR(__xludf.DUMMYFUNCTION("""COMPUTED_VALUE"""),"")</f>
        <v/>
      </c>
      <c r="N69" s="1" t="str">
        <f>IFERROR(__xludf.DUMMYFUNCTION("""COMPUTED_VALUE"""),"")</f>
        <v/>
      </c>
      <c r="O69" s="1" t="str">
        <f>IFERROR(__xludf.DUMMYFUNCTION("""COMPUTED_VALUE"""),"Unknown")</f>
        <v>Unknown</v>
      </c>
      <c r="P69" s="1" t="str">
        <f>IFERROR(__xludf.DUMMYFUNCTION("""COMPUTED_VALUE"""),"")</f>
        <v/>
      </c>
      <c r="Q69" s="1" t="str">
        <f>IFERROR(__xludf.DUMMYFUNCTION("""COMPUTED_VALUE"""),"")</f>
        <v/>
      </c>
      <c r="R69" s="1" t="str">
        <f>IFERROR(__xludf.DUMMYFUNCTION("""COMPUTED_VALUE"""),"")</f>
        <v/>
      </c>
      <c r="S69" s="1" t="str">
        <f>IFERROR(__xludf.DUMMYFUNCTION("""COMPUTED_VALUE"""),"")</f>
        <v/>
      </c>
      <c r="T69" s="1" t="str">
        <f>IFERROR(__xludf.DUMMYFUNCTION("""COMPUTED_VALUE"""),"")</f>
        <v/>
      </c>
      <c r="U69" s="1" t="str">
        <f>IFERROR(__xludf.DUMMYFUNCTION("""COMPUTED_VALUE"""),"")</f>
        <v/>
      </c>
      <c r="V69" s="1" t="str">
        <f>IFERROR(__xludf.DUMMYFUNCTION("""COMPUTED_VALUE"""),"415,000")</f>
        <v>415,000</v>
      </c>
      <c r="W69" s="1" t="str">
        <f>IFERROR(__xludf.DUMMYFUNCTION("""COMPUTED_VALUE"""),"28")</f>
        <v>28</v>
      </c>
      <c r="X69" s="1" t="str">
        <f>IFERROR(__xludf.DUMMYFUNCTION("""COMPUTED_VALUE"""),"")</f>
        <v/>
      </c>
      <c r="Y69" s="1" t="str">
        <f>IFERROR(__xludf.DUMMYFUNCTION("""COMPUTED_VALUE"""),"")</f>
        <v/>
      </c>
      <c r="Z69" s="1" t="str">
        <f>IFERROR(__xludf.DUMMYFUNCTION("""COMPUTED_VALUE"""),"Unknown")</f>
        <v>Unknown</v>
      </c>
      <c r="AA69" s="1" t="str">
        <f>IFERROR(__xludf.DUMMYFUNCTION("""COMPUTED_VALUE"""),"")</f>
        <v/>
      </c>
      <c r="AB69" s="1" t="str">
        <f>IFERROR(__xludf.DUMMYFUNCTION("""COMPUTED_VALUE"""),"")</f>
        <v/>
      </c>
      <c r="AC69" s="1" t="str">
        <f>IFERROR(__xludf.DUMMYFUNCTION("""COMPUTED_VALUE"""),"")</f>
        <v/>
      </c>
      <c r="AD69" s="1" t="str">
        <f>IFERROR(__xludf.DUMMYFUNCTION("""COMPUTED_VALUE"""),"")</f>
        <v/>
      </c>
      <c r="AE69" s="1" t="str">
        <f>IFERROR(__xludf.DUMMYFUNCTION("""COMPUTED_VALUE"""),"")</f>
        <v/>
      </c>
      <c r="AF69" s="1" t="str">
        <f>IFERROR(__xludf.DUMMYFUNCTION("""COMPUTED_VALUE"""),"")</f>
        <v/>
      </c>
      <c r="AG69" s="1" t="str">
        <f>IFERROR(__xludf.DUMMYFUNCTION("""COMPUTED_VALUE"""),"")</f>
        <v/>
      </c>
      <c r="AH69" s="1" t="str">
        <f>IFERROR(__xludf.DUMMYFUNCTION("""COMPUTED_VALUE"""),"Media Monitoring")</f>
        <v>Media Monitoring</v>
      </c>
      <c r="AI69" s="2" t="str">
        <f>IFERROR(__xludf.DUMMYFUNCTION("""COMPUTED_VALUE"""),"https://www.mercurynews.com/2025/07/08/san-jose-tech-build-data-internet-property-real-estate-develop-economy/")</f>
        <v>https://www.mercurynews.com/2025/07/08/san-jose-tech-build-data-internet-property-real-estate-develop-economy/</v>
      </c>
      <c r="AJ69" s="2" t="str">
        <f>IFERROR(__xludf.DUMMYFUNCTION("""COMPUTED_VALUE"""),"https://www.datacenterdynamics.com/en/news/two-data-centers-proposed-for-vacant-lot-in-san-jose-california/")</f>
        <v>https://www.datacenterdynamics.com/en/news/two-data-centers-proposed-for-vacant-lot-in-san-jose-california/</v>
      </c>
      <c r="AK69" s="1" t="str">
        <f>IFERROR(__xludf.DUMMYFUNCTION("""COMPUTED_VALUE"""),"")</f>
        <v/>
      </c>
      <c r="AL69" s="1" t="str">
        <f>IFERROR(__xludf.DUMMYFUNCTION("""COMPUTED_VALUE"""),"")</f>
        <v/>
      </c>
      <c r="AM69" s="1" t="str">
        <f>IFERROR(__xludf.DUMMYFUNCTION("""COMPUTED_VALUE"""),"")</f>
        <v/>
      </c>
      <c r="AN69" s="1" t="str">
        <f>IFERROR(__xludf.DUMMYFUNCTION("""COMPUTED_VALUE"""),"")</f>
        <v/>
      </c>
      <c r="AO69" s="1" t="str">
        <f>IFERROR(__xludf.DUMMYFUNCTION("""COMPUTED_VALUE"""),"")</f>
        <v/>
      </c>
      <c r="AP69" s="1" t="str">
        <f>IFERROR(__xludf.DUMMYFUNCTION("""COMPUTED_VALUE"""),"")</f>
        <v/>
      </c>
      <c r="AQ69" s="1" t="str">
        <f>IFERROR(__xludf.DUMMYFUNCTION("""COMPUTED_VALUE"""),"07/15/2025")</f>
        <v>07/15/2025</v>
      </c>
      <c r="AR69" s="1" t="str">
        <f>IFERROR(__xludf.DUMMYFUNCTION("""COMPUTED_VALUE"""),"07/15/2025")</f>
        <v>07/15/2025</v>
      </c>
    </row>
    <row r="70">
      <c r="A70" s="1" t="str">
        <f>IFERROR(__xludf.DUMMYFUNCTION("""COMPUTED_VALUE"""),"Microsoft Alviso Data Center")</f>
        <v>Microsoft Alviso Data Center</v>
      </c>
      <c r="B70" s="1" t="str">
        <f>IFERROR(__xludf.DUMMYFUNCTION("""COMPUTED_VALUE""")," 1657 Alviso-Milpitas Rd")</f>
        <v> 1657 Alviso-Milpitas Rd</v>
      </c>
      <c r="C70" s="1" t="str">
        <f>IFERROR(__xludf.DUMMYFUNCTION("""COMPUTED_VALUE"""),"San Jose")</f>
        <v>San Jose</v>
      </c>
      <c r="D70" s="1" t="str">
        <f>IFERROR(__xludf.DUMMYFUNCTION("""COMPUTED_VALUE"""),"CA")</f>
        <v>CA</v>
      </c>
      <c r="E70" s="1" t="str">
        <f>IFERROR(__xludf.DUMMYFUNCTION("""COMPUTED_VALUE"""),"95134")</f>
        <v>95134</v>
      </c>
      <c r="F70" s="1" t="str">
        <f>IFERROR(__xludf.DUMMYFUNCTION("""COMPUTED_VALUE"""),"Santa Clara")</f>
        <v>Santa Clara</v>
      </c>
      <c r="G70" s="1" t="str">
        <f>IFERROR(__xludf.DUMMYFUNCTION("""COMPUTED_VALUE"""),"37.42374")</f>
        <v>37.42374</v>
      </c>
      <c r="H70" s="1" t="str">
        <f>IFERROR(__xludf.DUMMYFUNCTION("""COMPUTED_VALUE"""),"-121.926254")</f>
        <v>-121.926254</v>
      </c>
      <c r="I70" s="1" t="str">
        <f>IFERROR(__xludf.DUMMYFUNCTION("""COMPUTED_VALUE"""),"Approved/Permitted/Under construction")</f>
        <v>Approved/Permitted/Under construction</v>
      </c>
      <c r="J70" s="1" t="str">
        <f>IFERROR(__xludf.DUMMYFUNCTION("""COMPUTED_VALUE"""),"High")</f>
        <v>High</v>
      </c>
      <c r="K70" s="1" t="str">
        <f>IFERROR(__xludf.DUMMYFUNCTION("""COMPUTED_VALUE"""),"")</f>
        <v/>
      </c>
      <c r="L70" s="1" t="str">
        <f>IFERROR(__xludf.DUMMYFUNCTION("""COMPUTED_VALUE"""),"Microsoft")</f>
        <v>Microsoft</v>
      </c>
      <c r="M70" s="1" t="str">
        <f>IFERROR(__xludf.DUMMYFUNCTION("""COMPUTED_VALUE"""),"")</f>
        <v/>
      </c>
      <c r="N70" s="1" t="str">
        <f>IFERROR(__xludf.DUMMYFUNCTION("""COMPUTED_VALUE"""),"48")</f>
        <v>48</v>
      </c>
      <c r="O70" s="1" t="str">
        <f>IFERROR(__xludf.DUMMYFUNCTION("""COMPUTED_VALUE"""),"Medium (11-50 MW)")</f>
        <v>Medium (11-50 MW)</v>
      </c>
      <c r="P70" s="1" t="str">
        <f>IFERROR(__xludf.DUMMYFUNCTION("""COMPUTED_VALUE"""),"")</f>
        <v/>
      </c>
      <c r="Q70" s="1" t="str">
        <f>IFERROR(__xludf.DUMMYFUNCTION("""COMPUTED_VALUE"""),"")</f>
        <v/>
      </c>
      <c r="R70" s="1" t="str">
        <f>IFERROR(__xludf.DUMMYFUNCTION("""COMPUTED_VALUE"""),"")</f>
        <v/>
      </c>
      <c r="S70" s="1" t="str">
        <f>IFERROR(__xludf.DUMMYFUNCTION("""COMPUTED_VALUE"""),"2")</f>
        <v>2</v>
      </c>
      <c r="T70" s="1" t="str">
        <f>IFERROR(__xludf.DUMMYFUNCTION("""COMPUTED_VALUE"""),"")</f>
        <v/>
      </c>
      <c r="U70" s="1" t="str">
        <f>IFERROR(__xludf.DUMMYFUNCTION("""COMPUTED_VALUE"""),"")</f>
        <v/>
      </c>
      <c r="V70" s="1" t="str">
        <f>IFERROR(__xludf.DUMMYFUNCTION("""COMPUTED_VALUE"""),"")</f>
        <v/>
      </c>
      <c r="W70" s="1" t="str">
        <f>IFERROR(__xludf.DUMMYFUNCTION("""COMPUTED_VALUE"""),"64")</f>
        <v>64</v>
      </c>
      <c r="X70" s="1" t="str">
        <f>IFERROR(__xludf.DUMMYFUNCTION("""COMPUTED_VALUE"""),"")</f>
        <v/>
      </c>
      <c r="Y70" s="1" t="str">
        <f>IFERROR(__xludf.DUMMYFUNCTION("""COMPUTED_VALUE"""),"2028")</f>
        <v>2028</v>
      </c>
      <c r="Z70" s="1" t="str">
        <f>IFERROR(__xludf.DUMMYFUNCTION("""COMPUTED_VALUE"""),"Unknown")</f>
        <v>Unknown</v>
      </c>
      <c r="AA70" s="1" t="str">
        <f>IFERROR(__xludf.DUMMYFUNCTION("""COMPUTED_VALUE"""),"")</f>
        <v/>
      </c>
      <c r="AB70" s="1" t="str">
        <f>IFERROR(__xludf.DUMMYFUNCTION("""COMPUTED_VALUE"""),"")</f>
        <v/>
      </c>
      <c r="AC70" s="1" t="str">
        <f>IFERROR(__xludf.DUMMYFUNCTION("""COMPUTED_VALUE"""),"")</f>
        <v/>
      </c>
      <c r="AD70" s="1" t="str">
        <f>IFERROR(__xludf.DUMMYFUNCTION("""COMPUTED_VALUE"""),"")</f>
        <v/>
      </c>
      <c r="AE70" s="1" t="str">
        <f>IFERROR(__xludf.DUMMYFUNCTION("""COMPUTED_VALUE"""),"")</f>
        <v/>
      </c>
      <c r="AF70" s="1" t="str">
        <f>IFERROR(__xludf.DUMMYFUNCTION("""COMPUTED_VALUE"""),"")</f>
        <v/>
      </c>
      <c r="AG70" s="1" t="str">
        <f>IFERROR(__xludf.DUMMYFUNCTION("""COMPUTED_VALUE"""),"")</f>
        <v/>
      </c>
      <c r="AH70" s="1" t="str">
        <f>IFERROR(__xludf.DUMMYFUNCTION("""COMPUTED_VALUE"""),"Media Monitoring")</f>
        <v>Media Monitoring</v>
      </c>
      <c r="AI70" s="2" t="str">
        <f>IFERROR(__xludf.DUMMYFUNCTION("""COMPUTED_VALUE"""),"https://www.datacenterdynamics.com/en/news/microsoft-breaks-ground-on-alviso-data-center-campus-in-san-jose-california/")</f>
        <v>https://www.datacenterdynamics.com/en/news/microsoft-breaks-ground-on-alviso-data-center-campus-in-san-jose-california/</v>
      </c>
      <c r="AJ70" s="1" t="str">
        <f>IFERROR(__xludf.DUMMYFUNCTION("""COMPUTED_VALUE"""),"")</f>
        <v/>
      </c>
      <c r="AK70" s="1" t="str">
        <f>IFERROR(__xludf.DUMMYFUNCTION("""COMPUTED_VALUE"""),"")</f>
        <v/>
      </c>
      <c r="AL70" s="1" t="str">
        <f>IFERROR(__xludf.DUMMYFUNCTION("""COMPUTED_VALUE"""),"")</f>
        <v/>
      </c>
      <c r="AM70" s="1" t="str">
        <f>IFERROR(__xludf.DUMMYFUNCTION("""COMPUTED_VALUE"""),"")</f>
        <v/>
      </c>
      <c r="AN70" s="1" t="str">
        <f>IFERROR(__xludf.DUMMYFUNCTION("""COMPUTED_VALUE"""),"")</f>
        <v/>
      </c>
      <c r="AO70" s="1" t="str">
        <f>IFERROR(__xludf.DUMMYFUNCTION("""COMPUTED_VALUE"""),"")</f>
        <v/>
      </c>
      <c r="AP70" s="1" t="str">
        <f>IFERROR(__xludf.DUMMYFUNCTION("""COMPUTED_VALUE"""),"")</f>
        <v/>
      </c>
      <c r="AQ70" s="1" t="str">
        <f>IFERROR(__xludf.DUMMYFUNCTION("""COMPUTED_VALUE"""),"06/12/2026")</f>
        <v>06/12/2026</v>
      </c>
      <c r="AR70" s="1" t="str">
        <f>IFERROR(__xludf.DUMMYFUNCTION("""COMPUTED_VALUE"""),"06/12/2026")</f>
        <v>06/12/2026</v>
      </c>
    </row>
    <row r="71">
      <c r="A71" s="1" t="str">
        <f>IFERROR(__xludf.DUMMYFUNCTION("""COMPUTED_VALUE"""),"Prologis")</f>
        <v>Prologis</v>
      </c>
      <c r="B71" s="1" t="str">
        <f>IFERROR(__xludf.DUMMYFUNCTION("""COMPUTED_VALUE"""),"Zanker Rd and Hwy 237")</f>
        <v>Zanker Rd and Hwy 237</v>
      </c>
      <c r="C71" s="1" t="str">
        <f>IFERROR(__xludf.DUMMYFUNCTION("""COMPUTED_VALUE"""),"San Jose")</f>
        <v>San Jose</v>
      </c>
      <c r="D71" s="1" t="str">
        <f>IFERROR(__xludf.DUMMYFUNCTION("""COMPUTED_VALUE"""),"CA")</f>
        <v>CA</v>
      </c>
      <c r="E71" s="1" t="str">
        <f>IFERROR(__xludf.DUMMYFUNCTION("""COMPUTED_VALUE"""),"95134")</f>
        <v>95134</v>
      </c>
      <c r="F71" s="1" t="str">
        <f>IFERROR(__xludf.DUMMYFUNCTION("""COMPUTED_VALUE"""),"Santa Clara")</f>
        <v>Santa Clara</v>
      </c>
      <c r="G71" s="1" t="str">
        <f>IFERROR(__xludf.DUMMYFUNCTION("""COMPUTED_VALUE"""),"37.423885")</f>
        <v>37.423885</v>
      </c>
      <c r="H71" s="1" t="str">
        <f>IFERROR(__xludf.DUMMYFUNCTION("""COMPUTED_VALUE"""),"-121.94313")</f>
        <v>-121.94313</v>
      </c>
      <c r="I71" s="1" t="str">
        <f>IFERROR(__xludf.DUMMYFUNCTION("""COMPUTED_VALUE"""),"Proposed")</f>
        <v>Proposed</v>
      </c>
      <c r="J71" s="1" t="str">
        <f>IFERROR(__xludf.DUMMYFUNCTION("""COMPUTED_VALUE"""),"High")</f>
        <v>High</v>
      </c>
      <c r="K71" s="1" t="str">
        <f>IFERROR(__xludf.DUMMYFUNCTION("""COMPUTED_VALUE"""),"")</f>
        <v/>
      </c>
      <c r="L71" s="1" t="str">
        <f>IFERROR(__xludf.DUMMYFUNCTION("""COMPUTED_VALUE"""),"Prologis")</f>
        <v>Prologis</v>
      </c>
      <c r="M71" s="1" t="str">
        <f>IFERROR(__xludf.DUMMYFUNCTION("""COMPUTED_VALUE"""),"")</f>
        <v/>
      </c>
      <c r="N71" s="1" t="str">
        <f>IFERROR(__xludf.DUMMYFUNCTION("""COMPUTED_VALUE"""),"396")</f>
        <v>396</v>
      </c>
      <c r="O71" s="1" t="str">
        <f>IFERROR(__xludf.DUMMYFUNCTION("""COMPUTED_VALUE"""),"Hyperscale (100-999 MW)")</f>
        <v>Hyperscale (100-999 MW)</v>
      </c>
      <c r="P71" s="1" t="str">
        <f>IFERROR(__xludf.DUMMYFUNCTION("""COMPUTED_VALUE"""),"")</f>
        <v/>
      </c>
      <c r="Q71" s="1" t="str">
        <f>IFERROR(__xludf.DUMMYFUNCTION("""COMPUTED_VALUE"""),"")</f>
        <v/>
      </c>
      <c r="R71" s="1" t="str">
        <f>IFERROR(__xludf.DUMMYFUNCTION("""COMPUTED_VALUE"""),"")</f>
        <v/>
      </c>
      <c r="S71" s="1" t="str">
        <f>IFERROR(__xludf.DUMMYFUNCTION("""COMPUTED_VALUE"""),"")</f>
        <v/>
      </c>
      <c r="T71" s="1" t="str">
        <f>IFERROR(__xludf.DUMMYFUNCTION("""COMPUTED_VALUE"""),"")</f>
        <v/>
      </c>
      <c r="U71" s="1" t="str">
        <f>IFERROR(__xludf.DUMMYFUNCTION("""COMPUTED_VALUE"""),"")</f>
        <v/>
      </c>
      <c r="V71" s="1" t="str">
        <f>IFERROR(__xludf.DUMMYFUNCTION("""COMPUTED_VALUE"""),"1,684,000")</f>
        <v>1,684,000</v>
      </c>
      <c r="W71" s="1" t="str">
        <f>IFERROR(__xludf.DUMMYFUNCTION("""COMPUTED_VALUE"""),"159")</f>
        <v>159</v>
      </c>
      <c r="X71" s="1" t="str">
        <f>IFERROR(__xludf.DUMMYFUNCTION("""COMPUTED_VALUE"""),"")</f>
        <v/>
      </c>
      <c r="Y71" s="1" t="str">
        <f>IFERROR(__xludf.DUMMYFUNCTION("""COMPUTED_VALUE"""),"")</f>
        <v/>
      </c>
      <c r="Z71" s="1" t="str">
        <f>IFERROR(__xludf.DUMMYFUNCTION("""COMPUTED_VALUE"""),"Unknown")</f>
        <v>Unknown</v>
      </c>
      <c r="AA71" s="1" t="str">
        <f>IFERROR(__xludf.DUMMYFUNCTION("""COMPUTED_VALUE"""),"")</f>
        <v/>
      </c>
      <c r="AB71" s="1" t="str">
        <f>IFERROR(__xludf.DUMMYFUNCTION("""COMPUTED_VALUE"""),"")</f>
        <v/>
      </c>
      <c r="AC71" s="1" t="str">
        <f>IFERROR(__xludf.DUMMYFUNCTION("""COMPUTED_VALUE"""),"")</f>
        <v/>
      </c>
      <c r="AD71" s="1" t="str">
        <f>IFERROR(__xludf.DUMMYFUNCTION("""COMPUTED_VALUE"""),"")</f>
        <v/>
      </c>
      <c r="AE71" s="1" t="str">
        <f>IFERROR(__xludf.DUMMYFUNCTION("""COMPUTED_VALUE"""),"")</f>
        <v/>
      </c>
      <c r="AF71" s="1" t="str">
        <f>IFERROR(__xludf.DUMMYFUNCTION("""COMPUTED_VALUE"""),"")</f>
        <v/>
      </c>
      <c r="AG71" s="1" t="str">
        <f>IFERROR(__xludf.DUMMYFUNCTION("""COMPUTED_VALUE"""),"")</f>
        <v/>
      </c>
      <c r="AH71" s="1" t="str">
        <f>IFERROR(__xludf.DUMMYFUNCTION("""COMPUTED_VALUE"""),"Media Monitoring")</f>
        <v>Media Monitoring</v>
      </c>
      <c r="AI71" s="2" t="str">
        <f>IFERROR(__xludf.DUMMYFUNCTION("""COMPUTED_VALUE"""),"https://www.datacenterdynamics.com/en/news/400mw-prologis-data-center-campus-chosen-as-preferred-project-on-city-owned-land-in-san-jose-california/")</f>
        <v>https://www.datacenterdynamics.com/en/news/400mw-prologis-data-center-campus-chosen-as-preferred-project-on-city-owned-land-in-san-jose-california/</v>
      </c>
      <c r="AJ71" s="1" t="str">
        <f>IFERROR(__xludf.DUMMYFUNCTION("""COMPUTED_VALUE"""),"")</f>
        <v/>
      </c>
      <c r="AK71" s="1" t="str">
        <f>IFERROR(__xludf.DUMMYFUNCTION("""COMPUTED_VALUE"""),"")</f>
        <v/>
      </c>
      <c r="AL71" s="1" t="str">
        <f>IFERROR(__xludf.DUMMYFUNCTION("""COMPUTED_VALUE"""),"")</f>
        <v/>
      </c>
      <c r="AM71" s="1" t="str">
        <f>IFERROR(__xludf.DUMMYFUNCTION("""COMPUTED_VALUE"""),"")</f>
        <v/>
      </c>
      <c r="AN71" s="1" t="str">
        <f>IFERROR(__xludf.DUMMYFUNCTION("""COMPUTED_VALUE"""),"")</f>
        <v/>
      </c>
      <c r="AO71" s="1" t="str">
        <f>IFERROR(__xludf.DUMMYFUNCTION("""COMPUTED_VALUE"""),"")</f>
        <v/>
      </c>
      <c r="AP71" s="1" t="str">
        <f>IFERROR(__xludf.DUMMYFUNCTION("""COMPUTED_VALUE"""),"")</f>
        <v/>
      </c>
      <c r="AQ71" s="1" t="str">
        <f>IFERROR(__xludf.DUMMYFUNCTION("""COMPUTED_VALUE"""),"11/28/2025")</f>
        <v>11/28/2025</v>
      </c>
      <c r="AR71" s="1" t="str">
        <f>IFERROR(__xludf.DUMMYFUNCTION("""COMPUTED_VALUE"""),"11/28/2025")</f>
        <v>11/28/2025</v>
      </c>
    </row>
    <row r="72">
      <c r="A72" s="1" t="str">
        <f>IFERROR(__xludf.DUMMYFUNCTION("""COMPUTED_VALUE"""),"Prologis Data Center")</f>
        <v>Prologis Data Center</v>
      </c>
      <c r="B72" s="1" t="str">
        <f>IFERROR(__xludf.DUMMYFUNCTION("""COMPUTED_VALUE"""),"5977 Silver Creek Valley Rd")</f>
        <v>5977 Silver Creek Valley Rd</v>
      </c>
      <c r="C72" s="1" t="str">
        <f>IFERROR(__xludf.DUMMYFUNCTION("""COMPUTED_VALUE"""),"San Jose")</f>
        <v>San Jose</v>
      </c>
      <c r="D72" s="1" t="str">
        <f>IFERROR(__xludf.DUMMYFUNCTION("""COMPUTED_VALUE"""),"CA")</f>
        <v>CA</v>
      </c>
      <c r="E72" s="1" t="str">
        <f>IFERROR(__xludf.DUMMYFUNCTION("""COMPUTED_VALUE"""),"95138")</f>
        <v>95138</v>
      </c>
      <c r="F72" s="1" t="str">
        <f>IFERROR(__xludf.DUMMYFUNCTION("""COMPUTED_VALUE"""),"Santa Clara")</f>
        <v>Santa Clara</v>
      </c>
      <c r="G72" s="1" t="str">
        <f>IFERROR(__xludf.DUMMYFUNCTION("""COMPUTED_VALUE"""),"37.258656")</f>
        <v>37.258656</v>
      </c>
      <c r="H72" s="1" t="str">
        <f>IFERROR(__xludf.DUMMYFUNCTION("""COMPUTED_VALUE"""),"-121.7877")</f>
        <v>-121.7877</v>
      </c>
      <c r="I72" s="1" t="str">
        <f>IFERROR(__xludf.DUMMYFUNCTION("""COMPUTED_VALUE"""),"Proposed")</f>
        <v>Proposed</v>
      </c>
      <c r="J72" s="1" t="str">
        <f>IFERROR(__xludf.DUMMYFUNCTION("""COMPUTED_VALUE"""),"High")</f>
        <v>High</v>
      </c>
      <c r="K72" s="1" t="str">
        <f>IFERROR(__xludf.DUMMYFUNCTION("""COMPUTED_VALUE"""),"")</f>
        <v/>
      </c>
      <c r="L72" s="1" t="str">
        <f>IFERROR(__xludf.DUMMYFUNCTION("""COMPUTED_VALUE"""),"Prologis")</f>
        <v>Prologis</v>
      </c>
      <c r="M72" s="1" t="str">
        <f>IFERROR(__xludf.DUMMYFUNCTION("""COMPUTED_VALUE"""),"")</f>
        <v/>
      </c>
      <c r="N72" s="1" t="str">
        <f>IFERROR(__xludf.DUMMYFUNCTION("""COMPUTED_VALUE"""),"99")</f>
        <v>99</v>
      </c>
      <c r="O72" s="1" t="str">
        <f>IFERROR(__xludf.DUMMYFUNCTION("""COMPUTED_VALUE"""),"Large (51-99 MW)")</f>
        <v>Large (51-99 MW)</v>
      </c>
      <c r="P72" s="1" t="str">
        <f>IFERROR(__xludf.DUMMYFUNCTION("""COMPUTED_VALUE"""),"")</f>
        <v/>
      </c>
      <c r="Q72" s="1" t="str">
        <f>IFERROR(__xludf.DUMMYFUNCTION("""COMPUTED_VALUE"""),"")</f>
        <v/>
      </c>
      <c r="R72" s="1" t="str">
        <f>IFERROR(__xludf.DUMMYFUNCTION("""COMPUTED_VALUE"""),"")</f>
        <v/>
      </c>
      <c r="S72" s="1" t="str">
        <f>IFERROR(__xludf.DUMMYFUNCTION("""COMPUTED_VALUE"""),"")</f>
        <v/>
      </c>
      <c r="T72" s="1" t="str">
        <f>IFERROR(__xludf.DUMMYFUNCTION("""COMPUTED_VALUE"""),"")</f>
        <v/>
      </c>
      <c r="U72" s="1" t="str">
        <f>IFERROR(__xludf.DUMMYFUNCTION("""COMPUTED_VALUE"""),"")</f>
        <v/>
      </c>
      <c r="V72" s="1" t="str">
        <f>IFERROR(__xludf.DUMMYFUNCTION("""COMPUTED_VALUE"""),"516,000")</f>
        <v>516,000</v>
      </c>
      <c r="W72" s="1" t="str">
        <f>IFERROR(__xludf.DUMMYFUNCTION("""COMPUTED_VALUE"""),"15")</f>
        <v>15</v>
      </c>
      <c r="X72" s="1" t="str">
        <f>IFERROR(__xludf.DUMMYFUNCTION("""COMPUTED_VALUE"""),"$23 billion")</f>
        <v>$23 billion</v>
      </c>
      <c r="Y72" s="1" t="str">
        <f>IFERROR(__xludf.DUMMYFUNCTION("""COMPUTED_VALUE"""),"2028")</f>
        <v>2028</v>
      </c>
      <c r="Z72" s="1" t="str">
        <f>IFERROR(__xludf.DUMMYFUNCTION("""COMPUTED_VALUE"""),"")</f>
        <v/>
      </c>
      <c r="AA72" s="1" t="str">
        <f>IFERROR(__xludf.DUMMYFUNCTION("""COMPUTED_VALUE"""),"")</f>
        <v/>
      </c>
      <c r="AB72" s="1" t="str">
        <f>IFERROR(__xludf.DUMMYFUNCTION("""COMPUTED_VALUE"""),"")</f>
        <v/>
      </c>
      <c r="AC72" s="1" t="str">
        <f>IFERROR(__xludf.DUMMYFUNCTION("""COMPUTED_VALUE"""),"")</f>
        <v/>
      </c>
      <c r="AD72" s="1" t="str">
        <f>IFERROR(__xludf.DUMMYFUNCTION("""COMPUTED_VALUE"""),"")</f>
        <v/>
      </c>
      <c r="AE72" s="1" t="str">
        <f>IFERROR(__xludf.DUMMYFUNCTION("""COMPUTED_VALUE"""),"")</f>
        <v/>
      </c>
      <c r="AF72" s="1" t="str">
        <f>IFERROR(__xludf.DUMMYFUNCTION("""COMPUTED_VALUE"""),"")</f>
        <v/>
      </c>
      <c r="AG72" s="1" t="str">
        <f>IFERROR(__xludf.DUMMYFUNCTION("""COMPUTED_VALUE"""),"")</f>
        <v/>
      </c>
      <c r="AH72" s="1" t="str">
        <f>IFERROR(__xludf.DUMMYFUNCTION("""COMPUTED_VALUE"""),"Media Monitoring")</f>
        <v>Media Monitoring</v>
      </c>
      <c r="AI72" s="2" t="str">
        <f>IFERROR(__xludf.DUMMYFUNCTION("""COMPUTED_VALUE"""),"https://www.datacenterdynamics.com/en/news/prologis-files-to-build-99mw-data-center-in-san-jose-california/")</f>
        <v>https://www.datacenterdynamics.com/en/news/prologis-files-to-build-99mw-data-center-in-san-jose-california/</v>
      </c>
      <c r="AJ72" s="1" t="str">
        <f>IFERROR(__xludf.DUMMYFUNCTION("""COMPUTED_VALUE"""),"")</f>
        <v/>
      </c>
      <c r="AK72" s="1" t="str">
        <f>IFERROR(__xludf.DUMMYFUNCTION("""COMPUTED_VALUE"""),"")</f>
        <v/>
      </c>
      <c r="AL72" s="1" t="str">
        <f>IFERROR(__xludf.DUMMYFUNCTION("""COMPUTED_VALUE"""),"")</f>
        <v/>
      </c>
      <c r="AM72" s="1" t="str">
        <f>IFERROR(__xludf.DUMMYFUNCTION("""COMPUTED_VALUE"""),"")</f>
        <v/>
      </c>
      <c r="AN72" s="1" t="str">
        <f>IFERROR(__xludf.DUMMYFUNCTION("""COMPUTED_VALUE"""),"")</f>
        <v/>
      </c>
      <c r="AO72" s="1" t="str">
        <f>IFERROR(__xludf.DUMMYFUNCTION("""COMPUTED_VALUE"""),"")</f>
        <v/>
      </c>
      <c r="AP72" s="1" t="str">
        <f>IFERROR(__xludf.DUMMYFUNCTION("""COMPUTED_VALUE"""),"")</f>
        <v/>
      </c>
      <c r="AQ72" s="1" t="str">
        <f>IFERROR(__xludf.DUMMYFUNCTION("""COMPUTED_VALUE"""),"07/11/2026")</f>
        <v>07/11/2026</v>
      </c>
      <c r="AR72" s="1" t="str">
        <f>IFERROR(__xludf.DUMMYFUNCTION("""COMPUTED_VALUE"""),"07/11/2026")</f>
        <v>07/11/2026</v>
      </c>
    </row>
    <row r="73">
      <c r="A73" s="1" t="str">
        <f>IFERROR(__xludf.DUMMYFUNCTION("""COMPUTED_VALUE"""),"Colovore")</f>
        <v>Colovore</v>
      </c>
      <c r="B73" s="1" t="str">
        <f>IFERROR(__xludf.DUMMYFUNCTION("""COMPUTED_VALUE"""),"1101 Space Park Drive")</f>
        <v>1101 Space Park Drive</v>
      </c>
      <c r="C73" s="1" t="str">
        <f>IFERROR(__xludf.DUMMYFUNCTION("""COMPUTED_VALUE"""),"Santa Clara")</f>
        <v>Santa Clara</v>
      </c>
      <c r="D73" s="1" t="str">
        <f>IFERROR(__xludf.DUMMYFUNCTION("""COMPUTED_VALUE"""),"CA")</f>
        <v>CA</v>
      </c>
      <c r="E73" s="1" t="str">
        <f>IFERROR(__xludf.DUMMYFUNCTION("""COMPUTED_VALUE"""),"95054")</f>
        <v>95054</v>
      </c>
      <c r="F73" s="1" t="str">
        <f>IFERROR(__xludf.DUMMYFUNCTION("""COMPUTED_VALUE"""),"Santa Clara")</f>
        <v>Santa Clara</v>
      </c>
      <c r="G73" s="1" t="str">
        <f>IFERROR(__xludf.DUMMYFUNCTION("""COMPUTED_VALUE"""),"37.37668")</f>
        <v>37.37668</v>
      </c>
      <c r="H73" s="1" t="str">
        <f>IFERROR(__xludf.DUMMYFUNCTION("""COMPUTED_VALUE"""),"-121.953")</f>
        <v>-121.953</v>
      </c>
      <c r="I73" s="1" t="str">
        <f>IFERROR(__xludf.DUMMYFUNCTION("""COMPUTED_VALUE"""),"Operating")</f>
        <v>Operating</v>
      </c>
      <c r="J73" s="1" t="str">
        <f>IFERROR(__xludf.DUMMYFUNCTION("""COMPUTED_VALUE"""),"High")</f>
        <v>High</v>
      </c>
      <c r="K73" s="1" t="str">
        <f>IFERROR(__xludf.DUMMYFUNCTION("""COMPUTED_VALUE"""),"")</f>
        <v/>
      </c>
      <c r="L73" s="1" t="str">
        <f>IFERROR(__xludf.DUMMYFUNCTION("""COMPUTED_VALUE"""),"")</f>
        <v/>
      </c>
      <c r="M73" s="1" t="str">
        <f>IFERROR(__xludf.DUMMYFUNCTION("""COMPUTED_VALUE"""),"")</f>
        <v/>
      </c>
      <c r="N73" s="1" t="str">
        <f>IFERROR(__xludf.DUMMYFUNCTION("""COMPUTED_VALUE"""),"")</f>
        <v/>
      </c>
      <c r="O73" s="1" t="str">
        <f>IFERROR(__xludf.DUMMYFUNCTION("""COMPUTED_VALUE"""),"Unknown")</f>
        <v>Unknown</v>
      </c>
      <c r="P73" s="1" t="str">
        <f>IFERROR(__xludf.DUMMYFUNCTION("""COMPUTED_VALUE"""),"")</f>
        <v/>
      </c>
      <c r="Q73" s="1" t="str">
        <f>IFERROR(__xludf.DUMMYFUNCTION("""COMPUTED_VALUE"""),"")</f>
        <v/>
      </c>
      <c r="R73" s="1" t="str">
        <f>IFERROR(__xludf.DUMMYFUNCTION("""COMPUTED_VALUE"""),"")</f>
        <v/>
      </c>
      <c r="S73" s="1" t="str">
        <f>IFERROR(__xludf.DUMMYFUNCTION("""COMPUTED_VALUE"""),"")</f>
        <v/>
      </c>
      <c r="T73" s="1" t="str">
        <f>IFERROR(__xludf.DUMMYFUNCTION("""COMPUTED_VALUE"""),"Water")</f>
        <v>Water</v>
      </c>
      <c r="U73" s="1" t="str">
        <f>IFERROR(__xludf.DUMMYFUNCTION("""COMPUTED_VALUE"""),"")</f>
        <v/>
      </c>
      <c r="V73" s="1" t="str">
        <f>IFERROR(__xludf.DUMMYFUNCTION("""COMPUTED_VALUE"""),"24,000")</f>
        <v>24,000</v>
      </c>
      <c r="W73" s="1" t="str">
        <f>IFERROR(__xludf.DUMMYFUNCTION("""COMPUTED_VALUE"""),"")</f>
        <v/>
      </c>
      <c r="X73" s="1" t="str">
        <f>IFERROR(__xludf.DUMMYFUNCTION("""COMPUTED_VALUE"""),"")</f>
        <v/>
      </c>
      <c r="Y73" s="1" t="str">
        <f>IFERROR(__xludf.DUMMYFUNCTION("""COMPUTED_VALUE"""),"")</f>
        <v/>
      </c>
      <c r="Z73" s="1" t="str">
        <f>IFERROR(__xludf.DUMMYFUNCTION("""COMPUTED_VALUE"""),"Unknown")</f>
        <v>Unknown</v>
      </c>
      <c r="AA73" s="1" t="str">
        <f>IFERROR(__xludf.DUMMYFUNCTION("""COMPUTED_VALUE"""),"")</f>
        <v/>
      </c>
      <c r="AB73" s="1" t="str">
        <f>IFERROR(__xludf.DUMMYFUNCTION("""COMPUTED_VALUE"""),"")</f>
        <v/>
      </c>
      <c r="AC73" s="1" t="str">
        <f>IFERROR(__xludf.DUMMYFUNCTION("""COMPUTED_VALUE"""),"")</f>
        <v/>
      </c>
      <c r="AD73" s="1" t="str">
        <f>IFERROR(__xludf.DUMMYFUNCTION("""COMPUTED_VALUE"""),"")</f>
        <v/>
      </c>
      <c r="AE73" s="1" t="str">
        <f>IFERROR(__xludf.DUMMYFUNCTION("""COMPUTED_VALUE"""),"")</f>
        <v/>
      </c>
      <c r="AF73" s="1" t="str">
        <f>IFERROR(__xludf.DUMMYFUNCTION("""COMPUTED_VALUE"""),"")</f>
        <v/>
      </c>
      <c r="AG73" s="1" t="str">
        <f>IFERROR(__xludf.DUMMYFUNCTION("""COMPUTED_VALUE"""),"Liquid cooled")</f>
        <v>Liquid cooled</v>
      </c>
      <c r="AH73" s="1" t="str">
        <f>IFERROR(__xludf.DUMMYFUNCTION("""COMPUTED_VALUE"""),"Media Monitoring")</f>
        <v>Media Monitoring</v>
      </c>
      <c r="AI73" s="2" t="str">
        <f>IFERROR(__xludf.DUMMYFUNCTION("""COMPUTED_VALUE"""),"https://www.datacenterdynamics.com/en/news/colovore-plans-data-center-in-austin-texas/")</f>
        <v>https://www.datacenterdynamics.com/en/news/colovore-plans-data-center-in-austin-texas/</v>
      </c>
      <c r="AJ73" s="1" t="str">
        <f>IFERROR(__xludf.DUMMYFUNCTION("""COMPUTED_VALUE"""),"")</f>
        <v/>
      </c>
      <c r="AK73" s="1" t="str">
        <f>IFERROR(__xludf.DUMMYFUNCTION("""COMPUTED_VALUE"""),"")</f>
        <v/>
      </c>
      <c r="AL73" s="1" t="str">
        <f>IFERROR(__xludf.DUMMYFUNCTION("""COMPUTED_VALUE"""),"")</f>
        <v/>
      </c>
      <c r="AM73" s="1" t="str">
        <f>IFERROR(__xludf.DUMMYFUNCTION("""COMPUTED_VALUE"""),"")</f>
        <v/>
      </c>
      <c r="AN73" s="1" t="str">
        <f>IFERROR(__xludf.DUMMYFUNCTION("""COMPUTED_VALUE"""),"")</f>
        <v/>
      </c>
      <c r="AO73" s="1" t="str">
        <f>IFERROR(__xludf.DUMMYFUNCTION("""COMPUTED_VALUE"""),"")</f>
        <v/>
      </c>
      <c r="AP73" s="1" t="str">
        <f>IFERROR(__xludf.DUMMYFUNCTION("""COMPUTED_VALUE"""),"")</f>
        <v/>
      </c>
      <c r="AQ73" s="1" t="str">
        <f>IFERROR(__xludf.DUMMYFUNCTION("""COMPUTED_VALUE"""),"08/03/2025")</f>
        <v>08/03/2025</v>
      </c>
      <c r="AR73" s="1" t="str">
        <f>IFERROR(__xludf.DUMMYFUNCTION("""COMPUTED_VALUE"""),"08/03/2025")</f>
        <v>08/03/2025</v>
      </c>
    </row>
    <row r="74">
      <c r="A74" s="1" t="str">
        <f>IFERROR(__xludf.DUMMYFUNCTION("""COMPUTED_VALUE"""),"Colovore")</f>
        <v>Colovore</v>
      </c>
      <c r="B74" s="1" t="str">
        <f>IFERROR(__xludf.DUMMYFUNCTION("""COMPUTED_VALUE"""),"3060 Raymond Street")</f>
        <v>3060 Raymond Street</v>
      </c>
      <c r="C74" s="1" t="str">
        <f>IFERROR(__xludf.DUMMYFUNCTION("""COMPUTED_VALUE"""),"Santa Clara")</f>
        <v>Santa Clara</v>
      </c>
      <c r="D74" s="1" t="str">
        <f>IFERROR(__xludf.DUMMYFUNCTION("""COMPUTED_VALUE"""),"CA")</f>
        <v>CA</v>
      </c>
      <c r="E74" s="1" t="str">
        <f>IFERROR(__xludf.DUMMYFUNCTION("""COMPUTED_VALUE"""),"95054")</f>
        <v>95054</v>
      </c>
      <c r="F74" s="1" t="str">
        <f>IFERROR(__xludf.DUMMYFUNCTION("""COMPUTED_VALUE"""),"Santa Clara")</f>
        <v>Santa Clara</v>
      </c>
      <c r="G74" s="1" t="str">
        <f>IFERROR(__xludf.DUMMYFUNCTION("""COMPUTED_VALUE"""),"37.37739")</f>
        <v>37.37739</v>
      </c>
      <c r="H74" s="1" t="str">
        <f>IFERROR(__xludf.DUMMYFUNCTION("""COMPUTED_VALUE"""),"-121.953")</f>
        <v>-121.953</v>
      </c>
      <c r="I74" s="1" t="str">
        <f>IFERROR(__xludf.DUMMYFUNCTION("""COMPUTED_VALUE"""),"Operating")</f>
        <v>Operating</v>
      </c>
      <c r="J74" s="1" t="str">
        <f>IFERROR(__xludf.DUMMYFUNCTION("""COMPUTED_VALUE"""),"High")</f>
        <v>High</v>
      </c>
      <c r="K74" s="1" t="str">
        <f>IFERROR(__xludf.DUMMYFUNCTION("""COMPUTED_VALUE"""),"")</f>
        <v/>
      </c>
      <c r="L74" s="1" t="str">
        <f>IFERROR(__xludf.DUMMYFUNCTION("""COMPUTED_VALUE"""),"")</f>
        <v/>
      </c>
      <c r="M74" s="1" t="str">
        <f>IFERROR(__xludf.DUMMYFUNCTION("""COMPUTED_VALUE"""),"")</f>
        <v/>
      </c>
      <c r="N74" s="1" t="str">
        <f>IFERROR(__xludf.DUMMYFUNCTION("""COMPUTED_VALUE"""),"")</f>
        <v/>
      </c>
      <c r="O74" s="1" t="str">
        <f>IFERROR(__xludf.DUMMYFUNCTION("""COMPUTED_VALUE"""),"Unknown")</f>
        <v>Unknown</v>
      </c>
      <c r="P74" s="1" t="str">
        <f>IFERROR(__xludf.DUMMYFUNCTION("""COMPUTED_VALUE"""),"")</f>
        <v/>
      </c>
      <c r="Q74" s="1" t="str">
        <f>IFERROR(__xludf.DUMMYFUNCTION("""COMPUTED_VALUE"""),"")</f>
        <v/>
      </c>
      <c r="R74" s="1" t="str">
        <f>IFERROR(__xludf.DUMMYFUNCTION("""COMPUTED_VALUE"""),"")</f>
        <v/>
      </c>
      <c r="S74" s="1" t="str">
        <f>IFERROR(__xludf.DUMMYFUNCTION("""COMPUTED_VALUE"""),"")</f>
        <v/>
      </c>
      <c r="T74" s="1" t="str">
        <f>IFERROR(__xludf.DUMMYFUNCTION("""COMPUTED_VALUE"""),"")</f>
        <v/>
      </c>
      <c r="U74" s="1" t="str">
        <f>IFERROR(__xludf.DUMMYFUNCTION("""COMPUTED_VALUE"""),"")</f>
        <v/>
      </c>
      <c r="V74" s="1" t="str">
        <f>IFERROR(__xludf.DUMMYFUNCTION("""COMPUTED_VALUE"""),"")</f>
        <v/>
      </c>
      <c r="W74" s="1" t="str">
        <f>IFERROR(__xludf.DUMMYFUNCTION("""COMPUTED_VALUE"""),"")</f>
        <v/>
      </c>
      <c r="X74" s="1" t="str">
        <f>IFERROR(__xludf.DUMMYFUNCTION("""COMPUTED_VALUE"""),"")</f>
        <v/>
      </c>
      <c r="Y74" s="1" t="str">
        <f>IFERROR(__xludf.DUMMYFUNCTION("""COMPUTED_VALUE"""),"")</f>
        <v/>
      </c>
      <c r="Z74" s="1" t="str">
        <f>IFERROR(__xludf.DUMMYFUNCTION("""COMPUTED_VALUE"""),"Unknown")</f>
        <v>Unknown</v>
      </c>
      <c r="AA74" s="1" t="str">
        <f>IFERROR(__xludf.DUMMYFUNCTION("""COMPUTED_VALUE"""),"")</f>
        <v/>
      </c>
      <c r="AB74" s="1" t="str">
        <f>IFERROR(__xludf.DUMMYFUNCTION("""COMPUTED_VALUE"""),"")</f>
        <v/>
      </c>
      <c r="AC74" s="1" t="str">
        <f>IFERROR(__xludf.DUMMYFUNCTION("""COMPUTED_VALUE"""),"")</f>
        <v/>
      </c>
      <c r="AD74" s="1" t="str">
        <f>IFERROR(__xludf.DUMMYFUNCTION("""COMPUTED_VALUE"""),"")</f>
        <v/>
      </c>
      <c r="AE74" s="1" t="str">
        <f>IFERROR(__xludf.DUMMYFUNCTION("""COMPUTED_VALUE"""),"")</f>
        <v/>
      </c>
      <c r="AF74" s="1" t="str">
        <f>IFERROR(__xludf.DUMMYFUNCTION("""COMPUTED_VALUE"""),"")</f>
        <v/>
      </c>
      <c r="AG74" s="1" t="str">
        <f>IFERROR(__xludf.DUMMYFUNCTION("""COMPUTED_VALUE"""),"Liquid cooled")</f>
        <v>Liquid cooled</v>
      </c>
      <c r="AH74" s="1" t="str">
        <f>IFERROR(__xludf.DUMMYFUNCTION("""COMPUTED_VALUE"""),"Media Monitoring")</f>
        <v>Media Monitoring</v>
      </c>
      <c r="AI74" s="2" t="str">
        <f>IFERROR(__xludf.DUMMYFUNCTION("""COMPUTED_VALUE"""),"https://www.datacenterdynamics.com/en/news/colovore-plans-data-center-in-austin-texas/")</f>
        <v>https://www.datacenterdynamics.com/en/news/colovore-plans-data-center-in-austin-texas/</v>
      </c>
      <c r="AJ74" s="1" t="str">
        <f>IFERROR(__xludf.DUMMYFUNCTION("""COMPUTED_VALUE"""),"")</f>
        <v/>
      </c>
      <c r="AK74" s="1" t="str">
        <f>IFERROR(__xludf.DUMMYFUNCTION("""COMPUTED_VALUE"""),"")</f>
        <v/>
      </c>
      <c r="AL74" s="1" t="str">
        <f>IFERROR(__xludf.DUMMYFUNCTION("""COMPUTED_VALUE"""),"")</f>
        <v/>
      </c>
      <c r="AM74" s="1" t="str">
        <f>IFERROR(__xludf.DUMMYFUNCTION("""COMPUTED_VALUE"""),"")</f>
        <v/>
      </c>
      <c r="AN74" s="1" t="str">
        <f>IFERROR(__xludf.DUMMYFUNCTION("""COMPUTED_VALUE"""),"")</f>
        <v/>
      </c>
      <c r="AO74" s="1" t="str">
        <f>IFERROR(__xludf.DUMMYFUNCTION("""COMPUTED_VALUE"""),"")</f>
        <v/>
      </c>
      <c r="AP74" s="1" t="str">
        <f>IFERROR(__xludf.DUMMYFUNCTION("""COMPUTED_VALUE"""),"")</f>
        <v/>
      </c>
      <c r="AQ74" s="1" t="str">
        <f>IFERROR(__xludf.DUMMYFUNCTION("""COMPUTED_VALUE"""),"08/03/2025")</f>
        <v>08/03/2025</v>
      </c>
      <c r="AR74" s="1" t="str">
        <f>IFERROR(__xludf.DUMMYFUNCTION("""COMPUTED_VALUE"""),"08/03/2025")</f>
        <v>08/03/2025</v>
      </c>
    </row>
    <row r="75">
      <c r="A75" s="1" t="str">
        <f>IFERROR(__xludf.DUMMYFUNCTION("""COMPUTED_VALUE"""),"CoreSite SV9")</f>
        <v>CoreSite SV9</v>
      </c>
      <c r="B75" s="1" t="str">
        <f>IFERROR(__xludf.DUMMYFUNCTION("""COMPUTED_VALUE"""),"2915 Stender Way")</f>
        <v>2915 Stender Way</v>
      </c>
      <c r="C75" s="1" t="str">
        <f>IFERROR(__xludf.DUMMYFUNCTION("""COMPUTED_VALUE"""),"Santa Clara")</f>
        <v>Santa Clara</v>
      </c>
      <c r="D75" s="1" t="str">
        <f>IFERROR(__xludf.DUMMYFUNCTION("""COMPUTED_VALUE"""),"CA")</f>
        <v>CA</v>
      </c>
      <c r="E75" s="1" t="str">
        <f>IFERROR(__xludf.DUMMYFUNCTION("""COMPUTED_VALUE"""),"95054")</f>
        <v>95054</v>
      </c>
      <c r="F75" s="1" t="str">
        <f>IFERROR(__xludf.DUMMYFUNCTION("""COMPUTED_VALUE"""),"Santa Clara")</f>
        <v>Santa Clara</v>
      </c>
      <c r="G75" s="1" t="str">
        <f>IFERROR(__xludf.DUMMYFUNCTION("""COMPUTED_VALUE"""),"37.37492")</f>
        <v>37.37492</v>
      </c>
      <c r="H75" s="1" t="str">
        <f>IFERROR(__xludf.DUMMYFUNCTION("""COMPUTED_VALUE"""),"-121.969")</f>
        <v>-121.969</v>
      </c>
      <c r="I75" s="1" t="str">
        <f>IFERROR(__xludf.DUMMYFUNCTION("""COMPUTED_VALUE"""),"Proposed")</f>
        <v>Proposed</v>
      </c>
      <c r="J75" s="1" t="str">
        <f>IFERROR(__xludf.DUMMYFUNCTION("""COMPUTED_VALUE"""),"High")</f>
        <v>High</v>
      </c>
      <c r="K75" s="1" t="str">
        <f>IFERROR(__xludf.DUMMYFUNCTION("""COMPUTED_VALUE"""),"")</f>
        <v/>
      </c>
      <c r="L75" s="1" t="str">
        <f>IFERROR(__xludf.DUMMYFUNCTION("""COMPUTED_VALUE"""),"")</f>
        <v/>
      </c>
      <c r="M75" s="1" t="str">
        <f>IFERROR(__xludf.DUMMYFUNCTION("""COMPUTED_VALUE"""),"")</f>
        <v/>
      </c>
      <c r="N75" s="1" t="str">
        <f>IFERROR(__xludf.DUMMYFUNCTION("""COMPUTED_VALUE"""),"34")</f>
        <v>34</v>
      </c>
      <c r="O75" s="1" t="str">
        <f>IFERROR(__xludf.DUMMYFUNCTION("""COMPUTED_VALUE"""),"Medium (11-50 MW)")</f>
        <v>Medium (11-50 MW)</v>
      </c>
      <c r="P75" s="1" t="str">
        <f>IFERROR(__xludf.DUMMYFUNCTION("""COMPUTED_VALUE"""),"")</f>
        <v/>
      </c>
      <c r="Q75" s="1" t="str">
        <f>IFERROR(__xludf.DUMMYFUNCTION("""COMPUTED_VALUE"""),"")</f>
        <v/>
      </c>
      <c r="R75" s="1" t="str">
        <f>IFERROR(__xludf.DUMMYFUNCTION("""COMPUTED_VALUE"""),"")</f>
        <v/>
      </c>
      <c r="S75" s="1" t="str">
        <f>IFERROR(__xludf.DUMMYFUNCTION("""COMPUTED_VALUE"""),"")</f>
        <v/>
      </c>
      <c r="T75" s="1" t="str">
        <f>IFERROR(__xludf.DUMMYFUNCTION("""COMPUTED_VALUE"""),"")</f>
        <v/>
      </c>
      <c r="U75" s="1" t="str">
        <f>IFERROR(__xludf.DUMMYFUNCTION("""COMPUTED_VALUE"""),"")</f>
        <v/>
      </c>
      <c r="V75" s="1" t="str">
        <f>IFERROR(__xludf.DUMMYFUNCTION("""COMPUTED_VALUE"""),"228,000")</f>
        <v>228,000</v>
      </c>
      <c r="W75" s="1" t="str">
        <f>IFERROR(__xludf.DUMMYFUNCTION("""COMPUTED_VALUE"""),"")</f>
        <v/>
      </c>
      <c r="X75" s="1" t="str">
        <f>IFERROR(__xludf.DUMMYFUNCTION("""COMPUTED_VALUE"""),"")</f>
        <v/>
      </c>
      <c r="Y75" s="1" t="str">
        <f>IFERROR(__xludf.DUMMYFUNCTION("""COMPUTED_VALUE"""),"")</f>
        <v/>
      </c>
      <c r="Z75" s="1" t="str">
        <f>IFERROR(__xludf.DUMMYFUNCTION("""COMPUTED_VALUE"""),"Unknown")</f>
        <v>Unknown</v>
      </c>
      <c r="AA75" s="1" t="str">
        <f>IFERROR(__xludf.DUMMYFUNCTION("""COMPUTED_VALUE"""),"")</f>
        <v/>
      </c>
      <c r="AB75" s="1" t="str">
        <f>IFERROR(__xludf.DUMMYFUNCTION("""COMPUTED_VALUE"""),"")</f>
        <v/>
      </c>
      <c r="AC75" s="1" t="str">
        <f>IFERROR(__xludf.DUMMYFUNCTION("""COMPUTED_VALUE"""),"")</f>
        <v/>
      </c>
      <c r="AD75" s="1" t="str">
        <f>IFERROR(__xludf.DUMMYFUNCTION("""COMPUTED_VALUE"""),"")</f>
        <v/>
      </c>
      <c r="AE75" s="1" t="str">
        <f>IFERROR(__xludf.DUMMYFUNCTION("""COMPUTED_VALUE"""),"")</f>
        <v/>
      </c>
      <c r="AF75" s="1" t="str">
        <f>IFERROR(__xludf.DUMMYFUNCTION("""COMPUTED_VALUE"""),"")</f>
        <v/>
      </c>
      <c r="AG75" s="1" t="str">
        <f>IFERROR(__xludf.DUMMYFUNCTION("""COMPUTED_VALUE"""),"")</f>
        <v/>
      </c>
      <c r="AH75" s="1" t="str">
        <f>IFERROR(__xludf.DUMMYFUNCTION("""COMPUTED_VALUE"""),"Media Monitoring")</f>
        <v>Media Monitoring</v>
      </c>
      <c r="AI75" s="2" t="str">
        <f>IFERROR(__xludf.DUMMYFUNCTION("""COMPUTED_VALUE"""),"https://www.datacenterdynamics.com/en/news/coresite-launches-santa-clara-data-center-california/")</f>
        <v>https://www.datacenterdynamics.com/en/news/coresite-launches-santa-clara-data-center-california/</v>
      </c>
      <c r="AJ75" s="1" t="str">
        <f>IFERROR(__xludf.DUMMYFUNCTION("""COMPUTED_VALUE"""),"")</f>
        <v/>
      </c>
      <c r="AK75" s="1" t="str">
        <f>IFERROR(__xludf.DUMMYFUNCTION("""COMPUTED_VALUE"""),"")</f>
        <v/>
      </c>
      <c r="AL75" s="1" t="str">
        <f>IFERROR(__xludf.DUMMYFUNCTION("""COMPUTED_VALUE"""),"")</f>
        <v/>
      </c>
      <c r="AM75" s="1" t="str">
        <f>IFERROR(__xludf.DUMMYFUNCTION("""COMPUTED_VALUE"""),"")</f>
        <v/>
      </c>
      <c r="AN75" s="1" t="str">
        <f>IFERROR(__xludf.DUMMYFUNCTION("""COMPUTED_VALUE"""),"")</f>
        <v/>
      </c>
      <c r="AO75" s="1" t="str">
        <f>IFERROR(__xludf.DUMMYFUNCTION("""COMPUTED_VALUE"""),"")</f>
        <v/>
      </c>
      <c r="AP75" s="1" t="str">
        <f>IFERROR(__xludf.DUMMYFUNCTION("""COMPUTED_VALUE"""),"")</f>
        <v/>
      </c>
      <c r="AQ75" s="1" t="str">
        <f>IFERROR(__xludf.DUMMYFUNCTION("""COMPUTED_VALUE"""),"08/01/2025")</f>
        <v>08/01/2025</v>
      </c>
      <c r="AR75" s="1" t="str">
        <f>IFERROR(__xludf.DUMMYFUNCTION("""COMPUTED_VALUE"""),"08/01/2025")</f>
        <v>08/01/2025</v>
      </c>
    </row>
    <row r="76">
      <c r="A76" s="1" t="str">
        <f>IFERROR(__xludf.DUMMYFUNCTION("""COMPUTED_VALUE"""),"Digital Realty SJC14")</f>
        <v>Digital Realty SJC14</v>
      </c>
      <c r="B76" s="1" t="str">
        <f>IFERROR(__xludf.DUMMYFUNCTION("""COMPUTED_VALUE"""),"1500 Space Park Dr")</f>
        <v>1500 Space Park Dr</v>
      </c>
      <c r="C76" s="1" t="str">
        <f>IFERROR(__xludf.DUMMYFUNCTION("""COMPUTED_VALUE"""),"Santa Clara")</f>
        <v>Santa Clara</v>
      </c>
      <c r="D76" s="1" t="str">
        <f>IFERROR(__xludf.DUMMYFUNCTION("""COMPUTED_VALUE"""),"CA")</f>
        <v>CA</v>
      </c>
      <c r="E76" s="1" t="str">
        <f>IFERROR(__xludf.DUMMYFUNCTION("""COMPUTED_VALUE"""),"95054")</f>
        <v>95054</v>
      </c>
      <c r="F76" s="1" t="str">
        <f>IFERROR(__xludf.DUMMYFUNCTION("""COMPUTED_VALUE"""),"Santa Clara")</f>
        <v>Santa Clara</v>
      </c>
      <c r="G76" s="1" t="str">
        <f>IFERROR(__xludf.DUMMYFUNCTION("""COMPUTED_VALUE"""),"37.37578")</f>
        <v>37.37578</v>
      </c>
      <c r="H76" s="1" t="str">
        <f>IFERROR(__xludf.DUMMYFUNCTION("""COMPUTED_VALUE"""),"-121.95516")</f>
        <v>-121.95516</v>
      </c>
      <c r="I76" s="1" t="str">
        <f>IFERROR(__xludf.DUMMYFUNCTION("""COMPUTED_VALUE"""),"Proposed")</f>
        <v>Proposed</v>
      </c>
      <c r="J76" s="1" t="str">
        <f>IFERROR(__xludf.DUMMYFUNCTION("""COMPUTED_VALUE"""),"High")</f>
        <v>High</v>
      </c>
      <c r="K76" s="1" t="str">
        <f>IFERROR(__xludf.DUMMYFUNCTION("""COMPUTED_VALUE"""),"")</f>
        <v/>
      </c>
      <c r="L76" s="1" t="str">
        <f>IFERROR(__xludf.DUMMYFUNCTION("""COMPUTED_VALUE"""),"Digital Realty")</f>
        <v>Digital Realty</v>
      </c>
      <c r="M76" s="1" t="str">
        <f>IFERROR(__xludf.DUMMYFUNCTION("""COMPUTED_VALUE"""),"")</f>
        <v/>
      </c>
      <c r="N76" s="1" t="str">
        <f>IFERROR(__xludf.DUMMYFUNCTION("""COMPUTED_VALUE"""),"9")</f>
        <v>9</v>
      </c>
      <c r="O76" s="1" t="str">
        <f>IFERROR(__xludf.DUMMYFUNCTION("""COMPUTED_VALUE"""),"Small (0-10 MW)")</f>
        <v>Small (0-10 MW)</v>
      </c>
      <c r="P76" s="1" t="str">
        <f>IFERROR(__xludf.DUMMYFUNCTION("""COMPUTED_VALUE"""),"")</f>
        <v/>
      </c>
      <c r="Q76" s="1" t="str">
        <f>IFERROR(__xludf.DUMMYFUNCTION("""COMPUTED_VALUE"""),"")</f>
        <v/>
      </c>
      <c r="R76" s="1" t="str">
        <f>IFERROR(__xludf.DUMMYFUNCTION("""COMPUTED_VALUE"""),"")</f>
        <v/>
      </c>
      <c r="S76" s="1" t="str">
        <f>IFERROR(__xludf.DUMMYFUNCTION("""COMPUTED_VALUE"""),"")</f>
        <v/>
      </c>
      <c r="T76" s="1" t="str">
        <f>IFERROR(__xludf.DUMMYFUNCTION("""COMPUTED_VALUE"""),"")</f>
        <v/>
      </c>
      <c r="U76" s="1" t="str">
        <f>IFERROR(__xludf.DUMMYFUNCTION("""COMPUTED_VALUE"""),"")</f>
        <v/>
      </c>
      <c r="V76" s="1" t="str">
        <f>IFERROR(__xludf.DUMMYFUNCTION("""COMPUTED_VALUE"""),"52,000")</f>
        <v>52,000</v>
      </c>
      <c r="W76" s="1" t="str">
        <f>IFERROR(__xludf.DUMMYFUNCTION("""COMPUTED_VALUE"""),"")</f>
        <v/>
      </c>
      <c r="X76" s="1" t="str">
        <f>IFERROR(__xludf.DUMMYFUNCTION("""COMPUTED_VALUE"""),"")</f>
        <v/>
      </c>
      <c r="Y76" s="1" t="str">
        <f>IFERROR(__xludf.DUMMYFUNCTION("""COMPUTED_VALUE"""),"")</f>
        <v/>
      </c>
      <c r="Z76" s="1" t="str">
        <f>IFERROR(__xludf.DUMMYFUNCTION("""COMPUTED_VALUE"""),"Unknown")</f>
        <v>Unknown</v>
      </c>
      <c r="AA76" s="1" t="str">
        <f>IFERROR(__xludf.DUMMYFUNCTION("""COMPUTED_VALUE"""),"")</f>
        <v/>
      </c>
      <c r="AB76" s="1" t="str">
        <f>IFERROR(__xludf.DUMMYFUNCTION("""COMPUTED_VALUE"""),"")</f>
        <v/>
      </c>
      <c r="AC76" s="1" t="str">
        <f>IFERROR(__xludf.DUMMYFUNCTION("""COMPUTED_VALUE"""),"")</f>
        <v/>
      </c>
      <c r="AD76" s="1" t="str">
        <f>IFERROR(__xludf.DUMMYFUNCTION("""COMPUTED_VALUE"""),"")</f>
        <v/>
      </c>
      <c r="AE76" s="1" t="str">
        <f>IFERROR(__xludf.DUMMYFUNCTION("""COMPUTED_VALUE"""),"")</f>
        <v/>
      </c>
      <c r="AF76" s="1" t="str">
        <f>IFERROR(__xludf.DUMMYFUNCTION("""COMPUTED_VALUE"""),"")</f>
        <v/>
      </c>
      <c r="AG76" s="1" t="str">
        <f>IFERROR(__xludf.DUMMYFUNCTION("""COMPUTED_VALUE"""),"")</f>
        <v/>
      </c>
      <c r="AH76" s="1" t="str">
        <f>IFERROR(__xludf.DUMMYFUNCTION("""COMPUTED_VALUE"""),"Media Monitoring")</f>
        <v>Media Monitoring</v>
      </c>
      <c r="AI76" s="2" t="str">
        <f>IFERROR(__xludf.DUMMYFUNCTION("""COMPUTED_VALUE"""),"https://www.datacenters.com/digital-realty-silicon-valley-sjc37")</f>
        <v>https://www.datacenters.com/digital-realty-silicon-valley-sjc37</v>
      </c>
      <c r="AJ76" s="1" t="str">
        <f>IFERROR(__xludf.DUMMYFUNCTION("""COMPUTED_VALUE"""),"")</f>
        <v/>
      </c>
      <c r="AK76" s="1" t="str">
        <f>IFERROR(__xludf.DUMMYFUNCTION("""COMPUTED_VALUE"""),"")</f>
        <v/>
      </c>
      <c r="AL76" s="1" t="str">
        <f>IFERROR(__xludf.DUMMYFUNCTION("""COMPUTED_VALUE"""),"")</f>
        <v/>
      </c>
      <c r="AM76" s="1" t="str">
        <f>IFERROR(__xludf.DUMMYFUNCTION("""COMPUTED_VALUE"""),"")</f>
        <v/>
      </c>
      <c r="AN76" s="1" t="str">
        <f>IFERROR(__xludf.DUMMYFUNCTION("""COMPUTED_VALUE"""),"")</f>
        <v/>
      </c>
      <c r="AO76" s="1" t="str">
        <f>IFERROR(__xludf.DUMMYFUNCTION("""COMPUTED_VALUE"""),"")</f>
        <v/>
      </c>
      <c r="AP76" s="1" t="str">
        <f>IFERROR(__xludf.DUMMYFUNCTION("""COMPUTED_VALUE"""),"")</f>
        <v/>
      </c>
      <c r="AQ76" s="1" t="str">
        <f>IFERROR(__xludf.DUMMYFUNCTION("""COMPUTED_VALUE"""),"01/28/2026")</f>
        <v>01/28/2026</v>
      </c>
      <c r="AR76" s="1" t="str">
        <f>IFERROR(__xludf.DUMMYFUNCTION("""COMPUTED_VALUE"""),"01/28/2026")</f>
        <v>01/28/2026</v>
      </c>
    </row>
    <row r="77">
      <c r="A77" s="1" t="str">
        <f>IFERROR(__xludf.DUMMYFUNCTION("""COMPUTED_VALUE"""),"Digital Realty SJC37 Data Center")</f>
        <v>Digital Realty SJC37 Data Center</v>
      </c>
      <c r="B77" s="1" t="str">
        <f>IFERROR(__xludf.DUMMYFUNCTION("""COMPUTED_VALUE"""),"641 Walsh St")</f>
        <v>641 Walsh St</v>
      </c>
      <c r="C77" s="1" t="str">
        <f>IFERROR(__xludf.DUMMYFUNCTION("""COMPUTED_VALUE"""),"Santa Clara")</f>
        <v>Santa Clara</v>
      </c>
      <c r="D77" s="1" t="str">
        <f>IFERROR(__xludf.DUMMYFUNCTION("""COMPUTED_VALUE"""),"CA")</f>
        <v>CA</v>
      </c>
      <c r="E77" s="1" t="str">
        <f>IFERROR(__xludf.DUMMYFUNCTION("""COMPUTED_VALUE"""),"95050")</f>
        <v>95050</v>
      </c>
      <c r="F77" s="1" t="str">
        <f>IFERROR(__xludf.DUMMYFUNCTION("""COMPUTED_VALUE"""),"Santa Clara")</f>
        <v>Santa Clara</v>
      </c>
      <c r="G77" s="1" t="str">
        <f>IFERROR(__xludf.DUMMYFUNCTION("""COMPUTED_VALUE"""),"37.371067")</f>
        <v>37.371067</v>
      </c>
      <c r="H77" s="1" t="str">
        <f>IFERROR(__xludf.DUMMYFUNCTION("""COMPUTED_VALUE"""),"-121.94693")</f>
        <v>-121.94693</v>
      </c>
      <c r="I77" s="1" t="str">
        <f>IFERROR(__xludf.DUMMYFUNCTION("""COMPUTED_VALUE"""),"Approved/Permitted/Under construction")</f>
        <v>Approved/Permitted/Under construction</v>
      </c>
      <c r="J77" s="1" t="str">
        <f>IFERROR(__xludf.DUMMYFUNCTION("""COMPUTED_VALUE"""),"High")</f>
        <v>High</v>
      </c>
      <c r="K77" s="1" t="str">
        <f>IFERROR(__xludf.DUMMYFUNCTION("""COMPUTED_VALUE"""),"")</f>
        <v/>
      </c>
      <c r="L77" s="1" t="str">
        <f>IFERROR(__xludf.DUMMYFUNCTION("""COMPUTED_VALUE"""),"Digital Realty")</f>
        <v>Digital Realty</v>
      </c>
      <c r="M77" s="1" t="str">
        <f>IFERROR(__xludf.DUMMYFUNCTION("""COMPUTED_VALUE"""),"")</f>
        <v/>
      </c>
      <c r="N77" s="1" t="str">
        <f>IFERROR(__xludf.DUMMYFUNCTION("""COMPUTED_VALUE"""),"100")</f>
        <v>100</v>
      </c>
      <c r="O77" s="1" t="str">
        <f>IFERROR(__xludf.DUMMYFUNCTION("""COMPUTED_VALUE"""),"Hyperscale (100-999 MW)")</f>
        <v>Hyperscale (100-999 MW)</v>
      </c>
      <c r="P77" s="1" t="str">
        <f>IFERROR(__xludf.DUMMYFUNCTION("""COMPUTED_VALUE"""),"Grid (unspecified mix)")</f>
        <v>Grid (unspecified mix)</v>
      </c>
      <c r="Q77" s="1" t="str">
        <f>IFERROR(__xludf.DUMMYFUNCTION("""COMPUTED_VALUE"""),"")</f>
        <v/>
      </c>
      <c r="R77" s="1" t="str">
        <f>IFERROR(__xludf.DUMMYFUNCTION("""COMPUTED_VALUE"""),"")</f>
        <v/>
      </c>
      <c r="S77" s="1" t="str">
        <f>IFERROR(__xludf.DUMMYFUNCTION("""COMPUTED_VALUE"""),"")</f>
        <v/>
      </c>
      <c r="T77" s="1" t="str">
        <f>IFERROR(__xludf.DUMMYFUNCTION("""COMPUTED_VALUE"""),"")</f>
        <v/>
      </c>
      <c r="U77" s="1" t="str">
        <f>IFERROR(__xludf.DUMMYFUNCTION("""COMPUTED_VALUE"""),"")</f>
        <v/>
      </c>
      <c r="V77" s="1" t="str">
        <f>IFERROR(__xludf.DUMMYFUNCTION("""COMPUTED_VALUE"""),"430,000")</f>
        <v>430,000</v>
      </c>
      <c r="W77" s="1" t="str">
        <f>IFERROR(__xludf.DUMMYFUNCTION("""COMPUTED_VALUE"""),"")</f>
        <v/>
      </c>
      <c r="X77" s="1" t="str">
        <f>IFERROR(__xludf.DUMMYFUNCTION("""COMPUTED_VALUE"""),"")</f>
        <v/>
      </c>
      <c r="Y77" s="1" t="str">
        <f>IFERROR(__xludf.DUMMYFUNCTION("""COMPUTED_VALUE"""),"2027")</f>
        <v>2027</v>
      </c>
      <c r="Z77" s="1" t="str">
        <f>IFERROR(__xludf.DUMMYFUNCTION("""COMPUTED_VALUE"""),"Unknown")</f>
        <v>Unknown</v>
      </c>
      <c r="AA77" s="1" t="str">
        <f>IFERROR(__xludf.DUMMYFUNCTION("""COMPUTED_VALUE"""),"")</f>
        <v/>
      </c>
      <c r="AB77" s="1" t="str">
        <f>IFERROR(__xludf.DUMMYFUNCTION("""COMPUTED_VALUE"""),"")</f>
        <v/>
      </c>
      <c r="AC77" s="1" t="str">
        <f>IFERROR(__xludf.DUMMYFUNCTION("""COMPUTED_VALUE"""),"")</f>
        <v/>
      </c>
      <c r="AD77" s="1" t="str">
        <f>IFERROR(__xludf.DUMMYFUNCTION("""COMPUTED_VALUE"""),"")</f>
        <v/>
      </c>
      <c r="AE77" s="1" t="str">
        <f>IFERROR(__xludf.DUMMYFUNCTION("""COMPUTED_VALUE"""),"")</f>
        <v/>
      </c>
      <c r="AF77" s="1" t="str">
        <f>IFERROR(__xludf.DUMMYFUNCTION("""COMPUTED_VALUE"""),"")</f>
        <v/>
      </c>
      <c r="AG77" s="1" t="str">
        <f>IFERROR(__xludf.DUMMYFUNCTION("""COMPUTED_VALUE"""),"")</f>
        <v/>
      </c>
      <c r="AH77" s="1" t="str">
        <f>IFERROR(__xludf.DUMMYFUNCTION("""COMPUTED_VALUE"""),"Media Monitoring")</f>
        <v>Media Monitoring</v>
      </c>
      <c r="AI77" s="2" t="str">
        <f>IFERROR(__xludf.DUMMYFUNCTION("""COMPUTED_VALUE"""),"https://www.digitalrealty.com/data-centers/americas/silicon-valley/sjc37")</f>
        <v>https://www.digitalrealty.com/data-centers/americas/silicon-valley/sjc37</v>
      </c>
      <c r="AJ77" s="2" t="str">
        <f>IFERROR(__xludf.DUMMYFUNCTION("""COMPUTED_VALUE"""),"https://www.datacenters.com/digital-realty-silicon-valley-sjc37")</f>
        <v>https://www.datacenters.com/digital-realty-silicon-valley-sjc37</v>
      </c>
      <c r="AK77" s="1" t="str">
        <f>IFERROR(__xludf.DUMMYFUNCTION("""COMPUTED_VALUE"""),"")</f>
        <v/>
      </c>
      <c r="AL77" s="1" t="str">
        <f>IFERROR(__xludf.DUMMYFUNCTION("""COMPUTED_VALUE"""),"")</f>
        <v/>
      </c>
      <c r="AM77" s="1" t="str">
        <f>IFERROR(__xludf.DUMMYFUNCTION("""COMPUTED_VALUE"""),"")</f>
        <v/>
      </c>
      <c r="AN77" s="1" t="str">
        <f>IFERROR(__xludf.DUMMYFUNCTION("""COMPUTED_VALUE"""),"")</f>
        <v/>
      </c>
      <c r="AO77" s="1" t="str">
        <f>IFERROR(__xludf.DUMMYFUNCTION("""COMPUTED_VALUE"""),"")</f>
        <v/>
      </c>
      <c r="AP77" s="1" t="str">
        <f>IFERROR(__xludf.DUMMYFUNCTION("""COMPUTED_VALUE"""),"")</f>
        <v/>
      </c>
      <c r="AQ77" s="1" t="str">
        <f>IFERROR(__xludf.DUMMYFUNCTION("""COMPUTED_VALUE"""),"01/27/2026")</f>
        <v>01/27/2026</v>
      </c>
      <c r="AR77" s="1" t="str">
        <f>IFERROR(__xludf.DUMMYFUNCTION("""COMPUTED_VALUE"""),"01/27/2026")</f>
        <v>01/27/2026</v>
      </c>
    </row>
    <row r="78">
      <c r="A78" s="1" t="str">
        <f>IFERROR(__xludf.DUMMYFUNCTION("""COMPUTED_VALUE"""),"EdgeConneX Edge Data Center Santa Clara")</f>
        <v>EdgeConneX Edge Data Center Santa Clara</v>
      </c>
      <c r="B78" s="1" t="str">
        <f>IFERROR(__xludf.DUMMYFUNCTION("""COMPUTED_VALUE"""),"1700 Richard Ave")</f>
        <v>1700 Richard Ave</v>
      </c>
      <c r="C78" s="1" t="str">
        <f>IFERROR(__xludf.DUMMYFUNCTION("""COMPUTED_VALUE"""),"Santa Clara")</f>
        <v>Santa Clara</v>
      </c>
      <c r="D78" s="1" t="str">
        <f>IFERROR(__xludf.DUMMYFUNCTION("""COMPUTED_VALUE"""),"CA")</f>
        <v>CA</v>
      </c>
      <c r="E78" s="1" t="str">
        <f>IFERROR(__xludf.DUMMYFUNCTION("""COMPUTED_VALUE"""),"95050")</f>
        <v>95050</v>
      </c>
      <c r="F78" s="1" t="str">
        <f>IFERROR(__xludf.DUMMYFUNCTION("""COMPUTED_VALUE"""),"Santa Clara")</f>
        <v>Santa Clara</v>
      </c>
      <c r="G78" s="1" t="str">
        <f>IFERROR(__xludf.DUMMYFUNCTION("""COMPUTED_VALUE"""),"37.36431")</f>
        <v>37.36431</v>
      </c>
      <c r="H78" s="1" t="str">
        <f>IFERROR(__xludf.DUMMYFUNCTION("""COMPUTED_VALUE"""),"-121.959")</f>
        <v>-121.959</v>
      </c>
      <c r="I78" s="1" t="str">
        <f>IFERROR(__xludf.DUMMYFUNCTION("""COMPUTED_VALUE"""),"Operating")</f>
        <v>Operating</v>
      </c>
      <c r="J78" s="1" t="str">
        <f>IFERROR(__xludf.DUMMYFUNCTION("""COMPUTED_VALUE"""),"High")</f>
        <v>High</v>
      </c>
      <c r="K78" s="1" t="str">
        <f>IFERROR(__xludf.DUMMYFUNCTION("""COMPUTED_VALUE"""),"")</f>
        <v/>
      </c>
      <c r="L78" s="1" t="str">
        <f>IFERROR(__xludf.DUMMYFUNCTION("""COMPUTED_VALUE"""),"")</f>
        <v/>
      </c>
      <c r="M78" s="1" t="str">
        <f>IFERROR(__xludf.DUMMYFUNCTION("""COMPUTED_VALUE"""),"")</f>
        <v/>
      </c>
      <c r="N78" s="1" t="str">
        <f>IFERROR(__xludf.DUMMYFUNCTION("""COMPUTED_VALUE"""),"")</f>
        <v/>
      </c>
      <c r="O78" s="1" t="str">
        <f>IFERROR(__xludf.DUMMYFUNCTION("""COMPUTED_VALUE"""),"Unknown")</f>
        <v>Unknown</v>
      </c>
      <c r="P78" s="1" t="str">
        <f>IFERROR(__xludf.DUMMYFUNCTION("""COMPUTED_VALUE"""),"")</f>
        <v/>
      </c>
      <c r="Q78" s="1" t="str">
        <f>IFERROR(__xludf.DUMMYFUNCTION("""COMPUTED_VALUE"""),"")</f>
        <v/>
      </c>
      <c r="R78" s="1" t="str">
        <f>IFERROR(__xludf.DUMMYFUNCTION("""COMPUTED_VALUE"""),"")</f>
        <v/>
      </c>
      <c r="S78" s="1" t="str">
        <f>IFERROR(__xludf.DUMMYFUNCTION("""COMPUTED_VALUE"""),"")</f>
        <v/>
      </c>
      <c r="T78" s="1" t="str">
        <f>IFERROR(__xludf.DUMMYFUNCTION("""COMPUTED_VALUE"""),"")</f>
        <v/>
      </c>
      <c r="U78" s="1" t="str">
        <f>IFERROR(__xludf.DUMMYFUNCTION("""COMPUTED_VALUE"""),"")</f>
        <v/>
      </c>
      <c r="V78" s="1" t="str">
        <f>IFERROR(__xludf.DUMMYFUNCTION("""COMPUTED_VALUE"""),"19,800")</f>
        <v>19,800</v>
      </c>
      <c r="W78" s="1" t="str">
        <f>IFERROR(__xludf.DUMMYFUNCTION("""COMPUTED_VALUE"""),"")</f>
        <v/>
      </c>
      <c r="X78" s="1" t="str">
        <f>IFERROR(__xludf.DUMMYFUNCTION("""COMPUTED_VALUE"""),"")</f>
        <v/>
      </c>
      <c r="Y78" s="1" t="str">
        <f>IFERROR(__xludf.DUMMYFUNCTION("""COMPUTED_VALUE"""),"")</f>
        <v/>
      </c>
      <c r="Z78" s="1" t="str">
        <f>IFERROR(__xludf.DUMMYFUNCTION("""COMPUTED_VALUE"""),"Unknown")</f>
        <v>Unknown</v>
      </c>
      <c r="AA78" s="1" t="str">
        <f>IFERROR(__xludf.DUMMYFUNCTION("""COMPUTED_VALUE"""),"")</f>
        <v/>
      </c>
      <c r="AB78" s="1" t="str">
        <f>IFERROR(__xludf.DUMMYFUNCTION("""COMPUTED_VALUE"""),"")</f>
        <v/>
      </c>
      <c r="AC78" s="1" t="str">
        <f>IFERROR(__xludf.DUMMYFUNCTION("""COMPUTED_VALUE"""),"")</f>
        <v/>
      </c>
      <c r="AD78" s="1" t="str">
        <f>IFERROR(__xludf.DUMMYFUNCTION("""COMPUTED_VALUE"""),"")</f>
        <v/>
      </c>
      <c r="AE78" s="1" t="str">
        <f>IFERROR(__xludf.DUMMYFUNCTION("""COMPUTED_VALUE"""),"")</f>
        <v/>
      </c>
      <c r="AF78" s="1" t="str">
        <f>IFERROR(__xludf.DUMMYFUNCTION("""COMPUTED_VALUE"""),"")</f>
        <v/>
      </c>
      <c r="AG78" s="1" t="str">
        <f>IFERROR(__xludf.DUMMYFUNCTION("""COMPUTED_VALUE"""),"")</f>
        <v/>
      </c>
      <c r="AH78" s="1" t="str">
        <f>IFERROR(__xludf.DUMMYFUNCTION("""COMPUTED_VALUE"""),"Media Monitoring")</f>
        <v>Media Monitoring</v>
      </c>
      <c r="AI78" s="2" t="str">
        <f>IFERROR(__xludf.DUMMYFUNCTION("""COMPUTED_VALUE"""),"https://www.edgeconnex.com/locations/americas/santa-clara-ca/")</f>
        <v>https://www.edgeconnex.com/locations/americas/santa-clara-ca/</v>
      </c>
      <c r="AJ78" s="1" t="str">
        <f>IFERROR(__xludf.DUMMYFUNCTION("""COMPUTED_VALUE"""),"")</f>
        <v/>
      </c>
      <c r="AK78" s="1" t="str">
        <f>IFERROR(__xludf.DUMMYFUNCTION("""COMPUTED_VALUE"""),"")</f>
        <v/>
      </c>
      <c r="AL78" s="1" t="str">
        <f>IFERROR(__xludf.DUMMYFUNCTION("""COMPUTED_VALUE"""),"")</f>
        <v/>
      </c>
      <c r="AM78" s="1" t="str">
        <f>IFERROR(__xludf.DUMMYFUNCTION("""COMPUTED_VALUE"""),"")</f>
        <v/>
      </c>
      <c r="AN78" s="1" t="str">
        <f>IFERROR(__xludf.DUMMYFUNCTION("""COMPUTED_VALUE"""),"")</f>
        <v/>
      </c>
      <c r="AO78" s="1" t="str">
        <f>IFERROR(__xludf.DUMMYFUNCTION("""COMPUTED_VALUE"""),"")</f>
        <v/>
      </c>
      <c r="AP78" s="1" t="str">
        <f>IFERROR(__xludf.DUMMYFUNCTION("""COMPUTED_VALUE"""),"")</f>
        <v/>
      </c>
      <c r="AQ78" s="1" t="str">
        <f>IFERROR(__xludf.DUMMYFUNCTION("""COMPUTED_VALUE"""),"08/04/2025")</f>
        <v>08/04/2025</v>
      </c>
      <c r="AR78" s="1" t="str">
        <f>IFERROR(__xludf.DUMMYFUNCTION("""COMPUTED_VALUE"""),"08/04/2025")</f>
        <v>08/04/2025</v>
      </c>
    </row>
    <row r="79">
      <c r="A79" s="1" t="str">
        <f>IFERROR(__xludf.DUMMYFUNCTION("""COMPUTED_VALUE"""),"EdgeCore Data Center")</f>
        <v>EdgeCore Data Center</v>
      </c>
      <c r="B79" s="1" t="str">
        <f>IFERROR(__xludf.DUMMYFUNCTION("""COMPUTED_VALUE"""),"3580 Juliette Ln")</f>
        <v>3580 Juliette Ln</v>
      </c>
      <c r="C79" s="1" t="str">
        <f>IFERROR(__xludf.DUMMYFUNCTION("""COMPUTED_VALUE"""),"Santa Clara")</f>
        <v>Santa Clara</v>
      </c>
      <c r="D79" s="1" t="str">
        <f>IFERROR(__xludf.DUMMYFUNCTION("""COMPUTED_VALUE"""),"CA")</f>
        <v>CA</v>
      </c>
      <c r="E79" s="1" t="str">
        <f>IFERROR(__xludf.DUMMYFUNCTION("""COMPUTED_VALUE"""),"95054")</f>
        <v>95054</v>
      </c>
      <c r="F79" s="1" t="str">
        <f>IFERROR(__xludf.DUMMYFUNCTION("""COMPUTED_VALUE"""),"Santa Clara")</f>
        <v>Santa Clara</v>
      </c>
      <c r="G79" s="1" t="str">
        <f>IFERROR(__xludf.DUMMYFUNCTION("""COMPUTED_VALUE"""),"37.38413")</f>
        <v>37.38413</v>
      </c>
      <c r="H79" s="1" t="str">
        <f>IFERROR(__xludf.DUMMYFUNCTION("""COMPUTED_VALUE"""),"-121.965744")</f>
        <v>-121.965744</v>
      </c>
      <c r="I79" s="1" t="str">
        <f>IFERROR(__xludf.DUMMYFUNCTION("""COMPUTED_VALUE"""),"Operating")</f>
        <v>Operating</v>
      </c>
      <c r="J79" s="1" t="str">
        <f>IFERROR(__xludf.DUMMYFUNCTION("""COMPUTED_VALUE"""),"High")</f>
        <v>High</v>
      </c>
      <c r="K79" s="1" t="str">
        <f>IFERROR(__xludf.DUMMYFUNCTION("""COMPUTED_VALUE"""),"")</f>
        <v/>
      </c>
      <c r="L79" s="1" t="str">
        <f>IFERROR(__xludf.DUMMYFUNCTION("""COMPUTED_VALUE"""),"EdgeCore")</f>
        <v>EdgeCore</v>
      </c>
      <c r="M79" s="1" t="str">
        <f>IFERROR(__xludf.DUMMYFUNCTION("""COMPUTED_VALUE"""),"")</f>
        <v/>
      </c>
      <c r="N79" s="1" t="str">
        <f>IFERROR(__xludf.DUMMYFUNCTION("""COMPUTED_VALUE"""),"72")</f>
        <v>72</v>
      </c>
      <c r="O79" s="1" t="str">
        <f>IFERROR(__xludf.DUMMYFUNCTION("""COMPUTED_VALUE"""),"Large (51-99 MW)")</f>
        <v>Large (51-99 MW)</v>
      </c>
      <c r="P79" s="1" t="str">
        <f>IFERROR(__xludf.DUMMYFUNCTION("""COMPUTED_VALUE"""),"")</f>
        <v/>
      </c>
      <c r="Q79" s="1" t="str">
        <f>IFERROR(__xludf.DUMMYFUNCTION("""COMPUTED_VALUE"""),"")</f>
        <v/>
      </c>
      <c r="R79" s="1" t="str">
        <f>IFERROR(__xludf.DUMMYFUNCTION("""COMPUTED_VALUE"""),"")</f>
        <v/>
      </c>
      <c r="S79" s="1" t="str">
        <f>IFERROR(__xludf.DUMMYFUNCTION("""COMPUTED_VALUE"""),"")</f>
        <v/>
      </c>
      <c r="T79" s="1" t="str">
        <f>IFERROR(__xludf.DUMMYFUNCTION("""COMPUTED_VALUE"""),"")</f>
        <v/>
      </c>
      <c r="U79" s="1" t="str">
        <f>IFERROR(__xludf.DUMMYFUNCTION("""COMPUTED_VALUE"""),"")</f>
        <v/>
      </c>
      <c r="V79" s="1" t="str">
        <f>IFERROR(__xludf.DUMMYFUNCTION("""COMPUTED_VALUE"""),"540,000")</f>
        <v>540,000</v>
      </c>
      <c r="W79" s="1" t="str">
        <f>IFERROR(__xludf.DUMMYFUNCTION("""COMPUTED_VALUE"""),"")</f>
        <v/>
      </c>
      <c r="X79" s="1" t="str">
        <f>IFERROR(__xludf.DUMMYFUNCTION("""COMPUTED_VALUE"""),"")</f>
        <v/>
      </c>
      <c r="Y79" s="1" t="str">
        <f>IFERROR(__xludf.DUMMYFUNCTION("""COMPUTED_VALUE"""),"")</f>
        <v/>
      </c>
      <c r="Z79" s="1" t="str">
        <f>IFERROR(__xludf.DUMMYFUNCTION("""COMPUTED_VALUE"""),"Unknown")</f>
        <v>Unknown</v>
      </c>
      <c r="AA79" s="1" t="str">
        <f>IFERROR(__xludf.DUMMYFUNCTION("""COMPUTED_VALUE"""),"")</f>
        <v/>
      </c>
      <c r="AB79" s="1" t="str">
        <f>IFERROR(__xludf.DUMMYFUNCTION("""COMPUTED_VALUE"""),"")</f>
        <v/>
      </c>
      <c r="AC79" s="1" t="str">
        <f>IFERROR(__xludf.DUMMYFUNCTION("""COMPUTED_VALUE"""),"")</f>
        <v/>
      </c>
      <c r="AD79" s="1" t="str">
        <f>IFERROR(__xludf.DUMMYFUNCTION("""COMPUTED_VALUE"""),"")</f>
        <v/>
      </c>
      <c r="AE79" s="1" t="str">
        <f>IFERROR(__xludf.DUMMYFUNCTION("""COMPUTED_VALUE"""),"")</f>
        <v/>
      </c>
      <c r="AF79" s="1" t="str">
        <f>IFERROR(__xludf.DUMMYFUNCTION("""COMPUTED_VALUE"""),"")</f>
        <v/>
      </c>
      <c r="AG79" s="1" t="str">
        <f>IFERROR(__xludf.DUMMYFUNCTION("""COMPUTED_VALUE"""),"")</f>
        <v/>
      </c>
      <c r="AH79" s="1" t="str">
        <f>IFERROR(__xludf.DUMMYFUNCTION("""COMPUTED_VALUE"""),"Media Monitoring")</f>
        <v>Media Monitoring</v>
      </c>
      <c r="AI79" s="2" t="str">
        <f>IFERROR(__xludf.DUMMYFUNCTION("""COMPUTED_VALUE"""),"https://www.datacenterdynamics.com/en/news/edgecore-opens-silicon-valley-data-center/")</f>
        <v>https://www.datacenterdynamics.com/en/news/edgecore-opens-silicon-valley-data-center/</v>
      </c>
      <c r="AJ79" s="1" t="str">
        <f>IFERROR(__xludf.DUMMYFUNCTION("""COMPUTED_VALUE"""),"")</f>
        <v/>
      </c>
      <c r="AK79" s="1" t="str">
        <f>IFERROR(__xludf.DUMMYFUNCTION("""COMPUTED_VALUE"""),"")</f>
        <v/>
      </c>
      <c r="AL79" s="1" t="str">
        <f>IFERROR(__xludf.DUMMYFUNCTION("""COMPUTED_VALUE"""),"")</f>
        <v/>
      </c>
      <c r="AM79" s="1" t="str">
        <f>IFERROR(__xludf.DUMMYFUNCTION("""COMPUTED_VALUE"""),"")</f>
        <v/>
      </c>
      <c r="AN79" s="1" t="str">
        <f>IFERROR(__xludf.DUMMYFUNCTION("""COMPUTED_VALUE"""),"")</f>
        <v/>
      </c>
      <c r="AO79" s="1" t="str">
        <f>IFERROR(__xludf.DUMMYFUNCTION("""COMPUTED_VALUE"""),"")</f>
        <v/>
      </c>
      <c r="AP79" s="1" t="str">
        <f>IFERROR(__xludf.DUMMYFUNCTION("""COMPUTED_VALUE"""),"")</f>
        <v/>
      </c>
      <c r="AQ79" s="1" t="str">
        <f>IFERROR(__xludf.DUMMYFUNCTION("""COMPUTED_VALUE"""),"01/23/2026")</f>
        <v>01/23/2026</v>
      </c>
      <c r="AR79" s="1" t="str">
        <f>IFERROR(__xludf.DUMMYFUNCTION("""COMPUTED_VALUE"""),"01/23/2026")</f>
        <v>01/23/2026</v>
      </c>
    </row>
    <row r="80">
      <c r="A80" s="1" t="str">
        <f>IFERROR(__xludf.DUMMYFUNCTION("""COMPUTED_VALUE"""),"Walsh Bowers Technology Center: CoreSite")</f>
        <v>Walsh Bowers Technology Center: CoreSite</v>
      </c>
      <c r="B80" s="1" t="str">
        <f>IFERROR(__xludf.DUMMYFUNCTION("""COMPUTED_VALUE"""),"2805 and 2855 Bowers Ave and 2710 Walsh Ave")</f>
        <v>2805 and 2855 Bowers Ave and 2710 Walsh Ave</v>
      </c>
      <c r="C80" s="1" t="str">
        <f>IFERROR(__xludf.DUMMYFUNCTION("""COMPUTED_VALUE"""),"Santa Clara")</f>
        <v>Santa Clara</v>
      </c>
      <c r="D80" s="1" t="str">
        <f>IFERROR(__xludf.DUMMYFUNCTION("""COMPUTED_VALUE"""),"CA")</f>
        <v>CA</v>
      </c>
      <c r="E80" s="1" t="str">
        <f>IFERROR(__xludf.DUMMYFUNCTION("""COMPUTED_VALUE"""),"95051")</f>
        <v>95051</v>
      </c>
      <c r="F80" s="1" t="str">
        <f>IFERROR(__xludf.DUMMYFUNCTION("""COMPUTED_VALUE"""),"Santa Clara")</f>
        <v>Santa Clara</v>
      </c>
      <c r="G80" s="1" t="str">
        <f>IFERROR(__xludf.DUMMYFUNCTION("""COMPUTED_VALUE"""),"37.37316")</f>
        <v>37.37316</v>
      </c>
      <c r="H80" s="1" t="str">
        <f>IFERROR(__xludf.DUMMYFUNCTION("""COMPUTED_VALUE"""),"-121.976166")</f>
        <v>-121.976166</v>
      </c>
      <c r="I80" s="1" t="str">
        <f>IFERROR(__xludf.DUMMYFUNCTION("""COMPUTED_VALUE"""),"Expanding")</f>
        <v>Expanding</v>
      </c>
      <c r="J80" s="1" t="str">
        <f>IFERROR(__xludf.DUMMYFUNCTION("""COMPUTED_VALUE"""),"High")</f>
        <v>High</v>
      </c>
      <c r="K80" s="1" t="str">
        <f>IFERROR(__xludf.DUMMYFUNCTION("""COMPUTED_VALUE"""),"")</f>
        <v/>
      </c>
      <c r="L80" s="1" t="str">
        <f>IFERROR(__xludf.DUMMYFUNCTION("""COMPUTED_VALUE"""),"CoreSite")</f>
        <v>CoreSite</v>
      </c>
      <c r="M80" s="1" t="str">
        <f>IFERROR(__xludf.DUMMYFUNCTION("""COMPUTED_VALUE"""),"")</f>
        <v/>
      </c>
      <c r="N80" s="1" t="str">
        <f>IFERROR(__xludf.DUMMYFUNCTION("""COMPUTED_VALUE"""),"72")</f>
        <v>72</v>
      </c>
      <c r="O80" s="1" t="str">
        <f>IFERROR(__xludf.DUMMYFUNCTION("""COMPUTED_VALUE"""),"Large (51-99 MW)")</f>
        <v>Large (51-99 MW)</v>
      </c>
      <c r="P80" s="1" t="str">
        <f>IFERROR(__xludf.DUMMYFUNCTION("""COMPUTED_VALUE"""),"")</f>
        <v/>
      </c>
      <c r="Q80" s="1" t="str">
        <f>IFERROR(__xludf.DUMMYFUNCTION("""COMPUTED_VALUE"""),"")</f>
        <v/>
      </c>
      <c r="R80" s="1" t="str">
        <f>IFERROR(__xludf.DUMMYFUNCTION("""COMPUTED_VALUE"""),"")</f>
        <v/>
      </c>
      <c r="S80" s="1" t="str">
        <f>IFERROR(__xludf.DUMMYFUNCTION("""COMPUTED_VALUE"""),"3")</f>
        <v>3</v>
      </c>
      <c r="T80" s="1" t="str">
        <f>IFERROR(__xludf.DUMMYFUNCTION("""COMPUTED_VALUE"""),"")</f>
        <v/>
      </c>
      <c r="U80" s="1" t="str">
        <f>IFERROR(__xludf.DUMMYFUNCTION("""COMPUTED_VALUE"""),"")</f>
        <v/>
      </c>
      <c r="V80" s="1" t="str">
        <f>IFERROR(__xludf.DUMMYFUNCTION("""COMPUTED_VALUE"""),"244,070")</f>
        <v>244,070</v>
      </c>
      <c r="W80" s="1" t="str">
        <f>IFERROR(__xludf.DUMMYFUNCTION("""COMPUTED_VALUE"""),"11")</f>
        <v>11</v>
      </c>
      <c r="X80" s="1" t="str">
        <f>IFERROR(__xludf.DUMMYFUNCTION("""COMPUTED_VALUE"""),"")</f>
        <v/>
      </c>
      <c r="Y80" s="1" t="str">
        <f>IFERROR(__xludf.DUMMYFUNCTION("""COMPUTED_VALUE"""),"2030")</f>
        <v>2030</v>
      </c>
      <c r="Z80" s="1" t="str">
        <f>IFERROR(__xludf.DUMMYFUNCTION("""COMPUTED_VALUE"""),"Unknown")</f>
        <v>Unknown</v>
      </c>
      <c r="AA80" s="1" t="str">
        <f>IFERROR(__xludf.DUMMYFUNCTION("""COMPUTED_VALUE"""),"")</f>
        <v/>
      </c>
      <c r="AB80" s="1" t="str">
        <f>IFERROR(__xludf.DUMMYFUNCTION("""COMPUTED_VALUE"""),"")</f>
        <v/>
      </c>
      <c r="AC80" s="1" t="str">
        <f>IFERROR(__xludf.DUMMYFUNCTION("""COMPUTED_VALUE"""),"")</f>
        <v/>
      </c>
      <c r="AD80" s="1" t="str">
        <f>IFERROR(__xludf.DUMMYFUNCTION("""COMPUTED_VALUE"""),"")</f>
        <v/>
      </c>
      <c r="AE80" s="1" t="str">
        <f>IFERROR(__xludf.DUMMYFUNCTION("""COMPUTED_VALUE"""),"")</f>
        <v/>
      </c>
      <c r="AF80" s="1" t="str">
        <f>IFERROR(__xludf.DUMMYFUNCTION("""COMPUTED_VALUE"""),"")</f>
        <v/>
      </c>
      <c r="AG80" s="1" t="str">
        <f>IFERROR(__xludf.DUMMYFUNCTION("""COMPUTED_VALUE"""),"3 separate buildings could be re-developed. Currently only plans for 2805 Bowers.")</f>
        <v>3 separate buildings could be re-developed. Currently only plans for 2805 Bowers.</v>
      </c>
      <c r="AH80" s="1" t="str">
        <f>IFERROR(__xludf.DUMMYFUNCTION("""COMPUTED_VALUE"""),"Media Monitoring")</f>
        <v>Media Monitoring</v>
      </c>
      <c r="AI80" s="2" t="str">
        <f>IFERROR(__xludf.DUMMYFUNCTION("""COMPUTED_VALUE"""),"https://www.datacenterdynamics.com/en/news/coresite-acquires-silicon-valley-office-property-zoned-for-data-center-redevelopment/")</f>
        <v>https://www.datacenterdynamics.com/en/news/coresite-acquires-silicon-valley-office-property-zoned-for-data-center-redevelopment/</v>
      </c>
      <c r="AJ80" s="1" t="str">
        <f>IFERROR(__xludf.DUMMYFUNCTION("""COMPUTED_VALUE"""),"")</f>
        <v/>
      </c>
      <c r="AK80" s="1" t="str">
        <f>IFERROR(__xludf.DUMMYFUNCTION("""COMPUTED_VALUE"""),"")</f>
        <v/>
      </c>
      <c r="AL80" s="1" t="str">
        <f>IFERROR(__xludf.DUMMYFUNCTION("""COMPUTED_VALUE"""),"")</f>
        <v/>
      </c>
      <c r="AM80" s="1" t="str">
        <f>IFERROR(__xludf.DUMMYFUNCTION("""COMPUTED_VALUE"""),"")</f>
        <v/>
      </c>
      <c r="AN80" s="1" t="str">
        <f>IFERROR(__xludf.DUMMYFUNCTION("""COMPUTED_VALUE"""),"")</f>
        <v/>
      </c>
      <c r="AO80" s="1" t="str">
        <f>IFERROR(__xludf.DUMMYFUNCTION("""COMPUTED_VALUE"""),"")</f>
        <v/>
      </c>
      <c r="AP80" s="1" t="str">
        <f>IFERROR(__xludf.DUMMYFUNCTION("""COMPUTED_VALUE"""),"")</f>
        <v/>
      </c>
      <c r="AQ80" s="1" t="str">
        <f>IFERROR(__xludf.DUMMYFUNCTION("""COMPUTED_VALUE"""),"02/20/2026")</f>
        <v>02/20/2026</v>
      </c>
      <c r="AR80" s="1" t="str">
        <f>IFERROR(__xludf.DUMMYFUNCTION("""COMPUTED_VALUE"""),"02/20/2026")</f>
        <v>02/20/2026</v>
      </c>
    </row>
    <row r="81">
      <c r="A81" s="1" t="str">
        <f>IFERROR(__xludf.DUMMYFUNCTION("""COMPUTED_VALUE"""),"Nautilus Data Technology")</f>
        <v>Nautilus Data Technology</v>
      </c>
      <c r="B81" s="1" t="str">
        <f>IFERROR(__xludf.DUMMYFUNCTION("""COMPUTED_VALUE"""),"1002 Embarcadero")</f>
        <v>1002 Embarcadero</v>
      </c>
      <c r="C81" s="1" t="str">
        <f>IFERROR(__xludf.DUMMYFUNCTION("""COMPUTED_VALUE"""),"Stockton")</f>
        <v>Stockton</v>
      </c>
      <c r="D81" s="1" t="str">
        <f>IFERROR(__xludf.DUMMYFUNCTION("""COMPUTED_VALUE"""),"CA")</f>
        <v>CA</v>
      </c>
      <c r="E81" s="1" t="str">
        <f>IFERROR(__xludf.DUMMYFUNCTION("""COMPUTED_VALUE"""),"95203")</f>
        <v>95203</v>
      </c>
      <c r="F81" s="1" t="str">
        <f>IFERROR(__xludf.DUMMYFUNCTION("""COMPUTED_VALUE"""),"San Joaquin")</f>
        <v>San Joaquin</v>
      </c>
      <c r="G81" s="1" t="str">
        <f>IFERROR(__xludf.DUMMYFUNCTION("""COMPUTED_VALUE"""),"37.96411")</f>
        <v>37.96411</v>
      </c>
      <c r="H81" s="1" t="str">
        <f>IFERROR(__xludf.DUMMYFUNCTION("""COMPUTED_VALUE"""),"-121.369")</f>
        <v>-121.369</v>
      </c>
      <c r="I81" s="1" t="str">
        <f>IFERROR(__xludf.DUMMYFUNCTION("""COMPUTED_VALUE"""),"Operating")</f>
        <v>Operating</v>
      </c>
      <c r="J81" s="1" t="str">
        <f>IFERROR(__xludf.DUMMYFUNCTION("""COMPUTED_VALUE"""),"High")</f>
        <v>High</v>
      </c>
      <c r="K81" s="1" t="str">
        <f>IFERROR(__xludf.DUMMYFUNCTION("""COMPUTED_VALUE"""),"")</f>
        <v/>
      </c>
      <c r="L81" s="1" t="str">
        <f>IFERROR(__xludf.DUMMYFUNCTION("""COMPUTED_VALUE"""),"")</f>
        <v/>
      </c>
      <c r="M81" s="1" t="str">
        <f>IFERROR(__xludf.DUMMYFUNCTION("""COMPUTED_VALUE"""),"")</f>
        <v/>
      </c>
      <c r="N81" s="1" t="str">
        <f>IFERROR(__xludf.DUMMYFUNCTION("""COMPUTED_VALUE"""),"")</f>
        <v/>
      </c>
      <c r="O81" s="1" t="str">
        <f>IFERROR(__xludf.DUMMYFUNCTION("""COMPUTED_VALUE"""),"Unknown")</f>
        <v>Unknown</v>
      </c>
      <c r="P81" s="1" t="str">
        <f>IFERROR(__xludf.DUMMYFUNCTION("""COMPUTED_VALUE"""),"")</f>
        <v/>
      </c>
      <c r="Q81" s="1" t="str">
        <f>IFERROR(__xludf.DUMMYFUNCTION("""COMPUTED_VALUE"""),"")</f>
        <v/>
      </c>
      <c r="R81" s="1" t="str">
        <f>IFERROR(__xludf.DUMMYFUNCTION("""COMPUTED_VALUE"""),"")</f>
        <v/>
      </c>
      <c r="S81" s="1" t="str">
        <f>IFERROR(__xludf.DUMMYFUNCTION("""COMPUTED_VALUE"""),"")</f>
        <v/>
      </c>
      <c r="T81" s="1" t="str">
        <f>IFERROR(__xludf.DUMMYFUNCTION("""COMPUTED_VALUE"""),"")</f>
        <v/>
      </c>
      <c r="U81" s="1" t="str">
        <f>IFERROR(__xludf.DUMMYFUNCTION("""COMPUTED_VALUE"""),"")</f>
        <v/>
      </c>
      <c r="V81" s="1" t="str">
        <f>IFERROR(__xludf.DUMMYFUNCTION("""COMPUTED_VALUE"""),"")</f>
        <v/>
      </c>
      <c r="W81" s="1" t="str">
        <f>IFERROR(__xludf.DUMMYFUNCTION("""COMPUTED_VALUE"""),"")</f>
        <v/>
      </c>
      <c r="X81" s="1" t="str">
        <f>IFERROR(__xludf.DUMMYFUNCTION("""COMPUTED_VALUE"""),"")</f>
        <v/>
      </c>
      <c r="Y81" s="1" t="str">
        <f>IFERROR(__xludf.DUMMYFUNCTION("""COMPUTED_VALUE"""),"")</f>
        <v/>
      </c>
      <c r="Z81" s="1" t="str">
        <f>IFERROR(__xludf.DUMMYFUNCTION("""COMPUTED_VALUE"""),"Unknown")</f>
        <v>Unknown</v>
      </c>
      <c r="AA81" s="1" t="str">
        <f>IFERROR(__xludf.DUMMYFUNCTION("""COMPUTED_VALUE"""),"")</f>
        <v/>
      </c>
      <c r="AB81" s="1" t="str">
        <f>IFERROR(__xludf.DUMMYFUNCTION("""COMPUTED_VALUE"""),"")</f>
        <v/>
      </c>
      <c r="AC81" s="1" t="str">
        <f>IFERROR(__xludf.DUMMYFUNCTION("""COMPUTED_VALUE"""),"")</f>
        <v/>
      </c>
      <c r="AD81" s="1" t="str">
        <f>IFERROR(__xludf.DUMMYFUNCTION("""COMPUTED_VALUE"""),"")</f>
        <v/>
      </c>
      <c r="AE81" s="1" t="str">
        <f>IFERROR(__xludf.DUMMYFUNCTION("""COMPUTED_VALUE"""),"")</f>
        <v/>
      </c>
      <c r="AF81" s="1" t="str">
        <f>IFERROR(__xludf.DUMMYFUNCTION("""COMPUTED_VALUE"""),"")</f>
        <v/>
      </c>
      <c r="AG81" s="1" t="str">
        <f>IFERROR(__xludf.DUMMYFUNCTION("""COMPUTED_VALUE"""),"")</f>
        <v/>
      </c>
      <c r="AH81" s="1" t="str">
        <f>IFERROR(__xludf.DUMMYFUNCTION("""COMPUTED_VALUE"""),"Media Monitoring")</f>
        <v>Media Monitoring</v>
      </c>
      <c r="AI81" s="2" t="str">
        <f>IFERROR(__xludf.DUMMYFUNCTION("""COMPUTED_VALUE"""),"https://www.cerebras.ai/press-release/cerebras-announces-six-new-ai-datacenters-across-north-america-and-europe-to-deliver-industry-s")</f>
        <v>https://www.cerebras.ai/press-release/cerebras-announces-six-new-ai-datacenters-across-north-america-and-europe-to-deliver-industry-s</v>
      </c>
      <c r="AJ81" s="1" t="str">
        <f>IFERROR(__xludf.DUMMYFUNCTION("""COMPUTED_VALUE"""),"")</f>
        <v/>
      </c>
      <c r="AK81" s="1" t="str">
        <f>IFERROR(__xludf.DUMMYFUNCTION("""COMPUTED_VALUE"""),"")</f>
        <v/>
      </c>
      <c r="AL81" s="1" t="str">
        <f>IFERROR(__xludf.DUMMYFUNCTION("""COMPUTED_VALUE"""),"")</f>
        <v/>
      </c>
      <c r="AM81" s="1" t="str">
        <f>IFERROR(__xludf.DUMMYFUNCTION("""COMPUTED_VALUE"""),"")</f>
        <v/>
      </c>
      <c r="AN81" s="1" t="str">
        <f>IFERROR(__xludf.DUMMYFUNCTION("""COMPUTED_VALUE"""),"")</f>
        <v/>
      </c>
      <c r="AO81" s="1" t="str">
        <f>IFERROR(__xludf.DUMMYFUNCTION("""COMPUTED_VALUE"""),"")</f>
        <v/>
      </c>
      <c r="AP81" s="1" t="str">
        <f>IFERROR(__xludf.DUMMYFUNCTION("""COMPUTED_VALUE"""),"")</f>
        <v/>
      </c>
      <c r="AQ81" s="1" t="str">
        <f>IFERROR(__xludf.DUMMYFUNCTION("""COMPUTED_VALUE"""),"09/25/2025")</f>
        <v>09/25/2025</v>
      </c>
      <c r="AR81" s="1" t="str">
        <f>IFERROR(__xludf.DUMMYFUNCTION("""COMPUTED_VALUE"""),"09/25/2025")</f>
        <v>09/25/2025</v>
      </c>
    </row>
    <row r="82">
      <c r="A82" s="1" t="str">
        <f>IFERROR(__xludf.DUMMYFUNCTION("""COMPUTED_VALUE"""),"Cerebras Systems Data Center")</f>
        <v>Cerebras Systems Data Center</v>
      </c>
      <c r="B82" s="1" t="str">
        <f>IFERROR(__xludf.DUMMYFUNCTION("""COMPUTED_VALUE"""),"1237 E Arques Ave")</f>
        <v>1237 E Arques Ave</v>
      </c>
      <c r="C82" s="1" t="str">
        <f>IFERROR(__xludf.DUMMYFUNCTION("""COMPUTED_VALUE"""),"Sunnyvale")</f>
        <v>Sunnyvale</v>
      </c>
      <c r="D82" s="1" t="str">
        <f>IFERROR(__xludf.DUMMYFUNCTION("""COMPUTED_VALUE"""),"CA")</f>
        <v>CA</v>
      </c>
      <c r="E82" s="1" t="str">
        <f>IFERROR(__xludf.DUMMYFUNCTION("""COMPUTED_VALUE"""),"94085")</f>
        <v>94085</v>
      </c>
      <c r="F82" s="1" t="str">
        <f>IFERROR(__xludf.DUMMYFUNCTION("""COMPUTED_VALUE"""),"Santa Clara")</f>
        <v>Santa Clara</v>
      </c>
      <c r="G82" s="1" t="str">
        <f>IFERROR(__xludf.DUMMYFUNCTION("""COMPUTED_VALUE"""),"37.38112")</f>
        <v>37.38112</v>
      </c>
      <c r="H82" s="1" t="str">
        <f>IFERROR(__xludf.DUMMYFUNCTION("""COMPUTED_VALUE"""),"-121.993")</f>
        <v>-121.993</v>
      </c>
      <c r="I82" s="1" t="str">
        <f>IFERROR(__xludf.DUMMYFUNCTION("""COMPUTED_VALUE"""),"Operating")</f>
        <v>Operating</v>
      </c>
      <c r="J82" s="1" t="str">
        <f>IFERROR(__xludf.DUMMYFUNCTION("""COMPUTED_VALUE"""),"High")</f>
        <v>High</v>
      </c>
      <c r="K82" s="1" t="str">
        <f>IFERROR(__xludf.DUMMYFUNCTION("""COMPUTED_VALUE"""),"")</f>
        <v/>
      </c>
      <c r="L82" s="1" t="str">
        <f>IFERROR(__xludf.DUMMYFUNCTION("""COMPUTED_VALUE"""),"")</f>
        <v/>
      </c>
      <c r="M82" s="1" t="str">
        <f>IFERROR(__xludf.DUMMYFUNCTION("""COMPUTED_VALUE"""),"")</f>
        <v/>
      </c>
      <c r="N82" s="1" t="str">
        <f>IFERROR(__xludf.DUMMYFUNCTION("""COMPUTED_VALUE"""),"")</f>
        <v/>
      </c>
      <c r="O82" s="1" t="str">
        <f>IFERROR(__xludf.DUMMYFUNCTION("""COMPUTED_VALUE"""),"Unknown")</f>
        <v>Unknown</v>
      </c>
      <c r="P82" s="1" t="str">
        <f>IFERROR(__xludf.DUMMYFUNCTION("""COMPUTED_VALUE"""),"")</f>
        <v/>
      </c>
      <c r="Q82" s="1" t="str">
        <f>IFERROR(__xludf.DUMMYFUNCTION("""COMPUTED_VALUE"""),"")</f>
        <v/>
      </c>
      <c r="R82" s="1" t="str">
        <f>IFERROR(__xludf.DUMMYFUNCTION("""COMPUTED_VALUE"""),"")</f>
        <v/>
      </c>
      <c r="S82" s="1" t="str">
        <f>IFERROR(__xludf.DUMMYFUNCTION("""COMPUTED_VALUE"""),"")</f>
        <v/>
      </c>
      <c r="T82" s="1" t="str">
        <f>IFERROR(__xludf.DUMMYFUNCTION("""COMPUTED_VALUE"""),"")</f>
        <v/>
      </c>
      <c r="U82" s="1" t="str">
        <f>IFERROR(__xludf.DUMMYFUNCTION("""COMPUTED_VALUE"""),"")</f>
        <v/>
      </c>
      <c r="V82" s="1" t="str">
        <f>IFERROR(__xludf.DUMMYFUNCTION("""COMPUTED_VALUE"""),"")</f>
        <v/>
      </c>
      <c r="W82" s="1" t="str">
        <f>IFERROR(__xludf.DUMMYFUNCTION("""COMPUTED_VALUE"""),"")</f>
        <v/>
      </c>
      <c r="X82" s="1" t="str">
        <f>IFERROR(__xludf.DUMMYFUNCTION("""COMPUTED_VALUE"""),"")</f>
        <v/>
      </c>
      <c r="Y82" s="1" t="str">
        <f>IFERROR(__xludf.DUMMYFUNCTION("""COMPUTED_VALUE"""),"")</f>
        <v/>
      </c>
      <c r="Z82" s="1" t="str">
        <f>IFERROR(__xludf.DUMMYFUNCTION("""COMPUTED_VALUE"""),"Unknown")</f>
        <v>Unknown</v>
      </c>
      <c r="AA82" s="1" t="str">
        <f>IFERROR(__xludf.DUMMYFUNCTION("""COMPUTED_VALUE"""),"")</f>
        <v/>
      </c>
      <c r="AB82" s="1" t="str">
        <f>IFERROR(__xludf.DUMMYFUNCTION("""COMPUTED_VALUE"""),"")</f>
        <v/>
      </c>
      <c r="AC82" s="1" t="str">
        <f>IFERROR(__xludf.DUMMYFUNCTION("""COMPUTED_VALUE"""),"")</f>
        <v/>
      </c>
      <c r="AD82" s="1" t="str">
        <f>IFERROR(__xludf.DUMMYFUNCTION("""COMPUTED_VALUE"""),"")</f>
        <v/>
      </c>
      <c r="AE82" s="1" t="str">
        <f>IFERROR(__xludf.DUMMYFUNCTION("""COMPUTED_VALUE"""),"")</f>
        <v/>
      </c>
      <c r="AF82" s="1" t="str">
        <f>IFERROR(__xludf.DUMMYFUNCTION("""COMPUTED_VALUE"""),"")</f>
        <v/>
      </c>
      <c r="AG82" s="1" t="str">
        <f>IFERROR(__xludf.DUMMYFUNCTION("""COMPUTED_VALUE"""),"")</f>
        <v/>
      </c>
      <c r="AH82" s="1" t="str">
        <f>IFERROR(__xludf.DUMMYFUNCTION("""COMPUTED_VALUE"""),"Media Monitoring")</f>
        <v>Media Monitoring</v>
      </c>
      <c r="AI82" s="2" t="str">
        <f>IFERROR(__xludf.DUMMYFUNCTION("""COMPUTED_VALUE"""),"https://www.cerebras.ai/press-release/cerebras-announces-six-new-ai-datacenters-across-north-america-and-europe-to-deliver-industry-s")</f>
        <v>https://www.cerebras.ai/press-release/cerebras-announces-six-new-ai-datacenters-across-north-america-and-europe-to-deliver-industry-s</v>
      </c>
      <c r="AJ82" s="2" t="str">
        <f>IFERROR(__xludf.DUMMYFUNCTION("""COMPUTED_VALUE"""),"https://www.datacenterdynamics.com/en/news/cerebras-plans-six-new-ai-data-centers-in-north-america-and-europe/")</f>
        <v>https://www.datacenterdynamics.com/en/news/cerebras-plans-six-new-ai-data-centers-in-north-america-and-europe/</v>
      </c>
      <c r="AK82" s="1" t="str">
        <f>IFERROR(__xludf.DUMMYFUNCTION("""COMPUTED_VALUE"""),"")</f>
        <v/>
      </c>
      <c r="AL82" s="1" t="str">
        <f>IFERROR(__xludf.DUMMYFUNCTION("""COMPUTED_VALUE"""),"")</f>
        <v/>
      </c>
      <c r="AM82" s="1" t="str">
        <f>IFERROR(__xludf.DUMMYFUNCTION("""COMPUTED_VALUE"""),"")</f>
        <v/>
      </c>
      <c r="AN82" s="1" t="str">
        <f>IFERROR(__xludf.DUMMYFUNCTION("""COMPUTED_VALUE"""),"")</f>
        <v/>
      </c>
      <c r="AO82" s="1" t="str">
        <f>IFERROR(__xludf.DUMMYFUNCTION("""COMPUTED_VALUE"""),"")</f>
        <v/>
      </c>
      <c r="AP82" s="1" t="str">
        <f>IFERROR(__xludf.DUMMYFUNCTION("""COMPUTED_VALUE"""),"")</f>
        <v/>
      </c>
      <c r="AQ82" s="1" t="str">
        <f>IFERROR(__xludf.DUMMYFUNCTION("""COMPUTED_VALUE"""),"09/25/2025")</f>
        <v>09/25/2025</v>
      </c>
      <c r="AR82" s="1" t="str">
        <f>IFERROR(__xludf.DUMMYFUNCTION("""COMPUTED_VALUE"""),"09/25/2025")</f>
        <v>09/25/2025</v>
      </c>
    </row>
    <row r="83">
      <c r="A83" s="1" t="str">
        <f>IFERROR(__xludf.DUMMYFUNCTION("""COMPUTED_VALUE"""),"Menlo Equities Data Centere")</f>
        <v>Menlo Equities Data Centere</v>
      </c>
      <c r="B83" s="1" t="str">
        <f>IFERROR(__xludf.DUMMYFUNCTION("""COMPUTED_VALUE"""),"894 Ross Dr")</f>
        <v>894 Ross Dr</v>
      </c>
      <c r="C83" s="1" t="str">
        <f>IFERROR(__xludf.DUMMYFUNCTION("""COMPUTED_VALUE"""),"Sunnyvale")</f>
        <v>Sunnyvale</v>
      </c>
      <c r="D83" s="1" t="str">
        <f>IFERROR(__xludf.DUMMYFUNCTION("""COMPUTED_VALUE"""),"CA")</f>
        <v>CA</v>
      </c>
      <c r="E83" s="1" t="str">
        <f>IFERROR(__xludf.DUMMYFUNCTION("""COMPUTED_VALUE"""),"94089")</f>
        <v>94089</v>
      </c>
      <c r="F83" s="1" t="str">
        <f>IFERROR(__xludf.DUMMYFUNCTION("""COMPUTED_VALUE"""),"Santa Clara")</f>
        <v>Santa Clara</v>
      </c>
      <c r="G83" s="1" t="str">
        <f>IFERROR(__xludf.DUMMYFUNCTION("""COMPUTED_VALUE"""),"37.400707")</f>
        <v>37.400707</v>
      </c>
      <c r="H83" s="1" t="str">
        <f>IFERROR(__xludf.DUMMYFUNCTION("""COMPUTED_VALUE"""),"-122.03299")</f>
        <v>-122.03299</v>
      </c>
      <c r="I83" s="1" t="str">
        <f>IFERROR(__xludf.DUMMYFUNCTION("""COMPUTED_VALUE"""),"Proposed")</f>
        <v>Proposed</v>
      </c>
      <c r="J83" s="1" t="str">
        <f>IFERROR(__xludf.DUMMYFUNCTION("""COMPUTED_VALUE"""),"High")</f>
        <v>High</v>
      </c>
      <c r="K83" s="1" t="str">
        <f>IFERROR(__xludf.DUMMYFUNCTION("""COMPUTED_VALUE"""),"")</f>
        <v/>
      </c>
      <c r="L83" s="1" t="str">
        <f>IFERROR(__xludf.DUMMYFUNCTION("""COMPUTED_VALUE"""),"")</f>
        <v/>
      </c>
      <c r="M83" s="1" t="str">
        <f>IFERROR(__xludf.DUMMYFUNCTION("""COMPUTED_VALUE"""),"")</f>
        <v/>
      </c>
      <c r="N83" s="1" t="str">
        <f>IFERROR(__xludf.DUMMYFUNCTION("""COMPUTED_VALUE"""),"49")</f>
        <v>49</v>
      </c>
      <c r="O83" s="1" t="str">
        <f>IFERROR(__xludf.DUMMYFUNCTION("""COMPUTED_VALUE"""),"Medium (11-50 MW)")</f>
        <v>Medium (11-50 MW)</v>
      </c>
      <c r="P83" s="1" t="str">
        <f>IFERROR(__xludf.DUMMYFUNCTION("""COMPUTED_VALUE"""),"")</f>
        <v/>
      </c>
      <c r="Q83" s="1" t="str">
        <f>IFERROR(__xludf.DUMMYFUNCTION("""COMPUTED_VALUE"""),"")</f>
        <v/>
      </c>
      <c r="R83" s="1" t="str">
        <f>IFERROR(__xludf.DUMMYFUNCTION("""COMPUTED_VALUE"""),"")</f>
        <v/>
      </c>
      <c r="S83" s="1" t="str">
        <f>IFERROR(__xludf.DUMMYFUNCTION("""COMPUTED_VALUE"""),"")</f>
        <v/>
      </c>
      <c r="T83" s="1" t="str">
        <f>IFERROR(__xludf.DUMMYFUNCTION("""COMPUTED_VALUE"""),"")</f>
        <v/>
      </c>
      <c r="U83" s="1" t="str">
        <f>IFERROR(__xludf.DUMMYFUNCTION("""COMPUTED_VALUE"""),"")</f>
        <v/>
      </c>
      <c r="V83" s="1" t="str">
        <f>IFERROR(__xludf.DUMMYFUNCTION("""COMPUTED_VALUE"""),"244,215")</f>
        <v>244,215</v>
      </c>
      <c r="W83" s="1" t="str">
        <f>IFERROR(__xludf.DUMMYFUNCTION("""COMPUTED_VALUE"""),"9")</f>
        <v>9</v>
      </c>
      <c r="X83" s="1" t="str">
        <f>IFERROR(__xludf.DUMMYFUNCTION("""COMPUTED_VALUE"""),"")</f>
        <v/>
      </c>
      <c r="Y83" s="1" t="str">
        <f>IFERROR(__xludf.DUMMYFUNCTION("""COMPUTED_VALUE"""),"")</f>
        <v/>
      </c>
      <c r="Z83" s="1" t="str">
        <f>IFERROR(__xludf.DUMMYFUNCTION("""COMPUTED_VALUE"""),"Unknown")</f>
        <v>Unknown</v>
      </c>
      <c r="AA83" s="1" t="str">
        <f>IFERROR(__xludf.DUMMYFUNCTION("""COMPUTED_VALUE"""),"")</f>
        <v/>
      </c>
      <c r="AB83" s="1" t="str">
        <f>IFERROR(__xludf.DUMMYFUNCTION("""COMPUTED_VALUE"""),"")</f>
        <v/>
      </c>
      <c r="AC83" s="1" t="str">
        <f>IFERROR(__xludf.DUMMYFUNCTION("""COMPUTED_VALUE"""),"")</f>
        <v/>
      </c>
      <c r="AD83" s="1" t="str">
        <f>IFERROR(__xludf.DUMMYFUNCTION("""COMPUTED_VALUE"""),"")</f>
        <v/>
      </c>
      <c r="AE83" s="1" t="str">
        <f>IFERROR(__xludf.DUMMYFUNCTION("""COMPUTED_VALUE"""),"")</f>
        <v/>
      </c>
      <c r="AF83" s="1" t="str">
        <f>IFERROR(__xludf.DUMMYFUNCTION("""COMPUTED_VALUE"""),"")</f>
        <v/>
      </c>
      <c r="AG83" s="1" t="str">
        <f>IFERROR(__xludf.DUMMYFUNCTION("""COMPUTED_VALUE"""),"")</f>
        <v/>
      </c>
      <c r="AH83" s="1" t="str">
        <f>IFERROR(__xludf.DUMMYFUNCTION("""COMPUTED_VALUE"""),"Media Monitoring")</f>
        <v>Media Monitoring</v>
      </c>
      <c r="AI83" s="2" t="str">
        <f>IFERROR(__xludf.DUMMYFUNCTION("""COMPUTED_VALUE"""),"https://www.datacenterdynamics.com/en/news/menlo-equities-pivots-office-site-in-silicon-valley-to-data-center-development/")</f>
        <v>https://www.datacenterdynamics.com/en/news/menlo-equities-pivots-office-site-in-silicon-valley-to-data-center-development/</v>
      </c>
      <c r="AJ83" s="1" t="str">
        <f>IFERROR(__xludf.DUMMYFUNCTION("""COMPUTED_VALUE"""),"")</f>
        <v/>
      </c>
      <c r="AK83" s="1" t="str">
        <f>IFERROR(__xludf.DUMMYFUNCTION("""COMPUTED_VALUE"""),"")</f>
        <v/>
      </c>
      <c r="AL83" s="1" t="str">
        <f>IFERROR(__xludf.DUMMYFUNCTION("""COMPUTED_VALUE"""),"")</f>
        <v/>
      </c>
      <c r="AM83" s="1" t="str">
        <f>IFERROR(__xludf.DUMMYFUNCTION("""COMPUTED_VALUE"""),"")</f>
        <v/>
      </c>
      <c r="AN83" s="1" t="str">
        <f>IFERROR(__xludf.DUMMYFUNCTION("""COMPUTED_VALUE"""),"")</f>
        <v/>
      </c>
      <c r="AO83" s="1" t="str">
        <f>IFERROR(__xludf.DUMMYFUNCTION("""COMPUTED_VALUE"""),"")</f>
        <v/>
      </c>
      <c r="AP83" s="1" t="str">
        <f>IFERROR(__xludf.DUMMYFUNCTION("""COMPUTED_VALUE"""),"")</f>
        <v/>
      </c>
      <c r="AQ83" s="1" t="str">
        <f>IFERROR(__xludf.DUMMYFUNCTION("""COMPUTED_VALUE"""),"02/16/2026")</f>
        <v>02/16/2026</v>
      </c>
      <c r="AR83" s="1" t="str">
        <f>IFERROR(__xludf.DUMMYFUNCTION("""COMPUTED_VALUE"""),"02/16/2026")</f>
        <v>02/16/2026</v>
      </c>
    </row>
    <row r="84">
      <c r="A84" s="1" t="str">
        <f>IFERROR(__xludf.DUMMYFUNCTION("""COMPUTED_VALUE"""),"Beacon Data Center")</f>
        <v>Beacon Data Center</v>
      </c>
      <c r="B84" s="1" t="str">
        <f>IFERROR(__xludf.DUMMYFUNCTION("""COMPUTED_VALUE"""),"Elk Hills Oil Field")</f>
        <v>Elk Hills Oil Field</v>
      </c>
      <c r="C84" s="1" t="str">
        <f>IFERROR(__xludf.DUMMYFUNCTION("""COMPUTED_VALUE"""),"Tupman")</f>
        <v>Tupman</v>
      </c>
      <c r="D84" s="1" t="str">
        <f>IFERROR(__xludf.DUMMYFUNCTION("""COMPUTED_VALUE"""),"CA")</f>
        <v>CA</v>
      </c>
      <c r="E84" s="1" t="str">
        <f>IFERROR(__xludf.DUMMYFUNCTION("""COMPUTED_VALUE"""),"93276")</f>
        <v>93276</v>
      </c>
      <c r="F84" s="1" t="str">
        <f>IFERROR(__xludf.DUMMYFUNCTION("""COMPUTED_VALUE"""),"Kern")</f>
        <v>Kern</v>
      </c>
      <c r="G84" s="1" t="str">
        <f>IFERROR(__xludf.DUMMYFUNCTION("""COMPUTED_VALUE"""),"35.273212")</f>
        <v>35.273212</v>
      </c>
      <c r="H84" s="1" t="str">
        <f>IFERROR(__xludf.DUMMYFUNCTION("""COMPUTED_VALUE"""),"-119.3995")</f>
        <v>-119.3995</v>
      </c>
      <c r="I84" s="1" t="str">
        <f>IFERROR(__xludf.DUMMYFUNCTION("""COMPUTED_VALUE"""),"Proposed")</f>
        <v>Proposed</v>
      </c>
      <c r="J84" s="1" t="str">
        <f>IFERROR(__xludf.DUMMYFUNCTION("""COMPUTED_VALUE"""),"Medium")</f>
        <v>Medium</v>
      </c>
      <c r="K84" s="1" t="str">
        <f>IFERROR(__xludf.DUMMYFUNCTION("""COMPUTED_VALUE"""),"")</f>
        <v/>
      </c>
      <c r="L84" s="1" t="str">
        <f>IFERROR(__xludf.DUMMYFUNCTION("""COMPUTED_VALUE"""),"")</f>
        <v/>
      </c>
      <c r="M84" s="1" t="str">
        <f>IFERROR(__xludf.DUMMYFUNCTION("""COMPUTED_VALUE"""),"")</f>
        <v/>
      </c>
      <c r="N84" s="1" t="str">
        <f>IFERROR(__xludf.DUMMYFUNCTION("""COMPUTED_VALUE"""),"275")</f>
        <v>275</v>
      </c>
      <c r="O84" s="1" t="str">
        <f>IFERROR(__xludf.DUMMYFUNCTION("""COMPUTED_VALUE"""),"Hyperscale (100-999 MW)")</f>
        <v>Hyperscale (100-999 MW)</v>
      </c>
      <c r="P84" s="1" t="str">
        <f>IFERROR(__xludf.DUMMYFUNCTION("""COMPUTED_VALUE"""),"Natural gas")</f>
        <v>Natural gas</v>
      </c>
      <c r="Q84" s="1" t="str">
        <f>IFERROR(__xludf.DUMMYFUNCTION("""COMPUTED_VALUE"""),"Yes")</f>
        <v>Yes</v>
      </c>
      <c r="R84" s="1" t="str">
        <f>IFERROR(__xludf.DUMMYFUNCTION("""COMPUTED_VALUE"""),"15")</f>
        <v>15</v>
      </c>
      <c r="S84" s="1" t="str">
        <f>IFERROR(__xludf.DUMMYFUNCTION("""COMPUTED_VALUE"""),"")</f>
        <v/>
      </c>
      <c r="T84" s="1" t="str">
        <f>IFERROR(__xludf.DUMMYFUNCTION("""COMPUTED_VALUE"""),"")</f>
        <v/>
      </c>
      <c r="U84" s="1" t="str">
        <f>IFERROR(__xludf.DUMMYFUNCTION("""COMPUTED_VALUE"""),"Closed loop")</f>
        <v>Closed loop</v>
      </c>
      <c r="V84" s="1" t="str">
        <f>IFERROR(__xludf.DUMMYFUNCTION("""COMPUTED_VALUE"""),"400,000")</f>
        <v>400,000</v>
      </c>
      <c r="W84" s="1" t="str">
        <f>IFERROR(__xludf.DUMMYFUNCTION("""COMPUTED_VALUE"""),"100")</f>
        <v>100</v>
      </c>
      <c r="X84" s="1" t="str">
        <f>IFERROR(__xludf.DUMMYFUNCTION("""COMPUTED_VALUE"""),"")</f>
        <v/>
      </c>
      <c r="Y84" s="1" t="str">
        <f>IFERROR(__xludf.DUMMYFUNCTION("""COMPUTED_VALUE"""),"")</f>
        <v/>
      </c>
      <c r="Z84" s="1" t="str">
        <f>IFERROR(__xludf.DUMMYFUNCTION("""COMPUTED_VALUE"""),"Unknown")</f>
        <v>Unknown</v>
      </c>
      <c r="AA84" s="1" t="str">
        <f>IFERROR(__xludf.DUMMYFUNCTION("""COMPUTED_VALUE"""),"")</f>
        <v/>
      </c>
      <c r="AB84" s="1" t="str">
        <f>IFERROR(__xludf.DUMMYFUNCTION("""COMPUTED_VALUE"""),"")</f>
        <v/>
      </c>
      <c r="AC84" s="1" t="str">
        <f>IFERROR(__xludf.DUMMYFUNCTION("""COMPUTED_VALUE"""),"")</f>
        <v/>
      </c>
      <c r="AD84" s="1" t="str">
        <f>IFERROR(__xludf.DUMMYFUNCTION("""COMPUTED_VALUE"""),"")</f>
        <v/>
      </c>
      <c r="AE84" s="1" t="str">
        <f>IFERROR(__xludf.DUMMYFUNCTION("""COMPUTED_VALUE"""),"")</f>
        <v/>
      </c>
      <c r="AF84" s="1" t="str">
        <f>IFERROR(__xludf.DUMMYFUNCTION("""COMPUTED_VALUE"""),"")</f>
        <v/>
      </c>
      <c r="AG84" s="1" t="str">
        <f>IFERROR(__xludf.DUMMYFUNCTION("""COMPUTED_VALUE"""),"")</f>
        <v/>
      </c>
      <c r="AH84" s="1" t="str">
        <f>IFERROR(__xludf.DUMMYFUNCTION("""COMPUTED_VALUE"""),"Media Monitoring")</f>
        <v>Media Monitoring</v>
      </c>
      <c r="AI84" s="2" t="str">
        <f>IFERROR(__xludf.DUMMYFUNCTION("""COMPUTED_VALUE"""),"https://www.datacenterdynamics.com/en/news/canadas-beacon-dc-targets-275mw-data-center-campus-on-california-oil-field/")</f>
        <v>https://www.datacenterdynamics.com/en/news/canadas-beacon-dc-targets-275mw-data-center-campus-on-california-oil-field/</v>
      </c>
      <c r="AJ84" s="1" t="str">
        <f>IFERROR(__xludf.DUMMYFUNCTION("""COMPUTED_VALUE"""),"")</f>
        <v/>
      </c>
      <c r="AK84" s="1" t="str">
        <f>IFERROR(__xludf.DUMMYFUNCTION("""COMPUTED_VALUE"""),"")</f>
        <v/>
      </c>
      <c r="AL84" s="1" t="str">
        <f>IFERROR(__xludf.DUMMYFUNCTION("""COMPUTED_VALUE"""),"")</f>
        <v/>
      </c>
      <c r="AM84" s="1" t="str">
        <f>IFERROR(__xludf.DUMMYFUNCTION("""COMPUTED_VALUE"""),"")</f>
        <v/>
      </c>
      <c r="AN84" s="1" t="str">
        <f>IFERROR(__xludf.DUMMYFUNCTION("""COMPUTED_VALUE"""),"")</f>
        <v/>
      </c>
      <c r="AO84" s="1" t="str">
        <f>IFERROR(__xludf.DUMMYFUNCTION("""COMPUTED_VALUE"""),"")</f>
        <v/>
      </c>
      <c r="AP84" s="1" t="str">
        <f>IFERROR(__xludf.DUMMYFUNCTION("""COMPUTED_VALUE"""),"")</f>
        <v/>
      </c>
      <c r="AQ84" s="1" t="str">
        <f>IFERROR(__xludf.DUMMYFUNCTION("""COMPUTED_VALUE"""),"06/24/2026")</f>
        <v>06/24/2026</v>
      </c>
      <c r="AR84" s="1" t="str">
        <f>IFERROR(__xludf.DUMMYFUNCTION("""COMPUTED_VALUE"""),"06/24/2026")</f>
        <v>06/24/2026</v>
      </c>
    </row>
    <row r="85">
      <c r="A85" s="1" t="str">
        <f>IFERROR(__xludf.DUMMYFUNCTION("""COMPUTED_VALUE"""),"Digital Data Center")</f>
        <v>Digital Data Center</v>
      </c>
      <c r="B85" s="1" t="str">
        <f>IFERROR(__xludf.DUMMYFUNCTION("""COMPUTED_VALUE"""),"4400 Pacific Blvd")</f>
        <v>4400 Pacific Blvd</v>
      </c>
      <c r="C85" s="1" t="str">
        <f>IFERROR(__xludf.DUMMYFUNCTION("""COMPUTED_VALUE"""),"Vernon")</f>
        <v>Vernon</v>
      </c>
      <c r="D85" s="1" t="str">
        <f>IFERROR(__xludf.DUMMYFUNCTION("""COMPUTED_VALUE"""),"CA")</f>
        <v>CA</v>
      </c>
      <c r="E85" s="1" t="str">
        <f>IFERROR(__xludf.DUMMYFUNCTION("""COMPUTED_VALUE"""),"90058")</f>
        <v>90058</v>
      </c>
      <c r="F85" s="1" t="str">
        <f>IFERROR(__xludf.DUMMYFUNCTION("""COMPUTED_VALUE"""),"Los Angeles")</f>
        <v>Los Angeles</v>
      </c>
      <c r="G85" s="1" t="str">
        <f>IFERROR(__xludf.DUMMYFUNCTION("""COMPUTED_VALUE"""),"34.00368")</f>
        <v>34.00368</v>
      </c>
      <c r="H85" s="1" t="str">
        <f>IFERROR(__xludf.DUMMYFUNCTION("""COMPUTED_VALUE"""),"-118.22968")</f>
        <v>-118.22968</v>
      </c>
      <c r="I85" s="1" t="str">
        <f>IFERROR(__xludf.DUMMYFUNCTION("""COMPUTED_VALUE"""),"Proposed")</f>
        <v>Proposed</v>
      </c>
      <c r="J85" s="1" t="str">
        <f>IFERROR(__xludf.DUMMYFUNCTION("""COMPUTED_VALUE"""),"High")</f>
        <v>High</v>
      </c>
      <c r="K85" s="1" t="str">
        <f>IFERROR(__xludf.DUMMYFUNCTION("""COMPUTED_VALUE"""),"")</f>
        <v/>
      </c>
      <c r="L85" s="1" t="str">
        <f>IFERROR(__xludf.DUMMYFUNCTION("""COMPUTED_VALUE"""),"California Digital Realty")</f>
        <v>California Digital Realty</v>
      </c>
      <c r="M85" s="1" t="str">
        <f>IFERROR(__xludf.DUMMYFUNCTION("""COMPUTED_VALUE"""),"")</f>
        <v/>
      </c>
      <c r="N85" s="1" t="str">
        <f>IFERROR(__xludf.DUMMYFUNCTION("""COMPUTED_VALUE"""),"32")</f>
        <v>32</v>
      </c>
      <c r="O85" s="1" t="str">
        <f>IFERROR(__xludf.DUMMYFUNCTION("""COMPUTED_VALUE"""),"Medium (11-50 MW)")</f>
        <v>Medium (11-50 MW)</v>
      </c>
      <c r="P85" s="1" t="str">
        <f>IFERROR(__xludf.DUMMYFUNCTION("""COMPUTED_VALUE"""),"")</f>
        <v/>
      </c>
      <c r="Q85" s="1" t="str">
        <f>IFERROR(__xludf.DUMMYFUNCTION("""COMPUTED_VALUE"""),"")</f>
        <v/>
      </c>
      <c r="R85" s="1" t="str">
        <f>IFERROR(__xludf.DUMMYFUNCTION("""COMPUTED_VALUE"""),"")</f>
        <v/>
      </c>
      <c r="S85" s="1" t="str">
        <f>IFERROR(__xludf.DUMMYFUNCTION("""COMPUTED_VALUE"""),"")</f>
        <v/>
      </c>
      <c r="T85" s="1" t="str">
        <f>IFERROR(__xludf.DUMMYFUNCTION("""COMPUTED_VALUE"""),"")</f>
        <v/>
      </c>
      <c r="U85" s="1" t="str">
        <f>IFERROR(__xludf.DUMMYFUNCTION("""COMPUTED_VALUE"""),"")</f>
        <v/>
      </c>
      <c r="V85" s="1" t="str">
        <f>IFERROR(__xludf.DUMMYFUNCTION("""COMPUTED_VALUE"""),"253,200")</f>
        <v>253,200</v>
      </c>
      <c r="W85" s="1" t="str">
        <f>IFERROR(__xludf.DUMMYFUNCTION("""COMPUTED_VALUE"""),"5")</f>
        <v>5</v>
      </c>
      <c r="X85" s="1" t="str">
        <f>IFERROR(__xludf.DUMMYFUNCTION("""COMPUTED_VALUE"""),"")</f>
        <v/>
      </c>
      <c r="Y85" s="1" t="str">
        <f>IFERROR(__xludf.DUMMYFUNCTION("""COMPUTED_VALUE"""),"")</f>
        <v/>
      </c>
      <c r="Z85" s="1" t="str">
        <f>IFERROR(__xludf.DUMMYFUNCTION("""COMPUTED_VALUE"""),"Unknown")</f>
        <v>Unknown</v>
      </c>
      <c r="AA85" s="1" t="str">
        <f>IFERROR(__xludf.DUMMYFUNCTION("""COMPUTED_VALUE"""),"")</f>
        <v/>
      </c>
      <c r="AB85" s="1" t="str">
        <f>IFERROR(__xludf.DUMMYFUNCTION("""COMPUTED_VALUE"""),"")</f>
        <v/>
      </c>
      <c r="AC85" s="1" t="str">
        <f>IFERROR(__xludf.DUMMYFUNCTION("""COMPUTED_VALUE"""),"")</f>
        <v/>
      </c>
      <c r="AD85" s="1" t="str">
        <f>IFERROR(__xludf.DUMMYFUNCTION("""COMPUTED_VALUE"""),"")</f>
        <v/>
      </c>
      <c r="AE85" s="1" t="str">
        <f>IFERROR(__xludf.DUMMYFUNCTION("""COMPUTED_VALUE"""),"")</f>
        <v/>
      </c>
      <c r="AF85" s="1" t="str">
        <f>IFERROR(__xludf.DUMMYFUNCTION("""COMPUTED_VALUE"""),"")</f>
        <v/>
      </c>
      <c r="AG85" s="1" t="str">
        <f>IFERROR(__xludf.DUMMYFUNCTION("""COMPUTED_VALUE"""),"")</f>
        <v/>
      </c>
      <c r="AH85" s="1" t="str">
        <f>IFERROR(__xludf.DUMMYFUNCTION("""COMPUTED_VALUE"""),"Media Monitoring")</f>
        <v>Media Monitoring</v>
      </c>
      <c r="AI85" s="2" t="str">
        <f>IFERROR(__xludf.DUMMYFUNCTION("""COMPUTED_VALUE"""),"https://www.datacenterdynamics.com/en/news/digital-realty-buys-land-in-los-angeles-for-32mw-data-center/")</f>
        <v>https://www.datacenterdynamics.com/en/news/digital-realty-buys-land-in-los-angeles-for-32mw-data-center/</v>
      </c>
      <c r="AJ85" s="1" t="str">
        <f>IFERROR(__xludf.DUMMYFUNCTION("""COMPUTED_VALUE"""),"")</f>
        <v/>
      </c>
      <c r="AK85" s="1" t="str">
        <f>IFERROR(__xludf.DUMMYFUNCTION("""COMPUTED_VALUE"""),"")</f>
        <v/>
      </c>
      <c r="AL85" s="1" t="str">
        <f>IFERROR(__xludf.DUMMYFUNCTION("""COMPUTED_VALUE"""),"")</f>
        <v/>
      </c>
      <c r="AM85" s="1" t="str">
        <f>IFERROR(__xludf.DUMMYFUNCTION("""COMPUTED_VALUE"""),"")</f>
        <v/>
      </c>
      <c r="AN85" s="1" t="str">
        <f>IFERROR(__xludf.DUMMYFUNCTION("""COMPUTED_VALUE"""),"")</f>
        <v/>
      </c>
      <c r="AO85" s="1" t="str">
        <f>IFERROR(__xludf.DUMMYFUNCTION("""COMPUTED_VALUE"""),"")</f>
        <v/>
      </c>
      <c r="AP85" s="1" t="str">
        <f>IFERROR(__xludf.DUMMYFUNCTION("""COMPUTED_VALUE"""),"")</f>
        <v/>
      </c>
      <c r="AQ85" s="1" t="str">
        <f>IFERROR(__xludf.DUMMYFUNCTION("""COMPUTED_VALUE"""),"11/09/2025")</f>
        <v>11/09/2025</v>
      </c>
      <c r="AR85" s="1" t="str">
        <f>IFERROR(__xludf.DUMMYFUNCTION("""COMPUTED_VALUE"""),"11/09/2025")</f>
        <v>11/09/2025</v>
      </c>
    </row>
    <row r="86">
      <c r="A86" s="1" t="str">
        <f>IFERROR(__xludf.DUMMYFUNCTION("""COMPUTED_VALUE"""),"""Denver 1"" QTS Data Center")</f>
        <v>"Denver 1" QTS Data Center</v>
      </c>
      <c r="B86" s="1" t="str">
        <f>IFERROR(__xludf.DUMMYFUNCTION("""COMPUTED_VALUE"""),"1160 N Gun Club Rd")</f>
        <v>1160 N Gun Club Rd</v>
      </c>
      <c r="C86" s="1" t="str">
        <f>IFERROR(__xludf.DUMMYFUNCTION("""COMPUTED_VALUE"""),"Aurora")</f>
        <v>Aurora</v>
      </c>
      <c r="D86" s="1" t="str">
        <f>IFERROR(__xludf.DUMMYFUNCTION("""COMPUTED_VALUE"""),"CO")</f>
        <v>CO</v>
      </c>
      <c r="E86" s="1" t="str">
        <f>IFERROR(__xludf.DUMMYFUNCTION("""COMPUTED_VALUE"""),"80018")</f>
        <v>80018</v>
      </c>
      <c r="F86" s="1" t="str">
        <f>IFERROR(__xludf.DUMMYFUNCTION("""COMPUTED_VALUE"""),"Arapahoe")</f>
        <v>Arapahoe</v>
      </c>
      <c r="G86" s="1" t="str">
        <f>IFERROR(__xludf.DUMMYFUNCTION("""COMPUTED_VALUE"""),"39.734226")</f>
        <v>39.734226</v>
      </c>
      <c r="H86" s="1" t="str">
        <f>IFERROR(__xludf.DUMMYFUNCTION("""COMPUTED_VALUE"""),"-104.708")</f>
        <v>-104.708</v>
      </c>
      <c r="I86" s="1" t="str">
        <f>IFERROR(__xludf.DUMMYFUNCTION("""COMPUTED_VALUE"""),"Approved/Permitted/Under construction")</f>
        <v>Approved/Permitted/Under construction</v>
      </c>
      <c r="J86" s="1" t="str">
        <f>IFERROR(__xludf.DUMMYFUNCTION("""COMPUTED_VALUE"""),"High")</f>
        <v>High</v>
      </c>
      <c r="K86" s="1" t="str">
        <f>IFERROR(__xludf.DUMMYFUNCTION("""COMPUTED_VALUE"""),"")</f>
        <v/>
      </c>
      <c r="L86" s="1" t="str">
        <f>IFERROR(__xludf.DUMMYFUNCTION("""COMPUTED_VALUE"""),"QTS")</f>
        <v>QTS</v>
      </c>
      <c r="M86" s="1" t="str">
        <f>IFERROR(__xludf.DUMMYFUNCTION("""COMPUTED_VALUE"""),"")</f>
        <v/>
      </c>
      <c r="N86" s="1" t="str">
        <f>IFERROR(__xludf.DUMMYFUNCTION("""COMPUTED_VALUE"""),"160")</f>
        <v>160</v>
      </c>
      <c r="O86" s="1" t="str">
        <f>IFERROR(__xludf.DUMMYFUNCTION("""COMPUTED_VALUE"""),"Hyperscale (100-999 MW)")</f>
        <v>Hyperscale (100-999 MW)</v>
      </c>
      <c r="P86" s="1" t="str">
        <f>IFERROR(__xludf.DUMMYFUNCTION("""COMPUTED_VALUE"""),"Oil/Diesel, Grid (unspecified mix)")</f>
        <v>Oil/Diesel, Grid (unspecified mix)</v>
      </c>
      <c r="Q86" s="1" t="str">
        <f>IFERROR(__xludf.DUMMYFUNCTION("""COMPUTED_VALUE"""),"")</f>
        <v/>
      </c>
      <c r="R86" s="1" t="str">
        <f>IFERROR(__xludf.DUMMYFUNCTION("""COMPUTED_VALUE"""),"40-138")</f>
        <v>40-138</v>
      </c>
      <c r="S86" s="1" t="str">
        <f>IFERROR(__xludf.DUMMYFUNCTION("""COMPUTED_VALUE"""),"4")</f>
        <v>4</v>
      </c>
      <c r="T86" s="1" t="str">
        <f>IFERROR(__xludf.DUMMYFUNCTION("""COMPUTED_VALUE"""),"Air")</f>
        <v>Air</v>
      </c>
      <c r="U86" s="1" t="str">
        <f>IFERROR(__xludf.DUMMYFUNCTION("""COMPUTED_VALUE"""),"")</f>
        <v/>
      </c>
      <c r="V86" s="1" t="str">
        <f>IFERROR(__xludf.DUMMYFUNCTION("""COMPUTED_VALUE"""),"")</f>
        <v/>
      </c>
      <c r="W86" s="1" t="str">
        <f>IFERROR(__xludf.DUMMYFUNCTION("""COMPUTED_VALUE"""),"65")</f>
        <v>65</v>
      </c>
      <c r="X86" s="1" t="str">
        <f>IFERROR(__xludf.DUMMYFUNCTION("""COMPUTED_VALUE"""),"")</f>
        <v/>
      </c>
      <c r="Y86" s="1" t="str">
        <f>IFERROR(__xludf.DUMMYFUNCTION("""COMPUTED_VALUE"""),"")</f>
        <v/>
      </c>
      <c r="Z86" s="1" t="str">
        <f>IFERROR(__xludf.DUMMYFUNCTION("""COMPUTED_VALUE"""),"")</f>
        <v/>
      </c>
      <c r="AA86" s="1" t="str">
        <f>IFERROR(__xludf.DUMMYFUNCTION("""COMPUTED_VALUE"""),"")</f>
        <v/>
      </c>
      <c r="AB86" s="1" t="str">
        <f>IFERROR(__xludf.DUMMYFUNCTION("""COMPUTED_VALUE"""),"")</f>
        <v/>
      </c>
      <c r="AC86" s="1" t="str">
        <f>IFERROR(__xludf.DUMMYFUNCTION("""COMPUTED_VALUE"""),"")</f>
        <v/>
      </c>
      <c r="AD86" s="1" t="str">
        <f>IFERROR(__xludf.DUMMYFUNCTION("""COMPUTED_VALUE"""),"")</f>
        <v/>
      </c>
      <c r="AE86" s="1" t="str">
        <f>IFERROR(__xludf.DUMMYFUNCTION("""COMPUTED_VALUE"""),"")</f>
        <v/>
      </c>
      <c r="AF86" s="1" t="str">
        <f>IFERROR(__xludf.DUMMYFUNCTION("""COMPUTED_VALUE"""),"")</f>
        <v/>
      </c>
      <c r="AG86" s="1" t="str">
        <f>IFERROR(__xludf.DUMMYFUNCTION("""COMPUTED_VALUE"""),"")</f>
        <v/>
      </c>
      <c r="AH86" s="1" t="str">
        <f>IFERROR(__xludf.DUMMYFUNCTION("""COMPUTED_VALUE"""),"Crowdsourced")</f>
        <v>Crowdsourced</v>
      </c>
      <c r="AI86" s="2" t="str">
        <f>IFERROR(__xludf.DUMMYFUNCTION("""COMPUTED_VALUE"""),"https://q.com/data-centers/denver/")</f>
        <v>https://q.com/data-centers/denver/</v>
      </c>
      <c r="AJ86" s="2" t="str">
        <f>IFERROR(__xludf.DUMMYFUNCTION("""COMPUTED_VALUE"""),"https://www.ocolo.io/colocation/qts-data-centers/aurora-denver-campus/")</f>
        <v>https://www.ocolo.io/colocation/qts-data-centers/aurora-denver-campus/</v>
      </c>
      <c r="AK86" s="2" t="str">
        <f>IFERROR(__xludf.DUMMYFUNCTION("""COMPUTED_VALUE"""),"https://www.cpr.org/2026/07/08/qts-aurora-data-center-diesel-generators/")</f>
        <v>https://www.cpr.org/2026/07/08/qts-aurora-data-center-diesel-generators/</v>
      </c>
      <c r="AL86" s="1" t="str">
        <f>IFERROR(__xludf.DUMMYFUNCTION("""COMPUTED_VALUE"""),"")</f>
        <v/>
      </c>
      <c r="AM86" s="1" t="str">
        <f>IFERROR(__xludf.DUMMYFUNCTION("""COMPUTED_VALUE"""),"")</f>
        <v/>
      </c>
      <c r="AN86" s="1" t="str">
        <f>IFERROR(__xludf.DUMMYFUNCTION("""COMPUTED_VALUE"""),"")</f>
        <v/>
      </c>
      <c r="AO86" s="1" t="str">
        <f>IFERROR(__xludf.DUMMYFUNCTION("""COMPUTED_VALUE"""),"")</f>
        <v/>
      </c>
      <c r="AP86" s="1" t="str">
        <f>IFERROR(__xludf.DUMMYFUNCTION("""COMPUTED_VALUE"""),"")</f>
        <v/>
      </c>
      <c r="AQ86" s="1" t="str">
        <f>IFERROR(__xludf.DUMMYFUNCTION("""COMPUTED_VALUE"""),"07/14/2026")</f>
        <v>07/14/2026</v>
      </c>
      <c r="AR86" s="1" t="str">
        <f>IFERROR(__xludf.DUMMYFUNCTION("""COMPUTED_VALUE"""),"07/14/2026")</f>
        <v>07/14/2026</v>
      </c>
    </row>
    <row r="87">
      <c r="A87" s="1" t="str">
        <f>IFERROR(__xludf.DUMMYFUNCTION("""COMPUTED_VALUE"""),"DEN1")</f>
        <v>DEN1</v>
      </c>
      <c r="B87" s="1" t="str">
        <f>IFERROR(__xludf.DUMMYFUNCTION("""COMPUTED_VALUE"""),"7347 S. Revere Parkway Building C")</f>
        <v>7347 S. Revere Parkway Building C</v>
      </c>
      <c r="C87" s="1" t="str">
        <f>IFERROR(__xludf.DUMMYFUNCTION("""COMPUTED_VALUE"""),"Centennial")</f>
        <v>Centennial</v>
      </c>
      <c r="D87" s="1" t="str">
        <f>IFERROR(__xludf.DUMMYFUNCTION("""COMPUTED_VALUE"""),"CO")</f>
        <v>CO</v>
      </c>
      <c r="E87" s="1" t="str">
        <f>IFERROR(__xludf.DUMMYFUNCTION("""COMPUTED_VALUE"""),"80112")</f>
        <v>80112</v>
      </c>
      <c r="F87" s="1" t="str">
        <f>IFERROR(__xludf.DUMMYFUNCTION("""COMPUTED_VALUE"""),"Arapahoe")</f>
        <v>Arapahoe</v>
      </c>
      <c r="G87" s="1" t="str">
        <f>IFERROR(__xludf.DUMMYFUNCTION("""COMPUTED_VALUE"""),"39.58275")</f>
        <v>39.58275</v>
      </c>
      <c r="H87" s="1" t="str">
        <f>IFERROR(__xludf.DUMMYFUNCTION("""COMPUTED_VALUE"""),"-104.841")</f>
        <v>-104.841</v>
      </c>
      <c r="I87" s="1" t="str">
        <f>IFERROR(__xludf.DUMMYFUNCTION("""COMPUTED_VALUE"""),"Operating")</f>
        <v>Operating</v>
      </c>
      <c r="J87" s="1" t="str">
        <f>IFERROR(__xludf.DUMMYFUNCTION("""COMPUTED_VALUE"""),"High")</f>
        <v>High</v>
      </c>
      <c r="K87" s="1" t="str">
        <f>IFERROR(__xludf.DUMMYFUNCTION("""COMPUTED_VALUE"""),"")</f>
        <v/>
      </c>
      <c r="L87" s="1" t="str">
        <f>IFERROR(__xludf.DUMMYFUNCTION("""COMPUTED_VALUE"""),"")</f>
        <v/>
      </c>
      <c r="M87" s="1" t="str">
        <f>IFERROR(__xludf.DUMMYFUNCTION("""COMPUTED_VALUE"""),"")</f>
        <v/>
      </c>
      <c r="N87" s="1" t="str">
        <f>IFERROR(__xludf.DUMMYFUNCTION("""COMPUTED_VALUE"""),"2")</f>
        <v>2</v>
      </c>
      <c r="O87" s="1" t="str">
        <f>IFERROR(__xludf.DUMMYFUNCTION("""COMPUTED_VALUE"""),"Small (0-10 MW)")</f>
        <v>Small (0-10 MW)</v>
      </c>
      <c r="P87" s="1" t="str">
        <f>IFERROR(__xludf.DUMMYFUNCTION("""COMPUTED_VALUE"""),"")</f>
        <v/>
      </c>
      <c r="Q87" s="1" t="str">
        <f>IFERROR(__xludf.DUMMYFUNCTION("""COMPUTED_VALUE"""),"")</f>
        <v/>
      </c>
      <c r="R87" s="1" t="str">
        <f>IFERROR(__xludf.DUMMYFUNCTION("""COMPUTED_VALUE"""),"")</f>
        <v/>
      </c>
      <c r="S87" s="1" t="str">
        <f>IFERROR(__xludf.DUMMYFUNCTION("""COMPUTED_VALUE"""),"")</f>
        <v/>
      </c>
      <c r="T87" s="1" t="str">
        <f>IFERROR(__xludf.DUMMYFUNCTION("""COMPUTED_VALUE"""),"")</f>
        <v/>
      </c>
      <c r="U87" s="1" t="str">
        <f>IFERROR(__xludf.DUMMYFUNCTION("""COMPUTED_VALUE"""),"")</f>
        <v/>
      </c>
      <c r="V87" s="1" t="str">
        <f>IFERROR(__xludf.DUMMYFUNCTION("""COMPUTED_VALUE"""),"32,000")</f>
        <v>32,000</v>
      </c>
      <c r="W87" s="1" t="str">
        <f>IFERROR(__xludf.DUMMYFUNCTION("""COMPUTED_VALUE"""),"")</f>
        <v/>
      </c>
      <c r="X87" s="1" t="str">
        <f>IFERROR(__xludf.DUMMYFUNCTION("""COMPUTED_VALUE"""),"")</f>
        <v/>
      </c>
      <c r="Y87" s="1" t="str">
        <f>IFERROR(__xludf.DUMMYFUNCTION("""COMPUTED_VALUE"""),"")</f>
        <v/>
      </c>
      <c r="Z87" s="1" t="str">
        <f>IFERROR(__xludf.DUMMYFUNCTION("""COMPUTED_VALUE"""),"Unknown")</f>
        <v>Unknown</v>
      </c>
      <c r="AA87" s="1" t="str">
        <f>IFERROR(__xludf.DUMMYFUNCTION("""COMPUTED_VALUE"""),"")</f>
        <v/>
      </c>
      <c r="AB87" s="1" t="str">
        <f>IFERROR(__xludf.DUMMYFUNCTION("""COMPUTED_VALUE"""),"")</f>
        <v/>
      </c>
      <c r="AC87" s="1" t="str">
        <f>IFERROR(__xludf.DUMMYFUNCTION("""COMPUTED_VALUE"""),"")</f>
        <v/>
      </c>
      <c r="AD87" s="1" t="str">
        <f>IFERROR(__xludf.DUMMYFUNCTION("""COMPUTED_VALUE"""),"")</f>
        <v/>
      </c>
      <c r="AE87" s="1" t="str">
        <f>IFERROR(__xludf.DUMMYFUNCTION("""COMPUTED_VALUE"""),"")</f>
        <v/>
      </c>
      <c r="AF87" s="1" t="str">
        <f>IFERROR(__xludf.DUMMYFUNCTION("""COMPUTED_VALUE"""),"")</f>
        <v/>
      </c>
      <c r="AG87" s="1" t="str">
        <f>IFERROR(__xludf.DUMMYFUNCTION("""COMPUTED_VALUE"""),"")</f>
        <v/>
      </c>
      <c r="AH87" s="1" t="str">
        <f>IFERROR(__xludf.DUMMYFUNCTION("""COMPUTED_VALUE"""),"Media Monitoring")</f>
        <v>Media Monitoring</v>
      </c>
      <c r="AI87" s="2" t="str">
        <f>IFERROR(__xludf.DUMMYFUNCTION("""COMPUTED_VALUE"""),"https://www.expedient.com/data-centers/denver/")</f>
        <v>https://www.expedient.com/data-centers/denver/</v>
      </c>
      <c r="AJ87" s="1" t="str">
        <f>IFERROR(__xludf.DUMMYFUNCTION("""COMPUTED_VALUE"""),"")</f>
        <v/>
      </c>
      <c r="AK87" s="1" t="str">
        <f>IFERROR(__xludf.DUMMYFUNCTION("""COMPUTED_VALUE"""),"")</f>
        <v/>
      </c>
      <c r="AL87" s="1" t="str">
        <f>IFERROR(__xludf.DUMMYFUNCTION("""COMPUTED_VALUE"""),"")</f>
        <v/>
      </c>
      <c r="AM87" s="1" t="str">
        <f>IFERROR(__xludf.DUMMYFUNCTION("""COMPUTED_VALUE"""),"")</f>
        <v/>
      </c>
      <c r="AN87" s="1" t="str">
        <f>IFERROR(__xludf.DUMMYFUNCTION("""COMPUTED_VALUE"""),"")</f>
        <v/>
      </c>
      <c r="AO87" s="1" t="str">
        <f>IFERROR(__xludf.DUMMYFUNCTION("""COMPUTED_VALUE"""),"")</f>
        <v/>
      </c>
      <c r="AP87" s="1" t="str">
        <f>IFERROR(__xludf.DUMMYFUNCTION("""COMPUTED_VALUE"""),"")</f>
        <v/>
      </c>
      <c r="AQ87" s="1" t="str">
        <f>IFERROR(__xludf.DUMMYFUNCTION("""COMPUTED_VALUE"""),"09/01/2025")</f>
        <v>09/01/2025</v>
      </c>
      <c r="AR87" s="1" t="str">
        <f>IFERROR(__xludf.DUMMYFUNCTION("""COMPUTED_VALUE"""),"09/01/2025")</f>
        <v>09/01/2025</v>
      </c>
    </row>
    <row r="88">
      <c r="A88" s="1" t="str">
        <f>IFERROR(__xludf.DUMMYFUNCTION("""COMPUTED_VALUE"""),"Colorado Springs Data Center")</f>
        <v>Colorado Springs Data Center</v>
      </c>
      <c r="B88" s="1" t="str">
        <f>IFERROR(__xludf.DUMMYFUNCTION("""COMPUTED_VALUE"""),"1780 Jet Stream Drive")</f>
        <v>1780 Jet Stream Drive</v>
      </c>
      <c r="C88" s="1" t="str">
        <f>IFERROR(__xludf.DUMMYFUNCTION("""COMPUTED_VALUE"""),"Colorado Springs")</f>
        <v>Colorado Springs</v>
      </c>
      <c r="D88" s="1" t="str">
        <f>IFERROR(__xludf.DUMMYFUNCTION("""COMPUTED_VALUE"""),"CO")</f>
        <v>CO</v>
      </c>
      <c r="E88" s="1" t="str">
        <f>IFERROR(__xludf.DUMMYFUNCTION("""COMPUTED_VALUE"""),"80921")</f>
        <v>80921</v>
      </c>
      <c r="F88" s="1" t="str">
        <f>IFERROR(__xludf.DUMMYFUNCTION("""COMPUTED_VALUE"""),"El Paso")</f>
        <v>El Paso</v>
      </c>
      <c r="G88" s="1" t="str">
        <f>IFERROR(__xludf.DUMMYFUNCTION("""COMPUTED_VALUE"""),"38.99734")</f>
        <v>38.99734</v>
      </c>
      <c r="H88" s="1" t="str">
        <f>IFERROR(__xludf.DUMMYFUNCTION("""COMPUTED_VALUE"""),"-104.792")</f>
        <v>-104.792</v>
      </c>
      <c r="I88" s="1" t="str">
        <f>IFERROR(__xludf.DUMMYFUNCTION("""COMPUTED_VALUE"""),"Operating")</f>
        <v>Operating</v>
      </c>
      <c r="J88" s="1" t="str">
        <f>IFERROR(__xludf.DUMMYFUNCTION("""COMPUTED_VALUE"""),"High")</f>
        <v>High</v>
      </c>
      <c r="K88" s="1" t="str">
        <f>IFERROR(__xludf.DUMMYFUNCTION("""COMPUTED_VALUE"""),"Colocation / enterprise data center")</f>
        <v>Colocation / enterprise data center</v>
      </c>
      <c r="L88" s="1" t="str">
        <f>IFERROR(__xludf.DUMMYFUNCTION("""COMPUTED_VALUE"""),"Flexential")</f>
        <v>Flexential</v>
      </c>
      <c r="M88" s="1" t="str">
        <f>IFERROR(__xludf.DUMMYFUNCTION("""COMPUTED_VALUE"""),"")</f>
        <v/>
      </c>
      <c r="N88" s="1" t="str">
        <f>IFERROR(__xludf.DUMMYFUNCTION("""COMPUTED_VALUE"""),"3")</f>
        <v>3</v>
      </c>
      <c r="O88" s="1" t="str">
        <f>IFERROR(__xludf.DUMMYFUNCTION("""COMPUTED_VALUE"""),"Small (0-10 MW)")</f>
        <v>Small (0-10 MW)</v>
      </c>
      <c r="P88" s="1" t="str">
        <f>IFERROR(__xludf.DUMMYFUNCTION("""COMPUTED_VALUE"""),"")</f>
        <v/>
      </c>
      <c r="Q88" s="1" t="str">
        <f>IFERROR(__xludf.DUMMYFUNCTION("""COMPUTED_VALUE"""),"")</f>
        <v/>
      </c>
      <c r="R88" s="1" t="str">
        <f>IFERROR(__xludf.DUMMYFUNCTION("""COMPUTED_VALUE"""),"")</f>
        <v/>
      </c>
      <c r="S88" s="1" t="str">
        <f>IFERROR(__xludf.DUMMYFUNCTION("""COMPUTED_VALUE"""),"")</f>
        <v/>
      </c>
      <c r="T88" s="1" t="str">
        <f>IFERROR(__xludf.DUMMYFUNCTION("""COMPUTED_VALUE"""),"")</f>
        <v/>
      </c>
      <c r="U88" s="1" t="str">
        <f>IFERROR(__xludf.DUMMYFUNCTION("""COMPUTED_VALUE"""),"")</f>
        <v/>
      </c>
      <c r="V88" s="1" t="str">
        <f>IFERROR(__xludf.DUMMYFUNCTION("""COMPUTED_VALUE"""),"14,613")</f>
        <v>14,613</v>
      </c>
      <c r="W88" s="1" t="str">
        <f>IFERROR(__xludf.DUMMYFUNCTION("""COMPUTED_VALUE"""),"")</f>
        <v/>
      </c>
      <c r="X88" s="1" t="str">
        <f>IFERROR(__xludf.DUMMYFUNCTION("""COMPUTED_VALUE"""),"")</f>
        <v/>
      </c>
      <c r="Y88" s="1" t="str">
        <f>IFERROR(__xludf.DUMMYFUNCTION("""COMPUTED_VALUE"""),"")</f>
        <v/>
      </c>
      <c r="Z88" s="1" t="str">
        <f>IFERROR(__xludf.DUMMYFUNCTION("""COMPUTED_VALUE"""),"Unknown")</f>
        <v>Unknown</v>
      </c>
      <c r="AA88" s="1" t="str">
        <f>IFERROR(__xludf.DUMMYFUNCTION("""COMPUTED_VALUE"""),"")</f>
        <v/>
      </c>
      <c r="AB88" s="1" t="str">
        <f>IFERROR(__xludf.DUMMYFUNCTION("""COMPUTED_VALUE"""),"")</f>
        <v/>
      </c>
      <c r="AC88" s="1" t="str">
        <f>IFERROR(__xludf.DUMMYFUNCTION("""COMPUTED_VALUE"""),"")</f>
        <v/>
      </c>
      <c r="AD88" s="1" t="str">
        <f>IFERROR(__xludf.DUMMYFUNCTION("""COMPUTED_VALUE"""),"")</f>
        <v/>
      </c>
      <c r="AE88" s="1" t="str">
        <f>IFERROR(__xludf.DUMMYFUNCTION("""COMPUTED_VALUE"""),"")</f>
        <v/>
      </c>
      <c r="AF88" s="1" t="str">
        <f>IFERROR(__xludf.DUMMYFUNCTION("""COMPUTED_VALUE"""),"")</f>
        <v/>
      </c>
      <c r="AG88" s="1" t="str">
        <f>IFERROR(__xludf.DUMMYFUNCTION("""COMPUTED_VALUE"""),"")</f>
        <v/>
      </c>
      <c r="AH88" s="1" t="str">
        <f>IFERROR(__xludf.DUMMYFUNCTION("""COMPUTED_VALUE"""),"Media Monitoring")</f>
        <v>Media Monitoring</v>
      </c>
      <c r="AI88" s="2" t="str">
        <f>IFERROR(__xludf.DUMMYFUNCTION("""COMPUTED_VALUE"""),"https://invest.jll.com/us/en/listings/special-purpose-facility/8-asset-switch-portfolio")</f>
        <v>https://invest.jll.com/us/en/listings/special-purpose-facility/8-asset-switch-portfolio</v>
      </c>
      <c r="AJ88" s="2" t="str">
        <f>IFERROR(__xludf.DUMMYFUNCTION("""COMPUTED_VALUE"""),"https://inflect.com/building/1780-jet-stream-drive-colorado-springs/uniti/datacenter/colorado-springs")</f>
        <v>https://inflect.com/building/1780-jet-stream-drive-colorado-springs/uniti/datacenter/colorado-springs</v>
      </c>
      <c r="AK88" s="1" t="str">
        <f>IFERROR(__xludf.DUMMYFUNCTION("""COMPUTED_VALUE"""),"")</f>
        <v/>
      </c>
      <c r="AL88" s="1" t="str">
        <f>IFERROR(__xludf.DUMMYFUNCTION("""COMPUTED_VALUE"""),"")</f>
        <v/>
      </c>
      <c r="AM88" s="1" t="str">
        <f>IFERROR(__xludf.DUMMYFUNCTION("""COMPUTED_VALUE"""),"")</f>
        <v/>
      </c>
      <c r="AN88" s="1" t="str">
        <f>IFERROR(__xludf.DUMMYFUNCTION("""COMPUTED_VALUE"""),"")</f>
        <v/>
      </c>
      <c r="AO88" s="1" t="str">
        <f>IFERROR(__xludf.DUMMYFUNCTION("""COMPUTED_VALUE"""),"")</f>
        <v/>
      </c>
      <c r="AP88" s="1" t="str">
        <f>IFERROR(__xludf.DUMMYFUNCTION("""COMPUTED_VALUE"""),"")</f>
        <v/>
      </c>
      <c r="AQ88" s="1" t="str">
        <f>IFERROR(__xludf.DUMMYFUNCTION("""COMPUTED_VALUE"""),"05/27/2025")</f>
        <v>05/27/2025</v>
      </c>
      <c r="AR88" s="1" t="str">
        <f>IFERROR(__xludf.DUMMYFUNCTION("""COMPUTED_VALUE"""),"02/19/2026")</f>
        <v>02/19/2026</v>
      </c>
    </row>
    <row r="89">
      <c r="A89" s="1" t="str">
        <f>IFERROR(__xludf.DUMMYFUNCTION("""COMPUTED_VALUE"""),"Project Taurus")</f>
        <v>Project Taurus</v>
      </c>
      <c r="B89" s="1" t="str">
        <f>IFERROR(__xludf.DUMMYFUNCTION("""COMPUTED_VALUE"""),"1565 High Tech Way")</f>
        <v>1565 High Tech Way</v>
      </c>
      <c r="C89" s="1" t="str">
        <f>IFERROR(__xludf.DUMMYFUNCTION("""COMPUTED_VALUE"""),"Colorado Springs")</f>
        <v>Colorado Springs</v>
      </c>
      <c r="D89" s="1" t="str">
        <f>IFERROR(__xludf.DUMMYFUNCTION("""COMPUTED_VALUE"""),"CO")</f>
        <v>CO</v>
      </c>
      <c r="E89" s="1" t="str">
        <f>IFERROR(__xludf.DUMMYFUNCTION("""COMPUTED_VALUE"""),"80907")</f>
        <v>80907</v>
      </c>
      <c r="F89" s="1" t="str">
        <f>IFERROR(__xludf.DUMMYFUNCTION("""COMPUTED_VALUE"""),"El Paso")</f>
        <v>El Paso</v>
      </c>
      <c r="G89" s="1" t="str">
        <f>IFERROR(__xludf.DUMMYFUNCTION("""COMPUTED_VALUE"""),"38.893997")</f>
        <v>38.893997</v>
      </c>
      <c r="H89" s="1" t="str">
        <f>IFERROR(__xludf.DUMMYFUNCTION("""COMPUTED_VALUE"""),"-104.85778")</f>
        <v>-104.85778</v>
      </c>
      <c r="I89" s="1" t="str">
        <f>IFERROR(__xludf.DUMMYFUNCTION("""COMPUTED_VALUE"""),"Approved/Permitted/Under construction")</f>
        <v>Approved/Permitted/Under construction</v>
      </c>
      <c r="J89" s="1" t="str">
        <f>IFERROR(__xludf.DUMMYFUNCTION("""COMPUTED_VALUE"""),"High")</f>
        <v>High</v>
      </c>
      <c r="K89" s="1" t="str">
        <f>IFERROR(__xludf.DUMMYFUNCTION("""COMPUTED_VALUE"""),"")</f>
        <v/>
      </c>
      <c r="L89" s="1" t="str">
        <f>IFERROR(__xludf.DUMMYFUNCTION("""COMPUTED_VALUE"""),"Raeden")</f>
        <v>Raeden</v>
      </c>
      <c r="M89" s="1" t="str">
        <f>IFERROR(__xludf.DUMMYFUNCTION("""COMPUTED_VALUE"""),"")</f>
        <v/>
      </c>
      <c r="N89" s="1" t="str">
        <f>IFERROR(__xludf.DUMMYFUNCTION("""COMPUTED_VALUE"""),"50")</f>
        <v>50</v>
      </c>
      <c r="O89" s="1" t="str">
        <f>IFERROR(__xludf.DUMMYFUNCTION("""COMPUTED_VALUE"""),"Medium (11-50 MW)")</f>
        <v>Medium (11-50 MW)</v>
      </c>
      <c r="P89" s="1" t="str">
        <f>IFERROR(__xludf.DUMMYFUNCTION("""COMPUTED_VALUE"""),"")</f>
        <v/>
      </c>
      <c r="Q89" s="1" t="str">
        <f>IFERROR(__xludf.DUMMYFUNCTION("""COMPUTED_VALUE"""),"")</f>
        <v/>
      </c>
      <c r="R89" s="1" t="str">
        <f>IFERROR(__xludf.DUMMYFUNCTION("""COMPUTED_VALUE"""),"")</f>
        <v/>
      </c>
      <c r="S89" s="1" t="str">
        <f>IFERROR(__xludf.DUMMYFUNCTION("""COMPUTED_VALUE"""),"")</f>
        <v/>
      </c>
      <c r="T89" s="1" t="str">
        <f>IFERROR(__xludf.DUMMYFUNCTION("""COMPUTED_VALUE"""),"")</f>
        <v/>
      </c>
      <c r="U89" s="1" t="str">
        <f>IFERROR(__xludf.DUMMYFUNCTION("""COMPUTED_VALUE"""),"Closed loop")</f>
        <v>Closed loop</v>
      </c>
      <c r="V89" s="1" t="str">
        <f>IFERROR(__xludf.DUMMYFUNCTION("""COMPUTED_VALUE"""),"451,217")</f>
        <v>451,217</v>
      </c>
      <c r="W89" s="1" t="str">
        <f>IFERROR(__xludf.DUMMYFUNCTION("""COMPUTED_VALUE"""),"22")</f>
        <v>22</v>
      </c>
      <c r="X89" s="1" t="str">
        <f>IFERROR(__xludf.DUMMYFUNCTION("""COMPUTED_VALUE"""),"")</f>
        <v/>
      </c>
      <c r="Y89" s="1" t="str">
        <f>IFERROR(__xludf.DUMMYFUNCTION("""COMPUTED_VALUE"""),"")</f>
        <v/>
      </c>
      <c r="Z89" s="1" t="str">
        <f>IFERROR(__xludf.DUMMYFUNCTION("""COMPUTED_VALUE"""),"Yes")</f>
        <v>Yes</v>
      </c>
      <c r="AA89" s="2" t="str">
        <f>IFERROR(__xludf.DUMMYFUNCTION("""COMPUTED_VALUE"""),"https://www.youtube.com/watch?v=T-UnB0MIz3g")</f>
        <v>https://www.youtube.com/watch?v=T-UnB0MIz3g</v>
      </c>
      <c r="AB89" s="1" t="str">
        <f>IFERROR(__xludf.DUMMYFUNCTION("""COMPUTED_VALUE"""),"Organized Advocacy")</f>
        <v>Organized Advocacy</v>
      </c>
      <c r="AC89" s="1" t="str">
        <f>IFERROR(__xludf.DUMMYFUNCTION("""COMPUTED_VALUE"""),"")</f>
        <v/>
      </c>
      <c r="AD89" s="2" t="str">
        <f>IFERROR(__xludf.DUMMYFUNCTION("""COMPUTED_VALUE"""),"https://www.nodatacentercos.com")</f>
        <v>https://www.nodatacentercos.com</v>
      </c>
      <c r="AE89" s="2" t="str">
        <f>IFERROR(__xludf.DUMMYFUNCTION("""COMPUTED_VALUE"""),"https://www.facebook.com/groups/942876081944302/")</f>
        <v>https://www.facebook.com/groups/942876081944302/</v>
      </c>
      <c r="AF89" s="1" t="str">
        <f>IFERROR(__xludf.DUMMYFUNCTION("""COMPUTED_VALUE"""),"")</f>
        <v/>
      </c>
      <c r="AG89" s="1" t="str">
        <f>IFERROR(__xludf.DUMMYFUNCTION("""COMPUTED_VALUE"""),"")</f>
        <v/>
      </c>
      <c r="AH89" s="1" t="str">
        <f>IFERROR(__xludf.DUMMYFUNCTION("""COMPUTED_VALUE"""),"Media Monitoring")</f>
        <v>Media Monitoring</v>
      </c>
      <c r="AI89" s="2" t="str">
        <f>IFERROR(__xludf.DUMMYFUNCTION("""COMPUTED_VALUE"""),"https://www.datacenterdynamics.com/en/news/50mw-data-center-could-be-built-in-colorado-springs/")</f>
        <v>https://www.datacenterdynamics.com/en/news/50mw-data-center-could-be-built-in-colorado-springs/</v>
      </c>
      <c r="AJ89" s="2" t="str">
        <f>IFERROR(__xludf.DUMMYFUNCTION("""COMPUTED_VALUE"""),"https://www.datacenterdynamics.com/en/news/50mw-project-taurus-data-center-gets-go-ahead-in-colorado/")</f>
        <v>https://www.datacenterdynamics.com/en/news/50mw-project-taurus-data-center-gets-go-ahead-in-colorado/</v>
      </c>
      <c r="AK89" s="1" t="str">
        <f>IFERROR(__xludf.DUMMYFUNCTION("""COMPUTED_VALUE"""),"")</f>
        <v/>
      </c>
      <c r="AL89" s="1" t="str">
        <f>IFERROR(__xludf.DUMMYFUNCTION("""COMPUTED_VALUE"""),"")</f>
        <v/>
      </c>
      <c r="AM89" s="1" t="str">
        <f>IFERROR(__xludf.DUMMYFUNCTION("""COMPUTED_VALUE"""),"")</f>
        <v/>
      </c>
      <c r="AN89" s="1" t="str">
        <f>IFERROR(__xludf.DUMMYFUNCTION("""COMPUTED_VALUE"""),"")</f>
        <v/>
      </c>
      <c r="AO89" s="1" t="str">
        <f>IFERROR(__xludf.DUMMYFUNCTION("""COMPUTED_VALUE"""),"")</f>
        <v/>
      </c>
      <c r="AP89" s="1" t="str">
        <f>IFERROR(__xludf.DUMMYFUNCTION("""COMPUTED_VALUE"""),"")</f>
        <v/>
      </c>
      <c r="AQ89" s="1" t="str">
        <f>IFERROR(__xludf.DUMMYFUNCTION("""COMPUTED_VALUE"""),"04/09/2026")</f>
        <v>04/09/2026</v>
      </c>
      <c r="AR89" s="1" t="str">
        <f>IFERROR(__xludf.DUMMYFUNCTION("""COMPUTED_VALUE"""),"06/22/2026")</f>
        <v>06/22/2026</v>
      </c>
    </row>
    <row r="90">
      <c r="A90" s="1" t="str">
        <f>IFERROR(__xludf.DUMMYFUNCTION("""COMPUTED_VALUE"""),"CoreSite DE1 Data Center")</f>
        <v>CoreSite DE1 Data Center</v>
      </c>
      <c r="B90" s="1" t="str">
        <f>IFERROR(__xludf.DUMMYFUNCTION("""COMPUTED_VALUE"""),"910 15th Street")</f>
        <v>910 15th Street</v>
      </c>
      <c r="C90" s="1" t="str">
        <f>IFERROR(__xludf.DUMMYFUNCTION("""COMPUTED_VALUE"""),"Denver")</f>
        <v>Denver</v>
      </c>
      <c r="D90" s="1" t="str">
        <f>IFERROR(__xludf.DUMMYFUNCTION("""COMPUTED_VALUE"""),"CO")</f>
        <v>CO</v>
      </c>
      <c r="E90" s="1" t="str">
        <f>IFERROR(__xludf.DUMMYFUNCTION("""COMPUTED_VALUE"""),"80202")</f>
        <v>80202</v>
      </c>
      <c r="F90" s="1" t="str">
        <f>IFERROR(__xludf.DUMMYFUNCTION("""COMPUTED_VALUE"""),"Denver")</f>
        <v>Denver</v>
      </c>
      <c r="G90" s="1" t="str">
        <f>IFERROR(__xludf.DUMMYFUNCTION("""COMPUTED_VALUE"""),"39.74566")</f>
        <v>39.74566</v>
      </c>
      <c r="H90" s="1" t="str">
        <f>IFERROR(__xludf.DUMMYFUNCTION("""COMPUTED_VALUE"""),"-104.99561")</f>
        <v>-104.99561</v>
      </c>
      <c r="I90" s="1" t="str">
        <f>IFERROR(__xludf.DUMMYFUNCTION("""COMPUTED_VALUE"""),"Operating")</f>
        <v>Operating</v>
      </c>
      <c r="J90" s="1" t="str">
        <f>IFERROR(__xludf.DUMMYFUNCTION("""COMPUTED_VALUE"""),"High")</f>
        <v>High</v>
      </c>
      <c r="K90" s="1" t="str">
        <f>IFERROR(__xludf.DUMMYFUNCTION("""COMPUTED_VALUE"""),"")</f>
        <v/>
      </c>
      <c r="L90" s="1" t="str">
        <f>IFERROR(__xludf.DUMMYFUNCTION("""COMPUTED_VALUE"""),"CoreSite")</f>
        <v>CoreSite</v>
      </c>
      <c r="M90" s="1" t="str">
        <f>IFERROR(__xludf.DUMMYFUNCTION("""COMPUTED_VALUE"""),"")</f>
        <v/>
      </c>
      <c r="N90" s="1" t="str">
        <f>IFERROR(__xludf.DUMMYFUNCTION("""COMPUTED_VALUE"""),"")</f>
        <v/>
      </c>
      <c r="O90" s="1" t="str">
        <f>IFERROR(__xludf.DUMMYFUNCTION("""COMPUTED_VALUE"""),"Medium (11-50 MW)")</f>
        <v>Medium (11-50 MW)</v>
      </c>
      <c r="P90" s="1" t="str">
        <f>IFERROR(__xludf.DUMMYFUNCTION("""COMPUTED_VALUE"""),"")</f>
        <v/>
      </c>
      <c r="Q90" s="1" t="str">
        <f>IFERROR(__xludf.DUMMYFUNCTION("""COMPUTED_VALUE"""),"")</f>
        <v/>
      </c>
      <c r="R90" s="1" t="str">
        <f>IFERROR(__xludf.DUMMYFUNCTION("""COMPUTED_VALUE"""),"")</f>
        <v/>
      </c>
      <c r="S90" s="1" t="str">
        <f>IFERROR(__xludf.DUMMYFUNCTION("""COMPUTED_VALUE"""),"")</f>
        <v/>
      </c>
      <c r="T90" s="1" t="str">
        <f>IFERROR(__xludf.DUMMYFUNCTION("""COMPUTED_VALUE"""),"")</f>
        <v/>
      </c>
      <c r="U90" s="1" t="str">
        <f>IFERROR(__xludf.DUMMYFUNCTION("""COMPUTED_VALUE"""),"")</f>
        <v/>
      </c>
      <c r="V90" s="1" t="str">
        <f>IFERROR(__xludf.DUMMYFUNCTION("""COMPUTED_VALUE"""),"152,000")</f>
        <v>152,000</v>
      </c>
      <c r="W90" s="1" t="str">
        <f>IFERROR(__xludf.DUMMYFUNCTION("""COMPUTED_VALUE"""),"")</f>
        <v/>
      </c>
      <c r="X90" s="1" t="str">
        <f>IFERROR(__xludf.DUMMYFUNCTION("""COMPUTED_VALUE"""),"")</f>
        <v/>
      </c>
      <c r="Y90" s="1" t="str">
        <f>IFERROR(__xludf.DUMMYFUNCTION("""COMPUTED_VALUE"""),"")</f>
        <v/>
      </c>
      <c r="Z90" s="1" t="str">
        <f>IFERROR(__xludf.DUMMYFUNCTION("""COMPUTED_VALUE"""),"Unknown")</f>
        <v>Unknown</v>
      </c>
      <c r="AA90" s="1" t="str">
        <f>IFERROR(__xludf.DUMMYFUNCTION("""COMPUTED_VALUE"""),"")</f>
        <v/>
      </c>
      <c r="AB90" s="1" t="str">
        <f>IFERROR(__xludf.DUMMYFUNCTION("""COMPUTED_VALUE"""),"")</f>
        <v/>
      </c>
      <c r="AC90" s="1" t="str">
        <f>IFERROR(__xludf.DUMMYFUNCTION("""COMPUTED_VALUE"""),"")</f>
        <v/>
      </c>
      <c r="AD90" s="1" t="str">
        <f>IFERROR(__xludf.DUMMYFUNCTION("""COMPUTED_VALUE"""),"")</f>
        <v/>
      </c>
      <c r="AE90" s="1" t="str">
        <f>IFERROR(__xludf.DUMMYFUNCTION("""COMPUTED_VALUE"""),"")</f>
        <v/>
      </c>
      <c r="AF90" s="1" t="str">
        <f>IFERROR(__xludf.DUMMYFUNCTION("""COMPUTED_VALUE"""),"")</f>
        <v/>
      </c>
      <c r="AG90" s="1" t="str">
        <f>IFERROR(__xludf.DUMMYFUNCTION("""COMPUTED_VALUE"""),"")</f>
        <v/>
      </c>
      <c r="AH90" s="1" t="str">
        <f>IFERROR(__xludf.DUMMYFUNCTION("""COMPUTED_VALUE"""),"Media Monitoring")</f>
        <v>Media Monitoring</v>
      </c>
      <c r="AI90" s="2" t="str">
        <f>IFERROR(__xludf.DUMMYFUNCTION("""COMPUTED_VALUE"""),"https://www.coresite.com/news/coresite-achieves-key-construction-milestone-for-new-de3-data-center-in-denver")</f>
        <v>https://www.coresite.com/news/coresite-achieves-key-construction-milestone-for-new-de3-data-center-in-denver</v>
      </c>
      <c r="AJ90" s="1" t="str">
        <f>IFERROR(__xludf.DUMMYFUNCTION("""COMPUTED_VALUE"""),"")</f>
        <v/>
      </c>
      <c r="AK90" s="1" t="str">
        <f>IFERROR(__xludf.DUMMYFUNCTION("""COMPUTED_VALUE"""),"")</f>
        <v/>
      </c>
      <c r="AL90" s="1" t="str">
        <f>IFERROR(__xludf.DUMMYFUNCTION("""COMPUTED_VALUE"""),"")</f>
        <v/>
      </c>
      <c r="AM90" s="1" t="str">
        <f>IFERROR(__xludf.DUMMYFUNCTION("""COMPUTED_VALUE"""),"")</f>
        <v/>
      </c>
      <c r="AN90" s="1" t="str">
        <f>IFERROR(__xludf.DUMMYFUNCTION("""COMPUTED_VALUE"""),"")</f>
        <v/>
      </c>
      <c r="AO90" s="1" t="str">
        <f>IFERROR(__xludf.DUMMYFUNCTION("""COMPUTED_VALUE"""),"")</f>
        <v/>
      </c>
      <c r="AP90" s="1" t="str">
        <f>IFERROR(__xludf.DUMMYFUNCTION("""COMPUTED_VALUE"""),"")</f>
        <v/>
      </c>
      <c r="AQ90" s="1" t="str">
        <f>IFERROR(__xludf.DUMMYFUNCTION("""COMPUTED_VALUE"""),"11/24/2025")</f>
        <v>11/24/2025</v>
      </c>
      <c r="AR90" s="1" t="str">
        <f>IFERROR(__xludf.DUMMYFUNCTION("""COMPUTED_VALUE"""),"11/24/2025")</f>
        <v>11/24/2025</v>
      </c>
    </row>
    <row r="91">
      <c r="A91" s="1" t="str">
        <f>IFERROR(__xludf.DUMMYFUNCTION("""COMPUTED_VALUE"""),"CoreSite DE2 Data Center")</f>
        <v>CoreSite DE2 Data Center</v>
      </c>
      <c r="B91" s="1" t="str">
        <f>IFERROR(__xludf.DUMMYFUNCTION("""COMPUTED_VALUE"""),"639 E 18th Ave")</f>
        <v>639 E 18th Ave</v>
      </c>
      <c r="C91" s="1" t="str">
        <f>IFERROR(__xludf.DUMMYFUNCTION("""COMPUTED_VALUE"""),"Denver")</f>
        <v>Denver</v>
      </c>
      <c r="D91" s="1" t="str">
        <f>IFERROR(__xludf.DUMMYFUNCTION("""COMPUTED_VALUE"""),"CO")</f>
        <v>CO</v>
      </c>
      <c r="E91" s="1" t="str">
        <f>IFERROR(__xludf.DUMMYFUNCTION("""COMPUTED_VALUE"""),"80203")</f>
        <v>80203</v>
      </c>
      <c r="F91" s="1" t="str">
        <f>IFERROR(__xludf.DUMMYFUNCTION("""COMPUTED_VALUE"""),"Denver")</f>
        <v>Denver</v>
      </c>
      <c r="G91" s="1" t="str">
        <f>IFERROR(__xludf.DUMMYFUNCTION("""COMPUTED_VALUE"""),"39.745472")</f>
        <v>39.745472</v>
      </c>
      <c r="H91" s="1" t="str">
        <f>IFERROR(__xludf.DUMMYFUNCTION("""COMPUTED_VALUE"""),"-104.97931")</f>
        <v>-104.97931</v>
      </c>
      <c r="I91" s="1" t="str">
        <f>IFERROR(__xludf.DUMMYFUNCTION("""COMPUTED_VALUE"""),"Operating")</f>
        <v>Operating</v>
      </c>
      <c r="J91" s="1" t="str">
        <f>IFERROR(__xludf.DUMMYFUNCTION("""COMPUTED_VALUE"""),"High")</f>
        <v>High</v>
      </c>
      <c r="K91" s="1" t="str">
        <f>IFERROR(__xludf.DUMMYFUNCTION("""COMPUTED_VALUE"""),"")</f>
        <v/>
      </c>
      <c r="L91" s="1" t="str">
        <f>IFERROR(__xludf.DUMMYFUNCTION("""COMPUTED_VALUE"""),"CoreSite")</f>
        <v>CoreSite</v>
      </c>
      <c r="M91" s="1" t="str">
        <f>IFERROR(__xludf.DUMMYFUNCTION("""COMPUTED_VALUE"""),"")</f>
        <v/>
      </c>
      <c r="N91" s="1" t="str">
        <f>IFERROR(__xludf.DUMMYFUNCTION("""COMPUTED_VALUE"""),"")</f>
        <v/>
      </c>
      <c r="O91" s="1" t="str">
        <f>IFERROR(__xludf.DUMMYFUNCTION("""COMPUTED_VALUE"""),"Small (0-10 MW)")</f>
        <v>Small (0-10 MW)</v>
      </c>
      <c r="P91" s="1" t="str">
        <f>IFERROR(__xludf.DUMMYFUNCTION("""COMPUTED_VALUE"""),"")</f>
        <v/>
      </c>
      <c r="Q91" s="1" t="str">
        <f>IFERROR(__xludf.DUMMYFUNCTION("""COMPUTED_VALUE"""),"")</f>
        <v/>
      </c>
      <c r="R91" s="1" t="str">
        <f>IFERROR(__xludf.DUMMYFUNCTION("""COMPUTED_VALUE"""),"")</f>
        <v/>
      </c>
      <c r="S91" s="1" t="str">
        <f>IFERROR(__xludf.DUMMYFUNCTION("""COMPUTED_VALUE"""),"")</f>
        <v/>
      </c>
      <c r="T91" s="1" t="str">
        <f>IFERROR(__xludf.DUMMYFUNCTION("""COMPUTED_VALUE"""),"")</f>
        <v/>
      </c>
      <c r="U91" s="1" t="str">
        <f>IFERROR(__xludf.DUMMYFUNCTION("""COMPUTED_VALUE"""),"")</f>
        <v/>
      </c>
      <c r="V91" s="1" t="str">
        <f>IFERROR(__xludf.DUMMYFUNCTION("""COMPUTED_VALUE"""),"5,100")</f>
        <v>5,100</v>
      </c>
      <c r="W91" s="1" t="str">
        <f>IFERROR(__xludf.DUMMYFUNCTION("""COMPUTED_VALUE"""),"")</f>
        <v/>
      </c>
      <c r="X91" s="1" t="str">
        <f>IFERROR(__xludf.DUMMYFUNCTION("""COMPUTED_VALUE"""),"")</f>
        <v/>
      </c>
      <c r="Y91" s="1" t="str">
        <f>IFERROR(__xludf.DUMMYFUNCTION("""COMPUTED_VALUE"""),"")</f>
        <v/>
      </c>
      <c r="Z91" s="1" t="str">
        <f>IFERROR(__xludf.DUMMYFUNCTION("""COMPUTED_VALUE"""),"Unknown")</f>
        <v>Unknown</v>
      </c>
      <c r="AA91" s="1" t="str">
        <f>IFERROR(__xludf.DUMMYFUNCTION("""COMPUTED_VALUE"""),"")</f>
        <v/>
      </c>
      <c r="AB91" s="1" t="str">
        <f>IFERROR(__xludf.DUMMYFUNCTION("""COMPUTED_VALUE"""),"")</f>
        <v/>
      </c>
      <c r="AC91" s="1" t="str">
        <f>IFERROR(__xludf.DUMMYFUNCTION("""COMPUTED_VALUE"""),"")</f>
        <v/>
      </c>
      <c r="AD91" s="1" t="str">
        <f>IFERROR(__xludf.DUMMYFUNCTION("""COMPUTED_VALUE"""),"")</f>
        <v/>
      </c>
      <c r="AE91" s="1" t="str">
        <f>IFERROR(__xludf.DUMMYFUNCTION("""COMPUTED_VALUE"""),"")</f>
        <v/>
      </c>
      <c r="AF91" s="1" t="str">
        <f>IFERROR(__xludf.DUMMYFUNCTION("""COMPUTED_VALUE"""),"")</f>
        <v/>
      </c>
      <c r="AG91" s="1" t="str">
        <f>IFERROR(__xludf.DUMMYFUNCTION("""COMPUTED_VALUE"""),"")</f>
        <v/>
      </c>
      <c r="AH91" s="1" t="str">
        <f>IFERROR(__xludf.DUMMYFUNCTION("""COMPUTED_VALUE"""),"Media Monitoring")</f>
        <v>Media Monitoring</v>
      </c>
      <c r="AI91" s="2" t="str">
        <f>IFERROR(__xludf.DUMMYFUNCTION("""COMPUTED_VALUE"""),"https://www.coresite.com/news/coresite-achieves-key-construction-milestone-for-new-de3-data-center-in-denver")</f>
        <v>https://www.coresite.com/news/coresite-achieves-key-construction-milestone-for-new-de3-data-center-in-denver</v>
      </c>
      <c r="AJ91" s="1" t="str">
        <f>IFERROR(__xludf.DUMMYFUNCTION("""COMPUTED_VALUE"""),"")</f>
        <v/>
      </c>
      <c r="AK91" s="1" t="str">
        <f>IFERROR(__xludf.DUMMYFUNCTION("""COMPUTED_VALUE"""),"")</f>
        <v/>
      </c>
      <c r="AL91" s="1" t="str">
        <f>IFERROR(__xludf.DUMMYFUNCTION("""COMPUTED_VALUE"""),"")</f>
        <v/>
      </c>
      <c r="AM91" s="1" t="str">
        <f>IFERROR(__xludf.DUMMYFUNCTION("""COMPUTED_VALUE"""),"")</f>
        <v/>
      </c>
      <c r="AN91" s="1" t="str">
        <f>IFERROR(__xludf.DUMMYFUNCTION("""COMPUTED_VALUE"""),"")</f>
        <v/>
      </c>
      <c r="AO91" s="1" t="str">
        <f>IFERROR(__xludf.DUMMYFUNCTION("""COMPUTED_VALUE"""),"")</f>
        <v/>
      </c>
      <c r="AP91" s="1" t="str">
        <f>IFERROR(__xludf.DUMMYFUNCTION("""COMPUTED_VALUE"""),"")</f>
        <v/>
      </c>
      <c r="AQ91" s="1" t="str">
        <f>IFERROR(__xludf.DUMMYFUNCTION("""COMPUTED_VALUE"""),"11/24/2025")</f>
        <v>11/24/2025</v>
      </c>
      <c r="AR91" s="1" t="str">
        <f>IFERROR(__xludf.DUMMYFUNCTION("""COMPUTED_VALUE"""),"11/24/2025")</f>
        <v>11/24/2025</v>
      </c>
    </row>
    <row r="92">
      <c r="A92" s="1" t="str">
        <f>IFERROR(__xludf.DUMMYFUNCTION("""COMPUTED_VALUE"""),"CoreSite DE3 Data Center")</f>
        <v>CoreSite DE3 Data Center</v>
      </c>
      <c r="B92" s="1" t="str">
        <f>IFERROR(__xludf.DUMMYFUNCTION("""COMPUTED_VALUE"""),"4900 Race St")</f>
        <v>4900 Race St</v>
      </c>
      <c r="C92" s="1" t="str">
        <f>IFERROR(__xludf.DUMMYFUNCTION("""COMPUTED_VALUE"""),"Elyria-Swansea (Denver)")</f>
        <v>Elyria-Swansea (Denver)</v>
      </c>
      <c r="D92" s="1" t="str">
        <f>IFERROR(__xludf.DUMMYFUNCTION("""COMPUTED_VALUE"""),"CO")</f>
        <v>CO</v>
      </c>
      <c r="E92" s="1" t="str">
        <f>IFERROR(__xludf.DUMMYFUNCTION("""COMPUTED_VALUE"""),"80216")</f>
        <v>80216</v>
      </c>
      <c r="F92" s="1" t="str">
        <f>IFERROR(__xludf.DUMMYFUNCTION("""COMPUTED_VALUE"""),"Denver")</f>
        <v>Denver</v>
      </c>
      <c r="G92" s="1" t="str">
        <f>IFERROR(__xludf.DUMMYFUNCTION("""COMPUTED_VALUE"""),"39.785824")</f>
        <v>39.785824</v>
      </c>
      <c r="H92" s="1" t="str">
        <f>IFERROR(__xludf.DUMMYFUNCTION("""COMPUTED_VALUE"""),"-104.962845")</f>
        <v>-104.962845</v>
      </c>
      <c r="I92" s="1" t="str">
        <f>IFERROR(__xludf.DUMMYFUNCTION("""COMPUTED_VALUE"""),"Approved/Permitted/Under construction")</f>
        <v>Approved/Permitted/Under construction</v>
      </c>
      <c r="J92" s="1" t="str">
        <f>IFERROR(__xludf.DUMMYFUNCTION("""COMPUTED_VALUE"""),"High")</f>
        <v>High</v>
      </c>
      <c r="K92" s="1" t="str">
        <f>IFERROR(__xludf.DUMMYFUNCTION("""COMPUTED_VALUE"""),"")</f>
        <v/>
      </c>
      <c r="L92" s="1" t="str">
        <f>IFERROR(__xludf.DUMMYFUNCTION("""COMPUTED_VALUE"""),"CoreSite")</f>
        <v>CoreSite</v>
      </c>
      <c r="M92" s="1" t="str">
        <f>IFERROR(__xludf.DUMMYFUNCTION("""COMPUTED_VALUE"""),"")</f>
        <v/>
      </c>
      <c r="N92" s="1" t="str">
        <f>IFERROR(__xludf.DUMMYFUNCTION("""COMPUTED_VALUE"""),"75")</f>
        <v>75</v>
      </c>
      <c r="O92" s="1" t="str">
        <f>IFERROR(__xludf.DUMMYFUNCTION("""COMPUTED_VALUE"""),"Large (51-99 MW)")</f>
        <v>Large (51-99 MW)</v>
      </c>
      <c r="P92" s="1" t="str">
        <f>IFERROR(__xludf.DUMMYFUNCTION("""COMPUTED_VALUE"""),"")</f>
        <v/>
      </c>
      <c r="Q92" s="1" t="str">
        <f>IFERROR(__xludf.DUMMYFUNCTION("""COMPUTED_VALUE"""),"")</f>
        <v/>
      </c>
      <c r="R92" s="1" t="str">
        <f>IFERROR(__xludf.DUMMYFUNCTION("""COMPUTED_VALUE"""),"")</f>
        <v/>
      </c>
      <c r="S92" s="1" t="str">
        <f>IFERROR(__xludf.DUMMYFUNCTION("""COMPUTED_VALUE"""),"")</f>
        <v/>
      </c>
      <c r="T92" s="1" t="str">
        <f>IFERROR(__xludf.DUMMYFUNCTION("""COMPUTED_VALUE"""),"")</f>
        <v/>
      </c>
      <c r="U92" s="1" t="str">
        <f>IFERROR(__xludf.DUMMYFUNCTION("""COMPUTED_VALUE"""),"")</f>
        <v/>
      </c>
      <c r="V92" s="1" t="str">
        <f>IFERROR(__xludf.DUMMYFUNCTION("""COMPUTED_VALUE"""),"180,000")</f>
        <v>180,000</v>
      </c>
      <c r="W92" s="1" t="str">
        <f>IFERROR(__xludf.DUMMYFUNCTION("""COMPUTED_VALUE"""),"")</f>
        <v/>
      </c>
      <c r="X92" s="1" t="str">
        <f>IFERROR(__xludf.DUMMYFUNCTION("""COMPUTED_VALUE"""),"")</f>
        <v/>
      </c>
      <c r="Y92" s="1" t="str">
        <f>IFERROR(__xludf.DUMMYFUNCTION("""COMPUTED_VALUE"""),"2026")</f>
        <v>2026</v>
      </c>
      <c r="Z92" s="1" t="str">
        <f>IFERROR(__xludf.DUMMYFUNCTION("""COMPUTED_VALUE"""),"Yes")</f>
        <v>Yes</v>
      </c>
      <c r="AA92" s="1" t="str">
        <f>IFERROR(__xludf.DUMMYFUNCTION("""COMPUTED_VALUE"""),"")</f>
        <v/>
      </c>
      <c r="AB92" s="1" t="str">
        <f>IFERROR(__xludf.DUMMYFUNCTION("""COMPUTED_VALUE"""),"Organized Advocacy")</f>
        <v>Organized Advocacy</v>
      </c>
      <c r="AC92" s="1" t="str">
        <f>IFERROR(__xludf.DUMMYFUNCTION("""COMPUTED_VALUE"""),"")</f>
        <v/>
      </c>
      <c r="AD92" s="2" t="str">
        <f>IFERROR(__xludf.DUMMYFUNCTION("""COMPUTED_VALUE"""),"https://www.ges-coalition.org/")</f>
        <v>https://www.ges-coalition.org/</v>
      </c>
      <c r="AE92" s="1" t="str">
        <f>IFERROR(__xludf.DUMMYFUNCTION("""COMPUTED_VALUE"""),"")</f>
        <v/>
      </c>
      <c r="AF92" s="1" t="str">
        <f>IFERROR(__xludf.DUMMYFUNCTION("""COMPUTED_VALUE"""),"")</f>
        <v/>
      </c>
      <c r="AG92" s="1" t="str">
        <f>IFERROR(__xludf.DUMMYFUNCTION("""COMPUTED_VALUE"""),"")</f>
        <v/>
      </c>
      <c r="AH92" s="1" t="str">
        <f>IFERROR(__xludf.DUMMYFUNCTION("""COMPUTED_VALUE"""),"Media Monitoring")</f>
        <v>Media Monitoring</v>
      </c>
      <c r="AI92" s="2" t="str">
        <f>IFERROR(__xludf.DUMMYFUNCTION("""COMPUTED_VALUE"""),"https://www.denver7.com/money/science-and-tech/ai-data-center-could-use-more-power-than-dia-leaving-neighbors-worried-about-power-and-water-bills")</f>
        <v>https://www.denver7.com/money/science-and-tech/ai-data-center-could-use-more-power-than-dia-leaving-neighbors-worried-about-power-and-water-bills</v>
      </c>
      <c r="AJ92" s="2" t="str">
        <f>IFERROR(__xludf.DUMMYFUNCTION("""COMPUTED_VALUE"""),"https://www.cpr.org/2025/10/14/ai-air-quality-impact/")</f>
        <v>https://www.cpr.org/2025/10/14/ai-air-quality-impact/</v>
      </c>
      <c r="AK92" s="2" t="str">
        <f>IFERROR(__xludf.DUMMYFUNCTION("""COMPUTED_VALUE"""),"https://www.coresite.com/news/coresite-achieves-key-construction-milestone-for-new-de3-data-center-in-denver")</f>
        <v>https://www.coresite.com/news/coresite-achieves-key-construction-milestone-for-new-de3-data-center-in-denver</v>
      </c>
      <c r="AL92" s="2" t="str">
        <f>IFERROR(__xludf.DUMMYFUNCTION("""COMPUTED_VALUE"""),"https://www.coloradopolitics.com/2026/02/25/denvers-elyria-swansea-residents-fight-new-data-center/")</f>
        <v>https://www.coloradopolitics.com/2026/02/25/denvers-elyria-swansea-residents-fight-new-data-center/</v>
      </c>
      <c r="AM92" s="1" t="str">
        <f>IFERROR(__xludf.DUMMYFUNCTION("""COMPUTED_VALUE"""),"")</f>
        <v/>
      </c>
      <c r="AN92" s="1" t="str">
        <f>IFERROR(__xludf.DUMMYFUNCTION("""COMPUTED_VALUE"""),"")</f>
        <v/>
      </c>
      <c r="AO92" s="1" t="str">
        <f>IFERROR(__xludf.DUMMYFUNCTION("""COMPUTED_VALUE"""),"")</f>
        <v/>
      </c>
      <c r="AP92" s="1" t="str">
        <f>IFERROR(__xludf.DUMMYFUNCTION("""COMPUTED_VALUE"""),"")</f>
        <v/>
      </c>
      <c r="AQ92" s="1" t="str">
        <f>IFERROR(__xludf.DUMMYFUNCTION("""COMPUTED_VALUE"""),"11/24/2025")</f>
        <v>11/24/2025</v>
      </c>
      <c r="AR92" s="1" t="str">
        <f>IFERROR(__xludf.DUMMYFUNCTION("""COMPUTED_VALUE"""),"11/24/2025")</f>
        <v>11/24/2025</v>
      </c>
    </row>
    <row r="93">
      <c r="A93" s="1" t="str">
        <f>IFERROR(__xludf.DUMMYFUNCTION("""COMPUTED_VALUE"""),"Cielo Digital Infrastructure")</f>
        <v>Cielo Digital Infrastructure</v>
      </c>
      <c r="B93" s="1" t="str">
        <f>IFERROR(__xludf.DUMMYFUNCTION("""COMPUTED_VALUE"""),"")</f>
        <v/>
      </c>
      <c r="C93" s="1" t="str">
        <f>IFERROR(__xludf.DUMMYFUNCTION("""COMPUTED_VALUE"""),"Hudson")</f>
        <v>Hudson</v>
      </c>
      <c r="D93" s="1" t="str">
        <f>IFERROR(__xludf.DUMMYFUNCTION("""COMPUTED_VALUE"""),"CO")</f>
        <v>CO</v>
      </c>
      <c r="E93" s="1" t="str">
        <f>IFERROR(__xludf.DUMMYFUNCTION("""COMPUTED_VALUE"""),"80642")</f>
        <v>80642</v>
      </c>
      <c r="F93" s="1" t="str">
        <f>IFERROR(__xludf.DUMMYFUNCTION("""COMPUTED_VALUE"""),"Weld")</f>
        <v>Weld</v>
      </c>
      <c r="G93" s="1" t="str">
        <f>IFERROR(__xludf.DUMMYFUNCTION("""COMPUTED_VALUE"""),"40.09549")</f>
        <v>40.09549</v>
      </c>
      <c r="H93" s="1" t="str">
        <f>IFERROR(__xludf.DUMMYFUNCTION("""COMPUTED_VALUE"""),"-104.609")</f>
        <v>-104.609</v>
      </c>
      <c r="I93" s="1" t="str">
        <f>IFERROR(__xludf.DUMMYFUNCTION("""COMPUTED_VALUE"""),"Proposed")</f>
        <v>Proposed</v>
      </c>
      <c r="J93" s="1" t="str">
        <f>IFERROR(__xludf.DUMMYFUNCTION("""COMPUTED_VALUE"""),"Low")</f>
        <v>Low</v>
      </c>
      <c r="K93" s="1" t="str">
        <f>IFERROR(__xludf.DUMMYFUNCTION("""COMPUTED_VALUE"""),"")</f>
        <v/>
      </c>
      <c r="L93" s="1" t="str">
        <f>IFERROR(__xludf.DUMMYFUNCTION("""COMPUTED_VALUE"""),"")</f>
        <v/>
      </c>
      <c r="M93" s="1" t="str">
        <f>IFERROR(__xludf.DUMMYFUNCTION("""COMPUTED_VALUE"""),"")</f>
        <v/>
      </c>
      <c r="N93" s="1" t="str">
        <f>IFERROR(__xludf.DUMMYFUNCTION("""COMPUTED_VALUE"""),"750")</f>
        <v>750</v>
      </c>
      <c r="O93" s="1" t="str">
        <f>IFERROR(__xludf.DUMMYFUNCTION("""COMPUTED_VALUE"""),"Hyperscale (100-999 MW)")</f>
        <v>Hyperscale (100-999 MW)</v>
      </c>
      <c r="P93" s="1" t="str">
        <f>IFERROR(__xludf.DUMMYFUNCTION("""COMPUTED_VALUE"""),"")</f>
        <v/>
      </c>
      <c r="Q93" s="1" t="str">
        <f>IFERROR(__xludf.DUMMYFUNCTION("""COMPUTED_VALUE"""),"")</f>
        <v/>
      </c>
      <c r="R93" s="1" t="str">
        <f>IFERROR(__xludf.DUMMYFUNCTION("""COMPUTED_VALUE"""),"")</f>
        <v/>
      </c>
      <c r="S93" s="1" t="str">
        <f>IFERROR(__xludf.DUMMYFUNCTION("""COMPUTED_VALUE"""),"")</f>
        <v/>
      </c>
      <c r="T93" s="1" t="str">
        <f>IFERROR(__xludf.DUMMYFUNCTION("""COMPUTED_VALUE"""),"")</f>
        <v/>
      </c>
      <c r="U93" s="1" t="str">
        <f>IFERROR(__xludf.DUMMYFUNCTION("""COMPUTED_VALUE"""),"")</f>
        <v/>
      </c>
      <c r="V93" s="1" t="str">
        <f>IFERROR(__xludf.DUMMYFUNCTION("""COMPUTED_VALUE"""),"")</f>
        <v/>
      </c>
      <c r="W93" s="1" t="str">
        <f>IFERROR(__xludf.DUMMYFUNCTION("""COMPUTED_VALUE"""),"500")</f>
        <v>500</v>
      </c>
      <c r="X93" s="1" t="str">
        <f>IFERROR(__xludf.DUMMYFUNCTION("""COMPUTED_VALUE"""),"")</f>
        <v/>
      </c>
      <c r="Y93" s="1" t="str">
        <f>IFERROR(__xludf.DUMMYFUNCTION("""COMPUTED_VALUE"""),"")</f>
        <v/>
      </c>
      <c r="Z93" s="1" t="str">
        <f>IFERROR(__xludf.DUMMYFUNCTION("""COMPUTED_VALUE"""),"Unknown")</f>
        <v>Unknown</v>
      </c>
      <c r="AA93" s="1" t="str">
        <f>IFERROR(__xludf.DUMMYFUNCTION("""COMPUTED_VALUE"""),"")</f>
        <v/>
      </c>
      <c r="AB93" s="1" t="str">
        <f>IFERROR(__xludf.DUMMYFUNCTION("""COMPUTED_VALUE"""),"")</f>
        <v/>
      </c>
      <c r="AC93" s="1" t="str">
        <f>IFERROR(__xludf.DUMMYFUNCTION("""COMPUTED_VALUE"""),"")</f>
        <v/>
      </c>
      <c r="AD93" s="1" t="str">
        <f>IFERROR(__xludf.DUMMYFUNCTION("""COMPUTED_VALUE"""),"")</f>
        <v/>
      </c>
      <c r="AE93" s="1" t="str">
        <f>IFERROR(__xludf.DUMMYFUNCTION("""COMPUTED_VALUE"""),"")</f>
        <v/>
      </c>
      <c r="AF93" s="1" t="str">
        <f>IFERROR(__xludf.DUMMYFUNCTION("""COMPUTED_VALUE"""),"")</f>
        <v/>
      </c>
      <c r="AG93" s="1" t="str">
        <f>IFERROR(__xludf.DUMMYFUNCTION("""COMPUTED_VALUE"""),"")</f>
        <v/>
      </c>
      <c r="AH93" s="1" t="str">
        <f>IFERROR(__xludf.DUMMYFUNCTION("""COMPUTED_VALUE"""),"Media Monitoring")</f>
        <v>Media Monitoring</v>
      </c>
      <c r="AI93" s="2" t="str">
        <f>IFERROR(__xludf.DUMMYFUNCTION("""COMPUTED_VALUE"""),"https://www.datacenterdynamics.com/en/news/cielo-digital-infrastructure-plans-300mw-data-center-campus-in-south-carolina/")</f>
        <v>https://www.datacenterdynamics.com/en/news/cielo-digital-infrastructure-plans-300mw-data-center-campus-in-south-carolina/</v>
      </c>
      <c r="AJ93" s="1" t="str">
        <f>IFERROR(__xludf.DUMMYFUNCTION("""COMPUTED_VALUE"""),"")</f>
        <v/>
      </c>
      <c r="AK93" s="1" t="str">
        <f>IFERROR(__xludf.DUMMYFUNCTION("""COMPUTED_VALUE"""),"")</f>
        <v/>
      </c>
      <c r="AL93" s="1" t="str">
        <f>IFERROR(__xludf.DUMMYFUNCTION("""COMPUTED_VALUE"""),"")</f>
        <v/>
      </c>
      <c r="AM93" s="1" t="str">
        <f>IFERROR(__xludf.DUMMYFUNCTION("""COMPUTED_VALUE"""),"")</f>
        <v/>
      </c>
      <c r="AN93" s="1" t="str">
        <f>IFERROR(__xludf.DUMMYFUNCTION("""COMPUTED_VALUE"""),"")</f>
        <v/>
      </c>
      <c r="AO93" s="1" t="str">
        <f>IFERROR(__xludf.DUMMYFUNCTION("""COMPUTED_VALUE"""),"")</f>
        <v/>
      </c>
      <c r="AP93" s="1" t="str">
        <f>IFERROR(__xludf.DUMMYFUNCTION("""COMPUTED_VALUE"""),"")</f>
        <v/>
      </c>
      <c r="AQ93" s="1" t="str">
        <f>IFERROR(__xludf.DUMMYFUNCTION("""COMPUTED_VALUE"""),"06/24/2025")</f>
        <v>06/24/2025</v>
      </c>
      <c r="AR93" s="1" t="str">
        <f>IFERROR(__xludf.DUMMYFUNCTION("""COMPUTED_VALUE"""),"06/24/2025")</f>
        <v>06/24/2025</v>
      </c>
    </row>
    <row r="94">
      <c r="A94" s="1" t="str">
        <f>IFERROR(__xludf.DUMMYFUNCTION("""COMPUTED_VALUE"""),"Sterling Data Center")</f>
        <v>Sterling Data Center</v>
      </c>
      <c r="B94" s="1" t="str">
        <f>IFERROR(__xludf.DUMMYFUNCTION("""COMPUTED_VALUE"""),"west of C.R. 9, roughly 21 miles northwest of Sterling")</f>
        <v>west of C.R. 9, roughly 21 miles northwest of Sterling</v>
      </c>
      <c r="C94" s="1" t="str">
        <f>IFERROR(__xludf.DUMMYFUNCTION("""COMPUTED_VALUE"""),"Sterling")</f>
        <v>Sterling</v>
      </c>
      <c r="D94" s="1" t="str">
        <f>IFERROR(__xludf.DUMMYFUNCTION("""COMPUTED_VALUE"""),"CO")</f>
        <v>CO</v>
      </c>
      <c r="E94" s="1" t="str">
        <f>IFERROR(__xludf.DUMMYFUNCTION("""COMPUTED_VALUE"""),"80747")</f>
        <v>80747</v>
      </c>
      <c r="F94" s="1" t="str">
        <f>IFERROR(__xludf.DUMMYFUNCTION("""COMPUTED_VALUE"""),"Logan")</f>
        <v>Logan</v>
      </c>
      <c r="G94" s="1" t="str">
        <f>IFERROR(__xludf.DUMMYFUNCTION("""COMPUTED_VALUE"""),"40.85")</f>
        <v>40.85</v>
      </c>
      <c r="H94" s="1" t="str">
        <f>IFERROR(__xludf.DUMMYFUNCTION("""COMPUTED_VALUE"""),"-103.45")</f>
        <v>-103.45</v>
      </c>
      <c r="I94" s="1" t="str">
        <f>IFERROR(__xludf.DUMMYFUNCTION("""COMPUTED_VALUE"""),"Proposed")</f>
        <v>Proposed</v>
      </c>
      <c r="J94" s="1" t="str">
        <f>IFERROR(__xludf.DUMMYFUNCTION("""COMPUTED_VALUE"""),"High")</f>
        <v>High</v>
      </c>
      <c r="K94" s="1" t="str">
        <f>IFERROR(__xludf.DUMMYFUNCTION("""COMPUTED_VALUE"""),"")</f>
        <v/>
      </c>
      <c r="L94" s="1" t="str">
        <f>IFERROR(__xludf.DUMMYFUNCTION("""COMPUTED_VALUE"""),"Granite Renewables")</f>
        <v>Granite Renewables</v>
      </c>
      <c r="M94" s="1" t="str">
        <f>IFERROR(__xludf.DUMMYFUNCTION("""COMPUTED_VALUE"""),"")</f>
        <v/>
      </c>
      <c r="N94" s="1" t="str">
        <f>IFERROR(__xludf.DUMMYFUNCTION("""COMPUTED_VALUE"""),"2000")</f>
        <v>2000</v>
      </c>
      <c r="O94" s="1" t="str">
        <f>IFERROR(__xludf.DUMMYFUNCTION("""COMPUTED_VALUE"""),"Mega campus (&gt;1,000 MW)")</f>
        <v>Mega campus (&gt;1,000 MW)</v>
      </c>
      <c r="P94" s="1" t="str">
        <f>IFERROR(__xludf.DUMMYFUNCTION("""COMPUTED_VALUE"""),"Hybrid (onsite and grid)")</f>
        <v>Hybrid (onsite and grid)</v>
      </c>
      <c r="Q94" s="1" t="str">
        <f>IFERROR(__xludf.DUMMYFUNCTION("""COMPUTED_VALUE"""),"")</f>
        <v/>
      </c>
      <c r="R94" s="1" t="str">
        <f>IFERROR(__xludf.DUMMYFUNCTION("""COMPUTED_VALUE"""),"")</f>
        <v/>
      </c>
      <c r="S94" s="1" t="str">
        <f>IFERROR(__xludf.DUMMYFUNCTION("""COMPUTED_VALUE"""),"")</f>
        <v/>
      </c>
      <c r="T94" s="1" t="str">
        <f>IFERROR(__xludf.DUMMYFUNCTION("""COMPUTED_VALUE"""),"")</f>
        <v/>
      </c>
      <c r="U94" s="1" t="str">
        <f>IFERROR(__xludf.DUMMYFUNCTION("""COMPUTED_VALUE"""),"")</f>
        <v/>
      </c>
      <c r="V94" s="1" t="str">
        <f>IFERROR(__xludf.DUMMYFUNCTION("""COMPUTED_VALUE"""),"")</f>
        <v/>
      </c>
      <c r="W94" s="1" t="str">
        <f>IFERROR(__xludf.DUMMYFUNCTION("""COMPUTED_VALUE"""),"4198")</f>
        <v>4198</v>
      </c>
      <c r="X94" s="1" t="str">
        <f>IFERROR(__xludf.DUMMYFUNCTION("""COMPUTED_VALUE"""),"$15 billion ")</f>
        <v>$15 billion </v>
      </c>
      <c r="Y94" s="1" t="str">
        <f>IFERROR(__xludf.DUMMYFUNCTION("""COMPUTED_VALUE"""),"")</f>
        <v/>
      </c>
      <c r="Z94" s="1" t="str">
        <f>IFERROR(__xludf.DUMMYFUNCTION("""COMPUTED_VALUE"""),"Yes ")</f>
        <v>Yes </v>
      </c>
      <c r="AA94" s="1" t="str">
        <f>IFERROR(__xludf.DUMMYFUNCTION("""COMPUTED_VALUE"""),"")</f>
        <v/>
      </c>
      <c r="AB94" s="1" t="str">
        <f>IFERROR(__xludf.DUMMYFUNCTION("""COMPUTED_VALUE"""),"Emerging Concern")</f>
        <v>Emerging Concern</v>
      </c>
      <c r="AC94" s="1" t="str">
        <f>IFERROR(__xludf.DUMMYFUNCTION("""COMPUTED_VALUE"""),"")</f>
        <v/>
      </c>
      <c r="AD94" s="2" t="str">
        <f>IFERROR(__xludf.DUMMYFUNCTION("""COMPUTED_VALUE"""),"https://www.facebook.com/groups/1216403050609399/")</f>
        <v>https://www.facebook.com/groups/1216403050609399/</v>
      </c>
      <c r="AE94" s="1" t="str">
        <f>IFERROR(__xludf.DUMMYFUNCTION("""COMPUTED_VALUE"""),"")</f>
        <v/>
      </c>
      <c r="AF94" s="1" t="str">
        <f>IFERROR(__xludf.DUMMYFUNCTION("""COMPUTED_VALUE"""),"")</f>
        <v/>
      </c>
      <c r="AG94" s="1" t="str">
        <f>IFERROR(__xludf.DUMMYFUNCTION("""COMPUTED_VALUE"""),"")</f>
        <v/>
      </c>
      <c r="AH94" s="1" t="str">
        <f>IFERROR(__xludf.DUMMYFUNCTION("""COMPUTED_VALUE"""),"Media Monitoring")</f>
        <v>Media Monitoring</v>
      </c>
      <c r="AI94" s="2" t="str">
        <f>IFERROR(__xludf.DUMMYFUNCTION("""COMPUTED_VALUE"""),"https://www.thefencepost.com/news/growing-microprocessors-instead-of-wheat/")</f>
        <v>https://www.thefencepost.com/news/growing-microprocessors-instead-of-wheat/</v>
      </c>
      <c r="AJ94" s="2" t="str">
        <f>IFERROR(__xludf.DUMMYFUNCTION("""COMPUTED_VALUE"""),"https://www.journal-advocate.com/2026/02/18/logan-county-commissioners-approve-data-center-regulations/")</f>
        <v>https://www.journal-advocate.com/2026/02/18/logan-county-commissioners-approve-data-center-regulations/</v>
      </c>
      <c r="AK94" s="1" t="str">
        <f>IFERROR(__xludf.DUMMYFUNCTION("""COMPUTED_VALUE"""),"")</f>
        <v/>
      </c>
      <c r="AL94" s="1" t="str">
        <f>IFERROR(__xludf.DUMMYFUNCTION("""COMPUTED_VALUE"""),"")</f>
        <v/>
      </c>
      <c r="AM94" s="1" t="str">
        <f>IFERROR(__xludf.DUMMYFUNCTION("""COMPUTED_VALUE"""),"")</f>
        <v/>
      </c>
      <c r="AN94" s="1" t="str">
        <f>IFERROR(__xludf.DUMMYFUNCTION("""COMPUTED_VALUE"""),"")</f>
        <v/>
      </c>
      <c r="AO94" s="1" t="str">
        <f>IFERROR(__xludf.DUMMYFUNCTION("""COMPUTED_VALUE"""),"")</f>
        <v/>
      </c>
      <c r="AP94" s="1" t="str">
        <f>IFERROR(__xludf.DUMMYFUNCTION("""COMPUTED_VALUE"""),"")</f>
        <v/>
      </c>
      <c r="AQ94" s="1" t="str">
        <f>IFERROR(__xludf.DUMMYFUNCTION("""COMPUTED_VALUE"""),"05/19/2026")</f>
        <v>05/19/2026</v>
      </c>
      <c r="AR94" s="1" t="str">
        <f>IFERROR(__xludf.DUMMYFUNCTION("""COMPUTED_VALUE"""),"05/19/2026")</f>
        <v>05/19/2026</v>
      </c>
    </row>
    <row r="95">
      <c r="A95" s="1" t="str">
        <f>IFERROR(__xludf.DUMMYFUNCTION("""COMPUTED_VALUE"""),"Global AI")</f>
        <v>Global AI</v>
      </c>
      <c r="B95" s="1" t="str">
        <f>IFERROR(__xludf.DUMMYFUNCTION("""COMPUTED_VALUE"""),"2000 Howard Smith Avenue West")</f>
        <v>2000 Howard Smith Avenue West</v>
      </c>
      <c r="C95" s="1" t="str">
        <f>IFERROR(__xludf.DUMMYFUNCTION("""COMPUTED_VALUE"""),"Windsor")</f>
        <v>Windsor</v>
      </c>
      <c r="D95" s="1" t="str">
        <f>IFERROR(__xludf.DUMMYFUNCTION("""COMPUTED_VALUE"""),"CO")</f>
        <v>CO</v>
      </c>
      <c r="E95" s="1" t="str">
        <f>IFERROR(__xludf.DUMMYFUNCTION("""COMPUTED_VALUE"""),"80550")</f>
        <v>80550</v>
      </c>
      <c r="F95" s="1" t="str">
        <f>IFERROR(__xludf.DUMMYFUNCTION("""COMPUTED_VALUE"""),"Weld")</f>
        <v>Weld</v>
      </c>
      <c r="G95" s="1" t="str">
        <f>IFERROR(__xludf.DUMMYFUNCTION("""COMPUTED_VALUE"""),"40.458607")</f>
        <v>40.458607</v>
      </c>
      <c r="H95" s="1" t="str">
        <f>IFERROR(__xludf.DUMMYFUNCTION("""COMPUTED_VALUE"""),"-104.87199")</f>
        <v>-104.87199</v>
      </c>
      <c r="I95" s="1" t="str">
        <f>IFERROR(__xludf.DUMMYFUNCTION("""COMPUTED_VALUE"""),"Proposed")</f>
        <v>Proposed</v>
      </c>
      <c r="J95" s="1" t="str">
        <f>IFERROR(__xludf.DUMMYFUNCTION("""COMPUTED_VALUE"""),"High")</f>
        <v>High</v>
      </c>
      <c r="K95" s="1" t="str">
        <f>IFERROR(__xludf.DUMMYFUNCTION("""COMPUTED_VALUE"""),"")</f>
        <v/>
      </c>
      <c r="L95" s="1" t="str">
        <f>IFERROR(__xludf.DUMMYFUNCTION("""COMPUTED_VALUE"""),"")</f>
        <v/>
      </c>
      <c r="M95" s="1" t="str">
        <f>IFERROR(__xludf.DUMMYFUNCTION("""COMPUTED_VALUE"""),"")</f>
        <v/>
      </c>
      <c r="N95" s="1" t="str">
        <f>IFERROR(__xludf.DUMMYFUNCTION("""COMPUTED_VALUE"""),"18-24")</f>
        <v>18-24</v>
      </c>
      <c r="O95" s="1" t="str">
        <f>IFERROR(__xludf.DUMMYFUNCTION("""COMPUTED_VALUE"""),"Medium (11-50 MW)")</f>
        <v>Medium (11-50 MW)</v>
      </c>
      <c r="P95" s="1" t="str">
        <f>IFERROR(__xludf.DUMMYFUNCTION("""COMPUTED_VALUE"""),"")</f>
        <v/>
      </c>
      <c r="Q95" s="1" t="str">
        <f>IFERROR(__xludf.DUMMYFUNCTION("""COMPUTED_VALUE"""),"")</f>
        <v/>
      </c>
      <c r="R95" s="1" t="str">
        <f>IFERROR(__xludf.DUMMYFUNCTION("""COMPUTED_VALUE"""),"")</f>
        <v/>
      </c>
      <c r="S95" s="1" t="str">
        <f>IFERROR(__xludf.DUMMYFUNCTION("""COMPUTED_VALUE"""),"")</f>
        <v/>
      </c>
      <c r="T95" s="1" t="str">
        <f>IFERROR(__xludf.DUMMYFUNCTION("""COMPUTED_VALUE"""),"")</f>
        <v/>
      </c>
      <c r="U95" s="1" t="str">
        <f>IFERROR(__xludf.DUMMYFUNCTION("""COMPUTED_VALUE"""),"")</f>
        <v/>
      </c>
      <c r="V95" s="1" t="str">
        <f>IFERROR(__xludf.DUMMYFUNCTION("""COMPUTED_VALUE"""),"")</f>
        <v/>
      </c>
      <c r="W95" s="1" t="str">
        <f>IFERROR(__xludf.DUMMYFUNCTION("""COMPUTED_VALUE"""),"438")</f>
        <v>438</v>
      </c>
      <c r="X95" s="1" t="str">
        <f>IFERROR(__xludf.DUMMYFUNCTION("""COMPUTED_VALUE"""),"$2-20 billion")</f>
        <v>$2-20 billion</v>
      </c>
      <c r="Y95" s="1" t="str">
        <f>IFERROR(__xludf.DUMMYFUNCTION("""COMPUTED_VALUE"""),"")</f>
        <v/>
      </c>
      <c r="Z95" s="1" t="str">
        <f>IFERROR(__xludf.DUMMYFUNCTION("""COMPUTED_VALUE"""),"Unknown")</f>
        <v>Unknown</v>
      </c>
      <c r="AA95" s="1" t="str">
        <f>IFERROR(__xludf.DUMMYFUNCTION("""COMPUTED_VALUE"""),"")</f>
        <v/>
      </c>
      <c r="AB95" s="1" t="str">
        <f>IFERROR(__xludf.DUMMYFUNCTION("""COMPUTED_VALUE"""),"")</f>
        <v/>
      </c>
      <c r="AC95" s="1" t="str">
        <f>IFERROR(__xludf.DUMMYFUNCTION("""COMPUTED_VALUE"""),"")</f>
        <v/>
      </c>
      <c r="AD95" s="1" t="str">
        <f>IFERROR(__xludf.DUMMYFUNCTION("""COMPUTED_VALUE"""),"")</f>
        <v/>
      </c>
      <c r="AE95" s="1" t="str">
        <f>IFERROR(__xludf.DUMMYFUNCTION("""COMPUTED_VALUE"""),"")</f>
        <v/>
      </c>
      <c r="AF95" s="1" t="str">
        <f>IFERROR(__xludf.DUMMYFUNCTION("""COMPUTED_VALUE"""),"")</f>
        <v/>
      </c>
      <c r="AG95" s="1" t="str">
        <f>IFERROR(__xludf.DUMMYFUNCTION("""COMPUTED_VALUE"""),"")</f>
        <v/>
      </c>
      <c r="AH95" s="1" t="str">
        <f>IFERROR(__xludf.DUMMYFUNCTION("""COMPUTED_VALUE"""),"Media Monitoring")</f>
        <v>Media Monitoring</v>
      </c>
      <c r="AI95" s="2" t="str">
        <f>IFERROR(__xludf.DUMMYFUNCTION("""COMPUTED_VALUE"""),"https://www.datacenterdynamics.com/en/news/global-ai-set-to-develop-data-center-outside-denver-colorado/")</f>
        <v>https://www.datacenterdynamics.com/en/news/global-ai-set-to-develop-data-center-outside-denver-colorado/</v>
      </c>
      <c r="AJ95" s="1" t="str">
        <f>IFERROR(__xludf.DUMMYFUNCTION("""COMPUTED_VALUE"""),"")</f>
        <v/>
      </c>
      <c r="AK95" s="1" t="str">
        <f>IFERROR(__xludf.DUMMYFUNCTION("""COMPUTED_VALUE"""),"")</f>
        <v/>
      </c>
      <c r="AL95" s="1" t="str">
        <f>IFERROR(__xludf.DUMMYFUNCTION("""COMPUTED_VALUE"""),"")</f>
        <v/>
      </c>
      <c r="AM95" s="1" t="str">
        <f>IFERROR(__xludf.DUMMYFUNCTION("""COMPUTED_VALUE"""),"")</f>
        <v/>
      </c>
      <c r="AN95" s="1" t="str">
        <f>IFERROR(__xludf.DUMMYFUNCTION("""COMPUTED_VALUE"""),"")</f>
        <v/>
      </c>
      <c r="AO95" s="1" t="str">
        <f>IFERROR(__xludf.DUMMYFUNCTION("""COMPUTED_VALUE"""),"")</f>
        <v/>
      </c>
      <c r="AP95" s="1" t="str">
        <f>IFERROR(__xludf.DUMMYFUNCTION("""COMPUTED_VALUE"""),"")</f>
        <v/>
      </c>
      <c r="AQ95" s="1" t="str">
        <f>IFERROR(__xludf.DUMMYFUNCTION("""COMPUTED_VALUE"""),"03/04/2026")</f>
        <v>03/04/2026</v>
      </c>
      <c r="AR95" s="1" t="str">
        <f>IFERROR(__xludf.DUMMYFUNCTION("""COMPUTED_VALUE"""),"04/27/2026")</f>
        <v>04/27/2026</v>
      </c>
    </row>
    <row r="96">
      <c r="A96" s="1" t="str">
        <f>IFERROR(__xludf.DUMMYFUNCTION("""COMPUTED_VALUE"""),"Atlas Capital Group")</f>
        <v>Atlas Capital Group</v>
      </c>
      <c r="B96" s="1" t="str">
        <f>IFERROR(__xludf.DUMMYFUNCTION("""COMPUTED_VALUE"""),"132 Griffin Rd N")</f>
        <v>132 Griffin Rd N</v>
      </c>
      <c r="C96" s="1" t="str">
        <f>IFERROR(__xludf.DUMMYFUNCTION("""COMPUTED_VALUE"""),"Bloomfield")</f>
        <v>Bloomfield</v>
      </c>
      <c r="D96" s="1" t="str">
        <f>IFERROR(__xludf.DUMMYFUNCTION("""COMPUTED_VALUE"""),"CT")</f>
        <v>CT</v>
      </c>
      <c r="E96" s="1" t="str">
        <f>IFERROR(__xludf.DUMMYFUNCTION("""COMPUTED_VALUE"""),"06002")</f>
        <v>06002</v>
      </c>
      <c r="F96" s="1" t="str">
        <f>IFERROR(__xludf.DUMMYFUNCTION("""COMPUTED_VALUE"""),"Hartford")</f>
        <v>Hartford</v>
      </c>
      <c r="G96" s="1" t="str">
        <f>IFERROR(__xludf.DUMMYFUNCTION("""COMPUTED_VALUE"""),"41.88474")</f>
        <v>41.88474</v>
      </c>
      <c r="H96" s="1" t="str">
        <f>IFERROR(__xludf.DUMMYFUNCTION("""COMPUTED_VALUE"""),"-72.7435")</f>
        <v>-72.7435</v>
      </c>
      <c r="I96" s="1" t="str">
        <f>IFERROR(__xludf.DUMMYFUNCTION("""COMPUTED_VALUE"""),"Proposed")</f>
        <v>Proposed</v>
      </c>
      <c r="J96" s="1" t="str">
        <f>IFERROR(__xludf.DUMMYFUNCTION("""COMPUTED_VALUE"""),"High")</f>
        <v>High</v>
      </c>
      <c r="K96" s="1" t="str">
        <f>IFERROR(__xludf.DUMMYFUNCTION("""COMPUTED_VALUE"""),"")</f>
        <v/>
      </c>
      <c r="L96" s="1" t="str">
        <f>IFERROR(__xludf.DUMMYFUNCTION("""COMPUTED_VALUE"""),"")</f>
        <v/>
      </c>
      <c r="M96" s="1" t="str">
        <f>IFERROR(__xludf.DUMMYFUNCTION("""COMPUTED_VALUE"""),"")</f>
        <v/>
      </c>
      <c r="N96" s="1" t="str">
        <f>IFERROR(__xludf.DUMMYFUNCTION("""COMPUTED_VALUE"""),"")</f>
        <v/>
      </c>
      <c r="O96" s="1" t="str">
        <f>IFERROR(__xludf.DUMMYFUNCTION("""COMPUTED_VALUE"""),"Unknown")</f>
        <v>Unknown</v>
      </c>
      <c r="P96" s="1" t="str">
        <f>IFERROR(__xludf.DUMMYFUNCTION("""COMPUTED_VALUE"""),"")</f>
        <v/>
      </c>
      <c r="Q96" s="1" t="str">
        <f>IFERROR(__xludf.DUMMYFUNCTION("""COMPUTED_VALUE"""),"")</f>
        <v/>
      </c>
      <c r="R96" s="1" t="str">
        <f>IFERROR(__xludf.DUMMYFUNCTION("""COMPUTED_VALUE"""),"")</f>
        <v/>
      </c>
      <c r="S96" s="1" t="str">
        <f>IFERROR(__xludf.DUMMYFUNCTION("""COMPUTED_VALUE"""),"")</f>
        <v/>
      </c>
      <c r="T96" s="1" t="str">
        <f>IFERROR(__xludf.DUMMYFUNCTION("""COMPUTED_VALUE"""),"")</f>
        <v/>
      </c>
      <c r="U96" s="1" t="str">
        <f>IFERROR(__xludf.DUMMYFUNCTION("""COMPUTED_VALUE"""),"")</f>
        <v/>
      </c>
      <c r="V96" s="1" t="str">
        <f>IFERROR(__xludf.DUMMYFUNCTION("""COMPUTED_VALUE"""),"1,000,000")</f>
        <v>1,000,000</v>
      </c>
      <c r="W96" s="1" t="str">
        <f>IFERROR(__xludf.DUMMYFUNCTION("""COMPUTED_VALUE"""),"")</f>
        <v/>
      </c>
      <c r="X96" s="1" t="str">
        <f>IFERROR(__xludf.DUMMYFUNCTION("""COMPUTED_VALUE"""),"")</f>
        <v/>
      </c>
      <c r="Y96" s="1" t="str">
        <f>IFERROR(__xludf.DUMMYFUNCTION("""COMPUTED_VALUE"""),"")</f>
        <v/>
      </c>
      <c r="Z96" s="1" t="str">
        <f>IFERROR(__xludf.DUMMYFUNCTION("""COMPUTED_VALUE"""),"Unknown")</f>
        <v>Unknown</v>
      </c>
      <c r="AA96" s="1" t="str">
        <f>IFERROR(__xludf.DUMMYFUNCTION("""COMPUTED_VALUE"""),"")</f>
        <v/>
      </c>
      <c r="AB96" s="1" t="str">
        <f>IFERROR(__xludf.DUMMYFUNCTION("""COMPUTED_VALUE"""),"")</f>
        <v/>
      </c>
      <c r="AC96" s="1" t="str">
        <f>IFERROR(__xludf.DUMMYFUNCTION("""COMPUTED_VALUE"""),"")</f>
        <v/>
      </c>
      <c r="AD96" s="1" t="str">
        <f>IFERROR(__xludf.DUMMYFUNCTION("""COMPUTED_VALUE"""),"")</f>
        <v/>
      </c>
      <c r="AE96" s="1" t="str">
        <f>IFERROR(__xludf.DUMMYFUNCTION("""COMPUTED_VALUE"""),"")</f>
        <v/>
      </c>
      <c r="AF96" s="1" t="str">
        <f>IFERROR(__xludf.DUMMYFUNCTION("""COMPUTED_VALUE"""),"")</f>
        <v/>
      </c>
      <c r="AG96" s="1" t="str">
        <f>IFERROR(__xludf.DUMMYFUNCTION("""COMPUTED_VALUE"""),"")</f>
        <v/>
      </c>
      <c r="AH96" s="1" t="str">
        <f>IFERROR(__xludf.DUMMYFUNCTION("""COMPUTED_VALUE"""),"Media Monitoring")</f>
        <v>Media Monitoring</v>
      </c>
      <c r="AI96" s="2" t="str">
        <f>IFERROR(__xludf.DUMMYFUNCTION("""COMPUTED_VALUE"""),"https://www.ctinsider.com/business/article/ct-bloomfield-data-center-proposal-20758986.php")</f>
        <v>https://www.ctinsider.com/business/article/ct-bloomfield-data-center-proposal-20758986.php</v>
      </c>
      <c r="AJ96" s="1" t="str">
        <f>IFERROR(__xludf.DUMMYFUNCTION("""COMPUTED_VALUE"""),"")</f>
        <v/>
      </c>
      <c r="AK96" s="1" t="str">
        <f>IFERROR(__xludf.DUMMYFUNCTION("""COMPUTED_VALUE"""),"")</f>
        <v/>
      </c>
      <c r="AL96" s="1" t="str">
        <f>IFERROR(__xludf.DUMMYFUNCTION("""COMPUTED_VALUE"""),"")</f>
        <v/>
      </c>
      <c r="AM96" s="1" t="str">
        <f>IFERROR(__xludf.DUMMYFUNCTION("""COMPUTED_VALUE"""),"")</f>
        <v/>
      </c>
      <c r="AN96" s="1" t="str">
        <f>IFERROR(__xludf.DUMMYFUNCTION("""COMPUTED_VALUE"""),"")</f>
        <v/>
      </c>
      <c r="AO96" s="1" t="str">
        <f>IFERROR(__xludf.DUMMYFUNCTION("""COMPUTED_VALUE"""),"")</f>
        <v/>
      </c>
      <c r="AP96" s="1" t="str">
        <f>IFERROR(__xludf.DUMMYFUNCTION("""COMPUTED_VALUE"""),"")</f>
        <v/>
      </c>
      <c r="AQ96" s="1" t="str">
        <f>IFERROR(__xludf.DUMMYFUNCTION("""COMPUTED_VALUE"""),"07/15/2025")</f>
        <v>07/15/2025</v>
      </c>
      <c r="AR96" s="1" t="str">
        <f>IFERROR(__xludf.DUMMYFUNCTION("""COMPUTED_VALUE"""),"07/15/2025")</f>
        <v>07/15/2025</v>
      </c>
    </row>
    <row r="97">
      <c r="A97" s="1" t="str">
        <f>IFERROR(__xludf.DUMMYFUNCTION("""COMPUTED_VALUE"""),"GotSpace Data Center")</f>
        <v>GotSpace Data Center</v>
      </c>
      <c r="B97" s="1" t="str">
        <f>IFERROR(__xludf.DUMMYFUNCTION("""COMPUTED_VALUE"""),"Bozrah St")</f>
        <v>Bozrah St</v>
      </c>
      <c r="C97" s="1" t="str">
        <f>IFERROR(__xludf.DUMMYFUNCTION("""COMPUTED_VALUE"""),"Bozrah")</f>
        <v>Bozrah</v>
      </c>
      <c r="D97" s="1" t="str">
        <f>IFERROR(__xludf.DUMMYFUNCTION("""COMPUTED_VALUE"""),"CT")</f>
        <v>CT</v>
      </c>
      <c r="E97" s="1" t="str">
        <f>IFERROR(__xludf.DUMMYFUNCTION("""COMPUTED_VALUE"""),"06334")</f>
        <v>06334</v>
      </c>
      <c r="F97" s="1" t="str">
        <f>IFERROR(__xludf.DUMMYFUNCTION("""COMPUTED_VALUE"""),"New London")</f>
        <v>New London</v>
      </c>
      <c r="G97" s="1" t="str">
        <f>IFERROR(__xludf.DUMMYFUNCTION("""COMPUTED_VALUE"""),"41.5586")</f>
        <v>41.5586</v>
      </c>
      <c r="H97" s="1" t="str">
        <f>IFERROR(__xludf.DUMMYFUNCTION("""COMPUTED_VALUE"""),"-72.1706")</f>
        <v>-72.1706</v>
      </c>
      <c r="I97" s="1" t="str">
        <f>IFERROR(__xludf.DUMMYFUNCTION("""COMPUTED_VALUE"""),"Proposed")</f>
        <v>Proposed</v>
      </c>
      <c r="J97" s="1" t="str">
        <f>IFERROR(__xludf.DUMMYFUNCTION("""COMPUTED_VALUE"""),"Medium")</f>
        <v>Medium</v>
      </c>
      <c r="K97" s="1" t="str">
        <f>IFERROR(__xludf.DUMMYFUNCTION("""COMPUTED_VALUE"""),"")</f>
        <v/>
      </c>
      <c r="L97" s="1" t="str">
        <f>IFERROR(__xludf.DUMMYFUNCTION("""COMPUTED_VALUE"""),"")</f>
        <v/>
      </c>
      <c r="M97" s="1" t="str">
        <f>IFERROR(__xludf.DUMMYFUNCTION("""COMPUTED_VALUE"""),"")</f>
        <v/>
      </c>
      <c r="N97" s="1" t="str">
        <f>IFERROR(__xludf.DUMMYFUNCTION("""COMPUTED_VALUE"""),"")</f>
        <v/>
      </c>
      <c r="O97" s="1" t="str">
        <f>IFERROR(__xludf.DUMMYFUNCTION("""COMPUTED_VALUE"""),"Unknown")</f>
        <v>Unknown</v>
      </c>
      <c r="P97" s="1" t="str">
        <f>IFERROR(__xludf.DUMMYFUNCTION("""COMPUTED_VALUE"""),"")</f>
        <v/>
      </c>
      <c r="Q97" s="1" t="str">
        <f>IFERROR(__xludf.DUMMYFUNCTION("""COMPUTED_VALUE"""),"")</f>
        <v/>
      </c>
      <c r="R97" s="1" t="str">
        <f>IFERROR(__xludf.DUMMYFUNCTION("""COMPUTED_VALUE"""),"")</f>
        <v/>
      </c>
      <c r="S97" s="1" t="str">
        <f>IFERROR(__xludf.DUMMYFUNCTION("""COMPUTED_VALUE"""),"")</f>
        <v/>
      </c>
      <c r="T97" s="1" t="str">
        <f>IFERROR(__xludf.DUMMYFUNCTION("""COMPUTED_VALUE"""),"")</f>
        <v/>
      </c>
      <c r="U97" s="1" t="str">
        <f>IFERROR(__xludf.DUMMYFUNCTION("""COMPUTED_VALUE"""),"")</f>
        <v/>
      </c>
      <c r="V97" s="1" t="str">
        <f>IFERROR(__xludf.DUMMYFUNCTION("""COMPUTED_VALUE"""),"980,000")</f>
        <v>980,000</v>
      </c>
      <c r="W97" s="1" t="str">
        <f>IFERROR(__xludf.DUMMYFUNCTION("""COMPUTED_VALUE"""),"")</f>
        <v/>
      </c>
      <c r="X97" s="1" t="str">
        <f>IFERROR(__xludf.DUMMYFUNCTION("""COMPUTED_VALUE"""),"")</f>
        <v/>
      </c>
      <c r="Y97" s="1" t="str">
        <f>IFERROR(__xludf.DUMMYFUNCTION("""COMPUTED_VALUE"""),"")</f>
        <v/>
      </c>
      <c r="Z97" s="1" t="str">
        <f>IFERROR(__xludf.DUMMYFUNCTION("""COMPUTED_VALUE"""),"Unknown")</f>
        <v>Unknown</v>
      </c>
      <c r="AA97" s="1" t="str">
        <f>IFERROR(__xludf.DUMMYFUNCTION("""COMPUTED_VALUE"""),"")</f>
        <v/>
      </c>
      <c r="AB97" s="1" t="str">
        <f>IFERROR(__xludf.DUMMYFUNCTION("""COMPUTED_VALUE"""),"")</f>
        <v/>
      </c>
      <c r="AC97" s="1" t="str">
        <f>IFERROR(__xludf.DUMMYFUNCTION("""COMPUTED_VALUE"""),"")</f>
        <v/>
      </c>
      <c r="AD97" s="1" t="str">
        <f>IFERROR(__xludf.DUMMYFUNCTION("""COMPUTED_VALUE"""),"")</f>
        <v/>
      </c>
      <c r="AE97" s="1" t="str">
        <f>IFERROR(__xludf.DUMMYFUNCTION("""COMPUTED_VALUE"""),"")</f>
        <v/>
      </c>
      <c r="AF97" s="1" t="str">
        <f>IFERROR(__xludf.DUMMYFUNCTION("""COMPUTED_VALUE"""),"")</f>
        <v/>
      </c>
      <c r="AG97" s="1" t="str">
        <f>IFERROR(__xludf.DUMMYFUNCTION("""COMPUTED_VALUE"""),"")</f>
        <v/>
      </c>
      <c r="AH97" s="1" t="str">
        <f>IFERROR(__xludf.DUMMYFUNCTION("""COMPUTED_VALUE"""),"Media Monitoring")</f>
        <v>Media Monitoring</v>
      </c>
      <c r="AI97" s="2" t="str">
        <f>IFERROR(__xludf.DUMMYFUNCTION("""COMPUTED_VALUE"""),"https://www.datacenterdynamics.com/en/news/15gw-data-center-campus-proposed-in-pennsylvania/")</f>
        <v>https://www.datacenterdynamics.com/en/news/15gw-data-center-campus-proposed-in-pennsylvania/</v>
      </c>
      <c r="AJ97" s="2" t="str">
        <f>IFERROR(__xludf.DUMMYFUNCTION("""COMPUTED_VALUE"""),"https://ctexaminer.com/2022/08/11/facing-budget-squeeze-bozrah-to-decide-on-approving-a-hyperscale-data-center/")</f>
        <v>https://ctexaminer.com/2022/08/11/facing-budget-squeeze-bozrah-to-decide-on-approving-a-hyperscale-data-center/</v>
      </c>
      <c r="AK97" s="1" t="str">
        <f>IFERROR(__xludf.DUMMYFUNCTION("""COMPUTED_VALUE"""),"")</f>
        <v/>
      </c>
      <c r="AL97" s="1" t="str">
        <f>IFERROR(__xludf.DUMMYFUNCTION("""COMPUTED_VALUE"""),"")</f>
        <v/>
      </c>
      <c r="AM97" s="1" t="str">
        <f>IFERROR(__xludf.DUMMYFUNCTION("""COMPUTED_VALUE"""),"")</f>
        <v/>
      </c>
      <c r="AN97" s="1" t="str">
        <f>IFERROR(__xludf.DUMMYFUNCTION("""COMPUTED_VALUE"""),"")</f>
        <v/>
      </c>
      <c r="AO97" s="1" t="str">
        <f>IFERROR(__xludf.DUMMYFUNCTION("""COMPUTED_VALUE"""),"")</f>
        <v/>
      </c>
      <c r="AP97" s="1" t="str">
        <f>IFERROR(__xludf.DUMMYFUNCTION("""COMPUTED_VALUE"""),"")</f>
        <v/>
      </c>
      <c r="AQ97" s="1" t="str">
        <f>IFERROR(__xludf.DUMMYFUNCTION("""COMPUTED_VALUE"""),"07/24/2025")</f>
        <v>07/24/2025</v>
      </c>
      <c r="AR97" s="1" t="str">
        <f>IFERROR(__xludf.DUMMYFUNCTION("""COMPUTED_VALUE"""),"07/24/2025")</f>
        <v>07/24/2025</v>
      </c>
    </row>
    <row r="98">
      <c r="A98" s="1" t="str">
        <f>IFERROR(__xludf.DUMMYFUNCTION("""COMPUTED_VALUE"""),"Bristol Technology Center")</f>
        <v>Bristol Technology Center</v>
      </c>
      <c r="B98" s="1" t="str">
        <f>IFERROR(__xludf.DUMMYFUNCTION("""COMPUTED_VALUE"""),"234 Riverside Ave")</f>
        <v>234 Riverside Ave</v>
      </c>
      <c r="C98" s="1" t="str">
        <f>IFERROR(__xludf.DUMMYFUNCTION("""COMPUTED_VALUE"""),"Bristol")</f>
        <v>Bristol</v>
      </c>
      <c r="D98" s="1" t="str">
        <f>IFERROR(__xludf.DUMMYFUNCTION("""COMPUTED_VALUE"""),"CT")</f>
        <v>CT</v>
      </c>
      <c r="E98" s="1" t="str">
        <f>IFERROR(__xludf.DUMMYFUNCTION("""COMPUTED_VALUE"""),"06010")</f>
        <v>06010</v>
      </c>
      <c r="F98" s="1" t="str">
        <f>IFERROR(__xludf.DUMMYFUNCTION("""COMPUTED_VALUE"""),"Hartford")</f>
        <v>Hartford</v>
      </c>
      <c r="G98" s="1" t="str">
        <f>IFERROR(__xludf.DUMMYFUNCTION("""COMPUTED_VALUE"""),"41.669926")</f>
        <v>41.669926</v>
      </c>
      <c r="H98" s="1" t="str">
        <f>IFERROR(__xludf.DUMMYFUNCTION("""COMPUTED_VALUE"""),"-72.93476")</f>
        <v>-72.93476</v>
      </c>
      <c r="I98" s="1" t="str">
        <f>IFERROR(__xludf.DUMMYFUNCTION("""COMPUTED_VALUE"""),"Proposed")</f>
        <v>Proposed</v>
      </c>
      <c r="J98" s="1" t="str">
        <f>IFERROR(__xludf.DUMMYFUNCTION("""COMPUTED_VALUE"""),"High")</f>
        <v>High</v>
      </c>
      <c r="K98" s="1" t="str">
        <f>IFERROR(__xludf.DUMMYFUNCTION("""COMPUTED_VALUE"""),"")</f>
        <v/>
      </c>
      <c r="L98" s="1" t="str">
        <f>IFERROR(__xludf.DUMMYFUNCTION("""COMPUTED_VALUE"""),"")</f>
        <v/>
      </c>
      <c r="M98" s="1" t="str">
        <f>IFERROR(__xludf.DUMMYFUNCTION("""COMPUTED_VALUE"""),"")</f>
        <v/>
      </c>
      <c r="N98" s="1" t="str">
        <f>IFERROR(__xludf.DUMMYFUNCTION("""COMPUTED_VALUE"""),"4")</f>
        <v>4</v>
      </c>
      <c r="O98" s="1" t="str">
        <f>IFERROR(__xludf.DUMMYFUNCTION("""COMPUTED_VALUE"""),"Small (0-10 MW)")</f>
        <v>Small (0-10 MW)</v>
      </c>
      <c r="P98" s="1" t="str">
        <f>IFERROR(__xludf.DUMMYFUNCTION("""COMPUTED_VALUE"""),"Fuel Cells")</f>
        <v>Fuel Cells</v>
      </c>
      <c r="Q98" s="1" t="str">
        <f>IFERROR(__xludf.DUMMYFUNCTION("""COMPUTED_VALUE"""),"")</f>
        <v/>
      </c>
      <c r="R98" s="1" t="str">
        <f>IFERROR(__xludf.DUMMYFUNCTION("""COMPUTED_VALUE"""),"")</f>
        <v/>
      </c>
      <c r="S98" s="1" t="str">
        <f>IFERROR(__xludf.DUMMYFUNCTION("""COMPUTED_VALUE"""),"1")</f>
        <v>1</v>
      </c>
      <c r="T98" s="1" t="str">
        <f>IFERROR(__xludf.DUMMYFUNCTION("""COMPUTED_VALUE"""),"Water")</f>
        <v>Water</v>
      </c>
      <c r="U98" s="1" t="str">
        <f>IFERROR(__xludf.DUMMYFUNCTION("""COMPUTED_VALUE"""),"Closed loop")</f>
        <v>Closed loop</v>
      </c>
      <c r="V98" s="1" t="str">
        <f>IFERROR(__xludf.DUMMYFUNCTION("""COMPUTED_VALUE"""),"15,000")</f>
        <v>15,000</v>
      </c>
      <c r="W98" s="1" t="str">
        <f>IFERROR(__xludf.DUMMYFUNCTION("""COMPUTED_VALUE"""),"2")</f>
        <v>2</v>
      </c>
      <c r="X98" s="1" t="str">
        <f>IFERROR(__xludf.DUMMYFUNCTION("""COMPUTED_VALUE"""),"")</f>
        <v/>
      </c>
      <c r="Y98" s="1" t="str">
        <f>IFERROR(__xludf.DUMMYFUNCTION("""COMPUTED_VALUE"""),"")</f>
        <v/>
      </c>
      <c r="Z98" s="1" t="str">
        <f>IFERROR(__xludf.DUMMYFUNCTION("""COMPUTED_VALUE"""),"Yes")</f>
        <v>Yes</v>
      </c>
      <c r="AA98" s="1" t="str">
        <f>IFERROR(__xludf.DUMMYFUNCTION("""COMPUTED_VALUE"""),"")</f>
        <v/>
      </c>
      <c r="AB98" s="1" t="str">
        <f>IFERROR(__xludf.DUMMYFUNCTION("""COMPUTED_VALUE"""),"Organized Advocacy")</f>
        <v>Organized Advocacy</v>
      </c>
      <c r="AC98" s="1" t="str">
        <f>IFERROR(__xludf.DUMMYFUNCTION("""COMPUTED_VALUE"""),"")</f>
        <v/>
      </c>
      <c r="AD98" s="1" t="str">
        <f>IFERROR(__xludf.DUMMYFUNCTION("""COMPUTED_VALUE"""),"")</f>
        <v/>
      </c>
      <c r="AE98" s="1" t="str">
        <f>IFERROR(__xludf.DUMMYFUNCTION("""COMPUTED_VALUE"""),"")</f>
        <v/>
      </c>
      <c r="AF98" s="2" t="str">
        <f>IFERROR(__xludf.DUMMYFUNCTION("""COMPUTED_VALUE"""),"https://www.change.org/p/bristol-ct-say-no-to-the-data-center")</f>
        <v>https://www.change.org/p/bristol-ct-say-no-to-the-data-center</v>
      </c>
      <c r="AG98" s="1" t="str">
        <f>IFERROR(__xludf.DUMMYFUNCTION("""COMPUTED_VALUE"""),"")</f>
        <v/>
      </c>
      <c r="AH98" s="1" t="str">
        <f>IFERROR(__xludf.DUMMYFUNCTION("""COMPUTED_VALUE"""),"Media Monitoring")</f>
        <v>Media Monitoring</v>
      </c>
      <c r="AI98" s="2" t="str">
        <f>IFERROR(__xludf.DUMMYFUNCTION("""COMPUTED_VALUE"""),"https://bristoledition.org/blog/2026/04/20/mayors-column-lets-talk-about-data-center/")</f>
        <v>https://bristoledition.org/blog/2026/04/20/mayors-column-lets-talk-about-data-center/</v>
      </c>
      <c r="AJ98" s="2" t="str">
        <f>IFERROR(__xludf.DUMMYFUNCTION("""COMPUTED_VALUE"""),"https://morethanjustparks.com/data-center-tracker/fbca6793-3b59-4b84-bda7-294be0a814d1")</f>
        <v>https://morethanjustparks.com/data-center-tracker/fbca6793-3b59-4b84-bda7-294be0a814d1</v>
      </c>
      <c r="AK98" s="1" t="str">
        <f>IFERROR(__xludf.DUMMYFUNCTION("""COMPUTED_VALUE"""),"")</f>
        <v/>
      </c>
      <c r="AL98" s="1" t="str">
        <f>IFERROR(__xludf.DUMMYFUNCTION("""COMPUTED_VALUE"""),"")</f>
        <v/>
      </c>
      <c r="AM98" s="1" t="str">
        <f>IFERROR(__xludf.DUMMYFUNCTION("""COMPUTED_VALUE"""),"")</f>
        <v/>
      </c>
      <c r="AN98" s="1" t="str">
        <f>IFERROR(__xludf.DUMMYFUNCTION("""COMPUTED_VALUE"""),"")</f>
        <v/>
      </c>
      <c r="AO98" s="1" t="str">
        <f>IFERROR(__xludf.DUMMYFUNCTION("""COMPUTED_VALUE"""),"")</f>
        <v/>
      </c>
      <c r="AP98" s="1" t="str">
        <f>IFERROR(__xludf.DUMMYFUNCTION("""COMPUTED_VALUE"""),"")</f>
        <v/>
      </c>
      <c r="AQ98" s="1" t="str">
        <f>IFERROR(__xludf.DUMMYFUNCTION("""COMPUTED_VALUE"""),"07/14/2026")</f>
        <v>07/14/2026</v>
      </c>
      <c r="AR98" s="1" t="str">
        <f>IFERROR(__xludf.DUMMYFUNCTION("""COMPUTED_VALUE"""),"07/14/2026")</f>
        <v>07/14/2026</v>
      </c>
    </row>
    <row r="99">
      <c r="A99" s="1" t="str">
        <f>IFERROR(__xludf.DUMMYFUNCTION("""COMPUTED_VALUE"""),"NE Edge Groton Data Center")</f>
        <v>NE Edge Groton Data Center</v>
      </c>
      <c r="B99" s="1" t="str">
        <f>IFERROR(__xludf.DUMMYFUNCTION("""COMPUTED_VALUE"""),"adjacent to Millstone Nuclear Power Station")</f>
        <v>adjacent to Millstone Nuclear Power Station</v>
      </c>
      <c r="C99" s="1" t="str">
        <f>IFERROR(__xludf.DUMMYFUNCTION("""COMPUTED_VALUE"""),"Waterford")</f>
        <v>Waterford</v>
      </c>
      <c r="D99" s="1" t="str">
        <f>IFERROR(__xludf.DUMMYFUNCTION("""COMPUTED_VALUE"""),"CT")</f>
        <v>CT</v>
      </c>
      <c r="E99" s="1" t="str">
        <f>IFERROR(__xludf.DUMMYFUNCTION("""COMPUTED_VALUE"""),"06385")</f>
        <v>06385</v>
      </c>
      <c r="F99" s="1" t="str">
        <f>IFERROR(__xludf.DUMMYFUNCTION("""COMPUTED_VALUE"""),"New London")</f>
        <v>New London</v>
      </c>
      <c r="G99" s="1" t="str">
        <f>IFERROR(__xludf.DUMMYFUNCTION("""COMPUTED_VALUE"""),"41.31387")</f>
        <v>41.31387</v>
      </c>
      <c r="H99" s="1" t="str">
        <f>IFERROR(__xludf.DUMMYFUNCTION("""COMPUTED_VALUE"""),"-72.1673")</f>
        <v>-72.1673</v>
      </c>
      <c r="I99" s="1" t="str">
        <f>IFERROR(__xludf.DUMMYFUNCTION("""COMPUTED_VALUE"""),"Cancelled")</f>
        <v>Cancelled</v>
      </c>
      <c r="J99" s="1" t="str">
        <f>IFERROR(__xludf.DUMMYFUNCTION("""COMPUTED_VALUE"""),"Medium")</f>
        <v>Medium</v>
      </c>
      <c r="K99" s="1" t="str">
        <f>IFERROR(__xludf.DUMMYFUNCTION("""COMPUTED_VALUE"""),"")</f>
        <v/>
      </c>
      <c r="L99" s="1" t="str">
        <f>IFERROR(__xludf.DUMMYFUNCTION("""COMPUTED_VALUE"""),"")</f>
        <v/>
      </c>
      <c r="M99" s="1" t="str">
        <f>IFERROR(__xludf.DUMMYFUNCTION("""COMPUTED_VALUE"""),"")</f>
        <v/>
      </c>
      <c r="N99" s="1" t="str">
        <f>IFERROR(__xludf.DUMMYFUNCTION("""COMPUTED_VALUE"""),"1500")</f>
        <v>1500</v>
      </c>
      <c r="O99" s="1" t="str">
        <f>IFERROR(__xludf.DUMMYFUNCTION("""COMPUTED_VALUE"""),"Mega campus (&gt;1,000 MW)")</f>
        <v>Mega campus (&gt;1,000 MW)</v>
      </c>
      <c r="P99" s="1" t="str">
        <f>IFERROR(__xludf.DUMMYFUNCTION("""COMPUTED_VALUE"""),"")</f>
        <v/>
      </c>
      <c r="Q99" s="1" t="str">
        <f>IFERROR(__xludf.DUMMYFUNCTION("""COMPUTED_VALUE"""),"")</f>
        <v/>
      </c>
      <c r="R99" s="1" t="str">
        <f>IFERROR(__xludf.DUMMYFUNCTION("""COMPUTED_VALUE"""),"")</f>
        <v/>
      </c>
      <c r="S99" s="1" t="str">
        <f>IFERROR(__xludf.DUMMYFUNCTION("""COMPUTED_VALUE"""),"")</f>
        <v/>
      </c>
      <c r="T99" s="1" t="str">
        <f>IFERROR(__xludf.DUMMYFUNCTION("""COMPUTED_VALUE"""),"")</f>
        <v/>
      </c>
      <c r="U99" s="1" t="str">
        <f>IFERROR(__xludf.DUMMYFUNCTION("""COMPUTED_VALUE"""),"")</f>
        <v/>
      </c>
      <c r="V99" s="1" t="str">
        <f>IFERROR(__xludf.DUMMYFUNCTION("""COMPUTED_VALUE"""),"1,500,000")</f>
        <v>1,500,000</v>
      </c>
      <c r="W99" s="1" t="str">
        <f>IFERROR(__xludf.DUMMYFUNCTION("""COMPUTED_VALUE"""),"25")</f>
        <v>25</v>
      </c>
      <c r="X99" s="1" t="str">
        <f>IFERROR(__xludf.DUMMYFUNCTION("""COMPUTED_VALUE"""),"")</f>
        <v/>
      </c>
      <c r="Y99" s="1" t="str">
        <f>IFERROR(__xludf.DUMMYFUNCTION("""COMPUTED_VALUE"""),"")</f>
        <v/>
      </c>
      <c r="Z99" s="1" t="str">
        <f>IFERROR(__xludf.DUMMYFUNCTION("""COMPUTED_VALUE"""),"Unknown")</f>
        <v>Unknown</v>
      </c>
      <c r="AA99" s="1" t="str">
        <f>IFERROR(__xludf.DUMMYFUNCTION("""COMPUTED_VALUE"""),"")</f>
        <v/>
      </c>
      <c r="AB99" s="1" t="str">
        <f>IFERROR(__xludf.DUMMYFUNCTION("""COMPUTED_VALUE"""),"")</f>
        <v/>
      </c>
      <c r="AC99" s="1" t="str">
        <f>IFERROR(__xludf.DUMMYFUNCTION("""COMPUTED_VALUE"""),"")</f>
        <v/>
      </c>
      <c r="AD99" s="1" t="str">
        <f>IFERROR(__xludf.DUMMYFUNCTION("""COMPUTED_VALUE"""),"")</f>
        <v/>
      </c>
      <c r="AE99" s="1" t="str">
        <f>IFERROR(__xludf.DUMMYFUNCTION("""COMPUTED_VALUE"""),"")</f>
        <v/>
      </c>
      <c r="AF99" s="1" t="str">
        <f>IFERROR(__xludf.DUMMYFUNCTION("""COMPUTED_VALUE"""),"")</f>
        <v/>
      </c>
      <c r="AG99" s="1" t="str">
        <f>IFERROR(__xludf.DUMMYFUNCTION("""COMPUTED_VALUE"""),"Groton approved a ban on data centers larger than 12,500 ft, blocking the project")</f>
        <v>Groton approved a ban on data centers larger than 12,500 ft, blocking the project</v>
      </c>
      <c r="AH99" s="1" t="str">
        <f>IFERROR(__xludf.DUMMYFUNCTION("""COMPUTED_VALUE"""),"Media Monitoring")</f>
        <v>Media Monitoring</v>
      </c>
      <c r="AI99" s="2" t="str">
        <f>IFERROR(__xludf.DUMMYFUNCTION("""COMPUTED_VALUE"""),"https://www.datacenterdynamics.com/en/news/15gw-data-center-campus-proposed-in-pennsylvania/")</f>
        <v>https://www.datacenterdynamics.com/en/news/15gw-data-center-campus-proposed-in-pennsylvania/</v>
      </c>
      <c r="AJ99" s="2" t="str">
        <f>IFERROR(__xludf.DUMMYFUNCTION("""COMPUTED_VALUE"""),"https://www.datacenterdynamics.com/en/news/groton-ct-blocks-large-scale-data-center-projects-thwarting-ne-edge/")</f>
        <v>https://www.datacenterdynamics.com/en/news/groton-ct-blocks-large-scale-data-center-projects-thwarting-ne-edge/</v>
      </c>
      <c r="AK99" s="1" t="str">
        <f>IFERROR(__xludf.DUMMYFUNCTION("""COMPUTED_VALUE"""),"")</f>
        <v/>
      </c>
      <c r="AL99" s="1" t="str">
        <f>IFERROR(__xludf.DUMMYFUNCTION("""COMPUTED_VALUE"""),"")</f>
        <v/>
      </c>
      <c r="AM99" s="1" t="str">
        <f>IFERROR(__xludf.DUMMYFUNCTION("""COMPUTED_VALUE"""),"")</f>
        <v/>
      </c>
      <c r="AN99" s="1" t="str">
        <f>IFERROR(__xludf.DUMMYFUNCTION("""COMPUTED_VALUE"""),"")</f>
        <v/>
      </c>
      <c r="AO99" s="1" t="str">
        <f>IFERROR(__xludf.DUMMYFUNCTION("""COMPUTED_VALUE"""),"")</f>
        <v/>
      </c>
      <c r="AP99" s="1" t="str">
        <f>IFERROR(__xludf.DUMMYFUNCTION("""COMPUTED_VALUE"""),"")</f>
        <v/>
      </c>
      <c r="AQ99" s="1" t="str">
        <f>IFERROR(__xludf.DUMMYFUNCTION("""COMPUTED_VALUE"""),"07/24/2025")</f>
        <v>07/24/2025</v>
      </c>
      <c r="AR99" s="1" t="str">
        <f>IFERROR(__xludf.DUMMYFUNCTION("""COMPUTED_VALUE"""),"06/29/2026")</f>
        <v>06/29/2026</v>
      </c>
    </row>
    <row r="100">
      <c r="A100" s="1" t="str">
        <f>IFERROR(__xludf.DUMMYFUNCTION("""COMPUTED_VALUE"""),"Starwood Digital Ventures")</f>
        <v>Starwood Digital Ventures</v>
      </c>
      <c r="B100" s="1" t="str">
        <f>IFERROR(__xludf.DUMMYFUNCTION("""COMPUTED_VALUE"""),"Governor Lea Rd")</f>
        <v>Governor Lea Rd</v>
      </c>
      <c r="C100" s="1" t="str">
        <f>IFERROR(__xludf.DUMMYFUNCTION("""COMPUTED_VALUE"""),"New Castle")</f>
        <v>New Castle</v>
      </c>
      <c r="D100" s="1" t="str">
        <f>IFERROR(__xludf.DUMMYFUNCTION("""COMPUTED_VALUE"""),"DE")</f>
        <v>DE</v>
      </c>
      <c r="E100" s="1" t="str">
        <f>IFERROR(__xludf.DUMMYFUNCTION("""COMPUTED_VALUE"""),"19720")</f>
        <v>19720</v>
      </c>
      <c r="F100" s="1" t="str">
        <f>IFERROR(__xludf.DUMMYFUNCTION("""COMPUTED_VALUE"""),"New Castle")</f>
        <v>New Castle</v>
      </c>
      <c r="G100" s="1" t="str">
        <f>IFERROR(__xludf.DUMMYFUNCTION("""COMPUTED_VALUE"""),"39.60745")</f>
        <v>39.60745</v>
      </c>
      <c r="H100" s="1" t="str">
        <f>IFERROR(__xludf.DUMMYFUNCTION("""COMPUTED_VALUE"""),"-75.6397")</f>
        <v>-75.6397</v>
      </c>
      <c r="I100" s="1" t="str">
        <f>IFERROR(__xludf.DUMMYFUNCTION("""COMPUTED_VALUE"""),"Suspended")</f>
        <v>Suspended</v>
      </c>
      <c r="J100" s="1" t="str">
        <f>IFERROR(__xludf.DUMMYFUNCTION("""COMPUTED_VALUE"""),"High")</f>
        <v>High</v>
      </c>
      <c r="K100" s="1" t="str">
        <f>IFERROR(__xludf.DUMMYFUNCTION("""COMPUTED_VALUE"""),"")</f>
        <v/>
      </c>
      <c r="L100" s="1" t="str">
        <f>IFERROR(__xludf.DUMMYFUNCTION("""COMPUTED_VALUE"""),"")</f>
        <v/>
      </c>
      <c r="M100" s="1" t="str">
        <f>IFERROR(__xludf.DUMMYFUNCTION("""COMPUTED_VALUE"""),"")</f>
        <v/>
      </c>
      <c r="N100" s="1" t="str">
        <f>IFERROR(__xludf.DUMMYFUNCTION("""COMPUTED_VALUE"""),"1200")</f>
        <v>1200</v>
      </c>
      <c r="O100" s="1" t="str">
        <f>IFERROR(__xludf.DUMMYFUNCTION("""COMPUTED_VALUE"""),"Mega campus (&gt;1,000 MW)")</f>
        <v>Mega campus (&gt;1,000 MW)</v>
      </c>
      <c r="P100" s="1" t="str">
        <f>IFERROR(__xludf.DUMMYFUNCTION("""COMPUTED_VALUE"""),"Oil/Diesel")</f>
        <v>Oil/Diesel</v>
      </c>
      <c r="Q100" s="1" t="str">
        <f>IFERROR(__xludf.DUMMYFUNCTION("""COMPUTED_VALUE"""),"")</f>
        <v/>
      </c>
      <c r="R100" s="1" t="str">
        <f>IFERROR(__xludf.DUMMYFUNCTION("""COMPUTED_VALUE"""),"516")</f>
        <v>516</v>
      </c>
      <c r="S100" s="1" t="str">
        <f>IFERROR(__xludf.DUMMYFUNCTION("""COMPUTED_VALUE"""),"")</f>
        <v/>
      </c>
      <c r="T100" s="1" t="str">
        <f>IFERROR(__xludf.DUMMYFUNCTION("""COMPUTED_VALUE"""),"")</f>
        <v/>
      </c>
      <c r="U100" s="1" t="str">
        <f>IFERROR(__xludf.DUMMYFUNCTION("""COMPUTED_VALUE"""),"")</f>
        <v/>
      </c>
      <c r="V100" s="1" t="str">
        <f>IFERROR(__xludf.DUMMYFUNCTION("""COMPUTED_VALUE"""),"6,000,000")</f>
        <v>6,000,000</v>
      </c>
      <c r="W100" s="1" t="str">
        <f>IFERROR(__xludf.DUMMYFUNCTION("""COMPUTED_VALUE"""),"570")</f>
        <v>570</v>
      </c>
      <c r="X100" s="1" t="str">
        <f>IFERROR(__xludf.DUMMYFUNCTION("""COMPUTED_VALUE"""),"")</f>
        <v/>
      </c>
      <c r="Y100" s="1" t="str">
        <f>IFERROR(__xludf.DUMMYFUNCTION("""COMPUTED_VALUE"""),"")</f>
        <v/>
      </c>
      <c r="Z100" s="1" t="str">
        <f>IFERROR(__xludf.DUMMYFUNCTION("""COMPUTED_VALUE"""),"Yes")</f>
        <v>Yes</v>
      </c>
      <c r="AA100" s="1" t="str">
        <f>IFERROR(__xludf.DUMMYFUNCTION("""COMPUTED_VALUE"""),"")</f>
        <v/>
      </c>
      <c r="AB100" s="1" t="str">
        <f>IFERROR(__xludf.DUMMYFUNCTION("""COMPUTED_VALUE"""),"")</f>
        <v/>
      </c>
      <c r="AC100" s="1" t="str">
        <f>IFERROR(__xludf.DUMMYFUNCTION("""COMPUTED_VALUE"""),"")</f>
        <v/>
      </c>
      <c r="AD100" s="1" t="str">
        <f>IFERROR(__xludf.DUMMYFUNCTION("""COMPUTED_VALUE"""),"")</f>
        <v/>
      </c>
      <c r="AE100" s="1" t="str">
        <f>IFERROR(__xludf.DUMMYFUNCTION("""COMPUTED_VALUE"""),"")</f>
        <v/>
      </c>
      <c r="AF100" s="1" t="str">
        <f>IFERROR(__xludf.DUMMYFUNCTION("""COMPUTED_VALUE"""),"")</f>
        <v/>
      </c>
      <c r="AG100" s="1" t="str">
        <f>IFERROR(__xludf.DUMMYFUNCTION("""COMPUTED_VALUE"""),"Environmental denial upheld in court ")</f>
        <v>Environmental denial upheld in court </v>
      </c>
      <c r="AH100" s="1" t="str">
        <f>IFERROR(__xludf.DUMMYFUNCTION("""COMPUTED_VALUE"""),"Media Monitoring")</f>
        <v>Media Monitoring</v>
      </c>
      <c r="AI100" s="2" t="str">
        <f>IFERROR(__xludf.DUMMYFUNCTION("""COMPUTED_VALUE"""),"https://www.datacenterdynamics.com/en/news/starwood-files-to-develop-12gw-11-building-data-center-campus-in-delaware/")</f>
        <v>https://www.datacenterdynamics.com/en/news/starwood-files-to-develop-12gw-11-building-data-center-campus-in-delaware/</v>
      </c>
      <c r="AJ100" s="2" t="str">
        <f>IFERROR(__xludf.DUMMYFUNCTION("""COMPUTED_VALUE"""),"https://www.delawareonline.com/story/money/business/2025/07/17/data-center-new-castle-county-delaware/85239325007/")</f>
        <v>https://www.delawareonline.com/story/money/business/2025/07/17/data-center-new-castle-county-delaware/85239325007/</v>
      </c>
      <c r="AK100" s="2" t="str">
        <f>IFERROR(__xludf.DUMMYFUNCTION("""COMPUTED_VALUE"""),"https://www.datacenterdynamics.com/en/news/applicant-appeals-data-center-rejection-in-delaware/")</f>
        <v>https://www.datacenterdynamics.com/en/news/applicant-appeals-data-center-rejection-in-delaware/</v>
      </c>
      <c r="AL100" s="2" t="str">
        <f>IFERROR(__xludf.DUMMYFUNCTION("""COMPUTED_VALUE"""),"https://whyy.org/articles/delaware-city-data-center-setback-environment")</f>
        <v>https://whyy.org/articles/delaware-city-data-center-setback-environment</v>
      </c>
      <c r="AM100" s="2" t="str">
        <f>IFERROR(__xludf.DUMMYFUNCTION("""COMPUTED_VALUE"""),"https://spotlightdelaware.org/2026/03/26/delaware-city-data-center-environmental-denial-upheld-by-state-board/")</f>
        <v>https://spotlightdelaware.org/2026/03/26/delaware-city-data-center-environmental-denial-upheld-by-state-board/</v>
      </c>
      <c r="AN100" s="1" t="str">
        <f>IFERROR(__xludf.DUMMYFUNCTION("""COMPUTED_VALUE"""),"")</f>
        <v/>
      </c>
      <c r="AO100" s="1" t="str">
        <f>IFERROR(__xludf.DUMMYFUNCTION("""COMPUTED_VALUE"""),"")</f>
        <v/>
      </c>
      <c r="AP100" s="1" t="str">
        <f>IFERROR(__xludf.DUMMYFUNCTION("""COMPUTED_VALUE"""),"")</f>
        <v/>
      </c>
      <c r="AQ100" s="1" t="str">
        <f>IFERROR(__xludf.DUMMYFUNCTION("""COMPUTED_VALUE"""),"07/15/2025")</f>
        <v>07/15/2025</v>
      </c>
      <c r="AR100" s="1" t="str">
        <f>IFERROR(__xludf.DUMMYFUNCTION("""COMPUTED_VALUE"""),"03/31/2026")</f>
        <v>03/31/2026</v>
      </c>
    </row>
    <row r="101">
      <c r="A101" s="1" t="str">
        <f>IFERROR(__xludf.DUMMYFUNCTION("""COMPUTED_VALUE"""),"Fort Meade Data Center")</f>
        <v>Fort Meade Data Center</v>
      </c>
      <c r="B101" s="1" t="str">
        <f>IFERROR(__xludf.DUMMYFUNCTION("""COMPUTED_VALUE"""),"Co Rd 700")</f>
        <v>Co Rd 700</v>
      </c>
      <c r="C101" s="1" t="str">
        <f>IFERROR(__xludf.DUMMYFUNCTION("""COMPUTED_VALUE"""),"Fort Meade")</f>
        <v>Fort Meade</v>
      </c>
      <c r="D101" s="1" t="str">
        <f>IFERROR(__xludf.DUMMYFUNCTION("""COMPUTED_VALUE"""),"FL")</f>
        <v>FL</v>
      </c>
      <c r="E101" s="1" t="str">
        <f>IFERROR(__xludf.DUMMYFUNCTION("""COMPUTED_VALUE"""),"33841")</f>
        <v>33841</v>
      </c>
      <c r="F101" s="1" t="str">
        <f>IFERROR(__xludf.DUMMYFUNCTION("""COMPUTED_VALUE"""),"Polk")</f>
        <v>Polk</v>
      </c>
      <c r="G101" s="1" t="str">
        <f>IFERROR(__xludf.DUMMYFUNCTION("""COMPUTED_VALUE"""),"27.79178")</f>
        <v>27.79178</v>
      </c>
      <c r="H101" s="1" t="str">
        <f>IFERROR(__xludf.DUMMYFUNCTION("""COMPUTED_VALUE"""),"-81.8185")</f>
        <v>-81.8185</v>
      </c>
      <c r="I101" s="1" t="str">
        <f>IFERROR(__xludf.DUMMYFUNCTION("""COMPUTED_VALUE"""),"Approved/Permitted/Under construction")</f>
        <v>Approved/Permitted/Under construction</v>
      </c>
      <c r="J101" s="1" t="str">
        <f>IFERROR(__xludf.DUMMYFUNCTION("""COMPUTED_VALUE"""),"Medium")</f>
        <v>Medium</v>
      </c>
      <c r="K101" s="1" t="str">
        <f>IFERROR(__xludf.DUMMYFUNCTION("""COMPUTED_VALUE"""),"")</f>
        <v/>
      </c>
      <c r="L101" s="1" t="str">
        <f>IFERROR(__xludf.DUMMYFUNCTION("""COMPUTED_VALUE"""),"")</f>
        <v/>
      </c>
      <c r="M101" s="1" t="str">
        <f>IFERROR(__xludf.DUMMYFUNCTION("""COMPUTED_VALUE"""),"")</f>
        <v/>
      </c>
      <c r="N101" s="1" t="str">
        <f>IFERROR(__xludf.DUMMYFUNCTION("""COMPUTED_VALUE"""),"")</f>
        <v/>
      </c>
      <c r="O101" s="1" t="str">
        <f>IFERROR(__xludf.DUMMYFUNCTION("""COMPUTED_VALUE"""),"Unknown")</f>
        <v>Unknown</v>
      </c>
      <c r="P101" s="1" t="str">
        <f>IFERROR(__xludf.DUMMYFUNCTION("""COMPUTED_VALUE"""),"")</f>
        <v/>
      </c>
      <c r="Q101" s="1" t="str">
        <f>IFERROR(__xludf.DUMMYFUNCTION("""COMPUTED_VALUE"""),"")</f>
        <v/>
      </c>
      <c r="R101" s="1" t="str">
        <f>IFERROR(__xludf.DUMMYFUNCTION("""COMPUTED_VALUE"""),"")</f>
        <v/>
      </c>
      <c r="S101" s="1" t="str">
        <f>IFERROR(__xludf.DUMMYFUNCTION("""COMPUTED_VALUE"""),"")</f>
        <v/>
      </c>
      <c r="T101" s="1" t="str">
        <f>IFERROR(__xludf.DUMMYFUNCTION("""COMPUTED_VALUE"""),"")</f>
        <v/>
      </c>
      <c r="U101" s="1" t="str">
        <f>IFERROR(__xludf.DUMMYFUNCTION("""COMPUTED_VALUE"""),"")</f>
        <v/>
      </c>
      <c r="V101" s="1" t="str">
        <f>IFERROR(__xludf.DUMMYFUNCTION("""COMPUTED_VALUE"""),"4,400,000")</f>
        <v>4,400,000</v>
      </c>
      <c r="W101" s="1" t="str">
        <f>IFERROR(__xludf.DUMMYFUNCTION("""COMPUTED_VALUE"""),"1163")</f>
        <v>1163</v>
      </c>
      <c r="X101" s="1" t="str">
        <f>IFERROR(__xludf.DUMMYFUNCTION("""COMPUTED_VALUE"""),"")</f>
        <v/>
      </c>
      <c r="Y101" s="1" t="str">
        <f>IFERROR(__xludf.DUMMYFUNCTION("""COMPUTED_VALUE"""),"")</f>
        <v/>
      </c>
      <c r="Z101" s="1" t="str">
        <f>IFERROR(__xludf.DUMMYFUNCTION("""COMPUTED_VALUE"""),"Yes")</f>
        <v>Yes</v>
      </c>
      <c r="AA101" s="1" t="str">
        <f>IFERROR(__xludf.DUMMYFUNCTION("""COMPUTED_VALUE"""),"")</f>
        <v/>
      </c>
      <c r="AB101" s="1" t="str">
        <f>IFERROR(__xludf.DUMMYFUNCTION("""COMPUTED_VALUE"""),"Organized Advocacy")</f>
        <v>Organized Advocacy</v>
      </c>
      <c r="AC101" s="1" t="str">
        <f>IFERROR(__xludf.DUMMYFUNCTION("""COMPUTED_VALUE"""),"")</f>
        <v/>
      </c>
      <c r="AD101" s="2" t="str">
        <f>IFERROR(__xludf.DUMMYFUNCTION("""COMPUTED_VALUE"""),"https://watchdogsoffortmeade.com/")</f>
        <v>https://watchdogsoffortmeade.com/</v>
      </c>
      <c r="AE101" s="2" t="str">
        <f>IFERROR(__xludf.DUMMYFUNCTION("""COMPUTED_VALUE"""),"https://www.facebook.com/groups/1397482882419331/")</f>
        <v>https://www.facebook.com/groups/1397482882419331/</v>
      </c>
      <c r="AF101" s="1" t="str">
        <f>IFERROR(__xludf.DUMMYFUNCTION("""COMPUTED_VALUE"""),"")</f>
        <v/>
      </c>
      <c r="AG101" s="1" t="str">
        <f>IFERROR(__xludf.DUMMYFUNCTION("""COMPUTED_VALUE"""),"")</f>
        <v/>
      </c>
      <c r="AH101" s="1" t="str">
        <f>IFERROR(__xludf.DUMMYFUNCTION("""COMPUTED_VALUE"""),"Media Monitoring")</f>
        <v>Media Monitoring</v>
      </c>
      <c r="AI101" s="2" t="str">
        <f>IFERROR(__xludf.DUMMYFUNCTION("""COMPUTED_VALUE"""),"https://www.datacenterdynamics.com/en/news/44-million-sq-ft-data-center-campus-gets-zoning-approval-in-fort-meade-florida/")</f>
        <v>https://www.datacenterdynamics.com/en/news/44-million-sq-ft-data-center-campus-gets-zoning-approval-in-fort-meade-florida/</v>
      </c>
      <c r="AJ101" s="2" t="str">
        <f>IFERROR(__xludf.DUMMYFUNCTION("""COMPUTED_VALUE"""),"https://www.datacenterdynamics.com/en/news/plans-to-build-1300-acre-data-center-in-fort-meade-florida-gets-go-ahead-from-officials/")</f>
        <v>https://www.datacenterdynamics.com/en/news/plans-to-build-1300-acre-data-center-in-fort-meade-florida-gets-go-ahead-from-officials/</v>
      </c>
      <c r="AK101" s="1" t="str">
        <f>IFERROR(__xludf.DUMMYFUNCTION("""COMPUTED_VALUE"""),"")</f>
        <v/>
      </c>
      <c r="AL101" s="1" t="str">
        <f>IFERROR(__xludf.DUMMYFUNCTION("""COMPUTED_VALUE"""),"")</f>
        <v/>
      </c>
      <c r="AM101" s="1" t="str">
        <f>IFERROR(__xludf.DUMMYFUNCTION("""COMPUTED_VALUE"""),"")</f>
        <v/>
      </c>
      <c r="AN101" s="1" t="str">
        <f>IFERROR(__xludf.DUMMYFUNCTION("""COMPUTED_VALUE"""),"")</f>
        <v/>
      </c>
      <c r="AO101" s="1" t="str">
        <f>IFERROR(__xludf.DUMMYFUNCTION("""COMPUTED_VALUE"""),"")</f>
        <v/>
      </c>
      <c r="AP101" s="1" t="str">
        <f>IFERROR(__xludf.DUMMYFUNCTION("""COMPUTED_VALUE"""),"")</f>
        <v/>
      </c>
      <c r="AQ101" s="1" t="str">
        <f>IFERROR(__xludf.DUMMYFUNCTION("""COMPUTED_VALUE"""),"06/21/2025")</f>
        <v>06/21/2025</v>
      </c>
      <c r="AR101" s="1" t="str">
        <f>IFERROR(__xludf.DUMMYFUNCTION("""COMPUTED_VALUE"""),"05/19/2026")</f>
        <v>05/19/2026</v>
      </c>
    </row>
    <row r="102">
      <c r="A102" s="1" t="str">
        <f>IFERROR(__xludf.DUMMYFUNCTION("""COMPUTED_VALUE"""),"Sentinel Grove Technology Park/ Project Jarvis")</f>
        <v>Sentinel Grove Technology Park/ Project Jarvis</v>
      </c>
      <c r="B102" s="1" t="str">
        <f>IFERROR(__xludf.DUMMYFUNCTION("""COMPUTED_VALUE"""),"Minute Maid Rd &amp; Orange Ave")</f>
        <v>Minute Maid Rd &amp; Orange Ave</v>
      </c>
      <c r="C102" s="1" t="str">
        <f>IFERROR(__xludf.DUMMYFUNCTION("""COMPUTED_VALUE"""),"Fort Pierce")</f>
        <v>Fort Pierce</v>
      </c>
      <c r="D102" s="1" t="str">
        <f>IFERROR(__xludf.DUMMYFUNCTION("""COMPUTED_VALUE"""),"FL")</f>
        <v>FL</v>
      </c>
      <c r="E102" s="1" t="str">
        <f>IFERROR(__xludf.DUMMYFUNCTION("""COMPUTED_VALUE"""),"34945")</f>
        <v>34945</v>
      </c>
      <c r="F102" s="1" t="str">
        <f>IFERROR(__xludf.DUMMYFUNCTION("""COMPUTED_VALUE"""),"St Lucie")</f>
        <v>St Lucie</v>
      </c>
      <c r="G102" s="1" t="str">
        <f>IFERROR(__xludf.DUMMYFUNCTION("""COMPUTED_VALUE"""),"27.45444")</f>
        <v>27.45444</v>
      </c>
      <c r="H102" s="1" t="str">
        <f>IFERROR(__xludf.DUMMYFUNCTION("""COMPUTED_VALUE"""),"-80.55799")</f>
        <v>-80.55799</v>
      </c>
      <c r="I102" s="1" t="str">
        <f>IFERROR(__xludf.DUMMYFUNCTION("""COMPUTED_VALUE"""),"Suspended")</f>
        <v>Suspended</v>
      </c>
      <c r="J102" s="1" t="str">
        <f>IFERROR(__xludf.DUMMYFUNCTION("""COMPUTED_VALUE"""),"High")</f>
        <v>High</v>
      </c>
      <c r="K102" s="1" t="str">
        <f>IFERROR(__xludf.DUMMYFUNCTION("""COMPUTED_VALUE"""),"")</f>
        <v/>
      </c>
      <c r="L102" s="1" t="str">
        <f>IFERROR(__xludf.DUMMYFUNCTION("""COMPUTED_VALUE"""),"")</f>
        <v/>
      </c>
      <c r="M102" s="1" t="str">
        <f>IFERROR(__xludf.DUMMYFUNCTION("""COMPUTED_VALUE"""),"")</f>
        <v/>
      </c>
      <c r="N102" s="1" t="str">
        <f>IFERROR(__xludf.DUMMYFUNCTION("""COMPUTED_VALUE"""),"1000")</f>
        <v>1000</v>
      </c>
      <c r="O102" s="1" t="str">
        <f>IFERROR(__xludf.DUMMYFUNCTION("""COMPUTED_VALUE"""),"Mega campus (&gt;1,000 MW)")</f>
        <v>Mega campus (&gt;1,000 MW)</v>
      </c>
      <c r="P102" s="1" t="str">
        <f>IFERROR(__xludf.DUMMYFUNCTION("""COMPUTED_VALUE"""),"")</f>
        <v/>
      </c>
      <c r="Q102" s="1" t="str">
        <f>IFERROR(__xludf.DUMMYFUNCTION("""COMPUTED_VALUE"""),"")</f>
        <v/>
      </c>
      <c r="R102" s="1" t="str">
        <f>IFERROR(__xludf.DUMMYFUNCTION("""COMPUTED_VALUE"""),"")</f>
        <v/>
      </c>
      <c r="S102" s="1" t="str">
        <f>IFERROR(__xludf.DUMMYFUNCTION("""COMPUTED_VALUE"""),"")</f>
        <v/>
      </c>
      <c r="T102" s="1" t="str">
        <f>IFERROR(__xludf.DUMMYFUNCTION("""COMPUTED_VALUE"""),"")</f>
        <v/>
      </c>
      <c r="U102" s="1" t="str">
        <f>IFERROR(__xludf.DUMMYFUNCTION("""COMPUTED_VALUE"""),"")</f>
        <v/>
      </c>
      <c r="V102" s="1" t="str">
        <f>IFERROR(__xludf.DUMMYFUNCTION("""COMPUTED_VALUE"""),"15,000,000")</f>
        <v>15,000,000</v>
      </c>
      <c r="W102" s="1" t="str">
        <f>IFERROR(__xludf.DUMMYFUNCTION("""COMPUTED_VALUE"""),"1218")</f>
        <v>1218</v>
      </c>
      <c r="X102" s="1" t="str">
        <f>IFERROR(__xludf.DUMMYFUNCTION("""COMPUTED_VALUE"""),"")</f>
        <v/>
      </c>
      <c r="Y102" s="1" t="str">
        <f>IFERROR(__xludf.DUMMYFUNCTION("""COMPUTED_VALUE"""),"")</f>
        <v/>
      </c>
      <c r="Z102" s="1" t="str">
        <f>IFERROR(__xludf.DUMMYFUNCTION("""COMPUTED_VALUE"""),"Unknown")</f>
        <v>Unknown</v>
      </c>
      <c r="AA102" s="1" t="str">
        <f>IFERROR(__xludf.DUMMYFUNCTION("""COMPUTED_VALUE"""),"")</f>
        <v/>
      </c>
      <c r="AB102" s="1" t="str">
        <f>IFERROR(__xludf.DUMMYFUNCTION("""COMPUTED_VALUE"""),"")</f>
        <v/>
      </c>
      <c r="AC102" s="1" t="str">
        <f>IFERROR(__xludf.DUMMYFUNCTION("""COMPUTED_VALUE"""),"")</f>
        <v/>
      </c>
      <c r="AD102" s="1" t="str">
        <f>IFERROR(__xludf.DUMMYFUNCTION("""COMPUTED_VALUE"""),"")</f>
        <v/>
      </c>
      <c r="AE102" s="1" t="str">
        <f>IFERROR(__xludf.DUMMYFUNCTION("""COMPUTED_VALUE"""),"")</f>
        <v/>
      </c>
      <c r="AF102" s="1" t="str">
        <f>IFERROR(__xludf.DUMMYFUNCTION("""COMPUTED_VALUE"""),"")</f>
        <v/>
      </c>
      <c r="AG102" s="1" t="str">
        <f>IFERROR(__xludf.DUMMYFUNCTION("""COMPUTED_VALUE"""),"Voted down by planning and zoning commission, 4-2. dThe land is still owned by the same investor, so a revised proposal in the future remains possible. July 2026, project held back due to lack of water.")</f>
        <v>Voted down by planning and zoning commission, 4-2. dThe land is still owned by the same investor, so a revised proposal in the future remains possible. July 2026, project held back due to lack of water.</v>
      </c>
      <c r="AH102" s="1" t="str">
        <f>IFERROR(__xludf.DUMMYFUNCTION("""COMPUTED_VALUE"""),"Media Monitoring")</f>
        <v>Media Monitoring</v>
      </c>
      <c r="AI102" s="2" t="str">
        <f>IFERROR(__xludf.DUMMYFUNCTION("""COMPUTED_VALUE"""),"https://www.datacenterdynamics.com/en/news/officials-fail-to-back-plans-for-1gw-data-center-campus-in-florida/")</f>
        <v>https://www.datacenterdynamics.com/en/news/officials-fail-to-back-plans-for-1gw-data-center-campus-in-florida/</v>
      </c>
      <c r="AJ102" s="2" t="str">
        <f>IFERROR(__xludf.DUMMYFUNCTION("""COMPUTED_VALUE"""),"https://www.tcpalm.com/story/news/local/st-lucie-county/2025/10/23/13-billion-data-center-largest-in-florida-planned-on-treasure-coast/86770609007")</f>
        <v>https://www.tcpalm.com/story/news/local/st-lucie-county/2025/10/23/13-billion-data-center-largest-in-florida-planned-on-treasure-coast/86770609007</v>
      </c>
      <c r="AK102" s="2" t="str">
        <f>IFERROR(__xludf.DUMMYFUNCTION("""COMPUTED_VALUE"""),"https://www.datacenterdynamics.com/en/news/data-center-developer-withdraws-application-in-florida-in-response-to-proposed-regulations/")</f>
        <v>https://www.datacenterdynamics.com/en/news/data-center-developer-withdraws-application-in-florida-in-response-to-proposed-regulations/</v>
      </c>
      <c r="AL102" s="1" t="str">
        <f>IFERROR(__xludf.DUMMYFUNCTION("""COMPUTED_VALUE"""),"")</f>
        <v/>
      </c>
      <c r="AM102" s="1" t="str">
        <f>IFERROR(__xludf.DUMMYFUNCTION("""COMPUTED_VALUE"""),"")</f>
        <v/>
      </c>
      <c r="AN102" s="1" t="str">
        <f>IFERROR(__xludf.DUMMYFUNCTION("""COMPUTED_VALUE"""),"")</f>
        <v/>
      </c>
      <c r="AO102" s="1" t="str">
        <f>IFERROR(__xludf.DUMMYFUNCTION("""COMPUTED_VALUE"""),"")</f>
        <v/>
      </c>
      <c r="AP102" s="1" t="str">
        <f>IFERROR(__xludf.DUMMYFUNCTION("""COMPUTED_VALUE"""),"")</f>
        <v/>
      </c>
      <c r="AQ102" s="1" t="str">
        <f>IFERROR(__xludf.DUMMYFUNCTION("""COMPUTED_VALUE"""),"11/16/2025")</f>
        <v>11/16/2025</v>
      </c>
      <c r="AR102" s="1" t="str">
        <f>IFERROR(__xludf.DUMMYFUNCTION("""COMPUTED_VALUE"""),"03/04/2026")</f>
        <v>03/04/2026</v>
      </c>
    </row>
    <row r="103">
      <c r="A103" s="1" t="str">
        <f>IFERROR(__xludf.DUMMYFUNCTION("""COMPUTED_VALUE"""),"Cielo Digital Infrastructure")</f>
        <v>Cielo Digital Infrastructure</v>
      </c>
      <c r="B103" s="1" t="str">
        <f>IFERROR(__xludf.DUMMYFUNCTION("""COMPUTED_VALUE"""),"Marion Rd")</f>
        <v>Marion Rd</v>
      </c>
      <c r="C103" s="1" t="str">
        <f>IFERROR(__xludf.DUMMYFUNCTION("""COMPUTED_VALUE"""),"Haines City")</f>
        <v>Haines City</v>
      </c>
      <c r="D103" s="1" t="str">
        <f>IFERROR(__xludf.DUMMYFUNCTION("""COMPUTED_VALUE"""),"FL")</f>
        <v>FL</v>
      </c>
      <c r="E103" s="1" t="str">
        <f>IFERROR(__xludf.DUMMYFUNCTION("""COMPUTED_VALUE"""),"33844")</f>
        <v>33844</v>
      </c>
      <c r="F103" s="1" t="str">
        <f>IFERROR(__xludf.DUMMYFUNCTION("""COMPUTED_VALUE"""),"Polk")</f>
        <v>Polk</v>
      </c>
      <c r="G103" s="1" t="str">
        <f>IFERROR(__xludf.DUMMYFUNCTION("""COMPUTED_VALUE"""),"28.077297")</f>
        <v>28.077297</v>
      </c>
      <c r="H103" s="1" t="str">
        <f>IFERROR(__xludf.DUMMYFUNCTION("""COMPUTED_VALUE"""),"-81.57323")</f>
        <v>-81.57323</v>
      </c>
      <c r="I103" s="1" t="str">
        <f>IFERROR(__xludf.DUMMYFUNCTION("""COMPUTED_VALUE"""),"Suspended")</f>
        <v>Suspended</v>
      </c>
      <c r="J103" s="1" t="str">
        <f>IFERROR(__xludf.DUMMYFUNCTION("""COMPUTED_VALUE"""),"Medium")</f>
        <v>Medium</v>
      </c>
      <c r="K103" s="1" t="str">
        <f>IFERROR(__xludf.DUMMYFUNCTION("""COMPUTED_VALUE"""),"")</f>
        <v/>
      </c>
      <c r="L103" s="1" t="str">
        <f>IFERROR(__xludf.DUMMYFUNCTION("""COMPUTED_VALUE"""),"")</f>
        <v/>
      </c>
      <c r="M103" s="1" t="str">
        <f>IFERROR(__xludf.DUMMYFUNCTION("""COMPUTED_VALUE"""),"")</f>
        <v/>
      </c>
      <c r="N103" s="1" t="str">
        <f>IFERROR(__xludf.DUMMYFUNCTION("""COMPUTED_VALUE"""),"300")</f>
        <v>300</v>
      </c>
      <c r="O103" s="1" t="str">
        <f>IFERROR(__xludf.DUMMYFUNCTION("""COMPUTED_VALUE"""),"Hyperscale (100-999 MW)")</f>
        <v>Hyperscale (100-999 MW)</v>
      </c>
      <c r="P103" s="1" t="str">
        <f>IFERROR(__xludf.DUMMYFUNCTION("""COMPUTED_VALUE"""),"")</f>
        <v/>
      </c>
      <c r="Q103" s="1" t="str">
        <f>IFERROR(__xludf.DUMMYFUNCTION("""COMPUTED_VALUE"""),"")</f>
        <v/>
      </c>
      <c r="R103" s="1" t="str">
        <f>IFERROR(__xludf.DUMMYFUNCTION("""COMPUTED_VALUE"""),"")</f>
        <v/>
      </c>
      <c r="S103" s="1" t="str">
        <f>IFERROR(__xludf.DUMMYFUNCTION("""COMPUTED_VALUE"""),"")</f>
        <v/>
      </c>
      <c r="T103" s="1" t="str">
        <f>IFERROR(__xludf.DUMMYFUNCTION("""COMPUTED_VALUE"""),"")</f>
        <v/>
      </c>
      <c r="U103" s="1" t="str">
        <f>IFERROR(__xludf.DUMMYFUNCTION("""COMPUTED_VALUE"""),"")</f>
        <v/>
      </c>
      <c r="V103" s="1" t="str">
        <f>IFERROR(__xludf.DUMMYFUNCTION("""COMPUTED_VALUE"""),"")</f>
        <v/>
      </c>
      <c r="W103" s="1" t="str">
        <f>IFERROR(__xludf.DUMMYFUNCTION("""COMPUTED_VALUE"""),"74")</f>
        <v>74</v>
      </c>
      <c r="X103" s="1" t="str">
        <f>IFERROR(__xludf.DUMMYFUNCTION("""COMPUTED_VALUE"""),"")</f>
        <v/>
      </c>
      <c r="Y103" s="1" t="str">
        <f>IFERROR(__xludf.DUMMYFUNCTION("""COMPUTED_VALUE"""),"")</f>
        <v/>
      </c>
      <c r="Z103" s="1" t="str">
        <f>IFERROR(__xludf.DUMMYFUNCTION("""COMPUTED_VALUE"""),"Unknown")</f>
        <v>Unknown</v>
      </c>
      <c r="AA103" s="1" t="str">
        <f>IFERROR(__xludf.DUMMYFUNCTION("""COMPUTED_VALUE"""),"")</f>
        <v/>
      </c>
      <c r="AB103" s="1" t="str">
        <f>IFERROR(__xludf.DUMMYFUNCTION("""COMPUTED_VALUE"""),"")</f>
        <v/>
      </c>
      <c r="AC103" s="1" t="str">
        <f>IFERROR(__xludf.DUMMYFUNCTION("""COMPUTED_VALUE"""),"")</f>
        <v/>
      </c>
      <c r="AD103" s="1" t="str">
        <f>IFERROR(__xludf.DUMMYFUNCTION("""COMPUTED_VALUE"""),"")</f>
        <v/>
      </c>
      <c r="AE103" s="1" t="str">
        <f>IFERROR(__xludf.DUMMYFUNCTION("""COMPUTED_VALUE"""),"")</f>
        <v/>
      </c>
      <c r="AF103" s="1" t="str">
        <f>IFERROR(__xludf.DUMMYFUNCTION("""COMPUTED_VALUE"""),"")</f>
        <v/>
      </c>
      <c r="AG103" s="1" t="str">
        <f>IFERROR(__xludf.DUMMYFUNCTION("""COMPUTED_VALUE"""),"")</f>
        <v/>
      </c>
      <c r="AH103" s="1" t="str">
        <f>IFERROR(__xludf.DUMMYFUNCTION("""COMPUTED_VALUE"""),"Media Monitoring")</f>
        <v>Media Monitoring</v>
      </c>
      <c r="AI103" s="2" t="str">
        <f>IFERROR(__xludf.DUMMYFUNCTION("""COMPUTED_VALUE"""),"https://www.datacenterdynamics.com/en/news/cielo-digital-infrastructure-plans-300mw-data-center-campus-in-south-carolina/")</f>
        <v>https://www.datacenterdynamics.com/en/news/cielo-digital-infrastructure-plans-300mw-data-center-campus-in-south-carolina/</v>
      </c>
      <c r="AJ103" s="2" t="str">
        <f>IFERROR(__xludf.DUMMYFUNCTION("""COMPUTED_VALUE"""),"https://www.datacenterdynamics.com/en/news/planned-data-center-in-florida-held-back-by-lack-of-available-water-from-city/")</f>
        <v>https://www.datacenterdynamics.com/en/news/planned-data-center-in-florida-held-back-by-lack-of-available-water-from-city/</v>
      </c>
      <c r="AK103" s="1" t="str">
        <f>IFERROR(__xludf.DUMMYFUNCTION("""COMPUTED_VALUE"""),"")</f>
        <v/>
      </c>
      <c r="AL103" s="1" t="str">
        <f>IFERROR(__xludf.DUMMYFUNCTION("""COMPUTED_VALUE"""),"")</f>
        <v/>
      </c>
      <c r="AM103" s="1" t="str">
        <f>IFERROR(__xludf.DUMMYFUNCTION("""COMPUTED_VALUE"""),"")</f>
        <v/>
      </c>
      <c r="AN103" s="1" t="str">
        <f>IFERROR(__xludf.DUMMYFUNCTION("""COMPUTED_VALUE"""),"")</f>
        <v/>
      </c>
      <c r="AO103" s="1" t="str">
        <f>IFERROR(__xludf.DUMMYFUNCTION("""COMPUTED_VALUE"""),"")</f>
        <v/>
      </c>
      <c r="AP103" s="1" t="str">
        <f>IFERROR(__xludf.DUMMYFUNCTION("""COMPUTED_VALUE"""),"")</f>
        <v/>
      </c>
      <c r="AQ103" s="1" t="str">
        <f>IFERROR(__xludf.DUMMYFUNCTION("""COMPUTED_VALUE"""),"06/24/2025")</f>
        <v>06/24/2025</v>
      </c>
      <c r="AR103" s="1" t="str">
        <f>IFERROR(__xludf.DUMMYFUNCTION("""COMPUTED_VALUE"""),"07/18/2026")</f>
        <v>07/18/2026</v>
      </c>
    </row>
    <row r="104">
      <c r="A104" s="1" t="str">
        <f>IFERROR(__xludf.DUMMYFUNCTION("""COMPUTED_VALUE"""),"Hernando Deltona Data Center")</f>
        <v>Hernando Deltona Data Center</v>
      </c>
      <c r="B104" s="1" t="str">
        <f>IFERROR(__xludf.DUMMYFUNCTION("""COMPUTED_VALUE"""),"between N Lecanto Hwy and N Florida Ave")</f>
        <v>between N Lecanto Hwy and N Florida Ave</v>
      </c>
      <c r="C104" s="1" t="str">
        <f>IFERROR(__xludf.DUMMYFUNCTION("""COMPUTED_VALUE"""),"Hernando")</f>
        <v>Hernando</v>
      </c>
      <c r="D104" s="1" t="str">
        <f>IFERROR(__xludf.DUMMYFUNCTION("""COMPUTED_VALUE"""),"FL")</f>
        <v>FL</v>
      </c>
      <c r="E104" s="1" t="str">
        <f>IFERROR(__xludf.DUMMYFUNCTION("""COMPUTED_VALUE"""),"34442")</f>
        <v>34442</v>
      </c>
      <c r="F104" s="1" t="str">
        <f>IFERROR(__xludf.DUMMYFUNCTION("""COMPUTED_VALUE"""),"Citrus")</f>
        <v>Citrus</v>
      </c>
      <c r="G104" s="1" t="str">
        <f>IFERROR(__xludf.DUMMYFUNCTION("""COMPUTED_VALUE"""),"28.954117")</f>
        <v>28.954117</v>
      </c>
      <c r="H104" s="1" t="str">
        <f>IFERROR(__xludf.DUMMYFUNCTION("""COMPUTED_VALUE"""),"-82.405014")</f>
        <v>-82.405014</v>
      </c>
      <c r="I104" s="1" t="str">
        <f>IFERROR(__xludf.DUMMYFUNCTION("""COMPUTED_VALUE"""),"Cancelled")</f>
        <v>Cancelled</v>
      </c>
      <c r="J104" s="1" t="str">
        <f>IFERROR(__xludf.DUMMYFUNCTION("""COMPUTED_VALUE"""),"High")</f>
        <v>High</v>
      </c>
      <c r="K104" s="1" t="str">
        <f>IFERROR(__xludf.DUMMYFUNCTION("""COMPUTED_VALUE"""),"")</f>
        <v/>
      </c>
      <c r="L104" s="1" t="str">
        <f>IFERROR(__xludf.DUMMYFUNCTION("""COMPUTED_VALUE"""),"Deltona Corp.")</f>
        <v>Deltona Corp.</v>
      </c>
      <c r="M104" s="1" t="str">
        <f>IFERROR(__xludf.DUMMYFUNCTION("""COMPUTED_VALUE"""),"")</f>
        <v/>
      </c>
      <c r="N104" s="1" t="str">
        <f>IFERROR(__xludf.DUMMYFUNCTION("""COMPUTED_VALUE"""),"")</f>
        <v/>
      </c>
      <c r="O104" s="1" t="str">
        <f>IFERROR(__xludf.DUMMYFUNCTION("""COMPUTED_VALUE"""),"Unknown")</f>
        <v>Unknown</v>
      </c>
      <c r="P104" s="1" t="str">
        <f>IFERROR(__xludf.DUMMYFUNCTION("""COMPUTED_VALUE"""),"")</f>
        <v/>
      </c>
      <c r="Q104" s="1" t="str">
        <f>IFERROR(__xludf.DUMMYFUNCTION("""COMPUTED_VALUE"""),"")</f>
        <v/>
      </c>
      <c r="R104" s="1" t="str">
        <f>IFERROR(__xludf.DUMMYFUNCTION("""COMPUTED_VALUE"""),"")</f>
        <v/>
      </c>
      <c r="S104" s="1" t="str">
        <f>IFERROR(__xludf.DUMMYFUNCTION("""COMPUTED_VALUE"""),"")</f>
        <v/>
      </c>
      <c r="T104" s="1" t="str">
        <f>IFERROR(__xludf.DUMMYFUNCTION("""COMPUTED_VALUE"""),"")</f>
        <v/>
      </c>
      <c r="U104" s="1" t="str">
        <f>IFERROR(__xludf.DUMMYFUNCTION("""COMPUTED_VALUE"""),"")</f>
        <v/>
      </c>
      <c r="V104" s="1" t="str">
        <f>IFERROR(__xludf.DUMMYFUNCTION("""COMPUTED_VALUE"""),"")</f>
        <v/>
      </c>
      <c r="W104" s="1" t="str">
        <f>IFERROR(__xludf.DUMMYFUNCTION("""COMPUTED_VALUE"""),"1400")</f>
        <v>1400</v>
      </c>
      <c r="X104" s="1" t="str">
        <f>IFERROR(__xludf.DUMMYFUNCTION("""COMPUTED_VALUE"""),"")</f>
        <v/>
      </c>
      <c r="Y104" s="1" t="str">
        <f>IFERROR(__xludf.DUMMYFUNCTION("""COMPUTED_VALUE"""),"")</f>
        <v/>
      </c>
      <c r="Z104" s="1" t="str">
        <f>IFERROR(__xludf.DUMMYFUNCTION("""COMPUTED_VALUE"""),"Unknown")</f>
        <v>Unknown</v>
      </c>
      <c r="AA104" s="1" t="str">
        <f>IFERROR(__xludf.DUMMYFUNCTION("""COMPUTED_VALUE"""),"")</f>
        <v/>
      </c>
      <c r="AB104" s="1" t="str">
        <f>IFERROR(__xludf.DUMMYFUNCTION("""COMPUTED_VALUE"""),"")</f>
        <v/>
      </c>
      <c r="AC104" s="1" t="str">
        <f>IFERROR(__xludf.DUMMYFUNCTION("""COMPUTED_VALUE"""),"")</f>
        <v/>
      </c>
      <c r="AD104" s="1" t="str">
        <f>IFERROR(__xludf.DUMMYFUNCTION("""COMPUTED_VALUE"""),"")</f>
        <v/>
      </c>
      <c r="AE104" s="1" t="str">
        <f>IFERROR(__xludf.DUMMYFUNCTION("""COMPUTED_VALUE"""),"")</f>
        <v/>
      </c>
      <c r="AF104" s="1" t="str">
        <f>IFERROR(__xludf.DUMMYFUNCTION("""COMPUTED_VALUE"""),"")</f>
        <v/>
      </c>
      <c r="AG104" s="1" t="str">
        <f>IFERROR(__xludf.DUMMYFUNCTION("""COMPUTED_VALUE"""),"")</f>
        <v/>
      </c>
      <c r="AH104" s="1" t="str">
        <f>IFERROR(__xludf.DUMMYFUNCTION("""COMPUTED_VALUE"""),"Media Monitoring")</f>
        <v>Media Monitoring</v>
      </c>
      <c r="AI104" s="2" t="str">
        <f>IFERROR(__xludf.DUMMYFUNCTION("""COMPUTED_VALUE"""),"https://www.datacenterdynamics.com/en/news/data-center-proposal-in-citrus-county-florida-withdrawn-by-developer/")</f>
        <v>https://www.datacenterdynamics.com/en/news/data-center-proposal-in-citrus-county-florida-withdrawn-by-developer/</v>
      </c>
      <c r="AJ104" s="1" t="str">
        <f>IFERROR(__xludf.DUMMYFUNCTION("""COMPUTED_VALUE"""),"")</f>
        <v/>
      </c>
      <c r="AK104" s="1" t="str">
        <f>IFERROR(__xludf.DUMMYFUNCTION("""COMPUTED_VALUE"""),"")</f>
        <v/>
      </c>
      <c r="AL104" s="1" t="str">
        <f>IFERROR(__xludf.DUMMYFUNCTION("""COMPUTED_VALUE"""),"")</f>
        <v/>
      </c>
      <c r="AM104" s="1" t="str">
        <f>IFERROR(__xludf.DUMMYFUNCTION("""COMPUTED_VALUE"""),"")</f>
        <v/>
      </c>
      <c r="AN104" s="1" t="str">
        <f>IFERROR(__xludf.DUMMYFUNCTION("""COMPUTED_VALUE"""),"")</f>
        <v/>
      </c>
      <c r="AO104" s="1" t="str">
        <f>IFERROR(__xludf.DUMMYFUNCTION("""COMPUTED_VALUE"""),"")</f>
        <v/>
      </c>
      <c r="AP104" s="1" t="str">
        <f>IFERROR(__xludf.DUMMYFUNCTION("""COMPUTED_VALUE"""),"")</f>
        <v/>
      </c>
      <c r="AQ104" s="1" t="str">
        <f>IFERROR(__xludf.DUMMYFUNCTION("""COMPUTED_VALUE"""),"06/29/2026")</f>
        <v>06/29/2026</v>
      </c>
      <c r="AR104" s="1" t="str">
        <f>IFERROR(__xludf.DUMMYFUNCTION("""COMPUTED_VALUE"""),"06/29/2026")</f>
        <v>06/29/2026</v>
      </c>
    </row>
    <row r="105">
      <c r="A105" s="1" t="str">
        <f>IFERROR(__xludf.DUMMYFUNCTION("""COMPUTED_VALUE"""),"Project Swan")</f>
        <v>Project Swan</v>
      </c>
      <c r="B105" s="1" t="str">
        <f>IFERROR(__xludf.DUMMYFUNCTION("""COMPUTED_VALUE"""),"923 Wilkinson Rd")</f>
        <v>923 Wilkinson Rd</v>
      </c>
      <c r="C105" s="1" t="str">
        <f>IFERROR(__xludf.DUMMYFUNCTION("""COMPUTED_VALUE"""),"Lakeland")</f>
        <v>Lakeland</v>
      </c>
      <c r="D105" s="1" t="str">
        <f>IFERROR(__xludf.DUMMYFUNCTION("""COMPUTED_VALUE"""),"FL")</f>
        <v>FL</v>
      </c>
      <c r="E105" s="1" t="str">
        <f>IFERROR(__xludf.DUMMYFUNCTION("""COMPUTED_VALUE"""),"33803")</f>
        <v>33803</v>
      </c>
      <c r="F105" s="1" t="str">
        <f>IFERROR(__xludf.DUMMYFUNCTION("""COMPUTED_VALUE"""),"Polk")</f>
        <v>Polk</v>
      </c>
      <c r="G105" s="1" t="str">
        <f>IFERROR(__xludf.DUMMYFUNCTION("""COMPUTED_VALUE"""),"28.03012")</f>
        <v>28.03012</v>
      </c>
      <c r="H105" s="1" t="str">
        <f>IFERROR(__xludf.DUMMYFUNCTION("""COMPUTED_VALUE"""),"-82.00534")</f>
        <v>-82.00534</v>
      </c>
      <c r="I105" s="1" t="str">
        <f>IFERROR(__xludf.DUMMYFUNCTION("""COMPUTED_VALUE"""),"Proposed")</f>
        <v>Proposed</v>
      </c>
      <c r="J105" s="1" t="str">
        <f>IFERROR(__xludf.DUMMYFUNCTION("""COMPUTED_VALUE"""),"High")</f>
        <v>High</v>
      </c>
      <c r="K105" s="1" t="str">
        <f>IFERROR(__xludf.DUMMYFUNCTION("""COMPUTED_VALUE"""),"")</f>
        <v/>
      </c>
      <c r="L105" s="1" t="str">
        <f>IFERROR(__xludf.DUMMYFUNCTION("""COMPUTED_VALUE"""),"")</f>
        <v/>
      </c>
      <c r="M105" s="1" t="str">
        <f>IFERROR(__xludf.DUMMYFUNCTION("""COMPUTED_VALUE"""),"")</f>
        <v/>
      </c>
      <c r="N105" s="1" t="str">
        <f>IFERROR(__xludf.DUMMYFUNCTION("""COMPUTED_VALUE"""),"")</f>
        <v/>
      </c>
      <c r="O105" s="1" t="str">
        <f>IFERROR(__xludf.DUMMYFUNCTION("""COMPUTED_VALUE"""),"Unknown")</f>
        <v>Unknown</v>
      </c>
      <c r="P105" s="1" t="str">
        <f>IFERROR(__xludf.DUMMYFUNCTION("""COMPUTED_VALUE"""),"")</f>
        <v/>
      </c>
      <c r="Q105" s="1" t="str">
        <f>IFERROR(__xludf.DUMMYFUNCTION("""COMPUTED_VALUE"""),"")</f>
        <v/>
      </c>
      <c r="R105" s="1" t="str">
        <f>IFERROR(__xludf.DUMMYFUNCTION("""COMPUTED_VALUE"""),"")</f>
        <v/>
      </c>
      <c r="S105" s="1" t="str">
        <f>IFERROR(__xludf.DUMMYFUNCTION("""COMPUTED_VALUE"""),"")</f>
        <v/>
      </c>
      <c r="T105" s="1" t="str">
        <f>IFERROR(__xludf.DUMMYFUNCTION("""COMPUTED_VALUE"""),"")</f>
        <v/>
      </c>
      <c r="U105" s="1" t="str">
        <f>IFERROR(__xludf.DUMMYFUNCTION("""COMPUTED_VALUE"""),"")</f>
        <v/>
      </c>
      <c r="V105" s="1" t="str">
        <f>IFERROR(__xludf.DUMMYFUNCTION("""COMPUTED_VALUE"""),"600,000")</f>
        <v>600,000</v>
      </c>
      <c r="W105" s="1" t="str">
        <f>IFERROR(__xludf.DUMMYFUNCTION("""COMPUTED_VALUE"""),"60")</f>
        <v>60</v>
      </c>
      <c r="X105" s="1" t="str">
        <f>IFERROR(__xludf.DUMMYFUNCTION("""COMPUTED_VALUE"""),"")</f>
        <v/>
      </c>
      <c r="Y105" s="1" t="str">
        <f>IFERROR(__xludf.DUMMYFUNCTION("""COMPUTED_VALUE"""),"")</f>
        <v/>
      </c>
      <c r="Z105" s="1" t="str">
        <f>IFERROR(__xludf.DUMMYFUNCTION("""COMPUTED_VALUE"""),"Unknown")</f>
        <v>Unknown</v>
      </c>
      <c r="AA105" s="1" t="str">
        <f>IFERROR(__xludf.DUMMYFUNCTION("""COMPUTED_VALUE"""),"")</f>
        <v/>
      </c>
      <c r="AB105" s="1" t="str">
        <f>IFERROR(__xludf.DUMMYFUNCTION("""COMPUTED_VALUE"""),"")</f>
        <v/>
      </c>
      <c r="AC105" s="1" t="str">
        <f>IFERROR(__xludf.DUMMYFUNCTION("""COMPUTED_VALUE"""),"")</f>
        <v/>
      </c>
      <c r="AD105" s="1" t="str">
        <f>IFERROR(__xludf.DUMMYFUNCTION("""COMPUTED_VALUE"""),"")</f>
        <v/>
      </c>
      <c r="AE105" s="1" t="str">
        <f>IFERROR(__xludf.DUMMYFUNCTION("""COMPUTED_VALUE"""),"")</f>
        <v/>
      </c>
      <c r="AF105" s="1" t="str">
        <f>IFERROR(__xludf.DUMMYFUNCTION("""COMPUTED_VALUE"""),"")</f>
        <v/>
      </c>
      <c r="AG105" s="1" t="str">
        <f>IFERROR(__xludf.DUMMYFUNCTION("""COMPUTED_VALUE"""),"")</f>
        <v/>
      </c>
      <c r="AH105" s="1" t="str">
        <f>IFERROR(__xludf.DUMMYFUNCTION("""COMPUTED_VALUE"""),"Media Monitoring")</f>
        <v>Media Monitoring</v>
      </c>
      <c r="AI105" s="2" t="str">
        <f>IFERROR(__xludf.DUMMYFUNCTION("""COMPUTED_VALUE"""),"https://www.datacenterdynamics.com/en/news/600000-sq-ft-project-swan-data-center-could-be-built-in-lakeland-florida/")</f>
        <v>https://www.datacenterdynamics.com/en/news/600000-sq-ft-project-swan-data-center-could-be-built-in-lakeland-florida/</v>
      </c>
      <c r="AJ105" s="1" t="str">
        <f>IFERROR(__xludf.DUMMYFUNCTION("""COMPUTED_VALUE"""),"")</f>
        <v/>
      </c>
      <c r="AK105" s="1" t="str">
        <f>IFERROR(__xludf.DUMMYFUNCTION("""COMPUTED_VALUE"""),"")</f>
        <v/>
      </c>
      <c r="AL105" s="1" t="str">
        <f>IFERROR(__xludf.DUMMYFUNCTION("""COMPUTED_VALUE"""),"")</f>
        <v/>
      </c>
      <c r="AM105" s="1" t="str">
        <f>IFERROR(__xludf.DUMMYFUNCTION("""COMPUTED_VALUE"""),"")</f>
        <v/>
      </c>
      <c r="AN105" s="1" t="str">
        <f>IFERROR(__xludf.DUMMYFUNCTION("""COMPUTED_VALUE"""),"")</f>
        <v/>
      </c>
      <c r="AO105" s="1" t="str">
        <f>IFERROR(__xludf.DUMMYFUNCTION("""COMPUTED_VALUE"""),"")</f>
        <v/>
      </c>
      <c r="AP105" s="1" t="str">
        <f>IFERROR(__xludf.DUMMYFUNCTION("""COMPUTED_VALUE"""),"")</f>
        <v/>
      </c>
      <c r="AQ105" s="1" t="str">
        <f>IFERROR(__xludf.DUMMYFUNCTION("""COMPUTED_VALUE"""),"06/07/2026")</f>
        <v>06/07/2026</v>
      </c>
      <c r="AR105" s="1" t="str">
        <f>IFERROR(__xludf.DUMMYFUNCTION("""COMPUTED_VALUE"""),"06/07/2026")</f>
        <v>06/07/2026</v>
      </c>
    </row>
    <row r="106">
      <c r="A106" s="1" t="str">
        <f>IFERROR(__xludf.DUMMYFUNCTION("""COMPUTED_VALUE"""),"Project Tango")</f>
        <v>Project Tango</v>
      </c>
      <c r="B106" s="1" t="str">
        <f>IFERROR(__xludf.DUMMYFUNCTION("""COMPUTED_VALUE"""),"near 20125 Southern Blvd")</f>
        <v>near 20125 Southern Blvd</v>
      </c>
      <c r="C106" s="1" t="str">
        <f>IFERROR(__xludf.DUMMYFUNCTION("""COMPUTED_VALUE"""),"Loxahatchee")</f>
        <v>Loxahatchee</v>
      </c>
      <c r="D106" s="1" t="str">
        <f>IFERROR(__xludf.DUMMYFUNCTION("""COMPUTED_VALUE"""),"FL")</f>
        <v>FL</v>
      </c>
      <c r="E106" s="1" t="str">
        <f>IFERROR(__xludf.DUMMYFUNCTION("""COMPUTED_VALUE"""),"33470")</f>
        <v>33470</v>
      </c>
      <c r="F106" s="1" t="str">
        <f>IFERROR(__xludf.DUMMYFUNCTION("""COMPUTED_VALUE"""),"Palm Beach")</f>
        <v>Palm Beach</v>
      </c>
      <c r="G106" s="1" t="str">
        <f>IFERROR(__xludf.DUMMYFUNCTION("""COMPUTED_VALUE"""),"26.694838")</f>
        <v>26.694838</v>
      </c>
      <c r="H106" s="1" t="str">
        <f>IFERROR(__xludf.DUMMYFUNCTION("""COMPUTED_VALUE"""),"-80.37178")</f>
        <v>-80.37178</v>
      </c>
      <c r="I106" s="1" t="str">
        <f>IFERROR(__xludf.DUMMYFUNCTION("""COMPUTED_VALUE"""),"Approved/Permitted/Under construction")</f>
        <v>Approved/Permitted/Under construction</v>
      </c>
      <c r="J106" s="1" t="str">
        <f>IFERROR(__xludf.DUMMYFUNCTION("""COMPUTED_VALUE"""),"High")</f>
        <v>High</v>
      </c>
      <c r="K106" s="1" t="str">
        <f>IFERROR(__xludf.DUMMYFUNCTION("""COMPUTED_VALUE"""),"")</f>
        <v/>
      </c>
      <c r="L106" s="1" t="str">
        <f>IFERROR(__xludf.DUMMYFUNCTION("""COMPUTED_VALUE"""),"")</f>
        <v/>
      </c>
      <c r="M106" s="1" t="str">
        <f>IFERROR(__xludf.DUMMYFUNCTION("""COMPUTED_VALUE"""),"")</f>
        <v/>
      </c>
      <c r="N106" s="1" t="str">
        <f>IFERROR(__xludf.DUMMYFUNCTION("""COMPUTED_VALUE"""),"")</f>
        <v/>
      </c>
      <c r="O106" s="1" t="str">
        <f>IFERROR(__xludf.DUMMYFUNCTION("""COMPUTED_VALUE"""),"Hyperscale (100-999 MW)")</f>
        <v>Hyperscale (100-999 MW)</v>
      </c>
      <c r="P106" s="1" t="str">
        <f>IFERROR(__xludf.DUMMYFUNCTION("""COMPUTED_VALUE"""),"Grid (unspecified mix)")</f>
        <v>Grid (unspecified mix)</v>
      </c>
      <c r="Q106" s="1" t="str">
        <f>IFERROR(__xludf.DUMMYFUNCTION("""COMPUTED_VALUE"""),"")</f>
        <v/>
      </c>
      <c r="R106" s="1" t="str">
        <f>IFERROR(__xludf.DUMMYFUNCTION("""COMPUTED_VALUE"""),"")</f>
        <v/>
      </c>
      <c r="S106" s="1" t="str">
        <f>IFERROR(__xludf.DUMMYFUNCTION("""COMPUTED_VALUE"""),"5")</f>
        <v>5</v>
      </c>
      <c r="T106" s="1" t="str">
        <f>IFERROR(__xludf.DUMMYFUNCTION("""COMPUTED_VALUE"""),"Water")</f>
        <v>Water</v>
      </c>
      <c r="U106" s="1" t="str">
        <f>IFERROR(__xludf.DUMMYFUNCTION("""COMPUTED_VALUE"""),"Closed loop")</f>
        <v>Closed loop</v>
      </c>
      <c r="V106" s="1" t="str">
        <f>IFERROR(__xludf.DUMMYFUNCTION("""COMPUTED_VALUE"""),"3,700,000")</f>
        <v>3,700,000</v>
      </c>
      <c r="W106" s="1" t="str">
        <f>IFERROR(__xludf.DUMMYFUNCTION("""COMPUTED_VALUE"""),"202")</f>
        <v>202</v>
      </c>
      <c r="X106" s="1" t="str">
        <f>IFERROR(__xludf.DUMMYFUNCTION("""COMPUTED_VALUE"""),"$2.6 Billion")</f>
        <v>$2.6 Billion</v>
      </c>
      <c r="Y106" s="1" t="str">
        <f>IFERROR(__xludf.DUMMYFUNCTION("""COMPUTED_VALUE"""),"")</f>
        <v/>
      </c>
      <c r="Z106" s="1" t="str">
        <f>IFERROR(__xludf.DUMMYFUNCTION("""COMPUTED_VALUE"""),"Yes")</f>
        <v>Yes</v>
      </c>
      <c r="AA106" s="1" t="str">
        <f>IFERROR(__xludf.DUMMYFUNCTION("""COMPUTED_VALUE"""),"Palm Beach County commissioners are expected to revisit the Project Tango proposal at a meeting scheduled for April 23, where potential zoning changes tied to the project will be considered")</f>
        <v>Palm Beach County commissioners are expected to revisit the Project Tango proposal at a meeting scheduled for April 23, where potential zoning changes tied to the project will be considered</v>
      </c>
      <c r="AB106" s="1" t="str">
        <f>IFERROR(__xludf.DUMMYFUNCTION("""COMPUTED_VALUE"""),"")</f>
        <v/>
      </c>
      <c r="AC106" s="1" t="str">
        <f>IFERROR(__xludf.DUMMYFUNCTION("""COMPUTED_VALUE"""),"")</f>
        <v/>
      </c>
      <c r="AD106" s="2" t="str">
        <f>IFERROR(__xludf.DUMMYFUNCTION("""COMPUTED_VALUE"""),"https://www.notoprojecttango.com/")</f>
        <v>https://www.notoprojecttango.com/</v>
      </c>
      <c r="AE106" s="2" t="str">
        <f>IFERROR(__xludf.DUMMYFUNCTION("""COMPUTED_VALUE"""),"https://www.facebook.com/groups/1359906715176907/")</f>
        <v>https://www.facebook.com/groups/1359906715176907/</v>
      </c>
      <c r="AF106" s="2" t="str">
        <f>IFERROR(__xludf.DUMMYFUNCTION("""COMPUTED_VALUE"""),"https://www.change.org/p/say-no-to-the-construction-of-project-tango-ai-data-center-in-palm-beach-county")</f>
        <v>https://www.change.org/p/say-no-to-the-construction-of-project-tango-ai-data-center-in-palm-beach-county</v>
      </c>
      <c r="AG106" s="1" t="str">
        <f>IFERROR(__xludf.DUMMYFUNCTION("""COMPUTED_VALUE"""),"Palm Beach County zoning commission recommended approval of the plans in December 2025. Plans include a dedicated substation. At full build-out, estimated water use is about 5,000 gallons per day. Power will be provided by Florida Power &amp; Light.")</f>
        <v>Palm Beach County zoning commission recommended approval of the plans in December 2025. Plans include a dedicated substation. At full build-out, estimated water use is about 5,000 gallons per day. Power will be provided by Florida Power &amp; Light.</v>
      </c>
      <c r="AH106" s="1" t="str">
        <f>IFERROR(__xludf.DUMMYFUNCTION("""COMPUTED_VALUE"""),"Media Monitoring")</f>
        <v>Media Monitoring</v>
      </c>
      <c r="AI106" s="2" t="str">
        <f>IFERROR(__xludf.DUMMYFUNCTION("""COMPUTED_VALUE"""),"https://www.datacenterdynamics.com/en/news/37-million-sq-ft-data-center-campus-gets-initial-ok-from-officials-in-florida/")</f>
        <v>https://www.datacenterdynamics.com/en/news/37-million-sq-ft-data-center-campus-gets-initial-ok-from-officials-in-florida/</v>
      </c>
      <c r="AJ106" s="2" t="str">
        <f>IFERROR(__xludf.DUMMYFUNCTION("""COMPUTED_VALUE"""),"https://www.centralparkcommercecenter.com/?gad_source=1&amp;gad_campaignid=23618902760&amp;gbraid=0AAAABDBJa97eBuMRlkuHAKrIbasfiOwuK&amp;gclid=CjwKCAjwjtTNBhB0EiwAuswYhj3-_K3T9s7db44QwVV6j0ZsEQnNwx_-C4jOldThZx7BgnJzaq_PSRoC62EQAvD_BwE")</f>
        <v>https://www.centralparkcommercecenter.com/?gad_source=1&amp;gad_campaignid=23618902760&amp;gbraid=0AAAABDBJa97eBuMRlkuHAKrIbasfiOwuK&amp;gclid=CjwKCAjwjtTNBhB0EiwAuswYhj3-_K3T9s7db44QwVV6j0ZsEQnNwx_-C4jOldThZx7BgnJzaq_PSRoC62EQAvD_BwE</v>
      </c>
      <c r="AK106" s="2" t="str">
        <f>IFERROR(__xludf.DUMMYFUNCTION("""COMPUTED_VALUE"""),"https://cbs12.com/news/local/what-is-an-ai-data-center-palm-beach-county-debate-over-project-tango-explained")</f>
        <v>https://cbs12.com/news/local/what-is-an-ai-data-center-palm-beach-county-debate-over-project-tango-explained</v>
      </c>
      <c r="AL106" s="1" t="str">
        <f>IFERROR(__xludf.DUMMYFUNCTION("""COMPUTED_VALUE"""),"")</f>
        <v/>
      </c>
      <c r="AM106" s="1" t="str">
        <f>IFERROR(__xludf.DUMMYFUNCTION("""COMPUTED_VALUE"""),"")</f>
        <v/>
      </c>
      <c r="AN106" s="1" t="str">
        <f>IFERROR(__xludf.DUMMYFUNCTION("""COMPUTED_VALUE"""),"")</f>
        <v/>
      </c>
      <c r="AO106" s="1" t="str">
        <f>IFERROR(__xludf.DUMMYFUNCTION("""COMPUTED_VALUE"""),"")</f>
        <v/>
      </c>
      <c r="AP106" s="1" t="str">
        <f>IFERROR(__xludf.DUMMYFUNCTION("""COMPUTED_VALUE"""),"")</f>
        <v/>
      </c>
      <c r="AQ106" s="1" t="str">
        <f>IFERROR(__xludf.DUMMYFUNCTION("""COMPUTED_VALUE"""),"12/11/2025")</f>
        <v>12/11/2025</v>
      </c>
      <c r="AR106" s="1" t="str">
        <f>IFERROR(__xludf.DUMMYFUNCTION("""COMPUTED_VALUE"""),"06/08/2026")</f>
        <v>06/08/2026</v>
      </c>
    </row>
    <row r="107">
      <c r="A107" s="1" t="str">
        <f>IFERROR(__xludf.DUMMYFUNCTION("""COMPUTED_VALUE"""),"HostDime Data Center")</f>
        <v>HostDime Data Center</v>
      </c>
      <c r="B107" s="1" t="str">
        <f>IFERROR(__xludf.DUMMYFUNCTION("""COMPUTED_VALUE"""),"1 Innovative Pl")</f>
        <v>1 Innovative Pl</v>
      </c>
      <c r="C107" s="1" t="str">
        <f>IFERROR(__xludf.DUMMYFUNCTION("""COMPUTED_VALUE"""),"Maitland")</f>
        <v>Maitland</v>
      </c>
      <c r="D107" s="1" t="str">
        <f>IFERROR(__xludf.DUMMYFUNCTION("""COMPUTED_VALUE"""),"FL")</f>
        <v>FL</v>
      </c>
      <c r="E107" s="1" t="str">
        <f>IFERROR(__xludf.DUMMYFUNCTION("""COMPUTED_VALUE"""),"32751")</f>
        <v>32751</v>
      </c>
      <c r="F107" s="1" t="str">
        <f>IFERROR(__xludf.DUMMYFUNCTION("""COMPUTED_VALUE"""),"Orange")</f>
        <v>Orange</v>
      </c>
      <c r="G107" s="1" t="str">
        <f>IFERROR(__xludf.DUMMYFUNCTION("""COMPUTED_VALUE"""),"28.6146")</f>
        <v>28.6146</v>
      </c>
      <c r="H107" s="1" t="str">
        <f>IFERROR(__xludf.DUMMYFUNCTION("""COMPUTED_VALUE"""),"-81.3857")</f>
        <v>-81.3857</v>
      </c>
      <c r="I107" s="1" t="str">
        <f>IFERROR(__xludf.DUMMYFUNCTION("""COMPUTED_VALUE"""),"Proposed")</f>
        <v>Proposed</v>
      </c>
      <c r="J107" s="1" t="str">
        <f>IFERROR(__xludf.DUMMYFUNCTION("""COMPUTED_VALUE"""),"High")</f>
        <v>High</v>
      </c>
      <c r="K107" s="1" t="str">
        <f>IFERROR(__xludf.DUMMYFUNCTION("""COMPUTED_VALUE"""),"")</f>
        <v/>
      </c>
      <c r="L107" s="1" t="str">
        <f>IFERROR(__xludf.DUMMYFUNCTION("""COMPUTED_VALUE"""),"")</f>
        <v/>
      </c>
      <c r="M107" s="1" t="str">
        <f>IFERROR(__xludf.DUMMYFUNCTION("""COMPUTED_VALUE"""),"")</f>
        <v/>
      </c>
      <c r="N107" s="1" t="str">
        <f>IFERROR(__xludf.DUMMYFUNCTION("""COMPUTED_VALUE"""),"")</f>
        <v/>
      </c>
      <c r="O107" s="1" t="str">
        <f>IFERROR(__xludf.DUMMYFUNCTION("""COMPUTED_VALUE"""),"Unknown")</f>
        <v>Unknown</v>
      </c>
      <c r="P107" s="1" t="str">
        <f>IFERROR(__xludf.DUMMYFUNCTION("""COMPUTED_VALUE"""),"")</f>
        <v/>
      </c>
      <c r="Q107" s="1" t="str">
        <f>IFERROR(__xludf.DUMMYFUNCTION("""COMPUTED_VALUE"""),"")</f>
        <v/>
      </c>
      <c r="R107" s="1" t="str">
        <f>IFERROR(__xludf.DUMMYFUNCTION("""COMPUTED_VALUE"""),"")</f>
        <v/>
      </c>
      <c r="S107" s="1" t="str">
        <f>IFERROR(__xludf.DUMMYFUNCTION("""COMPUTED_VALUE"""),"")</f>
        <v/>
      </c>
      <c r="T107" s="1" t="str">
        <f>IFERROR(__xludf.DUMMYFUNCTION("""COMPUTED_VALUE"""),"")</f>
        <v/>
      </c>
      <c r="U107" s="1" t="str">
        <f>IFERROR(__xludf.DUMMYFUNCTION("""COMPUTED_VALUE"""),"")</f>
        <v/>
      </c>
      <c r="V107" s="1" t="str">
        <f>IFERROR(__xludf.DUMMYFUNCTION("""COMPUTED_VALUE"""),"100,000")</f>
        <v>100,000</v>
      </c>
      <c r="W107" s="1" t="str">
        <f>IFERROR(__xludf.DUMMYFUNCTION("""COMPUTED_VALUE"""),"")</f>
        <v/>
      </c>
      <c r="X107" s="1" t="str">
        <f>IFERROR(__xludf.DUMMYFUNCTION("""COMPUTED_VALUE"""),"")</f>
        <v/>
      </c>
      <c r="Y107" s="1" t="str">
        <f>IFERROR(__xludf.DUMMYFUNCTION("""COMPUTED_VALUE"""),"")</f>
        <v/>
      </c>
      <c r="Z107" s="1" t="str">
        <f>IFERROR(__xludf.DUMMYFUNCTION("""COMPUTED_VALUE"""),"Unknown")</f>
        <v>Unknown</v>
      </c>
      <c r="AA107" s="1" t="str">
        <f>IFERROR(__xludf.DUMMYFUNCTION("""COMPUTED_VALUE"""),"")</f>
        <v/>
      </c>
      <c r="AB107" s="1" t="str">
        <f>IFERROR(__xludf.DUMMYFUNCTION("""COMPUTED_VALUE"""),"")</f>
        <v/>
      </c>
      <c r="AC107" s="1" t="str">
        <f>IFERROR(__xludf.DUMMYFUNCTION("""COMPUTED_VALUE"""),"")</f>
        <v/>
      </c>
      <c r="AD107" s="1" t="str">
        <f>IFERROR(__xludf.DUMMYFUNCTION("""COMPUTED_VALUE"""),"")</f>
        <v/>
      </c>
      <c r="AE107" s="1" t="str">
        <f>IFERROR(__xludf.DUMMYFUNCTION("""COMPUTED_VALUE"""),"")</f>
        <v/>
      </c>
      <c r="AF107" s="1" t="str">
        <f>IFERROR(__xludf.DUMMYFUNCTION("""COMPUTED_VALUE"""),"")</f>
        <v/>
      </c>
      <c r="AG107" s="1" t="str">
        <f>IFERROR(__xludf.DUMMYFUNCTION("""COMPUTED_VALUE"""),"")</f>
        <v/>
      </c>
      <c r="AH107" s="1" t="str">
        <f>IFERROR(__xludf.DUMMYFUNCTION("""COMPUTED_VALUE"""),"Media Monitoring")</f>
        <v>Media Monitoring</v>
      </c>
      <c r="AI107" s="2" t="str">
        <f>IFERROR(__xludf.DUMMYFUNCTION("""COMPUTED_VALUE"""),"https://www.datacenterdynamics.com/en/news/hostdime-seeks-deadline-extension-for-data-center-in-eatonville-orlando/")</f>
        <v>https://www.datacenterdynamics.com/en/news/hostdime-seeks-deadline-extension-for-data-center-in-eatonville-orlando/</v>
      </c>
      <c r="AJ107" s="1" t="str">
        <f>IFERROR(__xludf.DUMMYFUNCTION("""COMPUTED_VALUE"""),"")</f>
        <v/>
      </c>
      <c r="AK107" s="1" t="str">
        <f>IFERROR(__xludf.DUMMYFUNCTION("""COMPUTED_VALUE"""),"")</f>
        <v/>
      </c>
      <c r="AL107" s="1" t="str">
        <f>IFERROR(__xludf.DUMMYFUNCTION("""COMPUTED_VALUE"""),"")</f>
        <v/>
      </c>
      <c r="AM107" s="1" t="str">
        <f>IFERROR(__xludf.DUMMYFUNCTION("""COMPUTED_VALUE"""),"")</f>
        <v/>
      </c>
      <c r="AN107" s="1" t="str">
        <f>IFERROR(__xludf.DUMMYFUNCTION("""COMPUTED_VALUE"""),"")</f>
        <v/>
      </c>
      <c r="AO107" s="1" t="str">
        <f>IFERROR(__xludf.DUMMYFUNCTION("""COMPUTED_VALUE"""),"")</f>
        <v/>
      </c>
      <c r="AP107" s="1" t="str">
        <f>IFERROR(__xludf.DUMMYFUNCTION("""COMPUTED_VALUE"""),"")</f>
        <v/>
      </c>
      <c r="AQ107" s="1" t="str">
        <f>IFERROR(__xludf.DUMMYFUNCTION("""COMPUTED_VALUE"""),"09/03/2025")</f>
        <v>09/03/2025</v>
      </c>
      <c r="AR107" s="1" t="str">
        <f>IFERROR(__xludf.DUMMYFUNCTION("""COMPUTED_VALUE"""),"09/03/2025")</f>
        <v>09/03/2025</v>
      </c>
    </row>
    <row r="108">
      <c r="A108" s="1" t="str">
        <f>IFERROR(__xludf.DUMMYFUNCTION("""COMPUTED_VALUE"""),"Iron Mountain Data Center")</f>
        <v>Iron Mountain Data Center</v>
      </c>
      <c r="B108" s="1" t="str">
        <f>IFERROR(__xludf.DUMMYFUNCTION("""COMPUTED_VALUE"""),"12300 NW 32nd Ave")</f>
        <v>12300 NW 32nd Ave</v>
      </c>
      <c r="C108" s="1" t="str">
        <f>IFERROR(__xludf.DUMMYFUNCTION("""COMPUTED_VALUE"""),"Miami")</f>
        <v>Miami</v>
      </c>
      <c r="D108" s="1" t="str">
        <f>IFERROR(__xludf.DUMMYFUNCTION("""COMPUTED_VALUE"""),"FL")</f>
        <v>FL</v>
      </c>
      <c r="E108" s="1" t="str">
        <f>IFERROR(__xludf.DUMMYFUNCTION("""COMPUTED_VALUE"""),"33167")</f>
        <v>33167</v>
      </c>
      <c r="F108" s="1" t="str">
        <f>IFERROR(__xludf.DUMMYFUNCTION("""COMPUTED_VALUE"""),"Miami-Dade")</f>
        <v>Miami-Dade</v>
      </c>
      <c r="G108" s="1" t="str">
        <f>IFERROR(__xludf.DUMMYFUNCTION("""COMPUTED_VALUE"""),"25.88661")</f>
        <v>25.88661</v>
      </c>
      <c r="H108" s="1" t="str">
        <f>IFERROR(__xludf.DUMMYFUNCTION("""COMPUTED_VALUE"""),"-80.2539")</f>
        <v>-80.2539</v>
      </c>
      <c r="I108" s="1" t="str">
        <f>IFERROR(__xludf.DUMMYFUNCTION("""COMPUTED_VALUE"""),"Approved/Permitted/Under construction")</f>
        <v>Approved/Permitted/Under construction</v>
      </c>
      <c r="J108" s="1" t="str">
        <f>IFERROR(__xludf.DUMMYFUNCTION("""COMPUTED_VALUE"""),"High")</f>
        <v>High</v>
      </c>
      <c r="K108" s="1" t="str">
        <f>IFERROR(__xludf.DUMMYFUNCTION("""COMPUTED_VALUE"""),"")</f>
        <v/>
      </c>
      <c r="L108" s="1" t="str">
        <f>IFERROR(__xludf.DUMMYFUNCTION("""COMPUTED_VALUE"""),"")</f>
        <v/>
      </c>
      <c r="M108" s="1" t="str">
        <f>IFERROR(__xludf.DUMMYFUNCTION("""COMPUTED_VALUE"""),"")</f>
        <v/>
      </c>
      <c r="N108" s="1" t="str">
        <f>IFERROR(__xludf.DUMMYFUNCTION("""COMPUTED_VALUE"""),"16")</f>
        <v>16</v>
      </c>
      <c r="O108" s="1" t="str">
        <f>IFERROR(__xludf.DUMMYFUNCTION("""COMPUTED_VALUE"""),"Medium (11-50 MW)")</f>
        <v>Medium (11-50 MW)</v>
      </c>
      <c r="P108" s="1" t="str">
        <f>IFERROR(__xludf.DUMMYFUNCTION("""COMPUTED_VALUE"""),"")</f>
        <v/>
      </c>
      <c r="Q108" s="1" t="str">
        <f>IFERROR(__xludf.DUMMYFUNCTION("""COMPUTED_VALUE"""),"")</f>
        <v/>
      </c>
      <c r="R108" s="1" t="str">
        <f>IFERROR(__xludf.DUMMYFUNCTION("""COMPUTED_VALUE"""),"")</f>
        <v/>
      </c>
      <c r="S108" s="1" t="str">
        <f>IFERROR(__xludf.DUMMYFUNCTION("""COMPUTED_VALUE"""),"")</f>
        <v/>
      </c>
      <c r="T108" s="1" t="str">
        <f>IFERROR(__xludf.DUMMYFUNCTION("""COMPUTED_VALUE"""),"")</f>
        <v/>
      </c>
      <c r="U108" s="1" t="str">
        <f>IFERROR(__xludf.DUMMYFUNCTION("""COMPUTED_VALUE"""),"")</f>
        <v/>
      </c>
      <c r="V108" s="1" t="str">
        <f>IFERROR(__xludf.DUMMYFUNCTION("""COMPUTED_VALUE"""),"150,000")</f>
        <v>150,000</v>
      </c>
      <c r="W108" s="1" t="str">
        <f>IFERROR(__xludf.DUMMYFUNCTION("""COMPUTED_VALUE"""),"3")</f>
        <v>3</v>
      </c>
      <c r="X108" s="1" t="str">
        <f>IFERROR(__xludf.DUMMYFUNCTION("""COMPUTED_VALUE"""),"")</f>
        <v/>
      </c>
      <c r="Y108" s="1" t="str">
        <f>IFERROR(__xludf.DUMMYFUNCTION("""COMPUTED_VALUE"""),"")</f>
        <v/>
      </c>
      <c r="Z108" s="1" t="str">
        <f>IFERROR(__xludf.DUMMYFUNCTION("""COMPUTED_VALUE"""),"Unknown")</f>
        <v>Unknown</v>
      </c>
      <c r="AA108" s="1" t="str">
        <f>IFERROR(__xludf.DUMMYFUNCTION("""COMPUTED_VALUE"""),"")</f>
        <v/>
      </c>
      <c r="AB108" s="1" t="str">
        <f>IFERROR(__xludf.DUMMYFUNCTION("""COMPUTED_VALUE"""),"")</f>
        <v/>
      </c>
      <c r="AC108" s="1" t="str">
        <f>IFERROR(__xludf.DUMMYFUNCTION("""COMPUTED_VALUE"""),"")</f>
        <v/>
      </c>
      <c r="AD108" s="1" t="str">
        <f>IFERROR(__xludf.DUMMYFUNCTION("""COMPUTED_VALUE"""),"")</f>
        <v/>
      </c>
      <c r="AE108" s="1" t="str">
        <f>IFERROR(__xludf.DUMMYFUNCTION("""COMPUTED_VALUE"""),"")</f>
        <v/>
      </c>
      <c r="AF108" s="1" t="str">
        <f>IFERROR(__xludf.DUMMYFUNCTION("""COMPUTED_VALUE"""),"")</f>
        <v/>
      </c>
      <c r="AG108" s="1" t="str">
        <f>IFERROR(__xludf.DUMMYFUNCTION("""COMPUTED_VALUE"""),"Former records center")</f>
        <v>Former records center</v>
      </c>
      <c r="AH108" s="1" t="str">
        <f>IFERROR(__xludf.DUMMYFUNCTION("""COMPUTED_VALUE"""),"Media Monitoring")</f>
        <v>Media Monitoring</v>
      </c>
      <c r="AI108" s="2" t="str">
        <f>IFERROR(__xludf.DUMMYFUNCTION("""COMPUTED_VALUE"""),"https://www.datacenterdynamics.com/en/news/iron-mountain-tops-outs-miami-data-center/")</f>
        <v>https://www.datacenterdynamics.com/en/news/iron-mountain-tops-outs-miami-data-center/</v>
      </c>
      <c r="AJ108" s="1" t="str">
        <f>IFERROR(__xludf.DUMMYFUNCTION("""COMPUTED_VALUE"""),"")</f>
        <v/>
      </c>
      <c r="AK108" s="1" t="str">
        <f>IFERROR(__xludf.DUMMYFUNCTION("""COMPUTED_VALUE"""),"")</f>
        <v/>
      </c>
      <c r="AL108" s="1" t="str">
        <f>IFERROR(__xludf.DUMMYFUNCTION("""COMPUTED_VALUE"""),"")</f>
        <v/>
      </c>
      <c r="AM108" s="1" t="str">
        <f>IFERROR(__xludf.DUMMYFUNCTION("""COMPUTED_VALUE"""),"")</f>
        <v/>
      </c>
      <c r="AN108" s="1" t="str">
        <f>IFERROR(__xludf.DUMMYFUNCTION("""COMPUTED_VALUE"""),"")</f>
        <v/>
      </c>
      <c r="AO108" s="1" t="str">
        <f>IFERROR(__xludf.DUMMYFUNCTION("""COMPUTED_VALUE"""),"")</f>
        <v/>
      </c>
      <c r="AP108" s="1" t="str">
        <f>IFERROR(__xludf.DUMMYFUNCTION("""COMPUTED_VALUE"""),"")</f>
        <v/>
      </c>
      <c r="AQ108" s="1" t="str">
        <f>IFERROR(__xludf.DUMMYFUNCTION("""COMPUTED_VALUE"""),"08/12/2025")</f>
        <v>08/12/2025</v>
      </c>
      <c r="AR108" s="1" t="str">
        <f>IFERROR(__xludf.DUMMYFUNCTION("""COMPUTED_VALUE"""),"08/12/2025")</f>
        <v>08/12/2025</v>
      </c>
    </row>
    <row r="109">
      <c r="A109" s="1" t="str">
        <f>IFERROR(__xludf.DUMMYFUNCTION("""COMPUTED_VALUE"""),"Okee-One ")</f>
        <v>Okee-One </v>
      </c>
      <c r="B109" s="1" t="str">
        <f>IFERROR(__xludf.DUMMYFUNCTION("""COMPUTED_VALUE"""),"7200 US-441")</f>
        <v>7200 US-441</v>
      </c>
      <c r="C109" s="1" t="str">
        <f>IFERROR(__xludf.DUMMYFUNCTION("""COMPUTED_VALUE"""),"Okeechobee")</f>
        <v>Okeechobee</v>
      </c>
      <c r="D109" s="1" t="str">
        <f>IFERROR(__xludf.DUMMYFUNCTION("""COMPUTED_VALUE"""),"FL")</f>
        <v>FL</v>
      </c>
      <c r="E109" s="1" t="str">
        <f>IFERROR(__xludf.DUMMYFUNCTION("""COMPUTED_VALUE"""),"34972")</f>
        <v>34972</v>
      </c>
      <c r="F109" s="1" t="str">
        <f>IFERROR(__xludf.DUMMYFUNCTION("""COMPUTED_VALUE"""),"Okeechobee")</f>
        <v>Okeechobee</v>
      </c>
      <c r="G109" s="1" t="str">
        <f>IFERROR(__xludf.DUMMYFUNCTION("""COMPUTED_VALUE"""),"27.307442")</f>
        <v>27.307442</v>
      </c>
      <c r="H109" s="1" t="str">
        <f>IFERROR(__xludf.DUMMYFUNCTION("""COMPUTED_VALUE"""),"-80.82401")</f>
        <v>-80.82401</v>
      </c>
      <c r="I109" s="1" t="str">
        <f>IFERROR(__xludf.DUMMYFUNCTION("""COMPUTED_VALUE"""),"Cancelled")</f>
        <v>Cancelled</v>
      </c>
      <c r="J109" s="1" t="str">
        <f>IFERROR(__xludf.DUMMYFUNCTION("""COMPUTED_VALUE"""),"High")</f>
        <v>High</v>
      </c>
      <c r="K109" s="1" t="str">
        <f>IFERROR(__xludf.DUMMYFUNCTION("""COMPUTED_VALUE"""),"")</f>
        <v/>
      </c>
      <c r="L109" s="1" t="str">
        <f>IFERROR(__xludf.DUMMYFUNCTION("""COMPUTED_VALUE"""),"")</f>
        <v/>
      </c>
      <c r="M109" s="1" t="str">
        <f>IFERROR(__xludf.DUMMYFUNCTION("""COMPUTED_VALUE"""),"")</f>
        <v/>
      </c>
      <c r="N109" s="1" t="str">
        <f>IFERROR(__xludf.DUMMYFUNCTION("""COMPUTED_VALUE"""),"")</f>
        <v/>
      </c>
      <c r="O109" s="1" t="str">
        <f>IFERROR(__xludf.DUMMYFUNCTION("""COMPUTED_VALUE"""),"Unknown")</f>
        <v>Unknown</v>
      </c>
      <c r="P109" s="1" t="str">
        <f>IFERROR(__xludf.DUMMYFUNCTION("""COMPUTED_VALUE"""),"")</f>
        <v/>
      </c>
      <c r="Q109" s="1" t="str">
        <f>IFERROR(__xludf.DUMMYFUNCTION("""COMPUTED_VALUE"""),"")</f>
        <v/>
      </c>
      <c r="R109" s="1" t="str">
        <f>IFERROR(__xludf.DUMMYFUNCTION("""COMPUTED_VALUE"""),"")</f>
        <v/>
      </c>
      <c r="S109" s="1" t="str">
        <f>IFERROR(__xludf.DUMMYFUNCTION("""COMPUTED_VALUE"""),"")</f>
        <v/>
      </c>
      <c r="T109" s="1" t="str">
        <f>IFERROR(__xludf.DUMMYFUNCTION("""COMPUTED_VALUE"""),"")</f>
        <v/>
      </c>
      <c r="U109" s="1" t="str">
        <f>IFERROR(__xludf.DUMMYFUNCTION("""COMPUTED_VALUE"""),"")</f>
        <v/>
      </c>
      <c r="V109" s="1" t="str">
        <f>IFERROR(__xludf.DUMMYFUNCTION("""COMPUTED_VALUE"""),"")</f>
        <v/>
      </c>
      <c r="W109" s="1" t="str">
        <f>IFERROR(__xludf.DUMMYFUNCTION("""COMPUTED_VALUE"""),"200")</f>
        <v>200</v>
      </c>
      <c r="X109" s="1" t="str">
        <f>IFERROR(__xludf.DUMMYFUNCTION("""COMPUTED_VALUE"""),"")</f>
        <v/>
      </c>
      <c r="Y109" s="1" t="str">
        <f>IFERROR(__xludf.DUMMYFUNCTION("""COMPUTED_VALUE"""),"")</f>
        <v/>
      </c>
      <c r="Z109" s="1" t="str">
        <f>IFERROR(__xludf.DUMMYFUNCTION("""COMPUTED_VALUE"""),"Yes")</f>
        <v>Yes</v>
      </c>
      <c r="AA109" s="1" t="str">
        <f>IFERROR(__xludf.DUMMYFUNCTION("""COMPUTED_VALUE"""),"")</f>
        <v/>
      </c>
      <c r="AB109" s="1" t="str">
        <f>IFERROR(__xludf.DUMMYFUNCTION("""COMPUTED_VALUE"""),"")</f>
        <v/>
      </c>
      <c r="AC109" s="1" t="str">
        <f>IFERROR(__xludf.DUMMYFUNCTION("""COMPUTED_VALUE"""),"")</f>
        <v/>
      </c>
      <c r="AD109" s="1" t="str">
        <f>IFERROR(__xludf.DUMMYFUNCTION("""COMPUTED_VALUE"""),"")</f>
        <v/>
      </c>
      <c r="AE109" s="1" t="str">
        <f>IFERROR(__xludf.DUMMYFUNCTION("""COMPUTED_VALUE"""),"")</f>
        <v/>
      </c>
      <c r="AF109" s="1" t="str">
        <f>IFERROR(__xludf.DUMMYFUNCTION("""COMPUTED_VALUE"""),"")</f>
        <v/>
      </c>
      <c r="AG109" s="1" t="str">
        <f>IFERROR(__xludf.DUMMYFUNCTION("""COMPUTED_VALUE"""),"")</f>
        <v/>
      </c>
      <c r="AH109" s="1" t="str">
        <f>IFERROR(__xludf.DUMMYFUNCTION("""COMPUTED_VALUE"""),"Media Monitoring")</f>
        <v>Media Monitoring</v>
      </c>
      <c r="AI109" s="2" t="str">
        <f>IFERROR(__xludf.DUMMYFUNCTION("""COMPUTED_VALUE"""),"https://www.wptv.com/news/treasure-coast/region-okeechobee-county/vote-by-okeechobee-county-commissioners-kills-controversial-okee-one-data-center-project")</f>
        <v>https://www.wptv.com/news/treasure-coast/region-okeechobee-county/vote-by-okeechobee-county-commissioners-kills-controversial-okee-one-data-center-project</v>
      </c>
      <c r="AJ109" s="2" t="str">
        <f>IFERROR(__xludf.DUMMYFUNCTION("""COMPUTED_VALUE"""),"https://www.wgcu.org/section/science/2026-04-24/okeechobeeokee-onedoa")</f>
        <v>https://www.wgcu.org/section/science/2026-04-24/okeechobeeokee-onedoa</v>
      </c>
      <c r="AK109" s="2" t="str">
        <f>IFERROR(__xludf.DUMMYFUNCTION("""COMPUTED_VALUE"""),"https://cbs12.com/news/local/-florida-news-public-outcry-wins-okeechobee-scraps-data-center-project-special-technology-opportunity-centers-comprehensive-plan-future-land-use-transportation-housing-infrastructure-recreation-intergovernmental-coordination-c"&amp;"apital-improve")</f>
        <v>https://cbs12.com/news/local/-florida-news-public-outcry-wins-okeechobee-scraps-data-center-project-special-technology-opportunity-centers-comprehensive-plan-future-land-use-transportation-housing-infrastructure-recreation-intergovernmental-coordination-capital-improve</v>
      </c>
      <c r="AL109" s="1" t="str">
        <f>IFERROR(__xludf.DUMMYFUNCTION("""COMPUTED_VALUE"""),"")</f>
        <v/>
      </c>
      <c r="AM109" s="1" t="str">
        <f>IFERROR(__xludf.DUMMYFUNCTION("""COMPUTED_VALUE"""),"")</f>
        <v/>
      </c>
      <c r="AN109" s="1" t="str">
        <f>IFERROR(__xludf.DUMMYFUNCTION("""COMPUTED_VALUE"""),"")</f>
        <v/>
      </c>
      <c r="AO109" s="1" t="str">
        <f>IFERROR(__xludf.DUMMYFUNCTION("""COMPUTED_VALUE"""),"")</f>
        <v/>
      </c>
      <c r="AP109" s="1" t="str">
        <f>IFERROR(__xludf.DUMMYFUNCTION("""COMPUTED_VALUE"""),"")</f>
        <v/>
      </c>
      <c r="AQ109" s="1" t="str">
        <f>IFERROR(__xludf.DUMMYFUNCTION("""COMPUTED_VALUE"""),"04/27/2026")</f>
        <v>04/27/2026</v>
      </c>
      <c r="AR109" s="1" t="str">
        <f>IFERROR(__xludf.DUMMYFUNCTION("""COMPUTED_VALUE"""),"04/27/2026")</f>
        <v>04/27/2026</v>
      </c>
    </row>
    <row r="110">
      <c r="A110" s="1" t="str">
        <f>IFERROR(__xludf.DUMMYFUNCTION("""COMPUTED_VALUE"""),"H5 Data Center ")</f>
        <v>H5 Data Center </v>
      </c>
      <c r="B110" s="1" t="str">
        <f>IFERROR(__xludf.DUMMYFUNCTION("""COMPUTED_VALUE"""),"655 North Franklin St")</f>
        <v>655 North Franklin St</v>
      </c>
      <c r="C110" s="1" t="str">
        <f>IFERROR(__xludf.DUMMYFUNCTION("""COMPUTED_VALUE"""),"Tampa")</f>
        <v>Tampa</v>
      </c>
      <c r="D110" s="1" t="str">
        <f>IFERROR(__xludf.DUMMYFUNCTION("""COMPUTED_VALUE"""),"FL")</f>
        <v>FL</v>
      </c>
      <c r="E110" s="1" t="str">
        <f>IFERROR(__xludf.DUMMYFUNCTION("""COMPUTED_VALUE"""),"33602")</f>
        <v>33602</v>
      </c>
      <c r="F110" s="1" t="str">
        <f>IFERROR(__xludf.DUMMYFUNCTION("""COMPUTED_VALUE"""),"Hillsborough")</f>
        <v>Hillsborough</v>
      </c>
      <c r="G110" s="1" t="str">
        <f>IFERROR(__xludf.DUMMYFUNCTION("""COMPUTED_VALUE"""),"27.949583")</f>
        <v>27.949583</v>
      </c>
      <c r="H110" s="1" t="str">
        <f>IFERROR(__xludf.DUMMYFUNCTION("""COMPUTED_VALUE"""),"-82.45849")</f>
        <v>-82.45849</v>
      </c>
      <c r="I110" s="1" t="str">
        <f>IFERROR(__xludf.DUMMYFUNCTION("""COMPUTED_VALUE"""),"Proposed")</f>
        <v>Proposed</v>
      </c>
      <c r="J110" s="1" t="str">
        <f>IFERROR(__xludf.DUMMYFUNCTION("""COMPUTED_VALUE"""),"High")</f>
        <v>High</v>
      </c>
      <c r="K110" s="1" t="str">
        <f>IFERROR(__xludf.DUMMYFUNCTION("""COMPUTED_VALUE"""),"")</f>
        <v/>
      </c>
      <c r="L110" s="1" t="str">
        <f>IFERROR(__xludf.DUMMYFUNCTION("""COMPUTED_VALUE"""),"")</f>
        <v/>
      </c>
      <c r="M110" s="1" t="str">
        <f>IFERROR(__xludf.DUMMYFUNCTION("""COMPUTED_VALUE"""),"")</f>
        <v/>
      </c>
      <c r="N110" s="1" t="str">
        <f>IFERROR(__xludf.DUMMYFUNCTION("""COMPUTED_VALUE"""),"")</f>
        <v/>
      </c>
      <c r="O110" s="1" t="str">
        <f>IFERROR(__xludf.DUMMYFUNCTION("""COMPUTED_VALUE"""),"Unknown")</f>
        <v>Unknown</v>
      </c>
      <c r="P110" s="1" t="str">
        <f>IFERROR(__xludf.DUMMYFUNCTION("""COMPUTED_VALUE"""),"")</f>
        <v/>
      </c>
      <c r="Q110" s="1" t="str">
        <f>IFERROR(__xludf.DUMMYFUNCTION("""COMPUTED_VALUE"""),"")</f>
        <v/>
      </c>
      <c r="R110" s="1" t="str">
        <f>IFERROR(__xludf.DUMMYFUNCTION("""COMPUTED_VALUE"""),"")</f>
        <v/>
      </c>
      <c r="S110" s="1" t="str">
        <f>IFERROR(__xludf.DUMMYFUNCTION("""COMPUTED_VALUE"""),"")</f>
        <v/>
      </c>
      <c r="T110" s="1" t="str">
        <f>IFERROR(__xludf.DUMMYFUNCTION("""COMPUTED_VALUE"""),"")</f>
        <v/>
      </c>
      <c r="U110" s="1" t="str">
        <f>IFERROR(__xludf.DUMMYFUNCTION("""COMPUTED_VALUE"""),"")</f>
        <v/>
      </c>
      <c r="V110" s="1" t="str">
        <f>IFERROR(__xludf.DUMMYFUNCTION("""COMPUTED_VALUE"""),"30,400")</f>
        <v>30,400</v>
      </c>
      <c r="W110" s="1" t="str">
        <f>IFERROR(__xludf.DUMMYFUNCTION("""COMPUTED_VALUE"""),"")</f>
        <v/>
      </c>
      <c r="X110" s="1" t="str">
        <f>IFERROR(__xludf.DUMMYFUNCTION("""COMPUTED_VALUE"""),"")</f>
        <v/>
      </c>
      <c r="Y110" s="1" t="str">
        <f>IFERROR(__xludf.DUMMYFUNCTION("""COMPUTED_VALUE"""),"")</f>
        <v/>
      </c>
      <c r="Z110" s="1" t="str">
        <f>IFERROR(__xludf.DUMMYFUNCTION("""COMPUTED_VALUE"""),"Unknown")</f>
        <v>Unknown</v>
      </c>
      <c r="AA110" s="1" t="str">
        <f>IFERROR(__xludf.DUMMYFUNCTION("""COMPUTED_VALUE"""),"")</f>
        <v/>
      </c>
      <c r="AB110" s="1" t="str">
        <f>IFERROR(__xludf.DUMMYFUNCTION("""COMPUTED_VALUE"""),"")</f>
        <v/>
      </c>
      <c r="AC110" s="1" t="str">
        <f>IFERROR(__xludf.DUMMYFUNCTION("""COMPUTED_VALUE"""),"")</f>
        <v/>
      </c>
      <c r="AD110" s="1" t="str">
        <f>IFERROR(__xludf.DUMMYFUNCTION("""COMPUTED_VALUE"""),"")</f>
        <v/>
      </c>
      <c r="AE110" s="1" t="str">
        <f>IFERROR(__xludf.DUMMYFUNCTION("""COMPUTED_VALUE"""),"")</f>
        <v/>
      </c>
      <c r="AF110" s="1" t="str">
        <f>IFERROR(__xludf.DUMMYFUNCTION("""COMPUTED_VALUE"""),"")</f>
        <v/>
      </c>
      <c r="AG110" s="1" t="str">
        <f>IFERROR(__xludf.DUMMYFUNCTION("""COMPUTED_VALUE"""),"")</f>
        <v/>
      </c>
      <c r="AH110" s="1" t="str">
        <f>IFERROR(__xludf.DUMMYFUNCTION("""COMPUTED_VALUE"""),"Media Monitoring")</f>
        <v>Media Monitoring</v>
      </c>
      <c r="AI110" s="2" t="str">
        <f>IFERROR(__xludf.DUMMYFUNCTION("""COMPUTED_VALUE"""),"https://www.datacenterdynamics.com/en/news/h5-and-novacap-launch-new-data-center-platform-acquire-three-carrier-hotels-from-365/")</f>
        <v>https://www.datacenterdynamics.com/en/news/h5-and-novacap-launch-new-data-center-platform-acquire-three-carrier-hotels-from-365/</v>
      </c>
      <c r="AJ110" s="1" t="str">
        <f>IFERROR(__xludf.DUMMYFUNCTION("""COMPUTED_VALUE"""),"")</f>
        <v/>
      </c>
      <c r="AK110" s="1" t="str">
        <f>IFERROR(__xludf.DUMMYFUNCTION("""COMPUTED_VALUE"""),"")</f>
        <v/>
      </c>
      <c r="AL110" s="1" t="str">
        <f>IFERROR(__xludf.DUMMYFUNCTION("""COMPUTED_VALUE"""),"")</f>
        <v/>
      </c>
      <c r="AM110" s="1" t="str">
        <f>IFERROR(__xludf.DUMMYFUNCTION("""COMPUTED_VALUE"""),"")</f>
        <v/>
      </c>
      <c r="AN110" s="1" t="str">
        <f>IFERROR(__xludf.DUMMYFUNCTION("""COMPUTED_VALUE"""),"")</f>
        <v/>
      </c>
      <c r="AO110" s="1" t="str">
        <f>IFERROR(__xludf.DUMMYFUNCTION("""COMPUTED_VALUE"""),"")</f>
        <v/>
      </c>
      <c r="AP110" s="1" t="str">
        <f>IFERROR(__xludf.DUMMYFUNCTION("""COMPUTED_VALUE"""),"")</f>
        <v/>
      </c>
      <c r="AQ110" s="1" t="str">
        <f>IFERROR(__xludf.DUMMYFUNCTION("""COMPUTED_VALUE"""),"03/04/2026")</f>
        <v>03/04/2026</v>
      </c>
      <c r="AR110" s="1" t="str">
        <f>IFERROR(__xludf.DUMMYFUNCTION("""COMPUTED_VALUE"""),"03/04/2026")</f>
        <v>03/04/2026</v>
      </c>
    </row>
    <row r="111">
      <c r="A111" s="1" t="str">
        <f>IFERROR(__xludf.DUMMYFUNCTION("""COMPUTED_VALUE"""),"Eagle Rock Jones County")</f>
        <v>Eagle Rock Jones County</v>
      </c>
      <c r="B111" s="1" t="str">
        <f>IFERROR(__xludf.DUMMYFUNCTION("""COMPUTED_VALUE"""),"approximately 3 miles southwest of the intersection of Highway 49 and Highway 18")</f>
        <v>approximately 3 miles southwest of the intersection of Highway 49 and Highway 18</v>
      </c>
      <c r="C111" s="1" t="str">
        <f>IFERROR(__xludf.DUMMYFUNCTION("""COMPUTED_VALUE"""),"")</f>
        <v/>
      </c>
      <c r="D111" s="1" t="str">
        <f>IFERROR(__xludf.DUMMYFUNCTION("""COMPUTED_VALUE"""),"GA")</f>
        <v>GA</v>
      </c>
      <c r="E111" s="1" t="str">
        <f>IFERROR(__xludf.DUMMYFUNCTION("""COMPUTED_VALUE"""),"")</f>
        <v/>
      </c>
      <c r="F111" s="1" t="str">
        <f>IFERROR(__xludf.DUMMYFUNCTION("""COMPUTED_VALUE"""),"Jones")</f>
        <v>Jones</v>
      </c>
      <c r="G111" s="1" t="str">
        <f>IFERROR(__xludf.DUMMYFUNCTION("""COMPUTED_VALUE"""),"32.91274")</f>
        <v>32.91274</v>
      </c>
      <c r="H111" s="1" t="str">
        <f>IFERROR(__xludf.DUMMYFUNCTION("""COMPUTED_VALUE"""),"-83.472046")</f>
        <v>-83.472046</v>
      </c>
      <c r="I111" s="1" t="str">
        <f>IFERROR(__xludf.DUMMYFUNCTION("""COMPUTED_VALUE"""),"Suspended")</f>
        <v>Suspended</v>
      </c>
      <c r="J111" s="1" t="str">
        <f>IFERROR(__xludf.DUMMYFUNCTION("""COMPUTED_VALUE"""),"High")</f>
        <v>High</v>
      </c>
      <c r="K111" s="1" t="str">
        <f>IFERROR(__xludf.DUMMYFUNCTION("""COMPUTED_VALUE"""),"")</f>
        <v/>
      </c>
      <c r="L111" s="1" t="str">
        <f>IFERROR(__xludf.DUMMYFUNCTION("""COMPUTED_VALUE"""),"Eagle Rock Partners LLC and Thomas &amp; Hutton Engineering")</f>
        <v>Eagle Rock Partners LLC and Thomas &amp; Hutton Engineering</v>
      </c>
      <c r="M111" s="1" t="str">
        <f>IFERROR(__xludf.DUMMYFUNCTION("""COMPUTED_VALUE"""),"")</f>
        <v/>
      </c>
      <c r="N111" s="1" t="str">
        <f>IFERROR(__xludf.DUMMYFUNCTION("""COMPUTED_VALUE"""),"900")</f>
        <v>900</v>
      </c>
      <c r="O111" s="1" t="str">
        <f>IFERROR(__xludf.DUMMYFUNCTION("""COMPUTED_VALUE"""),"Hyperscale (100-999 MW)")</f>
        <v>Hyperscale (100-999 MW)</v>
      </c>
      <c r="P111" s="1" t="str">
        <f>IFERROR(__xludf.DUMMYFUNCTION("""COMPUTED_VALUE"""),"")</f>
        <v/>
      </c>
      <c r="Q111" s="1" t="str">
        <f>IFERROR(__xludf.DUMMYFUNCTION("""COMPUTED_VALUE"""),"")</f>
        <v/>
      </c>
      <c r="R111" s="1" t="str">
        <f>IFERROR(__xludf.DUMMYFUNCTION("""COMPUTED_VALUE"""),"")</f>
        <v/>
      </c>
      <c r="S111" s="1" t="str">
        <f>IFERROR(__xludf.DUMMYFUNCTION("""COMPUTED_VALUE"""),"")</f>
        <v/>
      </c>
      <c r="T111" s="1" t="str">
        <f>IFERROR(__xludf.DUMMYFUNCTION("""COMPUTED_VALUE"""),"")</f>
        <v/>
      </c>
      <c r="U111" s="1" t="str">
        <f>IFERROR(__xludf.DUMMYFUNCTION("""COMPUTED_VALUE"""),"")</f>
        <v/>
      </c>
      <c r="V111" s="1" t="str">
        <f>IFERROR(__xludf.DUMMYFUNCTION("""COMPUTED_VALUE"""),"")</f>
        <v/>
      </c>
      <c r="W111" s="1" t="str">
        <f>IFERROR(__xludf.DUMMYFUNCTION("""COMPUTED_VALUE"""),"")</f>
        <v/>
      </c>
      <c r="X111" s="1" t="str">
        <f>IFERROR(__xludf.DUMMYFUNCTION("""COMPUTED_VALUE"""),"")</f>
        <v/>
      </c>
      <c r="Y111" s="1" t="str">
        <f>IFERROR(__xludf.DUMMYFUNCTION("""COMPUTED_VALUE"""),"")</f>
        <v/>
      </c>
      <c r="Z111" s="1" t="str">
        <f>IFERROR(__xludf.DUMMYFUNCTION("""COMPUTED_VALUE"""),"Yes")</f>
        <v>Yes</v>
      </c>
      <c r="AA111" s="1" t="str">
        <f>IFERROR(__xludf.DUMMYFUNCTION("""COMPUTED_VALUE"""),"")</f>
        <v/>
      </c>
      <c r="AB111" s="1" t="str">
        <f>IFERROR(__xludf.DUMMYFUNCTION("""COMPUTED_VALUE"""),"")</f>
        <v/>
      </c>
      <c r="AC111" s="1" t="str">
        <f>IFERROR(__xludf.DUMMYFUNCTION("""COMPUTED_VALUE"""),"")</f>
        <v/>
      </c>
      <c r="AD111" s="2" t="str">
        <f>IFERROR(__xludf.DUMMYFUNCTION("""COMPUTED_VALUE"""),"https://www.facebook.com/groups/1699215814102745/")</f>
        <v>https://www.facebook.com/groups/1699215814102745/</v>
      </c>
      <c r="AE111" s="1" t="str">
        <f>IFERROR(__xludf.DUMMYFUNCTION("""COMPUTED_VALUE"""),"")</f>
        <v/>
      </c>
      <c r="AF111" s="1" t="str">
        <f>IFERROR(__xludf.DUMMYFUNCTION("""COMPUTED_VALUE"""),"")</f>
        <v/>
      </c>
      <c r="AG111" s="1" t="str">
        <f>IFERROR(__xludf.DUMMYFUNCTION("""COMPUTED_VALUE"""),"")</f>
        <v/>
      </c>
      <c r="AH111" s="1" t="str">
        <f>IFERROR(__xludf.DUMMYFUNCTION("""COMPUTED_VALUE"""),"Sci4GA")</f>
        <v>Sci4GA</v>
      </c>
      <c r="AI111" s="2" t="str">
        <f>IFERROR(__xludf.DUMMYFUNCTION("""COMPUTED_VALUE"""),"https://www.13wmaz.com/article/news/local/600-acre-data-center-proposed-for-jones-county-faces-early-opposition/93-25e72bf8-9eed-47ae-a351-8b7a05ee723f#")</f>
        <v>https://www.13wmaz.com/article/news/local/600-acre-data-center-proposed-for-jones-county-faces-early-opposition/93-25e72bf8-9eed-47ae-a351-8b7a05ee723f#</v>
      </c>
      <c r="AJ111" s="1" t="str">
        <f>IFERROR(__xludf.DUMMYFUNCTION("""COMPUTED_VALUE"""),"")</f>
        <v/>
      </c>
      <c r="AK111" s="1" t="str">
        <f>IFERROR(__xludf.DUMMYFUNCTION("""COMPUTED_VALUE"""),"")</f>
        <v/>
      </c>
      <c r="AL111" s="1" t="str">
        <f>IFERROR(__xludf.DUMMYFUNCTION("""COMPUTED_VALUE"""),"")</f>
        <v/>
      </c>
      <c r="AM111" s="1" t="str">
        <f>IFERROR(__xludf.DUMMYFUNCTION("""COMPUTED_VALUE"""),"")</f>
        <v/>
      </c>
      <c r="AN111" s="1" t="str">
        <f>IFERROR(__xludf.DUMMYFUNCTION("""COMPUTED_VALUE"""),"")</f>
        <v/>
      </c>
      <c r="AO111" s="1" t="str">
        <f>IFERROR(__xludf.DUMMYFUNCTION("""COMPUTED_VALUE"""),"")</f>
        <v/>
      </c>
      <c r="AP111" s="1" t="str">
        <f>IFERROR(__xludf.DUMMYFUNCTION("""COMPUTED_VALUE"""),"")</f>
        <v/>
      </c>
      <c r="AQ111" s="1" t="str">
        <f>IFERROR(__xludf.DUMMYFUNCTION("""COMPUTED_VALUE"""),"10/16/2025")</f>
        <v>10/16/2025</v>
      </c>
      <c r="AR111" s="1" t="str">
        <f>IFERROR(__xludf.DUMMYFUNCTION("""COMPUTED_VALUE"""),"10/16/2025")</f>
        <v>10/16/2025</v>
      </c>
    </row>
    <row r="112">
      <c r="A112" s="1" t="str">
        <f>IFERROR(__xludf.DUMMYFUNCTION("""COMPUTED_VALUE"""),"Dixon Data Center/Project Sassy")</f>
        <v>Dixon Data Center/Project Sassy</v>
      </c>
      <c r="B112" s="1" t="str">
        <f>IFERROR(__xludf.DUMMYFUNCTION("""COMPUTED_VALUE"""),"Plainville Road and Ga-53")</f>
        <v>Plainville Road and Ga-53</v>
      </c>
      <c r="C112" s="1" t="str">
        <f>IFERROR(__xludf.DUMMYFUNCTION("""COMPUTED_VALUE"""),"Adairsville")</f>
        <v>Adairsville</v>
      </c>
      <c r="D112" s="1" t="str">
        <f>IFERROR(__xludf.DUMMYFUNCTION("""COMPUTED_VALUE"""),"GA")</f>
        <v>GA</v>
      </c>
      <c r="E112" s="1" t="str">
        <f>IFERROR(__xludf.DUMMYFUNCTION("""COMPUTED_VALUE"""),"30103")</f>
        <v>30103</v>
      </c>
      <c r="F112" s="1" t="str">
        <f>IFERROR(__xludf.DUMMYFUNCTION("""COMPUTED_VALUE"""),"Floyd")</f>
        <v>Floyd</v>
      </c>
      <c r="G112" s="1" t="str">
        <f>IFERROR(__xludf.DUMMYFUNCTION("""COMPUTED_VALUE"""),"34.37998")</f>
        <v>34.37998</v>
      </c>
      <c r="H112" s="1" t="str">
        <f>IFERROR(__xludf.DUMMYFUNCTION("""COMPUTED_VALUE"""),"-85.034")</f>
        <v>-85.034</v>
      </c>
      <c r="I112" s="1" t="str">
        <f>IFERROR(__xludf.DUMMYFUNCTION("""COMPUTED_VALUE"""),"Proposed")</f>
        <v>Proposed</v>
      </c>
      <c r="J112" s="1" t="str">
        <f>IFERROR(__xludf.DUMMYFUNCTION("""COMPUTED_VALUE"""),"High")</f>
        <v>High</v>
      </c>
      <c r="K112" s="1" t="str">
        <f>IFERROR(__xludf.DUMMYFUNCTION("""COMPUTED_VALUE"""),"")</f>
        <v/>
      </c>
      <c r="L112" s="1" t="str">
        <f>IFERROR(__xludf.DUMMYFUNCTION("""COMPUTED_VALUE"""),"Atlas Development")</f>
        <v>Atlas Development</v>
      </c>
      <c r="M112" s="1" t="str">
        <f>IFERROR(__xludf.DUMMYFUNCTION("""COMPUTED_VALUE"""),"")</f>
        <v/>
      </c>
      <c r="N112" s="1" t="str">
        <f>IFERROR(__xludf.DUMMYFUNCTION("""COMPUTED_VALUE"""),"200")</f>
        <v>200</v>
      </c>
      <c r="O112" s="1" t="str">
        <f>IFERROR(__xludf.DUMMYFUNCTION("""COMPUTED_VALUE"""),"Hyperscale (100-999 MW)")</f>
        <v>Hyperscale (100-999 MW)</v>
      </c>
      <c r="P112" s="1" t="str">
        <f>IFERROR(__xludf.DUMMYFUNCTION("""COMPUTED_VALUE"""),"")</f>
        <v/>
      </c>
      <c r="Q112" s="1" t="str">
        <f>IFERROR(__xludf.DUMMYFUNCTION("""COMPUTED_VALUE"""),"")</f>
        <v/>
      </c>
      <c r="R112" s="1" t="str">
        <f>IFERROR(__xludf.DUMMYFUNCTION("""COMPUTED_VALUE"""),"")</f>
        <v/>
      </c>
      <c r="S112" s="1" t="str">
        <f>IFERROR(__xludf.DUMMYFUNCTION("""COMPUTED_VALUE"""),"")</f>
        <v/>
      </c>
      <c r="T112" s="1" t="str">
        <f>IFERROR(__xludf.DUMMYFUNCTION("""COMPUTED_VALUE"""),"")</f>
        <v/>
      </c>
      <c r="U112" s="1" t="str">
        <f>IFERROR(__xludf.DUMMYFUNCTION("""COMPUTED_VALUE"""),"")</f>
        <v/>
      </c>
      <c r="V112" s="1" t="str">
        <f>IFERROR(__xludf.DUMMYFUNCTION("""COMPUTED_VALUE"""),"2,000,000")</f>
        <v>2,000,000</v>
      </c>
      <c r="W112" s="1" t="str">
        <f>IFERROR(__xludf.DUMMYFUNCTION("""COMPUTED_VALUE"""),"")</f>
        <v/>
      </c>
      <c r="X112" s="1" t="str">
        <f>IFERROR(__xludf.DUMMYFUNCTION("""COMPUTED_VALUE"""),"")</f>
        <v/>
      </c>
      <c r="Y112" s="1" t="str">
        <f>IFERROR(__xludf.DUMMYFUNCTION("""COMPUTED_VALUE"""),"")</f>
        <v/>
      </c>
      <c r="Z112" s="1" t="str">
        <f>IFERROR(__xludf.DUMMYFUNCTION("""COMPUTED_VALUE"""),"Unknown")</f>
        <v>Unknown</v>
      </c>
      <c r="AA112" s="1" t="str">
        <f>IFERROR(__xludf.DUMMYFUNCTION("""COMPUTED_VALUE"""),"")</f>
        <v/>
      </c>
      <c r="AB112" s="1" t="str">
        <f>IFERROR(__xludf.DUMMYFUNCTION("""COMPUTED_VALUE"""),"")</f>
        <v/>
      </c>
      <c r="AC112" s="1" t="str">
        <f>IFERROR(__xludf.DUMMYFUNCTION("""COMPUTED_VALUE"""),"")</f>
        <v/>
      </c>
      <c r="AD112" s="1" t="str">
        <f>IFERROR(__xludf.DUMMYFUNCTION("""COMPUTED_VALUE"""),"")</f>
        <v/>
      </c>
      <c r="AE112" s="1" t="str">
        <f>IFERROR(__xludf.DUMMYFUNCTION("""COMPUTED_VALUE"""),"")</f>
        <v/>
      </c>
      <c r="AF112" s="1" t="str">
        <f>IFERROR(__xludf.DUMMYFUNCTION("""COMPUTED_VALUE"""),"")</f>
        <v/>
      </c>
      <c r="AG112" s="1" t="str">
        <f>IFERROR(__xludf.DUMMYFUNCTION("""COMPUTED_VALUE"""),"")</f>
        <v/>
      </c>
      <c r="AH112" s="1" t="str">
        <f>IFERROR(__xludf.DUMMYFUNCTION("""COMPUTED_VALUE"""),"Sci4GA")</f>
        <v>Sci4GA</v>
      </c>
      <c r="AI112" s="2" t="str">
        <f>IFERROR(__xludf.DUMMYFUNCTION("""COMPUTED_VALUE"""),"https://www.datacenterdynamics.com/en/news/atlas-named-as-developer-on-project-sassy-in-rome-georgia/")</f>
        <v>https://www.datacenterdynamics.com/en/news/atlas-named-as-developer-on-project-sassy-in-rome-georgia/</v>
      </c>
      <c r="AJ112" s="1" t="str">
        <f>IFERROR(__xludf.DUMMYFUNCTION("""COMPUTED_VALUE"""),"")</f>
        <v/>
      </c>
      <c r="AK112" s="1" t="str">
        <f>IFERROR(__xludf.DUMMYFUNCTION("""COMPUTED_VALUE"""),"")</f>
        <v/>
      </c>
      <c r="AL112" s="1" t="str">
        <f>IFERROR(__xludf.DUMMYFUNCTION("""COMPUTED_VALUE"""),"")</f>
        <v/>
      </c>
      <c r="AM112" s="1" t="str">
        <f>IFERROR(__xludf.DUMMYFUNCTION("""COMPUTED_VALUE"""),"")</f>
        <v/>
      </c>
      <c r="AN112" s="1" t="str">
        <f>IFERROR(__xludf.DUMMYFUNCTION("""COMPUTED_VALUE"""),"")</f>
        <v/>
      </c>
      <c r="AO112" s="1" t="str">
        <f>IFERROR(__xludf.DUMMYFUNCTION("""COMPUTED_VALUE"""),"")</f>
        <v/>
      </c>
      <c r="AP112" s="1" t="str">
        <f>IFERROR(__xludf.DUMMYFUNCTION("""COMPUTED_VALUE"""),"")</f>
        <v/>
      </c>
      <c r="AQ112" s="1" t="str">
        <f>IFERROR(__xludf.DUMMYFUNCTION("""COMPUTED_VALUE"""),"10/16/2025")</f>
        <v>10/16/2025</v>
      </c>
      <c r="AR112" s="1" t="str">
        <f>IFERROR(__xludf.DUMMYFUNCTION("""COMPUTED_VALUE"""),"10/16/2025")</f>
        <v>10/16/2025</v>
      </c>
    </row>
    <row r="113">
      <c r="A113" s="1" t="str">
        <f>IFERROR(__xludf.DUMMYFUNCTION("""COMPUTED_VALUE"""),"Project Springbank")</f>
        <v>Project Springbank</v>
      </c>
      <c r="B113" s="1" t="str">
        <f>IFERROR(__xludf.DUMMYFUNCTION("""COMPUTED_VALUE"""),"Perkins Mountain Rd")</f>
        <v>Perkins Mountain Rd</v>
      </c>
      <c r="C113" s="1" t="str">
        <f>IFERROR(__xludf.DUMMYFUNCTION("""COMPUTED_VALUE"""),"Adairsville")</f>
        <v>Adairsville</v>
      </c>
      <c r="D113" s="1" t="str">
        <f>IFERROR(__xludf.DUMMYFUNCTION("""COMPUTED_VALUE"""),"GA")</f>
        <v>GA</v>
      </c>
      <c r="E113" s="1" t="str">
        <f>IFERROR(__xludf.DUMMYFUNCTION("""COMPUTED_VALUE"""),"30145")</f>
        <v>30145</v>
      </c>
      <c r="F113" s="1" t="str">
        <f>IFERROR(__xludf.DUMMYFUNCTION("""COMPUTED_VALUE"""),"Bartow")</f>
        <v>Bartow</v>
      </c>
      <c r="G113" s="1" t="str">
        <f>IFERROR(__xludf.DUMMYFUNCTION("""COMPUTED_VALUE"""),"34.30926")</f>
        <v>34.30926</v>
      </c>
      <c r="H113" s="1" t="str">
        <f>IFERROR(__xludf.DUMMYFUNCTION("""COMPUTED_VALUE"""),"-84.9633")</f>
        <v>-84.9633</v>
      </c>
      <c r="I113" s="1" t="str">
        <f>IFERROR(__xludf.DUMMYFUNCTION("""COMPUTED_VALUE"""),"Cancelled")</f>
        <v>Cancelled</v>
      </c>
      <c r="J113" s="1" t="str">
        <f>IFERROR(__xludf.DUMMYFUNCTION("""COMPUTED_VALUE"""),"High")</f>
        <v>High</v>
      </c>
      <c r="K113" s="1" t="str">
        <f>IFERROR(__xludf.DUMMYFUNCTION("""COMPUTED_VALUE"""),"")</f>
        <v/>
      </c>
      <c r="L113" s="1" t="str">
        <f>IFERROR(__xludf.DUMMYFUNCTION("""COMPUTED_VALUE"""),"Atlas Development")</f>
        <v>Atlas Development</v>
      </c>
      <c r="M113" s="1" t="str">
        <f>IFERROR(__xludf.DUMMYFUNCTION("""COMPUTED_VALUE"""),"")</f>
        <v/>
      </c>
      <c r="N113" s="1" t="str">
        <f>IFERROR(__xludf.DUMMYFUNCTION("""COMPUTED_VALUE"""),"78")</f>
        <v>78</v>
      </c>
      <c r="O113" s="1" t="str">
        <f>IFERROR(__xludf.DUMMYFUNCTION("""COMPUTED_VALUE"""),"Large (51-99 MW)")</f>
        <v>Large (51-99 MW)</v>
      </c>
      <c r="P113" s="1" t="str">
        <f>IFERROR(__xludf.DUMMYFUNCTION("""COMPUTED_VALUE"""),"")</f>
        <v/>
      </c>
      <c r="Q113" s="1" t="str">
        <f>IFERROR(__xludf.DUMMYFUNCTION("""COMPUTED_VALUE"""),"")</f>
        <v/>
      </c>
      <c r="R113" s="1" t="str">
        <f>IFERROR(__xludf.DUMMYFUNCTION("""COMPUTED_VALUE"""),"")</f>
        <v/>
      </c>
      <c r="S113" s="1" t="str">
        <f>IFERROR(__xludf.DUMMYFUNCTION("""COMPUTED_VALUE"""),"6")</f>
        <v>6</v>
      </c>
      <c r="T113" s="1" t="str">
        <f>IFERROR(__xludf.DUMMYFUNCTION("""COMPUTED_VALUE"""),"")</f>
        <v/>
      </c>
      <c r="U113" s="1" t="str">
        <f>IFERROR(__xludf.DUMMYFUNCTION("""COMPUTED_VALUE"""),"")</f>
        <v/>
      </c>
      <c r="V113" s="1" t="str">
        <f>IFERROR(__xludf.DUMMYFUNCTION("""COMPUTED_VALUE"""),"2,270,000")</f>
        <v>2,270,000</v>
      </c>
      <c r="W113" s="1" t="str">
        <f>IFERROR(__xludf.DUMMYFUNCTION("""COMPUTED_VALUE"""),"")</f>
        <v/>
      </c>
      <c r="X113" s="1" t="str">
        <f>IFERROR(__xludf.DUMMYFUNCTION("""COMPUTED_VALUE"""),"$4.5 billion")</f>
        <v>$4.5 billion</v>
      </c>
      <c r="Y113" s="1" t="str">
        <f>IFERROR(__xludf.DUMMYFUNCTION("""COMPUTED_VALUE"""),"")</f>
        <v/>
      </c>
      <c r="Z113" s="1" t="str">
        <f>IFERROR(__xludf.DUMMYFUNCTION("""COMPUTED_VALUE"""),"Yes")</f>
        <v>Yes</v>
      </c>
      <c r="AA113" s="1" t="str">
        <f>IFERROR(__xludf.DUMMYFUNCTION("""COMPUTED_VALUE"""),"Advocacy regarding Project Springbank in Adairsville, GA, centers on a successful community-led campaign that resulted in the developer, Atlas Development, withdrawing its rezoning application in May 2025. Despite the project being formally cancelled, loc"&amp;"al and statewide advocacy remains high to prevent similar developments from resurfacing.")</f>
        <v>Advocacy regarding Project Springbank in Adairsville, GA, centers on a successful community-led campaign that resulted in the developer, Atlas Development, withdrawing its rezoning application in May 2025. Despite the project being formally cancelled, local and statewide advocacy remains high to prevent similar developments from resurfacing.</v>
      </c>
      <c r="AB113" s="1" t="str">
        <f>IFERROR(__xludf.DUMMYFUNCTION("""COMPUTED_VALUE"""),"")</f>
        <v/>
      </c>
      <c r="AC113" s="1" t="str">
        <f>IFERROR(__xludf.DUMMYFUNCTION("""COMPUTED_VALUE"""),"")</f>
        <v/>
      </c>
      <c r="AD113" s="2" t="str">
        <f>IFERROR(__xludf.DUMMYFUNCTION("""COMPUTED_VALUE"""),"https://www.facebook.com/groups/1072832508191794/")</f>
        <v>https://www.facebook.com/groups/1072832508191794/</v>
      </c>
      <c r="AE113" s="1" t="str">
        <f>IFERROR(__xludf.DUMMYFUNCTION("""COMPUTED_VALUE"""),"")</f>
        <v/>
      </c>
      <c r="AF113" s="1" t="str">
        <f>IFERROR(__xludf.DUMMYFUNCTION("""COMPUTED_VALUE"""),"")</f>
        <v/>
      </c>
      <c r="AG113" s="1" t="str">
        <f>IFERROR(__xludf.DUMMYFUNCTION("""COMPUTED_VALUE"""),"Project withdrawn")</f>
        <v>Project withdrawn</v>
      </c>
      <c r="AH113" s="1" t="str">
        <f>IFERROR(__xludf.DUMMYFUNCTION("""COMPUTED_VALUE"""),"Media Monitoring")</f>
        <v>Media Monitoring</v>
      </c>
      <c r="AI113" s="2" t="str">
        <f>IFERROR(__xludf.DUMMYFUNCTION("""COMPUTED_VALUE"""),"https://www.datacenterdynamics.com/en/news/two-million-sq-ft-data-center-campus-planned-outside-atlanta-georgia/")</f>
        <v>https://www.datacenterdynamics.com/en/news/two-million-sq-ft-data-center-campus-planned-outside-atlanta-georgia/</v>
      </c>
      <c r="AJ113" s="2" t="str">
        <f>IFERROR(__xludf.DUMMYFUNCTION("""COMPUTED_VALUE"""),"https://www.ajc.com/news/business/45b-project-springbank-joins-metro-atlantas-data-center-pipeline/2ZNPEXHMIZBXNPKIPWHJZ4FLH4/")</f>
        <v>https://www.ajc.com/news/business/45b-project-springbank-joins-metro-atlantas-data-center-pipeline/2ZNPEXHMIZBXNPKIPWHJZ4FLH4/</v>
      </c>
      <c r="AK113" s="2" t="str">
        <f>IFERROR(__xludf.DUMMYFUNCTION("""COMPUTED_VALUE"""),"https://www.ajc.com/news/2025/06/as-data-centers-grow-larger-so-does-pushback-across-georgia/")</f>
        <v>https://www.ajc.com/news/2025/06/as-data-centers-grow-larger-so-does-pushback-across-georgia/</v>
      </c>
      <c r="AL113" s="1" t="str">
        <f>IFERROR(__xludf.DUMMYFUNCTION("""COMPUTED_VALUE"""),"")</f>
        <v/>
      </c>
      <c r="AM113" s="1" t="str">
        <f>IFERROR(__xludf.DUMMYFUNCTION("""COMPUTED_VALUE"""),"")</f>
        <v/>
      </c>
      <c r="AN113" s="1" t="str">
        <f>IFERROR(__xludf.DUMMYFUNCTION("""COMPUTED_VALUE"""),"")</f>
        <v/>
      </c>
      <c r="AO113" s="1" t="str">
        <f>IFERROR(__xludf.DUMMYFUNCTION("""COMPUTED_VALUE"""),"")</f>
        <v/>
      </c>
      <c r="AP113" s="1" t="str">
        <f>IFERROR(__xludf.DUMMYFUNCTION("""COMPUTED_VALUE"""),"")</f>
        <v/>
      </c>
      <c r="AQ113" s="1" t="str">
        <f>IFERROR(__xludf.DUMMYFUNCTION("""COMPUTED_VALUE"""),"05/25/2025")</f>
        <v>05/25/2025</v>
      </c>
      <c r="AR113" s="1" t="str">
        <f>IFERROR(__xludf.DUMMYFUNCTION("""COMPUTED_VALUE"""),"06/08/2026")</f>
        <v>06/08/2026</v>
      </c>
    </row>
    <row r="114">
      <c r="A114" s="1" t="str">
        <f>IFERROR(__xludf.DUMMYFUNCTION("""COMPUTED_VALUE"""),"Alpharetta GA1")</f>
        <v>Alpharetta GA1</v>
      </c>
      <c r="B114" s="1" t="str">
        <f>IFERROR(__xludf.DUMMYFUNCTION("""COMPUTED_VALUE"""),"11650 Great Oaks Way")</f>
        <v>11650 Great Oaks Way</v>
      </c>
      <c r="C114" s="1" t="str">
        <f>IFERROR(__xludf.DUMMYFUNCTION("""COMPUTED_VALUE"""),"Alpharetta")</f>
        <v>Alpharetta</v>
      </c>
      <c r="D114" s="1" t="str">
        <f>IFERROR(__xludf.DUMMYFUNCTION("""COMPUTED_VALUE"""),"GA")</f>
        <v>GA</v>
      </c>
      <c r="E114" s="1" t="str">
        <f>IFERROR(__xludf.DUMMYFUNCTION("""COMPUTED_VALUE"""),"30022")</f>
        <v>30022</v>
      </c>
      <c r="F114" s="1" t="str">
        <f>IFERROR(__xludf.DUMMYFUNCTION("""COMPUTED_VALUE"""),"Fulton")</f>
        <v>Fulton</v>
      </c>
      <c r="G114" s="1" t="str">
        <f>IFERROR(__xludf.DUMMYFUNCTION("""COMPUTED_VALUE"""),"34.063183")</f>
        <v>34.063183</v>
      </c>
      <c r="H114" s="1" t="str">
        <f>IFERROR(__xludf.DUMMYFUNCTION("""COMPUTED_VALUE"""),"-84.272896")</f>
        <v>-84.272896</v>
      </c>
      <c r="I114" s="1" t="str">
        <f>IFERROR(__xludf.DUMMYFUNCTION("""COMPUTED_VALUE"""),"Operating")</f>
        <v>Operating</v>
      </c>
      <c r="J114" s="1" t="str">
        <f>IFERROR(__xludf.DUMMYFUNCTION("""COMPUTED_VALUE"""),"High")</f>
        <v>High</v>
      </c>
      <c r="K114" s="1" t="str">
        <f>IFERROR(__xludf.DUMMYFUNCTION("""COMPUTED_VALUE"""),"")</f>
        <v/>
      </c>
      <c r="L114" s="1" t="str">
        <f>IFERROR(__xludf.DUMMYFUNCTION("""COMPUTED_VALUE"""),"365 Data Centers")</f>
        <v>365 Data Centers</v>
      </c>
      <c r="M114" s="1" t="str">
        <f>IFERROR(__xludf.DUMMYFUNCTION("""COMPUTED_VALUE"""),"")</f>
        <v/>
      </c>
      <c r="N114" s="1" t="str">
        <f>IFERROR(__xludf.DUMMYFUNCTION("""COMPUTED_VALUE"""),"4")</f>
        <v>4</v>
      </c>
      <c r="O114" s="1" t="str">
        <f>IFERROR(__xludf.DUMMYFUNCTION("""COMPUTED_VALUE"""),"Small (0-10 MW)")</f>
        <v>Small (0-10 MW)</v>
      </c>
      <c r="P114" s="1" t="str">
        <f>IFERROR(__xludf.DUMMYFUNCTION("""COMPUTED_VALUE"""),"")</f>
        <v/>
      </c>
      <c r="Q114" s="1" t="str">
        <f>IFERROR(__xludf.DUMMYFUNCTION("""COMPUTED_VALUE"""),"")</f>
        <v/>
      </c>
      <c r="R114" s="1" t="str">
        <f>IFERROR(__xludf.DUMMYFUNCTION("""COMPUTED_VALUE"""),"")</f>
        <v/>
      </c>
      <c r="S114" s="1" t="str">
        <f>IFERROR(__xludf.DUMMYFUNCTION("""COMPUTED_VALUE"""),"")</f>
        <v/>
      </c>
      <c r="T114" s="1" t="str">
        <f>IFERROR(__xludf.DUMMYFUNCTION("""COMPUTED_VALUE"""),"")</f>
        <v/>
      </c>
      <c r="U114" s="1" t="str">
        <f>IFERROR(__xludf.DUMMYFUNCTION("""COMPUTED_VALUE"""),"")</f>
        <v/>
      </c>
      <c r="V114" s="1" t="str">
        <f>IFERROR(__xludf.DUMMYFUNCTION("""COMPUTED_VALUE"""),"77,300")</f>
        <v>77,300</v>
      </c>
      <c r="W114" s="1" t="str">
        <f>IFERROR(__xludf.DUMMYFUNCTION("""COMPUTED_VALUE"""),"")</f>
        <v/>
      </c>
      <c r="X114" s="1" t="str">
        <f>IFERROR(__xludf.DUMMYFUNCTION("""COMPUTED_VALUE"""),"")</f>
        <v/>
      </c>
      <c r="Y114" s="1" t="str">
        <f>IFERROR(__xludf.DUMMYFUNCTION("""COMPUTED_VALUE"""),"")</f>
        <v/>
      </c>
      <c r="Z114" s="1" t="str">
        <f>IFERROR(__xludf.DUMMYFUNCTION("""COMPUTED_VALUE"""),"Unknown")</f>
        <v>Unknown</v>
      </c>
      <c r="AA114" s="1" t="str">
        <f>IFERROR(__xludf.DUMMYFUNCTION("""COMPUTED_VALUE"""),"")</f>
        <v/>
      </c>
      <c r="AB114" s="1" t="str">
        <f>IFERROR(__xludf.DUMMYFUNCTION("""COMPUTED_VALUE"""),"")</f>
        <v/>
      </c>
      <c r="AC114" s="1" t="str">
        <f>IFERROR(__xludf.DUMMYFUNCTION("""COMPUTED_VALUE"""),"")</f>
        <v/>
      </c>
      <c r="AD114" s="1" t="str">
        <f>IFERROR(__xludf.DUMMYFUNCTION("""COMPUTED_VALUE"""),"")</f>
        <v/>
      </c>
      <c r="AE114" s="1" t="str">
        <f>IFERROR(__xludf.DUMMYFUNCTION("""COMPUTED_VALUE"""),"")</f>
        <v/>
      </c>
      <c r="AF114" s="1" t="str">
        <f>IFERROR(__xludf.DUMMYFUNCTION("""COMPUTED_VALUE"""),"")</f>
        <v/>
      </c>
      <c r="AG114" s="1" t="str">
        <f>IFERROR(__xludf.DUMMYFUNCTION("""COMPUTED_VALUE"""),"")</f>
        <v/>
      </c>
      <c r="AH114" s="1" t="str">
        <f>IFERROR(__xludf.DUMMYFUNCTION("""COMPUTED_VALUE"""),"Sci4GA")</f>
        <v>Sci4GA</v>
      </c>
      <c r="AI114" s="2" t="str">
        <f>IFERROR(__xludf.DUMMYFUNCTION("""COMPUTED_VALUE"""),"https://baxtel.com/data-center/sungard-atlanta-alpharetta")</f>
        <v>https://baxtel.com/data-center/sungard-atlanta-alpharetta</v>
      </c>
      <c r="AJ114" s="1" t="str">
        <f>IFERROR(__xludf.DUMMYFUNCTION("""COMPUTED_VALUE"""),"")</f>
        <v/>
      </c>
      <c r="AK114" s="1" t="str">
        <f>IFERROR(__xludf.DUMMYFUNCTION("""COMPUTED_VALUE"""),"")</f>
        <v/>
      </c>
      <c r="AL114" s="1" t="str">
        <f>IFERROR(__xludf.DUMMYFUNCTION("""COMPUTED_VALUE"""),"")</f>
        <v/>
      </c>
      <c r="AM114" s="1" t="str">
        <f>IFERROR(__xludf.DUMMYFUNCTION("""COMPUTED_VALUE"""),"")</f>
        <v/>
      </c>
      <c r="AN114" s="1" t="str">
        <f>IFERROR(__xludf.DUMMYFUNCTION("""COMPUTED_VALUE"""),"")</f>
        <v/>
      </c>
      <c r="AO114" s="1" t="str">
        <f>IFERROR(__xludf.DUMMYFUNCTION("""COMPUTED_VALUE"""),"")</f>
        <v/>
      </c>
      <c r="AP114" s="1" t="str">
        <f>IFERROR(__xludf.DUMMYFUNCTION("""COMPUTED_VALUE"""),"")</f>
        <v/>
      </c>
      <c r="AQ114" s="1" t="str">
        <f>IFERROR(__xludf.DUMMYFUNCTION("""COMPUTED_VALUE"""),"10/16/2025")</f>
        <v>10/16/2025</v>
      </c>
      <c r="AR114" s="1" t="str">
        <f>IFERROR(__xludf.DUMMYFUNCTION("""COMPUTED_VALUE"""),"10/16/2025")</f>
        <v>10/16/2025</v>
      </c>
    </row>
    <row r="115">
      <c r="A115" s="1" t="str">
        <f>IFERROR(__xludf.DUMMYFUNCTION("""COMPUTED_VALUE"""),"ATL2")</f>
        <v>ATL2</v>
      </c>
      <c r="B115" s="1" t="str">
        <f>IFERROR(__xludf.DUMMYFUNCTION("""COMPUTED_VALUE"""),"4905 North Point Pkwy")</f>
        <v>4905 North Point Pkwy</v>
      </c>
      <c r="C115" s="1" t="str">
        <f>IFERROR(__xludf.DUMMYFUNCTION("""COMPUTED_VALUE"""),"Alpharetta")</f>
        <v>Alpharetta</v>
      </c>
      <c r="D115" s="1" t="str">
        <f>IFERROR(__xludf.DUMMYFUNCTION("""COMPUTED_VALUE"""),"GA")</f>
        <v>GA</v>
      </c>
      <c r="E115" s="1" t="str">
        <f>IFERROR(__xludf.DUMMYFUNCTION("""COMPUTED_VALUE"""),"30009")</f>
        <v>30009</v>
      </c>
      <c r="F115" s="1" t="str">
        <f>IFERROR(__xludf.DUMMYFUNCTION("""COMPUTED_VALUE"""),"Fulton")</f>
        <v>Fulton</v>
      </c>
      <c r="G115" s="1" t="str">
        <f>IFERROR(__xludf.DUMMYFUNCTION("""COMPUTED_VALUE"""),"34.057144")</f>
        <v>34.057144</v>
      </c>
      <c r="H115" s="1" t="str">
        <f>IFERROR(__xludf.DUMMYFUNCTION("""COMPUTED_VALUE"""),"-84.273")</f>
        <v>-84.273</v>
      </c>
      <c r="I115" s="1" t="str">
        <f>IFERROR(__xludf.DUMMYFUNCTION("""COMPUTED_VALUE"""),"Operating")</f>
        <v>Operating</v>
      </c>
      <c r="J115" s="1" t="str">
        <f>IFERROR(__xludf.DUMMYFUNCTION("""COMPUTED_VALUE"""),"High")</f>
        <v>High</v>
      </c>
      <c r="K115" s="1" t="str">
        <f>IFERROR(__xludf.DUMMYFUNCTION("""COMPUTED_VALUE"""),"")</f>
        <v/>
      </c>
      <c r="L115" s="1" t="str">
        <f>IFERROR(__xludf.DUMMYFUNCTION("""COMPUTED_VALUE"""),"Lincoln Rackhouse")</f>
        <v>Lincoln Rackhouse</v>
      </c>
      <c r="M115" s="1" t="str">
        <f>IFERROR(__xludf.DUMMYFUNCTION("""COMPUTED_VALUE"""),"")</f>
        <v/>
      </c>
      <c r="N115" s="1" t="str">
        <f>IFERROR(__xludf.DUMMYFUNCTION("""COMPUTED_VALUE"""),"12")</f>
        <v>12</v>
      </c>
      <c r="O115" s="1" t="str">
        <f>IFERROR(__xludf.DUMMYFUNCTION("""COMPUTED_VALUE"""),"Medium (11-50 MW)")</f>
        <v>Medium (11-50 MW)</v>
      </c>
      <c r="P115" s="1" t="str">
        <f>IFERROR(__xludf.DUMMYFUNCTION("""COMPUTED_VALUE"""),"")</f>
        <v/>
      </c>
      <c r="Q115" s="1" t="str">
        <f>IFERROR(__xludf.DUMMYFUNCTION("""COMPUTED_VALUE"""),"")</f>
        <v/>
      </c>
      <c r="R115" s="1" t="str">
        <f>IFERROR(__xludf.DUMMYFUNCTION("""COMPUTED_VALUE"""),"")</f>
        <v/>
      </c>
      <c r="S115" s="1" t="str">
        <f>IFERROR(__xludf.DUMMYFUNCTION("""COMPUTED_VALUE"""),"")</f>
        <v/>
      </c>
      <c r="T115" s="1" t="str">
        <f>IFERROR(__xludf.DUMMYFUNCTION("""COMPUTED_VALUE"""),"")</f>
        <v/>
      </c>
      <c r="U115" s="1" t="str">
        <f>IFERROR(__xludf.DUMMYFUNCTION("""COMPUTED_VALUE"""),"")</f>
        <v/>
      </c>
      <c r="V115" s="1" t="str">
        <f>IFERROR(__xludf.DUMMYFUNCTION("""COMPUTED_VALUE"""),"185,000")</f>
        <v>185,000</v>
      </c>
      <c r="W115" s="1" t="str">
        <f>IFERROR(__xludf.DUMMYFUNCTION("""COMPUTED_VALUE"""),"")</f>
        <v/>
      </c>
      <c r="X115" s="1" t="str">
        <f>IFERROR(__xludf.DUMMYFUNCTION("""COMPUTED_VALUE"""),"")</f>
        <v/>
      </c>
      <c r="Y115" s="1" t="str">
        <f>IFERROR(__xludf.DUMMYFUNCTION("""COMPUTED_VALUE"""),"")</f>
        <v/>
      </c>
      <c r="Z115" s="1" t="str">
        <f>IFERROR(__xludf.DUMMYFUNCTION("""COMPUTED_VALUE"""),"Unknown")</f>
        <v>Unknown</v>
      </c>
      <c r="AA115" s="1" t="str">
        <f>IFERROR(__xludf.DUMMYFUNCTION("""COMPUTED_VALUE"""),"")</f>
        <v/>
      </c>
      <c r="AB115" s="1" t="str">
        <f>IFERROR(__xludf.DUMMYFUNCTION("""COMPUTED_VALUE"""),"")</f>
        <v/>
      </c>
      <c r="AC115" s="1" t="str">
        <f>IFERROR(__xludf.DUMMYFUNCTION("""COMPUTED_VALUE"""),"")</f>
        <v/>
      </c>
      <c r="AD115" s="1" t="str">
        <f>IFERROR(__xludf.DUMMYFUNCTION("""COMPUTED_VALUE"""),"")</f>
        <v/>
      </c>
      <c r="AE115" s="1" t="str">
        <f>IFERROR(__xludf.DUMMYFUNCTION("""COMPUTED_VALUE"""),"")</f>
        <v/>
      </c>
      <c r="AF115" s="1" t="str">
        <f>IFERROR(__xludf.DUMMYFUNCTION("""COMPUTED_VALUE"""),"")</f>
        <v/>
      </c>
      <c r="AG115" s="1" t="str">
        <f>IFERROR(__xludf.DUMMYFUNCTION("""COMPUTED_VALUE"""),"")</f>
        <v/>
      </c>
      <c r="AH115" s="1" t="str">
        <f>IFERROR(__xludf.DUMMYFUNCTION("""COMPUTED_VALUE"""),"Sci4GA")</f>
        <v>Sci4GA</v>
      </c>
      <c r="AI115" s="2" t="str">
        <f>IFERROR(__xludf.DUMMYFUNCTION("""COMPUTED_VALUE"""),"https://baxtel.com/data-center/ascent-atlanta-atl1")</f>
        <v>https://baxtel.com/data-center/ascent-atlanta-atl1</v>
      </c>
      <c r="AJ115" s="1" t="str">
        <f>IFERROR(__xludf.DUMMYFUNCTION("""COMPUTED_VALUE"""),"")</f>
        <v/>
      </c>
      <c r="AK115" s="1" t="str">
        <f>IFERROR(__xludf.DUMMYFUNCTION("""COMPUTED_VALUE"""),"")</f>
        <v/>
      </c>
      <c r="AL115" s="1" t="str">
        <f>IFERROR(__xludf.DUMMYFUNCTION("""COMPUTED_VALUE"""),"")</f>
        <v/>
      </c>
      <c r="AM115" s="1" t="str">
        <f>IFERROR(__xludf.DUMMYFUNCTION("""COMPUTED_VALUE"""),"")</f>
        <v/>
      </c>
      <c r="AN115" s="1" t="str">
        <f>IFERROR(__xludf.DUMMYFUNCTION("""COMPUTED_VALUE"""),"")</f>
        <v/>
      </c>
      <c r="AO115" s="1" t="str">
        <f>IFERROR(__xludf.DUMMYFUNCTION("""COMPUTED_VALUE"""),"")</f>
        <v/>
      </c>
      <c r="AP115" s="1" t="str">
        <f>IFERROR(__xludf.DUMMYFUNCTION("""COMPUTED_VALUE"""),"")</f>
        <v/>
      </c>
      <c r="AQ115" s="1" t="str">
        <f>IFERROR(__xludf.DUMMYFUNCTION("""COMPUTED_VALUE"""),"10/16/2025")</f>
        <v>10/16/2025</v>
      </c>
      <c r="AR115" s="1" t="str">
        <f>IFERROR(__xludf.DUMMYFUNCTION("""COMPUTED_VALUE"""),"10/16/2025")</f>
        <v>10/16/2025</v>
      </c>
    </row>
    <row r="116">
      <c r="A116" s="1" t="str">
        <f>IFERROR(__xludf.DUMMYFUNCTION("""COMPUTED_VALUE"""),"Atlanta-Alpharetta")</f>
        <v>Atlanta-Alpharetta</v>
      </c>
      <c r="B116" s="1" t="str">
        <f>IFERROR(__xludf.DUMMYFUNCTION("""COMPUTED_VALUE"""),"12655 Edison Dr")</f>
        <v>12655 Edison Dr</v>
      </c>
      <c r="C116" s="1" t="str">
        <f>IFERROR(__xludf.DUMMYFUNCTION("""COMPUTED_VALUE"""),"Alpharetta")</f>
        <v>Alpharetta</v>
      </c>
      <c r="D116" s="1" t="str">
        <f>IFERROR(__xludf.DUMMYFUNCTION("""COMPUTED_VALUE"""),"GA")</f>
        <v>GA</v>
      </c>
      <c r="E116" s="1" t="str">
        <f>IFERROR(__xludf.DUMMYFUNCTION("""COMPUTED_VALUE"""),"30005")</f>
        <v>30005</v>
      </c>
      <c r="F116" s="1" t="str">
        <f>IFERROR(__xludf.DUMMYFUNCTION("""COMPUTED_VALUE"""),"Fulton")</f>
        <v>Fulton</v>
      </c>
      <c r="G116" s="1" t="str">
        <f>IFERROR(__xludf.DUMMYFUNCTION("""COMPUTED_VALUE"""),"34.086994")</f>
        <v>34.086994</v>
      </c>
      <c r="H116" s="1" t="str">
        <f>IFERROR(__xludf.DUMMYFUNCTION("""COMPUTED_VALUE"""),"-84.25179")</f>
        <v>-84.25179</v>
      </c>
      <c r="I116" s="1" t="str">
        <f>IFERROR(__xludf.DUMMYFUNCTION("""COMPUTED_VALUE"""),"Operating")</f>
        <v>Operating</v>
      </c>
      <c r="J116" s="1" t="str">
        <f>IFERROR(__xludf.DUMMYFUNCTION("""COMPUTED_VALUE"""),"High")</f>
        <v>High</v>
      </c>
      <c r="K116" s="1" t="str">
        <f>IFERROR(__xludf.DUMMYFUNCTION("""COMPUTED_VALUE"""),"")</f>
        <v/>
      </c>
      <c r="L116" s="1" t="str">
        <f>IFERROR(__xludf.DUMMYFUNCTION("""COMPUTED_VALUE"""),"Flexential")</f>
        <v>Flexential</v>
      </c>
      <c r="M116" s="1" t="str">
        <f>IFERROR(__xludf.DUMMYFUNCTION("""COMPUTED_VALUE"""),"")</f>
        <v/>
      </c>
      <c r="N116" s="1" t="str">
        <f>IFERROR(__xludf.DUMMYFUNCTION("""COMPUTED_VALUE"""),"6")</f>
        <v>6</v>
      </c>
      <c r="O116" s="1" t="str">
        <f>IFERROR(__xludf.DUMMYFUNCTION("""COMPUTED_VALUE"""),"Small (0-10 MW)")</f>
        <v>Small (0-10 MW)</v>
      </c>
      <c r="P116" s="1" t="str">
        <f>IFERROR(__xludf.DUMMYFUNCTION("""COMPUTED_VALUE"""),"")</f>
        <v/>
      </c>
      <c r="Q116" s="1" t="str">
        <f>IFERROR(__xludf.DUMMYFUNCTION("""COMPUTED_VALUE"""),"")</f>
        <v/>
      </c>
      <c r="R116" s="1" t="str">
        <f>IFERROR(__xludf.DUMMYFUNCTION("""COMPUTED_VALUE"""),"")</f>
        <v/>
      </c>
      <c r="S116" s="1" t="str">
        <f>IFERROR(__xludf.DUMMYFUNCTION("""COMPUTED_VALUE"""),"")</f>
        <v/>
      </c>
      <c r="T116" s="1" t="str">
        <f>IFERROR(__xludf.DUMMYFUNCTION("""COMPUTED_VALUE"""),"")</f>
        <v/>
      </c>
      <c r="U116" s="1" t="str">
        <f>IFERROR(__xludf.DUMMYFUNCTION("""COMPUTED_VALUE"""),"")</f>
        <v/>
      </c>
      <c r="V116" s="1" t="str">
        <f>IFERROR(__xludf.DUMMYFUNCTION("""COMPUTED_VALUE"""),"139,474")</f>
        <v>139,474</v>
      </c>
      <c r="W116" s="1" t="str">
        <f>IFERROR(__xludf.DUMMYFUNCTION("""COMPUTED_VALUE"""),"")</f>
        <v/>
      </c>
      <c r="X116" s="1" t="str">
        <f>IFERROR(__xludf.DUMMYFUNCTION("""COMPUTED_VALUE"""),"")</f>
        <v/>
      </c>
      <c r="Y116" s="1" t="str">
        <f>IFERROR(__xludf.DUMMYFUNCTION("""COMPUTED_VALUE"""),"")</f>
        <v/>
      </c>
      <c r="Z116" s="1" t="str">
        <f>IFERROR(__xludf.DUMMYFUNCTION("""COMPUTED_VALUE"""),"Unknown")</f>
        <v>Unknown</v>
      </c>
      <c r="AA116" s="1" t="str">
        <f>IFERROR(__xludf.DUMMYFUNCTION("""COMPUTED_VALUE"""),"")</f>
        <v/>
      </c>
      <c r="AB116" s="1" t="str">
        <f>IFERROR(__xludf.DUMMYFUNCTION("""COMPUTED_VALUE"""),"")</f>
        <v/>
      </c>
      <c r="AC116" s="1" t="str">
        <f>IFERROR(__xludf.DUMMYFUNCTION("""COMPUTED_VALUE"""),"")</f>
        <v/>
      </c>
      <c r="AD116" s="1" t="str">
        <f>IFERROR(__xludf.DUMMYFUNCTION("""COMPUTED_VALUE"""),"")</f>
        <v/>
      </c>
      <c r="AE116" s="1" t="str">
        <f>IFERROR(__xludf.DUMMYFUNCTION("""COMPUTED_VALUE"""),"")</f>
        <v/>
      </c>
      <c r="AF116" s="1" t="str">
        <f>IFERROR(__xludf.DUMMYFUNCTION("""COMPUTED_VALUE"""),"")</f>
        <v/>
      </c>
      <c r="AG116" s="1" t="str">
        <f>IFERROR(__xludf.DUMMYFUNCTION("""COMPUTED_VALUE"""),"")</f>
        <v/>
      </c>
      <c r="AH116" s="1" t="str">
        <f>IFERROR(__xludf.DUMMYFUNCTION("""COMPUTED_VALUE"""),"Sci4GA")</f>
        <v>Sci4GA</v>
      </c>
      <c r="AI116" s="2" t="str">
        <f>IFERROR(__xludf.DUMMYFUNCTION("""COMPUTED_VALUE"""),"https://baxtel.com/data-center/flexential-atlanta-alpharetta")</f>
        <v>https://baxtel.com/data-center/flexential-atlanta-alpharetta</v>
      </c>
      <c r="AJ116" s="1" t="str">
        <f>IFERROR(__xludf.DUMMYFUNCTION("""COMPUTED_VALUE"""),"")</f>
        <v/>
      </c>
      <c r="AK116" s="1" t="str">
        <f>IFERROR(__xludf.DUMMYFUNCTION("""COMPUTED_VALUE"""),"")</f>
        <v/>
      </c>
      <c r="AL116" s="1" t="str">
        <f>IFERROR(__xludf.DUMMYFUNCTION("""COMPUTED_VALUE"""),"")</f>
        <v/>
      </c>
      <c r="AM116" s="1" t="str">
        <f>IFERROR(__xludf.DUMMYFUNCTION("""COMPUTED_VALUE"""),"")</f>
        <v/>
      </c>
      <c r="AN116" s="1" t="str">
        <f>IFERROR(__xludf.DUMMYFUNCTION("""COMPUTED_VALUE"""),"")</f>
        <v/>
      </c>
      <c r="AO116" s="1" t="str">
        <f>IFERROR(__xludf.DUMMYFUNCTION("""COMPUTED_VALUE"""),"")</f>
        <v/>
      </c>
      <c r="AP116" s="1" t="str">
        <f>IFERROR(__xludf.DUMMYFUNCTION("""COMPUTED_VALUE"""),"")</f>
        <v/>
      </c>
      <c r="AQ116" s="1" t="str">
        <f>IFERROR(__xludf.DUMMYFUNCTION("""COMPUTED_VALUE"""),"10/16/2025")</f>
        <v>10/16/2025</v>
      </c>
      <c r="AR116" s="1" t="str">
        <f>IFERROR(__xludf.DUMMYFUNCTION("""COMPUTED_VALUE"""),"10/16/2025")</f>
        <v>10/16/2025</v>
      </c>
    </row>
    <row r="117">
      <c r="A117" s="1" t="str">
        <f>IFERROR(__xludf.DUMMYFUNCTION("""COMPUTED_VALUE"""),"AT&amp;T Data Center")</f>
        <v>AT&amp;T Data Center</v>
      </c>
      <c r="B117" s="1" t="str">
        <f>IFERROR(__xludf.DUMMYFUNCTION("""COMPUTED_VALUE"""),"21515 Innovation Way")</f>
        <v>21515 Innovation Way</v>
      </c>
      <c r="C117" s="1" t="str">
        <f>IFERROR(__xludf.DUMMYFUNCTION("""COMPUTED_VALUE"""),"Alpharetta")</f>
        <v>Alpharetta</v>
      </c>
      <c r="D117" s="1" t="str">
        <f>IFERROR(__xludf.DUMMYFUNCTION("""COMPUTED_VALUE"""),"GA")</f>
        <v>GA</v>
      </c>
      <c r="E117" s="1" t="str">
        <f>IFERROR(__xludf.DUMMYFUNCTION("""COMPUTED_VALUE"""),"30004")</f>
        <v>30004</v>
      </c>
      <c r="F117" s="1" t="str">
        <f>IFERROR(__xludf.DUMMYFUNCTION("""COMPUTED_VALUE"""),"Fulton")</f>
        <v>Fulton</v>
      </c>
      <c r="G117" s="1" t="str">
        <f>IFERROR(__xludf.DUMMYFUNCTION("""COMPUTED_VALUE"""),"34.086502")</f>
        <v>34.086502</v>
      </c>
      <c r="H117" s="1" t="str">
        <f>IFERROR(__xludf.DUMMYFUNCTION("""COMPUTED_VALUE"""),"-84.27612")</f>
        <v>-84.27612</v>
      </c>
      <c r="I117" s="1" t="str">
        <f>IFERROR(__xludf.DUMMYFUNCTION("""COMPUTED_VALUE"""),"Operating")</f>
        <v>Operating</v>
      </c>
      <c r="J117" s="1" t="str">
        <f>IFERROR(__xludf.DUMMYFUNCTION("""COMPUTED_VALUE"""),"High")</f>
        <v>High</v>
      </c>
      <c r="K117" s="1" t="str">
        <f>IFERROR(__xludf.DUMMYFUNCTION("""COMPUTED_VALUE"""),"")</f>
        <v/>
      </c>
      <c r="L117" s="1" t="str">
        <f>IFERROR(__xludf.DUMMYFUNCTION("""COMPUTED_VALUE"""),"")</f>
        <v/>
      </c>
      <c r="M117" s="1" t="str">
        <f>IFERROR(__xludf.DUMMYFUNCTION("""COMPUTED_VALUE"""),"")</f>
        <v/>
      </c>
      <c r="N117" s="1" t="str">
        <f>IFERROR(__xludf.DUMMYFUNCTION("""COMPUTED_VALUE"""),"11")</f>
        <v>11</v>
      </c>
      <c r="O117" s="1" t="str">
        <f>IFERROR(__xludf.DUMMYFUNCTION("""COMPUTED_VALUE"""),"Medium (11-50 MW)")</f>
        <v>Medium (11-50 MW)</v>
      </c>
      <c r="P117" s="1" t="str">
        <f>IFERROR(__xludf.DUMMYFUNCTION("""COMPUTED_VALUE"""),"")</f>
        <v/>
      </c>
      <c r="Q117" s="1" t="str">
        <f>IFERROR(__xludf.DUMMYFUNCTION("""COMPUTED_VALUE"""),"")</f>
        <v/>
      </c>
      <c r="R117" s="1" t="str">
        <f>IFERROR(__xludf.DUMMYFUNCTION("""COMPUTED_VALUE"""),"")</f>
        <v/>
      </c>
      <c r="S117" s="1" t="str">
        <f>IFERROR(__xludf.DUMMYFUNCTION("""COMPUTED_VALUE"""),"")</f>
        <v/>
      </c>
      <c r="T117" s="1" t="str">
        <f>IFERROR(__xludf.DUMMYFUNCTION("""COMPUTED_VALUE"""),"")</f>
        <v/>
      </c>
      <c r="U117" s="1" t="str">
        <f>IFERROR(__xludf.DUMMYFUNCTION("""COMPUTED_VALUE"""),"")</f>
        <v/>
      </c>
      <c r="V117" s="1" t="str">
        <f>IFERROR(__xludf.DUMMYFUNCTION("""COMPUTED_VALUE"""),"88,110")</f>
        <v>88,110</v>
      </c>
      <c r="W117" s="1" t="str">
        <f>IFERROR(__xludf.DUMMYFUNCTION("""COMPUTED_VALUE"""),"")</f>
        <v/>
      </c>
      <c r="X117" s="1" t="str">
        <f>IFERROR(__xludf.DUMMYFUNCTION("""COMPUTED_VALUE"""),"")</f>
        <v/>
      </c>
      <c r="Y117" s="1" t="str">
        <f>IFERROR(__xludf.DUMMYFUNCTION("""COMPUTED_VALUE"""),"")</f>
        <v/>
      </c>
      <c r="Z117" s="1" t="str">
        <f>IFERROR(__xludf.DUMMYFUNCTION("""COMPUTED_VALUE"""),"Unknown")</f>
        <v>Unknown</v>
      </c>
      <c r="AA117" s="1" t="str">
        <f>IFERROR(__xludf.DUMMYFUNCTION("""COMPUTED_VALUE"""),"")</f>
        <v/>
      </c>
      <c r="AB117" s="1" t="str">
        <f>IFERROR(__xludf.DUMMYFUNCTION("""COMPUTED_VALUE"""),"")</f>
        <v/>
      </c>
      <c r="AC117" s="1" t="str">
        <f>IFERROR(__xludf.DUMMYFUNCTION("""COMPUTED_VALUE"""),"")</f>
        <v/>
      </c>
      <c r="AD117" s="1" t="str">
        <f>IFERROR(__xludf.DUMMYFUNCTION("""COMPUTED_VALUE"""),"")</f>
        <v/>
      </c>
      <c r="AE117" s="1" t="str">
        <f>IFERROR(__xludf.DUMMYFUNCTION("""COMPUTED_VALUE"""),"")</f>
        <v/>
      </c>
      <c r="AF117" s="1" t="str">
        <f>IFERROR(__xludf.DUMMYFUNCTION("""COMPUTED_VALUE"""),"")</f>
        <v/>
      </c>
      <c r="AG117" s="1" t="str">
        <f>IFERROR(__xludf.DUMMYFUNCTION("""COMPUTED_VALUE"""),"")</f>
        <v/>
      </c>
      <c r="AH117" s="1" t="str">
        <f>IFERROR(__xludf.DUMMYFUNCTION("""COMPUTED_VALUE"""),"Media Monitoring")</f>
        <v>Media Monitoring</v>
      </c>
      <c r="AI117" s="2" t="str">
        <f>IFERROR(__xludf.DUMMYFUNCTION("""COMPUTED_VALUE"""),"https://www.datacenterdynamics.com/en/news/att-occupied-data-center-up-for-sale-in-alpharetta-georgia/")</f>
        <v>https://www.datacenterdynamics.com/en/news/att-occupied-data-center-up-for-sale-in-alpharetta-georgia/</v>
      </c>
      <c r="AJ117" s="1" t="str">
        <f>IFERROR(__xludf.DUMMYFUNCTION("""COMPUTED_VALUE"""),"")</f>
        <v/>
      </c>
      <c r="AK117" s="1" t="str">
        <f>IFERROR(__xludf.DUMMYFUNCTION("""COMPUTED_VALUE"""),"")</f>
        <v/>
      </c>
      <c r="AL117" s="1" t="str">
        <f>IFERROR(__xludf.DUMMYFUNCTION("""COMPUTED_VALUE"""),"")</f>
        <v/>
      </c>
      <c r="AM117" s="1" t="str">
        <f>IFERROR(__xludf.DUMMYFUNCTION("""COMPUTED_VALUE"""),"")</f>
        <v/>
      </c>
      <c r="AN117" s="1" t="str">
        <f>IFERROR(__xludf.DUMMYFUNCTION("""COMPUTED_VALUE"""),"")</f>
        <v/>
      </c>
      <c r="AO117" s="1" t="str">
        <f>IFERROR(__xludf.DUMMYFUNCTION("""COMPUTED_VALUE"""),"")</f>
        <v/>
      </c>
      <c r="AP117" s="1" t="str">
        <f>IFERROR(__xludf.DUMMYFUNCTION("""COMPUTED_VALUE"""),"")</f>
        <v/>
      </c>
      <c r="AQ117" s="1" t="str">
        <f>IFERROR(__xludf.DUMMYFUNCTION("""COMPUTED_VALUE"""),"01/22/2026")</f>
        <v>01/22/2026</v>
      </c>
      <c r="AR117" s="1" t="str">
        <f>IFERROR(__xludf.DUMMYFUNCTION("""COMPUTED_VALUE"""),"01/22/2026")</f>
        <v>01/22/2026</v>
      </c>
    </row>
    <row r="118">
      <c r="A118" s="1" t="str">
        <f>IFERROR(__xludf.DUMMYFUNCTION("""COMPUTED_VALUE"""),"Project JGK")</f>
        <v>Project JGK</v>
      </c>
      <c r="B118" s="1" t="str">
        <f>IFERROR(__xludf.DUMMYFUNCTION("""COMPUTED_VALUE"""),"White Oak Technology Park, Appling-Harlem Rd")</f>
        <v>White Oak Technology Park, Appling-Harlem Rd</v>
      </c>
      <c r="C118" s="1" t="str">
        <f>IFERROR(__xludf.DUMMYFUNCTION("""COMPUTED_VALUE"""),"Appling")</f>
        <v>Appling</v>
      </c>
      <c r="D118" s="1" t="str">
        <f>IFERROR(__xludf.DUMMYFUNCTION("""COMPUTED_VALUE"""),"GA")</f>
        <v>GA</v>
      </c>
      <c r="E118" s="1" t="str">
        <f>IFERROR(__xludf.DUMMYFUNCTION("""COMPUTED_VALUE"""),"30814")</f>
        <v>30814</v>
      </c>
      <c r="F118" s="1" t="str">
        <f>IFERROR(__xludf.DUMMYFUNCTION("""COMPUTED_VALUE"""),"Columbia")</f>
        <v>Columbia</v>
      </c>
      <c r="G118" s="1" t="str">
        <f>IFERROR(__xludf.DUMMYFUNCTION("""COMPUTED_VALUE"""),"33.49546")</f>
        <v>33.49546</v>
      </c>
      <c r="H118" s="1" t="str">
        <f>IFERROR(__xludf.DUMMYFUNCTION("""COMPUTED_VALUE"""),"-82.337")</f>
        <v>-82.337</v>
      </c>
      <c r="I118" s="1" t="str">
        <f>IFERROR(__xludf.DUMMYFUNCTION("""COMPUTED_VALUE"""),"Proposed")</f>
        <v>Proposed</v>
      </c>
      <c r="J118" s="1" t="str">
        <f>IFERROR(__xludf.DUMMYFUNCTION("""COMPUTED_VALUE"""),"High")</f>
        <v>High</v>
      </c>
      <c r="K118" s="1" t="str">
        <f>IFERROR(__xludf.DUMMYFUNCTION("""COMPUTED_VALUE"""),"")</f>
        <v/>
      </c>
      <c r="L118" s="1" t="str">
        <f>IFERROR(__xludf.DUMMYFUNCTION("""COMPUTED_VALUE"""),"")</f>
        <v/>
      </c>
      <c r="M118" s="1" t="str">
        <f>IFERROR(__xludf.DUMMYFUNCTION("""COMPUTED_VALUE"""),"")</f>
        <v/>
      </c>
      <c r="N118" s="1" t="str">
        <f>IFERROR(__xludf.DUMMYFUNCTION("""COMPUTED_VALUE"""),"")</f>
        <v/>
      </c>
      <c r="O118" s="1" t="str">
        <f>IFERROR(__xludf.DUMMYFUNCTION("""COMPUTED_VALUE"""),"Unknown")</f>
        <v>Unknown</v>
      </c>
      <c r="P118" s="1" t="str">
        <f>IFERROR(__xludf.DUMMYFUNCTION("""COMPUTED_VALUE"""),"")</f>
        <v/>
      </c>
      <c r="Q118" s="1" t="str">
        <f>IFERROR(__xludf.DUMMYFUNCTION("""COMPUTED_VALUE"""),"")</f>
        <v/>
      </c>
      <c r="R118" s="1" t="str">
        <f>IFERROR(__xludf.DUMMYFUNCTION("""COMPUTED_VALUE"""),"")</f>
        <v/>
      </c>
      <c r="S118" s="1" t="str">
        <f>IFERROR(__xludf.DUMMYFUNCTION("""COMPUTED_VALUE"""),"")</f>
        <v/>
      </c>
      <c r="T118" s="1" t="str">
        <f>IFERROR(__xludf.DUMMYFUNCTION("""COMPUTED_VALUE"""),"")</f>
        <v/>
      </c>
      <c r="U118" s="1" t="str">
        <f>IFERROR(__xludf.DUMMYFUNCTION("""COMPUTED_VALUE"""),"")</f>
        <v/>
      </c>
      <c r="V118" s="1" t="str">
        <f>IFERROR(__xludf.DUMMYFUNCTION("""COMPUTED_VALUE"""),"8,000,000")</f>
        <v>8,000,000</v>
      </c>
      <c r="W118" s="1" t="str">
        <f>IFERROR(__xludf.DUMMYFUNCTION("""COMPUTED_VALUE"""),"2000")</f>
        <v>2000</v>
      </c>
      <c r="X118" s="1" t="str">
        <f>IFERROR(__xludf.DUMMYFUNCTION("""COMPUTED_VALUE"""),"$11.6 billion")</f>
        <v>$11.6 billion</v>
      </c>
      <c r="Y118" s="1" t="str">
        <f>IFERROR(__xludf.DUMMYFUNCTION("""COMPUTED_VALUE"""),"")</f>
        <v/>
      </c>
      <c r="Z118" s="1" t="str">
        <f>IFERROR(__xludf.DUMMYFUNCTION("""COMPUTED_VALUE"""),"Unknown")</f>
        <v>Unknown</v>
      </c>
      <c r="AA118" s="1" t="str">
        <f>IFERROR(__xludf.DUMMYFUNCTION("""COMPUTED_VALUE"""),"")</f>
        <v/>
      </c>
      <c r="AB118" s="1" t="str">
        <f>IFERROR(__xludf.DUMMYFUNCTION("""COMPUTED_VALUE"""),"")</f>
        <v/>
      </c>
      <c r="AC118" s="1" t="str">
        <f>IFERROR(__xludf.DUMMYFUNCTION("""COMPUTED_VALUE"""),"")</f>
        <v/>
      </c>
      <c r="AD118" s="1" t="str">
        <f>IFERROR(__xludf.DUMMYFUNCTION("""COMPUTED_VALUE"""),"")</f>
        <v/>
      </c>
      <c r="AE118" s="1" t="str">
        <f>IFERROR(__xludf.DUMMYFUNCTION("""COMPUTED_VALUE"""),"")</f>
        <v/>
      </c>
      <c r="AF118" s="1" t="str">
        <f>IFERROR(__xludf.DUMMYFUNCTION("""COMPUTED_VALUE"""),"")</f>
        <v/>
      </c>
      <c r="AG118" s="1" t="str">
        <f>IFERROR(__xludf.DUMMYFUNCTION("""COMPUTED_VALUE"""),"")</f>
        <v/>
      </c>
      <c r="AH118" s="1" t="str">
        <f>IFERROR(__xludf.DUMMYFUNCTION("""COMPUTED_VALUE"""),"Media Monitoring")</f>
        <v>Media Monitoring</v>
      </c>
      <c r="AI118" s="2" t="str">
        <f>IFERROR(__xludf.DUMMYFUNCTION("""COMPUTED_VALUE"""),"https://www.augustachronicle.com/story/business/2025/05/01/columbia-county-technology-park-project-valued-at-11-billion-data-centers-economic-development/83375427007/")</f>
        <v>https://www.augustachronicle.com/story/business/2025/05/01/columbia-county-technology-park-project-valued-at-11-billion-data-centers-economic-development/83375427007/</v>
      </c>
      <c r="AJ118" s="1" t="str">
        <f>IFERROR(__xludf.DUMMYFUNCTION("""COMPUTED_VALUE"""),"")</f>
        <v/>
      </c>
      <c r="AK118" s="1" t="str">
        <f>IFERROR(__xludf.DUMMYFUNCTION("""COMPUTED_VALUE"""),"")</f>
        <v/>
      </c>
      <c r="AL118" s="1" t="str">
        <f>IFERROR(__xludf.DUMMYFUNCTION("""COMPUTED_VALUE"""),"")</f>
        <v/>
      </c>
      <c r="AM118" s="1" t="str">
        <f>IFERROR(__xludf.DUMMYFUNCTION("""COMPUTED_VALUE"""),"")</f>
        <v/>
      </c>
      <c r="AN118" s="1" t="str">
        <f>IFERROR(__xludf.DUMMYFUNCTION("""COMPUTED_VALUE"""),"")</f>
        <v/>
      </c>
      <c r="AO118" s="1" t="str">
        <f>IFERROR(__xludf.DUMMYFUNCTION("""COMPUTED_VALUE"""),"")</f>
        <v/>
      </c>
      <c r="AP118" s="1" t="str">
        <f>IFERROR(__xludf.DUMMYFUNCTION("""COMPUTED_VALUE"""),"")</f>
        <v/>
      </c>
      <c r="AQ118" s="1" t="str">
        <f>IFERROR(__xludf.DUMMYFUNCTION("""COMPUTED_VALUE"""),"06/24/2025")</f>
        <v>06/24/2025</v>
      </c>
      <c r="AR118" s="1" t="str">
        <f>IFERROR(__xludf.DUMMYFUNCTION("""COMPUTED_VALUE"""),"06/24/2025")</f>
        <v>06/24/2025</v>
      </c>
    </row>
    <row r="119">
      <c r="A119" s="1" t="str">
        <f>IFERROR(__xludf.DUMMYFUNCTION("""COMPUTED_VALUE"""),"White Oak Technology Park")</f>
        <v>White Oak Technology Park</v>
      </c>
      <c r="B119" s="1" t="str">
        <f>IFERROR(__xludf.DUMMYFUNCTION("""COMPUTED_VALUE"""),"Off Morris Callaway Road &amp; Innovation Parkway")</f>
        <v>Off Morris Callaway Road &amp; Innovation Parkway</v>
      </c>
      <c r="C119" s="1" t="str">
        <f>IFERROR(__xludf.DUMMYFUNCTION("""COMPUTED_VALUE"""),"Appling")</f>
        <v>Appling</v>
      </c>
      <c r="D119" s="1" t="str">
        <f>IFERROR(__xludf.DUMMYFUNCTION("""COMPUTED_VALUE"""),"GA")</f>
        <v>GA</v>
      </c>
      <c r="E119" s="1" t="str">
        <f>IFERROR(__xludf.DUMMYFUNCTION("""COMPUTED_VALUE"""),"30802")</f>
        <v>30802</v>
      </c>
      <c r="F119" s="1" t="str">
        <f>IFERROR(__xludf.DUMMYFUNCTION("""COMPUTED_VALUE"""),"Columbia")</f>
        <v>Columbia</v>
      </c>
      <c r="G119" s="1" t="str">
        <f>IFERROR(__xludf.DUMMYFUNCTION("""COMPUTED_VALUE"""),"33.51421")</f>
        <v>33.51421</v>
      </c>
      <c r="H119" s="1" t="str">
        <f>IFERROR(__xludf.DUMMYFUNCTION("""COMPUTED_VALUE"""),"-82.34112")</f>
        <v>-82.34112</v>
      </c>
      <c r="I119" s="1" t="str">
        <f>IFERROR(__xludf.DUMMYFUNCTION("""COMPUTED_VALUE"""),"Proposed")</f>
        <v>Proposed</v>
      </c>
      <c r="J119" s="1" t="str">
        <f>IFERROR(__xludf.DUMMYFUNCTION("""COMPUTED_VALUE"""),"High")</f>
        <v>High</v>
      </c>
      <c r="K119" s="1" t="str">
        <f>IFERROR(__xludf.DUMMYFUNCTION("""COMPUTED_VALUE"""),"")</f>
        <v/>
      </c>
      <c r="L119" s="1" t="str">
        <f>IFERROR(__xludf.DUMMYFUNCTION("""COMPUTED_VALUE"""),"Trammell Crow Company")</f>
        <v>Trammell Crow Company</v>
      </c>
      <c r="M119" s="1" t="str">
        <f>IFERROR(__xludf.DUMMYFUNCTION("""COMPUTED_VALUE"""),"")</f>
        <v/>
      </c>
      <c r="N119" s="1" t="str">
        <f>IFERROR(__xludf.DUMMYFUNCTION("""COMPUTED_VALUE"""),"")</f>
        <v/>
      </c>
      <c r="O119" s="1" t="str">
        <f>IFERROR(__xludf.DUMMYFUNCTION("""COMPUTED_VALUE"""),"Unknown")</f>
        <v>Unknown</v>
      </c>
      <c r="P119" s="1" t="str">
        <f>IFERROR(__xludf.DUMMYFUNCTION("""COMPUTED_VALUE"""),"")</f>
        <v/>
      </c>
      <c r="Q119" s="1" t="str">
        <f>IFERROR(__xludf.DUMMYFUNCTION("""COMPUTED_VALUE"""),"")</f>
        <v/>
      </c>
      <c r="R119" s="1" t="str">
        <f>IFERROR(__xludf.DUMMYFUNCTION("""COMPUTED_VALUE"""),"")</f>
        <v/>
      </c>
      <c r="S119" s="1" t="str">
        <f>IFERROR(__xludf.DUMMYFUNCTION("""COMPUTED_VALUE"""),"")</f>
        <v/>
      </c>
      <c r="T119" s="1" t="str">
        <f>IFERROR(__xludf.DUMMYFUNCTION("""COMPUTED_VALUE"""),"")</f>
        <v/>
      </c>
      <c r="U119" s="1" t="str">
        <f>IFERROR(__xludf.DUMMYFUNCTION("""COMPUTED_VALUE"""),"")</f>
        <v/>
      </c>
      <c r="V119" s="1" t="str">
        <f>IFERROR(__xludf.DUMMYFUNCTION("""COMPUTED_VALUE"""),"8,076,687")</f>
        <v>8,076,687</v>
      </c>
      <c r="W119" s="1" t="str">
        <f>IFERROR(__xludf.DUMMYFUNCTION("""COMPUTED_VALUE"""),"")</f>
        <v/>
      </c>
      <c r="X119" s="1" t="str">
        <f>IFERROR(__xludf.DUMMYFUNCTION("""COMPUTED_VALUE"""),"")</f>
        <v/>
      </c>
      <c r="Y119" s="1" t="str">
        <f>IFERROR(__xludf.DUMMYFUNCTION("""COMPUTED_VALUE"""),"")</f>
        <v/>
      </c>
      <c r="Z119" s="1" t="str">
        <f>IFERROR(__xludf.DUMMYFUNCTION("""COMPUTED_VALUE"""),"Unknown")</f>
        <v>Unknown</v>
      </c>
      <c r="AA119" s="1" t="str">
        <f>IFERROR(__xludf.DUMMYFUNCTION("""COMPUTED_VALUE"""),"")</f>
        <v/>
      </c>
      <c r="AB119" s="1" t="str">
        <f>IFERROR(__xludf.DUMMYFUNCTION("""COMPUTED_VALUE"""),"")</f>
        <v/>
      </c>
      <c r="AC119" s="1" t="str">
        <f>IFERROR(__xludf.DUMMYFUNCTION("""COMPUTED_VALUE"""),"")</f>
        <v/>
      </c>
      <c r="AD119" s="1" t="str">
        <f>IFERROR(__xludf.DUMMYFUNCTION("""COMPUTED_VALUE"""),"")</f>
        <v/>
      </c>
      <c r="AE119" s="1" t="str">
        <f>IFERROR(__xludf.DUMMYFUNCTION("""COMPUTED_VALUE"""),"")</f>
        <v/>
      </c>
      <c r="AF119" s="1" t="str">
        <f>IFERROR(__xludf.DUMMYFUNCTION("""COMPUTED_VALUE"""),"")</f>
        <v/>
      </c>
      <c r="AG119" s="1" t="str">
        <f>IFERROR(__xludf.DUMMYFUNCTION("""COMPUTED_VALUE"""),"")</f>
        <v/>
      </c>
      <c r="AH119" s="1" t="str">
        <f>IFERROR(__xludf.DUMMYFUNCTION("""COMPUTED_VALUE"""),"Sci4GA")</f>
        <v>Sci4GA</v>
      </c>
      <c r="AI119" s="2" t="str">
        <f>IFERROR(__xludf.DUMMYFUNCTION("""COMPUTED_VALUE"""),"https://apps.dca.ga.gov/DRI/AppSummary.aspx?driid=4443")</f>
        <v>https://apps.dca.ga.gov/DRI/AppSummary.aspx?driid=4443</v>
      </c>
      <c r="AJ119" s="1" t="str">
        <f>IFERROR(__xludf.DUMMYFUNCTION("""COMPUTED_VALUE"""),"")</f>
        <v/>
      </c>
      <c r="AK119" s="1" t="str">
        <f>IFERROR(__xludf.DUMMYFUNCTION("""COMPUTED_VALUE"""),"")</f>
        <v/>
      </c>
      <c r="AL119" s="1" t="str">
        <f>IFERROR(__xludf.DUMMYFUNCTION("""COMPUTED_VALUE"""),"")</f>
        <v/>
      </c>
      <c r="AM119" s="1" t="str">
        <f>IFERROR(__xludf.DUMMYFUNCTION("""COMPUTED_VALUE"""),"")</f>
        <v/>
      </c>
      <c r="AN119" s="1" t="str">
        <f>IFERROR(__xludf.DUMMYFUNCTION("""COMPUTED_VALUE"""),"")</f>
        <v/>
      </c>
      <c r="AO119" s="1" t="str">
        <f>IFERROR(__xludf.DUMMYFUNCTION("""COMPUTED_VALUE"""),"")</f>
        <v/>
      </c>
      <c r="AP119" s="1" t="str">
        <f>IFERROR(__xludf.DUMMYFUNCTION("""COMPUTED_VALUE"""),"")</f>
        <v/>
      </c>
      <c r="AQ119" s="1" t="str">
        <f>IFERROR(__xludf.DUMMYFUNCTION("""COMPUTED_VALUE"""),"10/16/2025")</f>
        <v>10/16/2025</v>
      </c>
      <c r="AR119" s="1" t="str">
        <f>IFERROR(__xludf.DUMMYFUNCTION("""COMPUTED_VALUE"""),"10/16/2025")</f>
        <v>10/16/2025</v>
      </c>
    </row>
    <row r="120">
      <c r="A120" s="1" t="str">
        <f>IFERROR(__xludf.DUMMYFUNCTION("""COMPUTED_VALUE"""),"Athens Studio Data Center ")</f>
        <v>Athens Studio Data Center </v>
      </c>
      <c r="B120" s="1" t="str">
        <f>IFERROR(__xludf.DUMMYFUNCTION("""COMPUTED_VALUE"""),"900 Athena Dr")</f>
        <v>900 Athena Dr</v>
      </c>
      <c r="C120" s="1" t="str">
        <f>IFERROR(__xludf.DUMMYFUNCTION("""COMPUTED_VALUE"""),"Athens")</f>
        <v>Athens</v>
      </c>
      <c r="D120" s="1" t="str">
        <f>IFERROR(__xludf.DUMMYFUNCTION("""COMPUTED_VALUE"""),"GA")</f>
        <v>GA</v>
      </c>
      <c r="E120" s="1" t="str">
        <f>IFERROR(__xludf.DUMMYFUNCTION("""COMPUTED_VALUE"""),"30601")</f>
        <v>30601</v>
      </c>
      <c r="F120" s="1" t="str">
        <f>IFERROR(__xludf.DUMMYFUNCTION("""COMPUTED_VALUE"""),"Clarke")</f>
        <v>Clarke</v>
      </c>
      <c r="G120" s="1" t="str">
        <f>IFERROR(__xludf.DUMMYFUNCTION("""COMPUTED_VALUE"""),"33.970966")</f>
        <v>33.970966</v>
      </c>
      <c r="H120" s="1" t="str">
        <f>IFERROR(__xludf.DUMMYFUNCTION("""COMPUTED_VALUE"""),"-83.31563")</f>
        <v>-83.31563</v>
      </c>
      <c r="I120" s="1" t="str">
        <f>IFERROR(__xludf.DUMMYFUNCTION("""COMPUTED_VALUE"""),"Proposed")</f>
        <v>Proposed</v>
      </c>
      <c r="J120" s="1" t="str">
        <f>IFERROR(__xludf.DUMMYFUNCTION("""COMPUTED_VALUE"""),"High")</f>
        <v>High</v>
      </c>
      <c r="K120" s="1" t="str">
        <f>IFERROR(__xludf.DUMMYFUNCTION("""COMPUTED_VALUE"""),"")</f>
        <v/>
      </c>
      <c r="L120" s="1" t="str">
        <f>IFERROR(__xludf.DUMMYFUNCTION("""COMPUTED_VALUE"""),"")</f>
        <v/>
      </c>
      <c r="M120" s="1" t="str">
        <f>IFERROR(__xludf.DUMMYFUNCTION("""COMPUTED_VALUE"""),"")</f>
        <v/>
      </c>
      <c r="N120" s="1" t="str">
        <f>IFERROR(__xludf.DUMMYFUNCTION("""COMPUTED_VALUE"""),"")</f>
        <v/>
      </c>
      <c r="O120" s="1" t="str">
        <f>IFERROR(__xludf.DUMMYFUNCTION("""COMPUTED_VALUE"""),"Unknown")</f>
        <v>Unknown</v>
      </c>
      <c r="P120" s="1" t="str">
        <f>IFERROR(__xludf.DUMMYFUNCTION("""COMPUTED_VALUE"""),"")</f>
        <v/>
      </c>
      <c r="Q120" s="1" t="str">
        <f>IFERROR(__xludf.DUMMYFUNCTION("""COMPUTED_VALUE"""),"")</f>
        <v/>
      </c>
      <c r="R120" s="1" t="str">
        <f>IFERROR(__xludf.DUMMYFUNCTION("""COMPUTED_VALUE"""),"")</f>
        <v/>
      </c>
      <c r="S120" s="1" t="str">
        <f>IFERROR(__xludf.DUMMYFUNCTION("""COMPUTED_VALUE"""),"")</f>
        <v/>
      </c>
      <c r="T120" s="1" t="str">
        <f>IFERROR(__xludf.DUMMYFUNCTION("""COMPUTED_VALUE"""),"")</f>
        <v/>
      </c>
      <c r="U120" s="1" t="str">
        <f>IFERROR(__xludf.DUMMYFUNCTION("""COMPUTED_VALUE"""),"")</f>
        <v/>
      </c>
      <c r="V120" s="1" t="str">
        <f>IFERROR(__xludf.DUMMYFUNCTION("""COMPUTED_VALUE"""),"185,000")</f>
        <v>185,000</v>
      </c>
      <c r="W120" s="1" t="str">
        <f>IFERROR(__xludf.DUMMYFUNCTION("""COMPUTED_VALUE"""),"")</f>
        <v/>
      </c>
      <c r="X120" s="1" t="str">
        <f>IFERROR(__xludf.DUMMYFUNCTION("""COMPUTED_VALUE"""),"")</f>
        <v/>
      </c>
      <c r="Y120" s="1" t="str">
        <f>IFERROR(__xludf.DUMMYFUNCTION("""COMPUTED_VALUE"""),"")</f>
        <v/>
      </c>
      <c r="Z120" s="1" t="str">
        <f>IFERROR(__xludf.DUMMYFUNCTION("""COMPUTED_VALUE"""),"Yes")</f>
        <v>Yes</v>
      </c>
      <c r="AA120" s="1" t="str">
        <f>IFERROR(__xludf.DUMMYFUNCTION("""COMPUTED_VALUE"""),"")</f>
        <v/>
      </c>
      <c r="AB120" s="1" t="str">
        <f>IFERROR(__xludf.DUMMYFUNCTION("""COMPUTED_VALUE"""),"")</f>
        <v/>
      </c>
      <c r="AC120" s="1" t="str">
        <f>IFERROR(__xludf.DUMMYFUNCTION("""COMPUTED_VALUE"""),"")</f>
        <v/>
      </c>
      <c r="AD120" s="1" t="str">
        <f>IFERROR(__xludf.DUMMYFUNCTION("""COMPUTED_VALUE"""),"")</f>
        <v/>
      </c>
      <c r="AE120" s="1" t="str">
        <f>IFERROR(__xludf.DUMMYFUNCTION("""COMPUTED_VALUE"""),"")</f>
        <v/>
      </c>
      <c r="AF120" s="2" t="str">
        <f>IFERROR(__xludf.DUMMYFUNCTION("""COMPUTED_VALUE"""),"https://www.change.org/p/say-no-to-the-proposed-data-center-at-athena-studios")</f>
        <v>https://www.change.org/p/say-no-to-the-proposed-data-center-at-athena-studios</v>
      </c>
      <c r="AG120" s="1" t="str">
        <f>IFERROR(__xludf.DUMMYFUNCTION("""COMPUTED_VALUE"""),"Potential conversion of film production studio to data center")</f>
        <v>Potential conversion of film production studio to data center</v>
      </c>
      <c r="AH120" s="1" t="str">
        <f>IFERROR(__xludf.DUMMYFUNCTION("""COMPUTED_VALUE"""),"Media Monitoring")</f>
        <v>Media Monitoring</v>
      </c>
      <c r="AI120" s="2" t="str">
        <f>IFERROR(__xludf.DUMMYFUNCTION("""COMPUTED_VALUE"""),"https://www.datacenterdynamics.com/en/news/georgia-based-film-studio-considers-converting-to-data-center/")</f>
        <v>https://www.datacenterdynamics.com/en/news/georgia-based-film-studio-considers-converting-to-data-center/</v>
      </c>
      <c r="AJ120" s="1" t="str">
        <f>IFERROR(__xludf.DUMMYFUNCTION("""COMPUTED_VALUE"""),"")</f>
        <v/>
      </c>
      <c r="AK120" s="1" t="str">
        <f>IFERROR(__xludf.DUMMYFUNCTION("""COMPUTED_VALUE"""),"")</f>
        <v/>
      </c>
      <c r="AL120" s="1" t="str">
        <f>IFERROR(__xludf.DUMMYFUNCTION("""COMPUTED_VALUE"""),"")</f>
        <v/>
      </c>
      <c r="AM120" s="1" t="str">
        <f>IFERROR(__xludf.DUMMYFUNCTION("""COMPUTED_VALUE"""),"")</f>
        <v/>
      </c>
      <c r="AN120" s="1" t="str">
        <f>IFERROR(__xludf.DUMMYFUNCTION("""COMPUTED_VALUE"""),"")</f>
        <v/>
      </c>
      <c r="AO120" s="1" t="str">
        <f>IFERROR(__xludf.DUMMYFUNCTION("""COMPUTED_VALUE"""),"")</f>
        <v/>
      </c>
      <c r="AP120" s="1" t="str">
        <f>IFERROR(__xludf.DUMMYFUNCTION("""COMPUTED_VALUE"""),"")</f>
        <v/>
      </c>
      <c r="AQ120" s="1" t="str">
        <f>IFERROR(__xludf.DUMMYFUNCTION("""COMPUTED_VALUE"""),"12/18/2025")</f>
        <v>12/18/2025</v>
      </c>
      <c r="AR120" s="1" t="str">
        <f>IFERROR(__xludf.DUMMYFUNCTION("""COMPUTED_VALUE"""),"03/23/2026")</f>
        <v>03/23/2026</v>
      </c>
    </row>
    <row r="121">
      <c r="A121" s="1" t="str">
        <f>IFERROR(__xludf.DUMMYFUNCTION("""COMPUTED_VALUE"""),"Adair Park / West End Data Center")</f>
        <v>Adair Park / West End Data Center</v>
      </c>
      <c r="B121" s="1" t="str">
        <f>IFERROR(__xludf.DUMMYFUNCTION("""COMPUTED_VALUE"""),"713 Ralph David Abernathy Blvd")</f>
        <v>713 Ralph David Abernathy Blvd</v>
      </c>
      <c r="C121" s="1" t="str">
        <f>IFERROR(__xludf.DUMMYFUNCTION("""COMPUTED_VALUE"""),"Atlanta")</f>
        <v>Atlanta</v>
      </c>
      <c r="D121" s="1" t="str">
        <f>IFERROR(__xludf.DUMMYFUNCTION("""COMPUTED_VALUE"""),"GA")</f>
        <v>GA</v>
      </c>
      <c r="E121" s="1" t="str">
        <f>IFERROR(__xludf.DUMMYFUNCTION("""COMPUTED_VALUE"""),"30310")</f>
        <v>30310</v>
      </c>
      <c r="F121" s="1" t="str">
        <f>IFERROR(__xludf.DUMMYFUNCTION("""COMPUTED_VALUE"""),"Fulton")</f>
        <v>Fulton</v>
      </c>
      <c r="G121" s="1" t="str">
        <f>IFERROR(__xludf.DUMMYFUNCTION("""COMPUTED_VALUE"""),"33.739025")</f>
        <v>33.739025</v>
      </c>
      <c r="H121" s="1" t="str">
        <f>IFERROR(__xludf.DUMMYFUNCTION("""COMPUTED_VALUE"""),"-84.41105")</f>
        <v>-84.41105</v>
      </c>
      <c r="I121" s="1" t="str">
        <f>IFERROR(__xludf.DUMMYFUNCTION("""COMPUTED_VALUE"""),"Proposed")</f>
        <v>Proposed</v>
      </c>
      <c r="J121" s="1" t="str">
        <f>IFERROR(__xludf.DUMMYFUNCTION("""COMPUTED_VALUE"""),"High")</f>
        <v>High</v>
      </c>
      <c r="K121" s="1" t="str">
        <f>IFERROR(__xludf.DUMMYFUNCTION("""COMPUTED_VALUE"""),"")</f>
        <v/>
      </c>
      <c r="L121" s="1" t="str">
        <f>IFERROR(__xludf.DUMMYFUNCTION("""COMPUTED_VALUE"""),"Digital Realty")</f>
        <v>Digital Realty</v>
      </c>
      <c r="M121" s="1" t="str">
        <f>IFERROR(__xludf.DUMMYFUNCTION("""COMPUTED_VALUE"""),"")</f>
        <v/>
      </c>
      <c r="N121" s="1" t="str">
        <f>IFERROR(__xludf.DUMMYFUNCTION("""COMPUTED_VALUE"""),"")</f>
        <v/>
      </c>
      <c r="O121" s="1" t="str">
        <f>IFERROR(__xludf.DUMMYFUNCTION("""COMPUTED_VALUE"""),"Hyperscale (100-999 MW)")</f>
        <v>Hyperscale (100-999 MW)</v>
      </c>
      <c r="P121" s="1" t="str">
        <f>IFERROR(__xludf.DUMMYFUNCTION("""COMPUTED_VALUE"""),"")</f>
        <v/>
      </c>
      <c r="Q121" s="1" t="str">
        <f>IFERROR(__xludf.DUMMYFUNCTION("""COMPUTED_VALUE"""),"")</f>
        <v/>
      </c>
      <c r="R121" s="1" t="str">
        <f>IFERROR(__xludf.DUMMYFUNCTION("""COMPUTED_VALUE"""),"")</f>
        <v/>
      </c>
      <c r="S121" s="1" t="str">
        <f>IFERROR(__xludf.DUMMYFUNCTION("""COMPUTED_VALUE"""),"")</f>
        <v/>
      </c>
      <c r="T121" s="1" t="str">
        <f>IFERROR(__xludf.DUMMYFUNCTION("""COMPUTED_VALUE"""),"")</f>
        <v/>
      </c>
      <c r="U121" s="1" t="str">
        <f>IFERROR(__xludf.DUMMYFUNCTION("""COMPUTED_VALUE"""),"")</f>
        <v/>
      </c>
      <c r="V121" s="1" t="str">
        <f>IFERROR(__xludf.DUMMYFUNCTION("""COMPUTED_VALUE"""),"")</f>
        <v/>
      </c>
      <c r="W121" s="1" t="str">
        <f>IFERROR(__xludf.DUMMYFUNCTION("""COMPUTED_VALUE"""),"")</f>
        <v/>
      </c>
      <c r="X121" s="1" t="str">
        <f>IFERROR(__xludf.DUMMYFUNCTION("""COMPUTED_VALUE"""),"")</f>
        <v/>
      </c>
      <c r="Y121" s="1" t="str">
        <f>IFERROR(__xludf.DUMMYFUNCTION("""COMPUTED_VALUE"""),"")</f>
        <v/>
      </c>
      <c r="Z121" s="1" t="str">
        <f>IFERROR(__xludf.DUMMYFUNCTION("""COMPUTED_VALUE"""),"Yes")</f>
        <v>Yes</v>
      </c>
      <c r="AA121" s="1" t="str">
        <f>IFERROR(__xludf.DUMMYFUNCTION("""COMPUTED_VALUE"""),"")</f>
        <v/>
      </c>
      <c r="AB121" s="1" t="str">
        <f>IFERROR(__xludf.DUMMYFUNCTION("""COMPUTED_VALUE"""),"Organized Advocacy")</f>
        <v>Organized Advocacy</v>
      </c>
      <c r="AC121" s="1" t="str">
        <f>IFERROR(__xludf.DUMMYFUNCTION("""COMPUTED_VALUE"""),"")</f>
        <v/>
      </c>
      <c r="AD121" s="1" t="str">
        <f>IFERROR(__xludf.DUMMYFUNCTION("""COMPUTED_VALUE"""),"Southwest Atlanta Residents Mobilize (SWARM Community Coalition)")</f>
        <v>Southwest Atlanta Residents Mobilize (SWARM Community Coalition)</v>
      </c>
      <c r="AE121" s="2" t="str">
        <f>IFERROR(__xludf.DUMMYFUNCTION("""COMPUTED_VALUE"""),"https://www.swarmatl.org/")</f>
        <v>https://www.swarmatl.org/</v>
      </c>
      <c r="AF121" s="2" t="str">
        <f>IFERROR(__xludf.DUMMYFUNCTION("""COMPUTED_VALUE"""),"https://www.swarmatl.org/#h.yivmfousiz5i")</f>
        <v>https://www.swarmatl.org/#h.yivmfousiz5i</v>
      </c>
      <c r="AG121" s="1" t="str">
        <f>IFERROR(__xludf.DUMMYFUNCTION("""COMPUTED_VALUE"""),"")</f>
        <v/>
      </c>
      <c r="AH121" s="1" t="str">
        <f>IFERROR(__xludf.DUMMYFUNCTION("""COMPUTED_VALUE"""),"Crowdsourced")</f>
        <v>Crowdsourced</v>
      </c>
      <c r="AI121" s="2" t="str">
        <f>IFERROR(__xludf.DUMMYFUNCTION("""COMPUTED_VALUE"""),"https://www.yahoo.com/news/articles/data-center-atlanta-thought-dead-203000461.html")</f>
        <v>https://www.yahoo.com/news/articles/data-center-atlanta-thought-dead-203000461.html</v>
      </c>
      <c r="AJ121" s="1" t="str">
        <f>IFERROR(__xludf.DUMMYFUNCTION("""COMPUTED_VALUE"""),"")</f>
        <v/>
      </c>
      <c r="AK121" s="1" t="str">
        <f>IFERROR(__xludf.DUMMYFUNCTION("""COMPUTED_VALUE"""),"")</f>
        <v/>
      </c>
      <c r="AL121" s="1" t="str">
        <f>IFERROR(__xludf.DUMMYFUNCTION("""COMPUTED_VALUE"""),"")</f>
        <v/>
      </c>
      <c r="AM121" s="1" t="str">
        <f>IFERROR(__xludf.DUMMYFUNCTION("""COMPUTED_VALUE"""),"")</f>
        <v/>
      </c>
      <c r="AN121" s="1" t="str">
        <f>IFERROR(__xludf.DUMMYFUNCTION("""COMPUTED_VALUE"""),"")</f>
        <v/>
      </c>
      <c r="AO121" s="1" t="str">
        <f>IFERROR(__xludf.DUMMYFUNCTION("""COMPUTED_VALUE"""),"")</f>
        <v/>
      </c>
      <c r="AP121" s="1" t="str">
        <f>IFERROR(__xludf.DUMMYFUNCTION("""COMPUTED_VALUE"""),"")</f>
        <v/>
      </c>
      <c r="AQ121" s="1" t="str">
        <f>IFERROR(__xludf.DUMMYFUNCTION("""COMPUTED_VALUE"""),"04/08/2026")</f>
        <v>04/08/2026</v>
      </c>
      <c r="AR121" s="1" t="str">
        <f>IFERROR(__xludf.DUMMYFUNCTION("""COMPUTED_VALUE"""),"04/08/2026")</f>
        <v>04/08/2026</v>
      </c>
    </row>
    <row r="122">
      <c r="A122" s="1" t="str">
        <f>IFERROR(__xludf.DUMMYFUNCTION("""COMPUTED_VALUE"""),"American Tower EDC Atlanta")</f>
        <v>American Tower EDC Atlanta</v>
      </c>
      <c r="B122" s="1" t="str">
        <f>IFERROR(__xludf.DUMMYFUNCTION("""COMPUTED_VALUE"""),"2374 Fairburn Road Southwest")</f>
        <v>2374 Fairburn Road Southwest</v>
      </c>
      <c r="C122" s="1" t="str">
        <f>IFERROR(__xludf.DUMMYFUNCTION("""COMPUTED_VALUE"""),"Atlanta")</f>
        <v>Atlanta</v>
      </c>
      <c r="D122" s="1" t="str">
        <f>IFERROR(__xludf.DUMMYFUNCTION("""COMPUTED_VALUE"""),"GA")</f>
        <v>GA</v>
      </c>
      <c r="E122" s="1" t="str">
        <f>IFERROR(__xludf.DUMMYFUNCTION("""COMPUTED_VALUE"""),"30331")</f>
        <v>30331</v>
      </c>
      <c r="F122" s="1" t="str">
        <f>IFERROR(__xludf.DUMMYFUNCTION("""COMPUTED_VALUE"""),"Fulton")</f>
        <v>Fulton</v>
      </c>
      <c r="G122" s="1" t="str">
        <f>IFERROR(__xludf.DUMMYFUNCTION("""COMPUTED_VALUE"""),"33.68953")</f>
        <v>33.68953</v>
      </c>
      <c r="H122" s="1" t="str">
        <f>IFERROR(__xludf.DUMMYFUNCTION("""COMPUTED_VALUE"""),"-84.51075")</f>
        <v>-84.51075</v>
      </c>
      <c r="I122" s="1" t="str">
        <f>IFERROR(__xludf.DUMMYFUNCTION("""COMPUTED_VALUE"""),"Operating")</f>
        <v>Operating</v>
      </c>
      <c r="J122" s="1" t="str">
        <f>IFERROR(__xludf.DUMMYFUNCTION("""COMPUTED_VALUE"""),"High")</f>
        <v>High</v>
      </c>
      <c r="K122" s="1" t="str">
        <f>IFERROR(__xludf.DUMMYFUNCTION("""COMPUTED_VALUE"""),"")</f>
        <v/>
      </c>
      <c r="L122" s="1" t="str">
        <f>IFERROR(__xludf.DUMMYFUNCTION("""COMPUTED_VALUE"""),"American Tower Corporation")</f>
        <v>American Tower Corporation</v>
      </c>
      <c r="M122" s="1" t="str">
        <f>IFERROR(__xludf.DUMMYFUNCTION("""COMPUTED_VALUE"""),"")</f>
        <v/>
      </c>
      <c r="N122" s="1" t="str">
        <f>IFERROR(__xludf.DUMMYFUNCTION("""COMPUTED_VALUE"""),"1")</f>
        <v>1</v>
      </c>
      <c r="O122" s="1" t="str">
        <f>IFERROR(__xludf.DUMMYFUNCTION("""COMPUTED_VALUE"""),"Small (0-10 MW)")</f>
        <v>Small (0-10 MW)</v>
      </c>
      <c r="P122" s="1" t="str">
        <f>IFERROR(__xludf.DUMMYFUNCTION("""COMPUTED_VALUE"""),"")</f>
        <v/>
      </c>
      <c r="Q122" s="1" t="str">
        <f>IFERROR(__xludf.DUMMYFUNCTION("""COMPUTED_VALUE"""),"")</f>
        <v/>
      </c>
      <c r="R122" s="1" t="str">
        <f>IFERROR(__xludf.DUMMYFUNCTION("""COMPUTED_VALUE"""),"")</f>
        <v/>
      </c>
      <c r="S122" s="1" t="str">
        <f>IFERROR(__xludf.DUMMYFUNCTION("""COMPUTED_VALUE"""),"")</f>
        <v/>
      </c>
      <c r="T122" s="1" t="str">
        <f>IFERROR(__xludf.DUMMYFUNCTION("""COMPUTED_VALUE"""),"")</f>
        <v/>
      </c>
      <c r="U122" s="1" t="str">
        <f>IFERROR(__xludf.DUMMYFUNCTION("""COMPUTED_VALUE"""),"")</f>
        <v/>
      </c>
      <c r="V122" s="1" t="str">
        <f>IFERROR(__xludf.DUMMYFUNCTION("""COMPUTED_VALUE"""),"360")</f>
        <v>360</v>
      </c>
      <c r="W122" s="1" t="str">
        <f>IFERROR(__xludf.DUMMYFUNCTION("""COMPUTED_VALUE"""),"")</f>
        <v/>
      </c>
      <c r="X122" s="1" t="str">
        <f>IFERROR(__xludf.DUMMYFUNCTION("""COMPUTED_VALUE"""),"")</f>
        <v/>
      </c>
      <c r="Y122" s="1" t="str">
        <f>IFERROR(__xludf.DUMMYFUNCTION("""COMPUTED_VALUE"""),"")</f>
        <v/>
      </c>
      <c r="Z122" s="1" t="str">
        <f>IFERROR(__xludf.DUMMYFUNCTION("""COMPUTED_VALUE"""),"Unknown")</f>
        <v>Unknown</v>
      </c>
      <c r="AA122" s="1" t="str">
        <f>IFERROR(__xludf.DUMMYFUNCTION("""COMPUTED_VALUE"""),"")</f>
        <v/>
      </c>
      <c r="AB122" s="1" t="str">
        <f>IFERROR(__xludf.DUMMYFUNCTION("""COMPUTED_VALUE"""),"")</f>
        <v/>
      </c>
      <c r="AC122" s="1" t="str">
        <f>IFERROR(__xludf.DUMMYFUNCTION("""COMPUTED_VALUE"""),"")</f>
        <v/>
      </c>
      <c r="AD122" s="1" t="str">
        <f>IFERROR(__xludf.DUMMYFUNCTION("""COMPUTED_VALUE"""),"")</f>
        <v/>
      </c>
      <c r="AE122" s="1" t="str">
        <f>IFERROR(__xludf.DUMMYFUNCTION("""COMPUTED_VALUE"""),"")</f>
        <v/>
      </c>
      <c r="AF122" s="1" t="str">
        <f>IFERROR(__xludf.DUMMYFUNCTION("""COMPUTED_VALUE"""),"")</f>
        <v/>
      </c>
      <c r="AG122" s="1" t="str">
        <f>IFERROR(__xludf.DUMMYFUNCTION("""COMPUTED_VALUE"""),"")</f>
        <v/>
      </c>
      <c r="AH122" s="1" t="str">
        <f>IFERROR(__xludf.DUMMYFUNCTION("""COMPUTED_VALUE"""),"Sci4GA")</f>
        <v>Sci4GA</v>
      </c>
      <c r="AI122" s="1" t="str">
        <f>IFERROR(__xludf.DUMMYFUNCTION("""COMPUTED_VALUE"""),"")</f>
        <v/>
      </c>
      <c r="AJ122" s="1" t="str">
        <f>IFERROR(__xludf.DUMMYFUNCTION("""COMPUTED_VALUE"""),"")</f>
        <v/>
      </c>
      <c r="AK122" s="1" t="str">
        <f>IFERROR(__xludf.DUMMYFUNCTION("""COMPUTED_VALUE"""),"")</f>
        <v/>
      </c>
      <c r="AL122" s="1" t="str">
        <f>IFERROR(__xludf.DUMMYFUNCTION("""COMPUTED_VALUE"""),"")</f>
        <v/>
      </c>
      <c r="AM122" s="1" t="str">
        <f>IFERROR(__xludf.DUMMYFUNCTION("""COMPUTED_VALUE"""),"")</f>
        <v/>
      </c>
      <c r="AN122" s="1" t="str">
        <f>IFERROR(__xludf.DUMMYFUNCTION("""COMPUTED_VALUE"""),"")</f>
        <v/>
      </c>
      <c r="AO122" s="1" t="str">
        <f>IFERROR(__xludf.DUMMYFUNCTION("""COMPUTED_VALUE"""),"")</f>
        <v/>
      </c>
      <c r="AP122" s="1" t="str">
        <f>IFERROR(__xludf.DUMMYFUNCTION("""COMPUTED_VALUE"""),"")</f>
        <v/>
      </c>
      <c r="AQ122" s="1" t="str">
        <f>IFERROR(__xludf.DUMMYFUNCTION("""COMPUTED_VALUE"""),"10/16/2025")</f>
        <v>10/16/2025</v>
      </c>
      <c r="AR122" s="1" t="str">
        <f>IFERROR(__xludf.DUMMYFUNCTION("""COMPUTED_VALUE"""),"10/16/2025")</f>
        <v>10/16/2025</v>
      </c>
    </row>
    <row r="123">
      <c r="A123" s="1" t="str">
        <f>IFERROR(__xludf.DUMMYFUNCTION("""COMPUTED_VALUE"""),"ATL1")</f>
        <v>ATL1</v>
      </c>
      <c r="B123" s="1" t="str">
        <f>IFERROR(__xludf.DUMMYFUNCTION("""COMPUTED_VALUE"""),"40 Perimeter Center E")</f>
        <v>40 Perimeter Center E</v>
      </c>
      <c r="C123" s="1" t="str">
        <f>IFERROR(__xludf.DUMMYFUNCTION("""COMPUTED_VALUE"""),"Atlanta")</f>
        <v>Atlanta</v>
      </c>
      <c r="D123" s="1" t="str">
        <f>IFERROR(__xludf.DUMMYFUNCTION("""COMPUTED_VALUE"""),"GA")</f>
        <v>GA</v>
      </c>
      <c r="E123" s="1" t="str">
        <f>IFERROR(__xludf.DUMMYFUNCTION("""COMPUTED_VALUE"""),"30346")</f>
        <v>30346</v>
      </c>
      <c r="F123" s="1" t="str">
        <f>IFERROR(__xludf.DUMMYFUNCTION("""COMPUTED_VALUE"""),"DeKalb")</f>
        <v>DeKalb</v>
      </c>
      <c r="G123" s="1" t="str">
        <f>IFERROR(__xludf.DUMMYFUNCTION("""COMPUTED_VALUE"""),"33.926537")</f>
        <v>33.926537</v>
      </c>
      <c r="H123" s="1" t="str">
        <f>IFERROR(__xludf.DUMMYFUNCTION("""COMPUTED_VALUE"""),"-84.32673")</f>
        <v>-84.32673</v>
      </c>
      <c r="I123" s="1" t="str">
        <f>IFERROR(__xludf.DUMMYFUNCTION("""COMPUTED_VALUE"""),"Operating")</f>
        <v>Operating</v>
      </c>
      <c r="J123" s="1" t="str">
        <f>IFERROR(__xludf.DUMMYFUNCTION("""COMPUTED_VALUE"""),"High")</f>
        <v>High</v>
      </c>
      <c r="K123" s="1" t="str">
        <f>IFERROR(__xludf.DUMMYFUNCTION("""COMPUTED_VALUE"""),"")</f>
        <v/>
      </c>
      <c r="L123" s="1" t="str">
        <f>IFERROR(__xludf.DUMMYFUNCTION("""COMPUTED_VALUE"""),"Lincoln Rackhouse")</f>
        <v>Lincoln Rackhouse</v>
      </c>
      <c r="M123" s="1" t="str">
        <f>IFERROR(__xludf.DUMMYFUNCTION("""COMPUTED_VALUE"""),"")</f>
        <v/>
      </c>
      <c r="N123" s="1" t="str">
        <f>IFERROR(__xludf.DUMMYFUNCTION("""COMPUTED_VALUE"""),"15")</f>
        <v>15</v>
      </c>
      <c r="O123" s="1" t="str">
        <f>IFERROR(__xludf.DUMMYFUNCTION("""COMPUTED_VALUE"""),"Medium (11-50 MW)")</f>
        <v>Medium (11-50 MW)</v>
      </c>
      <c r="P123" s="1" t="str">
        <f>IFERROR(__xludf.DUMMYFUNCTION("""COMPUTED_VALUE"""),"")</f>
        <v/>
      </c>
      <c r="Q123" s="1" t="str">
        <f>IFERROR(__xludf.DUMMYFUNCTION("""COMPUTED_VALUE"""),"")</f>
        <v/>
      </c>
      <c r="R123" s="1" t="str">
        <f>IFERROR(__xludf.DUMMYFUNCTION("""COMPUTED_VALUE"""),"")</f>
        <v/>
      </c>
      <c r="S123" s="1" t="str">
        <f>IFERROR(__xludf.DUMMYFUNCTION("""COMPUTED_VALUE"""),"")</f>
        <v/>
      </c>
      <c r="T123" s="1" t="str">
        <f>IFERROR(__xludf.DUMMYFUNCTION("""COMPUTED_VALUE"""),"")</f>
        <v/>
      </c>
      <c r="U123" s="1" t="str">
        <f>IFERROR(__xludf.DUMMYFUNCTION("""COMPUTED_VALUE"""),"")</f>
        <v/>
      </c>
      <c r="V123" s="1" t="str">
        <f>IFERROR(__xludf.DUMMYFUNCTION("""COMPUTED_VALUE"""),"77,322")</f>
        <v>77,322</v>
      </c>
      <c r="W123" s="1" t="str">
        <f>IFERROR(__xludf.DUMMYFUNCTION("""COMPUTED_VALUE"""),"")</f>
        <v/>
      </c>
      <c r="X123" s="1" t="str">
        <f>IFERROR(__xludf.DUMMYFUNCTION("""COMPUTED_VALUE"""),"")</f>
        <v/>
      </c>
      <c r="Y123" s="1" t="str">
        <f>IFERROR(__xludf.DUMMYFUNCTION("""COMPUTED_VALUE"""),"")</f>
        <v/>
      </c>
      <c r="Z123" s="1" t="str">
        <f>IFERROR(__xludf.DUMMYFUNCTION("""COMPUTED_VALUE"""),"Unknown")</f>
        <v>Unknown</v>
      </c>
      <c r="AA123" s="1" t="str">
        <f>IFERROR(__xludf.DUMMYFUNCTION("""COMPUTED_VALUE"""),"")</f>
        <v/>
      </c>
      <c r="AB123" s="1" t="str">
        <f>IFERROR(__xludf.DUMMYFUNCTION("""COMPUTED_VALUE"""),"")</f>
        <v/>
      </c>
      <c r="AC123" s="1" t="str">
        <f>IFERROR(__xludf.DUMMYFUNCTION("""COMPUTED_VALUE"""),"")</f>
        <v/>
      </c>
      <c r="AD123" s="1" t="str">
        <f>IFERROR(__xludf.DUMMYFUNCTION("""COMPUTED_VALUE"""),"")</f>
        <v/>
      </c>
      <c r="AE123" s="1" t="str">
        <f>IFERROR(__xludf.DUMMYFUNCTION("""COMPUTED_VALUE"""),"")</f>
        <v/>
      </c>
      <c r="AF123" s="1" t="str">
        <f>IFERROR(__xludf.DUMMYFUNCTION("""COMPUTED_VALUE"""),"")</f>
        <v/>
      </c>
      <c r="AG123" s="1" t="str">
        <f>IFERROR(__xludf.DUMMYFUNCTION("""COMPUTED_VALUE"""),"")</f>
        <v/>
      </c>
      <c r="AH123" s="1" t="str">
        <f>IFERROR(__xludf.DUMMYFUNCTION("""COMPUTED_VALUE"""),"Sci4GA")</f>
        <v>Sci4GA</v>
      </c>
      <c r="AI123" s="2" t="str">
        <f>IFERROR(__xludf.DUMMYFUNCTION("""COMPUTED_VALUE"""),"https://baxtel.com/data-center/40-perimeter-center-lincoln-rackhouse")</f>
        <v>https://baxtel.com/data-center/40-perimeter-center-lincoln-rackhouse</v>
      </c>
      <c r="AJ123" s="1" t="str">
        <f>IFERROR(__xludf.DUMMYFUNCTION("""COMPUTED_VALUE"""),"")</f>
        <v/>
      </c>
      <c r="AK123" s="1" t="str">
        <f>IFERROR(__xludf.DUMMYFUNCTION("""COMPUTED_VALUE"""),"")</f>
        <v/>
      </c>
      <c r="AL123" s="1" t="str">
        <f>IFERROR(__xludf.DUMMYFUNCTION("""COMPUTED_VALUE"""),"")</f>
        <v/>
      </c>
      <c r="AM123" s="1" t="str">
        <f>IFERROR(__xludf.DUMMYFUNCTION("""COMPUTED_VALUE"""),"")</f>
        <v/>
      </c>
      <c r="AN123" s="1" t="str">
        <f>IFERROR(__xludf.DUMMYFUNCTION("""COMPUTED_VALUE"""),"")</f>
        <v/>
      </c>
      <c r="AO123" s="1" t="str">
        <f>IFERROR(__xludf.DUMMYFUNCTION("""COMPUTED_VALUE"""),"")</f>
        <v/>
      </c>
      <c r="AP123" s="1" t="str">
        <f>IFERROR(__xludf.DUMMYFUNCTION("""COMPUTED_VALUE"""),"")</f>
        <v/>
      </c>
      <c r="AQ123" s="1" t="str">
        <f>IFERROR(__xludf.DUMMYFUNCTION("""COMPUTED_VALUE"""),"10/16/2025")</f>
        <v>10/16/2025</v>
      </c>
      <c r="AR123" s="1" t="str">
        <f>IFERROR(__xludf.DUMMYFUNCTION("""COMPUTED_VALUE"""),"10/16/2025")</f>
        <v>10/16/2025</v>
      </c>
    </row>
    <row r="124">
      <c r="A124" s="1" t="str">
        <f>IFERROR(__xludf.DUMMYFUNCTION("""COMPUTED_VALUE"""),"ATL2 Colo Data Center")</f>
        <v>ATL2 Colo Data Center</v>
      </c>
      <c r="B124" s="1" t="str">
        <f>IFERROR(__xludf.DUMMYFUNCTION("""COMPUTED_VALUE"""),"250 Williams Street NW (E-100)")</f>
        <v>250 Williams Street NW (E-100)</v>
      </c>
      <c r="C124" s="1" t="str">
        <f>IFERROR(__xludf.DUMMYFUNCTION("""COMPUTED_VALUE"""),"Atlanta")</f>
        <v>Atlanta</v>
      </c>
      <c r="D124" s="1" t="str">
        <f>IFERROR(__xludf.DUMMYFUNCTION("""COMPUTED_VALUE"""),"GA")</f>
        <v>GA</v>
      </c>
      <c r="E124" s="1" t="str">
        <f>IFERROR(__xludf.DUMMYFUNCTION("""COMPUTED_VALUE"""),"30303")</f>
        <v>30303</v>
      </c>
      <c r="F124" s="1" t="str">
        <f>IFERROR(__xludf.DUMMYFUNCTION("""COMPUTED_VALUE"""),"Fulton")</f>
        <v>Fulton</v>
      </c>
      <c r="G124" s="1" t="str">
        <f>IFERROR(__xludf.DUMMYFUNCTION("""COMPUTED_VALUE"""),"33.761627")</f>
        <v>33.761627</v>
      </c>
      <c r="H124" s="1" t="str">
        <f>IFERROR(__xludf.DUMMYFUNCTION("""COMPUTED_VALUE"""),"-84.39127")</f>
        <v>-84.39127</v>
      </c>
      <c r="I124" s="1" t="str">
        <f>IFERROR(__xludf.DUMMYFUNCTION("""COMPUTED_VALUE"""),"Operating")</f>
        <v>Operating</v>
      </c>
      <c r="J124" s="1" t="str">
        <f>IFERROR(__xludf.DUMMYFUNCTION("""COMPUTED_VALUE"""),"High")</f>
        <v>High</v>
      </c>
      <c r="K124" s="1" t="str">
        <f>IFERROR(__xludf.DUMMYFUNCTION("""COMPUTED_VALUE"""),"")</f>
        <v/>
      </c>
      <c r="L124" s="1" t="str">
        <f>IFERROR(__xludf.DUMMYFUNCTION("""COMPUTED_VALUE"""),"Hivelocity")</f>
        <v>Hivelocity</v>
      </c>
      <c r="M124" s="1" t="str">
        <f>IFERROR(__xludf.DUMMYFUNCTION("""COMPUTED_VALUE"""),"")</f>
        <v/>
      </c>
      <c r="N124" s="1" t="str">
        <f>IFERROR(__xludf.DUMMYFUNCTION("""COMPUTED_VALUE"""),"3")</f>
        <v>3</v>
      </c>
      <c r="O124" s="1" t="str">
        <f>IFERROR(__xludf.DUMMYFUNCTION("""COMPUTED_VALUE"""),"Small (0-10 MW)")</f>
        <v>Small (0-10 MW)</v>
      </c>
      <c r="P124" s="1" t="str">
        <f>IFERROR(__xludf.DUMMYFUNCTION("""COMPUTED_VALUE"""),"")</f>
        <v/>
      </c>
      <c r="Q124" s="1" t="str">
        <f>IFERROR(__xludf.DUMMYFUNCTION("""COMPUTED_VALUE"""),"")</f>
        <v/>
      </c>
      <c r="R124" s="1" t="str">
        <f>IFERROR(__xludf.DUMMYFUNCTION("""COMPUTED_VALUE"""),"")</f>
        <v/>
      </c>
      <c r="S124" s="1" t="str">
        <f>IFERROR(__xludf.DUMMYFUNCTION("""COMPUTED_VALUE"""),"")</f>
        <v/>
      </c>
      <c r="T124" s="1" t="str">
        <f>IFERROR(__xludf.DUMMYFUNCTION("""COMPUTED_VALUE"""),"")</f>
        <v/>
      </c>
      <c r="U124" s="1" t="str">
        <f>IFERROR(__xludf.DUMMYFUNCTION("""COMPUTED_VALUE"""),"")</f>
        <v/>
      </c>
      <c r="V124" s="1" t="str">
        <f>IFERROR(__xludf.DUMMYFUNCTION("""COMPUTED_VALUE"""),"")</f>
        <v/>
      </c>
      <c r="W124" s="1" t="str">
        <f>IFERROR(__xludf.DUMMYFUNCTION("""COMPUTED_VALUE"""),"")</f>
        <v/>
      </c>
      <c r="X124" s="1" t="str">
        <f>IFERROR(__xludf.DUMMYFUNCTION("""COMPUTED_VALUE"""),"")</f>
        <v/>
      </c>
      <c r="Y124" s="1" t="str">
        <f>IFERROR(__xludf.DUMMYFUNCTION("""COMPUTED_VALUE"""),"")</f>
        <v/>
      </c>
      <c r="Z124" s="1" t="str">
        <f>IFERROR(__xludf.DUMMYFUNCTION("""COMPUTED_VALUE"""),"Unknown")</f>
        <v>Unknown</v>
      </c>
      <c r="AA124" s="1" t="str">
        <f>IFERROR(__xludf.DUMMYFUNCTION("""COMPUTED_VALUE"""),"")</f>
        <v/>
      </c>
      <c r="AB124" s="1" t="str">
        <f>IFERROR(__xludf.DUMMYFUNCTION("""COMPUTED_VALUE"""),"")</f>
        <v/>
      </c>
      <c r="AC124" s="1" t="str">
        <f>IFERROR(__xludf.DUMMYFUNCTION("""COMPUTED_VALUE"""),"")</f>
        <v/>
      </c>
      <c r="AD124" s="1" t="str">
        <f>IFERROR(__xludf.DUMMYFUNCTION("""COMPUTED_VALUE"""),"")</f>
        <v/>
      </c>
      <c r="AE124" s="1" t="str">
        <f>IFERROR(__xludf.DUMMYFUNCTION("""COMPUTED_VALUE"""),"")</f>
        <v/>
      </c>
      <c r="AF124" s="1" t="str">
        <f>IFERROR(__xludf.DUMMYFUNCTION("""COMPUTED_VALUE"""),"")</f>
        <v/>
      </c>
      <c r="AG124" s="1" t="str">
        <f>IFERROR(__xludf.DUMMYFUNCTION("""COMPUTED_VALUE"""),"")</f>
        <v/>
      </c>
      <c r="AH124" s="1" t="str">
        <f>IFERROR(__xludf.DUMMYFUNCTION("""COMPUTED_VALUE"""),"Sci4GA")</f>
        <v>Sci4GA</v>
      </c>
      <c r="AI124" s="2" t="str">
        <f>IFERROR(__xludf.DUMMYFUNCTION("""COMPUTED_VALUE"""),"https://www.hivelocity.net/wp-content/uploads/2024/04/Hivelocity_Atlanta.pdf")</f>
        <v>https://www.hivelocity.net/wp-content/uploads/2024/04/Hivelocity_Atlanta.pdf</v>
      </c>
      <c r="AJ124" s="1" t="str">
        <f>IFERROR(__xludf.DUMMYFUNCTION("""COMPUTED_VALUE"""),"")</f>
        <v/>
      </c>
      <c r="AK124" s="1" t="str">
        <f>IFERROR(__xludf.DUMMYFUNCTION("""COMPUTED_VALUE"""),"")</f>
        <v/>
      </c>
      <c r="AL124" s="1" t="str">
        <f>IFERROR(__xludf.DUMMYFUNCTION("""COMPUTED_VALUE"""),"")</f>
        <v/>
      </c>
      <c r="AM124" s="1" t="str">
        <f>IFERROR(__xludf.DUMMYFUNCTION("""COMPUTED_VALUE"""),"")</f>
        <v/>
      </c>
      <c r="AN124" s="1" t="str">
        <f>IFERROR(__xludf.DUMMYFUNCTION("""COMPUTED_VALUE"""),"")</f>
        <v/>
      </c>
      <c r="AO124" s="1" t="str">
        <f>IFERROR(__xludf.DUMMYFUNCTION("""COMPUTED_VALUE"""),"")</f>
        <v/>
      </c>
      <c r="AP124" s="1" t="str">
        <f>IFERROR(__xludf.DUMMYFUNCTION("""COMPUTED_VALUE"""),"")</f>
        <v/>
      </c>
      <c r="AQ124" s="1" t="str">
        <f>IFERROR(__xludf.DUMMYFUNCTION("""COMPUTED_VALUE"""),"10/16/2025")</f>
        <v>10/16/2025</v>
      </c>
      <c r="AR124" s="1" t="str">
        <f>IFERROR(__xludf.DUMMYFUNCTION("""COMPUTED_VALUE"""),"10/16/2025")</f>
        <v>10/16/2025</v>
      </c>
    </row>
    <row r="125">
      <c r="A125" s="1" t="str">
        <f>IFERROR(__xludf.DUMMYFUNCTION("""COMPUTED_VALUE"""),"Atlanta")</f>
        <v>Atlanta</v>
      </c>
      <c r="B125" s="1" t="str">
        <f>IFERROR(__xludf.DUMMYFUNCTION("""COMPUTED_VALUE"""),"56 Marietta Street NW")</f>
        <v>56 Marietta Street NW</v>
      </c>
      <c r="C125" s="1" t="str">
        <f>IFERROR(__xludf.DUMMYFUNCTION("""COMPUTED_VALUE"""),"Atlanta")</f>
        <v>Atlanta</v>
      </c>
      <c r="D125" s="1" t="str">
        <f>IFERROR(__xludf.DUMMYFUNCTION("""COMPUTED_VALUE"""),"GA")</f>
        <v>GA</v>
      </c>
      <c r="E125" s="1" t="str">
        <f>IFERROR(__xludf.DUMMYFUNCTION("""COMPUTED_VALUE"""),"30303")</f>
        <v>30303</v>
      </c>
      <c r="F125" s="1" t="str">
        <f>IFERROR(__xludf.DUMMYFUNCTION("""COMPUTED_VALUE"""),"Fulton")</f>
        <v>Fulton</v>
      </c>
      <c r="G125" s="1" t="str">
        <f>IFERROR(__xludf.DUMMYFUNCTION("""COMPUTED_VALUE"""),"33.75543")</f>
        <v>33.75543</v>
      </c>
      <c r="H125" s="1" t="str">
        <f>IFERROR(__xludf.DUMMYFUNCTION("""COMPUTED_VALUE"""),"-84.39146")</f>
        <v>-84.39146</v>
      </c>
      <c r="I125" s="1" t="str">
        <f>IFERROR(__xludf.DUMMYFUNCTION("""COMPUTED_VALUE"""),"Operating")</f>
        <v>Operating</v>
      </c>
      <c r="J125" s="1" t="str">
        <f>IFERROR(__xludf.DUMMYFUNCTION("""COMPUTED_VALUE"""),"High")</f>
        <v>High</v>
      </c>
      <c r="K125" s="1" t="str">
        <f>IFERROR(__xludf.DUMMYFUNCTION("""COMPUTED_VALUE"""),"")</f>
        <v/>
      </c>
      <c r="L125" s="1" t="str">
        <f>IFERROR(__xludf.DUMMYFUNCTION("""COMPUTED_VALUE"""),"Corespace")</f>
        <v>Corespace</v>
      </c>
      <c r="M125" s="1" t="str">
        <f>IFERROR(__xludf.DUMMYFUNCTION("""COMPUTED_VALUE"""),"")</f>
        <v/>
      </c>
      <c r="N125" s="1" t="str">
        <f>IFERROR(__xludf.DUMMYFUNCTION("""COMPUTED_VALUE"""),"3")</f>
        <v>3</v>
      </c>
      <c r="O125" s="1" t="str">
        <f>IFERROR(__xludf.DUMMYFUNCTION("""COMPUTED_VALUE"""),"Small (0-10 MW)")</f>
        <v>Small (0-10 MW)</v>
      </c>
      <c r="P125" s="1" t="str">
        <f>IFERROR(__xludf.DUMMYFUNCTION("""COMPUTED_VALUE"""),"")</f>
        <v/>
      </c>
      <c r="Q125" s="1" t="str">
        <f>IFERROR(__xludf.DUMMYFUNCTION("""COMPUTED_VALUE"""),"")</f>
        <v/>
      </c>
      <c r="R125" s="1" t="str">
        <f>IFERROR(__xludf.DUMMYFUNCTION("""COMPUTED_VALUE"""),"")</f>
        <v/>
      </c>
      <c r="S125" s="1" t="str">
        <f>IFERROR(__xludf.DUMMYFUNCTION("""COMPUTED_VALUE"""),"")</f>
        <v/>
      </c>
      <c r="T125" s="1" t="str">
        <f>IFERROR(__xludf.DUMMYFUNCTION("""COMPUTED_VALUE"""),"")</f>
        <v/>
      </c>
      <c r="U125" s="1" t="str">
        <f>IFERROR(__xludf.DUMMYFUNCTION("""COMPUTED_VALUE"""),"")</f>
        <v/>
      </c>
      <c r="V125" s="1" t="str">
        <f>IFERROR(__xludf.DUMMYFUNCTION("""COMPUTED_VALUE"""),"")</f>
        <v/>
      </c>
      <c r="W125" s="1" t="str">
        <f>IFERROR(__xludf.DUMMYFUNCTION("""COMPUTED_VALUE"""),"")</f>
        <v/>
      </c>
      <c r="X125" s="1" t="str">
        <f>IFERROR(__xludf.DUMMYFUNCTION("""COMPUTED_VALUE"""),"")</f>
        <v/>
      </c>
      <c r="Y125" s="1" t="str">
        <f>IFERROR(__xludf.DUMMYFUNCTION("""COMPUTED_VALUE"""),"")</f>
        <v/>
      </c>
      <c r="Z125" s="1" t="str">
        <f>IFERROR(__xludf.DUMMYFUNCTION("""COMPUTED_VALUE"""),"Unknown")</f>
        <v>Unknown</v>
      </c>
      <c r="AA125" s="1" t="str">
        <f>IFERROR(__xludf.DUMMYFUNCTION("""COMPUTED_VALUE"""),"")</f>
        <v/>
      </c>
      <c r="AB125" s="1" t="str">
        <f>IFERROR(__xludf.DUMMYFUNCTION("""COMPUTED_VALUE"""),"")</f>
        <v/>
      </c>
      <c r="AC125" s="1" t="str">
        <f>IFERROR(__xludf.DUMMYFUNCTION("""COMPUTED_VALUE"""),"")</f>
        <v/>
      </c>
      <c r="AD125" s="1" t="str">
        <f>IFERROR(__xludf.DUMMYFUNCTION("""COMPUTED_VALUE"""),"")</f>
        <v/>
      </c>
      <c r="AE125" s="1" t="str">
        <f>IFERROR(__xludf.DUMMYFUNCTION("""COMPUTED_VALUE"""),"")</f>
        <v/>
      </c>
      <c r="AF125" s="1" t="str">
        <f>IFERROR(__xludf.DUMMYFUNCTION("""COMPUTED_VALUE"""),"")</f>
        <v/>
      </c>
      <c r="AG125" s="1" t="str">
        <f>IFERROR(__xludf.DUMMYFUNCTION("""COMPUTED_VALUE"""),"")</f>
        <v/>
      </c>
      <c r="AH125" s="1" t="str">
        <f>IFERROR(__xludf.DUMMYFUNCTION("""COMPUTED_VALUE"""),"Sci4GA")</f>
        <v>Sci4GA</v>
      </c>
      <c r="AI125" s="2" t="str">
        <f>IFERROR(__xludf.DUMMYFUNCTION("""COMPUTED_VALUE"""),"https://inflect.com/building/56-marietta-street-northwest-atlanta")</f>
        <v>https://inflect.com/building/56-marietta-street-northwest-atlanta</v>
      </c>
      <c r="AJ125" s="1" t="str">
        <f>IFERROR(__xludf.DUMMYFUNCTION("""COMPUTED_VALUE"""),"")</f>
        <v/>
      </c>
      <c r="AK125" s="1" t="str">
        <f>IFERROR(__xludf.DUMMYFUNCTION("""COMPUTED_VALUE"""),"")</f>
        <v/>
      </c>
      <c r="AL125" s="1" t="str">
        <f>IFERROR(__xludf.DUMMYFUNCTION("""COMPUTED_VALUE"""),"")</f>
        <v/>
      </c>
      <c r="AM125" s="1" t="str">
        <f>IFERROR(__xludf.DUMMYFUNCTION("""COMPUTED_VALUE"""),"")</f>
        <v/>
      </c>
      <c r="AN125" s="1" t="str">
        <f>IFERROR(__xludf.DUMMYFUNCTION("""COMPUTED_VALUE"""),"")</f>
        <v/>
      </c>
      <c r="AO125" s="1" t="str">
        <f>IFERROR(__xludf.DUMMYFUNCTION("""COMPUTED_VALUE"""),"")</f>
        <v/>
      </c>
      <c r="AP125" s="1" t="str">
        <f>IFERROR(__xludf.DUMMYFUNCTION("""COMPUTED_VALUE"""),"")</f>
        <v/>
      </c>
      <c r="AQ125" s="1" t="str">
        <f>IFERROR(__xludf.DUMMYFUNCTION("""COMPUTED_VALUE"""),"10/16/2025")</f>
        <v>10/16/2025</v>
      </c>
      <c r="AR125" s="1" t="str">
        <f>IFERROR(__xludf.DUMMYFUNCTION("""COMPUTED_VALUE"""),"10/16/2025")</f>
        <v>10/16/2025</v>
      </c>
    </row>
    <row r="126">
      <c r="A126" s="1" t="str">
        <f>IFERROR(__xludf.DUMMYFUNCTION("""COMPUTED_VALUE"""),"Atlanta AT1")</f>
        <v>Atlanta AT1</v>
      </c>
      <c r="B126" s="1" t="str">
        <f>IFERROR(__xludf.DUMMYFUNCTION("""COMPUTED_VALUE"""),"55 Marietta Street")</f>
        <v>55 Marietta Street</v>
      </c>
      <c r="C126" s="1" t="str">
        <f>IFERROR(__xludf.DUMMYFUNCTION("""COMPUTED_VALUE"""),"Atlanta")</f>
        <v>Atlanta</v>
      </c>
      <c r="D126" s="1" t="str">
        <f>IFERROR(__xludf.DUMMYFUNCTION("""COMPUTED_VALUE"""),"GA")</f>
        <v>GA</v>
      </c>
      <c r="E126" s="1" t="str">
        <f>IFERROR(__xludf.DUMMYFUNCTION("""COMPUTED_VALUE"""),"30303")</f>
        <v>30303</v>
      </c>
      <c r="F126" s="1" t="str">
        <f>IFERROR(__xludf.DUMMYFUNCTION("""COMPUTED_VALUE"""),"Fulton")</f>
        <v>Fulton</v>
      </c>
      <c r="G126" s="1" t="str">
        <f>IFERROR(__xludf.DUMMYFUNCTION("""COMPUTED_VALUE"""),"33.75585")</f>
        <v>33.75585</v>
      </c>
      <c r="H126" s="1" t="str">
        <f>IFERROR(__xludf.DUMMYFUNCTION("""COMPUTED_VALUE"""),"-84.39107")</f>
        <v>-84.39107</v>
      </c>
      <c r="I126" s="1" t="str">
        <f>IFERROR(__xludf.DUMMYFUNCTION("""COMPUTED_VALUE"""),"Operating")</f>
        <v>Operating</v>
      </c>
      <c r="J126" s="1" t="str">
        <f>IFERROR(__xludf.DUMMYFUNCTION("""COMPUTED_VALUE"""),"High")</f>
        <v>High</v>
      </c>
      <c r="K126" s="1" t="str">
        <f>IFERROR(__xludf.DUMMYFUNCTION("""COMPUTED_VALUE"""),"")</f>
        <v/>
      </c>
      <c r="L126" s="1" t="str">
        <f>IFERROR(__xludf.DUMMYFUNCTION("""COMPUTED_VALUE"""),"CoreSite")</f>
        <v>CoreSite</v>
      </c>
      <c r="M126" s="1" t="str">
        <f>IFERROR(__xludf.DUMMYFUNCTION("""COMPUTED_VALUE"""),"")</f>
        <v/>
      </c>
      <c r="N126" s="1" t="str">
        <f>IFERROR(__xludf.DUMMYFUNCTION("""COMPUTED_VALUE"""),"10")</f>
        <v>10</v>
      </c>
      <c r="O126" s="1" t="str">
        <f>IFERROR(__xludf.DUMMYFUNCTION("""COMPUTED_VALUE"""),"Small (0-10 MW)")</f>
        <v>Small (0-10 MW)</v>
      </c>
      <c r="P126" s="1" t="str">
        <f>IFERROR(__xludf.DUMMYFUNCTION("""COMPUTED_VALUE"""),"")</f>
        <v/>
      </c>
      <c r="Q126" s="1" t="str">
        <f>IFERROR(__xludf.DUMMYFUNCTION("""COMPUTED_VALUE"""),"")</f>
        <v/>
      </c>
      <c r="R126" s="1" t="str">
        <f>IFERROR(__xludf.DUMMYFUNCTION("""COMPUTED_VALUE"""),"")</f>
        <v/>
      </c>
      <c r="S126" s="1" t="str">
        <f>IFERROR(__xludf.DUMMYFUNCTION("""COMPUTED_VALUE"""),"")</f>
        <v/>
      </c>
      <c r="T126" s="1" t="str">
        <f>IFERROR(__xludf.DUMMYFUNCTION("""COMPUTED_VALUE"""),"")</f>
        <v/>
      </c>
      <c r="U126" s="1" t="str">
        <f>IFERROR(__xludf.DUMMYFUNCTION("""COMPUTED_VALUE"""),"")</f>
        <v/>
      </c>
      <c r="V126" s="1" t="str">
        <f>IFERROR(__xludf.DUMMYFUNCTION("""COMPUTED_VALUE"""),"45,000")</f>
        <v>45,000</v>
      </c>
      <c r="W126" s="1" t="str">
        <f>IFERROR(__xludf.DUMMYFUNCTION("""COMPUTED_VALUE"""),"")</f>
        <v/>
      </c>
      <c r="X126" s="1" t="str">
        <f>IFERROR(__xludf.DUMMYFUNCTION("""COMPUTED_VALUE"""),"")</f>
        <v/>
      </c>
      <c r="Y126" s="1" t="str">
        <f>IFERROR(__xludf.DUMMYFUNCTION("""COMPUTED_VALUE"""),"")</f>
        <v/>
      </c>
      <c r="Z126" s="1" t="str">
        <f>IFERROR(__xludf.DUMMYFUNCTION("""COMPUTED_VALUE"""),"Unknown")</f>
        <v>Unknown</v>
      </c>
      <c r="AA126" s="1" t="str">
        <f>IFERROR(__xludf.DUMMYFUNCTION("""COMPUTED_VALUE"""),"")</f>
        <v/>
      </c>
      <c r="AB126" s="1" t="str">
        <f>IFERROR(__xludf.DUMMYFUNCTION("""COMPUTED_VALUE"""),"")</f>
        <v/>
      </c>
      <c r="AC126" s="1" t="str">
        <f>IFERROR(__xludf.DUMMYFUNCTION("""COMPUTED_VALUE"""),"")</f>
        <v/>
      </c>
      <c r="AD126" s="1" t="str">
        <f>IFERROR(__xludf.DUMMYFUNCTION("""COMPUTED_VALUE"""),"")</f>
        <v/>
      </c>
      <c r="AE126" s="1" t="str">
        <f>IFERROR(__xludf.DUMMYFUNCTION("""COMPUTED_VALUE"""),"")</f>
        <v/>
      </c>
      <c r="AF126" s="1" t="str">
        <f>IFERROR(__xludf.DUMMYFUNCTION("""COMPUTED_VALUE"""),"")</f>
        <v/>
      </c>
      <c r="AG126" s="1" t="str">
        <f>IFERROR(__xludf.DUMMYFUNCTION("""COMPUTED_VALUE"""),"")</f>
        <v/>
      </c>
      <c r="AH126" s="1" t="str">
        <f>IFERROR(__xludf.DUMMYFUNCTION("""COMPUTED_VALUE"""),"Sci4GA")</f>
        <v>Sci4GA</v>
      </c>
      <c r="AI126" s="2" t="str">
        <f>IFERROR(__xludf.DUMMYFUNCTION("""COMPUTED_VALUE"""),"https://baxtel.com/data-center/55-marietta")</f>
        <v>https://baxtel.com/data-center/55-marietta</v>
      </c>
      <c r="AJ126" s="1" t="str">
        <f>IFERROR(__xludf.DUMMYFUNCTION("""COMPUTED_VALUE"""),"")</f>
        <v/>
      </c>
      <c r="AK126" s="1" t="str">
        <f>IFERROR(__xludf.DUMMYFUNCTION("""COMPUTED_VALUE"""),"")</f>
        <v/>
      </c>
      <c r="AL126" s="1" t="str">
        <f>IFERROR(__xludf.DUMMYFUNCTION("""COMPUTED_VALUE"""),"")</f>
        <v/>
      </c>
      <c r="AM126" s="1" t="str">
        <f>IFERROR(__xludf.DUMMYFUNCTION("""COMPUTED_VALUE"""),"")</f>
        <v/>
      </c>
      <c r="AN126" s="1" t="str">
        <f>IFERROR(__xludf.DUMMYFUNCTION("""COMPUTED_VALUE"""),"")</f>
        <v/>
      </c>
      <c r="AO126" s="1" t="str">
        <f>IFERROR(__xludf.DUMMYFUNCTION("""COMPUTED_VALUE"""),"")</f>
        <v/>
      </c>
      <c r="AP126" s="1" t="str">
        <f>IFERROR(__xludf.DUMMYFUNCTION("""COMPUTED_VALUE"""),"")</f>
        <v/>
      </c>
      <c r="AQ126" s="1" t="str">
        <f>IFERROR(__xludf.DUMMYFUNCTION("""COMPUTED_VALUE"""),"10/16/2025")</f>
        <v>10/16/2025</v>
      </c>
      <c r="AR126" s="1" t="str">
        <f>IFERROR(__xludf.DUMMYFUNCTION("""COMPUTED_VALUE"""),"10/16/2025")</f>
        <v>10/16/2025</v>
      </c>
    </row>
    <row r="127">
      <c r="A127" s="1" t="str">
        <f>IFERROR(__xludf.DUMMYFUNCTION("""COMPUTED_VALUE"""),"Atlanta ATL12")</f>
        <v>Atlanta ATL12</v>
      </c>
      <c r="B127" s="1" t="str">
        <f>IFERROR(__xludf.DUMMYFUNCTION("""COMPUTED_VALUE"""),"760 Doug Davis Dr")</f>
        <v>760 Doug Davis Dr</v>
      </c>
      <c r="C127" s="1" t="str">
        <f>IFERROR(__xludf.DUMMYFUNCTION("""COMPUTED_VALUE"""),"Atlanta")</f>
        <v>Atlanta</v>
      </c>
      <c r="D127" s="1" t="str">
        <f>IFERROR(__xludf.DUMMYFUNCTION("""COMPUTED_VALUE"""),"GA")</f>
        <v>GA</v>
      </c>
      <c r="E127" s="1" t="str">
        <f>IFERROR(__xludf.DUMMYFUNCTION("""COMPUTED_VALUE"""),"30354")</f>
        <v>30354</v>
      </c>
      <c r="F127" s="1" t="str">
        <f>IFERROR(__xludf.DUMMYFUNCTION("""COMPUTED_VALUE"""),"Fulton")</f>
        <v>Fulton</v>
      </c>
      <c r="G127" s="1" t="str">
        <f>IFERROR(__xludf.DUMMYFUNCTION("""COMPUTED_VALUE"""),"33.657166")</f>
        <v>33.657166</v>
      </c>
      <c r="H127" s="1" t="str">
        <f>IFERROR(__xludf.DUMMYFUNCTION("""COMPUTED_VALUE"""),"-84.41514")</f>
        <v>-84.41514</v>
      </c>
      <c r="I127" s="1" t="str">
        <f>IFERROR(__xludf.DUMMYFUNCTION("""COMPUTED_VALUE"""),"Operating")</f>
        <v>Operating</v>
      </c>
      <c r="J127" s="1" t="str">
        <f>IFERROR(__xludf.DUMMYFUNCTION("""COMPUTED_VALUE"""),"High")</f>
        <v>High</v>
      </c>
      <c r="K127" s="1" t="str">
        <f>IFERROR(__xludf.DUMMYFUNCTION("""COMPUTED_VALUE"""),"")</f>
        <v/>
      </c>
      <c r="L127" s="1" t="str">
        <f>IFERROR(__xludf.DUMMYFUNCTION("""COMPUTED_VALUE"""),"Digital Realty")</f>
        <v>Digital Realty</v>
      </c>
      <c r="M127" s="1" t="str">
        <f>IFERROR(__xludf.DUMMYFUNCTION("""COMPUTED_VALUE"""),"")</f>
        <v/>
      </c>
      <c r="N127" s="1" t="str">
        <f>IFERROR(__xludf.DUMMYFUNCTION("""COMPUTED_VALUE"""),"")</f>
        <v/>
      </c>
      <c r="O127" s="1" t="str">
        <f>IFERROR(__xludf.DUMMYFUNCTION("""COMPUTED_VALUE"""),"Unknown")</f>
        <v>Unknown</v>
      </c>
      <c r="P127" s="1" t="str">
        <f>IFERROR(__xludf.DUMMYFUNCTION("""COMPUTED_VALUE"""),"")</f>
        <v/>
      </c>
      <c r="Q127" s="1" t="str">
        <f>IFERROR(__xludf.DUMMYFUNCTION("""COMPUTED_VALUE"""),"")</f>
        <v/>
      </c>
      <c r="R127" s="1" t="str">
        <f>IFERROR(__xludf.DUMMYFUNCTION("""COMPUTED_VALUE"""),"")</f>
        <v/>
      </c>
      <c r="S127" s="1" t="str">
        <f>IFERROR(__xludf.DUMMYFUNCTION("""COMPUTED_VALUE"""),"")</f>
        <v/>
      </c>
      <c r="T127" s="1" t="str">
        <f>IFERROR(__xludf.DUMMYFUNCTION("""COMPUTED_VALUE"""),"")</f>
        <v/>
      </c>
      <c r="U127" s="1" t="str">
        <f>IFERROR(__xludf.DUMMYFUNCTION("""COMPUTED_VALUE"""),"")</f>
        <v/>
      </c>
      <c r="V127" s="1" t="str">
        <f>IFERROR(__xludf.DUMMYFUNCTION("""COMPUTED_VALUE"""),"334,400")</f>
        <v>334,400</v>
      </c>
      <c r="W127" s="1" t="str">
        <f>IFERROR(__xludf.DUMMYFUNCTION("""COMPUTED_VALUE"""),"")</f>
        <v/>
      </c>
      <c r="X127" s="1" t="str">
        <f>IFERROR(__xludf.DUMMYFUNCTION("""COMPUTED_VALUE"""),"")</f>
        <v/>
      </c>
      <c r="Y127" s="1" t="str">
        <f>IFERROR(__xludf.DUMMYFUNCTION("""COMPUTED_VALUE"""),"")</f>
        <v/>
      </c>
      <c r="Z127" s="1" t="str">
        <f>IFERROR(__xludf.DUMMYFUNCTION("""COMPUTED_VALUE"""),"Unknown")</f>
        <v>Unknown</v>
      </c>
      <c r="AA127" s="1" t="str">
        <f>IFERROR(__xludf.DUMMYFUNCTION("""COMPUTED_VALUE"""),"")</f>
        <v/>
      </c>
      <c r="AB127" s="1" t="str">
        <f>IFERROR(__xludf.DUMMYFUNCTION("""COMPUTED_VALUE"""),"")</f>
        <v/>
      </c>
      <c r="AC127" s="1" t="str">
        <f>IFERROR(__xludf.DUMMYFUNCTION("""COMPUTED_VALUE"""),"")</f>
        <v/>
      </c>
      <c r="AD127" s="1" t="str">
        <f>IFERROR(__xludf.DUMMYFUNCTION("""COMPUTED_VALUE"""),"")</f>
        <v/>
      </c>
      <c r="AE127" s="1" t="str">
        <f>IFERROR(__xludf.DUMMYFUNCTION("""COMPUTED_VALUE"""),"")</f>
        <v/>
      </c>
      <c r="AF127" s="1" t="str">
        <f>IFERROR(__xludf.DUMMYFUNCTION("""COMPUTED_VALUE"""),"")</f>
        <v/>
      </c>
      <c r="AG127" s="1" t="str">
        <f>IFERROR(__xludf.DUMMYFUNCTION("""COMPUTED_VALUE"""),"")</f>
        <v/>
      </c>
      <c r="AH127" s="1" t="str">
        <f>IFERROR(__xludf.DUMMYFUNCTION("""COMPUTED_VALUE"""),"Sci4GA")</f>
        <v>Sci4GA</v>
      </c>
      <c r="AI127" s="2" t="str">
        <f>IFERROR(__xludf.DUMMYFUNCTION("""COMPUTED_VALUE"""),"https://baxtel.com/data-center/760-doug-davis-digital-realty")</f>
        <v>https://baxtel.com/data-center/760-doug-davis-digital-realty</v>
      </c>
      <c r="AJ127" s="1" t="str">
        <f>IFERROR(__xludf.DUMMYFUNCTION("""COMPUTED_VALUE"""),"")</f>
        <v/>
      </c>
      <c r="AK127" s="1" t="str">
        <f>IFERROR(__xludf.DUMMYFUNCTION("""COMPUTED_VALUE"""),"")</f>
        <v/>
      </c>
      <c r="AL127" s="1" t="str">
        <f>IFERROR(__xludf.DUMMYFUNCTION("""COMPUTED_VALUE"""),"")</f>
        <v/>
      </c>
      <c r="AM127" s="1" t="str">
        <f>IFERROR(__xludf.DUMMYFUNCTION("""COMPUTED_VALUE"""),"")</f>
        <v/>
      </c>
      <c r="AN127" s="1" t="str">
        <f>IFERROR(__xludf.DUMMYFUNCTION("""COMPUTED_VALUE"""),"")</f>
        <v/>
      </c>
      <c r="AO127" s="1" t="str">
        <f>IFERROR(__xludf.DUMMYFUNCTION("""COMPUTED_VALUE"""),"")</f>
        <v/>
      </c>
      <c r="AP127" s="1" t="str">
        <f>IFERROR(__xludf.DUMMYFUNCTION("""COMPUTED_VALUE"""),"")</f>
        <v/>
      </c>
      <c r="AQ127" s="1" t="str">
        <f>IFERROR(__xludf.DUMMYFUNCTION("""COMPUTED_VALUE"""),"10/16/2025")</f>
        <v>10/16/2025</v>
      </c>
      <c r="AR127" s="1" t="str">
        <f>IFERROR(__xludf.DUMMYFUNCTION("""COMPUTED_VALUE"""),"10/16/2025")</f>
        <v>10/16/2025</v>
      </c>
    </row>
    <row r="128">
      <c r="A128" s="1" t="str">
        <f>IFERROR(__xludf.DUMMYFUNCTION("""COMPUTED_VALUE"""),"Atlanta ATL13")</f>
        <v>Atlanta ATL13</v>
      </c>
      <c r="B128" s="1" t="str">
        <f>IFERROR(__xludf.DUMMYFUNCTION("""COMPUTED_VALUE"""),"56 Marietta Street NW")</f>
        <v>56 Marietta Street NW</v>
      </c>
      <c r="C128" s="1" t="str">
        <f>IFERROR(__xludf.DUMMYFUNCTION("""COMPUTED_VALUE"""),"Atlanta")</f>
        <v>Atlanta</v>
      </c>
      <c r="D128" s="1" t="str">
        <f>IFERROR(__xludf.DUMMYFUNCTION("""COMPUTED_VALUE"""),"GA")</f>
        <v>GA</v>
      </c>
      <c r="E128" s="1" t="str">
        <f>IFERROR(__xludf.DUMMYFUNCTION("""COMPUTED_VALUE"""),"30303")</f>
        <v>30303</v>
      </c>
      <c r="F128" s="1" t="str">
        <f>IFERROR(__xludf.DUMMYFUNCTION("""COMPUTED_VALUE"""),"Fulton")</f>
        <v>Fulton</v>
      </c>
      <c r="G128" s="1" t="str">
        <f>IFERROR(__xludf.DUMMYFUNCTION("""COMPUTED_VALUE"""),"33.75543")</f>
        <v>33.75543</v>
      </c>
      <c r="H128" s="1" t="str">
        <f>IFERROR(__xludf.DUMMYFUNCTION("""COMPUTED_VALUE"""),"-84.39146")</f>
        <v>-84.39146</v>
      </c>
      <c r="I128" s="1" t="str">
        <f>IFERROR(__xludf.DUMMYFUNCTION("""COMPUTED_VALUE"""),"Operating")</f>
        <v>Operating</v>
      </c>
      <c r="J128" s="1" t="str">
        <f>IFERROR(__xludf.DUMMYFUNCTION("""COMPUTED_VALUE"""),"High")</f>
        <v>High</v>
      </c>
      <c r="K128" s="1" t="str">
        <f>IFERROR(__xludf.DUMMYFUNCTION("""COMPUTED_VALUE"""),"")</f>
        <v/>
      </c>
      <c r="L128" s="1" t="str">
        <f>IFERROR(__xludf.DUMMYFUNCTION("""COMPUTED_VALUE"""),"Digital Realty")</f>
        <v>Digital Realty</v>
      </c>
      <c r="M128" s="1" t="str">
        <f>IFERROR(__xludf.DUMMYFUNCTION("""COMPUTED_VALUE"""),"")</f>
        <v/>
      </c>
      <c r="N128" s="1" t="str">
        <f>IFERROR(__xludf.DUMMYFUNCTION("""COMPUTED_VALUE"""),"5")</f>
        <v>5</v>
      </c>
      <c r="O128" s="1" t="str">
        <f>IFERROR(__xludf.DUMMYFUNCTION("""COMPUTED_VALUE"""),"Small (0-10 MW)")</f>
        <v>Small (0-10 MW)</v>
      </c>
      <c r="P128" s="1" t="str">
        <f>IFERROR(__xludf.DUMMYFUNCTION("""COMPUTED_VALUE"""),"")</f>
        <v/>
      </c>
      <c r="Q128" s="1" t="str">
        <f>IFERROR(__xludf.DUMMYFUNCTION("""COMPUTED_VALUE"""),"")</f>
        <v/>
      </c>
      <c r="R128" s="1" t="str">
        <f>IFERROR(__xludf.DUMMYFUNCTION("""COMPUTED_VALUE"""),"")</f>
        <v/>
      </c>
      <c r="S128" s="1" t="str">
        <f>IFERROR(__xludf.DUMMYFUNCTION("""COMPUTED_VALUE"""),"")</f>
        <v/>
      </c>
      <c r="T128" s="1" t="str">
        <f>IFERROR(__xludf.DUMMYFUNCTION("""COMPUTED_VALUE"""),"")</f>
        <v/>
      </c>
      <c r="U128" s="1" t="str">
        <f>IFERROR(__xludf.DUMMYFUNCTION("""COMPUTED_VALUE"""),"")</f>
        <v/>
      </c>
      <c r="V128" s="1" t="str">
        <f>IFERROR(__xludf.DUMMYFUNCTION("""COMPUTED_VALUE"""),"160,000")</f>
        <v>160,000</v>
      </c>
      <c r="W128" s="1" t="str">
        <f>IFERROR(__xludf.DUMMYFUNCTION("""COMPUTED_VALUE"""),"")</f>
        <v/>
      </c>
      <c r="X128" s="1" t="str">
        <f>IFERROR(__xludf.DUMMYFUNCTION("""COMPUTED_VALUE"""),"")</f>
        <v/>
      </c>
      <c r="Y128" s="1" t="str">
        <f>IFERROR(__xludf.DUMMYFUNCTION("""COMPUTED_VALUE"""),"")</f>
        <v/>
      </c>
      <c r="Z128" s="1" t="str">
        <f>IFERROR(__xludf.DUMMYFUNCTION("""COMPUTED_VALUE"""),"Unknown")</f>
        <v>Unknown</v>
      </c>
      <c r="AA128" s="1" t="str">
        <f>IFERROR(__xludf.DUMMYFUNCTION("""COMPUTED_VALUE"""),"")</f>
        <v/>
      </c>
      <c r="AB128" s="1" t="str">
        <f>IFERROR(__xludf.DUMMYFUNCTION("""COMPUTED_VALUE"""),"")</f>
        <v/>
      </c>
      <c r="AC128" s="1" t="str">
        <f>IFERROR(__xludf.DUMMYFUNCTION("""COMPUTED_VALUE"""),"")</f>
        <v/>
      </c>
      <c r="AD128" s="1" t="str">
        <f>IFERROR(__xludf.DUMMYFUNCTION("""COMPUTED_VALUE"""),"")</f>
        <v/>
      </c>
      <c r="AE128" s="1" t="str">
        <f>IFERROR(__xludf.DUMMYFUNCTION("""COMPUTED_VALUE"""),"")</f>
        <v/>
      </c>
      <c r="AF128" s="1" t="str">
        <f>IFERROR(__xludf.DUMMYFUNCTION("""COMPUTED_VALUE"""),"")</f>
        <v/>
      </c>
      <c r="AG128" s="1" t="str">
        <f>IFERROR(__xludf.DUMMYFUNCTION("""COMPUTED_VALUE"""),"")</f>
        <v/>
      </c>
      <c r="AH128" s="1" t="str">
        <f>IFERROR(__xludf.DUMMYFUNCTION("""COMPUTED_VALUE"""),"Media Monitoring")</f>
        <v>Media Monitoring</v>
      </c>
      <c r="AI128" s="2" t="str">
        <f>IFERROR(__xludf.DUMMYFUNCTION("""COMPUTED_VALUE"""),"https://baxtel.com/data-center/56-marietta-carrier-hotel-digital-realty")</f>
        <v>https://baxtel.com/data-center/56-marietta-carrier-hotel-digital-realty</v>
      </c>
      <c r="AJ128" s="2" t="str">
        <f>IFERROR(__xludf.DUMMYFUNCTION("""COMPUTED_VALUE"""),"https://www.hivelocity.net/wp-content/uploads/2024/08/Hivelocity_Atlanta.pdf")</f>
        <v>https://www.hivelocity.net/wp-content/uploads/2024/08/Hivelocity_Atlanta.pdf</v>
      </c>
      <c r="AK128" s="2" t="str">
        <f>IFERROR(__xludf.DUMMYFUNCTION("""COMPUTED_VALUE"""),"https://www.datacenterdynamics.com/en/news/digital-realty-files-to-develop-two-building-campus-outside-atlanta-georgia/")</f>
        <v>https://www.datacenterdynamics.com/en/news/digital-realty-files-to-develop-two-building-campus-outside-atlanta-georgia/</v>
      </c>
      <c r="AL128" s="1" t="str">
        <f>IFERROR(__xludf.DUMMYFUNCTION("""COMPUTED_VALUE"""),"")</f>
        <v/>
      </c>
      <c r="AM128" s="1" t="str">
        <f>IFERROR(__xludf.DUMMYFUNCTION("""COMPUTED_VALUE"""),"")</f>
        <v/>
      </c>
      <c r="AN128" s="1" t="str">
        <f>IFERROR(__xludf.DUMMYFUNCTION("""COMPUTED_VALUE"""),"")</f>
        <v/>
      </c>
      <c r="AO128" s="1" t="str">
        <f>IFERROR(__xludf.DUMMYFUNCTION("""COMPUTED_VALUE"""),"")</f>
        <v/>
      </c>
      <c r="AP128" s="1" t="str">
        <f>IFERROR(__xludf.DUMMYFUNCTION("""COMPUTED_VALUE"""),"")</f>
        <v/>
      </c>
      <c r="AQ128" s="1" t="str">
        <f>IFERROR(__xludf.DUMMYFUNCTION("""COMPUTED_VALUE"""),"10/16/2025")</f>
        <v>10/16/2025</v>
      </c>
      <c r="AR128" s="1" t="str">
        <f>IFERROR(__xludf.DUMMYFUNCTION("""COMPUTED_VALUE"""),"10/16/2025")</f>
        <v>10/16/2025</v>
      </c>
    </row>
    <row r="129">
      <c r="A129" s="1" t="str">
        <f>IFERROR(__xludf.DUMMYFUNCTION("""COMPUTED_VALUE"""),"Atlanta ATL14")</f>
        <v>Atlanta ATL14</v>
      </c>
      <c r="B129" s="1" t="str">
        <f>IFERROR(__xludf.DUMMYFUNCTION("""COMPUTED_VALUE"""),"250 Williams St NW")</f>
        <v>250 Williams St NW</v>
      </c>
      <c r="C129" s="1" t="str">
        <f>IFERROR(__xludf.DUMMYFUNCTION("""COMPUTED_VALUE"""),"Atlanta")</f>
        <v>Atlanta</v>
      </c>
      <c r="D129" s="1" t="str">
        <f>IFERROR(__xludf.DUMMYFUNCTION("""COMPUTED_VALUE"""),"GA")</f>
        <v>GA</v>
      </c>
      <c r="E129" s="1" t="str">
        <f>IFERROR(__xludf.DUMMYFUNCTION("""COMPUTED_VALUE"""),"30303")</f>
        <v>30303</v>
      </c>
      <c r="F129" s="1" t="str">
        <f>IFERROR(__xludf.DUMMYFUNCTION("""COMPUTED_VALUE"""),"Fulton")</f>
        <v>Fulton</v>
      </c>
      <c r="G129" s="1" t="str">
        <f>IFERROR(__xludf.DUMMYFUNCTION("""COMPUTED_VALUE"""),"33.76157")</f>
        <v>33.76157</v>
      </c>
      <c r="H129" s="1" t="str">
        <f>IFERROR(__xludf.DUMMYFUNCTION("""COMPUTED_VALUE"""),"-84.3915")</f>
        <v>-84.3915</v>
      </c>
      <c r="I129" s="1" t="str">
        <f>IFERROR(__xludf.DUMMYFUNCTION("""COMPUTED_VALUE"""),"Operating")</f>
        <v>Operating</v>
      </c>
      <c r="J129" s="1" t="str">
        <f>IFERROR(__xludf.DUMMYFUNCTION("""COMPUTED_VALUE"""),"High")</f>
        <v>High</v>
      </c>
      <c r="K129" s="1" t="str">
        <f>IFERROR(__xludf.DUMMYFUNCTION("""COMPUTED_VALUE"""),"")</f>
        <v/>
      </c>
      <c r="L129" s="1" t="str">
        <f>IFERROR(__xludf.DUMMYFUNCTION("""COMPUTED_VALUE"""),"Digital Realty")</f>
        <v>Digital Realty</v>
      </c>
      <c r="M129" s="1" t="str">
        <f>IFERROR(__xludf.DUMMYFUNCTION("""COMPUTED_VALUE"""),"")</f>
        <v/>
      </c>
      <c r="N129" s="1" t="str">
        <f>IFERROR(__xludf.DUMMYFUNCTION("""COMPUTED_VALUE"""),"4")</f>
        <v>4</v>
      </c>
      <c r="O129" s="1" t="str">
        <f>IFERROR(__xludf.DUMMYFUNCTION("""COMPUTED_VALUE"""),"Small (0-10 MW)")</f>
        <v>Small (0-10 MW)</v>
      </c>
      <c r="P129" s="1" t="str">
        <f>IFERROR(__xludf.DUMMYFUNCTION("""COMPUTED_VALUE"""),"")</f>
        <v/>
      </c>
      <c r="Q129" s="1" t="str">
        <f>IFERROR(__xludf.DUMMYFUNCTION("""COMPUTED_VALUE"""),"")</f>
        <v/>
      </c>
      <c r="R129" s="1" t="str">
        <f>IFERROR(__xludf.DUMMYFUNCTION("""COMPUTED_VALUE"""),"")</f>
        <v/>
      </c>
      <c r="S129" s="1" t="str">
        <f>IFERROR(__xludf.DUMMYFUNCTION("""COMPUTED_VALUE"""),"")</f>
        <v/>
      </c>
      <c r="T129" s="1" t="str">
        <f>IFERROR(__xludf.DUMMYFUNCTION("""COMPUTED_VALUE"""),"")</f>
        <v/>
      </c>
      <c r="U129" s="1" t="str">
        <f>IFERROR(__xludf.DUMMYFUNCTION("""COMPUTED_VALUE"""),"")</f>
        <v/>
      </c>
      <c r="V129" s="1" t="str">
        <f>IFERROR(__xludf.DUMMYFUNCTION("""COMPUTED_VALUE"""),"33,000")</f>
        <v>33,000</v>
      </c>
      <c r="W129" s="1" t="str">
        <f>IFERROR(__xludf.DUMMYFUNCTION("""COMPUTED_VALUE"""),"")</f>
        <v/>
      </c>
      <c r="X129" s="1" t="str">
        <f>IFERROR(__xludf.DUMMYFUNCTION("""COMPUTED_VALUE"""),"")</f>
        <v/>
      </c>
      <c r="Y129" s="1" t="str">
        <f>IFERROR(__xludf.DUMMYFUNCTION("""COMPUTED_VALUE"""),"")</f>
        <v/>
      </c>
      <c r="Z129" s="1" t="str">
        <f>IFERROR(__xludf.DUMMYFUNCTION("""COMPUTED_VALUE"""),"Unknown")</f>
        <v>Unknown</v>
      </c>
      <c r="AA129" s="1" t="str">
        <f>IFERROR(__xludf.DUMMYFUNCTION("""COMPUTED_VALUE"""),"")</f>
        <v/>
      </c>
      <c r="AB129" s="1" t="str">
        <f>IFERROR(__xludf.DUMMYFUNCTION("""COMPUTED_VALUE"""),"")</f>
        <v/>
      </c>
      <c r="AC129" s="1" t="str">
        <f>IFERROR(__xludf.DUMMYFUNCTION("""COMPUTED_VALUE"""),"")</f>
        <v/>
      </c>
      <c r="AD129" s="1" t="str">
        <f>IFERROR(__xludf.DUMMYFUNCTION("""COMPUTED_VALUE"""),"")</f>
        <v/>
      </c>
      <c r="AE129" s="1" t="str">
        <f>IFERROR(__xludf.DUMMYFUNCTION("""COMPUTED_VALUE"""),"")</f>
        <v/>
      </c>
      <c r="AF129" s="1" t="str">
        <f>IFERROR(__xludf.DUMMYFUNCTION("""COMPUTED_VALUE"""),"")</f>
        <v/>
      </c>
      <c r="AG129" s="1" t="str">
        <f>IFERROR(__xludf.DUMMYFUNCTION("""COMPUTED_VALUE"""),"")</f>
        <v/>
      </c>
      <c r="AH129" s="1" t="str">
        <f>IFERROR(__xludf.DUMMYFUNCTION("""COMPUTED_VALUE"""),"Media Monitoring")</f>
        <v>Media Monitoring</v>
      </c>
      <c r="AI129" s="2" t="str">
        <f>IFERROR(__xludf.DUMMYFUNCTION("""COMPUTED_VALUE"""),"https://www.datacenterdynamics.com/en/news/digital-realty-files-to-develop-two-building-campus-outside-atlanta-georgia/")</f>
        <v>https://www.datacenterdynamics.com/en/news/digital-realty-files-to-develop-two-building-campus-outside-atlanta-georgia/</v>
      </c>
      <c r="AJ129" s="2" t="str">
        <f>IFERROR(__xludf.DUMMYFUNCTION("""COMPUTED_VALUE"""),"https://baxtel.com/data-center/digital-realty-atl14")</f>
        <v>https://baxtel.com/data-center/digital-realty-atl14</v>
      </c>
      <c r="AK129" s="1" t="str">
        <f>IFERROR(__xludf.DUMMYFUNCTION("""COMPUTED_VALUE"""),"")</f>
        <v/>
      </c>
      <c r="AL129" s="1" t="str">
        <f>IFERROR(__xludf.DUMMYFUNCTION("""COMPUTED_VALUE"""),"")</f>
        <v/>
      </c>
      <c r="AM129" s="1" t="str">
        <f>IFERROR(__xludf.DUMMYFUNCTION("""COMPUTED_VALUE"""),"")</f>
        <v/>
      </c>
      <c r="AN129" s="1" t="str">
        <f>IFERROR(__xludf.DUMMYFUNCTION("""COMPUTED_VALUE"""),"")</f>
        <v/>
      </c>
      <c r="AO129" s="1" t="str">
        <f>IFERROR(__xludf.DUMMYFUNCTION("""COMPUTED_VALUE"""),"")</f>
        <v/>
      </c>
      <c r="AP129" s="1" t="str">
        <f>IFERROR(__xludf.DUMMYFUNCTION("""COMPUTED_VALUE"""),"")</f>
        <v/>
      </c>
      <c r="AQ129" s="1" t="str">
        <f>IFERROR(__xludf.DUMMYFUNCTION("""COMPUTED_VALUE"""),"06/05/2025")</f>
        <v>06/05/2025</v>
      </c>
      <c r="AR129" s="1" t="str">
        <f>IFERROR(__xludf.DUMMYFUNCTION("""COMPUTED_VALUE"""),"06/05/2025")</f>
        <v>06/05/2025</v>
      </c>
    </row>
    <row r="130">
      <c r="A130" s="1" t="str">
        <f>IFERROR(__xludf.DUMMYFUNCTION("""COMPUTED_VALUE"""),"Atlanta Metro DC1")</f>
        <v>Atlanta Metro DC1</v>
      </c>
      <c r="B130" s="1" t="str">
        <f>IFERROR(__xludf.DUMMYFUNCTION("""COMPUTED_VALUE"""),"1033 Jefferson Street NW")</f>
        <v>1033 Jefferson Street NW</v>
      </c>
      <c r="C130" s="1" t="str">
        <f>IFERROR(__xludf.DUMMYFUNCTION("""COMPUTED_VALUE"""),"Atlanta")</f>
        <v>Atlanta</v>
      </c>
      <c r="D130" s="1" t="str">
        <f>IFERROR(__xludf.DUMMYFUNCTION("""COMPUTED_VALUE"""),"GA")</f>
        <v>GA</v>
      </c>
      <c r="E130" s="1" t="str">
        <f>IFERROR(__xludf.DUMMYFUNCTION("""COMPUTED_VALUE"""),"30318")</f>
        <v>30318</v>
      </c>
      <c r="F130" s="1" t="str">
        <f>IFERROR(__xludf.DUMMYFUNCTION("""COMPUTED_VALUE"""),"Fulton")</f>
        <v>Fulton</v>
      </c>
      <c r="G130" s="1" t="str">
        <f>IFERROR(__xludf.DUMMYFUNCTION("""COMPUTED_VALUE"""),"33.775944")</f>
        <v>33.775944</v>
      </c>
      <c r="H130" s="1" t="str">
        <f>IFERROR(__xludf.DUMMYFUNCTION("""COMPUTED_VALUE"""),"-84.421074")</f>
        <v>-84.421074</v>
      </c>
      <c r="I130" s="1" t="str">
        <f>IFERROR(__xludf.DUMMYFUNCTION("""COMPUTED_VALUE"""),"Operating")</f>
        <v>Operating</v>
      </c>
      <c r="J130" s="1" t="str">
        <f>IFERROR(__xludf.DUMMYFUNCTION("""COMPUTED_VALUE"""),"High")</f>
        <v>High</v>
      </c>
      <c r="K130" s="1" t="str">
        <f>IFERROR(__xludf.DUMMYFUNCTION("""COMPUTED_VALUE"""),"")</f>
        <v/>
      </c>
      <c r="L130" s="1" t="str">
        <f>IFERROR(__xludf.DUMMYFUNCTION("""COMPUTED_VALUE"""),"QTS Data Centers")</f>
        <v>QTS Data Centers</v>
      </c>
      <c r="M130" s="1" t="str">
        <f>IFERROR(__xludf.DUMMYFUNCTION("""COMPUTED_VALUE"""),"")</f>
        <v/>
      </c>
      <c r="N130" s="1" t="str">
        <f>IFERROR(__xludf.DUMMYFUNCTION("""COMPUTED_VALUE"""),"70")</f>
        <v>70</v>
      </c>
      <c r="O130" s="1" t="str">
        <f>IFERROR(__xludf.DUMMYFUNCTION("""COMPUTED_VALUE"""),"Large (51-99 MW)")</f>
        <v>Large (51-99 MW)</v>
      </c>
      <c r="P130" s="1" t="str">
        <f>IFERROR(__xludf.DUMMYFUNCTION("""COMPUTED_VALUE"""),"")</f>
        <v/>
      </c>
      <c r="Q130" s="1" t="str">
        <f>IFERROR(__xludf.DUMMYFUNCTION("""COMPUTED_VALUE"""),"")</f>
        <v/>
      </c>
      <c r="R130" s="1" t="str">
        <f>IFERROR(__xludf.DUMMYFUNCTION("""COMPUTED_VALUE"""),"")</f>
        <v/>
      </c>
      <c r="S130" s="1" t="str">
        <f>IFERROR(__xludf.DUMMYFUNCTION("""COMPUTED_VALUE"""),"")</f>
        <v/>
      </c>
      <c r="T130" s="1" t="str">
        <f>IFERROR(__xludf.DUMMYFUNCTION("""COMPUTED_VALUE"""),"")</f>
        <v/>
      </c>
      <c r="U130" s="1" t="str">
        <f>IFERROR(__xludf.DUMMYFUNCTION("""COMPUTED_VALUE"""),"")</f>
        <v/>
      </c>
      <c r="V130" s="1" t="str">
        <f>IFERROR(__xludf.DUMMYFUNCTION("""COMPUTED_VALUE"""),"990,000")</f>
        <v>990,000</v>
      </c>
      <c r="W130" s="1" t="str">
        <f>IFERROR(__xludf.DUMMYFUNCTION("""COMPUTED_VALUE"""),"")</f>
        <v/>
      </c>
      <c r="X130" s="1" t="str">
        <f>IFERROR(__xludf.DUMMYFUNCTION("""COMPUTED_VALUE"""),"")</f>
        <v/>
      </c>
      <c r="Y130" s="1" t="str">
        <f>IFERROR(__xludf.DUMMYFUNCTION("""COMPUTED_VALUE"""),"")</f>
        <v/>
      </c>
      <c r="Z130" s="1" t="str">
        <f>IFERROR(__xludf.DUMMYFUNCTION("""COMPUTED_VALUE"""),"Unknown")</f>
        <v>Unknown</v>
      </c>
      <c r="AA130" s="1" t="str">
        <f>IFERROR(__xludf.DUMMYFUNCTION("""COMPUTED_VALUE"""),"")</f>
        <v/>
      </c>
      <c r="AB130" s="1" t="str">
        <f>IFERROR(__xludf.DUMMYFUNCTION("""COMPUTED_VALUE"""),"")</f>
        <v/>
      </c>
      <c r="AC130" s="1" t="str">
        <f>IFERROR(__xludf.DUMMYFUNCTION("""COMPUTED_VALUE"""),"")</f>
        <v/>
      </c>
      <c r="AD130" s="1" t="str">
        <f>IFERROR(__xludf.DUMMYFUNCTION("""COMPUTED_VALUE"""),"")</f>
        <v/>
      </c>
      <c r="AE130" s="1" t="str">
        <f>IFERROR(__xludf.DUMMYFUNCTION("""COMPUTED_VALUE"""),"")</f>
        <v/>
      </c>
      <c r="AF130" s="1" t="str">
        <f>IFERROR(__xludf.DUMMYFUNCTION("""COMPUTED_VALUE"""),"")</f>
        <v/>
      </c>
      <c r="AG130" s="1" t="str">
        <f>IFERROR(__xludf.DUMMYFUNCTION("""COMPUTED_VALUE"""),"Part of a campus (Project Granite): https://baxtel.com/data-center/qts-atlanta-metro")</f>
        <v>Part of a campus (Project Granite): https://baxtel.com/data-center/qts-atlanta-metro</v>
      </c>
      <c r="AH130" s="1" t="str">
        <f>IFERROR(__xludf.DUMMYFUNCTION("""COMPUTED_VALUE"""),"Media Monitoring")</f>
        <v>Media Monitoring</v>
      </c>
      <c r="AI130" s="2" t="str">
        <f>IFERROR(__xludf.DUMMYFUNCTION("""COMPUTED_VALUE"""),"https://qtsdatacenters.com/wp-content/uploads/2024/07/QTS_DataSheet_ATL1-DC1.pdf")</f>
        <v>https://qtsdatacenters.com/wp-content/uploads/2024/07/QTS_DataSheet_ATL1-DC1.pdf</v>
      </c>
      <c r="AJ130" s="2" t="str">
        <f>IFERROR(__xludf.DUMMYFUNCTION("""COMPUTED_VALUE"""),"https://qtsdatacenters.com/data-centers/atlanta-1/")</f>
        <v>https://qtsdatacenters.com/data-centers/atlanta-1/</v>
      </c>
      <c r="AK130" s="1" t="str">
        <f>IFERROR(__xludf.DUMMYFUNCTION("""COMPUTED_VALUE"""),"")</f>
        <v/>
      </c>
      <c r="AL130" s="1" t="str">
        <f>IFERROR(__xludf.DUMMYFUNCTION("""COMPUTED_VALUE"""),"")</f>
        <v/>
      </c>
      <c r="AM130" s="1" t="str">
        <f>IFERROR(__xludf.DUMMYFUNCTION("""COMPUTED_VALUE"""),"")</f>
        <v/>
      </c>
      <c r="AN130" s="1" t="str">
        <f>IFERROR(__xludf.DUMMYFUNCTION("""COMPUTED_VALUE"""),"")</f>
        <v/>
      </c>
      <c r="AO130" s="1" t="str">
        <f>IFERROR(__xludf.DUMMYFUNCTION("""COMPUTED_VALUE"""),"")</f>
        <v/>
      </c>
      <c r="AP130" s="1" t="str">
        <f>IFERROR(__xludf.DUMMYFUNCTION("""COMPUTED_VALUE"""),"")</f>
        <v/>
      </c>
      <c r="AQ130" s="1" t="str">
        <f>IFERROR(__xludf.DUMMYFUNCTION("""COMPUTED_VALUE"""),"10/16/2025")</f>
        <v>10/16/2025</v>
      </c>
      <c r="AR130" s="1" t="str">
        <f>IFERROR(__xludf.DUMMYFUNCTION("""COMPUTED_VALUE"""),"10/16/2025")</f>
        <v>10/16/2025</v>
      </c>
    </row>
    <row r="131">
      <c r="A131" s="1" t="str">
        <f>IFERROR(__xludf.DUMMYFUNCTION("""COMPUTED_VALUE"""),"Atlanta Metro DC2")</f>
        <v>Atlanta Metro DC2</v>
      </c>
      <c r="B131" s="1" t="str">
        <f>IFERROR(__xludf.DUMMYFUNCTION("""COMPUTED_VALUE"""),"1025 Jefferson Street NW")</f>
        <v>1025 Jefferson Street NW</v>
      </c>
      <c r="C131" s="1" t="str">
        <f>IFERROR(__xludf.DUMMYFUNCTION("""COMPUTED_VALUE"""),"Atlanta")</f>
        <v>Atlanta</v>
      </c>
      <c r="D131" s="1" t="str">
        <f>IFERROR(__xludf.DUMMYFUNCTION("""COMPUTED_VALUE"""),"GA")</f>
        <v>GA</v>
      </c>
      <c r="E131" s="1" t="str">
        <f>IFERROR(__xludf.DUMMYFUNCTION("""COMPUTED_VALUE"""),"30318")</f>
        <v>30318</v>
      </c>
      <c r="F131" s="1" t="str">
        <f>IFERROR(__xludf.DUMMYFUNCTION("""COMPUTED_VALUE"""),"Fulton")</f>
        <v>Fulton</v>
      </c>
      <c r="G131" s="1" t="str">
        <f>IFERROR(__xludf.DUMMYFUNCTION("""COMPUTED_VALUE"""),"33.77647")</f>
        <v>33.77647</v>
      </c>
      <c r="H131" s="1" t="str">
        <f>IFERROR(__xludf.DUMMYFUNCTION("""COMPUTED_VALUE"""),"-84.41955")</f>
        <v>-84.41955</v>
      </c>
      <c r="I131" s="1" t="str">
        <f>IFERROR(__xludf.DUMMYFUNCTION("""COMPUTED_VALUE"""),"Operating")</f>
        <v>Operating</v>
      </c>
      <c r="J131" s="1" t="str">
        <f>IFERROR(__xludf.DUMMYFUNCTION("""COMPUTED_VALUE"""),"High")</f>
        <v>High</v>
      </c>
      <c r="K131" s="1" t="str">
        <f>IFERROR(__xludf.DUMMYFUNCTION("""COMPUTED_VALUE"""),"")</f>
        <v/>
      </c>
      <c r="L131" s="1" t="str">
        <f>IFERROR(__xludf.DUMMYFUNCTION("""COMPUTED_VALUE"""),"QTS Data Centers")</f>
        <v>QTS Data Centers</v>
      </c>
      <c r="M131" s="1" t="str">
        <f>IFERROR(__xludf.DUMMYFUNCTION("""COMPUTED_VALUE"""),"")</f>
        <v/>
      </c>
      <c r="N131" s="1" t="str">
        <f>IFERROR(__xludf.DUMMYFUNCTION("""COMPUTED_VALUE"""),"74")</f>
        <v>74</v>
      </c>
      <c r="O131" s="1" t="str">
        <f>IFERROR(__xludf.DUMMYFUNCTION("""COMPUTED_VALUE"""),"Large (51-99 MW)")</f>
        <v>Large (51-99 MW)</v>
      </c>
      <c r="P131" s="1" t="str">
        <f>IFERROR(__xludf.DUMMYFUNCTION("""COMPUTED_VALUE"""),"")</f>
        <v/>
      </c>
      <c r="Q131" s="1" t="str">
        <f>IFERROR(__xludf.DUMMYFUNCTION("""COMPUTED_VALUE"""),"")</f>
        <v/>
      </c>
      <c r="R131" s="1" t="str">
        <f>IFERROR(__xludf.DUMMYFUNCTION("""COMPUTED_VALUE"""),"")</f>
        <v/>
      </c>
      <c r="S131" s="1" t="str">
        <f>IFERROR(__xludf.DUMMYFUNCTION("""COMPUTED_VALUE"""),"")</f>
        <v/>
      </c>
      <c r="T131" s="1" t="str">
        <f>IFERROR(__xludf.DUMMYFUNCTION("""COMPUTED_VALUE"""),"")</f>
        <v/>
      </c>
      <c r="U131" s="1" t="str">
        <f>IFERROR(__xludf.DUMMYFUNCTION("""COMPUTED_VALUE"""),"")</f>
        <v/>
      </c>
      <c r="V131" s="1" t="str">
        <f>IFERROR(__xludf.DUMMYFUNCTION("""COMPUTED_VALUE"""),"495,000")</f>
        <v>495,000</v>
      </c>
      <c r="W131" s="1" t="str">
        <f>IFERROR(__xludf.DUMMYFUNCTION("""COMPUTED_VALUE"""),"")</f>
        <v/>
      </c>
      <c r="X131" s="1" t="str">
        <f>IFERROR(__xludf.DUMMYFUNCTION("""COMPUTED_VALUE"""),"")</f>
        <v/>
      </c>
      <c r="Y131" s="1" t="str">
        <f>IFERROR(__xludf.DUMMYFUNCTION("""COMPUTED_VALUE"""),"")</f>
        <v/>
      </c>
      <c r="Z131" s="1" t="str">
        <f>IFERROR(__xludf.DUMMYFUNCTION("""COMPUTED_VALUE"""),"Unknown")</f>
        <v>Unknown</v>
      </c>
      <c r="AA131" s="1" t="str">
        <f>IFERROR(__xludf.DUMMYFUNCTION("""COMPUTED_VALUE"""),"")</f>
        <v/>
      </c>
      <c r="AB131" s="1" t="str">
        <f>IFERROR(__xludf.DUMMYFUNCTION("""COMPUTED_VALUE"""),"")</f>
        <v/>
      </c>
      <c r="AC131" s="1" t="str">
        <f>IFERROR(__xludf.DUMMYFUNCTION("""COMPUTED_VALUE"""),"")</f>
        <v/>
      </c>
      <c r="AD131" s="1" t="str">
        <f>IFERROR(__xludf.DUMMYFUNCTION("""COMPUTED_VALUE"""),"")</f>
        <v/>
      </c>
      <c r="AE131" s="1" t="str">
        <f>IFERROR(__xludf.DUMMYFUNCTION("""COMPUTED_VALUE"""),"")</f>
        <v/>
      </c>
      <c r="AF131" s="1" t="str">
        <f>IFERROR(__xludf.DUMMYFUNCTION("""COMPUTED_VALUE"""),"")</f>
        <v/>
      </c>
      <c r="AG131" s="1" t="str">
        <f>IFERROR(__xludf.DUMMYFUNCTION("""COMPUTED_VALUE"""),"Part of a campus (Project Granite): https://baxtel.com/data-center/qts-atlanta-metro")</f>
        <v>Part of a campus (Project Granite): https://baxtel.com/data-center/qts-atlanta-metro</v>
      </c>
      <c r="AH131" s="1" t="str">
        <f>IFERROR(__xludf.DUMMYFUNCTION("""COMPUTED_VALUE"""),"Sci4GA")</f>
        <v>Sci4GA</v>
      </c>
      <c r="AI131" s="2" t="str">
        <f>IFERROR(__xludf.DUMMYFUNCTION("""COMPUTED_VALUE"""),"https://qtsdatacenters.com/-/media/resources/data-sheets/qts_data-sheet_atl1-dc2.pdf")</f>
        <v>https://qtsdatacenters.com/-/media/resources/data-sheets/qts_data-sheet_atl1-dc2.pdf</v>
      </c>
      <c r="AJ131" s="2" t="str">
        <f>IFERROR(__xludf.DUMMYFUNCTION("""COMPUTED_VALUE"""),"https://qtsdatacenters.com/data-centers/atlanta-1/")</f>
        <v>https://qtsdatacenters.com/data-centers/atlanta-1/</v>
      </c>
      <c r="AK131" s="1" t="str">
        <f>IFERROR(__xludf.DUMMYFUNCTION("""COMPUTED_VALUE"""),"")</f>
        <v/>
      </c>
      <c r="AL131" s="1" t="str">
        <f>IFERROR(__xludf.DUMMYFUNCTION("""COMPUTED_VALUE"""),"")</f>
        <v/>
      </c>
      <c r="AM131" s="1" t="str">
        <f>IFERROR(__xludf.DUMMYFUNCTION("""COMPUTED_VALUE"""),"")</f>
        <v/>
      </c>
      <c r="AN131" s="1" t="str">
        <f>IFERROR(__xludf.DUMMYFUNCTION("""COMPUTED_VALUE"""),"")</f>
        <v/>
      </c>
      <c r="AO131" s="1" t="str">
        <f>IFERROR(__xludf.DUMMYFUNCTION("""COMPUTED_VALUE"""),"")</f>
        <v/>
      </c>
      <c r="AP131" s="1" t="str">
        <f>IFERROR(__xludf.DUMMYFUNCTION("""COMPUTED_VALUE"""),"")</f>
        <v/>
      </c>
      <c r="AQ131" s="1" t="str">
        <f>IFERROR(__xludf.DUMMYFUNCTION("""COMPUTED_VALUE"""),"10/16/2025")</f>
        <v>10/16/2025</v>
      </c>
      <c r="AR131" s="1" t="str">
        <f>IFERROR(__xludf.DUMMYFUNCTION("""COMPUTED_VALUE"""),"10/16/2025")</f>
        <v>10/16/2025</v>
      </c>
    </row>
    <row r="132">
      <c r="A132" s="1" t="str">
        <f>IFERROR(__xludf.DUMMYFUNCTION("""COMPUTED_VALUE"""),"Atlanta Metro DC3")</f>
        <v>Atlanta Metro DC3</v>
      </c>
      <c r="B132" s="1" t="str">
        <f>IFERROR(__xludf.DUMMYFUNCTION("""COMPUTED_VALUE"""),"953 Herndon Street")</f>
        <v>953 Herndon Street</v>
      </c>
      <c r="C132" s="1" t="str">
        <f>IFERROR(__xludf.DUMMYFUNCTION("""COMPUTED_VALUE"""),"Atlanta")</f>
        <v>Atlanta</v>
      </c>
      <c r="D132" s="1" t="str">
        <f>IFERROR(__xludf.DUMMYFUNCTION("""COMPUTED_VALUE"""),"GA")</f>
        <v>GA</v>
      </c>
      <c r="E132" s="1" t="str">
        <f>IFERROR(__xludf.DUMMYFUNCTION("""COMPUTED_VALUE"""),"30318")</f>
        <v>30318</v>
      </c>
      <c r="F132" s="1" t="str">
        <f>IFERROR(__xludf.DUMMYFUNCTION("""COMPUTED_VALUE"""),"Fulton")</f>
        <v>Fulton</v>
      </c>
      <c r="G132" s="1" t="str">
        <f>IFERROR(__xludf.DUMMYFUNCTION("""COMPUTED_VALUE"""),"33.78121")</f>
        <v>33.78121</v>
      </c>
      <c r="H132" s="1" t="str">
        <f>IFERROR(__xludf.DUMMYFUNCTION("""COMPUTED_VALUE"""),"-84.42252")</f>
        <v>-84.42252</v>
      </c>
      <c r="I132" s="1" t="str">
        <f>IFERROR(__xludf.DUMMYFUNCTION("""COMPUTED_VALUE"""),"Operating")</f>
        <v>Operating</v>
      </c>
      <c r="J132" s="1" t="str">
        <f>IFERROR(__xludf.DUMMYFUNCTION("""COMPUTED_VALUE"""),"High")</f>
        <v>High</v>
      </c>
      <c r="K132" s="1" t="str">
        <f>IFERROR(__xludf.DUMMYFUNCTION("""COMPUTED_VALUE"""),"")</f>
        <v/>
      </c>
      <c r="L132" s="1" t="str">
        <f>IFERROR(__xludf.DUMMYFUNCTION("""COMPUTED_VALUE"""),"QTS Data Centers")</f>
        <v>QTS Data Centers</v>
      </c>
      <c r="M132" s="1" t="str">
        <f>IFERROR(__xludf.DUMMYFUNCTION("""COMPUTED_VALUE"""),"")</f>
        <v/>
      </c>
      <c r="N132" s="1" t="str">
        <f>IFERROR(__xludf.DUMMYFUNCTION("""COMPUTED_VALUE"""),"")</f>
        <v/>
      </c>
      <c r="O132" s="1" t="str">
        <f>IFERROR(__xludf.DUMMYFUNCTION("""COMPUTED_VALUE"""),"Unknown")</f>
        <v>Unknown</v>
      </c>
      <c r="P132" s="1" t="str">
        <f>IFERROR(__xludf.DUMMYFUNCTION("""COMPUTED_VALUE"""),"")</f>
        <v/>
      </c>
      <c r="Q132" s="1" t="str">
        <f>IFERROR(__xludf.DUMMYFUNCTION("""COMPUTED_VALUE"""),"")</f>
        <v/>
      </c>
      <c r="R132" s="1" t="str">
        <f>IFERROR(__xludf.DUMMYFUNCTION("""COMPUTED_VALUE"""),"")</f>
        <v/>
      </c>
      <c r="S132" s="1" t="str">
        <f>IFERROR(__xludf.DUMMYFUNCTION("""COMPUTED_VALUE"""),"")</f>
        <v/>
      </c>
      <c r="T132" s="1" t="str">
        <f>IFERROR(__xludf.DUMMYFUNCTION("""COMPUTED_VALUE"""),"")</f>
        <v/>
      </c>
      <c r="U132" s="1" t="str">
        <f>IFERROR(__xludf.DUMMYFUNCTION("""COMPUTED_VALUE"""),"")</f>
        <v/>
      </c>
      <c r="V132" s="1" t="str">
        <f>IFERROR(__xludf.DUMMYFUNCTION("""COMPUTED_VALUE"""),"")</f>
        <v/>
      </c>
      <c r="W132" s="1" t="str">
        <f>IFERROR(__xludf.DUMMYFUNCTION("""COMPUTED_VALUE"""),"")</f>
        <v/>
      </c>
      <c r="X132" s="1" t="str">
        <f>IFERROR(__xludf.DUMMYFUNCTION("""COMPUTED_VALUE"""),"")</f>
        <v/>
      </c>
      <c r="Y132" s="1" t="str">
        <f>IFERROR(__xludf.DUMMYFUNCTION("""COMPUTED_VALUE"""),"")</f>
        <v/>
      </c>
      <c r="Z132" s="1" t="str">
        <f>IFERROR(__xludf.DUMMYFUNCTION("""COMPUTED_VALUE"""),"Unknown")</f>
        <v>Unknown</v>
      </c>
      <c r="AA132" s="1" t="str">
        <f>IFERROR(__xludf.DUMMYFUNCTION("""COMPUTED_VALUE"""),"")</f>
        <v/>
      </c>
      <c r="AB132" s="1" t="str">
        <f>IFERROR(__xludf.DUMMYFUNCTION("""COMPUTED_VALUE"""),"")</f>
        <v/>
      </c>
      <c r="AC132" s="1" t="str">
        <f>IFERROR(__xludf.DUMMYFUNCTION("""COMPUTED_VALUE"""),"")</f>
        <v/>
      </c>
      <c r="AD132" s="1" t="str">
        <f>IFERROR(__xludf.DUMMYFUNCTION("""COMPUTED_VALUE"""),"")</f>
        <v/>
      </c>
      <c r="AE132" s="1" t="str">
        <f>IFERROR(__xludf.DUMMYFUNCTION("""COMPUTED_VALUE"""),"")</f>
        <v/>
      </c>
      <c r="AF132" s="1" t="str">
        <f>IFERROR(__xludf.DUMMYFUNCTION("""COMPUTED_VALUE"""),"")</f>
        <v/>
      </c>
      <c r="AG132" s="1" t="str">
        <f>IFERROR(__xludf.DUMMYFUNCTION("""COMPUTED_VALUE"""),"Part of a campus (Project Granite): https://baxtel.com/data-center/qts-atlanta-metro")</f>
        <v>Part of a campus (Project Granite): https://baxtel.com/data-center/qts-atlanta-metro</v>
      </c>
      <c r="AH132" s="1" t="str">
        <f>IFERROR(__xludf.DUMMYFUNCTION("""COMPUTED_VALUE"""),"Sci4GA")</f>
        <v>Sci4GA</v>
      </c>
      <c r="AI132" s="2" t="str">
        <f>IFERROR(__xludf.DUMMYFUNCTION("""COMPUTED_VALUE"""),"https://www.datacenters.com/qts-atlanta-3-dc1")</f>
        <v>https://www.datacenters.com/qts-atlanta-3-dc1</v>
      </c>
      <c r="AJ132" s="2" t="str">
        <f>IFERROR(__xludf.DUMMYFUNCTION("""COMPUTED_VALUE"""),"https://qtsdatacenters.com/data-centers/atlanta-1/")</f>
        <v>https://qtsdatacenters.com/data-centers/atlanta-1/</v>
      </c>
      <c r="AK132" s="1" t="str">
        <f>IFERROR(__xludf.DUMMYFUNCTION("""COMPUTED_VALUE"""),"")</f>
        <v/>
      </c>
      <c r="AL132" s="1" t="str">
        <f>IFERROR(__xludf.DUMMYFUNCTION("""COMPUTED_VALUE"""),"")</f>
        <v/>
      </c>
      <c r="AM132" s="1" t="str">
        <f>IFERROR(__xludf.DUMMYFUNCTION("""COMPUTED_VALUE"""),"")</f>
        <v/>
      </c>
      <c r="AN132" s="1" t="str">
        <f>IFERROR(__xludf.DUMMYFUNCTION("""COMPUTED_VALUE"""),"")</f>
        <v/>
      </c>
      <c r="AO132" s="1" t="str">
        <f>IFERROR(__xludf.DUMMYFUNCTION("""COMPUTED_VALUE"""),"")</f>
        <v/>
      </c>
      <c r="AP132" s="1" t="str">
        <f>IFERROR(__xludf.DUMMYFUNCTION("""COMPUTED_VALUE"""),"")</f>
        <v/>
      </c>
      <c r="AQ132" s="1" t="str">
        <f>IFERROR(__xludf.DUMMYFUNCTION("""COMPUTED_VALUE"""),"10/16/2025")</f>
        <v>10/16/2025</v>
      </c>
      <c r="AR132" s="1" t="str">
        <f>IFERROR(__xludf.DUMMYFUNCTION("""COMPUTED_VALUE"""),"10/16/2025")</f>
        <v>10/16/2025</v>
      </c>
    </row>
    <row r="133">
      <c r="A133" s="1" t="str">
        <f>IFERROR(__xludf.DUMMYFUNCTION("""COMPUTED_VALUE"""),"Atlanta Metro DC4")</f>
        <v>Atlanta Metro DC4</v>
      </c>
      <c r="B133" s="1" t="str">
        <f>IFERROR(__xludf.DUMMYFUNCTION("""COMPUTED_VALUE"""),"1103 Herndon Street")</f>
        <v>1103 Herndon Street</v>
      </c>
      <c r="C133" s="1" t="str">
        <f>IFERROR(__xludf.DUMMYFUNCTION("""COMPUTED_VALUE"""),"Atlanta")</f>
        <v>Atlanta</v>
      </c>
      <c r="D133" s="1" t="str">
        <f>IFERROR(__xludf.DUMMYFUNCTION("""COMPUTED_VALUE"""),"GA")</f>
        <v>GA</v>
      </c>
      <c r="E133" s="1" t="str">
        <f>IFERROR(__xludf.DUMMYFUNCTION("""COMPUTED_VALUE"""),"30318")</f>
        <v>30318</v>
      </c>
      <c r="F133" s="1" t="str">
        <f>IFERROR(__xludf.DUMMYFUNCTION("""COMPUTED_VALUE"""),"Fulton")</f>
        <v>Fulton</v>
      </c>
      <c r="G133" s="1" t="str">
        <f>IFERROR(__xludf.DUMMYFUNCTION("""COMPUTED_VALUE"""),"33.784534")</f>
        <v>33.784534</v>
      </c>
      <c r="H133" s="1" t="str">
        <f>IFERROR(__xludf.DUMMYFUNCTION("""COMPUTED_VALUE"""),"-84.42251")</f>
        <v>-84.42251</v>
      </c>
      <c r="I133" s="1" t="str">
        <f>IFERROR(__xludf.DUMMYFUNCTION("""COMPUTED_VALUE"""),"Operating")</f>
        <v>Operating</v>
      </c>
      <c r="J133" s="1" t="str">
        <f>IFERROR(__xludf.DUMMYFUNCTION("""COMPUTED_VALUE"""),"High")</f>
        <v>High</v>
      </c>
      <c r="K133" s="1" t="str">
        <f>IFERROR(__xludf.DUMMYFUNCTION("""COMPUTED_VALUE"""),"")</f>
        <v/>
      </c>
      <c r="L133" s="1" t="str">
        <f>IFERROR(__xludf.DUMMYFUNCTION("""COMPUTED_VALUE"""),"QTS Data Centers")</f>
        <v>QTS Data Centers</v>
      </c>
      <c r="M133" s="1" t="str">
        <f>IFERROR(__xludf.DUMMYFUNCTION("""COMPUTED_VALUE"""),"")</f>
        <v/>
      </c>
      <c r="N133" s="1" t="str">
        <f>IFERROR(__xludf.DUMMYFUNCTION("""COMPUTED_VALUE"""),"")</f>
        <v/>
      </c>
      <c r="O133" s="1" t="str">
        <f>IFERROR(__xludf.DUMMYFUNCTION("""COMPUTED_VALUE"""),"Unknown")</f>
        <v>Unknown</v>
      </c>
      <c r="P133" s="1" t="str">
        <f>IFERROR(__xludf.DUMMYFUNCTION("""COMPUTED_VALUE"""),"")</f>
        <v/>
      </c>
      <c r="Q133" s="1" t="str">
        <f>IFERROR(__xludf.DUMMYFUNCTION("""COMPUTED_VALUE"""),"")</f>
        <v/>
      </c>
      <c r="R133" s="1" t="str">
        <f>IFERROR(__xludf.DUMMYFUNCTION("""COMPUTED_VALUE"""),"")</f>
        <v/>
      </c>
      <c r="S133" s="1" t="str">
        <f>IFERROR(__xludf.DUMMYFUNCTION("""COMPUTED_VALUE"""),"")</f>
        <v/>
      </c>
      <c r="T133" s="1" t="str">
        <f>IFERROR(__xludf.DUMMYFUNCTION("""COMPUTED_VALUE"""),"")</f>
        <v/>
      </c>
      <c r="U133" s="1" t="str">
        <f>IFERROR(__xludf.DUMMYFUNCTION("""COMPUTED_VALUE"""),"")</f>
        <v/>
      </c>
      <c r="V133" s="1" t="str">
        <f>IFERROR(__xludf.DUMMYFUNCTION("""COMPUTED_VALUE"""),"")</f>
        <v/>
      </c>
      <c r="W133" s="1" t="str">
        <f>IFERROR(__xludf.DUMMYFUNCTION("""COMPUTED_VALUE"""),"")</f>
        <v/>
      </c>
      <c r="X133" s="1" t="str">
        <f>IFERROR(__xludf.DUMMYFUNCTION("""COMPUTED_VALUE"""),"")</f>
        <v/>
      </c>
      <c r="Y133" s="1" t="str">
        <f>IFERROR(__xludf.DUMMYFUNCTION("""COMPUTED_VALUE"""),"")</f>
        <v/>
      </c>
      <c r="Z133" s="1" t="str">
        <f>IFERROR(__xludf.DUMMYFUNCTION("""COMPUTED_VALUE"""),"Unknown")</f>
        <v>Unknown</v>
      </c>
      <c r="AA133" s="1" t="str">
        <f>IFERROR(__xludf.DUMMYFUNCTION("""COMPUTED_VALUE"""),"")</f>
        <v/>
      </c>
      <c r="AB133" s="1" t="str">
        <f>IFERROR(__xludf.DUMMYFUNCTION("""COMPUTED_VALUE"""),"")</f>
        <v/>
      </c>
      <c r="AC133" s="1" t="str">
        <f>IFERROR(__xludf.DUMMYFUNCTION("""COMPUTED_VALUE"""),"")</f>
        <v/>
      </c>
      <c r="AD133" s="1" t="str">
        <f>IFERROR(__xludf.DUMMYFUNCTION("""COMPUTED_VALUE"""),"")</f>
        <v/>
      </c>
      <c r="AE133" s="1" t="str">
        <f>IFERROR(__xludf.DUMMYFUNCTION("""COMPUTED_VALUE"""),"")</f>
        <v/>
      </c>
      <c r="AF133" s="1" t="str">
        <f>IFERROR(__xludf.DUMMYFUNCTION("""COMPUTED_VALUE"""),"")</f>
        <v/>
      </c>
      <c r="AG133" s="1" t="str">
        <f>IFERROR(__xludf.DUMMYFUNCTION("""COMPUTED_VALUE"""),"Part of a campus (Project Granite): https://baxtel.com/data-center/qts-atlanta-metro")</f>
        <v>Part of a campus (Project Granite): https://baxtel.com/data-center/qts-atlanta-metro</v>
      </c>
      <c r="AH133" s="1" t="str">
        <f>IFERROR(__xludf.DUMMYFUNCTION("""COMPUTED_VALUE"""),"Sci4GA")</f>
        <v>Sci4GA</v>
      </c>
      <c r="AI133" s="2" t="str">
        <f>IFERROR(__xludf.DUMMYFUNCTION("""COMPUTED_VALUE"""),"https://www.datacenters.com/qts-atlanta-4-dc1")</f>
        <v>https://www.datacenters.com/qts-atlanta-4-dc1</v>
      </c>
      <c r="AJ133" s="2" t="str">
        <f>IFERROR(__xludf.DUMMYFUNCTION("""COMPUTED_VALUE"""),"https://qtsdatacenters.com/data-centers/atlanta-1/")</f>
        <v>https://qtsdatacenters.com/data-centers/atlanta-1/</v>
      </c>
      <c r="AK133" s="1" t="str">
        <f>IFERROR(__xludf.DUMMYFUNCTION("""COMPUTED_VALUE"""),"")</f>
        <v/>
      </c>
      <c r="AL133" s="1" t="str">
        <f>IFERROR(__xludf.DUMMYFUNCTION("""COMPUTED_VALUE"""),"")</f>
        <v/>
      </c>
      <c r="AM133" s="1" t="str">
        <f>IFERROR(__xludf.DUMMYFUNCTION("""COMPUTED_VALUE"""),"")</f>
        <v/>
      </c>
      <c r="AN133" s="1" t="str">
        <f>IFERROR(__xludf.DUMMYFUNCTION("""COMPUTED_VALUE"""),"")</f>
        <v/>
      </c>
      <c r="AO133" s="1" t="str">
        <f>IFERROR(__xludf.DUMMYFUNCTION("""COMPUTED_VALUE"""),"")</f>
        <v/>
      </c>
      <c r="AP133" s="1" t="str">
        <f>IFERROR(__xludf.DUMMYFUNCTION("""COMPUTED_VALUE"""),"")</f>
        <v/>
      </c>
      <c r="AQ133" s="1" t="str">
        <f>IFERROR(__xludf.DUMMYFUNCTION("""COMPUTED_VALUE"""),"10/16/2025")</f>
        <v>10/16/2025</v>
      </c>
      <c r="AR133" s="1" t="str">
        <f>IFERROR(__xludf.DUMMYFUNCTION("""COMPUTED_VALUE"""),"04/27/2026")</f>
        <v>04/27/2026</v>
      </c>
    </row>
    <row r="134">
      <c r="A134" s="1" t="str">
        <f>IFERROR(__xludf.DUMMYFUNCTION("""COMPUTED_VALUE"""),"ATLDC 55 Marietta")</f>
        <v>ATLDC 55 Marietta</v>
      </c>
      <c r="B134" s="1" t="str">
        <f>IFERROR(__xludf.DUMMYFUNCTION("""COMPUTED_VALUE"""),"55 Marietta Street (Suite 1740)")</f>
        <v>55 Marietta Street (Suite 1740)</v>
      </c>
      <c r="C134" s="1" t="str">
        <f>IFERROR(__xludf.DUMMYFUNCTION("""COMPUTED_VALUE"""),"Atlanta")</f>
        <v>Atlanta</v>
      </c>
      <c r="D134" s="1" t="str">
        <f>IFERROR(__xludf.DUMMYFUNCTION("""COMPUTED_VALUE"""),"GA")</f>
        <v>GA</v>
      </c>
      <c r="E134" s="1" t="str">
        <f>IFERROR(__xludf.DUMMYFUNCTION("""COMPUTED_VALUE"""),"30303")</f>
        <v>30303</v>
      </c>
      <c r="F134" s="1" t="str">
        <f>IFERROR(__xludf.DUMMYFUNCTION("""COMPUTED_VALUE"""),"Fulton")</f>
        <v>Fulton</v>
      </c>
      <c r="G134" s="1" t="str">
        <f>IFERROR(__xludf.DUMMYFUNCTION("""COMPUTED_VALUE"""),"33.75585")</f>
        <v>33.75585</v>
      </c>
      <c r="H134" s="1" t="str">
        <f>IFERROR(__xludf.DUMMYFUNCTION("""COMPUTED_VALUE"""),"-84.39107")</f>
        <v>-84.39107</v>
      </c>
      <c r="I134" s="1" t="str">
        <f>IFERROR(__xludf.DUMMYFUNCTION("""COMPUTED_VALUE"""),"Operating")</f>
        <v>Operating</v>
      </c>
      <c r="J134" s="1" t="str">
        <f>IFERROR(__xludf.DUMMYFUNCTION("""COMPUTED_VALUE"""),"High")</f>
        <v>High</v>
      </c>
      <c r="K134" s="1" t="str">
        <f>IFERROR(__xludf.DUMMYFUNCTION("""COMPUTED_VALUE"""),"")</f>
        <v/>
      </c>
      <c r="L134" s="1" t="str">
        <f>IFERROR(__xludf.DUMMYFUNCTION("""COMPUTED_VALUE"""),"ATLDC")</f>
        <v>ATLDC</v>
      </c>
      <c r="M134" s="1" t="str">
        <f>IFERROR(__xludf.DUMMYFUNCTION("""COMPUTED_VALUE"""),"")</f>
        <v/>
      </c>
      <c r="N134" s="1" t="str">
        <f>IFERROR(__xludf.DUMMYFUNCTION("""COMPUTED_VALUE"""),"")</f>
        <v/>
      </c>
      <c r="O134" s="1" t="str">
        <f>IFERROR(__xludf.DUMMYFUNCTION("""COMPUTED_VALUE"""),"Unknown")</f>
        <v>Unknown</v>
      </c>
      <c r="P134" s="1" t="str">
        <f>IFERROR(__xludf.DUMMYFUNCTION("""COMPUTED_VALUE"""),"")</f>
        <v/>
      </c>
      <c r="Q134" s="1" t="str">
        <f>IFERROR(__xludf.DUMMYFUNCTION("""COMPUTED_VALUE"""),"")</f>
        <v/>
      </c>
      <c r="R134" s="1" t="str">
        <f>IFERROR(__xludf.DUMMYFUNCTION("""COMPUTED_VALUE"""),"")</f>
        <v/>
      </c>
      <c r="S134" s="1" t="str">
        <f>IFERROR(__xludf.DUMMYFUNCTION("""COMPUTED_VALUE"""),"")</f>
        <v/>
      </c>
      <c r="T134" s="1" t="str">
        <f>IFERROR(__xludf.DUMMYFUNCTION("""COMPUTED_VALUE"""),"")</f>
        <v/>
      </c>
      <c r="U134" s="1" t="str">
        <f>IFERROR(__xludf.DUMMYFUNCTION("""COMPUTED_VALUE"""),"")</f>
        <v/>
      </c>
      <c r="V134" s="1" t="str">
        <f>IFERROR(__xludf.DUMMYFUNCTION("""COMPUTED_VALUE"""),"9,000")</f>
        <v>9,000</v>
      </c>
      <c r="W134" s="1" t="str">
        <f>IFERROR(__xludf.DUMMYFUNCTION("""COMPUTED_VALUE"""),"")</f>
        <v/>
      </c>
      <c r="X134" s="1" t="str">
        <f>IFERROR(__xludf.DUMMYFUNCTION("""COMPUTED_VALUE"""),"")</f>
        <v/>
      </c>
      <c r="Y134" s="1" t="str">
        <f>IFERROR(__xludf.DUMMYFUNCTION("""COMPUTED_VALUE"""),"")</f>
        <v/>
      </c>
      <c r="Z134" s="1" t="str">
        <f>IFERROR(__xludf.DUMMYFUNCTION("""COMPUTED_VALUE"""),"Unknown")</f>
        <v>Unknown</v>
      </c>
      <c r="AA134" s="1" t="str">
        <f>IFERROR(__xludf.DUMMYFUNCTION("""COMPUTED_VALUE"""),"")</f>
        <v/>
      </c>
      <c r="AB134" s="1" t="str">
        <f>IFERROR(__xludf.DUMMYFUNCTION("""COMPUTED_VALUE"""),"")</f>
        <v/>
      </c>
      <c r="AC134" s="1" t="str">
        <f>IFERROR(__xludf.DUMMYFUNCTION("""COMPUTED_VALUE"""),"")</f>
        <v/>
      </c>
      <c r="AD134" s="1" t="str">
        <f>IFERROR(__xludf.DUMMYFUNCTION("""COMPUTED_VALUE"""),"")</f>
        <v/>
      </c>
      <c r="AE134" s="1" t="str">
        <f>IFERROR(__xludf.DUMMYFUNCTION("""COMPUTED_VALUE"""),"")</f>
        <v/>
      </c>
      <c r="AF134" s="1" t="str">
        <f>IFERROR(__xludf.DUMMYFUNCTION("""COMPUTED_VALUE"""),"")</f>
        <v/>
      </c>
      <c r="AG134" s="1" t="str">
        <f>IFERROR(__xludf.DUMMYFUNCTION("""COMPUTED_VALUE"""),"")</f>
        <v/>
      </c>
      <c r="AH134" s="1" t="str">
        <f>IFERROR(__xludf.DUMMYFUNCTION("""COMPUTED_VALUE"""),"Sci4GA")</f>
        <v>Sci4GA</v>
      </c>
      <c r="AI134" s="2" t="str">
        <f>IFERROR(__xludf.DUMMYFUNCTION("""COMPUTED_VALUE"""),"https://baxtel.com/data-center/atldc-55-marietta")</f>
        <v>https://baxtel.com/data-center/atldc-55-marietta</v>
      </c>
      <c r="AJ134" s="1" t="str">
        <f>IFERROR(__xludf.DUMMYFUNCTION("""COMPUTED_VALUE"""),"")</f>
        <v/>
      </c>
      <c r="AK134" s="1" t="str">
        <f>IFERROR(__xludf.DUMMYFUNCTION("""COMPUTED_VALUE"""),"")</f>
        <v/>
      </c>
      <c r="AL134" s="1" t="str">
        <f>IFERROR(__xludf.DUMMYFUNCTION("""COMPUTED_VALUE"""),"")</f>
        <v/>
      </c>
      <c r="AM134" s="1" t="str">
        <f>IFERROR(__xludf.DUMMYFUNCTION("""COMPUTED_VALUE"""),"")</f>
        <v/>
      </c>
      <c r="AN134" s="1" t="str">
        <f>IFERROR(__xludf.DUMMYFUNCTION("""COMPUTED_VALUE"""),"")</f>
        <v/>
      </c>
      <c r="AO134" s="1" t="str">
        <f>IFERROR(__xludf.DUMMYFUNCTION("""COMPUTED_VALUE"""),"")</f>
        <v/>
      </c>
      <c r="AP134" s="1" t="str">
        <f>IFERROR(__xludf.DUMMYFUNCTION("""COMPUTED_VALUE"""),"")</f>
        <v/>
      </c>
      <c r="AQ134" s="1" t="str">
        <f>IFERROR(__xludf.DUMMYFUNCTION("""COMPUTED_VALUE"""),"10/16/2025")</f>
        <v>10/16/2025</v>
      </c>
      <c r="AR134" s="1" t="str">
        <f>IFERROR(__xludf.DUMMYFUNCTION("""COMPUTED_VALUE"""),"10/16/2025")</f>
        <v>10/16/2025</v>
      </c>
    </row>
    <row r="135">
      <c r="A135" s="1" t="str">
        <f>IFERROR(__xludf.DUMMYFUNCTION("""COMPUTED_VALUE"""),"AT&amp;T Southern Bell Telephone Company Building")</f>
        <v>AT&amp;T Southern Bell Telephone Company Building</v>
      </c>
      <c r="B135" s="1" t="str">
        <f>IFERROR(__xludf.DUMMYFUNCTION("""COMPUTED_VALUE"""),"51 Peachtree Center Ave NE")</f>
        <v>51 Peachtree Center Ave NE</v>
      </c>
      <c r="C135" s="1" t="str">
        <f>IFERROR(__xludf.DUMMYFUNCTION("""COMPUTED_VALUE"""),"Atlanta")</f>
        <v>Atlanta</v>
      </c>
      <c r="D135" s="1" t="str">
        <f>IFERROR(__xludf.DUMMYFUNCTION("""COMPUTED_VALUE"""),"GA")</f>
        <v>GA</v>
      </c>
      <c r="E135" s="1" t="str">
        <f>IFERROR(__xludf.DUMMYFUNCTION("""COMPUTED_VALUE"""),"30303")</f>
        <v>30303</v>
      </c>
      <c r="F135" s="1" t="str">
        <f>IFERROR(__xludf.DUMMYFUNCTION("""COMPUTED_VALUE"""),"Fulton")</f>
        <v>Fulton</v>
      </c>
      <c r="G135" s="1" t="str">
        <f>IFERROR(__xludf.DUMMYFUNCTION("""COMPUTED_VALUE"""),"33.7558")</f>
        <v>33.7558</v>
      </c>
      <c r="H135" s="1" t="str">
        <f>IFERROR(__xludf.DUMMYFUNCTION("""COMPUTED_VALUE"""),"-84.3857")</f>
        <v>-84.3857</v>
      </c>
      <c r="I135" s="1" t="str">
        <f>IFERROR(__xludf.DUMMYFUNCTION("""COMPUTED_VALUE"""),"Operating")</f>
        <v>Operating</v>
      </c>
      <c r="J135" s="1" t="str">
        <f>IFERROR(__xludf.DUMMYFUNCTION("""COMPUTED_VALUE"""),"High")</f>
        <v>High</v>
      </c>
      <c r="K135" s="1" t="str">
        <f>IFERROR(__xludf.DUMMYFUNCTION("""COMPUTED_VALUE"""),"")</f>
        <v/>
      </c>
      <c r="L135" s="1" t="str">
        <f>IFERROR(__xludf.DUMMYFUNCTION("""COMPUTED_VALUE"""),"AT&amp;T")</f>
        <v>AT&amp;T</v>
      </c>
      <c r="M135" s="1" t="str">
        <f>IFERROR(__xludf.DUMMYFUNCTION("""COMPUTED_VALUE"""),"")</f>
        <v/>
      </c>
      <c r="N135" s="1" t="str">
        <f>IFERROR(__xludf.DUMMYFUNCTION("""COMPUTED_VALUE"""),"")</f>
        <v/>
      </c>
      <c r="O135" s="1" t="str">
        <f>IFERROR(__xludf.DUMMYFUNCTION("""COMPUTED_VALUE"""),"Unknown")</f>
        <v>Unknown</v>
      </c>
      <c r="P135" s="1" t="str">
        <f>IFERROR(__xludf.DUMMYFUNCTION("""COMPUTED_VALUE"""),"")</f>
        <v/>
      </c>
      <c r="Q135" s="1" t="str">
        <f>IFERROR(__xludf.DUMMYFUNCTION("""COMPUTED_VALUE"""),"")</f>
        <v/>
      </c>
      <c r="R135" s="1" t="str">
        <f>IFERROR(__xludf.DUMMYFUNCTION("""COMPUTED_VALUE"""),"")</f>
        <v/>
      </c>
      <c r="S135" s="1" t="str">
        <f>IFERROR(__xludf.DUMMYFUNCTION("""COMPUTED_VALUE"""),"")</f>
        <v/>
      </c>
      <c r="T135" s="1" t="str">
        <f>IFERROR(__xludf.DUMMYFUNCTION("""COMPUTED_VALUE"""),"")</f>
        <v/>
      </c>
      <c r="U135" s="1" t="str">
        <f>IFERROR(__xludf.DUMMYFUNCTION("""COMPUTED_VALUE"""),"")</f>
        <v/>
      </c>
      <c r="V135" s="1" t="str">
        <f>IFERROR(__xludf.DUMMYFUNCTION("""COMPUTED_VALUE"""),"")</f>
        <v/>
      </c>
      <c r="W135" s="1" t="str">
        <f>IFERROR(__xludf.DUMMYFUNCTION("""COMPUTED_VALUE"""),"")</f>
        <v/>
      </c>
      <c r="X135" s="1" t="str">
        <f>IFERROR(__xludf.DUMMYFUNCTION("""COMPUTED_VALUE"""),"")</f>
        <v/>
      </c>
      <c r="Y135" s="1" t="str">
        <f>IFERROR(__xludf.DUMMYFUNCTION("""COMPUTED_VALUE"""),"")</f>
        <v/>
      </c>
      <c r="Z135" s="1" t="str">
        <f>IFERROR(__xludf.DUMMYFUNCTION("""COMPUTED_VALUE"""),"Unknown")</f>
        <v>Unknown</v>
      </c>
      <c r="AA135" s="1" t="str">
        <f>IFERROR(__xludf.DUMMYFUNCTION("""COMPUTED_VALUE"""),"")</f>
        <v/>
      </c>
      <c r="AB135" s="1" t="str">
        <f>IFERROR(__xludf.DUMMYFUNCTION("""COMPUTED_VALUE"""),"")</f>
        <v/>
      </c>
      <c r="AC135" s="1" t="str">
        <f>IFERROR(__xludf.DUMMYFUNCTION("""COMPUTED_VALUE"""),"")</f>
        <v/>
      </c>
      <c r="AD135" s="1" t="str">
        <f>IFERROR(__xludf.DUMMYFUNCTION("""COMPUTED_VALUE"""),"")</f>
        <v/>
      </c>
      <c r="AE135" s="1" t="str">
        <f>IFERROR(__xludf.DUMMYFUNCTION("""COMPUTED_VALUE"""),"")</f>
        <v/>
      </c>
      <c r="AF135" s="1" t="str">
        <f>IFERROR(__xludf.DUMMYFUNCTION("""COMPUTED_VALUE"""),"")</f>
        <v/>
      </c>
      <c r="AG135" s="1" t="str">
        <f>IFERROR(__xludf.DUMMYFUNCTION("""COMPUTED_VALUE"""),"")</f>
        <v/>
      </c>
      <c r="AH135" s="1" t="str">
        <f>IFERROR(__xludf.DUMMYFUNCTION("""COMPUTED_VALUE"""),"Sci4GA")</f>
        <v>Sci4GA</v>
      </c>
      <c r="AI135" s="2" t="str">
        <f>IFERROR(__xludf.DUMMYFUNCTION("""COMPUTED_VALUE"""),"https://baxtel.com/data-center/at-t-southern-bell-telephone-company-building")</f>
        <v>https://baxtel.com/data-center/at-t-southern-bell-telephone-company-building</v>
      </c>
      <c r="AJ135" s="1" t="str">
        <f>IFERROR(__xludf.DUMMYFUNCTION("""COMPUTED_VALUE"""),"")</f>
        <v/>
      </c>
      <c r="AK135" s="1" t="str">
        <f>IFERROR(__xludf.DUMMYFUNCTION("""COMPUTED_VALUE"""),"")</f>
        <v/>
      </c>
      <c r="AL135" s="1" t="str">
        <f>IFERROR(__xludf.DUMMYFUNCTION("""COMPUTED_VALUE"""),"")</f>
        <v/>
      </c>
      <c r="AM135" s="1" t="str">
        <f>IFERROR(__xludf.DUMMYFUNCTION("""COMPUTED_VALUE"""),"")</f>
        <v/>
      </c>
      <c r="AN135" s="1" t="str">
        <f>IFERROR(__xludf.DUMMYFUNCTION("""COMPUTED_VALUE"""),"")</f>
        <v/>
      </c>
      <c r="AO135" s="1" t="str">
        <f>IFERROR(__xludf.DUMMYFUNCTION("""COMPUTED_VALUE"""),"")</f>
        <v/>
      </c>
      <c r="AP135" s="1" t="str">
        <f>IFERROR(__xludf.DUMMYFUNCTION("""COMPUTED_VALUE"""),"")</f>
        <v/>
      </c>
      <c r="AQ135" s="1" t="str">
        <f>IFERROR(__xludf.DUMMYFUNCTION("""COMPUTED_VALUE"""),"10/16/2025")</f>
        <v>10/16/2025</v>
      </c>
      <c r="AR135" s="1" t="str">
        <f>IFERROR(__xludf.DUMMYFUNCTION("""COMPUTED_VALUE"""),"10/16/2025")</f>
        <v>10/16/2025</v>
      </c>
    </row>
    <row r="136">
      <c r="A136" s="1" t="str">
        <f>IFERROR(__xludf.DUMMYFUNCTION("""COMPUTED_VALUE"""),"Cogent Data Center Atlanta 1")</f>
        <v>Cogent Data Center Atlanta 1</v>
      </c>
      <c r="B136" s="1" t="str">
        <f>IFERROR(__xludf.DUMMYFUNCTION("""COMPUTED_VALUE"""),"55 Marietta Street NW (Suite 950)")</f>
        <v>55 Marietta Street NW (Suite 950)</v>
      </c>
      <c r="C136" s="1" t="str">
        <f>IFERROR(__xludf.DUMMYFUNCTION("""COMPUTED_VALUE"""),"Atlanta")</f>
        <v>Atlanta</v>
      </c>
      <c r="D136" s="1" t="str">
        <f>IFERROR(__xludf.DUMMYFUNCTION("""COMPUTED_VALUE"""),"GA")</f>
        <v>GA</v>
      </c>
      <c r="E136" s="1" t="str">
        <f>IFERROR(__xludf.DUMMYFUNCTION("""COMPUTED_VALUE"""),"30303")</f>
        <v>30303</v>
      </c>
      <c r="F136" s="1" t="str">
        <f>IFERROR(__xludf.DUMMYFUNCTION("""COMPUTED_VALUE"""),"Fulton")</f>
        <v>Fulton</v>
      </c>
      <c r="G136" s="1" t="str">
        <f>IFERROR(__xludf.DUMMYFUNCTION("""COMPUTED_VALUE"""),"33.75585")</f>
        <v>33.75585</v>
      </c>
      <c r="H136" s="1" t="str">
        <f>IFERROR(__xludf.DUMMYFUNCTION("""COMPUTED_VALUE"""),"-84.39107")</f>
        <v>-84.39107</v>
      </c>
      <c r="I136" s="1" t="str">
        <f>IFERROR(__xludf.DUMMYFUNCTION("""COMPUTED_VALUE"""),"Operating")</f>
        <v>Operating</v>
      </c>
      <c r="J136" s="1" t="str">
        <f>IFERROR(__xludf.DUMMYFUNCTION("""COMPUTED_VALUE"""),"High")</f>
        <v>High</v>
      </c>
      <c r="K136" s="1" t="str">
        <f>IFERROR(__xludf.DUMMYFUNCTION("""COMPUTED_VALUE"""),"")</f>
        <v/>
      </c>
      <c r="L136" s="1" t="str">
        <f>IFERROR(__xludf.DUMMYFUNCTION("""COMPUTED_VALUE"""),"Cogent Communications")</f>
        <v>Cogent Communications</v>
      </c>
      <c r="M136" s="1" t="str">
        <f>IFERROR(__xludf.DUMMYFUNCTION("""COMPUTED_VALUE"""),"")</f>
        <v/>
      </c>
      <c r="N136" s="1" t="str">
        <f>IFERROR(__xludf.DUMMYFUNCTION("""COMPUTED_VALUE"""),"")</f>
        <v/>
      </c>
      <c r="O136" s="1" t="str">
        <f>IFERROR(__xludf.DUMMYFUNCTION("""COMPUTED_VALUE"""),"Unknown")</f>
        <v>Unknown</v>
      </c>
      <c r="P136" s="1" t="str">
        <f>IFERROR(__xludf.DUMMYFUNCTION("""COMPUTED_VALUE"""),"")</f>
        <v/>
      </c>
      <c r="Q136" s="1" t="str">
        <f>IFERROR(__xludf.DUMMYFUNCTION("""COMPUTED_VALUE"""),"")</f>
        <v/>
      </c>
      <c r="R136" s="1" t="str">
        <f>IFERROR(__xludf.DUMMYFUNCTION("""COMPUTED_VALUE"""),"")</f>
        <v/>
      </c>
      <c r="S136" s="1" t="str">
        <f>IFERROR(__xludf.DUMMYFUNCTION("""COMPUTED_VALUE"""),"")</f>
        <v/>
      </c>
      <c r="T136" s="1" t="str">
        <f>IFERROR(__xludf.DUMMYFUNCTION("""COMPUTED_VALUE"""),"")</f>
        <v/>
      </c>
      <c r="U136" s="1" t="str">
        <f>IFERROR(__xludf.DUMMYFUNCTION("""COMPUTED_VALUE"""),"")</f>
        <v/>
      </c>
      <c r="V136" s="1" t="str">
        <f>IFERROR(__xludf.DUMMYFUNCTION("""COMPUTED_VALUE"""),"")</f>
        <v/>
      </c>
      <c r="W136" s="1" t="str">
        <f>IFERROR(__xludf.DUMMYFUNCTION("""COMPUTED_VALUE"""),"")</f>
        <v/>
      </c>
      <c r="X136" s="1" t="str">
        <f>IFERROR(__xludf.DUMMYFUNCTION("""COMPUTED_VALUE"""),"")</f>
        <v/>
      </c>
      <c r="Y136" s="1" t="str">
        <f>IFERROR(__xludf.DUMMYFUNCTION("""COMPUTED_VALUE"""),"")</f>
        <v/>
      </c>
      <c r="Z136" s="1" t="str">
        <f>IFERROR(__xludf.DUMMYFUNCTION("""COMPUTED_VALUE"""),"Unknown")</f>
        <v>Unknown</v>
      </c>
      <c r="AA136" s="1" t="str">
        <f>IFERROR(__xludf.DUMMYFUNCTION("""COMPUTED_VALUE"""),"")</f>
        <v/>
      </c>
      <c r="AB136" s="1" t="str">
        <f>IFERROR(__xludf.DUMMYFUNCTION("""COMPUTED_VALUE"""),"")</f>
        <v/>
      </c>
      <c r="AC136" s="1" t="str">
        <f>IFERROR(__xludf.DUMMYFUNCTION("""COMPUTED_VALUE"""),"")</f>
        <v/>
      </c>
      <c r="AD136" s="1" t="str">
        <f>IFERROR(__xludf.DUMMYFUNCTION("""COMPUTED_VALUE"""),"")</f>
        <v/>
      </c>
      <c r="AE136" s="1" t="str">
        <f>IFERROR(__xludf.DUMMYFUNCTION("""COMPUTED_VALUE"""),"")</f>
        <v/>
      </c>
      <c r="AF136" s="1" t="str">
        <f>IFERROR(__xludf.DUMMYFUNCTION("""COMPUTED_VALUE"""),"")</f>
        <v/>
      </c>
      <c r="AG136" s="1" t="str">
        <f>IFERROR(__xludf.DUMMYFUNCTION("""COMPUTED_VALUE"""),"")</f>
        <v/>
      </c>
      <c r="AH136" s="1" t="str">
        <f>IFERROR(__xludf.DUMMYFUNCTION("""COMPUTED_VALUE"""),"Sci4GA")</f>
        <v>Sci4GA</v>
      </c>
      <c r="AI136" s="2" t="str">
        <f>IFERROR(__xludf.DUMMYFUNCTION("""COMPUTED_VALUE"""),"https://baxtel.com/data-center/cogent-atlanta-55-marietta")</f>
        <v>https://baxtel.com/data-center/cogent-atlanta-55-marietta</v>
      </c>
      <c r="AJ136" s="1" t="str">
        <f>IFERROR(__xludf.DUMMYFUNCTION("""COMPUTED_VALUE"""),"")</f>
        <v/>
      </c>
      <c r="AK136" s="1" t="str">
        <f>IFERROR(__xludf.DUMMYFUNCTION("""COMPUTED_VALUE"""),"")</f>
        <v/>
      </c>
      <c r="AL136" s="1" t="str">
        <f>IFERROR(__xludf.DUMMYFUNCTION("""COMPUTED_VALUE"""),"")</f>
        <v/>
      </c>
      <c r="AM136" s="1" t="str">
        <f>IFERROR(__xludf.DUMMYFUNCTION("""COMPUTED_VALUE"""),"")</f>
        <v/>
      </c>
      <c r="AN136" s="1" t="str">
        <f>IFERROR(__xludf.DUMMYFUNCTION("""COMPUTED_VALUE"""),"")</f>
        <v/>
      </c>
      <c r="AO136" s="1" t="str">
        <f>IFERROR(__xludf.DUMMYFUNCTION("""COMPUTED_VALUE"""),"")</f>
        <v/>
      </c>
      <c r="AP136" s="1" t="str">
        <f>IFERROR(__xludf.DUMMYFUNCTION("""COMPUTED_VALUE"""),"")</f>
        <v/>
      </c>
      <c r="AQ136" s="1" t="str">
        <f>IFERROR(__xludf.DUMMYFUNCTION("""COMPUTED_VALUE"""),"10/16/2025")</f>
        <v>10/16/2025</v>
      </c>
      <c r="AR136" s="1" t="str">
        <f>IFERROR(__xludf.DUMMYFUNCTION("""COMPUTED_VALUE"""),"04/24/2026")</f>
        <v>04/24/2026</v>
      </c>
    </row>
    <row r="137">
      <c r="A137" s="1" t="str">
        <f>IFERROR(__xludf.DUMMYFUNCTION("""COMPUTED_VALUE"""),"Cogent Data Center Atlanta 2")</f>
        <v>Cogent Data Center Atlanta 2</v>
      </c>
      <c r="B137" s="1" t="str">
        <f>IFERROR(__xludf.DUMMYFUNCTION("""COMPUTED_VALUE"""),"1190 Allene Ave SW")</f>
        <v>1190 Allene Ave SW</v>
      </c>
      <c r="C137" s="1" t="str">
        <f>IFERROR(__xludf.DUMMYFUNCTION("""COMPUTED_VALUE"""),"Atlanta")</f>
        <v>Atlanta</v>
      </c>
      <c r="D137" s="1" t="str">
        <f>IFERROR(__xludf.DUMMYFUNCTION("""COMPUTED_VALUE"""),"GA")</f>
        <v>GA</v>
      </c>
      <c r="E137" s="1" t="str">
        <f>IFERROR(__xludf.DUMMYFUNCTION("""COMPUTED_VALUE"""),"30310")</f>
        <v>30310</v>
      </c>
      <c r="F137" s="1" t="str">
        <f>IFERROR(__xludf.DUMMYFUNCTION("""COMPUTED_VALUE"""),"Fulton")</f>
        <v>Fulton</v>
      </c>
      <c r="G137" s="1" t="str">
        <f>IFERROR(__xludf.DUMMYFUNCTION("""COMPUTED_VALUE"""),"33.722496")</f>
        <v>33.722496</v>
      </c>
      <c r="H137" s="1" t="str">
        <f>IFERROR(__xludf.DUMMYFUNCTION("""COMPUTED_VALUE"""),"-84.412796")</f>
        <v>-84.412796</v>
      </c>
      <c r="I137" s="1" t="str">
        <f>IFERROR(__xludf.DUMMYFUNCTION("""COMPUTED_VALUE"""),"Operating")</f>
        <v>Operating</v>
      </c>
      <c r="J137" s="1" t="str">
        <f>IFERROR(__xludf.DUMMYFUNCTION("""COMPUTED_VALUE"""),"High")</f>
        <v>High</v>
      </c>
      <c r="K137" s="1" t="str">
        <f>IFERROR(__xludf.DUMMYFUNCTION("""COMPUTED_VALUE"""),"")</f>
        <v/>
      </c>
      <c r="L137" s="1" t="str">
        <f>IFERROR(__xludf.DUMMYFUNCTION("""COMPUTED_VALUE"""),"Cogent Communications")</f>
        <v>Cogent Communications</v>
      </c>
      <c r="M137" s="1" t="str">
        <f>IFERROR(__xludf.DUMMYFUNCTION("""COMPUTED_VALUE"""),"")</f>
        <v/>
      </c>
      <c r="N137" s="1" t="str">
        <f>IFERROR(__xludf.DUMMYFUNCTION("""COMPUTED_VALUE"""),"")</f>
        <v/>
      </c>
      <c r="O137" s="1" t="str">
        <f>IFERROR(__xludf.DUMMYFUNCTION("""COMPUTED_VALUE"""),"Unknown")</f>
        <v>Unknown</v>
      </c>
      <c r="P137" s="1" t="str">
        <f>IFERROR(__xludf.DUMMYFUNCTION("""COMPUTED_VALUE"""),"")</f>
        <v/>
      </c>
      <c r="Q137" s="1" t="str">
        <f>IFERROR(__xludf.DUMMYFUNCTION("""COMPUTED_VALUE"""),"")</f>
        <v/>
      </c>
      <c r="R137" s="1" t="str">
        <f>IFERROR(__xludf.DUMMYFUNCTION("""COMPUTED_VALUE"""),"")</f>
        <v/>
      </c>
      <c r="S137" s="1" t="str">
        <f>IFERROR(__xludf.DUMMYFUNCTION("""COMPUTED_VALUE"""),"")</f>
        <v/>
      </c>
      <c r="T137" s="1" t="str">
        <f>IFERROR(__xludf.DUMMYFUNCTION("""COMPUTED_VALUE"""),"")</f>
        <v/>
      </c>
      <c r="U137" s="1" t="str">
        <f>IFERROR(__xludf.DUMMYFUNCTION("""COMPUTED_VALUE"""),"")</f>
        <v/>
      </c>
      <c r="V137" s="1" t="str">
        <f>IFERROR(__xludf.DUMMYFUNCTION("""COMPUTED_VALUE"""),"36,172")</f>
        <v>36,172</v>
      </c>
      <c r="W137" s="1" t="str">
        <f>IFERROR(__xludf.DUMMYFUNCTION("""COMPUTED_VALUE"""),"")</f>
        <v/>
      </c>
      <c r="X137" s="1" t="str">
        <f>IFERROR(__xludf.DUMMYFUNCTION("""COMPUTED_VALUE"""),"")</f>
        <v/>
      </c>
      <c r="Y137" s="1" t="str">
        <f>IFERROR(__xludf.DUMMYFUNCTION("""COMPUTED_VALUE"""),"")</f>
        <v/>
      </c>
      <c r="Z137" s="1" t="str">
        <f>IFERROR(__xludf.DUMMYFUNCTION("""COMPUTED_VALUE"""),"Unknown")</f>
        <v>Unknown</v>
      </c>
      <c r="AA137" s="1" t="str">
        <f>IFERROR(__xludf.DUMMYFUNCTION("""COMPUTED_VALUE"""),"")</f>
        <v/>
      </c>
      <c r="AB137" s="1" t="str">
        <f>IFERROR(__xludf.DUMMYFUNCTION("""COMPUTED_VALUE"""),"")</f>
        <v/>
      </c>
      <c r="AC137" s="1" t="str">
        <f>IFERROR(__xludf.DUMMYFUNCTION("""COMPUTED_VALUE"""),"")</f>
        <v/>
      </c>
      <c r="AD137" s="1" t="str">
        <f>IFERROR(__xludf.DUMMYFUNCTION("""COMPUTED_VALUE"""),"")</f>
        <v/>
      </c>
      <c r="AE137" s="1" t="str">
        <f>IFERROR(__xludf.DUMMYFUNCTION("""COMPUTED_VALUE"""),"")</f>
        <v/>
      </c>
      <c r="AF137" s="1" t="str">
        <f>IFERROR(__xludf.DUMMYFUNCTION("""COMPUTED_VALUE"""),"")</f>
        <v/>
      </c>
      <c r="AG137" s="1" t="str">
        <f>IFERROR(__xludf.DUMMYFUNCTION("""COMPUTED_VALUE"""),"")</f>
        <v/>
      </c>
      <c r="AH137" s="1" t="str">
        <f>IFERROR(__xludf.DUMMYFUNCTION("""COMPUTED_VALUE"""),"Sci4GA")</f>
        <v>Sci4GA</v>
      </c>
      <c r="AI137" s="1" t="str">
        <f>IFERROR(__xludf.DUMMYFUNCTION("""COMPUTED_VALUE"""),"")</f>
        <v/>
      </c>
      <c r="AJ137" s="1" t="str">
        <f>IFERROR(__xludf.DUMMYFUNCTION("""COMPUTED_VALUE"""),"")</f>
        <v/>
      </c>
      <c r="AK137" s="1" t="str">
        <f>IFERROR(__xludf.DUMMYFUNCTION("""COMPUTED_VALUE"""),"")</f>
        <v/>
      </c>
      <c r="AL137" s="1" t="str">
        <f>IFERROR(__xludf.DUMMYFUNCTION("""COMPUTED_VALUE"""),"")</f>
        <v/>
      </c>
      <c r="AM137" s="1" t="str">
        <f>IFERROR(__xludf.DUMMYFUNCTION("""COMPUTED_VALUE"""),"")</f>
        <v/>
      </c>
      <c r="AN137" s="1" t="str">
        <f>IFERROR(__xludf.DUMMYFUNCTION("""COMPUTED_VALUE"""),"")</f>
        <v/>
      </c>
      <c r="AO137" s="1" t="str">
        <f>IFERROR(__xludf.DUMMYFUNCTION("""COMPUTED_VALUE"""),"")</f>
        <v/>
      </c>
      <c r="AP137" s="1" t="str">
        <f>IFERROR(__xludf.DUMMYFUNCTION("""COMPUTED_VALUE"""),"")</f>
        <v/>
      </c>
      <c r="AQ137" s="1" t="str">
        <f>IFERROR(__xludf.DUMMYFUNCTION("""COMPUTED_VALUE"""),"10/16/2025")</f>
        <v>10/16/2025</v>
      </c>
      <c r="AR137" s="1" t="str">
        <f>IFERROR(__xludf.DUMMYFUNCTION("""COMPUTED_VALUE"""),"10/16/2025")</f>
        <v>10/16/2025</v>
      </c>
    </row>
    <row r="138">
      <c r="A138" s="1" t="str">
        <f>IFERROR(__xludf.DUMMYFUNCTION("""COMPUTED_VALUE"""),"Colo@ Atlanta Data Center #3")</f>
        <v>Colo@ Atlanta Data Center #3</v>
      </c>
      <c r="B138" s="1" t="str">
        <f>IFERROR(__xludf.DUMMYFUNCTION("""COMPUTED_VALUE"""),"470 East Paces Ferry Rd")</f>
        <v>470 East Paces Ferry Rd</v>
      </c>
      <c r="C138" s="1" t="str">
        <f>IFERROR(__xludf.DUMMYFUNCTION("""COMPUTED_VALUE"""),"Atlanta")</f>
        <v>Atlanta</v>
      </c>
      <c r="D138" s="1" t="str">
        <f>IFERROR(__xludf.DUMMYFUNCTION("""COMPUTED_VALUE"""),"GA")</f>
        <v>GA</v>
      </c>
      <c r="E138" s="1" t="str">
        <f>IFERROR(__xludf.DUMMYFUNCTION("""COMPUTED_VALUE"""),"30327")</f>
        <v>30327</v>
      </c>
      <c r="F138" s="1" t="str">
        <f>IFERROR(__xludf.DUMMYFUNCTION("""COMPUTED_VALUE"""),"Fulton")</f>
        <v>Fulton</v>
      </c>
      <c r="G138" s="1" t="str">
        <f>IFERROR(__xludf.DUMMYFUNCTION("""COMPUTED_VALUE"""),"33.83952")</f>
        <v>33.83952</v>
      </c>
      <c r="H138" s="1" t="str">
        <f>IFERROR(__xludf.DUMMYFUNCTION("""COMPUTED_VALUE"""),"-84.37284")</f>
        <v>-84.37284</v>
      </c>
      <c r="I138" s="1" t="str">
        <f>IFERROR(__xludf.DUMMYFUNCTION("""COMPUTED_VALUE"""),"Operating")</f>
        <v>Operating</v>
      </c>
      <c r="J138" s="1" t="str">
        <f>IFERROR(__xludf.DUMMYFUNCTION("""COMPUTED_VALUE"""),"High")</f>
        <v>High</v>
      </c>
      <c r="K138" s="1" t="str">
        <f>IFERROR(__xludf.DUMMYFUNCTION("""COMPUTED_VALUE"""),"")</f>
        <v/>
      </c>
      <c r="L138" s="1" t="str">
        <f>IFERROR(__xludf.DUMMYFUNCTION("""COMPUTED_VALUE"""),"Facility Gateway Corporation")</f>
        <v>Facility Gateway Corporation</v>
      </c>
      <c r="M138" s="1" t="str">
        <f>IFERROR(__xludf.DUMMYFUNCTION("""COMPUTED_VALUE"""),"")</f>
        <v/>
      </c>
      <c r="N138" s="1" t="str">
        <f>IFERROR(__xludf.DUMMYFUNCTION("""COMPUTED_VALUE"""),"3")</f>
        <v>3</v>
      </c>
      <c r="O138" s="1" t="str">
        <f>IFERROR(__xludf.DUMMYFUNCTION("""COMPUTED_VALUE"""),"Small (0-10 MW)")</f>
        <v>Small (0-10 MW)</v>
      </c>
      <c r="P138" s="1" t="str">
        <f>IFERROR(__xludf.DUMMYFUNCTION("""COMPUTED_VALUE"""),"")</f>
        <v/>
      </c>
      <c r="Q138" s="1" t="str">
        <f>IFERROR(__xludf.DUMMYFUNCTION("""COMPUTED_VALUE"""),"")</f>
        <v/>
      </c>
      <c r="R138" s="1" t="str">
        <f>IFERROR(__xludf.DUMMYFUNCTION("""COMPUTED_VALUE"""),"")</f>
        <v/>
      </c>
      <c r="S138" s="1" t="str">
        <f>IFERROR(__xludf.DUMMYFUNCTION("""COMPUTED_VALUE"""),"")</f>
        <v/>
      </c>
      <c r="T138" s="1" t="str">
        <f>IFERROR(__xludf.DUMMYFUNCTION("""COMPUTED_VALUE"""),"")</f>
        <v/>
      </c>
      <c r="U138" s="1" t="str">
        <f>IFERROR(__xludf.DUMMYFUNCTION("""COMPUTED_VALUE"""),"")</f>
        <v/>
      </c>
      <c r="V138" s="1" t="str">
        <f>IFERROR(__xludf.DUMMYFUNCTION("""COMPUTED_VALUE"""),"17,000")</f>
        <v>17,000</v>
      </c>
      <c r="W138" s="1" t="str">
        <f>IFERROR(__xludf.DUMMYFUNCTION("""COMPUTED_VALUE"""),"")</f>
        <v/>
      </c>
      <c r="X138" s="1" t="str">
        <f>IFERROR(__xludf.DUMMYFUNCTION("""COMPUTED_VALUE"""),"")</f>
        <v/>
      </c>
      <c r="Y138" s="1" t="str">
        <f>IFERROR(__xludf.DUMMYFUNCTION("""COMPUTED_VALUE"""),"")</f>
        <v/>
      </c>
      <c r="Z138" s="1" t="str">
        <f>IFERROR(__xludf.DUMMYFUNCTION("""COMPUTED_VALUE"""),"Unknown")</f>
        <v>Unknown</v>
      </c>
      <c r="AA138" s="1" t="str">
        <f>IFERROR(__xludf.DUMMYFUNCTION("""COMPUTED_VALUE"""),"")</f>
        <v/>
      </c>
      <c r="AB138" s="1" t="str">
        <f>IFERROR(__xludf.DUMMYFUNCTION("""COMPUTED_VALUE"""),"")</f>
        <v/>
      </c>
      <c r="AC138" s="1" t="str">
        <f>IFERROR(__xludf.DUMMYFUNCTION("""COMPUTED_VALUE"""),"")</f>
        <v/>
      </c>
      <c r="AD138" s="1" t="str">
        <f>IFERROR(__xludf.DUMMYFUNCTION("""COMPUTED_VALUE"""),"")</f>
        <v/>
      </c>
      <c r="AE138" s="1" t="str">
        <f>IFERROR(__xludf.DUMMYFUNCTION("""COMPUTED_VALUE"""),"")</f>
        <v/>
      </c>
      <c r="AF138" s="1" t="str">
        <f>IFERROR(__xludf.DUMMYFUNCTION("""COMPUTED_VALUE"""),"")</f>
        <v/>
      </c>
      <c r="AG138" s="1" t="str">
        <f>IFERROR(__xludf.DUMMYFUNCTION("""COMPUTED_VALUE"""),"")</f>
        <v/>
      </c>
      <c r="AH138" s="1" t="str">
        <f>IFERROR(__xludf.DUMMYFUNCTION("""COMPUTED_VALUE"""),"Sci4GA")</f>
        <v>Sci4GA</v>
      </c>
      <c r="AI138" s="1" t="str">
        <f>IFERROR(__xludf.DUMMYFUNCTION("""COMPUTED_VALUE"""),"")</f>
        <v/>
      </c>
      <c r="AJ138" s="1" t="str">
        <f>IFERROR(__xludf.DUMMYFUNCTION("""COMPUTED_VALUE"""),"")</f>
        <v/>
      </c>
      <c r="AK138" s="1" t="str">
        <f>IFERROR(__xludf.DUMMYFUNCTION("""COMPUTED_VALUE"""),"")</f>
        <v/>
      </c>
      <c r="AL138" s="1" t="str">
        <f>IFERROR(__xludf.DUMMYFUNCTION("""COMPUTED_VALUE"""),"")</f>
        <v/>
      </c>
      <c r="AM138" s="1" t="str">
        <f>IFERROR(__xludf.DUMMYFUNCTION("""COMPUTED_VALUE"""),"")</f>
        <v/>
      </c>
      <c r="AN138" s="1" t="str">
        <f>IFERROR(__xludf.DUMMYFUNCTION("""COMPUTED_VALUE"""),"")</f>
        <v/>
      </c>
      <c r="AO138" s="1" t="str">
        <f>IFERROR(__xludf.DUMMYFUNCTION("""COMPUTED_VALUE"""),"")</f>
        <v/>
      </c>
      <c r="AP138" s="1" t="str">
        <f>IFERROR(__xludf.DUMMYFUNCTION("""COMPUTED_VALUE"""),"")</f>
        <v/>
      </c>
      <c r="AQ138" s="1" t="str">
        <f>IFERROR(__xludf.DUMMYFUNCTION("""COMPUTED_VALUE"""),"10/16/2025")</f>
        <v>10/16/2025</v>
      </c>
      <c r="AR138" s="1" t="str">
        <f>IFERROR(__xludf.DUMMYFUNCTION("""COMPUTED_VALUE"""),"10/16/2025")</f>
        <v>10/16/2025</v>
      </c>
    </row>
    <row r="139">
      <c r="A139" s="1" t="str">
        <f>IFERROR(__xludf.DUMMYFUNCTION("""COMPUTED_VALUE"""),"Coloblox SMY1 Data Center")</f>
        <v>Coloblox SMY1 Data Center</v>
      </c>
      <c r="B139" s="1" t="str">
        <f>IFERROR(__xludf.DUMMYFUNCTION("""COMPUTED_VALUE"""),"1100 Circle 75 Pkwy")</f>
        <v>1100 Circle 75 Pkwy</v>
      </c>
      <c r="C139" s="1" t="str">
        <f>IFERROR(__xludf.DUMMYFUNCTION("""COMPUTED_VALUE"""),"Atlanta")</f>
        <v>Atlanta</v>
      </c>
      <c r="D139" s="1" t="str">
        <f>IFERROR(__xludf.DUMMYFUNCTION("""COMPUTED_VALUE"""),"GA")</f>
        <v>GA</v>
      </c>
      <c r="E139" s="1" t="str">
        <f>IFERROR(__xludf.DUMMYFUNCTION("""COMPUTED_VALUE"""),"30339")</f>
        <v>30339</v>
      </c>
      <c r="F139" s="1" t="str">
        <f>IFERROR(__xludf.DUMMYFUNCTION("""COMPUTED_VALUE"""),"Cobb")</f>
        <v>Cobb</v>
      </c>
      <c r="G139" s="1" t="str">
        <f>IFERROR(__xludf.DUMMYFUNCTION("""COMPUTED_VALUE"""),"33.88972")</f>
        <v>33.88972</v>
      </c>
      <c r="H139" s="1" t="str">
        <f>IFERROR(__xludf.DUMMYFUNCTION("""COMPUTED_VALUE"""),"-84.465515")</f>
        <v>-84.465515</v>
      </c>
      <c r="I139" s="1" t="str">
        <f>IFERROR(__xludf.DUMMYFUNCTION("""COMPUTED_VALUE"""),"Operating")</f>
        <v>Operating</v>
      </c>
      <c r="J139" s="1" t="str">
        <f>IFERROR(__xludf.DUMMYFUNCTION("""COMPUTED_VALUE"""),"High")</f>
        <v>High</v>
      </c>
      <c r="K139" s="1" t="str">
        <f>IFERROR(__xludf.DUMMYFUNCTION("""COMPUTED_VALUE"""),"")</f>
        <v/>
      </c>
      <c r="L139" s="1" t="str">
        <f>IFERROR(__xludf.DUMMYFUNCTION("""COMPUTED_VALUE"""),"Coloblox")</f>
        <v>Coloblox</v>
      </c>
      <c r="M139" s="1" t="str">
        <f>IFERROR(__xludf.DUMMYFUNCTION("""COMPUTED_VALUE"""),"")</f>
        <v/>
      </c>
      <c r="N139" s="1" t="str">
        <f>IFERROR(__xludf.DUMMYFUNCTION("""COMPUTED_VALUE"""),"")</f>
        <v/>
      </c>
      <c r="O139" s="1" t="str">
        <f>IFERROR(__xludf.DUMMYFUNCTION("""COMPUTED_VALUE"""),"Unknown")</f>
        <v>Unknown</v>
      </c>
      <c r="P139" s="1" t="str">
        <f>IFERROR(__xludf.DUMMYFUNCTION("""COMPUTED_VALUE"""),"")</f>
        <v/>
      </c>
      <c r="Q139" s="1" t="str">
        <f>IFERROR(__xludf.DUMMYFUNCTION("""COMPUTED_VALUE"""),"")</f>
        <v/>
      </c>
      <c r="R139" s="1" t="str">
        <f>IFERROR(__xludf.DUMMYFUNCTION("""COMPUTED_VALUE"""),"")</f>
        <v/>
      </c>
      <c r="S139" s="1" t="str">
        <f>IFERROR(__xludf.DUMMYFUNCTION("""COMPUTED_VALUE"""),"")</f>
        <v/>
      </c>
      <c r="T139" s="1" t="str">
        <f>IFERROR(__xludf.DUMMYFUNCTION("""COMPUTED_VALUE"""),"")</f>
        <v/>
      </c>
      <c r="U139" s="1" t="str">
        <f>IFERROR(__xludf.DUMMYFUNCTION("""COMPUTED_VALUE"""),"")</f>
        <v/>
      </c>
      <c r="V139" s="1" t="str">
        <f>IFERROR(__xludf.DUMMYFUNCTION("""COMPUTED_VALUE"""),"")</f>
        <v/>
      </c>
      <c r="W139" s="1" t="str">
        <f>IFERROR(__xludf.DUMMYFUNCTION("""COMPUTED_VALUE"""),"")</f>
        <v/>
      </c>
      <c r="X139" s="1" t="str">
        <f>IFERROR(__xludf.DUMMYFUNCTION("""COMPUTED_VALUE"""),"")</f>
        <v/>
      </c>
      <c r="Y139" s="1" t="str">
        <f>IFERROR(__xludf.DUMMYFUNCTION("""COMPUTED_VALUE"""),"")</f>
        <v/>
      </c>
      <c r="Z139" s="1" t="str">
        <f>IFERROR(__xludf.DUMMYFUNCTION("""COMPUTED_VALUE"""),"Unknown")</f>
        <v>Unknown</v>
      </c>
      <c r="AA139" s="1" t="str">
        <f>IFERROR(__xludf.DUMMYFUNCTION("""COMPUTED_VALUE"""),"")</f>
        <v/>
      </c>
      <c r="AB139" s="1" t="str">
        <f>IFERROR(__xludf.DUMMYFUNCTION("""COMPUTED_VALUE"""),"")</f>
        <v/>
      </c>
      <c r="AC139" s="1" t="str">
        <f>IFERROR(__xludf.DUMMYFUNCTION("""COMPUTED_VALUE"""),"")</f>
        <v/>
      </c>
      <c r="AD139" s="1" t="str">
        <f>IFERROR(__xludf.DUMMYFUNCTION("""COMPUTED_VALUE"""),"")</f>
        <v/>
      </c>
      <c r="AE139" s="1" t="str">
        <f>IFERROR(__xludf.DUMMYFUNCTION("""COMPUTED_VALUE"""),"")</f>
        <v/>
      </c>
      <c r="AF139" s="1" t="str">
        <f>IFERROR(__xludf.DUMMYFUNCTION("""COMPUTED_VALUE"""),"")</f>
        <v/>
      </c>
      <c r="AG139" s="1" t="str">
        <f>IFERROR(__xludf.DUMMYFUNCTION("""COMPUTED_VALUE"""),"")</f>
        <v/>
      </c>
      <c r="AH139" s="1" t="str">
        <f>IFERROR(__xludf.DUMMYFUNCTION("""COMPUTED_VALUE"""),"Sci4GA")</f>
        <v>Sci4GA</v>
      </c>
      <c r="AI139" s="2" t="str">
        <f>IFERROR(__xludf.DUMMYFUNCTION("""COMPUTED_VALUE"""),"https://baxtel.com/data-center/coloblox")</f>
        <v>https://baxtel.com/data-center/coloblox</v>
      </c>
      <c r="AJ139" s="1" t="str">
        <f>IFERROR(__xludf.DUMMYFUNCTION("""COMPUTED_VALUE"""),"")</f>
        <v/>
      </c>
      <c r="AK139" s="1" t="str">
        <f>IFERROR(__xludf.DUMMYFUNCTION("""COMPUTED_VALUE"""),"")</f>
        <v/>
      </c>
      <c r="AL139" s="1" t="str">
        <f>IFERROR(__xludf.DUMMYFUNCTION("""COMPUTED_VALUE"""),"")</f>
        <v/>
      </c>
      <c r="AM139" s="1" t="str">
        <f>IFERROR(__xludf.DUMMYFUNCTION("""COMPUTED_VALUE"""),"")</f>
        <v/>
      </c>
      <c r="AN139" s="1" t="str">
        <f>IFERROR(__xludf.DUMMYFUNCTION("""COMPUTED_VALUE"""),"")</f>
        <v/>
      </c>
      <c r="AO139" s="1" t="str">
        <f>IFERROR(__xludf.DUMMYFUNCTION("""COMPUTED_VALUE"""),"")</f>
        <v/>
      </c>
      <c r="AP139" s="1" t="str">
        <f>IFERROR(__xludf.DUMMYFUNCTION("""COMPUTED_VALUE"""),"")</f>
        <v/>
      </c>
      <c r="AQ139" s="1" t="str">
        <f>IFERROR(__xludf.DUMMYFUNCTION("""COMPUTED_VALUE"""),"10/16/2025")</f>
        <v>10/16/2025</v>
      </c>
      <c r="AR139" s="1" t="str">
        <f>IFERROR(__xludf.DUMMYFUNCTION("""COMPUTED_VALUE"""),"10/16/2025")</f>
        <v>10/16/2025</v>
      </c>
    </row>
    <row r="140">
      <c r="A140" s="1" t="str">
        <f>IFERROR(__xludf.DUMMYFUNCTION("""COMPUTED_VALUE"""),"ColoCrossing GA1")</f>
        <v>ColoCrossing GA1</v>
      </c>
      <c r="B140" s="1" t="str">
        <f>IFERROR(__xludf.DUMMYFUNCTION("""COMPUTED_VALUE"""),"34 Peachtree St")</f>
        <v>34 Peachtree St</v>
      </c>
      <c r="C140" s="1" t="str">
        <f>IFERROR(__xludf.DUMMYFUNCTION("""COMPUTED_VALUE"""),"Atlanta")</f>
        <v>Atlanta</v>
      </c>
      <c r="D140" s="1" t="str">
        <f>IFERROR(__xludf.DUMMYFUNCTION("""COMPUTED_VALUE"""),"GA")</f>
        <v>GA</v>
      </c>
      <c r="E140" s="1" t="str">
        <f>IFERROR(__xludf.DUMMYFUNCTION("""COMPUTED_VALUE"""),"30303")</f>
        <v>30303</v>
      </c>
      <c r="F140" s="1" t="str">
        <f>IFERROR(__xludf.DUMMYFUNCTION("""COMPUTED_VALUE"""),"Fulton")</f>
        <v>Fulton</v>
      </c>
      <c r="G140" s="1" t="str">
        <f>IFERROR(__xludf.DUMMYFUNCTION("""COMPUTED_VALUE"""),"33.755016")</f>
        <v>33.755016</v>
      </c>
      <c r="H140" s="1" t="str">
        <f>IFERROR(__xludf.DUMMYFUNCTION("""COMPUTED_VALUE"""),"-84.389626")</f>
        <v>-84.389626</v>
      </c>
      <c r="I140" s="1" t="str">
        <f>IFERROR(__xludf.DUMMYFUNCTION("""COMPUTED_VALUE"""),"Operating")</f>
        <v>Operating</v>
      </c>
      <c r="J140" s="1" t="str">
        <f>IFERROR(__xludf.DUMMYFUNCTION("""COMPUTED_VALUE"""),"High")</f>
        <v>High</v>
      </c>
      <c r="K140" s="1" t="str">
        <f>IFERROR(__xludf.DUMMYFUNCTION("""COMPUTED_VALUE"""),"")</f>
        <v/>
      </c>
      <c r="L140" s="1" t="str">
        <f>IFERROR(__xludf.DUMMYFUNCTION("""COMPUTED_VALUE"""),"ColoCrossing")</f>
        <v>ColoCrossing</v>
      </c>
      <c r="M140" s="1" t="str">
        <f>IFERROR(__xludf.DUMMYFUNCTION("""COMPUTED_VALUE"""),"")</f>
        <v/>
      </c>
      <c r="N140" s="1" t="str">
        <f>IFERROR(__xludf.DUMMYFUNCTION("""COMPUTED_VALUE"""),"2")</f>
        <v>2</v>
      </c>
      <c r="O140" s="1" t="str">
        <f>IFERROR(__xludf.DUMMYFUNCTION("""COMPUTED_VALUE"""),"Small (0-10 MW)")</f>
        <v>Small (0-10 MW)</v>
      </c>
      <c r="P140" s="1" t="str">
        <f>IFERROR(__xludf.DUMMYFUNCTION("""COMPUTED_VALUE"""),"")</f>
        <v/>
      </c>
      <c r="Q140" s="1" t="str">
        <f>IFERROR(__xludf.DUMMYFUNCTION("""COMPUTED_VALUE"""),"")</f>
        <v/>
      </c>
      <c r="R140" s="1" t="str">
        <f>IFERROR(__xludf.DUMMYFUNCTION("""COMPUTED_VALUE"""),"")</f>
        <v/>
      </c>
      <c r="S140" s="1" t="str">
        <f>IFERROR(__xludf.DUMMYFUNCTION("""COMPUTED_VALUE"""),"")</f>
        <v/>
      </c>
      <c r="T140" s="1" t="str">
        <f>IFERROR(__xludf.DUMMYFUNCTION("""COMPUTED_VALUE"""),"")</f>
        <v/>
      </c>
      <c r="U140" s="1" t="str">
        <f>IFERROR(__xludf.DUMMYFUNCTION("""COMPUTED_VALUE"""),"")</f>
        <v/>
      </c>
      <c r="V140" s="1" t="str">
        <f>IFERROR(__xludf.DUMMYFUNCTION("""COMPUTED_VALUE"""),"10,000")</f>
        <v>10,000</v>
      </c>
      <c r="W140" s="1" t="str">
        <f>IFERROR(__xludf.DUMMYFUNCTION("""COMPUTED_VALUE"""),"")</f>
        <v/>
      </c>
      <c r="X140" s="1" t="str">
        <f>IFERROR(__xludf.DUMMYFUNCTION("""COMPUTED_VALUE"""),"")</f>
        <v/>
      </c>
      <c r="Y140" s="1" t="str">
        <f>IFERROR(__xludf.DUMMYFUNCTION("""COMPUTED_VALUE"""),"")</f>
        <v/>
      </c>
      <c r="Z140" s="1" t="str">
        <f>IFERROR(__xludf.DUMMYFUNCTION("""COMPUTED_VALUE"""),"Unknown")</f>
        <v>Unknown</v>
      </c>
      <c r="AA140" s="1" t="str">
        <f>IFERROR(__xludf.DUMMYFUNCTION("""COMPUTED_VALUE"""),"")</f>
        <v/>
      </c>
      <c r="AB140" s="1" t="str">
        <f>IFERROR(__xludf.DUMMYFUNCTION("""COMPUTED_VALUE"""),"")</f>
        <v/>
      </c>
      <c r="AC140" s="1" t="str">
        <f>IFERROR(__xludf.DUMMYFUNCTION("""COMPUTED_VALUE"""),"")</f>
        <v/>
      </c>
      <c r="AD140" s="1" t="str">
        <f>IFERROR(__xludf.DUMMYFUNCTION("""COMPUTED_VALUE"""),"")</f>
        <v/>
      </c>
      <c r="AE140" s="1" t="str">
        <f>IFERROR(__xludf.DUMMYFUNCTION("""COMPUTED_VALUE"""),"")</f>
        <v/>
      </c>
      <c r="AF140" s="1" t="str">
        <f>IFERROR(__xludf.DUMMYFUNCTION("""COMPUTED_VALUE"""),"")</f>
        <v/>
      </c>
      <c r="AG140" s="1" t="str">
        <f>IFERROR(__xludf.DUMMYFUNCTION("""COMPUTED_VALUE"""),"")</f>
        <v/>
      </c>
      <c r="AH140" s="1" t="str">
        <f>IFERROR(__xludf.DUMMYFUNCTION("""COMPUTED_VALUE"""),"Sci4GA")</f>
        <v>Sci4GA</v>
      </c>
      <c r="AI140" s="2" t="str">
        <f>IFERROR(__xludf.DUMMYFUNCTION("""COMPUTED_VALUE"""),"https://www.colocrossing.com/wp-content/uploads/2017/01/CC-one-pagers-11.pdf")</f>
        <v>https://www.colocrossing.com/wp-content/uploads/2017/01/CC-one-pagers-11.pdf</v>
      </c>
      <c r="AJ140" s="1" t="str">
        <f>IFERROR(__xludf.DUMMYFUNCTION("""COMPUTED_VALUE"""),"")</f>
        <v/>
      </c>
      <c r="AK140" s="1" t="str">
        <f>IFERROR(__xludf.DUMMYFUNCTION("""COMPUTED_VALUE"""),"")</f>
        <v/>
      </c>
      <c r="AL140" s="1" t="str">
        <f>IFERROR(__xludf.DUMMYFUNCTION("""COMPUTED_VALUE"""),"")</f>
        <v/>
      </c>
      <c r="AM140" s="1" t="str">
        <f>IFERROR(__xludf.DUMMYFUNCTION("""COMPUTED_VALUE"""),"")</f>
        <v/>
      </c>
      <c r="AN140" s="1" t="str">
        <f>IFERROR(__xludf.DUMMYFUNCTION("""COMPUTED_VALUE"""),"")</f>
        <v/>
      </c>
      <c r="AO140" s="1" t="str">
        <f>IFERROR(__xludf.DUMMYFUNCTION("""COMPUTED_VALUE"""),"")</f>
        <v/>
      </c>
      <c r="AP140" s="1" t="str">
        <f>IFERROR(__xludf.DUMMYFUNCTION("""COMPUTED_VALUE"""),"")</f>
        <v/>
      </c>
      <c r="AQ140" s="1" t="str">
        <f>IFERROR(__xludf.DUMMYFUNCTION("""COMPUTED_VALUE"""),"10/16/2025")</f>
        <v>10/16/2025</v>
      </c>
      <c r="AR140" s="1" t="str">
        <f>IFERROR(__xludf.DUMMYFUNCTION("""COMPUTED_VALUE"""),"10/16/2025")</f>
        <v>10/16/2025</v>
      </c>
    </row>
    <row r="141">
      <c r="A141" s="1" t="str">
        <f>IFERROR(__xludf.DUMMYFUNCTION("""COMPUTED_VALUE"""),"DataBank ATL1 Data Center")</f>
        <v>DataBank ATL1 Data Center</v>
      </c>
      <c r="B141" s="1" t="str">
        <f>IFERROR(__xludf.DUMMYFUNCTION("""COMPUTED_VALUE"""),"760 W Peachtree St NW")</f>
        <v>760 W Peachtree St NW</v>
      </c>
      <c r="C141" s="1" t="str">
        <f>IFERROR(__xludf.DUMMYFUNCTION("""COMPUTED_VALUE"""),"Atlanta")</f>
        <v>Atlanta</v>
      </c>
      <c r="D141" s="1" t="str">
        <f>IFERROR(__xludf.DUMMYFUNCTION("""COMPUTED_VALUE"""),"GA")</f>
        <v>GA</v>
      </c>
      <c r="E141" s="1" t="str">
        <f>IFERROR(__xludf.DUMMYFUNCTION("""COMPUTED_VALUE"""),"30308")</f>
        <v>30308</v>
      </c>
      <c r="F141" s="1" t="str">
        <f>IFERROR(__xludf.DUMMYFUNCTION("""COMPUTED_VALUE"""),"Fulton")</f>
        <v>Fulton</v>
      </c>
      <c r="G141" s="1" t="str">
        <f>IFERROR(__xludf.DUMMYFUNCTION("""COMPUTED_VALUE"""),"33.775368")</f>
        <v>33.775368</v>
      </c>
      <c r="H141" s="1" t="str">
        <f>IFERROR(__xludf.DUMMYFUNCTION("""COMPUTED_VALUE"""),"-84.387764")</f>
        <v>-84.387764</v>
      </c>
      <c r="I141" s="1" t="str">
        <f>IFERROR(__xludf.DUMMYFUNCTION("""COMPUTED_VALUE"""),"Operating")</f>
        <v>Operating</v>
      </c>
      <c r="J141" s="1" t="str">
        <f>IFERROR(__xludf.DUMMYFUNCTION("""COMPUTED_VALUE"""),"High")</f>
        <v>High</v>
      </c>
      <c r="K141" s="1" t="str">
        <f>IFERROR(__xludf.DUMMYFUNCTION("""COMPUTED_VALUE"""),"")</f>
        <v/>
      </c>
      <c r="L141" s="1" t="str">
        <f>IFERROR(__xludf.DUMMYFUNCTION("""COMPUTED_VALUE"""),"DataBank")</f>
        <v>DataBank</v>
      </c>
      <c r="M141" s="1" t="str">
        <f>IFERROR(__xludf.DUMMYFUNCTION("""COMPUTED_VALUE"""),"")</f>
        <v/>
      </c>
      <c r="N141" s="1" t="str">
        <f>IFERROR(__xludf.DUMMYFUNCTION("""COMPUTED_VALUE"""),"10")</f>
        <v>10</v>
      </c>
      <c r="O141" s="1" t="str">
        <f>IFERROR(__xludf.DUMMYFUNCTION("""COMPUTED_VALUE"""),"Small (0-10 MW)")</f>
        <v>Small (0-10 MW)</v>
      </c>
      <c r="P141" s="1" t="str">
        <f>IFERROR(__xludf.DUMMYFUNCTION("""COMPUTED_VALUE"""),"")</f>
        <v/>
      </c>
      <c r="Q141" s="1" t="str">
        <f>IFERROR(__xludf.DUMMYFUNCTION("""COMPUTED_VALUE"""),"")</f>
        <v/>
      </c>
      <c r="R141" s="1" t="str">
        <f>IFERROR(__xludf.DUMMYFUNCTION("""COMPUTED_VALUE"""),"")</f>
        <v/>
      </c>
      <c r="S141" s="1" t="str">
        <f>IFERROR(__xludf.DUMMYFUNCTION("""COMPUTED_VALUE"""),"")</f>
        <v/>
      </c>
      <c r="T141" s="1" t="str">
        <f>IFERROR(__xludf.DUMMYFUNCTION("""COMPUTED_VALUE"""),"")</f>
        <v/>
      </c>
      <c r="U141" s="1" t="str">
        <f>IFERROR(__xludf.DUMMYFUNCTION("""COMPUTED_VALUE"""),"")</f>
        <v/>
      </c>
      <c r="V141" s="1" t="str">
        <f>IFERROR(__xludf.DUMMYFUNCTION("""COMPUTED_VALUE"""),"38,260")</f>
        <v>38,260</v>
      </c>
      <c r="W141" s="1" t="str">
        <f>IFERROR(__xludf.DUMMYFUNCTION("""COMPUTED_VALUE"""),"")</f>
        <v/>
      </c>
      <c r="X141" s="1" t="str">
        <f>IFERROR(__xludf.DUMMYFUNCTION("""COMPUTED_VALUE"""),"")</f>
        <v/>
      </c>
      <c r="Y141" s="1" t="str">
        <f>IFERROR(__xludf.DUMMYFUNCTION("""COMPUTED_VALUE"""),"")</f>
        <v/>
      </c>
      <c r="Z141" s="1" t="str">
        <f>IFERROR(__xludf.DUMMYFUNCTION("""COMPUTED_VALUE"""),"Unknown")</f>
        <v>Unknown</v>
      </c>
      <c r="AA141" s="1" t="str">
        <f>IFERROR(__xludf.DUMMYFUNCTION("""COMPUTED_VALUE"""),"")</f>
        <v/>
      </c>
      <c r="AB141" s="1" t="str">
        <f>IFERROR(__xludf.DUMMYFUNCTION("""COMPUTED_VALUE"""),"")</f>
        <v/>
      </c>
      <c r="AC141" s="1" t="str">
        <f>IFERROR(__xludf.DUMMYFUNCTION("""COMPUTED_VALUE"""),"")</f>
        <v/>
      </c>
      <c r="AD141" s="1" t="str">
        <f>IFERROR(__xludf.DUMMYFUNCTION("""COMPUTED_VALUE"""),"")</f>
        <v/>
      </c>
      <c r="AE141" s="1" t="str">
        <f>IFERROR(__xludf.DUMMYFUNCTION("""COMPUTED_VALUE"""),"")</f>
        <v/>
      </c>
      <c r="AF141" s="1" t="str">
        <f>IFERROR(__xludf.DUMMYFUNCTION("""COMPUTED_VALUE"""),"")</f>
        <v/>
      </c>
      <c r="AG141" s="1" t="str">
        <f>IFERROR(__xludf.DUMMYFUNCTION("""COMPUTED_VALUE"""),"")</f>
        <v/>
      </c>
      <c r="AH141" s="1" t="str">
        <f>IFERROR(__xludf.DUMMYFUNCTION("""COMPUTED_VALUE"""),"Sci4GA")</f>
        <v>Sci4GA</v>
      </c>
      <c r="AI141" s="2" t="str">
        <f>IFERROR(__xludf.DUMMYFUNCTION("""COMPUTED_VALUE"""),"https://baxtel.com/data-center/databank-atlanta-atl1")</f>
        <v>https://baxtel.com/data-center/databank-atlanta-atl1</v>
      </c>
      <c r="AJ141" s="1" t="str">
        <f>IFERROR(__xludf.DUMMYFUNCTION("""COMPUTED_VALUE"""),"")</f>
        <v/>
      </c>
      <c r="AK141" s="1" t="str">
        <f>IFERROR(__xludf.DUMMYFUNCTION("""COMPUTED_VALUE"""),"")</f>
        <v/>
      </c>
      <c r="AL141" s="1" t="str">
        <f>IFERROR(__xludf.DUMMYFUNCTION("""COMPUTED_VALUE"""),"")</f>
        <v/>
      </c>
      <c r="AM141" s="1" t="str">
        <f>IFERROR(__xludf.DUMMYFUNCTION("""COMPUTED_VALUE"""),"")</f>
        <v/>
      </c>
      <c r="AN141" s="1" t="str">
        <f>IFERROR(__xludf.DUMMYFUNCTION("""COMPUTED_VALUE"""),"")</f>
        <v/>
      </c>
      <c r="AO141" s="1" t="str">
        <f>IFERROR(__xludf.DUMMYFUNCTION("""COMPUTED_VALUE"""),"")</f>
        <v/>
      </c>
      <c r="AP141" s="1" t="str">
        <f>IFERROR(__xludf.DUMMYFUNCTION("""COMPUTED_VALUE"""),"")</f>
        <v/>
      </c>
      <c r="AQ141" s="1" t="str">
        <f>IFERROR(__xludf.DUMMYFUNCTION("""COMPUTED_VALUE"""),"10/16/2025")</f>
        <v>10/16/2025</v>
      </c>
      <c r="AR141" s="1" t="str">
        <f>IFERROR(__xludf.DUMMYFUNCTION("""COMPUTED_VALUE"""),"10/16/2025")</f>
        <v>10/16/2025</v>
      </c>
    </row>
    <row r="142">
      <c r="A142" s="1" t="str">
        <f>IFERROR(__xludf.DUMMYFUNCTION("""COMPUTED_VALUE"""),"DataBank ATL1 Midtown Atlanta Data Center")</f>
        <v>DataBank ATL1 Midtown Atlanta Data Center</v>
      </c>
      <c r="B142" s="1" t="str">
        <f>IFERROR(__xludf.DUMMYFUNCTION("""COMPUTED_VALUE"""),"771 Spring Street")</f>
        <v>771 Spring Street</v>
      </c>
      <c r="C142" s="1" t="str">
        <f>IFERROR(__xludf.DUMMYFUNCTION("""COMPUTED_VALUE"""),"Atlanta")</f>
        <v>Atlanta</v>
      </c>
      <c r="D142" s="1" t="str">
        <f>IFERROR(__xludf.DUMMYFUNCTION("""COMPUTED_VALUE"""),"GA")</f>
        <v>GA</v>
      </c>
      <c r="E142" s="1" t="str">
        <f>IFERROR(__xludf.DUMMYFUNCTION("""COMPUTED_VALUE"""),"30308")</f>
        <v>30308</v>
      </c>
      <c r="F142" s="1" t="str">
        <f>IFERROR(__xludf.DUMMYFUNCTION("""COMPUTED_VALUE"""),"Fulton")</f>
        <v>Fulton</v>
      </c>
      <c r="G142" s="1" t="str">
        <f>IFERROR(__xludf.DUMMYFUNCTION("""COMPUTED_VALUE"""),"33.77551")</f>
        <v>33.77551</v>
      </c>
      <c r="H142" s="1" t="str">
        <f>IFERROR(__xludf.DUMMYFUNCTION("""COMPUTED_VALUE"""),"-84.38868")</f>
        <v>-84.38868</v>
      </c>
      <c r="I142" s="1" t="str">
        <f>IFERROR(__xludf.DUMMYFUNCTION("""COMPUTED_VALUE"""),"Operating")</f>
        <v>Operating</v>
      </c>
      <c r="J142" s="1" t="str">
        <f>IFERROR(__xludf.DUMMYFUNCTION("""COMPUTED_VALUE"""),"High")</f>
        <v>High</v>
      </c>
      <c r="K142" s="1" t="str">
        <f>IFERROR(__xludf.DUMMYFUNCTION("""COMPUTED_VALUE"""),"")</f>
        <v/>
      </c>
      <c r="L142" s="1" t="str">
        <f>IFERROR(__xludf.DUMMYFUNCTION("""COMPUTED_VALUE"""),"Georgia Tech Foundation")</f>
        <v>Georgia Tech Foundation</v>
      </c>
      <c r="M142" s="1" t="str">
        <f>IFERROR(__xludf.DUMMYFUNCTION("""COMPUTED_VALUE"""),"")</f>
        <v/>
      </c>
      <c r="N142" s="1" t="str">
        <f>IFERROR(__xludf.DUMMYFUNCTION("""COMPUTED_VALUE"""),"14")</f>
        <v>14</v>
      </c>
      <c r="O142" s="1" t="str">
        <f>IFERROR(__xludf.DUMMYFUNCTION("""COMPUTED_VALUE"""),"Medium (11-50 MW)")</f>
        <v>Medium (11-50 MW)</v>
      </c>
      <c r="P142" s="1" t="str">
        <f>IFERROR(__xludf.DUMMYFUNCTION("""COMPUTED_VALUE"""),"")</f>
        <v/>
      </c>
      <c r="Q142" s="1" t="str">
        <f>IFERROR(__xludf.DUMMYFUNCTION("""COMPUTED_VALUE"""),"")</f>
        <v/>
      </c>
      <c r="R142" s="1" t="str">
        <f>IFERROR(__xludf.DUMMYFUNCTION("""COMPUTED_VALUE"""),"")</f>
        <v/>
      </c>
      <c r="S142" s="1" t="str">
        <f>IFERROR(__xludf.DUMMYFUNCTION("""COMPUTED_VALUE"""),"")</f>
        <v/>
      </c>
      <c r="T142" s="1" t="str">
        <f>IFERROR(__xludf.DUMMYFUNCTION("""COMPUTED_VALUE"""),"")</f>
        <v/>
      </c>
      <c r="U142" s="1" t="str">
        <f>IFERROR(__xludf.DUMMYFUNCTION("""COMPUTED_VALUE"""),"")</f>
        <v/>
      </c>
      <c r="V142" s="1" t="str">
        <f>IFERROR(__xludf.DUMMYFUNCTION("""COMPUTED_VALUE"""),"93,000")</f>
        <v>93,000</v>
      </c>
      <c r="W142" s="1" t="str">
        <f>IFERROR(__xludf.DUMMYFUNCTION("""COMPUTED_VALUE"""),"")</f>
        <v/>
      </c>
      <c r="X142" s="1" t="str">
        <f>IFERROR(__xludf.DUMMYFUNCTION("""COMPUTED_VALUE"""),"")</f>
        <v/>
      </c>
      <c r="Y142" s="1" t="str">
        <f>IFERROR(__xludf.DUMMYFUNCTION("""COMPUTED_VALUE"""),"")</f>
        <v/>
      </c>
      <c r="Z142" s="1" t="str">
        <f>IFERROR(__xludf.DUMMYFUNCTION("""COMPUTED_VALUE"""),"Unknown")</f>
        <v>Unknown</v>
      </c>
      <c r="AA142" s="1" t="str">
        <f>IFERROR(__xludf.DUMMYFUNCTION("""COMPUTED_VALUE"""),"")</f>
        <v/>
      </c>
      <c r="AB142" s="1" t="str">
        <f>IFERROR(__xludf.DUMMYFUNCTION("""COMPUTED_VALUE"""),"")</f>
        <v/>
      </c>
      <c r="AC142" s="1" t="str">
        <f>IFERROR(__xludf.DUMMYFUNCTION("""COMPUTED_VALUE"""),"")</f>
        <v/>
      </c>
      <c r="AD142" s="1" t="str">
        <f>IFERROR(__xludf.DUMMYFUNCTION("""COMPUTED_VALUE"""),"")</f>
        <v/>
      </c>
      <c r="AE142" s="1" t="str">
        <f>IFERROR(__xludf.DUMMYFUNCTION("""COMPUTED_VALUE"""),"")</f>
        <v/>
      </c>
      <c r="AF142" s="1" t="str">
        <f>IFERROR(__xludf.DUMMYFUNCTION("""COMPUTED_VALUE"""),"")</f>
        <v/>
      </c>
      <c r="AG142" s="1" t="str">
        <f>IFERROR(__xludf.DUMMYFUNCTION("""COMPUTED_VALUE"""),"")</f>
        <v/>
      </c>
      <c r="AH142" s="1" t="str">
        <f>IFERROR(__xludf.DUMMYFUNCTION("""COMPUTED_VALUE"""),"Sci4GA")</f>
        <v>Sci4GA</v>
      </c>
      <c r="AI142" s="2" t="str">
        <f>IFERROR(__xludf.DUMMYFUNCTION("""COMPUTED_VALUE"""),"https://apps.dca.ga.gov/DRI/AppSummary.aspx?driid=2569")</f>
        <v>https://apps.dca.ga.gov/DRI/AppSummary.aspx?driid=2569</v>
      </c>
      <c r="AJ142" s="1" t="str">
        <f>IFERROR(__xludf.DUMMYFUNCTION("""COMPUTED_VALUE"""),"")</f>
        <v/>
      </c>
      <c r="AK142" s="1" t="str">
        <f>IFERROR(__xludf.DUMMYFUNCTION("""COMPUTED_VALUE"""),"")</f>
        <v/>
      </c>
      <c r="AL142" s="1" t="str">
        <f>IFERROR(__xludf.DUMMYFUNCTION("""COMPUTED_VALUE"""),"")</f>
        <v/>
      </c>
      <c r="AM142" s="1" t="str">
        <f>IFERROR(__xludf.DUMMYFUNCTION("""COMPUTED_VALUE"""),"")</f>
        <v/>
      </c>
      <c r="AN142" s="1" t="str">
        <f>IFERROR(__xludf.DUMMYFUNCTION("""COMPUTED_VALUE"""),"")</f>
        <v/>
      </c>
      <c r="AO142" s="1" t="str">
        <f>IFERROR(__xludf.DUMMYFUNCTION("""COMPUTED_VALUE"""),"")</f>
        <v/>
      </c>
      <c r="AP142" s="1" t="str">
        <f>IFERROR(__xludf.DUMMYFUNCTION("""COMPUTED_VALUE"""),"")</f>
        <v/>
      </c>
      <c r="AQ142" s="1" t="str">
        <f>IFERROR(__xludf.DUMMYFUNCTION("""COMPUTED_VALUE"""),"10/16/2025")</f>
        <v>10/16/2025</v>
      </c>
      <c r="AR142" s="1" t="str">
        <f>IFERROR(__xludf.DUMMYFUNCTION("""COMPUTED_VALUE"""),"04/24/2026")</f>
        <v>04/24/2026</v>
      </c>
    </row>
    <row r="143">
      <c r="A143" s="1" t="str">
        <f>IFERROR(__xludf.DUMMYFUNCTION("""COMPUTED_VALUE"""),"DataBank ATL2 Data Center")</f>
        <v>DataBank ATL2 Data Center</v>
      </c>
      <c r="B143" s="1" t="str">
        <f>IFERROR(__xludf.DUMMYFUNCTION("""COMPUTED_VALUE"""),"1100 White St SW")</f>
        <v>1100 White St SW</v>
      </c>
      <c r="C143" s="1" t="str">
        <f>IFERROR(__xludf.DUMMYFUNCTION("""COMPUTED_VALUE"""),"Atlanta")</f>
        <v>Atlanta</v>
      </c>
      <c r="D143" s="1" t="str">
        <f>IFERROR(__xludf.DUMMYFUNCTION("""COMPUTED_VALUE"""),"GA")</f>
        <v>GA</v>
      </c>
      <c r="E143" s="1" t="str">
        <f>IFERROR(__xludf.DUMMYFUNCTION("""COMPUTED_VALUE"""),"30310")</f>
        <v>30310</v>
      </c>
      <c r="F143" s="1" t="str">
        <f>IFERROR(__xludf.DUMMYFUNCTION("""COMPUTED_VALUE"""),"Fulton")</f>
        <v>Fulton</v>
      </c>
      <c r="G143" s="1" t="str">
        <f>IFERROR(__xludf.DUMMYFUNCTION("""COMPUTED_VALUE"""),"33.733864")</f>
        <v>33.733864</v>
      </c>
      <c r="H143" s="1" t="str">
        <f>IFERROR(__xludf.DUMMYFUNCTION("""COMPUTED_VALUE"""),"-84.425735")</f>
        <v>-84.425735</v>
      </c>
      <c r="I143" s="1" t="str">
        <f>IFERROR(__xludf.DUMMYFUNCTION("""COMPUTED_VALUE"""),"Operating")</f>
        <v>Operating</v>
      </c>
      <c r="J143" s="1" t="str">
        <f>IFERROR(__xludf.DUMMYFUNCTION("""COMPUTED_VALUE"""),"High")</f>
        <v>High</v>
      </c>
      <c r="K143" s="1" t="str">
        <f>IFERROR(__xludf.DUMMYFUNCTION("""COMPUTED_VALUE"""),"")</f>
        <v/>
      </c>
      <c r="L143" s="1" t="str">
        <f>IFERROR(__xludf.DUMMYFUNCTION("""COMPUTED_VALUE"""),"DataBank")</f>
        <v>DataBank</v>
      </c>
      <c r="M143" s="1" t="str">
        <f>IFERROR(__xludf.DUMMYFUNCTION("""COMPUTED_VALUE"""),"")</f>
        <v/>
      </c>
      <c r="N143" s="1" t="str">
        <f>IFERROR(__xludf.DUMMYFUNCTION("""COMPUTED_VALUE"""),"4")</f>
        <v>4</v>
      </c>
      <c r="O143" s="1" t="str">
        <f>IFERROR(__xludf.DUMMYFUNCTION("""COMPUTED_VALUE"""),"Small (0-10 MW)")</f>
        <v>Small (0-10 MW)</v>
      </c>
      <c r="P143" s="1" t="str">
        <f>IFERROR(__xludf.DUMMYFUNCTION("""COMPUTED_VALUE"""),"")</f>
        <v/>
      </c>
      <c r="Q143" s="1" t="str">
        <f>IFERROR(__xludf.DUMMYFUNCTION("""COMPUTED_VALUE"""),"")</f>
        <v/>
      </c>
      <c r="R143" s="1" t="str">
        <f>IFERROR(__xludf.DUMMYFUNCTION("""COMPUTED_VALUE"""),"")</f>
        <v/>
      </c>
      <c r="S143" s="1" t="str">
        <f>IFERROR(__xludf.DUMMYFUNCTION("""COMPUTED_VALUE"""),"")</f>
        <v/>
      </c>
      <c r="T143" s="1" t="str">
        <f>IFERROR(__xludf.DUMMYFUNCTION("""COMPUTED_VALUE"""),"")</f>
        <v/>
      </c>
      <c r="U143" s="1" t="str">
        <f>IFERROR(__xludf.DUMMYFUNCTION("""COMPUTED_VALUE"""),"")</f>
        <v/>
      </c>
      <c r="V143" s="1" t="str">
        <f>IFERROR(__xludf.DUMMYFUNCTION("""COMPUTED_VALUE"""),"98,300")</f>
        <v>98,300</v>
      </c>
      <c r="W143" s="1" t="str">
        <f>IFERROR(__xludf.DUMMYFUNCTION("""COMPUTED_VALUE"""),"")</f>
        <v/>
      </c>
      <c r="X143" s="1" t="str">
        <f>IFERROR(__xludf.DUMMYFUNCTION("""COMPUTED_VALUE"""),"")</f>
        <v/>
      </c>
      <c r="Y143" s="1" t="str">
        <f>IFERROR(__xludf.DUMMYFUNCTION("""COMPUTED_VALUE"""),"")</f>
        <v/>
      </c>
      <c r="Z143" s="1" t="str">
        <f>IFERROR(__xludf.DUMMYFUNCTION("""COMPUTED_VALUE"""),"Unknown")</f>
        <v>Unknown</v>
      </c>
      <c r="AA143" s="1" t="str">
        <f>IFERROR(__xludf.DUMMYFUNCTION("""COMPUTED_VALUE"""),"")</f>
        <v/>
      </c>
      <c r="AB143" s="1" t="str">
        <f>IFERROR(__xludf.DUMMYFUNCTION("""COMPUTED_VALUE"""),"")</f>
        <v/>
      </c>
      <c r="AC143" s="1" t="str">
        <f>IFERROR(__xludf.DUMMYFUNCTION("""COMPUTED_VALUE"""),"")</f>
        <v/>
      </c>
      <c r="AD143" s="1" t="str">
        <f>IFERROR(__xludf.DUMMYFUNCTION("""COMPUTED_VALUE"""),"")</f>
        <v/>
      </c>
      <c r="AE143" s="1" t="str">
        <f>IFERROR(__xludf.DUMMYFUNCTION("""COMPUTED_VALUE"""),"")</f>
        <v/>
      </c>
      <c r="AF143" s="1" t="str">
        <f>IFERROR(__xludf.DUMMYFUNCTION("""COMPUTED_VALUE"""),"")</f>
        <v/>
      </c>
      <c r="AG143" s="1" t="str">
        <f>IFERROR(__xludf.DUMMYFUNCTION("""COMPUTED_VALUE"""),"")</f>
        <v/>
      </c>
      <c r="AH143" s="1" t="str">
        <f>IFERROR(__xludf.DUMMYFUNCTION("""COMPUTED_VALUE"""),"Sci4GA")</f>
        <v>Sci4GA</v>
      </c>
      <c r="AI143" s="2" t="str">
        <f>IFERROR(__xludf.DUMMYFUNCTION("""COMPUTED_VALUE"""),"https://baxtel.com/data-center/zcolo-atlanta")</f>
        <v>https://baxtel.com/data-center/zcolo-atlanta</v>
      </c>
      <c r="AJ143" s="1" t="str">
        <f>IFERROR(__xludf.DUMMYFUNCTION("""COMPUTED_VALUE"""),"")</f>
        <v/>
      </c>
      <c r="AK143" s="1" t="str">
        <f>IFERROR(__xludf.DUMMYFUNCTION("""COMPUTED_VALUE"""),"")</f>
        <v/>
      </c>
      <c r="AL143" s="1" t="str">
        <f>IFERROR(__xludf.DUMMYFUNCTION("""COMPUTED_VALUE"""),"")</f>
        <v/>
      </c>
      <c r="AM143" s="1" t="str">
        <f>IFERROR(__xludf.DUMMYFUNCTION("""COMPUTED_VALUE"""),"")</f>
        <v/>
      </c>
      <c r="AN143" s="1" t="str">
        <f>IFERROR(__xludf.DUMMYFUNCTION("""COMPUTED_VALUE"""),"")</f>
        <v/>
      </c>
      <c r="AO143" s="1" t="str">
        <f>IFERROR(__xludf.DUMMYFUNCTION("""COMPUTED_VALUE"""),"")</f>
        <v/>
      </c>
      <c r="AP143" s="1" t="str">
        <f>IFERROR(__xludf.DUMMYFUNCTION("""COMPUTED_VALUE"""),"")</f>
        <v/>
      </c>
      <c r="AQ143" s="1" t="str">
        <f>IFERROR(__xludf.DUMMYFUNCTION("""COMPUTED_VALUE"""),"10/16/2025")</f>
        <v>10/16/2025</v>
      </c>
      <c r="AR143" s="1" t="str">
        <f>IFERROR(__xludf.DUMMYFUNCTION("""COMPUTED_VALUE"""),"10/16/2025")</f>
        <v>10/16/2025</v>
      </c>
    </row>
    <row r="144">
      <c r="A144" s="1" t="str">
        <f>IFERROR(__xludf.DUMMYFUNCTION("""COMPUTED_VALUE"""),"DataBank ATL3 Data Center")</f>
        <v>DataBank ATL3 Data Center</v>
      </c>
      <c r="B144" s="1" t="str">
        <f>IFERROR(__xludf.DUMMYFUNCTION("""COMPUTED_VALUE"""),"1150 White St SW")</f>
        <v>1150 White St SW</v>
      </c>
      <c r="C144" s="1" t="str">
        <f>IFERROR(__xludf.DUMMYFUNCTION("""COMPUTED_VALUE"""),"Atlanta")</f>
        <v>Atlanta</v>
      </c>
      <c r="D144" s="1" t="str">
        <f>IFERROR(__xludf.DUMMYFUNCTION("""COMPUTED_VALUE"""),"GA")</f>
        <v>GA</v>
      </c>
      <c r="E144" s="1" t="str">
        <f>IFERROR(__xludf.DUMMYFUNCTION("""COMPUTED_VALUE"""),"30310")</f>
        <v>30310</v>
      </c>
      <c r="F144" s="1" t="str">
        <f>IFERROR(__xludf.DUMMYFUNCTION("""COMPUTED_VALUE"""),"Fulton")</f>
        <v>Fulton</v>
      </c>
      <c r="G144" s="1" t="str">
        <f>IFERROR(__xludf.DUMMYFUNCTION("""COMPUTED_VALUE"""),"33.73448")</f>
        <v>33.73448</v>
      </c>
      <c r="H144" s="1" t="str">
        <f>IFERROR(__xludf.DUMMYFUNCTION("""COMPUTED_VALUE"""),"-84.4265")</f>
        <v>-84.4265</v>
      </c>
      <c r="I144" s="1" t="str">
        <f>IFERROR(__xludf.DUMMYFUNCTION("""COMPUTED_VALUE"""),"Operating")</f>
        <v>Operating</v>
      </c>
      <c r="J144" s="1" t="str">
        <f>IFERROR(__xludf.DUMMYFUNCTION("""COMPUTED_VALUE"""),"High")</f>
        <v>High</v>
      </c>
      <c r="K144" s="1" t="str">
        <f>IFERROR(__xludf.DUMMYFUNCTION("""COMPUTED_VALUE"""),"")</f>
        <v/>
      </c>
      <c r="L144" s="1" t="str">
        <f>IFERROR(__xludf.DUMMYFUNCTION("""COMPUTED_VALUE"""),"DataBank")</f>
        <v>DataBank</v>
      </c>
      <c r="M144" s="1" t="str">
        <f>IFERROR(__xludf.DUMMYFUNCTION("""COMPUTED_VALUE"""),"")</f>
        <v/>
      </c>
      <c r="N144" s="1" t="str">
        <f>IFERROR(__xludf.DUMMYFUNCTION("""COMPUTED_VALUE"""),"6")</f>
        <v>6</v>
      </c>
      <c r="O144" s="1" t="str">
        <f>IFERROR(__xludf.DUMMYFUNCTION("""COMPUTED_VALUE"""),"Small (0-10 MW)")</f>
        <v>Small (0-10 MW)</v>
      </c>
      <c r="P144" s="1" t="str">
        <f>IFERROR(__xludf.DUMMYFUNCTION("""COMPUTED_VALUE"""),"")</f>
        <v/>
      </c>
      <c r="Q144" s="1" t="str">
        <f>IFERROR(__xludf.DUMMYFUNCTION("""COMPUTED_VALUE"""),"")</f>
        <v/>
      </c>
      <c r="R144" s="1" t="str">
        <f>IFERROR(__xludf.DUMMYFUNCTION("""COMPUTED_VALUE"""),"")</f>
        <v/>
      </c>
      <c r="S144" s="1" t="str">
        <f>IFERROR(__xludf.DUMMYFUNCTION("""COMPUTED_VALUE"""),"")</f>
        <v/>
      </c>
      <c r="T144" s="1" t="str">
        <f>IFERROR(__xludf.DUMMYFUNCTION("""COMPUTED_VALUE"""),"")</f>
        <v/>
      </c>
      <c r="U144" s="1" t="str">
        <f>IFERROR(__xludf.DUMMYFUNCTION("""COMPUTED_VALUE"""),"")</f>
        <v/>
      </c>
      <c r="V144" s="1" t="str">
        <f>IFERROR(__xludf.DUMMYFUNCTION("""COMPUTED_VALUE"""),"")</f>
        <v/>
      </c>
      <c r="W144" s="1" t="str">
        <f>IFERROR(__xludf.DUMMYFUNCTION("""COMPUTED_VALUE"""),"")</f>
        <v/>
      </c>
      <c r="X144" s="1" t="str">
        <f>IFERROR(__xludf.DUMMYFUNCTION("""COMPUTED_VALUE"""),"")</f>
        <v/>
      </c>
      <c r="Y144" s="1" t="str">
        <f>IFERROR(__xludf.DUMMYFUNCTION("""COMPUTED_VALUE"""),"")</f>
        <v/>
      </c>
      <c r="Z144" s="1" t="str">
        <f>IFERROR(__xludf.DUMMYFUNCTION("""COMPUTED_VALUE"""),"Unknown")</f>
        <v>Unknown</v>
      </c>
      <c r="AA144" s="1" t="str">
        <f>IFERROR(__xludf.DUMMYFUNCTION("""COMPUTED_VALUE"""),"")</f>
        <v/>
      </c>
      <c r="AB144" s="1" t="str">
        <f>IFERROR(__xludf.DUMMYFUNCTION("""COMPUTED_VALUE"""),"")</f>
        <v/>
      </c>
      <c r="AC144" s="1" t="str">
        <f>IFERROR(__xludf.DUMMYFUNCTION("""COMPUTED_VALUE"""),"")</f>
        <v/>
      </c>
      <c r="AD144" s="1" t="str">
        <f>IFERROR(__xludf.DUMMYFUNCTION("""COMPUTED_VALUE"""),"")</f>
        <v/>
      </c>
      <c r="AE144" s="1" t="str">
        <f>IFERROR(__xludf.DUMMYFUNCTION("""COMPUTED_VALUE"""),"")</f>
        <v/>
      </c>
      <c r="AF144" s="1" t="str">
        <f>IFERROR(__xludf.DUMMYFUNCTION("""COMPUTED_VALUE"""),"")</f>
        <v/>
      </c>
      <c r="AG144" s="1" t="str">
        <f>IFERROR(__xludf.DUMMYFUNCTION("""COMPUTED_VALUE"""),"")</f>
        <v/>
      </c>
      <c r="AH144" s="1" t="str">
        <f>IFERROR(__xludf.DUMMYFUNCTION("""COMPUTED_VALUE"""),"Sci4GA")</f>
        <v>Sci4GA</v>
      </c>
      <c r="AI144" s="2" t="str">
        <f>IFERROR(__xludf.DUMMYFUNCTION("""COMPUTED_VALUE"""),"https://www.datacenterdynamics.com/en/news/databank-to-expand-atlanta-data-center/")</f>
        <v>https://www.datacenterdynamics.com/en/news/databank-to-expand-atlanta-data-center/</v>
      </c>
      <c r="AJ144" s="1" t="str">
        <f>IFERROR(__xludf.DUMMYFUNCTION("""COMPUTED_VALUE"""),"")</f>
        <v/>
      </c>
      <c r="AK144" s="1" t="str">
        <f>IFERROR(__xludf.DUMMYFUNCTION("""COMPUTED_VALUE"""),"")</f>
        <v/>
      </c>
      <c r="AL144" s="1" t="str">
        <f>IFERROR(__xludf.DUMMYFUNCTION("""COMPUTED_VALUE"""),"")</f>
        <v/>
      </c>
      <c r="AM144" s="1" t="str">
        <f>IFERROR(__xludf.DUMMYFUNCTION("""COMPUTED_VALUE"""),"")</f>
        <v/>
      </c>
      <c r="AN144" s="1" t="str">
        <f>IFERROR(__xludf.DUMMYFUNCTION("""COMPUTED_VALUE"""),"")</f>
        <v/>
      </c>
      <c r="AO144" s="1" t="str">
        <f>IFERROR(__xludf.DUMMYFUNCTION("""COMPUTED_VALUE"""),"")</f>
        <v/>
      </c>
      <c r="AP144" s="1" t="str">
        <f>IFERROR(__xludf.DUMMYFUNCTION("""COMPUTED_VALUE"""),"")</f>
        <v/>
      </c>
      <c r="AQ144" s="1" t="str">
        <f>IFERROR(__xludf.DUMMYFUNCTION("""COMPUTED_VALUE"""),"10/16/2025")</f>
        <v>10/16/2025</v>
      </c>
      <c r="AR144" s="1" t="str">
        <f>IFERROR(__xludf.DUMMYFUNCTION("""COMPUTED_VALUE"""),"10/16/2025")</f>
        <v>10/16/2025</v>
      </c>
    </row>
    <row r="145">
      <c r="A145" s="1" t="str">
        <f>IFERROR(__xludf.DUMMYFUNCTION("""COMPUTED_VALUE"""),"DataBank ATL4 Data Center")</f>
        <v>DataBank ATL4 Data Center</v>
      </c>
      <c r="B145" s="1" t="str">
        <f>IFERROR(__xludf.DUMMYFUNCTION("""COMPUTED_VALUE"""),"200 Selig Drive SW")</f>
        <v>200 Selig Drive SW</v>
      </c>
      <c r="C145" s="1" t="str">
        <f>IFERROR(__xludf.DUMMYFUNCTION("""COMPUTED_VALUE"""),"Atlanta")</f>
        <v>Atlanta</v>
      </c>
      <c r="D145" s="1" t="str">
        <f>IFERROR(__xludf.DUMMYFUNCTION("""COMPUTED_VALUE"""),"GA")</f>
        <v>GA</v>
      </c>
      <c r="E145" s="1" t="str">
        <f>IFERROR(__xludf.DUMMYFUNCTION("""COMPUTED_VALUE"""),"30336")</f>
        <v>30336</v>
      </c>
      <c r="F145" s="1" t="str">
        <f>IFERROR(__xludf.DUMMYFUNCTION("""COMPUTED_VALUE"""),"Fulton")</f>
        <v>Fulton</v>
      </c>
      <c r="G145" s="1" t="str">
        <f>IFERROR(__xludf.DUMMYFUNCTION("""COMPUTED_VALUE"""),"33.750492")</f>
        <v>33.750492</v>
      </c>
      <c r="H145" s="1" t="str">
        <f>IFERROR(__xludf.DUMMYFUNCTION("""COMPUTED_VALUE"""),"-84.54815")</f>
        <v>-84.54815</v>
      </c>
      <c r="I145" s="1" t="str">
        <f>IFERROR(__xludf.DUMMYFUNCTION("""COMPUTED_VALUE"""),"Proposed")</f>
        <v>Proposed</v>
      </c>
      <c r="J145" s="1" t="str">
        <f>IFERROR(__xludf.DUMMYFUNCTION("""COMPUTED_VALUE"""),"High")</f>
        <v>High</v>
      </c>
      <c r="K145" s="1" t="str">
        <f>IFERROR(__xludf.DUMMYFUNCTION("""COMPUTED_VALUE"""),"")</f>
        <v/>
      </c>
      <c r="L145" s="1" t="str">
        <f>IFERROR(__xludf.DUMMYFUNCTION("""COMPUTED_VALUE"""),"DataBank")</f>
        <v>DataBank</v>
      </c>
      <c r="M145" s="1" t="str">
        <f>IFERROR(__xludf.DUMMYFUNCTION("""COMPUTED_VALUE"""),"")</f>
        <v/>
      </c>
      <c r="N145" s="1" t="str">
        <f>IFERROR(__xludf.DUMMYFUNCTION("""COMPUTED_VALUE"""),"40")</f>
        <v>40</v>
      </c>
      <c r="O145" s="1" t="str">
        <f>IFERROR(__xludf.DUMMYFUNCTION("""COMPUTED_VALUE"""),"Medium (11-50 MW)")</f>
        <v>Medium (11-50 MW)</v>
      </c>
      <c r="P145" s="1" t="str">
        <f>IFERROR(__xludf.DUMMYFUNCTION("""COMPUTED_VALUE"""),"")</f>
        <v/>
      </c>
      <c r="Q145" s="1" t="str">
        <f>IFERROR(__xludf.DUMMYFUNCTION("""COMPUTED_VALUE"""),"")</f>
        <v/>
      </c>
      <c r="R145" s="1" t="str">
        <f>IFERROR(__xludf.DUMMYFUNCTION("""COMPUTED_VALUE"""),"")</f>
        <v/>
      </c>
      <c r="S145" s="1" t="str">
        <f>IFERROR(__xludf.DUMMYFUNCTION("""COMPUTED_VALUE"""),"")</f>
        <v/>
      </c>
      <c r="T145" s="1" t="str">
        <f>IFERROR(__xludf.DUMMYFUNCTION("""COMPUTED_VALUE"""),"")</f>
        <v/>
      </c>
      <c r="U145" s="1" t="str">
        <f>IFERROR(__xludf.DUMMYFUNCTION("""COMPUTED_VALUE"""),"")</f>
        <v/>
      </c>
      <c r="V145" s="1" t="str">
        <f>IFERROR(__xludf.DUMMYFUNCTION("""COMPUTED_VALUE"""),"212,710")</f>
        <v>212,710</v>
      </c>
      <c r="W145" s="1" t="str">
        <f>IFERROR(__xludf.DUMMYFUNCTION("""COMPUTED_VALUE"""),"")</f>
        <v/>
      </c>
      <c r="X145" s="1" t="str">
        <f>IFERROR(__xludf.DUMMYFUNCTION("""COMPUTED_VALUE"""),"")</f>
        <v/>
      </c>
      <c r="Y145" s="1" t="str">
        <f>IFERROR(__xludf.DUMMYFUNCTION("""COMPUTED_VALUE"""),"")</f>
        <v/>
      </c>
      <c r="Z145" s="1" t="str">
        <f>IFERROR(__xludf.DUMMYFUNCTION("""COMPUTED_VALUE"""),"Unknown")</f>
        <v>Unknown</v>
      </c>
      <c r="AA145" s="1" t="str">
        <f>IFERROR(__xludf.DUMMYFUNCTION("""COMPUTED_VALUE"""),"")</f>
        <v/>
      </c>
      <c r="AB145" s="1" t="str">
        <f>IFERROR(__xludf.DUMMYFUNCTION("""COMPUTED_VALUE"""),"")</f>
        <v/>
      </c>
      <c r="AC145" s="1" t="str">
        <f>IFERROR(__xludf.DUMMYFUNCTION("""COMPUTED_VALUE"""),"")</f>
        <v/>
      </c>
      <c r="AD145" s="1" t="str">
        <f>IFERROR(__xludf.DUMMYFUNCTION("""COMPUTED_VALUE"""),"")</f>
        <v/>
      </c>
      <c r="AE145" s="1" t="str">
        <f>IFERROR(__xludf.DUMMYFUNCTION("""COMPUTED_VALUE"""),"")</f>
        <v/>
      </c>
      <c r="AF145" s="1" t="str">
        <f>IFERROR(__xludf.DUMMYFUNCTION("""COMPUTED_VALUE"""),"")</f>
        <v/>
      </c>
      <c r="AG145" s="1" t="str">
        <f>IFERROR(__xludf.DUMMYFUNCTION("""COMPUTED_VALUE"""),"")</f>
        <v/>
      </c>
      <c r="AH145" s="1" t="str">
        <f>IFERROR(__xludf.DUMMYFUNCTION("""COMPUTED_VALUE"""),"Sci4GA")</f>
        <v>Sci4GA</v>
      </c>
      <c r="AI145" s="2" t="str">
        <f>IFERROR(__xludf.DUMMYFUNCTION("""COMPUTED_VALUE"""),"https://www.datacenterhawk.com/colo/databank/200-selig-drive-sw/atl4")</f>
        <v>https://www.datacenterhawk.com/colo/databank/200-selig-drive-sw/atl4</v>
      </c>
      <c r="AJ145" s="1" t="str">
        <f>IFERROR(__xludf.DUMMYFUNCTION("""COMPUTED_VALUE"""),"")</f>
        <v/>
      </c>
      <c r="AK145" s="1" t="str">
        <f>IFERROR(__xludf.DUMMYFUNCTION("""COMPUTED_VALUE"""),"")</f>
        <v/>
      </c>
      <c r="AL145" s="1" t="str">
        <f>IFERROR(__xludf.DUMMYFUNCTION("""COMPUTED_VALUE"""),"")</f>
        <v/>
      </c>
      <c r="AM145" s="1" t="str">
        <f>IFERROR(__xludf.DUMMYFUNCTION("""COMPUTED_VALUE"""),"")</f>
        <v/>
      </c>
      <c r="AN145" s="1" t="str">
        <f>IFERROR(__xludf.DUMMYFUNCTION("""COMPUTED_VALUE"""),"")</f>
        <v/>
      </c>
      <c r="AO145" s="1" t="str">
        <f>IFERROR(__xludf.DUMMYFUNCTION("""COMPUTED_VALUE"""),"")</f>
        <v/>
      </c>
      <c r="AP145" s="1" t="str">
        <f>IFERROR(__xludf.DUMMYFUNCTION("""COMPUTED_VALUE"""),"")</f>
        <v/>
      </c>
      <c r="AQ145" s="1" t="str">
        <f>IFERROR(__xludf.DUMMYFUNCTION("""COMPUTED_VALUE"""),"10/16/2025")</f>
        <v>10/16/2025</v>
      </c>
      <c r="AR145" s="1" t="str">
        <f>IFERROR(__xludf.DUMMYFUNCTION("""COMPUTED_VALUE"""),"10/16/2025")</f>
        <v>10/16/2025</v>
      </c>
    </row>
    <row r="146">
      <c r="A146" s="1" t="str">
        <f>IFERROR(__xludf.DUMMYFUNCTION("""COMPUTED_VALUE"""),"Digital Realty 10 Forsyth Street NW Data Center")</f>
        <v>Digital Realty 10 Forsyth Street NW Data Center</v>
      </c>
      <c r="B146" s="1" t="str">
        <f>IFERROR(__xludf.DUMMYFUNCTION("""COMPUTED_VALUE"""),"10 Forsyth St NW")</f>
        <v>10 Forsyth St NW</v>
      </c>
      <c r="C146" s="1" t="str">
        <f>IFERROR(__xludf.DUMMYFUNCTION("""COMPUTED_VALUE"""),"Atlanta")</f>
        <v>Atlanta</v>
      </c>
      <c r="D146" s="1" t="str">
        <f>IFERROR(__xludf.DUMMYFUNCTION("""COMPUTED_VALUE"""),"GA")</f>
        <v>GA</v>
      </c>
      <c r="E146" s="1" t="str">
        <f>IFERROR(__xludf.DUMMYFUNCTION("""COMPUTED_VALUE"""),"30303")</f>
        <v>30303</v>
      </c>
      <c r="F146" s="1" t="str">
        <f>IFERROR(__xludf.DUMMYFUNCTION("""COMPUTED_VALUE"""),"Fulton")</f>
        <v>Fulton</v>
      </c>
      <c r="G146" s="1" t="str">
        <f>IFERROR(__xludf.DUMMYFUNCTION("""COMPUTED_VALUE"""),"33.755455")</f>
        <v>33.755455</v>
      </c>
      <c r="H146" s="1" t="str">
        <f>IFERROR(__xludf.DUMMYFUNCTION("""COMPUTED_VALUE"""),"-84.39201")</f>
        <v>-84.39201</v>
      </c>
      <c r="I146" s="1" t="str">
        <f>IFERROR(__xludf.DUMMYFUNCTION("""COMPUTED_VALUE"""),"Proposed")</f>
        <v>Proposed</v>
      </c>
      <c r="J146" s="1" t="str">
        <f>IFERROR(__xludf.DUMMYFUNCTION("""COMPUTED_VALUE"""),"High")</f>
        <v>High</v>
      </c>
      <c r="K146" s="1" t="str">
        <f>IFERROR(__xludf.DUMMYFUNCTION("""COMPUTED_VALUE"""),"")</f>
        <v/>
      </c>
      <c r="L146" s="1" t="str">
        <f>IFERROR(__xludf.DUMMYFUNCTION("""COMPUTED_VALUE"""),"Digital Realty")</f>
        <v>Digital Realty</v>
      </c>
      <c r="M146" s="1" t="str">
        <f>IFERROR(__xludf.DUMMYFUNCTION("""COMPUTED_VALUE"""),"")</f>
        <v/>
      </c>
      <c r="N146" s="1" t="str">
        <f>IFERROR(__xludf.DUMMYFUNCTION("""COMPUTED_VALUE"""),"45")</f>
        <v>45</v>
      </c>
      <c r="O146" s="1" t="str">
        <f>IFERROR(__xludf.DUMMYFUNCTION("""COMPUTED_VALUE"""),"Medium (11-50 MW)")</f>
        <v>Medium (11-50 MW)</v>
      </c>
      <c r="P146" s="1" t="str">
        <f>IFERROR(__xludf.DUMMYFUNCTION("""COMPUTED_VALUE"""),"")</f>
        <v/>
      </c>
      <c r="Q146" s="1" t="str">
        <f>IFERROR(__xludf.DUMMYFUNCTION("""COMPUTED_VALUE"""),"")</f>
        <v/>
      </c>
      <c r="R146" s="1" t="str">
        <f>IFERROR(__xludf.DUMMYFUNCTION("""COMPUTED_VALUE"""),"")</f>
        <v/>
      </c>
      <c r="S146" s="1" t="str">
        <f>IFERROR(__xludf.DUMMYFUNCTION("""COMPUTED_VALUE"""),"")</f>
        <v/>
      </c>
      <c r="T146" s="1" t="str">
        <f>IFERROR(__xludf.DUMMYFUNCTION("""COMPUTED_VALUE"""),"")</f>
        <v/>
      </c>
      <c r="U146" s="1" t="str">
        <f>IFERROR(__xludf.DUMMYFUNCTION("""COMPUTED_VALUE"""),"")</f>
        <v/>
      </c>
      <c r="V146" s="1" t="str">
        <f>IFERROR(__xludf.DUMMYFUNCTION("""COMPUTED_VALUE"""),"300,000")</f>
        <v>300,000</v>
      </c>
      <c r="W146" s="1" t="str">
        <f>IFERROR(__xludf.DUMMYFUNCTION("""COMPUTED_VALUE"""),"")</f>
        <v/>
      </c>
      <c r="X146" s="1" t="str">
        <f>IFERROR(__xludf.DUMMYFUNCTION("""COMPUTED_VALUE"""),"")</f>
        <v/>
      </c>
      <c r="Y146" s="1" t="str">
        <f>IFERROR(__xludf.DUMMYFUNCTION("""COMPUTED_VALUE"""),"")</f>
        <v/>
      </c>
      <c r="Z146" s="1" t="str">
        <f>IFERROR(__xludf.DUMMYFUNCTION("""COMPUTED_VALUE"""),"Unknown")</f>
        <v>Unknown</v>
      </c>
      <c r="AA146" s="1" t="str">
        <f>IFERROR(__xludf.DUMMYFUNCTION("""COMPUTED_VALUE"""),"")</f>
        <v/>
      </c>
      <c r="AB146" s="1" t="str">
        <f>IFERROR(__xludf.DUMMYFUNCTION("""COMPUTED_VALUE"""),"")</f>
        <v/>
      </c>
      <c r="AC146" s="1" t="str">
        <f>IFERROR(__xludf.DUMMYFUNCTION("""COMPUTED_VALUE"""),"")</f>
        <v/>
      </c>
      <c r="AD146" s="1" t="str">
        <f>IFERROR(__xludf.DUMMYFUNCTION("""COMPUTED_VALUE"""),"")</f>
        <v/>
      </c>
      <c r="AE146" s="1" t="str">
        <f>IFERROR(__xludf.DUMMYFUNCTION("""COMPUTED_VALUE"""),"")</f>
        <v/>
      </c>
      <c r="AF146" s="1" t="str">
        <f>IFERROR(__xludf.DUMMYFUNCTION("""COMPUTED_VALUE"""),"")</f>
        <v/>
      </c>
      <c r="AG146" s="1" t="str">
        <f>IFERROR(__xludf.DUMMYFUNCTION("""COMPUTED_VALUE"""),"")</f>
        <v/>
      </c>
      <c r="AH146" s="1" t="str">
        <f>IFERROR(__xludf.DUMMYFUNCTION("""COMPUTED_VALUE"""),"Sci4GA")</f>
        <v>Sci4GA</v>
      </c>
      <c r="AI146" s="2" t="str">
        <f>IFERROR(__xludf.DUMMYFUNCTION("""COMPUTED_VALUE"""),"https://www.datacenterdynamics.com/en/news/digital-realty-plans-10-story-300000-sq-ft-data-center-in-atlanta/")</f>
        <v>https://www.datacenterdynamics.com/en/news/digital-realty-plans-10-story-300000-sq-ft-data-center-in-atlanta/</v>
      </c>
      <c r="AJ146" s="1" t="str">
        <f>IFERROR(__xludf.DUMMYFUNCTION("""COMPUTED_VALUE"""),"")</f>
        <v/>
      </c>
      <c r="AK146" s="1" t="str">
        <f>IFERROR(__xludf.DUMMYFUNCTION("""COMPUTED_VALUE"""),"")</f>
        <v/>
      </c>
      <c r="AL146" s="1" t="str">
        <f>IFERROR(__xludf.DUMMYFUNCTION("""COMPUTED_VALUE"""),"")</f>
        <v/>
      </c>
      <c r="AM146" s="1" t="str">
        <f>IFERROR(__xludf.DUMMYFUNCTION("""COMPUTED_VALUE"""),"")</f>
        <v/>
      </c>
      <c r="AN146" s="1" t="str">
        <f>IFERROR(__xludf.DUMMYFUNCTION("""COMPUTED_VALUE"""),"")</f>
        <v/>
      </c>
      <c r="AO146" s="1" t="str">
        <f>IFERROR(__xludf.DUMMYFUNCTION("""COMPUTED_VALUE"""),"")</f>
        <v/>
      </c>
      <c r="AP146" s="1" t="str">
        <f>IFERROR(__xludf.DUMMYFUNCTION("""COMPUTED_VALUE"""),"")</f>
        <v/>
      </c>
      <c r="AQ146" s="1" t="str">
        <f>IFERROR(__xludf.DUMMYFUNCTION("""COMPUTED_VALUE"""),"10/16/2025")</f>
        <v>10/16/2025</v>
      </c>
      <c r="AR146" s="1" t="str">
        <f>IFERROR(__xludf.DUMMYFUNCTION("""COMPUTED_VALUE"""),"10/16/2025")</f>
        <v>10/16/2025</v>
      </c>
    </row>
    <row r="147">
      <c r="A147" s="1" t="str">
        <f>IFERROR(__xludf.DUMMYFUNCTION("""COMPUTED_VALUE"""),"EDC ATL01")</f>
        <v>EDC ATL01</v>
      </c>
      <c r="B147" s="1" t="str">
        <f>IFERROR(__xludf.DUMMYFUNCTION("""COMPUTED_VALUE"""),"1003 Donnelly Avenue SW")</f>
        <v>1003 Donnelly Avenue SW</v>
      </c>
      <c r="C147" s="1" t="str">
        <f>IFERROR(__xludf.DUMMYFUNCTION("""COMPUTED_VALUE"""),"Atlanta")</f>
        <v>Atlanta</v>
      </c>
      <c r="D147" s="1" t="str">
        <f>IFERROR(__xludf.DUMMYFUNCTION("""COMPUTED_VALUE"""),"GA")</f>
        <v>GA</v>
      </c>
      <c r="E147" s="1" t="str">
        <f>IFERROR(__xludf.DUMMYFUNCTION("""COMPUTED_VALUE"""),"30310")</f>
        <v>30310</v>
      </c>
      <c r="F147" s="1" t="str">
        <f>IFERROR(__xludf.DUMMYFUNCTION("""COMPUTED_VALUE"""),"Fulton")</f>
        <v>Fulton</v>
      </c>
      <c r="G147" s="1" t="str">
        <f>IFERROR(__xludf.DUMMYFUNCTION("""COMPUTED_VALUE"""),"33.72936")</f>
        <v>33.72936</v>
      </c>
      <c r="H147" s="1" t="str">
        <f>IFERROR(__xludf.DUMMYFUNCTION("""COMPUTED_VALUE"""),"-84.42015")</f>
        <v>-84.42015</v>
      </c>
      <c r="I147" s="1" t="str">
        <f>IFERROR(__xludf.DUMMYFUNCTION("""COMPUTED_VALUE"""),"Operating")</f>
        <v>Operating</v>
      </c>
      <c r="J147" s="1" t="str">
        <f>IFERROR(__xludf.DUMMYFUNCTION("""COMPUTED_VALUE"""),"High")</f>
        <v>High</v>
      </c>
      <c r="K147" s="1" t="str">
        <f>IFERROR(__xludf.DUMMYFUNCTION("""COMPUTED_VALUE"""),"")</f>
        <v/>
      </c>
      <c r="L147" s="1" t="str">
        <f>IFERROR(__xludf.DUMMYFUNCTION("""COMPUTED_VALUE"""),"EdgeConnex")</f>
        <v>EdgeConnex</v>
      </c>
      <c r="M147" s="1" t="str">
        <f>IFERROR(__xludf.DUMMYFUNCTION("""COMPUTED_VALUE"""),"")</f>
        <v/>
      </c>
      <c r="N147" s="1" t="str">
        <f>IFERROR(__xludf.DUMMYFUNCTION("""COMPUTED_VALUE"""),"2")</f>
        <v>2</v>
      </c>
      <c r="O147" s="1" t="str">
        <f>IFERROR(__xludf.DUMMYFUNCTION("""COMPUTED_VALUE"""),"Small (0-10 MW)")</f>
        <v>Small (0-10 MW)</v>
      </c>
      <c r="P147" s="1" t="str">
        <f>IFERROR(__xludf.DUMMYFUNCTION("""COMPUTED_VALUE"""),"")</f>
        <v/>
      </c>
      <c r="Q147" s="1" t="str">
        <f>IFERROR(__xludf.DUMMYFUNCTION("""COMPUTED_VALUE"""),"")</f>
        <v/>
      </c>
      <c r="R147" s="1" t="str">
        <f>IFERROR(__xludf.DUMMYFUNCTION("""COMPUTED_VALUE"""),"")</f>
        <v/>
      </c>
      <c r="S147" s="1" t="str">
        <f>IFERROR(__xludf.DUMMYFUNCTION("""COMPUTED_VALUE"""),"")</f>
        <v/>
      </c>
      <c r="T147" s="1" t="str">
        <f>IFERROR(__xludf.DUMMYFUNCTION("""COMPUTED_VALUE"""),"")</f>
        <v/>
      </c>
      <c r="U147" s="1" t="str">
        <f>IFERROR(__xludf.DUMMYFUNCTION("""COMPUTED_VALUE"""),"")</f>
        <v/>
      </c>
      <c r="V147" s="1" t="str">
        <f>IFERROR(__xludf.DUMMYFUNCTION("""COMPUTED_VALUE"""),"29,527")</f>
        <v>29,527</v>
      </c>
      <c r="W147" s="1" t="str">
        <f>IFERROR(__xludf.DUMMYFUNCTION("""COMPUTED_VALUE"""),"")</f>
        <v/>
      </c>
      <c r="X147" s="1" t="str">
        <f>IFERROR(__xludf.DUMMYFUNCTION("""COMPUTED_VALUE"""),"")</f>
        <v/>
      </c>
      <c r="Y147" s="1" t="str">
        <f>IFERROR(__xludf.DUMMYFUNCTION("""COMPUTED_VALUE"""),"")</f>
        <v/>
      </c>
      <c r="Z147" s="1" t="str">
        <f>IFERROR(__xludf.DUMMYFUNCTION("""COMPUTED_VALUE"""),"Unknown")</f>
        <v>Unknown</v>
      </c>
      <c r="AA147" s="1" t="str">
        <f>IFERROR(__xludf.DUMMYFUNCTION("""COMPUTED_VALUE"""),"")</f>
        <v/>
      </c>
      <c r="AB147" s="1" t="str">
        <f>IFERROR(__xludf.DUMMYFUNCTION("""COMPUTED_VALUE"""),"")</f>
        <v/>
      </c>
      <c r="AC147" s="1" t="str">
        <f>IFERROR(__xludf.DUMMYFUNCTION("""COMPUTED_VALUE"""),"")</f>
        <v/>
      </c>
      <c r="AD147" s="1" t="str">
        <f>IFERROR(__xludf.DUMMYFUNCTION("""COMPUTED_VALUE"""),"")</f>
        <v/>
      </c>
      <c r="AE147" s="1" t="str">
        <f>IFERROR(__xludf.DUMMYFUNCTION("""COMPUTED_VALUE"""),"")</f>
        <v/>
      </c>
      <c r="AF147" s="1" t="str">
        <f>IFERROR(__xludf.DUMMYFUNCTION("""COMPUTED_VALUE"""),"")</f>
        <v/>
      </c>
      <c r="AG147" s="1" t="str">
        <f>IFERROR(__xludf.DUMMYFUNCTION("""COMPUTED_VALUE"""),"Part of a campus: https://baxtel.com/data-center/edgeconnex-atlanta-campus")</f>
        <v>Part of a campus: https://baxtel.com/data-center/edgeconnex-atlanta-campus</v>
      </c>
      <c r="AH147" s="1" t="str">
        <f>IFERROR(__xludf.DUMMYFUNCTION("""COMPUTED_VALUE"""),"Sci4GA")</f>
        <v>Sci4GA</v>
      </c>
      <c r="AI147" s="2" t="str">
        <f>IFERROR(__xludf.DUMMYFUNCTION("""COMPUTED_VALUE"""),"https://baxtel.com/data-center/edgeconnex-atl01")</f>
        <v>https://baxtel.com/data-center/edgeconnex-atl01</v>
      </c>
      <c r="AJ147" s="1" t="str">
        <f>IFERROR(__xludf.DUMMYFUNCTION("""COMPUTED_VALUE"""),"")</f>
        <v/>
      </c>
      <c r="AK147" s="1" t="str">
        <f>IFERROR(__xludf.DUMMYFUNCTION("""COMPUTED_VALUE"""),"")</f>
        <v/>
      </c>
      <c r="AL147" s="1" t="str">
        <f>IFERROR(__xludf.DUMMYFUNCTION("""COMPUTED_VALUE"""),"")</f>
        <v/>
      </c>
      <c r="AM147" s="1" t="str">
        <f>IFERROR(__xludf.DUMMYFUNCTION("""COMPUTED_VALUE"""),"")</f>
        <v/>
      </c>
      <c r="AN147" s="1" t="str">
        <f>IFERROR(__xludf.DUMMYFUNCTION("""COMPUTED_VALUE"""),"")</f>
        <v/>
      </c>
      <c r="AO147" s="1" t="str">
        <f>IFERROR(__xludf.DUMMYFUNCTION("""COMPUTED_VALUE"""),"")</f>
        <v/>
      </c>
      <c r="AP147" s="1" t="str">
        <f>IFERROR(__xludf.DUMMYFUNCTION("""COMPUTED_VALUE"""),"")</f>
        <v/>
      </c>
      <c r="AQ147" s="1" t="str">
        <f>IFERROR(__xludf.DUMMYFUNCTION("""COMPUTED_VALUE"""),"10/16/2025")</f>
        <v>10/16/2025</v>
      </c>
      <c r="AR147" s="1" t="str">
        <f>IFERROR(__xludf.DUMMYFUNCTION("""COMPUTED_VALUE"""),"10/16/2025")</f>
        <v>10/16/2025</v>
      </c>
    </row>
    <row r="148">
      <c r="A148" s="1" t="str">
        <f>IFERROR(__xludf.DUMMYFUNCTION("""COMPUTED_VALUE"""),"EDC ATL02")</f>
        <v>EDC ATL02</v>
      </c>
      <c r="B148" s="1" t="str">
        <f>IFERROR(__xludf.DUMMYFUNCTION("""COMPUTED_VALUE"""),"1101 Donnelly Avenue")</f>
        <v>1101 Donnelly Avenue</v>
      </c>
      <c r="C148" s="1" t="str">
        <f>IFERROR(__xludf.DUMMYFUNCTION("""COMPUTED_VALUE"""),"Atlanta")</f>
        <v>Atlanta</v>
      </c>
      <c r="D148" s="1" t="str">
        <f>IFERROR(__xludf.DUMMYFUNCTION("""COMPUTED_VALUE"""),"GA")</f>
        <v>GA</v>
      </c>
      <c r="E148" s="1" t="str">
        <f>IFERROR(__xludf.DUMMYFUNCTION("""COMPUTED_VALUE"""),"30310")</f>
        <v>30310</v>
      </c>
      <c r="F148" s="1" t="str">
        <f>IFERROR(__xludf.DUMMYFUNCTION("""COMPUTED_VALUE"""),"Fulton")</f>
        <v>Fulton</v>
      </c>
      <c r="G148" s="1" t="str">
        <f>IFERROR(__xludf.DUMMYFUNCTION("""COMPUTED_VALUE"""),"33.731815")</f>
        <v>33.731815</v>
      </c>
      <c r="H148" s="1" t="str">
        <f>IFERROR(__xludf.DUMMYFUNCTION("""COMPUTED_VALUE"""),"-84.42362")</f>
        <v>-84.42362</v>
      </c>
      <c r="I148" s="1" t="str">
        <f>IFERROR(__xludf.DUMMYFUNCTION("""COMPUTED_VALUE"""),"Operating")</f>
        <v>Operating</v>
      </c>
      <c r="J148" s="1" t="str">
        <f>IFERROR(__xludf.DUMMYFUNCTION("""COMPUTED_VALUE"""),"High")</f>
        <v>High</v>
      </c>
      <c r="K148" s="1" t="str">
        <f>IFERROR(__xludf.DUMMYFUNCTION("""COMPUTED_VALUE"""),"")</f>
        <v/>
      </c>
      <c r="L148" s="1" t="str">
        <f>IFERROR(__xludf.DUMMYFUNCTION("""COMPUTED_VALUE"""),"EdgeConnex")</f>
        <v>EdgeConnex</v>
      </c>
      <c r="M148" s="1" t="str">
        <f>IFERROR(__xludf.DUMMYFUNCTION("""COMPUTED_VALUE"""),"")</f>
        <v/>
      </c>
      <c r="N148" s="1" t="str">
        <f>IFERROR(__xludf.DUMMYFUNCTION("""COMPUTED_VALUE"""),"14")</f>
        <v>14</v>
      </c>
      <c r="O148" s="1" t="str">
        <f>IFERROR(__xludf.DUMMYFUNCTION("""COMPUTED_VALUE"""),"Medium (11-50 MW)")</f>
        <v>Medium (11-50 MW)</v>
      </c>
      <c r="P148" s="1" t="str">
        <f>IFERROR(__xludf.DUMMYFUNCTION("""COMPUTED_VALUE"""),"")</f>
        <v/>
      </c>
      <c r="Q148" s="1" t="str">
        <f>IFERROR(__xludf.DUMMYFUNCTION("""COMPUTED_VALUE"""),"")</f>
        <v/>
      </c>
      <c r="R148" s="1" t="str">
        <f>IFERROR(__xludf.DUMMYFUNCTION("""COMPUTED_VALUE"""),"")</f>
        <v/>
      </c>
      <c r="S148" s="1" t="str">
        <f>IFERROR(__xludf.DUMMYFUNCTION("""COMPUTED_VALUE"""),"")</f>
        <v/>
      </c>
      <c r="T148" s="1" t="str">
        <f>IFERROR(__xludf.DUMMYFUNCTION("""COMPUTED_VALUE"""),"")</f>
        <v/>
      </c>
      <c r="U148" s="1" t="str">
        <f>IFERROR(__xludf.DUMMYFUNCTION("""COMPUTED_VALUE"""),"")</f>
        <v/>
      </c>
      <c r="V148" s="1" t="str">
        <f>IFERROR(__xludf.DUMMYFUNCTION("""COMPUTED_VALUE"""),"91,980")</f>
        <v>91,980</v>
      </c>
      <c r="W148" s="1" t="str">
        <f>IFERROR(__xludf.DUMMYFUNCTION("""COMPUTED_VALUE"""),"")</f>
        <v/>
      </c>
      <c r="X148" s="1" t="str">
        <f>IFERROR(__xludf.DUMMYFUNCTION("""COMPUTED_VALUE"""),"")</f>
        <v/>
      </c>
      <c r="Y148" s="1" t="str">
        <f>IFERROR(__xludf.DUMMYFUNCTION("""COMPUTED_VALUE"""),"")</f>
        <v/>
      </c>
      <c r="Z148" s="1" t="str">
        <f>IFERROR(__xludf.DUMMYFUNCTION("""COMPUTED_VALUE"""),"Unknown")</f>
        <v>Unknown</v>
      </c>
      <c r="AA148" s="1" t="str">
        <f>IFERROR(__xludf.DUMMYFUNCTION("""COMPUTED_VALUE"""),"")</f>
        <v/>
      </c>
      <c r="AB148" s="1" t="str">
        <f>IFERROR(__xludf.DUMMYFUNCTION("""COMPUTED_VALUE"""),"")</f>
        <v/>
      </c>
      <c r="AC148" s="1" t="str">
        <f>IFERROR(__xludf.DUMMYFUNCTION("""COMPUTED_VALUE"""),"")</f>
        <v/>
      </c>
      <c r="AD148" s="1" t="str">
        <f>IFERROR(__xludf.DUMMYFUNCTION("""COMPUTED_VALUE"""),"")</f>
        <v/>
      </c>
      <c r="AE148" s="1" t="str">
        <f>IFERROR(__xludf.DUMMYFUNCTION("""COMPUTED_VALUE"""),"")</f>
        <v/>
      </c>
      <c r="AF148" s="1" t="str">
        <f>IFERROR(__xludf.DUMMYFUNCTION("""COMPUTED_VALUE"""),"")</f>
        <v/>
      </c>
      <c r="AG148" s="1" t="str">
        <f>IFERROR(__xludf.DUMMYFUNCTION("""COMPUTED_VALUE"""),"")</f>
        <v/>
      </c>
      <c r="AH148" s="1" t="str">
        <f>IFERROR(__xludf.DUMMYFUNCTION("""COMPUTED_VALUE"""),"Sci4GA")</f>
        <v>Sci4GA</v>
      </c>
      <c r="AI148" s="2" t="str">
        <f>IFERROR(__xludf.DUMMYFUNCTION("""COMPUTED_VALUE"""),"https://baxtel.com/data-center/edgeconnex-atl02")</f>
        <v>https://baxtel.com/data-center/edgeconnex-atl02</v>
      </c>
      <c r="AJ148" s="1" t="str">
        <f>IFERROR(__xludf.DUMMYFUNCTION("""COMPUTED_VALUE"""),"")</f>
        <v/>
      </c>
      <c r="AK148" s="1" t="str">
        <f>IFERROR(__xludf.DUMMYFUNCTION("""COMPUTED_VALUE"""),"")</f>
        <v/>
      </c>
      <c r="AL148" s="1" t="str">
        <f>IFERROR(__xludf.DUMMYFUNCTION("""COMPUTED_VALUE"""),"")</f>
        <v/>
      </c>
      <c r="AM148" s="1" t="str">
        <f>IFERROR(__xludf.DUMMYFUNCTION("""COMPUTED_VALUE"""),"")</f>
        <v/>
      </c>
      <c r="AN148" s="1" t="str">
        <f>IFERROR(__xludf.DUMMYFUNCTION("""COMPUTED_VALUE"""),"")</f>
        <v/>
      </c>
      <c r="AO148" s="1" t="str">
        <f>IFERROR(__xludf.DUMMYFUNCTION("""COMPUTED_VALUE"""),"")</f>
        <v/>
      </c>
      <c r="AP148" s="1" t="str">
        <f>IFERROR(__xludf.DUMMYFUNCTION("""COMPUTED_VALUE"""),"")</f>
        <v/>
      </c>
      <c r="AQ148" s="1" t="str">
        <f>IFERROR(__xludf.DUMMYFUNCTION("""COMPUTED_VALUE"""),"10/16/2025")</f>
        <v>10/16/2025</v>
      </c>
      <c r="AR148" s="1" t="str">
        <f>IFERROR(__xludf.DUMMYFUNCTION("""COMPUTED_VALUE"""),"10/16/2025")</f>
        <v>10/16/2025</v>
      </c>
    </row>
    <row r="149">
      <c r="A149" s="1" t="str">
        <f>IFERROR(__xludf.DUMMYFUNCTION("""COMPUTED_VALUE"""),"EdgeConneX")</f>
        <v>EdgeConneX</v>
      </c>
      <c r="B149" s="1" t="str">
        <f>IFERROR(__xludf.DUMMYFUNCTION("""COMPUTED_VALUE"""),"Stonewall Tell Rd")</f>
        <v>Stonewall Tell Rd</v>
      </c>
      <c r="C149" s="1" t="str">
        <f>IFERROR(__xludf.DUMMYFUNCTION("""COMPUTED_VALUE"""),"Atlanta")</f>
        <v>Atlanta</v>
      </c>
      <c r="D149" s="1" t="str">
        <f>IFERROR(__xludf.DUMMYFUNCTION("""COMPUTED_VALUE"""),"GA")</f>
        <v>GA</v>
      </c>
      <c r="E149" s="1" t="str">
        <f>IFERROR(__xludf.DUMMYFUNCTION("""COMPUTED_VALUE"""),"30349")</f>
        <v>30349</v>
      </c>
      <c r="F149" s="1" t="str">
        <f>IFERROR(__xludf.DUMMYFUNCTION("""COMPUTED_VALUE"""),"Fulton")</f>
        <v>Fulton</v>
      </c>
      <c r="G149" s="1" t="str">
        <f>IFERROR(__xludf.DUMMYFUNCTION("""COMPUTED_VALUE"""),"33.635")</f>
        <v>33.635</v>
      </c>
      <c r="H149" s="1" t="str">
        <f>IFERROR(__xludf.DUMMYFUNCTION("""COMPUTED_VALUE"""),"-84.5819")</f>
        <v>-84.5819</v>
      </c>
      <c r="I149" s="1" t="str">
        <f>IFERROR(__xludf.DUMMYFUNCTION("""COMPUTED_VALUE"""),"Proposed")</f>
        <v>Proposed</v>
      </c>
      <c r="J149" s="1" t="str">
        <f>IFERROR(__xludf.DUMMYFUNCTION("""COMPUTED_VALUE"""),"Medium")</f>
        <v>Medium</v>
      </c>
      <c r="K149" s="1" t="str">
        <f>IFERROR(__xludf.DUMMYFUNCTION("""COMPUTED_VALUE"""),"")</f>
        <v/>
      </c>
      <c r="L149" s="1" t="str">
        <f>IFERROR(__xludf.DUMMYFUNCTION("""COMPUTED_VALUE"""),"EdgeConnex")</f>
        <v>EdgeConnex</v>
      </c>
      <c r="M149" s="1" t="str">
        <f>IFERROR(__xludf.DUMMYFUNCTION("""COMPUTED_VALUE"""),"")</f>
        <v/>
      </c>
      <c r="N149" s="1" t="str">
        <f>IFERROR(__xludf.DUMMYFUNCTION("""COMPUTED_VALUE"""),"324")</f>
        <v>324</v>
      </c>
      <c r="O149" s="1" t="str">
        <f>IFERROR(__xludf.DUMMYFUNCTION("""COMPUTED_VALUE"""),"Hyperscale (100-999 MW)")</f>
        <v>Hyperscale (100-999 MW)</v>
      </c>
      <c r="P149" s="1" t="str">
        <f>IFERROR(__xludf.DUMMYFUNCTION("""COMPUTED_VALUE"""),"")</f>
        <v/>
      </c>
      <c r="Q149" s="1" t="str">
        <f>IFERROR(__xludf.DUMMYFUNCTION("""COMPUTED_VALUE"""),"")</f>
        <v/>
      </c>
      <c r="R149" s="1" t="str">
        <f>IFERROR(__xludf.DUMMYFUNCTION("""COMPUTED_VALUE"""),"")</f>
        <v/>
      </c>
      <c r="S149" s="1" t="str">
        <f>IFERROR(__xludf.DUMMYFUNCTION("""COMPUTED_VALUE"""),"")</f>
        <v/>
      </c>
      <c r="T149" s="1" t="str">
        <f>IFERROR(__xludf.DUMMYFUNCTION("""COMPUTED_VALUE"""),"")</f>
        <v/>
      </c>
      <c r="U149" s="1" t="str">
        <f>IFERROR(__xludf.DUMMYFUNCTION("""COMPUTED_VALUE"""),"")</f>
        <v/>
      </c>
      <c r="V149" s="1" t="str">
        <f>IFERROR(__xludf.DUMMYFUNCTION("""COMPUTED_VALUE"""),"")</f>
        <v/>
      </c>
      <c r="W149" s="1" t="str">
        <f>IFERROR(__xludf.DUMMYFUNCTION("""COMPUTED_VALUE"""),"")</f>
        <v/>
      </c>
      <c r="X149" s="1" t="str">
        <f>IFERROR(__xludf.DUMMYFUNCTION("""COMPUTED_VALUE"""),"")</f>
        <v/>
      </c>
      <c r="Y149" s="1" t="str">
        <f>IFERROR(__xludf.DUMMYFUNCTION("""COMPUTED_VALUE"""),"")</f>
        <v/>
      </c>
      <c r="Z149" s="1" t="str">
        <f>IFERROR(__xludf.DUMMYFUNCTION("""COMPUTED_VALUE"""),"Unknown")</f>
        <v>Unknown</v>
      </c>
      <c r="AA149" s="1" t="str">
        <f>IFERROR(__xludf.DUMMYFUNCTION("""COMPUTED_VALUE"""),"")</f>
        <v/>
      </c>
      <c r="AB149" s="1" t="str">
        <f>IFERROR(__xludf.DUMMYFUNCTION("""COMPUTED_VALUE"""),"")</f>
        <v/>
      </c>
      <c r="AC149" s="1" t="str">
        <f>IFERROR(__xludf.DUMMYFUNCTION("""COMPUTED_VALUE"""),"")</f>
        <v/>
      </c>
      <c r="AD149" s="1" t="str">
        <f>IFERROR(__xludf.DUMMYFUNCTION("""COMPUTED_VALUE"""),"")</f>
        <v/>
      </c>
      <c r="AE149" s="1" t="str">
        <f>IFERROR(__xludf.DUMMYFUNCTION("""COMPUTED_VALUE"""),"")</f>
        <v/>
      </c>
      <c r="AF149" s="1" t="str">
        <f>IFERROR(__xludf.DUMMYFUNCTION("""COMPUTED_VALUE"""),"")</f>
        <v/>
      </c>
      <c r="AG149" s="1" t="str">
        <f>IFERROR(__xludf.DUMMYFUNCTION("""COMPUTED_VALUE"""),"")</f>
        <v/>
      </c>
      <c r="AH149" s="1" t="str">
        <f>IFERROR(__xludf.DUMMYFUNCTION("""COMPUTED_VALUE"""),"Media Monitoring")</f>
        <v>Media Monitoring</v>
      </c>
      <c r="AI149" s="2" t="str">
        <f>IFERROR(__xludf.DUMMYFUNCTION("""COMPUTED_VALUE"""),"https://www.datacenterdynamics.com/en/news/ta-realty-files-for-1-million-sq-ft-data-center-campus-outside-atlanta-georgia/")</f>
        <v>https://www.datacenterdynamics.com/en/news/ta-realty-files-for-1-million-sq-ft-data-center-campus-outside-atlanta-georgia/</v>
      </c>
      <c r="AJ149" s="1" t="str">
        <f>IFERROR(__xludf.DUMMYFUNCTION("""COMPUTED_VALUE"""),"")</f>
        <v/>
      </c>
      <c r="AK149" s="1" t="str">
        <f>IFERROR(__xludf.DUMMYFUNCTION("""COMPUTED_VALUE"""),"")</f>
        <v/>
      </c>
      <c r="AL149" s="1" t="str">
        <f>IFERROR(__xludf.DUMMYFUNCTION("""COMPUTED_VALUE"""),"")</f>
        <v/>
      </c>
      <c r="AM149" s="1" t="str">
        <f>IFERROR(__xludf.DUMMYFUNCTION("""COMPUTED_VALUE"""),"")</f>
        <v/>
      </c>
      <c r="AN149" s="1" t="str">
        <f>IFERROR(__xludf.DUMMYFUNCTION("""COMPUTED_VALUE"""),"")</f>
        <v/>
      </c>
      <c r="AO149" s="1" t="str">
        <f>IFERROR(__xludf.DUMMYFUNCTION("""COMPUTED_VALUE"""),"")</f>
        <v/>
      </c>
      <c r="AP149" s="1" t="str">
        <f>IFERROR(__xludf.DUMMYFUNCTION("""COMPUTED_VALUE"""),"")</f>
        <v/>
      </c>
      <c r="AQ149" s="1" t="str">
        <f>IFERROR(__xludf.DUMMYFUNCTION("""COMPUTED_VALUE"""),"06/24/2025")</f>
        <v>06/24/2025</v>
      </c>
      <c r="AR149" s="1" t="str">
        <f>IFERROR(__xludf.DUMMYFUNCTION("""COMPUTED_VALUE"""),"06/24/2025")</f>
        <v>06/24/2025</v>
      </c>
    </row>
    <row r="150">
      <c r="A150" s="1" t="str">
        <f>IFERROR(__xludf.DUMMYFUNCTION("""COMPUTED_VALUE"""),"Edged ATL01-1")</f>
        <v>Edged ATL01-1</v>
      </c>
      <c r="B150" s="1" t="str">
        <f>IFERROR(__xludf.DUMMYFUNCTION("""COMPUTED_VALUE"""),"1800 Thomas Street NW")</f>
        <v>1800 Thomas Street NW</v>
      </c>
      <c r="C150" s="1" t="str">
        <f>IFERROR(__xludf.DUMMYFUNCTION("""COMPUTED_VALUE"""),"Atlanta")</f>
        <v>Atlanta</v>
      </c>
      <c r="D150" s="1" t="str">
        <f>IFERROR(__xludf.DUMMYFUNCTION("""COMPUTED_VALUE"""),"GA")</f>
        <v>GA</v>
      </c>
      <c r="E150" s="1" t="str">
        <f>IFERROR(__xludf.DUMMYFUNCTION("""COMPUTED_VALUE"""),"30318")</f>
        <v>30318</v>
      </c>
      <c r="F150" s="1" t="str">
        <f>IFERROR(__xludf.DUMMYFUNCTION("""COMPUTED_VALUE"""),"Fulton")</f>
        <v>Fulton</v>
      </c>
      <c r="G150" s="1" t="str">
        <f>IFERROR(__xludf.DUMMYFUNCTION("""COMPUTED_VALUE"""),"33.8084")</f>
        <v>33.8084</v>
      </c>
      <c r="H150" s="1" t="str">
        <f>IFERROR(__xludf.DUMMYFUNCTION("""COMPUTED_VALUE"""),"-84.45469")</f>
        <v>-84.45469</v>
      </c>
      <c r="I150" s="1" t="str">
        <f>IFERROR(__xludf.DUMMYFUNCTION("""COMPUTED_VALUE"""),"Operating")</f>
        <v>Operating</v>
      </c>
      <c r="J150" s="1" t="str">
        <f>IFERROR(__xludf.DUMMYFUNCTION("""COMPUTED_VALUE"""),"High")</f>
        <v>High</v>
      </c>
      <c r="K150" s="1" t="str">
        <f>IFERROR(__xludf.DUMMYFUNCTION("""COMPUTED_VALUE"""),"")</f>
        <v/>
      </c>
      <c r="L150" s="1" t="str">
        <f>IFERROR(__xludf.DUMMYFUNCTION("""COMPUTED_VALUE"""),"Edged")</f>
        <v>Edged</v>
      </c>
      <c r="M150" s="1" t="str">
        <f>IFERROR(__xludf.DUMMYFUNCTION("""COMPUTED_VALUE"""),"")</f>
        <v/>
      </c>
      <c r="N150" s="1" t="str">
        <f>IFERROR(__xludf.DUMMYFUNCTION("""COMPUTED_VALUE"""),"27")</f>
        <v>27</v>
      </c>
      <c r="O150" s="1" t="str">
        <f>IFERROR(__xludf.DUMMYFUNCTION("""COMPUTED_VALUE"""),"Medium (11-50 MW)")</f>
        <v>Medium (11-50 MW)</v>
      </c>
      <c r="P150" s="1" t="str">
        <f>IFERROR(__xludf.DUMMYFUNCTION("""COMPUTED_VALUE"""),"")</f>
        <v/>
      </c>
      <c r="Q150" s="1" t="str">
        <f>IFERROR(__xludf.DUMMYFUNCTION("""COMPUTED_VALUE"""),"")</f>
        <v/>
      </c>
      <c r="R150" s="1" t="str">
        <f>IFERROR(__xludf.DUMMYFUNCTION("""COMPUTED_VALUE"""),"")</f>
        <v/>
      </c>
      <c r="S150" s="1" t="str">
        <f>IFERROR(__xludf.DUMMYFUNCTION("""COMPUTED_VALUE"""),"")</f>
        <v/>
      </c>
      <c r="T150" s="1" t="str">
        <f>IFERROR(__xludf.DUMMYFUNCTION("""COMPUTED_VALUE"""),"")</f>
        <v/>
      </c>
      <c r="U150" s="1" t="str">
        <f>IFERROR(__xludf.DUMMYFUNCTION("""COMPUTED_VALUE"""),"")</f>
        <v/>
      </c>
      <c r="V150" s="1" t="str">
        <f>IFERROR(__xludf.DUMMYFUNCTION("""COMPUTED_VALUE"""),"")</f>
        <v/>
      </c>
      <c r="W150" s="1" t="str">
        <f>IFERROR(__xludf.DUMMYFUNCTION("""COMPUTED_VALUE"""),"")</f>
        <v/>
      </c>
      <c r="X150" s="1" t="str">
        <f>IFERROR(__xludf.DUMMYFUNCTION("""COMPUTED_VALUE"""),"")</f>
        <v/>
      </c>
      <c r="Y150" s="1" t="str">
        <f>IFERROR(__xludf.DUMMYFUNCTION("""COMPUTED_VALUE"""),"")</f>
        <v/>
      </c>
      <c r="Z150" s="1" t="str">
        <f>IFERROR(__xludf.DUMMYFUNCTION("""COMPUTED_VALUE"""),"Unknown")</f>
        <v>Unknown</v>
      </c>
      <c r="AA150" s="1" t="str">
        <f>IFERROR(__xludf.DUMMYFUNCTION("""COMPUTED_VALUE"""),"")</f>
        <v/>
      </c>
      <c r="AB150" s="1" t="str">
        <f>IFERROR(__xludf.DUMMYFUNCTION("""COMPUTED_VALUE"""),"")</f>
        <v/>
      </c>
      <c r="AC150" s="1" t="str">
        <f>IFERROR(__xludf.DUMMYFUNCTION("""COMPUTED_VALUE"""),"")</f>
        <v/>
      </c>
      <c r="AD150" s="1" t="str">
        <f>IFERROR(__xludf.DUMMYFUNCTION("""COMPUTED_VALUE"""),"")</f>
        <v/>
      </c>
      <c r="AE150" s="1" t="str">
        <f>IFERROR(__xludf.DUMMYFUNCTION("""COMPUTED_VALUE"""),"")</f>
        <v/>
      </c>
      <c r="AF150" s="1" t="str">
        <f>IFERROR(__xludf.DUMMYFUNCTION("""COMPUTED_VALUE"""),"")</f>
        <v/>
      </c>
      <c r="AG150" s="1" t="str">
        <f>IFERROR(__xludf.DUMMYFUNCTION("""COMPUTED_VALUE"""),"")</f>
        <v/>
      </c>
      <c r="AH150" s="1" t="str">
        <f>IFERROR(__xludf.DUMMYFUNCTION("""COMPUTED_VALUE"""),"Sci4GA")</f>
        <v>Sci4GA</v>
      </c>
      <c r="AI150" s="2" t="str">
        <f>IFERROR(__xludf.DUMMYFUNCTION("""COMPUTED_VALUE"""),"https://cdn.prod.website-files.com/62f4046c4606ae485a2c58ec/66c39e92b470df059c06bccf_ATL01-1_Spec%20Sheet_240814_Digital.pdf")</f>
        <v>https://cdn.prod.website-files.com/62f4046c4606ae485a2c58ec/66c39e92b470df059c06bccf_ATL01-1_Spec%20Sheet_240814_Digital.pdf</v>
      </c>
      <c r="AJ150" s="2" t="str">
        <f>IFERROR(__xludf.DUMMYFUNCTION("""COMPUTED_VALUE"""),"https://www.edged.us/atlanta")</f>
        <v>https://www.edged.us/atlanta</v>
      </c>
      <c r="AK150" s="1" t="str">
        <f>IFERROR(__xludf.DUMMYFUNCTION("""COMPUTED_VALUE"""),"")</f>
        <v/>
      </c>
      <c r="AL150" s="1" t="str">
        <f>IFERROR(__xludf.DUMMYFUNCTION("""COMPUTED_VALUE"""),"")</f>
        <v/>
      </c>
      <c r="AM150" s="1" t="str">
        <f>IFERROR(__xludf.DUMMYFUNCTION("""COMPUTED_VALUE"""),"")</f>
        <v/>
      </c>
      <c r="AN150" s="1" t="str">
        <f>IFERROR(__xludf.DUMMYFUNCTION("""COMPUTED_VALUE"""),"")</f>
        <v/>
      </c>
      <c r="AO150" s="1" t="str">
        <f>IFERROR(__xludf.DUMMYFUNCTION("""COMPUTED_VALUE"""),"")</f>
        <v/>
      </c>
      <c r="AP150" s="1" t="str">
        <f>IFERROR(__xludf.DUMMYFUNCTION("""COMPUTED_VALUE"""),"")</f>
        <v/>
      </c>
      <c r="AQ150" s="1" t="str">
        <f>IFERROR(__xludf.DUMMYFUNCTION("""COMPUTED_VALUE"""),"10/16/2025")</f>
        <v>10/16/2025</v>
      </c>
      <c r="AR150" s="1" t="str">
        <f>IFERROR(__xludf.DUMMYFUNCTION("""COMPUTED_VALUE"""),"10/16/2025")</f>
        <v>10/16/2025</v>
      </c>
    </row>
    <row r="151">
      <c r="A151" s="1" t="str">
        <f>IFERROR(__xludf.DUMMYFUNCTION("""COMPUTED_VALUE"""),"Edged ATL01-2")</f>
        <v>Edged ATL01-2</v>
      </c>
      <c r="B151" s="1" t="str">
        <f>IFERROR(__xludf.DUMMYFUNCTION("""COMPUTED_VALUE"""),"1760 Thomas Street NW")</f>
        <v>1760 Thomas Street NW</v>
      </c>
      <c r="C151" s="1" t="str">
        <f>IFERROR(__xludf.DUMMYFUNCTION("""COMPUTED_VALUE"""),"Atlanta")</f>
        <v>Atlanta</v>
      </c>
      <c r="D151" s="1" t="str">
        <f>IFERROR(__xludf.DUMMYFUNCTION("""COMPUTED_VALUE"""),"GA")</f>
        <v>GA</v>
      </c>
      <c r="E151" s="1" t="str">
        <f>IFERROR(__xludf.DUMMYFUNCTION("""COMPUTED_VALUE"""),"30318")</f>
        <v>30318</v>
      </c>
      <c r="F151" s="1" t="str">
        <f>IFERROR(__xludf.DUMMYFUNCTION("""COMPUTED_VALUE"""),"Fulton")</f>
        <v>Fulton</v>
      </c>
      <c r="G151" s="1" t="str">
        <f>IFERROR(__xludf.DUMMYFUNCTION("""COMPUTED_VALUE"""),"33.8084")</f>
        <v>33.8084</v>
      </c>
      <c r="H151" s="1" t="str">
        <f>IFERROR(__xludf.DUMMYFUNCTION("""COMPUTED_VALUE"""),"-84.45469")</f>
        <v>-84.45469</v>
      </c>
      <c r="I151" s="1" t="str">
        <f>IFERROR(__xludf.DUMMYFUNCTION("""COMPUTED_VALUE"""),"Operating")</f>
        <v>Operating</v>
      </c>
      <c r="J151" s="1" t="str">
        <f>IFERROR(__xludf.DUMMYFUNCTION("""COMPUTED_VALUE"""),"High")</f>
        <v>High</v>
      </c>
      <c r="K151" s="1" t="str">
        <f>IFERROR(__xludf.DUMMYFUNCTION("""COMPUTED_VALUE"""),"")</f>
        <v/>
      </c>
      <c r="L151" s="1" t="str">
        <f>IFERROR(__xludf.DUMMYFUNCTION("""COMPUTED_VALUE"""),"Edged")</f>
        <v>Edged</v>
      </c>
      <c r="M151" s="1" t="str">
        <f>IFERROR(__xludf.DUMMYFUNCTION("""COMPUTED_VALUE"""),"")</f>
        <v/>
      </c>
      <c r="N151" s="1" t="str">
        <f>IFERROR(__xludf.DUMMYFUNCTION("""COMPUTED_VALUE"""),"100")</f>
        <v>100</v>
      </c>
      <c r="O151" s="1" t="str">
        <f>IFERROR(__xludf.DUMMYFUNCTION("""COMPUTED_VALUE"""),"Hyperscale (100-999 MW)")</f>
        <v>Hyperscale (100-999 MW)</v>
      </c>
      <c r="P151" s="1" t="str">
        <f>IFERROR(__xludf.DUMMYFUNCTION("""COMPUTED_VALUE"""),"")</f>
        <v/>
      </c>
      <c r="Q151" s="1" t="str">
        <f>IFERROR(__xludf.DUMMYFUNCTION("""COMPUTED_VALUE"""),"")</f>
        <v/>
      </c>
      <c r="R151" s="1" t="str">
        <f>IFERROR(__xludf.DUMMYFUNCTION("""COMPUTED_VALUE"""),"")</f>
        <v/>
      </c>
      <c r="S151" s="1" t="str">
        <f>IFERROR(__xludf.DUMMYFUNCTION("""COMPUTED_VALUE"""),"")</f>
        <v/>
      </c>
      <c r="T151" s="1" t="str">
        <f>IFERROR(__xludf.DUMMYFUNCTION("""COMPUTED_VALUE"""),"")</f>
        <v/>
      </c>
      <c r="U151" s="1" t="str">
        <f>IFERROR(__xludf.DUMMYFUNCTION("""COMPUTED_VALUE"""),"")</f>
        <v/>
      </c>
      <c r="V151" s="1" t="str">
        <f>IFERROR(__xludf.DUMMYFUNCTION("""COMPUTED_VALUE"""),"")</f>
        <v/>
      </c>
      <c r="W151" s="1" t="str">
        <f>IFERROR(__xludf.DUMMYFUNCTION("""COMPUTED_VALUE"""),"")</f>
        <v/>
      </c>
      <c r="X151" s="1" t="str">
        <f>IFERROR(__xludf.DUMMYFUNCTION("""COMPUTED_VALUE"""),"")</f>
        <v/>
      </c>
      <c r="Y151" s="1" t="str">
        <f>IFERROR(__xludf.DUMMYFUNCTION("""COMPUTED_VALUE"""),"")</f>
        <v/>
      </c>
      <c r="Z151" s="1" t="str">
        <f>IFERROR(__xludf.DUMMYFUNCTION("""COMPUTED_VALUE"""),"Unknown")</f>
        <v>Unknown</v>
      </c>
      <c r="AA151" s="1" t="str">
        <f>IFERROR(__xludf.DUMMYFUNCTION("""COMPUTED_VALUE"""),"")</f>
        <v/>
      </c>
      <c r="AB151" s="1" t="str">
        <f>IFERROR(__xludf.DUMMYFUNCTION("""COMPUTED_VALUE"""),"")</f>
        <v/>
      </c>
      <c r="AC151" s="1" t="str">
        <f>IFERROR(__xludf.DUMMYFUNCTION("""COMPUTED_VALUE"""),"")</f>
        <v/>
      </c>
      <c r="AD151" s="1" t="str">
        <f>IFERROR(__xludf.DUMMYFUNCTION("""COMPUTED_VALUE"""),"")</f>
        <v/>
      </c>
      <c r="AE151" s="1" t="str">
        <f>IFERROR(__xludf.DUMMYFUNCTION("""COMPUTED_VALUE"""),"")</f>
        <v/>
      </c>
      <c r="AF151" s="1" t="str">
        <f>IFERROR(__xludf.DUMMYFUNCTION("""COMPUTED_VALUE"""),"")</f>
        <v/>
      </c>
      <c r="AG151" s="1" t="str">
        <f>IFERROR(__xludf.DUMMYFUNCTION("""COMPUTED_VALUE"""),"")</f>
        <v/>
      </c>
      <c r="AH151" s="1" t="str">
        <f>IFERROR(__xludf.DUMMYFUNCTION("""COMPUTED_VALUE"""),"Sci4GA")</f>
        <v>Sci4GA</v>
      </c>
      <c r="AI151" s="2" t="str">
        <f>IFERROR(__xludf.DUMMYFUNCTION("""COMPUTED_VALUE"""),"https://www.edged.us/atlanta")</f>
        <v>https://www.edged.us/atlanta</v>
      </c>
      <c r="AJ151" s="1" t="str">
        <f>IFERROR(__xludf.DUMMYFUNCTION("""COMPUTED_VALUE"""),"")</f>
        <v/>
      </c>
      <c r="AK151" s="1" t="str">
        <f>IFERROR(__xludf.DUMMYFUNCTION("""COMPUTED_VALUE"""),"")</f>
        <v/>
      </c>
      <c r="AL151" s="1" t="str">
        <f>IFERROR(__xludf.DUMMYFUNCTION("""COMPUTED_VALUE"""),"")</f>
        <v/>
      </c>
      <c r="AM151" s="1" t="str">
        <f>IFERROR(__xludf.DUMMYFUNCTION("""COMPUTED_VALUE"""),"")</f>
        <v/>
      </c>
      <c r="AN151" s="1" t="str">
        <f>IFERROR(__xludf.DUMMYFUNCTION("""COMPUTED_VALUE"""),"")</f>
        <v/>
      </c>
      <c r="AO151" s="1" t="str">
        <f>IFERROR(__xludf.DUMMYFUNCTION("""COMPUTED_VALUE"""),"")</f>
        <v/>
      </c>
      <c r="AP151" s="1" t="str">
        <f>IFERROR(__xludf.DUMMYFUNCTION("""COMPUTED_VALUE"""),"")</f>
        <v/>
      </c>
      <c r="AQ151" s="1" t="str">
        <f>IFERROR(__xludf.DUMMYFUNCTION("""COMPUTED_VALUE"""),"10/16/2025")</f>
        <v>10/16/2025</v>
      </c>
      <c r="AR151" s="1" t="str">
        <f>IFERROR(__xludf.DUMMYFUNCTION("""COMPUTED_VALUE"""),"10/16/2025")</f>
        <v>10/16/2025</v>
      </c>
    </row>
    <row r="152">
      <c r="A152" s="1" t="str">
        <f>IFERROR(__xludf.DUMMYFUNCTION("""COMPUTED_VALUE"""),"Edged ATL01-3")</f>
        <v>Edged ATL01-3</v>
      </c>
      <c r="B152" s="1" t="str">
        <f>IFERROR(__xludf.DUMMYFUNCTION("""COMPUTED_VALUE"""),"1740 Thomas Street NW")</f>
        <v>1740 Thomas Street NW</v>
      </c>
      <c r="C152" s="1" t="str">
        <f>IFERROR(__xludf.DUMMYFUNCTION("""COMPUTED_VALUE"""),"Atlanta")</f>
        <v>Atlanta</v>
      </c>
      <c r="D152" s="1" t="str">
        <f>IFERROR(__xludf.DUMMYFUNCTION("""COMPUTED_VALUE"""),"GA")</f>
        <v>GA</v>
      </c>
      <c r="E152" s="1" t="str">
        <f>IFERROR(__xludf.DUMMYFUNCTION("""COMPUTED_VALUE"""),"30318")</f>
        <v>30318</v>
      </c>
      <c r="F152" s="1" t="str">
        <f>IFERROR(__xludf.DUMMYFUNCTION("""COMPUTED_VALUE"""),"Fulton")</f>
        <v>Fulton</v>
      </c>
      <c r="G152" s="1" t="str">
        <f>IFERROR(__xludf.DUMMYFUNCTION("""COMPUTED_VALUE"""),"33.8084")</f>
        <v>33.8084</v>
      </c>
      <c r="H152" s="1" t="str">
        <f>IFERROR(__xludf.DUMMYFUNCTION("""COMPUTED_VALUE"""),"-84.45469")</f>
        <v>-84.45469</v>
      </c>
      <c r="I152" s="1" t="str">
        <f>IFERROR(__xludf.DUMMYFUNCTION("""COMPUTED_VALUE"""),"Operating")</f>
        <v>Operating</v>
      </c>
      <c r="J152" s="1" t="str">
        <f>IFERROR(__xludf.DUMMYFUNCTION("""COMPUTED_VALUE"""),"High")</f>
        <v>High</v>
      </c>
      <c r="K152" s="1" t="str">
        <f>IFERROR(__xludf.DUMMYFUNCTION("""COMPUTED_VALUE"""),"")</f>
        <v/>
      </c>
      <c r="L152" s="1" t="str">
        <f>IFERROR(__xludf.DUMMYFUNCTION("""COMPUTED_VALUE"""),"Edged")</f>
        <v>Edged</v>
      </c>
      <c r="M152" s="1" t="str">
        <f>IFERROR(__xludf.DUMMYFUNCTION("""COMPUTED_VALUE"""),"")</f>
        <v/>
      </c>
      <c r="N152" s="1" t="str">
        <f>IFERROR(__xludf.DUMMYFUNCTION("""COMPUTED_VALUE"""),"42")</f>
        <v>42</v>
      </c>
      <c r="O152" s="1" t="str">
        <f>IFERROR(__xludf.DUMMYFUNCTION("""COMPUTED_VALUE"""),"Medium (11-50 MW)")</f>
        <v>Medium (11-50 MW)</v>
      </c>
      <c r="P152" s="1" t="str">
        <f>IFERROR(__xludf.DUMMYFUNCTION("""COMPUTED_VALUE"""),"")</f>
        <v/>
      </c>
      <c r="Q152" s="1" t="str">
        <f>IFERROR(__xludf.DUMMYFUNCTION("""COMPUTED_VALUE"""),"")</f>
        <v/>
      </c>
      <c r="R152" s="1" t="str">
        <f>IFERROR(__xludf.DUMMYFUNCTION("""COMPUTED_VALUE"""),"")</f>
        <v/>
      </c>
      <c r="S152" s="1" t="str">
        <f>IFERROR(__xludf.DUMMYFUNCTION("""COMPUTED_VALUE"""),"")</f>
        <v/>
      </c>
      <c r="T152" s="1" t="str">
        <f>IFERROR(__xludf.DUMMYFUNCTION("""COMPUTED_VALUE"""),"")</f>
        <v/>
      </c>
      <c r="U152" s="1" t="str">
        <f>IFERROR(__xludf.DUMMYFUNCTION("""COMPUTED_VALUE"""),"")</f>
        <v/>
      </c>
      <c r="V152" s="1" t="str">
        <f>IFERROR(__xludf.DUMMYFUNCTION("""COMPUTED_VALUE"""),"")</f>
        <v/>
      </c>
      <c r="W152" s="1" t="str">
        <f>IFERROR(__xludf.DUMMYFUNCTION("""COMPUTED_VALUE"""),"")</f>
        <v/>
      </c>
      <c r="X152" s="1" t="str">
        <f>IFERROR(__xludf.DUMMYFUNCTION("""COMPUTED_VALUE"""),"")</f>
        <v/>
      </c>
      <c r="Y152" s="1" t="str">
        <f>IFERROR(__xludf.DUMMYFUNCTION("""COMPUTED_VALUE"""),"")</f>
        <v/>
      </c>
      <c r="Z152" s="1" t="str">
        <f>IFERROR(__xludf.DUMMYFUNCTION("""COMPUTED_VALUE"""),"Unknown")</f>
        <v>Unknown</v>
      </c>
      <c r="AA152" s="1" t="str">
        <f>IFERROR(__xludf.DUMMYFUNCTION("""COMPUTED_VALUE"""),"")</f>
        <v/>
      </c>
      <c r="AB152" s="1" t="str">
        <f>IFERROR(__xludf.DUMMYFUNCTION("""COMPUTED_VALUE"""),"")</f>
        <v/>
      </c>
      <c r="AC152" s="1" t="str">
        <f>IFERROR(__xludf.DUMMYFUNCTION("""COMPUTED_VALUE"""),"")</f>
        <v/>
      </c>
      <c r="AD152" s="1" t="str">
        <f>IFERROR(__xludf.DUMMYFUNCTION("""COMPUTED_VALUE"""),"")</f>
        <v/>
      </c>
      <c r="AE152" s="1" t="str">
        <f>IFERROR(__xludf.DUMMYFUNCTION("""COMPUTED_VALUE"""),"")</f>
        <v/>
      </c>
      <c r="AF152" s="1" t="str">
        <f>IFERROR(__xludf.DUMMYFUNCTION("""COMPUTED_VALUE"""),"")</f>
        <v/>
      </c>
      <c r="AG152" s="1" t="str">
        <f>IFERROR(__xludf.DUMMYFUNCTION("""COMPUTED_VALUE"""),"")</f>
        <v/>
      </c>
      <c r="AH152" s="1" t="str">
        <f>IFERROR(__xludf.DUMMYFUNCTION("""COMPUTED_VALUE"""),"Sci4GA")</f>
        <v>Sci4GA</v>
      </c>
      <c r="AI152" s="2" t="str">
        <f>IFERROR(__xludf.DUMMYFUNCTION("""COMPUTED_VALUE"""),"https://www.edged.us/news/edged-atlanta-begins-construction-on-180-mw-ultra-efficient-mega-project")</f>
        <v>https://www.edged.us/news/edged-atlanta-begins-construction-on-180-mw-ultra-efficient-mega-project</v>
      </c>
      <c r="AJ152" s="2" t="str">
        <f>IFERROR(__xludf.DUMMYFUNCTION("""COMPUTED_VALUE"""),"https://www.edged.us/atlanta")</f>
        <v>https://www.edged.us/atlanta</v>
      </c>
      <c r="AK152" s="2" t="str">
        <f>IFERROR(__xludf.DUMMYFUNCTION("""COMPUTED_VALUE"""),"https://www.datacenterdynamics.com/en/news/edged-tops-out-42mw-data-center-in-atlanta-georgia/")</f>
        <v>https://www.datacenterdynamics.com/en/news/edged-tops-out-42mw-data-center-in-atlanta-georgia/</v>
      </c>
      <c r="AL152" s="1" t="str">
        <f>IFERROR(__xludf.DUMMYFUNCTION("""COMPUTED_VALUE"""),"")</f>
        <v/>
      </c>
      <c r="AM152" s="1" t="str">
        <f>IFERROR(__xludf.DUMMYFUNCTION("""COMPUTED_VALUE"""),"")</f>
        <v/>
      </c>
      <c r="AN152" s="1" t="str">
        <f>IFERROR(__xludf.DUMMYFUNCTION("""COMPUTED_VALUE"""),"")</f>
        <v/>
      </c>
      <c r="AO152" s="1" t="str">
        <f>IFERROR(__xludf.DUMMYFUNCTION("""COMPUTED_VALUE"""),"")</f>
        <v/>
      </c>
      <c r="AP152" s="1" t="str">
        <f>IFERROR(__xludf.DUMMYFUNCTION("""COMPUTED_VALUE"""),"")</f>
        <v/>
      </c>
      <c r="AQ152" s="1" t="str">
        <f>IFERROR(__xludf.DUMMYFUNCTION("""COMPUTED_VALUE"""),"10/16/2025")</f>
        <v>10/16/2025</v>
      </c>
      <c r="AR152" s="1" t="str">
        <f>IFERROR(__xludf.DUMMYFUNCTION("""COMPUTED_VALUE"""),"05/05/2026")</f>
        <v>05/05/2026</v>
      </c>
    </row>
    <row r="153">
      <c r="A153" s="1" t="str">
        <f>IFERROR(__xludf.DUMMYFUNCTION("""COMPUTED_VALUE"""),"Equinix Atlanta AT1")</f>
        <v>Equinix Atlanta AT1</v>
      </c>
      <c r="B153" s="1" t="str">
        <f>IFERROR(__xludf.DUMMYFUNCTION("""COMPUTED_VALUE"""),"180 Peachtree Street NW (2nd &amp; 6th floors)")</f>
        <v>180 Peachtree Street NW (2nd &amp; 6th floors)</v>
      </c>
      <c r="C153" s="1" t="str">
        <f>IFERROR(__xludf.DUMMYFUNCTION("""COMPUTED_VALUE"""),"Atlanta")</f>
        <v>Atlanta</v>
      </c>
      <c r="D153" s="1" t="str">
        <f>IFERROR(__xludf.DUMMYFUNCTION("""COMPUTED_VALUE"""),"GA")</f>
        <v>GA</v>
      </c>
      <c r="E153" s="1" t="str">
        <f>IFERROR(__xludf.DUMMYFUNCTION("""COMPUTED_VALUE"""),"30303")</f>
        <v>30303</v>
      </c>
      <c r="F153" s="1" t="str">
        <f>IFERROR(__xludf.DUMMYFUNCTION("""COMPUTED_VALUE"""),"Fulton")</f>
        <v>Fulton</v>
      </c>
      <c r="G153" s="1" t="str">
        <f>IFERROR(__xludf.DUMMYFUNCTION("""COMPUTED_VALUE"""),"33.758602")</f>
        <v>33.758602</v>
      </c>
      <c r="H153" s="1" t="str">
        <f>IFERROR(__xludf.DUMMYFUNCTION("""COMPUTED_VALUE"""),"-84.387856")</f>
        <v>-84.387856</v>
      </c>
      <c r="I153" s="1" t="str">
        <f>IFERROR(__xludf.DUMMYFUNCTION("""COMPUTED_VALUE"""),"Operating")</f>
        <v>Operating</v>
      </c>
      <c r="J153" s="1" t="str">
        <f>IFERROR(__xludf.DUMMYFUNCTION("""COMPUTED_VALUE"""),"High")</f>
        <v>High</v>
      </c>
      <c r="K153" s="1" t="str">
        <f>IFERROR(__xludf.DUMMYFUNCTION("""COMPUTED_VALUE"""),"")</f>
        <v/>
      </c>
      <c r="L153" s="1" t="str">
        <f>IFERROR(__xludf.DUMMYFUNCTION("""COMPUTED_VALUE"""),"Equinix")</f>
        <v>Equinix</v>
      </c>
      <c r="M153" s="1" t="str">
        <f>IFERROR(__xludf.DUMMYFUNCTION("""COMPUTED_VALUE"""),"")</f>
        <v/>
      </c>
      <c r="N153" s="1" t="str">
        <f>IFERROR(__xludf.DUMMYFUNCTION("""COMPUTED_VALUE"""),"4")</f>
        <v>4</v>
      </c>
      <c r="O153" s="1" t="str">
        <f>IFERROR(__xludf.DUMMYFUNCTION("""COMPUTED_VALUE"""),"Small (0-10 MW)")</f>
        <v>Small (0-10 MW)</v>
      </c>
      <c r="P153" s="1" t="str">
        <f>IFERROR(__xludf.DUMMYFUNCTION("""COMPUTED_VALUE"""),"")</f>
        <v/>
      </c>
      <c r="Q153" s="1" t="str">
        <f>IFERROR(__xludf.DUMMYFUNCTION("""COMPUTED_VALUE"""),"")</f>
        <v/>
      </c>
      <c r="R153" s="1" t="str">
        <f>IFERROR(__xludf.DUMMYFUNCTION("""COMPUTED_VALUE"""),"")</f>
        <v/>
      </c>
      <c r="S153" s="1" t="str">
        <f>IFERROR(__xludf.DUMMYFUNCTION("""COMPUTED_VALUE"""),"")</f>
        <v/>
      </c>
      <c r="T153" s="1" t="str">
        <f>IFERROR(__xludf.DUMMYFUNCTION("""COMPUTED_VALUE"""),"")</f>
        <v/>
      </c>
      <c r="U153" s="1" t="str">
        <f>IFERROR(__xludf.DUMMYFUNCTION("""COMPUTED_VALUE"""),"")</f>
        <v/>
      </c>
      <c r="V153" s="1" t="str">
        <f>IFERROR(__xludf.DUMMYFUNCTION("""COMPUTED_VALUE"""),"")</f>
        <v/>
      </c>
      <c r="W153" s="1" t="str">
        <f>IFERROR(__xludf.DUMMYFUNCTION("""COMPUTED_VALUE"""),"")</f>
        <v/>
      </c>
      <c r="X153" s="1" t="str">
        <f>IFERROR(__xludf.DUMMYFUNCTION("""COMPUTED_VALUE"""),"")</f>
        <v/>
      </c>
      <c r="Y153" s="1" t="str">
        <f>IFERROR(__xludf.DUMMYFUNCTION("""COMPUTED_VALUE"""),"")</f>
        <v/>
      </c>
      <c r="Z153" s="1" t="str">
        <f>IFERROR(__xludf.DUMMYFUNCTION("""COMPUTED_VALUE"""),"Unknown")</f>
        <v>Unknown</v>
      </c>
      <c r="AA153" s="1" t="str">
        <f>IFERROR(__xludf.DUMMYFUNCTION("""COMPUTED_VALUE"""),"")</f>
        <v/>
      </c>
      <c r="AB153" s="1" t="str">
        <f>IFERROR(__xludf.DUMMYFUNCTION("""COMPUTED_VALUE"""),"")</f>
        <v/>
      </c>
      <c r="AC153" s="1" t="str">
        <f>IFERROR(__xludf.DUMMYFUNCTION("""COMPUTED_VALUE"""),"")</f>
        <v/>
      </c>
      <c r="AD153" s="1" t="str">
        <f>IFERROR(__xludf.DUMMYFUNCTION("""COMPUTED_VALUE"""),"")</f>
        <v/>
      </c>
      <c r="AE153" s="1" t="str">
        <f>IFERROR(__xludf.DUMMYFUNCTION("""COMPUTED_VALUE"""),"")</f>
        <v/>
      </c>
      <c r="AF153" s="1" t="str">
        <f>IFERROR(__xludf.DUMMYFUNCTION("""COMPUTED_VALUE"""),"")</f>
        <v/>
      </c>
      <c r="AG153" s="1" t="str">
        <f>IFERROR(__xludf.DUMMYFUNCTION("""COMPUTED_VALUE"""),"")</f>
        <v/>
      </c>
      <c r="AH153" s="1" t="str">
        <f>IFERROR(__xludf.DUMMYFUNCTION("""COMPUTED_VALUE"""),"Sci4GA")</f>
        <v>Sci4GA</v>
      </c>
      <c r="AI153" s="2" t="str">
        <f>IFERROR(__xludf.DUMMYFUNCTION("""COMPUTED_VALUE"""),"https://baxtel.com/data-center/equinix-atlanta-at1")</f>
        <v>https://baxtel.com/data-center/equinix-atlanta-at1</v>
      </c>
      <c r="AJ153" s="1" t="str">
        <f>IFERROR(__xludf.DUMMYFUNCTION("""COMPUTED_VALUE"""),"")</f>
        <v/>
      </c>
      <c r="AK153" s="1" t="str">
        <f>IFERROR(__xludf.DUMMYFUNCTION("""COMPUTED_VALUE"""),"")</f>
        <v/>
      </c>
      <c r="AL153" s="1" t="str">
        <f>IFERROR(__xludf.DUMMYFUNCTION("""COMPUTED_VALUE"""),"")</f>
        <v/>
      </c>
      <c r="AM153" s="1" t="str">
        <f>IFERROR(__xludf.DUMMYFUNCTION("""COMPUTED_VALUE"""),"")</f>
        <v/>
      </c>
      <c r="AN153" s="1" t="str">
        <f>IFERROR(__xludf.DUMMYFUNCTION("""COMPUTED_VALUE"""),"")</f>
        <v/>
      </c>
      <c r="AO153" s="1" t="str">
        <f>IFERROR(__xludf.DUMMYFUNCTION("""COMPUTED_VALUE"""),"")</f>
        <v/>
      </c>
      <c r="AP153" s="1" t="str">
        <f>IFERROR(__xludf.DUMMYFUNCTION("""COMPUTED_VALUE"""),"")</f>
        <v/>
      </c>
      <c r="AQ153" s="1" t="str">
        <f>IFERROR(__xludf.DUMMYFUNCTION("""COMPUTED_VALUE"""),"10/16/2025")</f>
        <v>10/16/2025</v>
      </c>
      <c r="AR153" s="1" t="str">
        <f>IFERROR(__xludf.DUMMYFUNCTION("""COMPUTED_VALUE"""),"10/16/2025")</f>
        <v>10/16/2025</v>
      </c>
    </row>
    <row r="154">
      <c r="A154" s="1" t="str">
        <f>IFERROR(__xludf.DUMMYFUNCTION("""COMPUTED_VALUE"""),"Equinix Atlanta AT2 AT3")</f>
        <v>Equinix Atlanta AT2 AT3</v>
      </c>
      <c r="B154" s="1" t="str">
        <f>IFERROR(__xludf.DUMMYFUNCTION("""COMPUTED_VALUE"""),"56 Marietta Street NW (5th and 6th Floors)")</f>
        <v>56 Marietta Street NW (5th and 6th Floors)</v>
      </c>
      <c r="C154" s="1" t="str">
        <f>IFERROR(__xludf.DUMMYFUNCTION("""COMPUTED_VALUE"""),"Atlanta")</f>
        <v>Atlanta</v>
      </c>
      <c r="D154" s="1" t="str">
        <f>IFERROR(__xludf.DUMMYFUNCTION("""COMPUTED_VALUE"""),"GA")</f>
        <v>GA</v>
      </c>
      <c r="E154" s="1" t="str">
        <f>IFERROR(__xludf.DUMMYFUNCTION("""COMPUTED_VALUE"""),"30303")</f>
        <v>30303</v>
      </c>
      <c r="F154" s="1" t="str">
        <f>IFERROR(__xludf.DUMMYFUNCTION("""COMPUTED_VALUE"""),"Fulton")</f>
        <v>Fulton</v>
      </c>
      <c r="G154" s="1" t="str">
        <f>IFERROR(__xludf.DUMMYFUNCTION("""COMPUTED_VALUE"""),"33.75543")</f>
        <v>33.75543</v>
      </c>
      <c r="H154" s="1" t="str">
        <f>IFERROR(__xludf.DUMMYFUNCTION("""COMPUTED_VALUE"""),"-84.39146")</f>
        <v>-84.39146</v>
      </c>
      <c r="I154" s="1" t="str">
        <f>IFERROR(__xludf.DUMMYFUNCTION("""COMPUTED_VALUE"""),"Operating")</f>
        <v>Operating</v>
      </c>
      <c r="J154" s="1" t="str">
        <f>IFERROR(__xludf.DUMMYFUNCTION("""COMPUTED_VALUE"""),"High")</f>
        <v>High</v>
      </c>
      <c r="K154" s="1" t="str">
        <f>IFERROR(__xludf.DUMMYFUNCTION("""COMPUTED_VALUE"""),"")</f>
        <v/>
      </c>
      <c r="L154" s="1" t="str">
        <f>IFERROR(__xludf.DUMMYFUNCTION("""COMPUTED_VALUE"""),"Equinix")</f>
        <v>Equinix</v>
      </c>
      <c r="M154" s="1" t="str">
        <f>IFERROR(__xludf.DUMMYFUNCTION("""COMPUTED_VALUE"""),"")</f>
        <v/>
      </c>
      <c r="N154" s="1" t="str">
        <f>IFERROR(__xludf.DUMMYFUNCTION("""COMPUTED_VALUE"""),"1")</f>
        <v>1</v>
      </c>
      <c r="O154" s="1" t="str">
        <f>IFERROR(__xludf.DUMMYFUNCTION("""COMPUTED_VALUE"""),"Small (0-10 MW)")</f>
        <v>Small (0-10 MW)</v>
      </c>
      <c r="P154" s="1" t="str">
        <f>IFERROR(__xludf.DUMMYFUNCTION("""COMPUTED_VALUE"""),"")</f>
        <v/>
      </c>
      <c r="Q154" s="1" t="str">
        <f>IFERROR(__xludf.DUMMYFUNCTION("""COMPUTED_VALUE"""),"")</f>
        <v/>
      </c>
      <c r="R154" s="1" t="str">
        <f>IFERROR(__xludf.DUMMYFUNCTION("""COMPUTED_VALUE"""),"")</f>
        <v/>
      </c>
      <c r="S154" s="1" t="str">
        <f>IFERROR(__xludf.DUMMYFUNCTION("""COMPUTED_VALUE"""),"")</f>
        <v/>
      </c>
      <c r="T154" s="1" t="str">
        <f>IFERROR(__xludf.DUMMYFUNCTION("""COMPUTED_VALUE"""),"")</f>
        <v/>
      </c>
      <c r="U154" s="1" t="str">
        <f>IFERROR(__xludf.DUMMYFUNCTION("""COMPUTED_VALUE"""),"")</f>
        <v/>
      </c>
      <c r="V154" s="1" t="str">
        <f>IFERROR(__xludf.DUMMYFUNCTION("""COMPUTED_VALUE"""),"")</f>
        <v/>
      </c>
      <c r="W154" s="1" t="str">
        <f>IFERROR(__xludf.DUMMYFUNCTION("""COMPUTED_VALUE"""),"")</f>
        <v/>
      </c>
      <c r="X154" s="1" t="str">
        <f>IFERROR(__xludf.DUMMYFUNCTION("""COMPUTED_VALUE"""),"")</f>
        <v/>
      </c>
      <c r="Y154" s="1" t="str">
        <f>IFERROR(__xludf.DUMMYFUNCTION("""COMPUTED_VALUE"""),"")</f>
        <v/>
      </c>
      <c r="Z154" s="1" t="str">
        <f>IFERROR(__xludf.DUMMYFUNCTION("""COMPUTED_VALUE"""),"Unknown")</f>
        <v>Unknown</v>
      </c>
      <c r="AA154" s="1" t="str">
        <f>IFERROR(__xludf.DUMMYFUNCTION("""COMPUTED_VALUE"""),"")</f>
        <v/>
      </c>
      <c r="AB154" s="1" t="str">
        <f>IFERROR(__xludf.DUMMYFUNCTION("""COMPUTED_VALUE"""),"")</f>
        <v/>
      </c>
      <c r="AC154" s="1" t="str">
        <f>IFERROR(__xludf.DUMMYFUNCTION("""COMPUTED_VALUE"""),"")</f>
        <v/>
      </c>
      <c r="AD154" s="1" t="str">
        <f>IFERROR(__xludf.DUMMYFUNCTION("""COMPUTED_VALUE"""),"")</f>
        <v/>
      </c>
      <c r="AE154" s="1" t="str">
        <f>IFERROR(__xludf.DUMMYFUNCTION("""COMPUTED_VALUE"""),"")</f>
        <v/>
      </c>
      <c r="AF154" s="1" t="str">
        <f>IFERROR(__xludf.DUMMYFUNCTION("""COMPUTED_VALUE"""),"")</f>
        <v/>
      </c>
      <c r="AG154" s="1" t="str">
        <f>IFERROR(__xludf.DUMMYFUNCTION("""COMPUTED_VALUE"""),"")</f>
        <v/>
      </c>
      <c r="AH154" s="1" t="str">
        <f>IFERROR(__xludf.DUMMYFUNCTION("""COMPUTED_VALUE"""),"Sci4GA")</f>
        <v>Sci4GA</v>
      </c>
      <c r="AI154" s="2" t="str">
        <f>IFERROR(__xludf.DUMMYFUNCTION("""COMPUTED_VALUE"""),"https://baxtel.com/data-center/equinix-atlanta-at2-at3")</f>
        <v>https://baxtel.com/data-center/equinix-atlanta-at2-at3</v>
      </c>
      <c r="AJ154" s="1" t="str">
        <f>IFERROR(__xludf.DUMMYFUNCTION("""COMPUTED_VALUE"""),"")</f>
        <v/>
      </c>
      <c r="AK154" s="1" t="str">
        <f>IFERROR(__xludf.DUMMYFUNCTION("""COMPUTED_VALUE"""),"")</f>
        <v/>
      </c>
      <c r="AL154" s="1" t="str">
        <f>IFERROR(__xludf.DUMMYFUNCTION("""COMPUTED_VALUE"""),"")</f>
        <v/>
      </c>
      <c r="AM154" s="1" t="str">
        <f>IFERROR(__xludf.DUMMYFUNCTION("""COMPUTED_VALUE"""),"")</f>
        <v/>
      </c>
      <c r="AN154" s="1" t="str">
        <f>IFERROR(__xludf.DUMMYFUNCTION("""COMPUTED_VALUE"""),"")</f>
        <v/>
      </c>
      <c r="AO154" s="1" t="str">
        <f>IFERROR(__xludf.DUMMYFUNCTION("""COMPUTED_VALUE"""),"")</f>
        <v/>
      </c>
      <c r="AP154" s="1" t="str">
        <f>IFERROR(__xludf.DUMMYFUNCTION("""COMPUTED_VALUE"""),"")</f>
        <v/>
      </c>
      <c r="AQ154" s="1" t="str">
        <f>IFERROR(__xludf.DUMMYFUNCTION("""COMPUTED_VALUE"""),"10/16/2025")</f>
        <v>10/16/2025</v>
      </c>
      <c r="AR154" s="1" t="str">
        <f>IFERROR(__xludf.DUMMYFUNCTION("""COMPUTED_VALUE"""),"10/16/2025")</f>
        <v>10/16/2025</v>
      </c>
    </row>
    <row r="155">
      <c r="A155" s="1" t="str">
        <f>IFERROR(__xludf.DUMMYFUNCTION("""COMPUTED_VALUE"""),"Equinix Atlanta AT4")</f>
        <v>Equinix Atlanta AT4</v>
      </c>
      <c r="B155" s="1" t="str">
        <f>IFERROR(__xludf.DUMMYFUNCTION("""COMPUTED_VALUE"""),"450 Interstate Parkway North")</f>
        <v>450 Interstate Parkway North</v>
      </c>
      <c r="C155" s="1" t="str">
        <f>IFERROR(__xludf.DUMMYFUNCTION("""COMPUTED_VALUE"""),"Atlanta")</f>
        <v>Atlanta</v>
      </c>
      <c r="D155" s="1" t="str">
        <f>IFERROR(__xludf.DUMMYFUNCTION("""COMPUTED_VALUE"""),"GA")</f>
        <v>GA</v>
      </c>
      <c r="E155" s="1" t="str">
        <f>IFERROR(__xludf.DUMMYFUNCTION("""COMPUTED_VALUE"""),"30339")</f>
        <v>30339</v>
      </c>
      <c r="F155" s="1" t="str">
        <f>IFERROR(__xludf.DUMMYFUNCTION("""COMPUTED_VALUE"""),"Cobb")</f>
        <v>Cobb</v>
      </c>
      <c r="G155" s="1" t="str">
        <f>IFERROR(__xludf.DUMMYFUNCTION("""COMPUTED_VALUE"""),"33.895363")</f>
        <v>33.895363</v>
      </c>
      <c r="H155" s="1" t="str">
        <f>IFERROR(__xludf.DUMMYFUNCTION("""COMPUTED_VALUE"""),"-84.453636")</f>
        <v>-84.453636</v>
      </c>
      <c r="I155" s="1" t="str">
        <f>IFERROR(__xludf.DUMMYFUNCTION("""COMPUTED_VALUE"""),"Operating")</f>
        <v>Operating</v>
      </c>
      <c r="J155" s="1" t="str">
        <f>IFERROR(__xludf.DUMMYFUNCTION("""COMPUTED_VALUE"""),"High")</f>
        <v>High</v>
      </c>
      <c r="K155" s="1" t="str">
        <f>IFERROR(__xludf.DUMMYFUNCTION("""COMPUTED_VALUE"""),"")</f>
        <v/>
      </c>
      <c r="L155" s="1" t="str">
        <f>IFERROR(__xludf.DUMMYFUNCTION("""COMPUTED_VALUE"""),"Equinix")</f>
        <v>Equinix</v>
      </c>
      <c r="M155" s="1" t="str">
        <f>IFERROR(__xludf.DUMMYFUNCTION("""COMPUTED_VALUE"""),"")</f>
        <v/>
      </c>
      <c r="N155" s="1" t="str">
        <f>IFERROR(__xludf.DUMMYFUNCTION("""COMPUTED_VALUE"""),"12")</f>
        <v>12</v>
      </c>
      <c r="O155" s="1" t="str">
        <f>IFERROR(__xludf.DUMMYFUNCTION("""COMPUTED_VALUE"""),"Medium (11-50 MW)")</f>
        <v>Medium (11-50 MW)</v>
      </c>
      <c r="P155" s="1" t="str">
        <f>IFERROR(__xludf.DUMMYFUNCTION("""COMPUTED_VALUE"""),"")</f>
        <v/>
      </c>
      <c r="Q155" s="1" t="str">
        <f>IFERROR(__xludf.DUMMYFUNCTION("""COMPUTED_VALUE"""),"")</f>
        <v/>
      </c>
      <c r="R155" s="1" t="str">
        <f>IFERROR(__xludf.DUMMYFUNCTION("""COMPUTED_VALUE"""),"")</f>
        <v/>
      </c>
      <c r="S155" s="1" t="str">
        <f>IFERROR(__xludf.DUMMYFUNCTION("""COMPUTED_VALUE"""),"")</f>
        <v/>
      </c>
      <c r="T155" s="1" t="str">
        <f>IFERROR(__xludf.DUMMYFUNCTION("""COMPUTED_VALUE"""),"")</f>
        <v/>
      </c>
      <c r="U155" s="1" t="str">
        <f>IFERROR(__xludf.DUMMYFUNCTION("""COMPUTED_VALUE"""),"")</f>
        <v/>
      </c>
      <c r="V155" s="1" t="str">
        <f>IFERROR(__xludf.DUMMYFUNCTION("""COMPUTED_VALUE"""),"")</f>
        <v/>
      </c>
      <c r="W155" s="1" t="str">
        <f>IFERROR(__xludf.DUMMYFUNCTION("""COMPUTED_VALUE"""),"")</f>
        <v/>
      </c>
      <c r="X155" s="1" t="str">
        <f>IFERROR(__xludf.DUMMYFUNCTION("""COMPUTED_VALUE"""),"")</f>
        <v/>
      </c>
      <c r="Y155" s="1" t="str">
        <f>IFERROR(__xludf.DUMMYFUNCTION("""COMPUTED_VALUE"""),"")</f>
        <v/>
      </c>
      <c r="Z155" s="1" t="str">
        <f>IFERROR(__xludf.DUMMYFUNCTION("""COMPUTED_VALUE"""),"Unknown")</f>
        <v>Unknown</v>
      </c>
      <c r="AA155" s="1" t="str">
        <f>IFERROR(__xludf.DUMMYFUNCTION("""COMPUTED_VALUE"""),"")</f>
        <v/>
      </c>
      <c r="AB155" s="1" t="str">
        <f>IFERROR(__xludf.DUMMYFUNCTION("""COMPUTED_VALUE"""),"")</f>
        <v/>
      </c>
      <c r="AC155" s="1" t="str">
        <f>IFERROR(__xludf.DUMMYFUNCTION("""COMPUTED_VALUE"""),"")</f>
        <v/>
      </c>
      <c r="AD155" s="1" t="str">
        <f>IFERROR(__xludf.DUMMYFUNCTION("""COMPUTED_VALUE"""),"")</f>
        <v/>
      </c>
      <c r="AE155" s="1" t="str">
        <f>IFERROR(__xludf.DUMMYFUNCTION("""COMPUTED_VALUE"""),"")</f>
        <v/>
      </c>
      <c r="AF155" s="1" t="str">
        <f>IFERROR(__xludf.DUMMYFUNCTION("""COMPUTED_VALUE"""),"")</f>
        <v/>
      </c>
      <c r="AG155" s="1" t="str">
        <f>IFERROR(__xludf.DUMMYFUNCTION("""COMPUTED_VALUE"""),"")</f>
        <v/>
      </c>
      <c r="AH155" s="1" t="str">
        <f>IFERROR(__xludf.DUMMYFUNCTION("""COMPUTED_VALUE"""),"Sci4GA")</f>
        <v>Sci4GA</v>
      </c>
      <c r="AI155" s="1" t="str">
        <f>IFERROR(__xludf.DUMMYFUNCTION("""COMPUTED_VALUE"""),"")</f>
        <v/>
      </c>
      <c r="AJ155" s="1" t="str">
        <f>IFERROR(__xludf.DUMMYFUNCTION("""COMPUTED_VALUE"""),"")</f>
        <v/>
      </c>
      <c r="AK155" s="1" t="str">
        <f>IFERROR(__xludf.DUMMYFUNCTION("""COMPUTED_VALUE"""),"")</f>
        <v/>
      </c>
      <c r="AL155" s="1" t="str">
        <f>IFERROR(__xludf.DUMMYFUNCTION("""COMPUTED_VALUE"""),"")</f>
        <v/>
      </c>
      <c r="AM155" s="1" t="str">
        <f>IFERROR(__xludf.DUMMYFUNCTION("""COMPUTED_VALUE"""),"")</f>
        <v/>
      </c>
      <c r="AN155" s="1" t="str">
        <f>IFERROR(__xludf.DUMMYFUNCTION("""COMPUTED_VALUE"""),"")</f>
        <v/>
      </c>
      <c r="AO155" s="1" t="str">
        <f>IFERROR(__xludf.DUMMYFUNCTION("""COMPUTED_VALUE"""),"")</f>
        <v/>
      </c>
      <c r="AP155" s="1" t="str">
        <f>IFERROR(__xludf.DUMMYFUNCTION("""COMPUTED_VALUE"""),"")</f>
        <v/>
      </c>
      <c r="AQ155" s="1" t="str">
        <f>IFERROR(__xludf.DUMMYFUNCTION("""COMPUTED_VALUE"""),"10/16/2025")</f>
        <v>10/16/2025</v>
      </c>
      <c r="AR155" s="1" t="str">
        <f>IFERROR(__xludf.DUMMYFUNCTION("""COMPUTED_VALUE"""),"10/16/2025")</f>
        <v>10/16/2025</v>
      </c>
    </row>
    <row r="156">
      <c r="A156" s="1" t="str">
        <f>IFERROR(__xludf.DUMMYFUNCTION("""COMPUTED_VALUE"""),"FOGO Atlanta")</f>
        <v>FOGO Atlanta</v>
      </c>
      <c r="B156" s="1" t="str">
        <f>IFERROR(__xludf.DUMMYFUNCTION("""COMPUTED_VALUE"""),"56 Marietta Street")</f>
        <v>56 Marietta Street</v>
      </c>
      <c r="C156" s="1" t="str">
        <f>IFERROR(__xludf.DUMMYFUNCTION("""COMPUTED_VALUE"""),"Atlanta")</f>
        <v>Atlanta</v>
      </c>
      <c r="D156" s="1" t="str">
        <f>IFERROR(__xludf.DUMMYFUNCTION("""COMPUTED_VALUE"""),"GA")</f>
        <v>GA</v>
      </c>
      <c r="E156" s="1" t="str">
        <f>IFERROR(__xludf.DUMMYFUNCTION("""COMPUTED_VALUE"""),"30303")</f>
        <v>30303</v>
      </c>
      <c r="F156" s="1" t="str">
        <f>IFERROR(__xludf.DUMMYFUNCTION("""COMPUTED_VALUE"""),"Fulton")</f>
        <v>Fulton</v>
      </c>
      <c r="G156" s="1" t="str">
        <f>IFERROR(__xludf.DUMMYFUNCTION("""COMPUTED_VALUE"""),"33.75543")</f>
        <v>33.75543</v>
      </c>
      <c r="H156" s="1" t="str">
        <f>IFERROR(__xludf.DUMMYFUNCTION("""COMPUTED_VALUE"""),"-84.39146")</f>
        <v>-84.39146</v>
      </c>
      <c r="I156" s="1" t="str">
        <f>IFERROR(__xludf.DUMMYFUNCTION("""COMPUTED_VALUE"""),"Operating")</f>
        <v>Operating</v>
      </c>
      <c r="J156" s="1" t="str">
        <f>IFERROR(__xludf.DUMMYFUNCTION("""COMPUTED_VALUE"""),"High")</f>
        <v>High</v>
      </c>
      <c r="K156" s="1" t="str">
        <f>IFERROR(__xludf.DUMMYFUNCTION("""COMPUTED_VALUE"""),"")</f>
        <v/>
      </c>
      <c r="L156" s="1" t="str">
        <f>IFERROR(__xludf.DUMMYFUNCTION("""COMPUTED_VALUE"""),"FOGO Solutions")</f>
        <v>FOGO Solutions</v>
      </c>
      <c r="M156" s="1" t="str">
        <f>IFERROR(__xludf.DUMMYFUNCTION("""COMPUTED_VALUE"""),"")</f>
        <v/>
      </c>
      <c r="N156" s="1" t="str">
        <f>IFERROR(__xludf.DUMMYFUNCTION("""COMPUTED_VALUE"""),"")</f>
        <v/>
      </c>
      <c r="O156" s="1" t="str">
        <f>IFERROR(__xludf.DUMMYFUNCTION("""COMPUTED_VALUE"""),"Unknown")</f>
        <v>Unknown</v>
      </c>
      <c r="P156" s="1" t="str">
        <f>IFERROR(__xludf.DUMMYFUNCTION("""COMPUTED_VALUE"""),"")</f>
        <v/>
      </c>
      <c r="Q156" s="1" t="str">
        <f>IFERROR(__xludf.DUMMYFUNCTION("""COMPUTED_VALUE"""),"")</f>
        <v/>
      </c>
      <c r="R156" s="1" t="str">
        <f>IFERROR(__xludf.DUMMYFUNCTION("""COMPUTED_VALUE"""),"")</f>
        <v/>
      </c>
      <c r="S156" s="1" t="str">
        <f>IFERROR(__xludf.DUMMYFUNCTION("""COMPUTED_VALUE"""),"")</f>
        <v/>
      </c>
      <c r="T156" s="1" t="str">
        <f>IFERROR(__xludf.DUMMYFUNCTION("""COMPUTED_VALUE"""),"")</f>
        <v/>
      </c>
      <c r="U156" s="1" t="str">
        <f>IFERROR(__xludf.DUMMYFUNCTION("""COMPUTED_VALUE"""),"")</f>
        <v/>
      </c>
      <c r="V156" s="1" t="str">
        <f>IFERROR(__xludf.DUMMYFUNCTION("""COMPUTED_VALUE"""),"")</f>
        <v/>
      </c>
      <c r="W156" s="1" t="str">
        <f>IFERROR(__xludf.DUMMYFUNCTION("""COMPUTED_VALUE"""),"")</f>
        <v/>
      </c>
      <c r="X156" s="1" t="str">
        <f>IFERROR(__xludf.DUMMYFUNCTION("""COMPUTED_VALUE"""),"")</f>
        <v/>
      </c>
      <c r="Y156" s="1" t="str">
        <f>IFERROR(__xludf.DUMMYFUNCTION("""COMPUTED_VALUE"""),"")</f>
        <v/>
      </c>
      <c r="Z156" s="1" t="str">
        <f>IFERROR(__xludf.DUMMYFUNCTION("""COMPUTED_VALUE"""),"Unknown")</f>
        <v>Unknown</v>
      </c>
      <c r="AA156" s="1" t="str">
        <f>IFERROR(__xludf.DUMMYFUNCTION("""COMPUTED_VALUE"""),"")</f>
        <v/>
      </c>
      <c r="AB156" s="1" t="str">
        <f>IFERROR(__xludf.DUMMYFUNCTION("""COMPUTED_VALUE"""),"")</f>
        <v/>
      </c>
      <c r="AC156" s="1" t="str">
        <f>IFERROR(__xludf.DUMMYFUNCTION("""COMPUTED_VALUE"""),"")</f>
        <v/>
      </c>
      <c r="AD156" s="1" t="str">
        <f>IFERROR(__xludf.DUMMYFUNCTION("""COMPUTED_VALUE"""),"")</f>
        <v/>
      </c>
      <c r="AE156" s="1" t="str">
        <f>IFERROR(__xludf.DUMMYFUNCTION("""COMPUTED_VALUE"""),"")</f>
        <v/>
      </c>
      <c r="AF156" s="1" t="str">
        <f>IFERROR(__xludf.DUMMYFUNCTION("""COMPUTED_VALUE"""),"")</f>
        <v/>
      </c>
      <c r="AG156" s="1" t="str">
        <f>IFERROR(__xludf.DUMMYFUNCTION("""COMPUTED_VALUE"""),"")</f>
        <v/>
      </c>
      <c r="AH156" s="1" t="str">
        <f>IFERROR(__xludf.DUMMYFUNCTION("""COMPUTED_VALUE"""),"Sci4GA")</f>
        <v>Sci4GA</v>
      </c>
      <c r="AI156" s="2" t="str">
        <f>IFERROR(__xludf.DUMMYFUNCTION("""COMPUTED_VALUE"""),"https://baxtel.com/data-center/fogo-atlanta")</f>
        <v>https://baxtel.com/data-center/fogo-atlanta</v>
      </c>
      <c r="AJ156" s="1" t="str">
        <f>IFERROR(__xludf.DUMMYFUNCTION("""COMPUTED_VALUE"""),"")</f>
        <v/>
      </c>
      <c r="AK156" s="1" t="str">
        <f>IFERROR(__xludf.DUMMYFUNCTION("""COMPUTED_VALUE"""),"")</f>
        <v/>
      </c>
      <c r="AL156" s="1" t="str">
        <f>IFERROR(__xludf.DUMMYFUNCTION("""COMPUTED_VALUE"""),"")</f>
        <v/>
      </c>
      <c r="AM156" s="1" t="str">
        <f>IFERROR(__xludf.DUMMYFUNCTION("""COMPUTED_VALUE"""),"")</f>
        <v/>
      </c>
      <c r="AN156" s="1" t="str">
        <f>IFERROR(__xludf.DUMMYFUNCTION("""COMPUTED_VALUE"""),"")</f>
        <v/>
      </c>
      <c r="AO156" s="1" t="str">
        <f>IFERROR(__xludf.DUMMYFUNCTION("""COMPUTED_VALUE"""),"")</f>
        <v/>
      </c>
      <c r="AP156" s="1" t="str">
        <f>IFERROR(__xludf.DUMMYFUNCTION("""COMPUTED_VALUE"""),"")</f>
        <v/>
      </c>
      <c r="AQ156" s="1" t="str">
        <f>IFERROR(__xludf.DUMMYFUNCTION("""COMPUTED_VALUE"""),"10/16/2025")</f>
        <v>10/16/2025</v>
      </c>
      <c r="AR156" s="1" t="str">
        <f>IFERROR(__xludf.DUMMYFUNCTION("""COMPUTED_VALUE"""),"10/16/2025")</f>
        <v>10/16/2025</v>
      </c>
    </row>
    <row r="157">
      <c r="A157" s="1" t="str">
        <f>IFERROR(__xludf.DUMMYFUNCTION("""COMPUTED_VALUE"""),"H5 Atlanta")</f>
        <v>H5 Atlanta</v>
      </c>
      <c r="B157" s="1" t="str">
        <f>IFERROR(__xludf.DUMMYFUNCTION("""COMPUTED_VALUE"""),"345 Courtland Street NE")</f>
        <v>345 Courtland Street NE</v>
      </c>
      <c r="C157" s="1" t="str">
        <f>IFERROR(__xludf.DUMMYFUNCTION("""COMPUTED_VALUE"""),"Atlanta")</f>
        <v>Atlanta</v>
      </c>
      <c r="D157" s="1" t="str">
        <f>IFERROR(__xludf.DUMMYFUNCTION("""COMPUTED_VALUE"""),"GA")</f>
        <v>GA</v>
      </c>
      <c r="E157" s="1" t="str">
        <f>IFERROR(__xludf.DUMMYFUNCTION("""COMPUTED_VALUE"""),"30308")</f>
        <v>30308</v>
      </c>
      <c r="F157" s="1" t="str">
        <f>IFERROR(__xludf.DUMMYFUNCTION("""COMPUTED_VALUE"""),"Fulton")</f>
        <v>Fulton</v>
      </c>
      <c r="G157" s="1" t="str">
        <f>IFERROR(__xludf.DUMMYFUNCTION("""COMPUTED_VALUE"""),"33.76513")</f>
        <v>33.76513</v>
      </c>
      <c r="H157" s="1" t="str">
        <f>IFERROR(__xludf.DUMMYFUNCTION("""COMPUTED_VALUE"""),"-84.38366")</f>
        <v>-84.38366</v>
      </c>
      <c r="I157" s="1" t="str">
        <f>IFERROR(__xludf.DUMMYFUNCTION("""COMPUTED_VALUE"""),"Operating")</f>
        <v>Operating</v>
      </c>
      <c r="J157" s="1" t="str">
        <f>IFERROR(__xludf.DUMMYFUNCTION("""COMPUTED_VALUE"""),"High")</f>
        <v>High</v>
      </c>
      <c r="K157" s="1" t="str">
        <f>IFERROR(__xludf.DUMMYFUNCTION("""COMPUTED_VALUE"""),"")</f>
        <v/>
      </c>
      <c r="L157" s="1" t="str">
        <f>IFERROR(__xludf.DUMMYFUNCTION("""COMPUTED_VALUE"""),"H5 Data Centers")</f>
        <v>H5 Data Centers</v>
      </c>
      <c r="M157" s="1" t="str">
        <f>IFERROR(__xludf.DUMMYFUNCTION("""COMPUTED_VALUE"""),"")</f>
        <v/>
      </c>
      <c r="N157" s="1" t="str">
        <f>IFERROR(__xludf.DUMMYFUNCTION("""COMPUTED_VALUE"""),"8")</f>
        <v>8</v>
      </c>
      <c r="O157" s="1" t="str">
        <f>IFERROR(__xludf.DUMMYFUNCTION("""COMPUTED_VALUE"""),"Small (0-10 MW)")</f>
        <v>Small (0-10 MW)</v>
      </c>
      <c r="P157" s="1" t="str">
        <f>IFERROR(__xludf.DUMMYFUNCTION("""COMPUTED_VALUE"""),"")</f>
        <v/>
      </c>
      <c r="Q157" s="1" t="str">
        <f>IFERROR(__xludf.DUMMYFUNCTION("""COMPUTED_VALUE"""),"")</f>
        <v/>
      </c>
      <c r="R157" s="1" t="str">
        <f>IFERROR(__xludf.DUMMYFUNCTION("""COMPUTED_VALUE"""),"")</f>
        <v/>
      </c>
      <c r="S157" s="1" t="str">
        <f>IFERROR(__xludf.DUMMYFUNCTION("""COMPUTED_VALUE"""),"")</f>
        <v/>
      </c>
      <c r="T157" s="1" t="str">
        <f>IFERROR(__xludf.DUMMYFUNCTION("""COMPUTED_VALUE"""),"")</f>
        <v/>
      </c>
      <c r="U157" s="1" t="str">
        <f>IFERROR(__xludf.DUMMYFUNCTION("""COMPUTED_VALUE"""),"")</f>
        <v/>
      </c>
      <c r="V157" s="1" t="str">
        <f>IFERROR(__xludf.DUMMYFUNCTION("""COMPUTED_VALUE"""),"110,000")</f>
        <v>110,000</v>
      </c>
      <c r="W157" s="1" t="str">
        <f>IFERROR(__xludf.DUMMYFUNCTION("""COMPUTED_VALUE"""),"")</f>
        <v/>
      </c>
      <c r="X157" s="1" t="str">
        <f>IFERROR(__xludf.DUMMYFUNCTION("""COMPUTED_VALUE"""),"")</f>
        <v/>
      </c>
      <c r="Y157" s="1" t="str">
        <f>IFERROR(__xludf.DUMMYFUNCTION("""COMPUTED_VALUE"""),"")</f>
        <v/>
      </c>
      <c r="Z157" s="1" t="str">
        <f>IFERROR(__xludf.DUMMYFUNCTION("""COMPUTED_VALUE"""),"Unknown")</f>
        <v>Unknown</v>
      </c>
      <c r="AA157" s="1" t="str">
        <f>IFERROR(__xludf.DUMMYFUNCTION("""COMPUTED_VALUE"""),"")</f>
        <v/>
      </c>
      <c r="AB157" s="1" t="str">
        <f>IFERROR(__xludf.DUMMYFUNCTION("""COMPUTED_VALUE"""),"")</f>
        <v/>
      </c>
      <c r="AC157" s="1" t="str">
        <f>IFERROR(__xludf.DUMMYFUNCTION("""COMPUTED_VALUE"""),"")</f>
        <v/>
      </c>
      <c r="AD157" s="1" t="str">
        <f>IFERROR(__xludf.DUMMYFUNCTION("""COMPUTED_VALUE"""),"")</f>
        <v/>
      </c>
      <c r="AE157" s="1" t="str">
        <f>IFERROR(__xludf.DUMMYFUNCTION("""COMPUTED_VALUE"""),"")</f>
        <v/>
      </c>
      <c r="AF157" s="1" t="str">
        <f>IFERROR(__xludf.DUMMYFUNCTION("""COMPUTED_VALUE"""),"")</f>
        <v/>
      </c>
      <c r="AG157" s="1" t="str">
        <f>IFERROR(__xludf.DUMMYFUNCTION("""COMPUTED_VALUE"""),"leases to Lumen Atlanta 1")</f>
        <v>leases to Lumen Atlanta 1</v>
      </c>
      <c r="AH157" s="1" t="str">
        <f>IFERROR(__xludf.DUMMYFUNCTION("""COMPUTED_VALUE"""),"Sci4GA")</f>
        <v>Sci4GA</v>
      </c>
      <c r="AI157" s="2" t="str">
        <f>IFERROR(__xludf.DUMMYFUNCTION("""COMPUTED_VALUE"""),"https://baxtel.com/data-center/h5-atlanta")</f>
        <v>https://baxtel.com/data-center/h5-atlanta</v>
      </c>
      <c r="AJ157" s="1" t="str">
        <f>IFERROR(__xludf.DUMMYFUNCTION("""COMPUTED_VALUE"""),"")</f>
        <v/>
      </c>
      <c r="AK157" s="1" t="str">
        <f>IFERROR(__xludf.DUMMYFUNCTION("""COMPUTED_VALUE"""),"")</f>
        <v/>
      </c>
      <c r="AL157" s="1" t="str">
        <f>IFERROR(__xludf.DUMMYFUNCTION("""COMPUTED_VALUE"""),"")</f>
        <v/>
      </c>
      <c r="AM157" s="1" t="str">
        <f>IFERROR(__xludf.DUMMYFUNCTION("""COMPUTED_VALUE"""),"")</f>
        <v/>
      </c>
      <c r="AN157" s="1" t="str">
        <f>IFERROR(__xludf.DUMMYFUNCTION("""COMPUTED_VALUE"""),"")</f>
        <v/>
      </c>
      <c r="AO157" s="1" t="str">
        <f>IFERROR(__xludf.DUMMYFUNCTION("""COMPUTED_VALUE"""),"")</f>
        <v/>
      </c>
      <c r="AP157" s="1" t="str">
        <f>IFERROR(__xludf.DUMMYFUNCTION("""COMPUTED_VALUE"""),"")</f>
        <v/>
      </c>
      <c r="AQ157" s="1" t="str">
        <f>IFERROR(__xludf.DUMMYFUNCTION("""COMPUTED_VALUE"""),"10/16/2025")</f>
        <v>10/16/2025</v>
      </c>
      <c r="AR157" s="1" t="str">
        <f>IFERROR(__xludf.DUMMYFUNCTION("""COMPUTED_VALUE"""),"10/16/2025")</f>
        <v>10/16/2025</v>
      </c>
    </row>
    <row r="158">
      <c r="A158" s="1" t="str">
        <f>IFERROR(__xludf.DUMMYFUNCTION("""COMPUTED_VALUE"""),"Intero Systems")</f>
        <v>Intero Systems</v>
      </c>
      <c r="B158" s="1" t="str">
        <f>IFERROR(__xludf.DUMMYFUNCTION("""COMPUTED_VALUE"""),"1800 Phoenix Blvd (Suite 201)")</f>
        <v>1800 Phoenix Blvd (Suite 201)</v>
      </c>
      <c r="C158" s="1" t="str">
        <f>IFERROR(__xludf.DUMMYFUNCTION("""COMPUTED_VALUE"""),"Atlanta")</f>
        <v>Atlanta</v>
      </c>
      <c r="D158" s="1" t="str">
        <f>IFERROR(__xludf.DUMMYFUNCTION("""COMPUTED_VALUE"""),"GA")</f>
        <v>GA</v>
      </c>
      <c r="E158" s="1" t="str">
        <f>IFERROR(__xludf.DUMMYFUNCTION("""COMPUTED_VALUE"""),"30349")</f>
        <v>30349</v>
      </c>
      <c r="F158" s="1" t="str">
        <f>IFERROR(__xludf.DUMMYFUNCTION("""COMPUTED_VALUE"""),"Fulton")</f>
        <v>Fulton</v>
      </c>
      <c r="G158" s="1" t="str">
        <f>IFERROR(__xludf.DUMMYFUNCTION("""COMPUTED_VALUE"""),"33.61318")</f>
        <v>33.61318</v>
      </c>
      <c r="H158" s="1" t="str">
        <f>IFERROR(__xludf.DUMMYFUNCTION("""COMPUTED_VALUE"""),"-84.44704")</f>
        <v>-84.44704</v>
      </c>
      <c r="I158" s="1" t="str">
        <f>IFERROR(__xludf.DUMMYFUNCTION("""COMPUTED_VALUE"""),"Operating")</f>
        <v>Operating</v>
      </c>
      <c r="J158" s="1" t="str">
        <f>IFERROR(__xludf.DUMMYFUNCTION("""COMPUTED_VALUE"""),"High")</f>
        <v>High</v>
      </c>
      <c r="K158" s="1" t="str">
        <f>IFERROR(__xludf.DUMMYFUNCTION("""COMPUTED_VALUE"""),"")</f>
        <v/>
      </c>
      <c r="L158" s="1" t="str">
        <f>IFERROR(__xludf.DUMMYFUNCTION("""COMPUTED_VALUE"""),"Intero Systems")</f>
        <v>Intero Systems</v>
      </c>
      <c r="M158" s="1" t="str">
        <f>IFERROR(__xludf.DUMMYFUNCTION("""COMPUTED_VALUE"""),"")</f>
        <v/>
      </c>
      <c r="N158" s="1" t="str">
        <f>IFERROR(__xludf.DUMMYFUNCTION("""COMPUTED_VALUE"""),"")</f>
        <v/>
      </c>
      <c r="O158" s="1" t="str">
        <f>IFERROR(__xludf.DUMMYFUNCTION("""COMPUTED_VALUE"""),"Unknown")</f>
        <v>Unknown</v>
      </c>
      <c r="P158" s="1" t="str">
        <f>IFERROR(__xludf.DUMMYFUNCTION("""COMPUTED_VALUE"""),"")</f>
        <v/>
      </c>
      <c r="Q158" s="1" t="str">
        <f>IFERROR(__xludf.DUMMYFUNCTION("""COMPUTED_VALUE"""),"")</f>
        <v/>
      </c>
      <c r="R158" s="1" t="str">
        <f>IFERROR(__xludf.DUMMYFUNCTION("""COMPUTED_VALUE"""),"")</f>
        <v/>
      </c>
      <c r="S158" s="1" t="str">
        <f>IFERROR(__xludf.DUMMYFUNCTION("""COMPUTED_VALUE"""),"")</f>
        <v/>
      </c>
      <c r="T158" s="1" t="str">
        <f>IFERROR(__xludf.DUMMYFUNCTION("""COMPUTED_VALUE"""),"")</f>
        <v/>
      </c>
      <c r="U158" s="1" t="str">
        <f>IFERROR(__xludf.DUMMYFUNCTION("""COMPUTED_VALUE"""),"")</f>
        <v/>
      </c>
      <c r="V158" s="1" t="str">
        <f>IFERROR(__xludf.DUMMYFUNCTION("""COMPUTED_VALUE"""),"")</f>
        <v/>
      </c>
      <c r="W158" s="1" t="str">
        <f>IFERROR(__xludf.DUMMYFUNCTION("""COMPUTED_VALUE"""),"")</f>
        <v/>
      </c>
      <c r="X158" s="1" t="str">
        <f>IFERROR(__xludf.DUMMYFUNCTION("""COMPUTED_VALUE"""),"")</f>
        <v/>
      </c>
      <c r="Y158" s="1" t="str">
        <f>IFERROR(__xludf.DUMMYFUNCTION("""COMPUTED_VALUE"""),"")</f>
        <v/>
      </c>
      <c r="Z158" s="1" t="str">
        <f>IFERROR(__xludf.DUMMYFUNCTION("""COMPUTED_VALUE"""),"Unknown")</f>
        <v>Unknown</v>
      </c>
      <c r="AA158" s="1" t="str">
        <f>IFERROR(__xludf.DUMMYFUNCTION("""COMPUTED_VALUE"""),"")</f>
        <v/>
      </c>
      <c r="AB158" s="1" t="str">
        <f>IFERROR(__xludf.DUMMYFUNCTION("""COMPUTED_VALUE"""),"")</f>
        <v/>
      </c>
      <c r="AC158" s="1" t="str">
        <f>IFERROR(__xludf.DUMMYFUNCTION("""COMPUTED_VALUE"""),"")</f>
        <v/>
      </c>
      <c r="AD158" s="1" t="str">
        <f>IFERROR(__xludf.DUMMYFUNCTION("""COMPUTED_VALUE"""),"")</f>
        <v/>
      </c>
      <c r="AE158" s="1" t="str">
        <f>IFERROR(__xludf.DUMMYFUNCTION("""COMPUTED_VALUE"""),"")</f>
        <v/>
      </c>
      <c r="AF158" s="1" t="str">
        <f>IFERROR(__xludf.DUMMYFUNCTION("""COMPUTED_VALUE"""),"")</f>
        <v/>
      </c>
      <c r="AG158" s="1" t="str">
        <f>IFERROR(__xludf.DUMMYFUNCTION("""COMPUTED_VALUE"""),"")</f>
        <v/>
      </c>
      <c r="AH158" s="1" t="str">
        <f>IFERROR(__xludf.DUMMYFUNCTION("""COMPUTED_VALUE"""),"Sci4GA")</f>
        <v>Sci4GA</v>
      </c>
      <c r="AI158" s="1" t="str">
        <f>IFERROR(__xludf.DUMMYFUNCTION("""COMPUTED_VALUE"""),"")</f>
        <v/>
      </c>
      <c r="AJ158" s="1" t="str">
        <f>IFERROR(__xludf.DUMMYFUNCTION("""COMPUTED_VALUE"""),"")</f>
        <v/>
      </c>
      <c r="AK158" s="1" t="str">
        <f>IFERROR(__xludf.DUMMYFUNCTION("""COMPUTED_VALUE"""),"")</f>
        <v/>
      </c>
      <c r="AL158" s="1" t="str">
        <f>IFERROR(__xludf.DUMMYFUNCTION("""COMPUTED_VALUE"""),"")</f>
        <v/>
      </c>
      <c r="AM158" s="1" t="str">
        <f>IFERROR(__xludf.DUMMYFUNCTION("""COMPUTED_VALUE"""),"")</f>
        <v/>
      </c>
      <c r="AN158" s="1" t="str">
        <f>IFERROR(__xludf.DUMMYFUNCTION("""COMPUTED_VALUE"""),"")</f>
        <v/>
      </c>
      <c r="AO158" s="1" t="str">
        <f>IFERROR(__xludf.DUMMYFUNCTION("""COMPUTED_VALUE"""),"")</f>
        <v/>
      </c>
      <c r="AP158" s="1" t="str">
        <f>IFERROR(__xludf.DUMMYFUNCTION("""COMPUTED_VALUE"""),"")</f>
        <v/>
      </c>
      <c r="AQ158" s="1" t="str">
        <f>IFERROR(__xludf.DUMMYFUNCTION("""COMPUTED_VALUE"""),"10/16/2025")</f>
        <v>10/16/2025</v>
      </c>
      <c r="AR158" s="1" t="str">
        <f>IFERROR(__xludf.DUMMYFUNCTION("""COMPUTED_VALUE"""),"10/16/2025")</f>
        <v>10/16/2025</v>
      </c>
    </row>
    <row r="159">
      <c r="A159" s="1" t="str">
        <f>IFERROR(__xludf.DUMMYFUNCTION("""COMPUTED_VALUE"""),"Lumen Atlanta 2")</f>
        <v>Lumen Atlanta 2</v>
      </c>
      <c r="B159" s="1" t="str">
        <f>IFERROR(__xludf.DUMMYFUNCTION("""COMPUTED_VALUE"""),"180 Peachtree Street NW (Third and Fourth Floors)")</f>
        <v>180 Peachtree Street NW (Third and Fourth Floors)</v>
      </c>
      <c r="C159" s="1" t="str">
        <f>IFERROR(__xludf.DUMMYFUNCTION("""COMPUTED_VALUE"""),"Atlanta")</f>
        <v>Atlanta</v>
      </c>
      <c r="D159" s="1" t="str">
        <f>IFERROR(__xludf.DUMMYFUNCTION("""COMPUTED_VALUE"""),"GA")</f>
        <v>GA</v>
      </c>
      <c r="E159" s="1" t="str">
        <f>IFERROR(__xludf.DUMMYFUNCTION("""COMPUTED_VALUE"""),"30303")</f>
        <v>30303</v>
      </c>
      <c r="F159" s="1" t="str">
        <f>IFERROR(__xludf.DUMMYFUNCTION("""COMPUTED_VALUE"""),"Fulton")</f>
        <v>Fulton</v>
      </c>
      <c r="G159" s="1" t="str">
        <f>IFERROR(__xludf.DUMMYFUNCTION("""COMPUTED_VALUE"""),"33.758602")</f>
        <v>33.758602</v>
      </c>
      <c r="H159" s="1" t="str">
        <f>IFERROR(__xludf.DUMMYFUNCTION("""COMPUTED_VALUE"""),"-84.387856")</f>
        <v>-84.387856</v>
      </c>
      <c r="I159" s="1" t="str">
        <f>IFERROR(__xludf.DUMMYFUNCTION("""COMPUTED_VALUE"""),"Operating")</f>
        <v>Operating</v>
      </c>
      <c r="J159" s="1" t="str">
        <f>IFERROR(__xludf.DUMMYFUNCTION("""COMPUTED_VALUE"""),"High")</f>
        <v>High</v>
      </c>
      <c r="K159" s="1" t="str">
        <f>IFERROR(__xludf.DUMMYFUNCTION("""COMPUTED_VALUE"""),"")</f>
        <v/>
      </c>
      <c r="L159" s="1" t="str">
        <f>IFERROR(__xludf.DUMMYFUNCTION("""COMPUTED_VALUE"""),"Lumen")</f>
        <v>Lumen</v>
      </c>
      <c r="M159" s="1" t="str">
        <f>IFERROR(__xludf.DUMMYFUNCTION("""COMPUTED_VALUE"""),"")</f>
        <v/>
      </c>
      <c r="N159" s="1" t="str">
        <f>IFERROR(__xludf.DUMMYFUNCTION("""COMPUTED_VALUE"""),"")</f>
        <v/>
      </c>
      <c r="O159" s="1" t="str">
        <f>IFERROR(__xludf.DUMMYFUNCTION("""COMPUTED_VALUE"""),"Unknown")</f>
        <v>Unknown</v>
      </c>
      <c r="P159" s="1" t="str">
        <f>IFERROR(__xludf.DUMMYFUNCTION("""COMPUTED_VALUE"""),"")</f>
        <v/>
      </c>
      <c r="Q159" s="1" t="str">
        <f>IFERROR(__xludf.DUMMYFUNCTION("""COMPUTED_VALUE"""),"")</f>
        <v/>
      </c>
      <c r="R159" s="1" t="str">
        <f>IFERROR(__xludf.DUMMYFUNCTION("""COMPUTED_VALUE"""),"")</f>
        <v/>
      </c>
      <c r="S159" s="1" t="str">
        <f>IFERROR(__xludf.DUMMYFUNCTION("""COMPUTED_VALUE"""),"")</f>
        <v/>
      </c>
      <c r="T159" s="1" t="str">
        <f>IFERROR(__xludf.DUMMYFUNCTION("""COMPUTED_VALUE"""),"")</f>
        <v/>
      </c>
      <c r="U159" s="1" t="str">
        <f>IFERROR(__xludf.DUMMYFUNCTION("""COMPUTED_VALUE"""),"")</f>
        <v/>
      </c>
      <c r="V159" s="1" t="str">
        <f>IFERROR(__xludf.DUMMYFUNCTION("""COMPUTED_VALUE"""),"")</f>
        <v/>
      </c>
      <c r="W159" s="1" t="str">
        <f>IFERROR(__xludf.DUMMYFUNCTION("""COMPUTED_VALUE"""),"")</f>
        <v/>
      </c>
      <c r="X159" s="1" t="str">
        <f>IFERROR(__xludf.DUMMYFUNCTION("""COMPUTED_VALUE"""),"")</f>
        <v/>
      </c>
      <c r="Y159" s="1" t="str">
        <f>IFERROR(__xludf.DUMMYFUNCTION("""COMPUTED_VALUE"""),"")</f>
        <v/>
      </c>
      <c r="Z159" s="1" t="str">
        <f>IFERROR(__xludf.DUMMYFUNCTION("""COMPUTED_VALUE"""),"Unknown")</f>
        <v>Unknown</v>
      </c>
      <c r="AA159" s="1" t="str">
        <f>IFERROR(__xludf.DUMMYFUNCTION("""COMPUTED_VALUE"""),"")</f>
        <v/>
      </c>
      <c r="AB159" s="1" t="str">
        <f>IFERROR(__xludf.DUMMYFUNCTION("""COMPUTED_VALUE"""),"")</f>
        <v/>
      </c>
      <c r="AC159" s="1" t="str">
        <f>IFERROR(__xludf.DUMMYFUNCTION("""COMPUTED_VALUE"""),"")</f>
        <v/>
      </c>
      <c r="AD159" s="1" t="str">
        <f>IFERROR(__xludf.DUMMYFUNCTION("""COMPUTED_VALUE"""),"")</f>
        <v/>
      </c>
      <c r="AE159" s="1" t="str">
        <f>IFERROR(__xludf.DUMMYFUNCTION("""COMPUTED_VALUE"""),"")</f>
        <v/>
      </c>
      <c r="AF159" s="1" t="str">
        <f>IFERROR(__xludf.DUMMYFUNCTION("""COMPUTED_VALUE"""),"")</f>
        <v/>
      </c>
      <c r="AG159" s="1" t="str">
        <f>IFERROR(__xludf.DUMMYFUNCTION("""COMPUTED_VALUE"""),"")</f>
        <v/>
      </c>
      <c r="AH159" s="1" t="str">
        <f>IFERROR(__xludf.DUMMYFUNCTION("""COMPUTED_VALUE"""),"Sci4GA")</f>
        <v>Sci4GA</v>
      </c>
      <c r="AI159" s="2" t="str">
        <f>IFERROR(__xludf.DUMMYFUNCTION("""COMPUTED_VALUE"""),"https://baxtel.com/data-center/level3-atlanta-180-peachtree")</f>
        <v>https://baxtel.com/data-center/level3-atlanta-180-peachtree</v>
      </c>
      <c r="AJ159" s="1" t="str">
        <f>IFERROR(__xludf.DUMMYFUNCTION("""COMPUTED_VALUE"""),"")</f>
        <v/>
      </c>
      <c r="AK159" s="1" t="str">
        <f>IFERROR(__xludf.DUMMYFUNCTION("""COMPUTED_VALUE"""),"")</f>
        <v/>
      </c>
      <c r="AL159" s="1" t="str">
        <f>IFERROR(__xludf.DUMMYFUNCTION("""COMPUTED_VALUE"""),"")</f>
        <v/>
      </c>
      <c r="AM159" s="1" t="str">
        <f>IFERROR(__xludf.DUMMYFUNCTION("""COMPUTED_VALUE"""),"")</f>
        <v/>
      </c>
      <c r="AN159" s="1" t="str">
        <f>IFERROR(__xludf.DUMMYFUNCTION("""COMPUTED_VALUE"""),"")</f>
        <v/>
      </c>
      <c r="AO159" s="1" t="str">
        <f>IFERROR(__xludf.DUMMYFUNCTION("""COMPUTED_VALUE"""),"")</f>
        <v/>
      </c>
      <c r="AP159" s="1" t="str">
        <f>IFERROR(__xludf.DUMMYFUNCTION("""COMPUTED_VALUE"""),"")</f>
        <v/>
      </c>
      <c r="AQ159" s="1" t="str">
        <f>IFERROR(__xludf.DUMMYFUNCTION("""COMPUTED_VALUE"""),"10/16/2025")</f>
        <v>10/16/2025</v>
      </c>
      <c r="AR159" s="1" t="str">
        <f>IFERROR(__xludf.DUMMYFUNCTION("""COMPUTED_VALUE"""),"10/16/2025")</f>
        <v>10/16/2025</v>
      </c>
    </row>
    <row r="160">
      <c r="A160" s="1" t="str">
        <f>IFERROR(__xludf.DUMMYFUNCTION("""COMPUTED_VALUE"""),"Lumen Atlanta 5")</f>
        <v>Lumen Atlanta 5</v>
      </c>
      <c r="B160" s="1" t="str">
        <f>IFERROR(__xludf.DUMMYFUNCTION("""COMPUTED_VALUE"""),"953 Donnelly Avenue SW")</f>
        <v>953 Donnelly Avenue SW</v>
      </c>
      <c r="C160" s="1" t="str">
        <f>IFERROR(__xludf.DUMMYFUNCTION("""COMPUTED_VALUE"""),"Atlanta")</f>
        <v>Atlanta</v>
      </c>
      <c r="D160" s="1" t="str">
        <f>IFERROR(__xludf.DUMMYFUNCTION("""COMPUTED_VALUE"""),"GA")</f>
        <v>GA</v>
      </c>
      <c r="E160" s="1" t="str">
        <f>IFERROR(__xludf.DUMMYFUNCTION("""COMPUTED_VALUE"""),"30310")</f>
        <v>30310</v>
      </c>
      <c r="F160" s="1" t="str">
        <f>IFERROR(__xludf.DUMMYFUNCTION("""COMPUTED_VALUE"""),"Fulton")</f>
        <v>Fulton</v>
      </c>
      <c r="G160" s="1" t="str">
        <f>IFERROR(__xludf.DUMMYFUNCTION("""COMPUTED_VALUE"""),"33.728493")</f>
        <v>33.728493</v>
      </c>
      <c r="H160" s="1" t="str">
        <f>IFERROR(__xludf.DUMMYFUNCTION("""COMPUTED_VALUE"""),"-84.41872")</f>
        <v>-84.41872</v>
      </c>
      <c r="I160" s="1" t="str">
        <f>IFERROR(__xludf.DUMMYFUNCTION("""COMPUTED_VALUE"""),"Operating")</f>
        <v>Operating</v>
      </c>
      <c r="J160" s="1" t="str">
        <f>IFERROR(__xludf.DUMMYFUNCTION("""COMPUTED_VALUE"""),"High")</f>
        <v>High</v>
      </c>
      <c r="K160" s="1" t="str">
        <f>IFERROR(__xludf.DUMMYFUNCTION("""COMPUTED_VALUE"""),"")</f>
        <v/>
      </c>
      <c r="L160" s="1" t="str">
        <f>IFERROR(__xludf.DUMMYFUNCTION("""COMPUTED_VALUE"""),"Lumen")</f>
        <v>Lumen</v>
      </c>
      <c r="M160" s="1" t="str">
        <f>IFERROR(__xludf.DUMMYFUNCTION("""COMPUTED_VALUE"""),"")</f>
        <v/>
      </c>
      <c r="N160" s="1" t="str">
        <f>IFERROR(__xludf.DUMMYFUNCTION("""COMPUTED_VALUE"""),"0-.4")</f>
        <v>0-.4</v>
      </c>
      <c r="O160" s="1" t="str">
        <f>IFERROR(__xludf.DUMMYFUNCTION("""COMPUTED_VALUE"""),"Small (0-10 MW)")</f>
        <v>Small (0-10 MW)</v>
      </c>
      <c r="P160" s="1" t="str">
        <f>IFERROR(__xludf.DUMMYFUNCTION("""COMPUTED_VALUE"""),"")</f>
        <v/>
      </c>
      <c r="Q160" s="1" t="str">
        <f>IFERROR(__xludf.DUMMYFUNCTION("""COMPUTED_VALUE"""),"")</f>
        <v/>
      </c>
      <c r="R160" s="1" t="str">
        <f>IFERROR(__xludf.DUMMYFUNCTION("""COMPUTED_VALUE"""),"")</f>
        <v/>
      </c>
      <c r="S160" s="1" t="str">
        <f>IFERROR(__xludf.DUMMYFUNCTION("""COMPUTED_VALUE"""),"")</f>
        <v/>
      </c>
      <c r="T160" s="1" t="str">
        <f>IFERROR(__xludf.DUMMYFUNCTION("""COMPUTED_VALUE"""),"")</f>
        <v/>
      </c>
      <c r="U160" s="1" t="str">
        <f>IFERROR(__xludf.DUMMYFUNCTION("""COMPUTED_VALUE"""),"")</f>
        <v/>
      </c>
      <c r="V160" s="1" t="str">
        <f>IFERROR(__xludf.DUMMYFUNCTION("""COMPUTED_VALUE"""),"2,400")</f>
        <v>2,400</v>
      </c>
      <c r="W160" s="1" t="str">
        <f>IFERROR(__xludf.DUMMYFUNCTION("""COMPUTED_VALUE"""),"")</f>
        <v/>
      </c>
      <c r="X160" s="1" t="str">
        <f>IFERROR(__xludf.DUMMYFUNCTION("""COMPUTED_VALUE"""),"")</f>
        <v/>
      </c>
      <c r="Y160" s="1" t="str">
        <f>IFERROR(__xludf.DUMMYFUNCTION("""COMPUTED_VALUE"""),"")</f>
        <v/>
      </c>
      <c r="Z160" s="1" t="str">
        <f>IFERROR(__xludf.DUMMYFUNCTION("""COMPUTED_VALUE"""),"Unknown")</f>
        <v>Unknown</v>
      </c>
      <c r="AA160" s="1" t="str">
        <f>IFERROR(__xludf.DUMMYFUNCTION("""COMPUTED_VALUE"""),"")</f>
        <v/>
      </c>
      <c r="AB160" s="1" t="str">
        <f>IFERROR(__xludf.DUMMYFUNCTION("""COMPUTED_VALUE"""),"")</f>
        <v/>
      </c>
      <c r="AC160" s="1" t="str">
        <f>IFERROR(__xludf.DUMMYFUNCTION("""COMPUTED_VALUE"""),"")</f>
        <v/>
      </c>
      <c r="AD160" s="1" t="str">
        <f>IFERROR(__xludf.DUMMYFUNCTION("""COMPUTED_VALUE"""),"")</f>
        <v/>
      </c>
      <c r="AE160" s="1" t="str">
        <f>IFERROR(__xludf.DUMMYFUNCTION("""COMPUTED_VALUE"""),"")</f>
        <v/>
      </c>
      <c r="AF160" s="1" t="str">
        <f>IFERROR(__xludf.DUMMYFUNCTION("""COMPUTED_VALUE"""),"")</f>
        <v/>
      </c>
      <c r="AG160" s="1" t="str">
        <f>IFERROR(__xludf.DUMMYFUNCTION("""COMPUTED_VALUE"""),"")</f>
        <v/>
      </c>
      <c r="AH160" s="1" t="str">
        <f>IFERROR(__xludf.DUMMYFUNCTION("""COMPUTED_VALUE"""),"Sci4GA")</f>
        <v>Sci4GA</v>
      </c>
      <c r="AI160" s="2" t="str">
        <f>IFERROR(__xludf.DUMMYFUNCTION("""COMPUTED_VALUE"""),"https://baxtel.com/data-center/level3-atlanta-953-donnelly")</f>
        <v>https://baxtel.com/data-center/level3-atlanta-953-donnelly</v>
      </c>
      <c r="AJ160" s="1" t="str">
        <f>IFERROR(__xludf.DUMMYFUNCTION("""COMPUTED_VALUE"""),"")</f>
        <v/>
      </c>
      <c r="AK160" s="1" t="str">
        <f>IFERROR(__xludf.DUMMYFUNCTION("""COMPUTED_VALUE"""),"")</f>
        <v/>
      </c>
      <c r="AL160" s="1" t="str">
        <f>IFERROR(__xludf.DUMMYFUNCTION("""COMPUTED_VALUE"""),"")</f>
        <v/>
      </c>
      <c r="AM160" s="1" t="str">
        <f>IFERROR(__xludf.DUMMYFUNCTION("""COMPUTED_VALUE"""),"")</f>
        <v/>
      </c>
      <c r="AN160" s="1" t="str">
        <f>IFERROR(__xludf.DUMMYFUNCTION("""COMPUTED_VALUE"""),"")</f>
        <v/>
      </c>
      <c r="AO160" s="1" t="str">
        <f>IFERROR(__xludf.DUMMYFUNCTION("""COMPUTED_VALUE"""),"")</f>
        <v/>
      </c>
      <c r="AP160" s="1" t="str">
        <f>IFERROR(__xludf.DUMMYFUNCTION("""COMPUTED_VALUE"""),"")</f>
        <v/>
      </c>
      <c r="AQ160" s="1" t="str">
        <f>IFERROR(__xludf.DUMMYFUNCTION("""COMPUTED_VALUE"""),"10/16/2025")</f>
        <v>10/16/2025</v>
      </c>
      <c r="AR160" s="1" t="str">
        <f>IFERROR(__xludf.DUMMYFUNCTION("""COMPUTED_VALUE"""),"10/16/2025")</f>
        <v>10/16/2025</v>
      </c>
    </row>
    <row r="161">
      <c r="A161" s="1" t="str">
        <f>IFERROR(__xludf.DUMMYFUNCTION("""COMPUTED_VALUE"""),"Lumen Atlanta 6")</f>
        <v>Lumen Atlanta 6</v>
      </c>
      <c r="B161" s="1" t="str">
        <f>IFERROR(__xludf.DUMMYFUNCTION("""COMPUTED_VALUE"""),"874 Dekalb Avenue NE")</f>
        <v>874 Dekalb Avenue NE</v>
      </c>
      <c r="C161" s="1" t="str">
        <f>IFERROR(__xludf.DUMMYFUNCTION("""COMPUTED_VALUE"""),"Atlanta")</f>
        <v>Atlanta</v>
      </c>
      <c r="D161" s="1" t="str">
        <f>IFERROR(__xludf.DUMMYFUNCTION("""COMPUTED_VALUE"""),"GA")</f>
        <v>GA</v>
      </c>
      <c r="E161" s="1" t="str">
        <f>IFERROR(__xludf.DUMMYFUNCTION("""COMPUTED_VALUE"""),"30307")</f>
        <v>30307</v>
      </c>
      <c r="F161" s="1" t="str">
        <f>IFERROR(__xludf.DUMMYFUNCTION("""COMPUTED_VALUE"""),"Fulton")</f>
        <v>Fulton</v>
      </c>
      <c r="G161" s="1" t="str">
        <f>IFERROR(__xludf.DUMMYFUNCTION("""COMPUTED_VALUE"""),"33.75479")</f>
        <v>33.75479</v>
      </c>
      <c r="H161" s="1" t="str">
        <f>IFERROR(__xludf.DUMMYFUNCTION("""COMPUTED_VALUE"""),"-84.358734")</f>
        <v>-84.358734</v>
      </c>
      <c r="I161" s="1" t="str">
        <f>IFERROR(__xludf.DUMMYFUNCTION("""COMPUTED_VALUE"""),"Operating")</f>
        <v>Operating</v>
      </c>
      <c r="J161" s="1" t="str">
        <f>IFERROR(__xludf.DUMMYFUNCTION("""COMPUTED_VALUE"""),"High")</f>
        <v>High</v>
      </c>
      <c r="K161" s="1" t="str">
        <f>IFERROR(__xludf.DUMMYFUNCTION("""COMPUTED_VALUE"""),"")</f>
        <v/>
      </c>
      <c r="L161" s="1" t="str">
        <f>IFERROR(__xludf.DUMMYFUNCTION("""COMPUTED_VALUE"""),"Lumen")</f>
        <v>Lumen</v>
      </c>
      <c r="M161" s="1" t="str">
        <f>IFERROR(__xludf.DUMMYFUNCTION("""COMPUTED_VALUE"""),"")</f>
        <v/>
      </c>
      <c r="N161" s="1" t="str">
        <f>IFERROR(__xludf.DUMMYFUNCTION("""COMPUTED_VALUE"""),"")</f>
        <v/>
      </c>
      <c r="O161" s="1" t="str">
        <f>IFERROR(__xludf.DUMMYFUNCTION("""COMPUTED_VALUE"""),"Unknown")</f>
        <v>Unknown</v>
      </c>
      <c r="P161" s="1" t="str">
        <f>IFERROR(__xludf.DUMMYFUNCTION("""COMPUTED_VALUE"""),"")</f>
        <v/>
      </c>
      <c r="Q161" s="1" t="str">
        <f>IFERROR(__xludf.DUMMYFUNCTION("""COMPUTED_VALUE"""),"")</f>
        <v/>
      </c>
      <c r="R161" s="1" t="str">
        <f>IFERROR(__xludf.DUMMYFUNCTION("""COMPUTED_VALUE"""),"")</f>
        <v/>
      </c>
      <c r="S161" s="1" t="str">
        <f>IFERROR(__xludf.DUMMYFUNCTION("""COMPUTED_VALUE"""),"")</f>
        <v/>
      </c>
      <c r="T161" s="1" t="str">
        <f>IFERROR(__xludf.DUMMYFUNCTION("""COMPUTED_VALUE"""),"")</f>
        <v/>
      </c>
      <c r="U161" s="1" t="str">
        <f>IFERROR(__xludf.DUMMYFUNCTION("""COMPUTED_VALUE"""),"")</f>
        <v/>
      </c>
      <c r="V161" s="1" t="str">
        <f>IFERROR(__xludf.DUMMYFUNCTION("""COMPUTED_VALUE"""),"")</f>
        <v/>
      </c>
      <c r="W161" s="1" t="str">
        <f>IFERROR(__xludf.DUMMYFUNCTION("""COMPUTED_VALUE"""),"")</f>
        <v/>
      </c>
      <c r="X161" s="1" t="str">
        <f>IFERROR(__xludf.DUMMYFUNCTION("""COMPUTED_VALUE"""),"")</f>
        <v/>
      </c>
      <c r="Y161" s="1" t="str">
        <f>IFERROR(__xludf.DUMMYFUNCTION("""COMPUTED_VALUE"""),"")</f>
        <v/>
      </c>
      <c r="Z161" s="1" t="str">
        <f>IFERROR(__xludf.DUMMYFUNCTION("""COMPUTED_VALUE"""),"Unknown")</f>
        <v>Unknown</v>
      </c>
      <c r="AA161" s="1" t="str">
        <f>IFERROR(__xludf.DUMMYFUNCTION("""COMPUTED_VALUE"""),"")</f>
        <v/>
      </c>
      <c r="AB161" s="1" t="str">
        <f>IFERROR(__xludf.DUMMYFUNCTION("""COMPUTED_VALUE"""),"")</f>
        <v/>
      </c>
      <c r="AC161" s="1" t="str">
        <f>IFERROR(__xludf.DUMMYFUNCTION("""COMPUTED_VALUE"""),"")</f>
        <v/>
      </c>
      <c r="AD161" s="1" t="str">
        <f>IFERROR(__xludf.DUMMYFUNCTION("""COMPUTED_VALUE"""),"")</f>
        <v/>
      </c>
      <c r="AE161" s="1" t="str">
        <f>IFERROR(__xludf.DUMMYFUNCTION("""COMPUTED_VALUE"""),"")</f>
        <v/>
      </c>
      <c r="AF161" s="1" t="str">
        <f>IFERROR(__xludf.DUMMYFUNCTION("""COMPUTED_VALUE"""),"")</f>
        <v/>
      </c>
      <c r="AG161" s="1" t="str">
        <f>IFERROR(__xludf.DUMMYFUNCTION("""COMPUTED_VALUE"""),"")</f>
        <v/>
      </c>
      <c r="AH161" s="1" t="str">
        <f>IFERROR(__xludf.DUMMYFUNCTION("""COMPUTED_VALUE"""),"Sci4GA")</f>
        <v>Sci4GA</v>
      </c>
      <c r="AI161" s="2" t="str">
        <f>IFERROR(__xludf.DUMMYFUNCTION("""COMPUTED_VALUE"""),"https://baxtel.com/data-center/level3-atlanta-874-dekalb")</f>
        <v>https://baxtel.com/data-center/level3-atlanta-874-dekalb</v>
      </c>
      <c r="AJ161" s="1" t="str">
        <f>IFERROR(__xludf.DUMMYFUNCTION("""COMPUTED_VALUE"""),"")</f>
        <v/>
      </c>
      <c r="AK161" s="1" t="str">
        <f>IFERROR(__xludf.DUMMYFUNCTION("""COMPUTED_VALUE"""),"")</f>
        <v/>
      </c>
      <c r="AL161" s="1" t="str">
        <f>IFERROR(__xludf.DUMMYFUNCTION("""COMPUTED_VALUE"""),"")</f>
        <v/>
      </c>
      <c r="AM161" s="1" t="str">
        <f>IFERROR(__xludf.DUMMYFUNCTION("""COMPUTED_VALUE"""),"")</f>
        <v/>
      </c>
      <c r="AN161" s="1" t="str">
        <f>IFERROR(__xludf.DUMMYFUNCTION("""COMPUTED_VALUE"""),"")</f>
        <v/>
      </c>
      <c r="AO161" s="1" t="str">
        <f>IFERROR(__xludf.DUMMYFUNCTION("""COMPUTED_VALUE"""),"")</f>
        <v/>
      </c>
      <c r="AP161" s="1" t="str">
        <f>IFERROR(__xludf.DUMMYFUNCTION("""COMPUTED_VALUE"""),"")</f>
        <v/>
      </c>
      <c r="AQ161" s="1" t="str">
        <f>IFERROR(__xludf.DUMMYFUNCTION("""COMPUTED_VALUE"""),"10/16/2025")</f>
        <v>10/16/2025</v>
      </c>
      <c r="AR161" s="1" t="str">
        <f>IFERROR(__xludf.DUMMYFUNCTION("""COMPUTED_VALUE"""),"10/16/2025")</f>
        <v>10/16/2025</v>
      </c>
    </row>
    <row r="162">
      <c r="A162" s="1" t="str">
        <f>IFERROR(__xludf.DUMMYFUNCTION("""COMPUTED_VALUE"""),"Lumen Doraville 1")</f>
        <v>Lumen Doraville 1</v>
      </c>
      <c r="B162" s="1" t="str">
        <f>IFERROR(__xludf.DUMMYFUNCTION("""COMPUTED_VALUE"""),"6855 Crescent Dr")</f>
        <v>6855 Crescent Dr</v>
      </c>
      <c r="C162" s="1" t="str">
        <f>IFERROR(__xludf.DUMMYFUNCTION("""COMPUTED_VALUE"""),"Atlanta")</f>
        <v>Atlanta</v>
      </c>
      <c r="D162" s="1" t="str">
        <f>IFERROR(__xludf.DUMMYFUNCTION("""COMPUTED_VALUE"""),"GA")</f>
        <v>GA</v>
      </c>
      <c r="E162" s="1" t="str">
        <f>IFERROR(__xludf.DUMMYFUNCTION("""COMPUTED_VALUE"""),"30340")</f>
        <v>30340</v>
      </c>
      <c r="F162" s="1" t="str">
        <f>IFERROR(__xludf.DUMMYFUNCTION("""COMPUTED_VALUE"""),"Gwinnett")</f>
        <v>Gwinnett</v>
      </c>
      <c r="G162" s="1" t="str">
        <f>IFERROR(__xludf.DUMMYFUNCTION("""COMPUTED_VALUE"""),"33.90809")</f>
        <v>33.90809</v>
      </c>
      <c r="H162" s="1" t="str">
        <f>IFERROR(__xludf.DUMMYFUNCTION("""COMPUTED_VALUE"""),"-84.236206")</f>
        <v>-84.236206</v>
      </c>
      <c r="I162" s="1" t="str">
        <f>IFERROR(__xludf.DUMMYFUNCTION("""COMPUTED_VALUE"""),"Operating")</f>
        <v>Operating</v>
      </c>
      <c r="J162" s="1" t="str">
        <f>IFERROR(__xludf.DUMMYFUNCTION("""COMPUTED_VALUE"""),"High")</f>
        <v>High</v>
      </c>
      <c r="K162" s="1" t="str">
        <f>IFERROR(__xludf.DUMMYFUNCTION("""COMPUTED_VALUE"""),"")</f>
        <v/>
      </c>
      <c r="L162" s="1" t="str">
        <f>IFERROR(__xludf.DUMMYFUNCTION("""COMPUTED_VALUE"""),"Lumen")</f>
        <v>Lumen</v>
      </c>
      <c r="M162" s="1" t="str">
        <f>IFERROR(__xludf.DUMMYFUNCTION("""COMPUTED_VALUE"""),"")</f>
        <v/>
      </c>
      <c r="N162" s="1" t="str">
        <f>IFERROR(__xludf.DUMMYFUNCTION("""COMPUTED_VALUE"""),"")</f>
        <v/>
      </c>
      <c r="O162" s="1" t="str">
        <f>IFERROR(__xludf.DUMMYFUNCTION("""COMPUTED_VALUE"""),"Unknown")</f>
        <v>Unknown</v>
      </c>
      <c r="P162" s="1" t="str">
        <f>IFERROR(__xludf.DUMMYFUNCTION("""COMPUTED_VALUE"""),"")</f>
        <v/>
      </c>
      <c r="Q162" s="1" t="str">
        <f>IFERROR(__xludf.DUMMYFUNCTION("""COMPUTED_VALUE"""),"")</f>
        <v/>
      </c>
      <c r="R162" s="1" t="str">
        <f>IFERROR(__xludf.DUMMYFUNCTION("""COMPUTED_VALUE"""),"")</f>
        <v/>
      </c>
      <c r="S162" s="1" t="str">
        <f>IFERROR(__xludf.DUMMYFUNCTION("""COMPUTED_VALUE"""),"")</f>
        <v/>
      </c>
      <c r="T162" s="1" t="str">
        <f>IFERROR(__xludf.DUMMYFUNCTION("""COMPUTED_VALUE"""),"")</f>
        <v/>
      </c>
      <c r="U162" s="1" t="str">
        <f>IFERROR(__xludf.DUMMYFUNCTION("""COMPUTED_VALUE"""),"")</f>
        <v/>
      </c>
      <c r="V162" s="1" t="str">
        <f>IFERROR(__xludf.DUMMYFUNCTION("""COMPUTED_VALUE"""),"")</f>
        <v/>
      </c>
      <c r="W162" s="1" t="str">
        <f>IFERROR(__xludf.DUMMYFUNCTION("""COMPUTED_VALUE"""),"")</f>
        <v/>
      </c>
      <c r="X162" s="1" t="str">
        <f>IFERROR(__xludf.DUMMYFUNCTION("""COMPUTED_VALUE"""),"")</f>
        <v/>
      </c>
      <c r="Y162" s="1" t="str">
        <f>IFERROR(__xludf.DUMMYFUNCTION("""COMPUTED_VALUE"""),"")</f>
        <v/>
      </c>
      <c r="Z162" s="1" t="str">
        <f>IFERROR(__xludf.DUMMYFUNCTION("""COMPUTED_VALUE"""),"Unknown")</f>
        <v>Unknown</v>
      </c>
      <c r="AA162" s="1" t="str">
        <f>IFERROR(__xludf.DUMMYFUNCTION("""COMPUTED_VALUE"""),"")</f>
        <v/>
      </c>
      <c r="AB162" s="1" t="str">
        <f>IFERROR(__xludf.DUMMYFUNCTION("""COMPUTED_VALUE"""),"")</f>
        <v/>
      </c>
      <c r="AC162" s="1" t="str">
        <f>IFERROR(__xludf.DUMMYFUNCTION("""COMPUTED_VALUE"""),"")</f>
        <v/>
      </c>
      <c r="AD162" s="1" t="str">
        <f>IFERROR(__xludf.DUMMYFUNCTION("""COMPUTED_VALUE"""),"")</f>
        <v/>
      </c>
      <c r="AE162" s="1" t="str">
        <f>IFERROR(__xludf.DUMMYFUNCTION("""COMPUTED_VALUE"""),"")</f>
        <v/>
      </c>
      <c r="AF162" s="1" t="str">
        <f>IFERROR(__xludf.DUMMYFUNCTION("""COMPUTED_VALUE"""),"")</f>
        <v/>
      </c>
      <c r="AG162" s="1" t="str">
        <f>IFERROR(__xludf.DUMMYFUNCTION("""COMPUTED_VALUE"""),"")</f>
        <v/>
      </c>
      <c r="AH162" s="1" t="str">
        <f>IFERROR(__xludf.DUMMYFUNCTION("""COMPUTED_VALUE"""),"Sci4GA")</f>
        <v>Sci4GA</v>
      </c>
      <c r="AI162" s="2" t="str">
        <f>IFERROR(__xludf.DUMMYFUNCTION("""COMPUTED_VALUE"""),"https://baxtel.com/data-center/level3-atlanta-doraville")</f>
        <v>https://baxtel.com/data-center/level3-atlanta-doraville</v>
      </c>
      <c r="AJ162" s="1" t="str">
        <f>IFERROR(__xludf.DUMMYFUNCTION("""COMPUTED_VALUE"""),"")</f>
        <v/>
      </c>
      <c r="AK162" s="1" t="str">
        <f>IFERROR(__xludf.DUMMYFUNCTION("""COMPUTED_VALUE"""),"")</f>
        <v/>
      </c>
      <c r="AL162" s="1" t="str">
        <f>IFERROR(__xludf.DUMMYFUNCTION("""COMPUTED_VALUE"""),"")</f>
        <v/>
      </c>
      <c r="AM162" s="1" t="str">
        <f>IFERROR(__xludf.DUMMYFUNCTION("""COMPUTED_VALUE"""),"")</f>
        <v/>
      </c>
      <c r="AN162" s="1" t="str">
        <f>IFERROR(__xludf.DUMMYFUNCTION("""COMPUTED_VALUE"""),"")</f>
        <v/>
      </c>
      <c r="AO162" s="1" t="str">
        <f>IFERROR(__xludf.DUMMYFUNCTION("""COMPUTED_VALUE"""),"")</f>
        <v/>
      </c>
      <c r="AP162" s="1" t="str">
        <f>IFERROR(__xludf.DUMMYFUNCTION("""COMPUTED_VALUE"""),"")</f>
        <v/>
      </c>
      <c r="AQ162" s="1" t="str">
        <f>IFERROR(__xludf.DUMMYFUNCTION("""COMPUTED_VALUE"""),"10/16/2025")</f>
        <v>10/16/2025</v>
      </c>
      <c r="AR162" s="1" t="str">
        <f>IFERROR(__xludf.DUMMYFUNCTION("""COMPUTED_VALUE"""),"10/16/2025")</f>
        <v>10/16/2025</v>
      </c>
    </row>
    <row r="163">
      <c r="A163" s="1" t="str">
        <f>IFERROR(__xludf.DUMMYFUNCTION("""COMPUTED_VALUE"""),"Marrietta Data Center")</f>
        <v>Marrietta Data Center</v>
      </c>
      <c r="B163" s="1" t="str">
        <f>IFERROR(__xludf.DUMMYFUNCTION("""COMPUTED_VALUE"""),"2812 Spring Road SE (Suite 210)")</f>
        <v>2812 Spring Road SE (Suite 210)</v>
      </c>
      <c r="C163" s="1" t="str">
        <f>IFERROR(__xludf.DUMMYFUNCTION("""COMPUTED_VALUE"""),"Atlanta")</f>
        <v>Atlanta</v>
      </c>
      <c r="D163" s="1" t="str">
        <f>IFERROR(__xludf.DUMMYFUNCTION("""COMPUTED_VALUE"""),"GA")</f>
        <v>GA</v>
      </c>
      <c r="E163" s="1" t="str">
        <f>IFERROR(__xludf.DUMMYFUNCTION("""COMPUTED_VALUE"""),"30339")</f>
        <v>30339</v>
      </c>
      <c r="F163" s="1" t="str">
        <f>IFERROR(__xludf.DUMMYFUNCTION("""COMPUTED_VALUE"""),"Cobb")</f>
        <v>Cobb</v>
      </c>
      <c r="G163" s="1" t="str">
        <f>IFERROR(__xludf.DUMMYFUNCTION("""COMPUTED_VALUE"""),"33.884117")</f>
        <v>33.884117</v>
      </c>
      <c r="H163" s="1" t="str">
        <f>IFERROR(__xludf.DUMMYFUNCTION("""COMPUTED_VALUE"""),"-84.47229")</f>
        <v>-84.47229</v>
      </c>
      <c r="I163" s="1" t="str">
        <f>IFERROR(__xludf.DUMMYFUNCTION("""COMPUTED_VALUE"""),"Operating")</f>
        <v>Operating</v>
      </c>
      <c r="J163" s="1" t="str">
        <f>IFERROR(__xludf.DUMMYFUNCTION("""COMPUTED_VALUE"""),"High")</f>
        <v>High</v>
      </c>
      <c r="K163" s="1" t="str">
        <f>IFERROR(__xludf.DUMMYFUNCTION("""COMPUTED_VALUE"""),"")</f>
        <v/>
      </c>
      <c r="L163" s="1" t="str">
        <f>IFERROR(__xludf.DUMMYFUNCTION("""COMPUTED_VALUE"""),"Coloblox")</f>
        <v>Coloblox</v>
      </c>
      <c r="M163" s="1" t="str">
        <f>IFERROR(__xludf.DUMMYFUNCTION("""COMPUTED_VALUE"""),"")</f>
        <v/>
      </c>
      <c r="N163" s="1" t="str">
        <f>IFERROR(__xludf.DUMMYFUNCTION("""COMPUTED_VALUE"""),"")</f>
        <v/>
      </c>
      <c r="O163" s="1" t="str">
        <f>IFERROR(__xludf.DUMMYFUNCTION("""COMPUTED_VALUE"""),"Unknown")</f>
        <v>Unknown</v>
      </c>
      <c r="P163" s="1" t="str">
        <f>IFERROR(__xludf.DUMMYFUNCTION("""COMPUTED_VALUE"""),"")</f>
        <v/>
      </c>
      <c r="Q163" s="1" t="str">
        <f>IFERROR(__xludf.DUMMYFUNCTION("""COMPUTED_VALUE"""),"")</f>
        <v/>
      </c>
      <c r="R163" s="1" t="str">
        <f>IFERROR(__xludf.DUMMYFUNCTION("""COMPUTED_VALUE"""),"")</f>
        <v/>
      </c>
      <c r="S163" s="1" t="str">
        <f>IFERROR(__xludf.DUMMYFUNCTION("""COMPUTED_VALUE"""),"")</f>
        <v/>
      </c>
      <c r="T163" s="1" t="str">
        <f>IFERROR(__xludf.DUMMYFUNCTION("""COMPUTED_VALUE"""),"")</f>
        <v/>
      </c>
      <c r="U163" s="1" t="str">
        <f>IFERROR(__xludf.DUMMYFUNCTION("""COMPUTED_VALUE"""),"")</f>
        <v/>
      </c>
      <c r="V163" s="1" t="str">
        <f>IFERROR(__xludf.DUMMYFUNCTION("""COMPUTED_VALUE"""),"")</f>
        <v/>
      </c>
      <c r="W163" s="1" t="str">
        <f>IFERROR(__xludf.DUMMYFUNCTION("""COMPUTED_VALUE"""),"")</f>
        <v/>
      </c>
      <c r="X163" s="1" t="str">
        <f>IFERROR(__xludf.DUMMYFUNCTION("""COMPUTED_VALUE"""),"")</f>
        <v/>
      </c>
      <c r="Y163" s="1" t="str">
        <f>IFERROR(__xludf.DUMMYFUNCTION("""COMPUTED_VALUE"""),"")</f>
        <v/>
      </c>
      <c r="Z163" s="1" t="str">
        <f>IFERROR(__xludf.DUMMYFUNCTION("""COMPUTED_VALUE"""),"Unknown")</f>
        <v>Unknown</v>
      </c>
      <c r="AA163" s="1" t="str">
        <f>IFERROR(__xludf.DUMMYFUNCTION("""COMPUTED_VALUE"""),"")</f>
        <v/>
      </c>
      <c r="AB163" s="1" t="str">
        <f>IFERROR(__xludf.DUMMYFUNCTION("""COMPUTED_VALUE"""),"")</f>
        <v/>
      </c>
      <c r="AC163" s="1" t="str">
        <f>IFERROR(__xludf.DUMMYFUNCTION("""COMPUTED_VALUE"""),"")</f>
        <v/>
      </c>
      <c r="AD163" s="1" t="str">
        <f>IFERROR(__xludf.DUMMYFUNCTION("""COMPUTED_VALUE"""),"")</f>
        <v/>
      </c>
      <c r="AE163" s="1" t="str">
        <f>IFERROR(__xludf.DUMMYFUNCTION("""COMPUTED_VALUE"""),"")</f>
        <v/>
      </c>
      <c r="AF163" s="1" t="str">
        <f>IFERROR(__xludf.DUMMYFUNCTION("""COMPUTED_VALUE"""),"")</f>
        <v/>
      </c>
      <c r="AG163" s="1" t="str">
        <f>IFERROR(__xludf.DUMMYFUNCTION("""COMPUTED_VALUE"""),"")</f>
        <v/>
      </c>
      <c r="AH163" s="1" t="str">
        <f>IFERROR(__xludf.DUMMYFUNCTION("""COMPUTED_VALUE"""),"Sci4GA")</f>
        <v>Sci4GA</v>
      </c>
      <c r="AI163" s="1" t="str">
        <f>IFERROR(__xludf.DUMMYFUNCTION("""COMPUTED_VALUE"""),"")</f>
        <v/>
      </c>
      <c r="AJ163" s="1" t="str">
        <f>IFERROR(__xludf.DUMMYFUNCTION("""COMPUTED_VALUE"""),"")</f>
        <v/>
      </c>
      <c r="AK163" s="1" t="str">
        <f>IFERROR(__xludf.DUMMYFUNCTION("""COMPUTED_VALUE"""),"")</f>
        <v/>
      </c>
      <c r="AL163" s="1" t="str">
        <f>IFERROR(__xludf.DUMMYFUNCTION("""COMPUTED_VALUE"""),"")</f>
        <v/>
      </c>
      <c r="AM163" s="1" t="str">
        <f>IFERROR(__xludf.DUMMYFUNCTION("""COMPUTED_VALUE"""),"")</f>
        <v/>
      </c>
      <c r="AN163" s="1" t="str">
        <f>IFERROR(__xludf.DUMMYFUNCTION("""COMPUTED_VALUE"""),"")</f>
        <v/>
      </c>
      <c r="AO163" s="1" t="str">
        <f>IFERROR(__xludf.DUMMYFUNCTION("""COMPUTED_VALUE"""),"")</f>
        <v/>
      </c>
      <c r="AP163" s="1" t="str">
        <f>IFERROR(__xludf.DUMMYFUNCTION("""COMPUTED_VALUE"""),"")</f>
        <v/>
      </c>
      <c r="AQ163" s="1" t="str">
        <f>IFERROR(__xludf.DUMMYFUNCTION("""COMPUTED_VALUE"""),"10/16/2025")</f>
        <v>10/16/2025</v>
      </c>
      <c r="AR163" s="1" t="str">
        <f>IFERROR(__xludf.DUMMYFUNCTION("""COMPUTED_VALUE"""),"10/16/2025")</f>
        <v>10/16/2025</v>
      </c>
    </row>
    <row r="164">
      <c r="A164" s="1" t="str">
        <f>IFERROR(__xludf.DUMMYFUNCTION("""COMPUTED_VALUE"""),"Microsoft: Project Fulton")</f>
        <v>Microsoft: Project Fulton</v>
      </c>
      <c r="B164" s="1" t="str">
        <f>IFERROR(__xludf.DUMMYFUNCTION("""COMPUTED_VALUE"""),"Ben Hill Rd")</f>
        <v>Ben Hill Rd</v>
      </c>
      <c r="C164" s="1" t="str">
        <f>IFERROR(__xludf.DUMMYFUNCTION("""COMPUTED_VALUE"""),"Atlanta")</f>
        <v>Atlanta</v>
      </c>
      <c r="D164" s="1" t="str">
        <f>IFERROR(__xludf.DUMMYFUNCTION("""COMPUTED_VALUE"""),"GA")</f>
        <v>GA</v>
      </c>
      <c r="E164" s="1" t="str">
        <f>IFERROR(__xludf.DUMMYFUNCTION("""COMPUTED_VALUE"""),"30349")</f>
        <v>30349</v>
      </c>
      <c r="F164" s="1" t="str">
        <f>IFERROR(__xludf.DUMMYFUNCTION("""COMPUTED_VALUE"""),"Fulton")</f>
        <v>Fulton</v>
      </c>
      <c r="G164" s="1" t="str">
        <f>IFERROR(__xludf.DUMMYFUNCTION("""COMPUTED_VALUE"""),"33.64121")</f>
        <v>33.64121</v>
      </c>
      <c r="H164" s="1" t="str">
        <f>IFERROR(__xludf.DUMMYFUNCTION("""COMPUTED_VALUE"""),"-84.5167")</f>
        <v>-84.5167</v>
      </c>
      <c r="I164" s="1" t="str">
        <f>IFERROR(__xludf.DUMMYFUNCTION("""COMPUTED_VALUE"""),"Proposed")</f>
        <v>Proposed</v>
      </c>
      <c r="J164" s="1" t="str">
        <f>IFERROR(__xludf.DUMMYFUNCTION("""COMPUTED_VALUE"""),"Medium")</f>
        <v>Medium</v>
      </c>
      <c r="K164" s="1" t="str">
        <f>IFERROR(__xludf.DUMMYFUNCTION("""COMPUTED_VALUE"""),"")</f>
        <v/>
      </c>
      <c r="L164" s="1" t="str">
        <f>IFERROR(__xludf.DUMMYFUNCTION("""COMPUTED_VALUE"""),"Microsoft")</f>
        <v>Microsoft</v>
      </c>
      <c r="M164" s="1" t="str">
        <f>IFERROR(__xludf.DUMMYFUNCTION("""COMPUTED_VALUE"""),"")</f>
        <v/>
      </c>
      <c r="N164" s="1" t="str">
        <f>IFERROR(__xludf.DUMMYFUNCTION("""COMPUTED_VALUE"""),"")</f>
        <v/>
      </c>
      <c r="O164" s="1" t="str">
        <f>IFERROR(__xludf.DUMMYFUNCTION("""COMPUTED_VALUE"""),"Unknown")</f>
        <v>Unknown</v>
      </c>
      <c r="P164" s="1" t="str">
        <f>IFERROR(__xludf.DUMMYFUNCTION("""COMPUTED_VALUE"""),"")</f>
        <v/>
      </c>
      <c r="Q164" s="1" t="str">
        <f>IFERROR(__xludf.DUMMYFUNCTION("""COMPUTED_VALUE"""),"")</f>
        <v/>
      </c>
      <c r="R164" s="1" t="str">
        <f>IFERROR(__xludf.DUMMYFUNCTION("""COMPUTED_VALUE"""),"")</f>
        <v/>
      </c>
      <c r="S164" s="1" t="str">
        <f>IFERROR(__xludf.DUMMYFUNCTION("""COMPUTED_VALUE"""),"")</f>
        <v/>
      </c>
      <c r="T164" s="1" t="str">
        <f>IFERROR(__xludf.DUMMYFUNCTION("""COMPUTED_VALUE"""),"")</f>
        <v/>
      </c>
      <c r="U164" s="1" t="str">
        <f>IFERROR(__xludf.DUMMYFUNCTION("""COMPUTED_VALUE"""),"")</f>
        <v/>
      </c>
      <c r="V164" s="1" t="str">
        <f>IFERROR(__xludf.DUMMYFUNCTION("""COMPUTED_VALUE"""),"250,000")</f>
        <v>250,000</v>
      </c>
      <c r="W164" s="1" t="str">
        <f>IFERROR(__xludf.DUMMYFUNCTION("""COMPUTED_VALUE"""),"125")</f>
        <v>125</v>
      </c>
      <c r="X164" s="1" t="str">
        <f>IFERROR(__xludf.DUMMYFUNCTION("""COMPUTED_VALUE"""),"$30 million")</f>
        <v>$30 million</v>
      </c>
      <c r="Y164" s="1" t="str">
        <f>IFERROR(__xludf.DUMMYFUNCTION("""COMPUTED_VALUE"""),"")</f>
        <v/>
      </c>
      <c r="Z164" s="1" t="str">
        <f>IFERROR(__xludf.DUMMYFUNCTION("""COMPUTED_VALUE"""),"Unknown")</f>
        <v>Unknown</v>
      </c>
      <c r="AA164" s="1" t="str">
        <f>IFERROR(__xludf.DUMMYFUNCTION("""COMPUTED_VALUE"""),"")</f>
        <v/>
      </c>
      <c r="AB164" s="1" t="str">
        <f>IFERROR(__xludf.DUMMYFUNCTION("""COMPUTED_VALUE"""),"")</f>
        <v/>
      </c>
      <c r="AC164" s="1" t="str">
        <f>IFERROR(__xludf.DUMMYFUNCTION("""COMPUTED_VALUE"""),"")</f>
        <v/>
      </c>
      <c r="AD164" s="1" t="str">
        <f>IFERROR(__xludf.DUMMYFUNCTION("""COMPUTED_VALUE"""),"")</f>
        <v/>
      </c>
      <c r="AE164" s="1" t="str">
        <f>IFERROR(__xludf.DUMMYFUNCTION("""COMPUTED_VALUE"""),"")</f>
        <v/>
      </c>
      <c r="AF164" s="1" t="str">
        <f>IFERROR(__xludf.DUMMYFUNCTION("""COMPUTED_VALUE"""),"")</f>
        <v/>
      </c>
      <c r="AG164" s="1" t="str">
        <f>IFERROR(__xludf.DUMMYFUNCTION("""COMPUTED_VALUE"""),"")</f>
        <v/>
      </c>
      <c r="AH164" s="1" t="str">
        <f>IFERROR(__xludf.DUMMYFUNCTION("""COMPUTED_VALUE"""),"Media Monitoring")</f>
        <v>Media Monitoring</v>
      </c>
      <c r="AI164" s="2" t="str">
        <f>IFERROR(__xludf.DUMMYFUNCTION("""COMPUTED_VALUE"""),"https://www.datacenterdynamics.com/en/news/microsoft-buys-125-acre-site-in-fulton-county-georgia/")</f>
        <v>https://www.datacenterdynamics.com/en/news/microsoft-buys-125-acre-site-in-fulton-county-georgia/</v>
      </c>
      <c r="AJ164" s="1" t="str">
        <f>IFERROR(__xludf.DUMMYFUNCTION("""COMPUTED_VALUE"""),"")</f>
        <v/>
      </c>
      <c r="AK164" s="1" t="str">
        <f>IFERROR(__xludf.DUMMYFUNCTION("""COMPUTED_VALUE"""),"")</f>
        <v/>
      </c>
      <c r="AL164" s="1" t="str">
        <f>IFERROR(__xludf.DUMMYFUNCTION("""COMPUTED_VALUE"""),"")</f>
        <v/>
      </c>
      <c r="AM164" s="1" t="str">
        <f>IFERROR(__xludf.DUMMYFUNCTION("""COMPUTED_VALUE"""),"")</f>
        <v/>
      </c>
      <c r="AN164" s="1" t="str">
        <f>IFERROR(__xludf.DUMMYFUNCTION("""COMPUTED_VALUE"""),"")</f>
        <v/>
      </c>
      <c r="AO164" s="1" t="str">
        <f>IFERROR(__xludf.DUMMYFUNCTION("""COMPUTED_VALUE"""),"")</f>
        <v/>
      </c>
      <c r="AP164" s="1" t="str">
        <f>IFERROR(__xludf.DUMMYFUNCTION("""COMPUTED_VALUE"""),"")</f>
        <v/>
      </c>
      <c r="AQ164" s="1" t="str">
        <f>IFERROR(__xludf.DUMMYFUNCTION("""COMPUTED_VALUE"""),"06/25/2025")</f>
        <v>06/25/2025</v>
      </c>
      <c r="AR164" s="1" t="str">
        <f>IFERROR(__xludf.DUMMYFUNCTION("""COMPUTED_VALUE"""),"06/25/2025")</f>
        <v>06/25/2025</v>
      </c>
    </row>
    <row r="165">
      <c r="A165" s="1" t="str">
        <f>IFERROR(__xludf.DUMMYFUNCTION("""COMPUTED_VALUE"""),"QTS")</f>
        <v>QTS</v>
      </c>
      <c r="B165" s="1" t="str">
        <f>IFERROR(__xludf.DUMMYFUNCTION("""COMPUTED_VALUE"""),"1033 Jefferson Street NW")</f>
        <v>1033 Jefferson Street NW</v>
      </c>
      <c r="C165" s="1" t="str">
        <f>IFERROR(__xludf.DUMMYFUNCTION("""COMPUTED_VALUE"""),"Atlanta")</f>
        <v>Atlanta</v>
      </c>
      <c r="D165" s="1" t="str">
        <f>IFERROR(__xludf.DUMMYFUNCTION("""COMPUTED_VALUE"""),"GA")</f>
        <v>GA</v>
      </c>
      <c r="E165" s="1" t="str">
        <f>IFERROR(__xludf.DUMMYFUNCTION("""COMPUTED_VALUE"""),"30318")</f>
        <v>30318</v>
      </c>
      <c r="F165" s="1" t="str">
        <f>IFERROR(__xludf.DUMMYFUNCTION("""COMPUTED_VALUE"""),"Fulton")</f>
        <v>Fulton</v>
      </c>
      <c r="G165" s="1" t="str">
        <f>IFERROR(__xludf.DUMMYFUNCTION("""COMPUTED_VALUE"""),"33.77595")</f>
        <v>33.77595</v>
      </c>
      <c r="H165" s="1" t="str">
        <f>IFERROR(__xludf.DUMMYFUNCTION("""COMPUTED_VALUE"""),"-84.421074")</f>
        <v>-84.421074</v>
      </c>
      <c r="I165" s="1" t="str">
        <f>IFERROR(__xludf.DUMMYFUNCTION("""COMPUTED_VALUE"""),"Operating")</f>
        <v>Operating</v>
      </c>
      <c r="J165" s="1" t="str">
        <f>IFERROR(__xludf.DUMMYFUNCTION("""COMPUTED_VALUE"""),"High")</f>
        <v>High</v>
      </c>
      <c r="K165" s="1" t="str">
        <f>IFERROR(__xludf.DUMMYFUNCTION("""COMPUTED_VALUE"""),"")</f>
        <v/>
      </c>
      <c r="L165" s="1" t="str">
        <f>IFERROR(__xludf.DUMMYFUNCTION("""COMPUTED_VALUE"""),"")</f>
        <v/>
      </c>
      <c r="M165" s="1" t="str">
        <f>IFERROR(__xludf.DUMMYFUNCTION("""COMPUTED_VALUE"""),"")</f>
        <v/>
      </c>
      <c r="N165" s="1" t="str">
        <f>IFERROR(__xludf.DUMMYFUNCTION("""COMPUTED_VALUE"""),"0-275")</f>
        <v>0-275</v>
      </c>
      <c r="O165" s="1" t="str">
        <f>IFERROR(__xludf.DUMMYFUNCTION("""COMPUTED_VALUE"""),"Hyperscale (100-999 MW)")</f>
        <v>Hyperscale (100-999 MW)</v>
      </c>
      <c r="P165" s="1" t="str">
        <f>IFERROR(__xludf.DUMMYFUNCTION("""COMPUTED_VALUE"""),"")</f>
        <v/>
      </c>
      <c r="Q165" s="1" t="str">
        <f>IFERROR(__xludf.DUMMYFUNCTION("""COMPUTED_VALUE"""),"")</f>
        <v/>
      </c>
      <c r="R165" s="1" t="str">
        <f>IFERROR(__xludf.DUMMYFUNCTION("""COMPUTED_VALUE"""),"")</f>
        <v/>
      </c>
      <c r="S165" s="1" t="str">
        <f>IFERROR(__xludf.DUMMYFUNCTION("""COMPUTED_VALUE"""),"")</f>
        <v/>
      </c>
      <c r="T165" s="1" t="str">
        <f>IFERROR(__xludf.DUMMYFUNCTION("""COMPUTED_VALUE"""),"")</f>
        <v/>
      </c>
      <c r="U165" s="1" t="str">
        <f>IFERROR(__xludf.DUMMYFUNCTION("""COMPUTED_VALUE"""),"")</f>
        <v/>
      </c>
      <c r="V165" s="1" t="str">
        <f>IFERROR(__xludf.DUMMYFUNCTION("""COMPUTED_VALUE"""),"")</f>
        <v/>
      </c>
      <c r="W165" s="1" t="str">
        <f>IFERROR(__xludf.DUMMYFUNCTION("""COMPUTED_VALUE"""),"100")</f>
        <v>100</v>
      </c>
      <c r="X165" s="1" t="str">
        <f>IFERROR(__xludf.DUMMYFUNCTION("""COMPUTED_VALUE"""),"")</f>
        <v/>
      </c>
      <c r="Y165" s="1" t="str">
        <f>IFERROR(__xludf.DUMMYFUNCTION("""COMPUTED_VALUE"""),"")</f>
        <v/>
      </c>
      <c r="Z165" s="1" t="str">
        <f>IFERROR(__xludf.DUMMYFUNCTION("""COMPUTED_VALUE"""),"Unknown")</f>
        <v>Unknown</v>
      </c>
      <c r="AA165" s="1" t="str">
        <f>IFERROR(__xludf.DUMMYFUNCTION("""COMPUTED_VALUE"""),"")</f>
        <v/>
      </c>
      <c r="AB165" s="1" t="str">
        <f>IFERROR(__xludf.DUMMYFUNCTION("""COMPUTED_VALUE"""),"")</f>
        <v/>
      </c>
      <c r="AC165" s="1" t="str">
        <f>IFERROR(__xludf.DUMMYFUNCTION("""COMPUTED_VALUE"""),"")</f>
        <v/>
      </c>
      <c r="AD165" s="1" t="str">
        <f>IFERROR(__xludf.DUMMYFUNCTION("""COMPUTED_VALUE"""),"")</f>
        <v/>
      </c>
      <c r="AE165" s="1" t="str">
        <f>IFERROR(__xludf.DUMMYFUNCTION("""COMPUTED_VALUE"""),"")</f>
        <v/>
      </c>
      <c r="AF165" s="1" t="str">
        <f>IFERROR(__xludf.DUMMYFUNCTION("""COMPUTED_VALUE"""),"")</f>
        <v/>
      </c>
      <c r="AG165" s="1" t="str">
        <f>IFERROR(__xludf.DUMMYFUNCTION("""COMPUTED_VALUE"""),"")</f>
        <v/>
      </c>
      <c r="AH165" s="1" t="str">
        <f>IFERROR(__xludf.DUMMYFUNCTION("""COMPUTED_VALUE"""),"Media Monitoring")</f>
        <v>Media Monitoring</v>
      </c>
      <c r="AI165" s="2" t="str">
        <f>IFERROR(__xludf.DUMMYFUNCTION("""COMPUTED_VALUE"""),"https://www.datacenterdynamics.com/en/news/qts-targets-two-data-center-campuses-in-georgia/")</f>
        <v>https://www.datacenterdynamics.com/en/news/qts-targets-two-data-center-campuses-in-georgia/</v>
      </c>
      <c r="AJ165" s="1" t="str">
        <f>IFERROR(__xludf.DUMMYFUNCTION("""COMPUTED_VALUE"""),"")</f>
        <v/>
      </c>
      <c r="AK165" s="1" t="str">
        <f>IFERROR(__xludf.DUMMYFUNCTION("""COMPUTED_VALUE"""),"")</f>
        <v/>
      </c>
      <c r="AL165" s="1" t="str">
        <f>IFERROR(__xludf.DUMMYFUNCTION("""COMPUTED_VALUE"""),"")</f>
        <v/>
      </c>
      <c r="AM165" s="1" t="str">
        <f>IFERROR(__xludf.DUMMYFUNCTION("""COMPUTED_VALUE"""),"")</f>
        <v/>
      </c>
      <c r="AN165" s="1" t="str">
        <f>IFERROR(__xludf.DUMMYFUNCTION("""COMPUTED_VALUE"""),"")</f>
        <v/>
      </c>
      <c r="AO165" s="1" t="str">
        <f>IFERROR(__xludf.DUMMYFUNCTION("""COMPUTED_VALUE"""),"")</f>
        <v/>
      </c>
      <c r="AP165" s="1" t="str">
        <f>IFERROR(__xludf.DUMMYFUNCTION("""COMPUTED_VALUE"""),"")</f>
        <v/>
      </c>
      <c r="AQ165" s="1" t="str">
        <f>IFERROR(__xludf.DUMMYFUNCTION("""COMPUTED_VALUE"""),"03/13/2026")</f>
        <v>03/13/2026</v>
      </c>
      <c r="AR165" s="1" t="str">
        <f>IFERROR(__xludf.DUMMYFUNCTION("""COMPUTED_VALUE"""),"03/13/2026")</f>
        <v>03/13/2026</v>
      </c>
    </row>
    <row r="166">
      <c r="A166" s="1" t="str">
        <f>IFERROR(__xludf.DUMMYFUNCTION("""COMPUTED_VALUE"""),"Southern Telecom Atlanta")</f>
        <v>Southern Telecom Atlanta</v>
      </c>
      <c r="B166" s="1" t="str">
        <f>IFERROR(__xludf.DUMMYFUNCTION("""COMPUTED_VALUE"""),"270 Peachtree Street NE")</f>
        <v>270 Peachtree Street NE</v>
      </c>
      <c r="C166" s="1" t="str">
        <f>IFERROR(__xludf.DUMMYFUNCTION("""COMPUTED_VALUE"""),"Atlanta")</f>
        <v>Atlanta</v>
      </c>
      <c r="D166" s="1" t="str">
        <f>IFERROR(__xludf.DUMMYFUNCTION("""COMPUTED_VALUE"""),"GA")</f>
        <v>GA</v>
      </c>
      <c r="E166" s="1" t="str">
        <f>IFERROR(__xludf.DUMMYFUNCTION("""COMPUTED_VALUE"""),"30303")</f>
        <v>30303</v>
      </c>
      <c r="F166" s="1" t="str">
        <f>IFERROR(__xludf.DUMMYFUNCTION("""COMPUTED_VALUE"""),"Fulton")</f>
        <v>Fulton</v>
      </c>
      <c r="G166" s="1" t="str">
        <f>IFERROR(__xludf.DUMMYFUNCTION("""COMPUTED_VALUE"""),"33.762527")</f>
        <v>33.762527</v>
      </c>
      <c r="H166" s="1" t="str">
        <f>IFERROR(__xludf.DUMMYFUNCTION("""COMPUTED_VALUE"""),"-84.387886")</f>
        <v>-84.387886</v>
      </c>
      <c r="I166" s="1" t="str">
        <f>IFERROR(__xludf.DUMMYFUNCTION("""COMPUTED_VALUE"""),"Operating")</f>
        <v>Operating</v>
      </c>
      <c r="J166" s="1" t="str">
        <f>IFERROR(__xludf.DUMMYFUNCTION("""COMPUTED_VALUE"""),"High")</f>
        <v>High</v>
      </c>
      <c r="K166" s="1" t="str">
        <f>IFERROR(__xludf.DUMMYFUNCTION("""COMPUTED_VALUE"""),"")</f>
        <v/>
      </c>
      <c r="L166" s="1" t="str">
        <f>IFERROR(__xludf.DUMMYFUNCTION("""COMPUTED_VALUE"""),"Southern Telecom")</f>
        <v>Southern Telecom</v>
      </c>
      <c r="M166" s="1" t="str">
        <f>IFERROR(__xludf.DUMMYFUNCTION("""COMPUTED_VALUE"""),"")</f>
        <v/>
      </c>
      <c r="N166" s="1" t="str">
        <f>IFERROR(__xludf.DUMMYFUNCTION("""COMPUTED_VALUE"""),"0-1")</f>
        <v>0-1</v>
      </c>
      <c r="O166" s="1" t="str">
        <f>IFERROR(__xludf.DUMMYFUNCTION("""COMPUTED_VALUE"""),"Small (0-10 MW)")</f>
        <v>Small (0-10 MW)</v>
      </c>
      <c r="P166" s="1" t="str">
        <f>IFERROR(__xludf.DUMMYFUNCTION("""COMPUTED_VALUE"""),"")</f>
        <v/>
      </c>
      <c r="Q166" s="1" t="str">
        <f>IFERROR(__xludf.DUMMYFUNCTION("""COMPUTED_VALUE"""),"")</f>
        <v/>
      </c>
      <c r="R166" s="1" t="str">
        <f>IFERROR(__xludf.DUMMYFUNCTION("""COMPUTED_VALUE"""),"")</f>
        <v/>
      </c>
      <c r="S166" s="1" t="str">
        <f>IFERROR(__xludf.DUMMYFUNCTION("""COMPUTED_VALUE"""),"")</f>
        <v/>
      </c>
      <c r="T166" s="1" t="str">
        <f>IFERROR(__xludf.DUMMYFUNCTION("""COMPUTED_VALUE"""),"Water")</f>
        <v>Water</v>
      </c>
      <c r="U166" s="1" t="str">
        <f>IFERROR(__xludf.DUMMYFUNCTION("""COMPUTED_VALUE"""),"")</f>
        <v/>
      </c>
      <c r="V166" s="1" t="str">
        <f>IFERROR(__xludf.DUMMYFUNCTION("""COMPUTED_VALUE"""),"")</f>
        <v/>
      </c>
      <c r="W166" s="1" t="str">
        <f>IFERROR(__xludf.DUMMYFUNCTION("""COMPUTED_VALUE"""),"")</f>
        <v/>
      </c>
      <c r="X166" s="1" t="str">
        <f>IFERROR(__xludf.DUMMYFUNCTION("""COMPUTED_VALUE"""),"")</f>
        <v/>
      </c>
      <c r="Y166" s="1" t="str">
        <f>IFERROR(__xludf.DUMMYFUNCTION("""COMPUTED_VALUE"""),"")</f>
        <v/>
      </c>
      <c r="Z166" s="1" t="str">
        <f>IFERROR(__xludf.DUMMYFUNCTION("""COMPUTED_VALUE"""),"Unknown")</f>
        <v>Unknown</v>
      </c>
      <c r="AA166" s="1" t="str">
        <f>IFERROR(__xludf.DUMMYFUNCTION("""COMPUTED_VALUE"""),"")</f>
        <v/>
      </c>
      <c r="AB166" s="1" t="str">
        <f>IFERROR(__xludf.DUMMYFUNCTION("""COMPUTED_VALUE"""),"")</f>
        <v/>
      </c>
      <c r="AC166" s="1" t="str">
        <f>IFERROR(__xludf.DUMMYFUNCTION("""COMPUTED_VALUE"""),"")</f>
        <v/>
      </c>
      <c r="AD166" s="1" t="str">
        <f>IFERROR(__xludf.DUMMYFUNCTION("""COMPUTED_VALUE"""),"")</f>
        <v/>
      </c>
      <c r="AE166" s="1" t="str">
        <f>IFERROR(__xludf.DUMMYFUNCTION("""COMPUTED_VALUE"""),"")</f>
        <v/>
      </c>
      <c r="AF166" s="1" t="str">
        <f>IFERROR(__xludf.DUMMYFUNCTION("""COMPUTED_VALUE"""),"")</f>
        <v/>
      </c>
      <c r="AG166" s="1" t="str">
        <f>IFERROR(__xludf.DUMMYFUNCTION("""COMPUTED_VALUE"""),"")</f>
        <v/>
      </c>
      <c r="AH166" s="1" t="str">
        <f>IFERROR(__xludf.DUMMYFUNCTION("""COMPUTED_VALUE"""),"Sci4GA")</f>
        <v>Sci4GA</v>
      </c>
      <c r="AI166" s="2" t="str">
        <f>IFERROR(__xludf.DUMMYFUNCTION("""COMPUTED_VALUE"""),"https://baxtel.com/data-center/southern-telecom-atlanta")</f>
        <v>https://baxtel.com/data-center/southern-telecom-atlanta</v>
      </c>
      <c r="AJ166" s="1" t="str">
        <f>IFERROR(__xludf.DUMMYFUNCTION("""COMPUTED_VALUE"""),"")</f>
        <v/>
      </c>
      <c r="AK166" s="1" t="str">
        <f>IFERROR(__xludf.DUMMYFUNCTION("""COMPUTED_VALUE"""),"")</f>
        <v/>
      </c>
      <c r="AL166" s="1" t="str">
        <f>IFERROR(__xludf.DUMMYFUNCTION("""COMPUTED_VALUE"""),"")</f>
        <v/>
      </c>
      <c r="AM166" s="1" t="str">
        <f>IFERROR(__xludf.DUMMYFUNCTION("""COMPUTED_VALUE"""),"")</f>
        <v/>
      </c>
      <c r="AN166" s="1" t="str">
        <f>IFERROR(__xludf.DUMMYFUNCTION("""COMPUTED_VALUE"""),"")</f>
        <v/>
      </c>
      <c r="AO166" s="1" t="str">
        <f>IFERROR(__xludf.DUMMYFUNCTION("""COMPUTED_VALUE"""),"")</f>
        <v/>
      </c>
      <c r="AP166" s="1" t="str">
        <f>IFERROR(__xludf.DUMMYFUNCTION("""COMPUTED_VALUE"""),"")</f>
        <v/>
      </c>
      <c r="AQ166" s="1" t="str">
        <f>IFERROR(__xludf.DUMMYFUNCTION("""COMPUTED_VALUE"""),"10/16/2025")</f>
        <v>10/16/2025</v>
      </c>
      <c r="AR166" s="1" t="str">
        <f>IFERROR(__xludf.DUMMYFUNCTION("""COMPUTED_VALUE"""),"10/16/2025")</f>
        <v>10/16/2025</v>
      </c>
    </row>
    <row r="167">
      <c r="A167" s="1" t="str">
        <f>IFERROR(__xludf.DUMMYFUNCTION("""COMPUTED_VALUE"""),"Stonewall Tell Data Center")</f>
        <v>Stonewall Tell Data Center</v>
      </c>
      <c r="B167" s="1" t="str">
        <f>IFERROR(__xludf.DUMMYFUNCTION("""COMPUTED_VALUE"""),"South of South Fulton Parkway and east of Stonewall Tell Road")</f>
        <v>South of South Fulton Parkway and east of Stonewall Tell Road</v>
      </c>
      <c r="C167" s="1" t="str">
        <f>IFERROR(__xludf.DUMMYFUNCTION("""COMPUTED_VALUE"""),"Atlanta")</f>
        <v>Atlanta</v>
      </c>
      <c r="D167" s="1" t="str">
        <f>IFERROR(__xludf.DUMMYFUNCTION("""COMPUTED_VALUE"""),"GA")</f>
        <v>GA</v>
      </c>
      <c r="E167" s="1" t="str">
        <f>IFERROR(__xludf.DUMMYFUNCTION("""COMPUTED_VALUE"""),"30349")</f>
        <v>30349</v>
      </c>
      <c r="F167" s="1" t="str">
        <f>IFERROR(__xludf.DUMMYFUNCTION("""COMPUTED_VALUE"""),"Fulton")</f>
        <v>Fulton</v>
      </c>
      <c r="G167" s="1" t="str">
        <f>IFERROR(__xludf.DUMMYFUNCTION("""COMPUTED_VALUE"""),"33.615124")</f>
        <v>33.615124</v>
      </c>
      <c r="H167" s="1" t="str">
        <f>IFERROR(__xludf.DUMMYFUNCTION("""COMPUTED_VALUE"""),"-84.55222")</f>
        <v>-84.55222</v>
      </c>
      <c r="I167" s="1" t="str">
        <f>IFERROR(__xludf.DUMMYFUNCTION("""COMPUTED_VALUE"""),"Proposed")</f>
        <v>Proposed</v>
      </c>
      <c r="J167" s="1" t="str">
        <f>IFERROR(__xludf.DUMMYFUNCTION("""COMPUTED_VALUE"""),"High")</f>
        <v>High</v>
      </c>
      <c r="K167" s="1" t="str">
        <f>IFERROR(__xludf.DUMMYFUNCTION("""COMPUTED_VALUE"""),"")</f>
        <v/>
      </c>
      <c r="L167" s="1" t="str">
        <f>IFERROR(__xludf.DUMMYFUNCTION("""COMPUTED_VALUE"""),"RSC Investment Management LLC")</f>
        <v>RSC Investment Management LLC</v>
      </c>
      <c r="M167" s="1" t="str">
        <f>IFERROR(__xludf.DUMMYFUNCTION("""COMPUTED_VALUE"""),"")</f>
        <v/>
      </c>
      <c r="N167" s="1" t="str">
        <f>IFERROR(__xludf.DUMMYFUNCTION("""COMPUTED_VALUE"""),"")</f>
        <v/>
      </c>
      <c r="O167" s="1" t="str">
        <f>IFERROR(__xludf.DUMMYFUNCTION("""COMPUTED_VALUE"""),"Unknown")</f>
        <v>Unknown</v>
      </c>
      <c r="P167" s="1" t="str">
        <f>IFERROR(__xludf.DUMMYFUNCTION("""COMPUTED_VALUE"""),"")</f>
        <v/>
      </c>
      <c r="Q167" s="1" t="str">
        <f>IFERROR(__xludf.DUMMYFUNCTION("""COMPUTED_VALUE"""),"")</f>
        <v/>
      </c>
      <c r="R167" s="1" t="str">
        <f>IFERROR(__xludf.DUMMYFUNCTION("""COMPUTED_VALUE"""),"")</f>
        <v/>
      </c>
      <c r="S167" s="1" t="str">
        <f>IFERROR(__xludf.DUMMYFUNCTION("""COMPUTED_VALUE"""),"")</f>
        <v/>
      </c>
      <c r="T167" s="1" t="str">
        <f>IFERROR(__xludf.DUMMYFUNCTION("""COMPUTED_VALUE"""),"")</f>
        <v/>
      </c>
      <c r="U167" s="1" t="str">
        <f>IFERROR(__xludf.DUMMYFUNCTION("""COMPUTED_VALUE"""),"")</f>
        <v/>
      </c>
      <c r="V167" s="1" t="str">
        <f>IFERROR(__xludf.DUMMYFUNCTION("""COMPUTED_VALUE"""),"1,902,000")</f>
        <v>1,902,000</v>
      </c>
      <c r="W167" s="1" t="str">
        <f>IFERROR(__xludf.DUMMYFUNCTION("""COMPUTED_VALUE"""),"")</f>
        <v/>
      </c>
      <c r="X167" s="1" t="str">
        <f>IFERROR(__xludf.DUMMYFUNCTION("""COMPUTED_VALUE"""),"")</f>
        <v/>
      </c>
      <c r="Y167" s="1" t="str">
        <f>IFERROR(__xludf.DUMMYFUNCTION("""COMPUTED_VALUE"""),"")</f>
        <v/>
      </c>
      <c r="Z167" s="1" t="str">
        <f>IFERROR(__xludf.DUMMYFUNCTION("""COMPUTED_VALUE"""),"Unknown")</f>
        <v>Unknown</v>
      </c>
      <c r="AA167" s="1" t="str">
        <f>IFERROR(__xludf.DUMMYFUNCTION("""COMPUTED_VALUE"""),"")</f>
        <v/>
      </c>
      <c r="AB167" s="1" t="str">
        <f>IFERROR(__xludf.DUMMYFUNCTION("""COMPUTED_VALUE"""),"")</f>
        <v/>
      </c>
      <c r="AC167" s="1" t="str">
        <f>IFERROR(__xludf.DUMMYFUNCTION("""COMPUTED_VALUE"""),"")</f>
        <v/>
      </c>
      <c r="AD167" s="1" t="str">
        <f>IFERROR(__xludf.DUMMYFUNCTION("""COMPUTED_VALUE"""),"")</f>
        <v/>
      </c>
      <c r="AE167" s="1" t="str">
        <f>IFERROR(__xludf.DUMMYFUNCTION("""COMPUTED_VALUE"""),"")</f>
        <v/>
      </c>
      <c r="AF167" s="1" t="str">
        <f>IFERROR(__xludf.DUMMYFUNCTION("""COMPUTED_VALUE"""),"")</f>
        <v/>
      </c>
      <c r="AG167" s="1" t="str">
        <f>IFERROR(__xludf.DUMMYFUNCTION("""COMPUTED_VALUE"""),"")</f>
        <v/>
      </c>
      <c r="AH167" s="1" t="str">
        <f>IFERROR(__xludf.DUMMYFUNCTION("""COMPUTED_VALUE"""),"Sci4GA")</f>
        <v>Sci4GA</v>
      </c>
      <c r="AI167" s="1" t="str">
        <f>IFERROR(__xludf.DUMMYFUNCTION("""COMPUTED_VALUE"""),"DRI Application Summary")</f>
        <v>DRI Application Summary</v>
      </c>
      <c r="AJ167" s="1" t="str">
        <f>IFERROR(__xludf.DUMMYFUNCTION("""COMPUTED_VALUE"""),"")</f>
        <v/>
      </c>
      <c r="AK167" s="1" t="str">
        <f>IFERROR(__xludf.DUMMYFUNCTION("""COMPUTED_VALUE"""),"")</f>
        <v/>
      </c>
      <c r="AL167" s="1" t="str">
        <f>IFERROR(__xludf.DUMMYFUNCTION("""COMPUTED_VALUE"""),"")</f>
        <v/>
      </c>
      <c r="AM167" s="1" t="str">
        <f>IFERROR(__xludf.DUMMYFUNCTION("""COMPUTED_VALUE"""),"")</f>
        <v/>
      </c>
      <c r="AN167" s="1" t="str">
        <f>IFERROR(__xludf.DUMMYFUNCTION("""COMPUTED_VALUE"""),"")</f>
        <v/>
      </c>
      <c r="AO167" s="1" t="str">
        <f>IFERROR(__xludf.DUMMYFUNCTION("""COMPUTED_VALUE"""),"")</f>
        <v/>
      </c>
      <c r="AP167" s="1" t="str">
        <f>IFERROR(__xludf.DUMMYFUNCTION("""COMPUTED_VALUE"""),"")</f>
        <v/>
      </c>
      <c r="AQ167" s="1" t="str">
        <f>IFERROR(__xludf.DUMMYFUNCTION("""COMPUTED_VALUE"""),"10/16/2025")</f>
        <v>10/16/2025</v>
      </c>
      <c r="AR167" s="1" t="str">
        <f>IFERROR(__xludf.DUMMYFUNCTION("""COMPUTED_VALUE"""),"10/16/2025")</f>
        <v>10/16/2025</v>
      </c>
    </row>
    <row r="168">
      <c r="A168" s="1" t="str">
        <f>IFERROR(__xludf.DUMMYFUNCTION("""COMPUTED_VALUE"""),"Sungard Availability Services Atlanta Data Center")</f>
        <v>Sungard Availability Services Atlanta Data Center</v>
      </c>
      <c r="B168" s="1" t="str">
        <f>IFERROR(__xludf.DUMMYFUNCTION("""COMPUTED_VALUE"""),"1055 Spring Street NW")</f>
        <v>1055 Spring Street NW</v>
      </c>
      <c r="C168" s="1" t="str">
        <f>IFERROR(__xludf.DUMMYFUNCTION("""COMPUTED_VALUE"""),"Atlanta")</f>
        <v>Atlanta</v>
      </c>
      <c r="D168" s="1" t="str">
        <f>IFERROR(__xludf.DUMMYFUNCTION("""COMPUTED_VALUE"""),"GA")</f>
        <v>GA</v>
      </c>
      <c r="E168" s="1" t="str">
        <f>IFERROR(__xludf.DUMMYFUNCTION("""COMPUTED_VALUE"""),"30309")</f>
        <v>30309</v>
      </c>
      <c r="F168" s="1" t="str">
        <f>IFERROR(__xludf.DUMMYFUNCTION("""COMPUTED_VALUE"""),"Fulton")</f>
        <v>Fulton</v>
      </c>
      <c r="G168" s="1" t="str">
        <f>IFERROR(__xludf.DUMMYFUNCTION("""COMPUTED_VALUE"""),"33.78344")</f>
        <v>33.78344</v>
      </c>
      <c r="H168" s="1" t="str">
        <f>IFERROR(__xludf.DUMMYFUNCTION("""COMPUTED_VALUE"""),"-84.38862")</f>
        <v>-84.38862</v>
      </c>
      <c r="I168" s="1" t="str">
        <f>IFERROR(__xludf.DUMMYFUNCTION("""COMPUTED_VALUE"""),"Operating")</f>
        <v>Operating</v>
      </c>
      <c r="J168" s="1" t="str">
        <f>IFERROR(__xludf.DUMMYFUNCTION("""COMPUTED_VALUE"""),"High")</f>
        <v>High</v>
      </c>
      <c r="K168" s="1" t="str">
        <f>IFERROR(__xludf.DUMMYFUNCTION("""COMPUTED_VALUE"""),"")</f>
        <v/>
      </c>
      <c r="L168" s="1" t="str">
        <f>IFERROR(__xludf.DUMMYFUNCTION("""COMPUTED_VALUE"""),"Sunguard")</f>
        <v>Sunguard</v>
      </c>
      <c r="M168" s="1" t="str">
        <f>IFERROR(__xludf.DUMMYFUNCTION("""COMPUTED_VALUE"""),"")</f>
        <v/>
      </c>
      <c r="N168" s="1" t="str">
        <f>IFERROR(__xludf.DUMMYFUNCTION("""COMPUTED_VALUE"""),"")</f>
        <v/>
      </c>
      <c r="O168" s="1" t="str">
        <f>IFERROR(__xludf.DUMMYFUNCTION("""COMPUTED_VALUE"""),"Unknown")</f>
        <v>Unknown</v>
      </c>
      <c r="P168" s="1" t="str">
        <f>IFERROR(__xludf.DUMMYFUNCTION("""COMPUTED_VALUE"""),"")</f>
        <v/>
      </c>
      <c r="Q168" s="1" t="str">
        <f>IFERROR(__xludf.DUMMYFUNCTION("""COMPUTED_VALUE"""),"")</f>
        <v/>
      </c>
      <c r="R168" s="1" t="str">
        <f>IFERROR(__xludf.DUMMYFUNCTION("""COMPUTED_VALUE"""),"")</f>
        <v/>
      </c>
      <c r="S168" s="1" t="str">
        <f>IFERROR(__xludf.DUMMYFUNCTION("""COMPUTED_VALUE"""),"")</f>
        <v/>
      </c>
      <c r="T168" s="1" t="str">
        <f>IFERROR(__xludf.DUMMYFUNCTION("""COMPUTED_VALUE"""),"")</f>
        <v/>
      </c>
      <c r="U168" s="1" t="str">
        <f>IFERROR(__xludf.DUMMYFUNCTION("""COMPUTED_VALUE"""),"")</f>
        <v/>
      </c>
      <c r="V168" s="1" t="str">
        <f>IFERROR(__xludf.DUMMYFUNCTION("""COMPUTED_VALUE"""),"")</f>
        <v/>
      </c>
      <c r="W168" s="1" t="str">
        <f>IFERROR(__xludf.DUMMYFUNCTION("""COMPUTED_VALUE"""),"")</f>
        <v/>
      </c>
      <c r="X168" s="1" t="str">
        <f>IFERROR(__xludf.DUMMYFUNCTION("""COMPUTED_VALUE"""),"")</f>
        <v/>
      </c>
      <c r="Y168" s="1" t="str">
        <f>IFERROR(__xludf.DUMMYFUNCTION("""COMPUTED_VALUE"""),"")</f>
        <v/>
      </c>
      <c r="Z168" s="1" t="str">
        <f>IFERROR(__xludf.DUMMYFUNCTION("""COMPUTED_VALUE"""),"Unknown")</f>
        <v>Unknown</v>
      </c>
      <c r="AA168" s="1" t="str">
        <f>IFERROR(__xludf.DUMMYFUNCTION("""COMPUTED_VALUE"""),"")</f>
        <v/>
      </c>
      <c r="AB168" s="1" t="str">
        <f>IFERROR(__xludf.DUMMYFUNCTION("""COMPUTED_VALUE"""),"")</f>
        <v/>
      </c>
      <c r="AC168" s="1" t="str">
        <f>IFERROR(__xludf.DUMMYFUNCTION("""COMPUTED_VALUE"""),"")</f>
        <v/>
      </c>
      <c r="AD168" s="1" t="str">
        <f>IFERROR(__xludf.DUMMYFUNCTION("""COMPUTED_VALUE"""),"")</f>
        <v/>
      </c>
      <c r="AE168" s="1" t="str">
        <f>IFERROR(__xludf.DUMMYFUNCTION("""COMPUTED_VALUE"""),"")</f>
        <v/>
      </c>
      <c r="AF168" s="1" t="str">
        <f>IFERROR(__xludf.DUMMYFUNCTION("""COMPUTED_VALUE"""),"")</f>
        <v/>
      </c>
      <c r="AG168" s="1" t="str">
        <f>IFERROR(__xludf.DUMMYFUNCTION("""COMPUTED_VALUE"""),"")</f>
        <v/>
      </c>
      <c r="AH168" s="1" t="str">
        <f>IFERROR(__xludf.DUMMYFUNCTION("""COMPUTED_VALUE"""),"Sci4GA")</f>
        <v>Sci4GA</v>
      </c>
      <c r="AI168" s="2" t="str">
        <f>IFERROR(__xludf.DUMMYFUNCTION("""COMPUTED_VALUE"""),"https://baxtel.com/data-center/sungard-atlanta-1055")</f>
        <v>https://baxtel.com/data-center/sungard-atlanta-1055</v>
      </c>
      <c r="AJ168" s="1" t="str">
        <f>IFERROR(__xludf.DUMMYFUNCTION("""COMPUTED_VALUE"""),"")</f>
        <v/>
      </c>
      <c r="AK168" s="1" t="str">
        <f>IFERROR(__xludf.DUMMYFUNCTION("""COMPUTED_VALUE"""),"")</f>
        <v/>
      </c>
      <c r="AL168" s="1" t="str">
        <f>IFERROR(__xludf.DUMMYFUNCTION("""COMPUTED_VALUE"""),"")</f>
        <v/>
      </c>
      <c r="AM168" s="1" t="str">
        <f>IFERROR(__xludf.DUMMYFUNCTION("""COMPUTED_VALUE"""),"")</f>
        <v/>
      </c>
      <c r="AN168" s="1" t="str">
        <f>IFERROR(__xludf.DUMMYFUNCTION("""COMPUTED_VALUE"""),"")</f>
        <v/>
      </c>
      <c r="AO168" s="1" t="str">
        <f>IFERROR(__xludf.DUMMYFUNCTION("""COMPUTED_VALUE"""),"")</f>
        <v/>
      </c>
      <c r="AP168" s="1" t="str">
        <f>IFERROR(__xludf.DUMMYFUNCTION("""COMPUTED_VALUE"""),"")</f>
        <v/>
      </c>
      <c r="AQ168" s="1" t="str">
        <f>IFERROR(__xludf.DUMMYFUNCTION("""COMPUTED_VALUE"""),"10/16/2025")</f>
        <v>10/16/2025</v>
      </c>
      <c r="AR168" s="1" t="str">
        <f>IFERROR(__xludf.DUMMYFUNCTION("""COMPUTED_VALUE"""),"10/16/2025")</f>
        <v>10/16/2025</v>
      </c>
    </row>
    <row r="169">
      <c r="A169" s="1" t="str">
        <f>IFERROR(__xludf.DUMMYFUNCTION("""COMPUTED_VALUE"""),"Vantage Data Centers Stacks Road Campus")</f>
        <v>Vantage Data Centers Stacks Road Campus</v>
      </c>
      <c r="B169" s="1" t="str">
        <f>IFERROR(__xludf.DUMMYFUNCTION("""COMPUTED_VALUE"""),"5531 Mallory Rd")</f>
        <v>5531 Mallory Rd</v>
      </c>
      <c r="C169" s="1" t="str">
        <f>IFERROR(__xludf.DUMMYFUNCTION("""COMPUTED_VALUE"""),"Atlanta")</f>
        <v>Atlanta</v>
      </c>
      <c r="D169" s="1" t="str">
        <f>IFERROR(__xludf.DUMMYFUNCTION("""COMPUTED_VALUE"""),"GA")</f>
        <v>GA</v>
      </c>
      <c r="E169" s="1" t="str">
        <f>IFERROR(__xludf.DUMMYFUNCTION("""COMPUTED_VALUE"""),"30349")</f>
        <v>30349</v>
      </c>
      <c r="F169" s="1" t="str">
        <f>IFERROR(__xludf.DUMMYFUNCTION("""COMPUTED_VALUE"""),"Fulton")</f>
        <v>Fulton</v>
      </c>
      <c r="G169" s="1" t="str">
        <f>IFERROR(__xludf.DUMMYFUNCTION("""COMPUTED_VALUE"""),"33.60657")</f>
        <v>33.60657</v>
      </c>
      <c r="H169" s="1" t="str">
        <f>IFERROR(__xludf.DUMMYFUNCTION("""COMPUTED_VALUE"""),"-84.5304")</f>
        <v>-84.5304</v>
      </c>
      <c r="I169" s="1" t="str">
        <f>IFERROR(__xludf.DUMMYFUNCTION("""COMPUTED_VALUE"""),"Proposed")</f>
        <v>Proposed</v>
      </c>
      <c r="J169" s="1" t="str">
        <f>IFERROR(__xludf.DUMMYFUNCTION("""COMPUTED_VALUE"""),"High")</f>
        <v>High</v>
      </c>
      <c r="K169" s="1" t="str">
        <f>IFERROR(__xludf.DUMMYFUNCTION("""COMPUTED_VALUE"""),"")</f>
        <v/>
      </c>
      <c r="L169" s="1" t="str">
        <f>IFERROR(__xludf.DUMMYFUNCTION("""COMPUTED_VALUE"""),"")</f>
        <v/>
      </c>
      <c r="M169" s="1" t="str">
        <f>IFERROR(__xludf.DUMMYFUNCTION("""COMPUTED_VALUE"""),"")</f>
        <v/>
      </c>
      <c r="N169" s="1" t="str">
        <f>IFERROR(__xludf.DUMMYFUNCTION("""COMPUTED_VALUE"""),"")</f>
        <v/>
      </c>
      <c r="O169" s="1" t="str">
        <f>IFERROR(__xludf.DUMMYFUNCTION("""COMPUTED_VALUE"""),"Unknown")</f>
        <v>Unknown</v>
      </c>
      <c r="P169" s="1" t="str">
        <f>IFERROR(__xludf.DUMMYFUNCTION("""COMPUTED_VALUE"""),"")</f>
        <v/>
      </c>
      <c r="Q169" s="1" t="str">
        <f>IFERROR(__xludf.DUMMYFUNCTION("""COMPUTED_VALUE"""),"")</f>
        <v/>
      </c>
      <c r="R169" s="1" t="str">
        <f>IFERROR(__xludf.DUMMYFUNCTION("""COMPUTED_VALUE"""),"")</f>
        <v/>
      </c>
      <c r="S169" s="1" t="str">
        <f>IFERROR(__xludf.DUMMYFUNCTION("""COMPUTED_VALUE"""),"")</f>
        <v/>
      </c>
      <c r="T169" s="1" t="str">
        <f>IFERROR(__xludf.DUMMYFUNCTION("""COMPUTED_VALUE"""),"")</f>
        <v/>
      </c>
      <c r="U169" s="1" t="str">
        <f>IFERROR(__xludf.DUMMYFUNCTION("""COMPUTED_VALUE"""),"")</f>
        <v/>
      </c>
      <c r="V169" s="1" t="str">
        <f>IFERROR(__xludf.DUMMYFUNCTION("""COMPUTED_VALUE"""),"696,980")</f>
        <v>696,980</v>
      </c>
      <c r="W169" s="1" t="str">
        <f>IFERROR(__xludf.DUMMYFUNCTION("""COMPUTED_VALUE"""),"")</f>
        <v/>
      </c>
      <c r="X169" s="1" t="str">
        <f>IFERROR(__xludf.DUMMYFUNCTION("""COMPUTED_VALUE"""),"")</f>
        <v/>
      </c>
      <c r="Y169" s="1" t="str">
        <f>IFERROR(__xludf.DUMMYFUNCTION("""COMPUTED_VALUE"""),"")</f>
        <v/>
      </c>
      <c r="Z169" s="1" t="str">
        <f>IFERROR(__xludf.DUMMYFUNCTION("""COMPUTED_VALUE"""),"Unknown")</f>
        <v>Unknown</v>
      </c>
      <c r="AA169" s="1" t="str">
        <f>IFERROR(__xludf.DUMMYFUNCTION("""COMPUTED_VALUE"""),"")</f>
        <v/>
      </c>
      <c r="AB169" s="1" t="str">
        <f>IFERROR(__xludf.DUMMYFUNCTION("""COMPUTED_VALUE"""),"")</f>
        <v/>
      </c>
      <c r="AC169" s="1" t="str">
        <f>IFERROR(__xludf.DUMMYFUNCTION("""COMPUTED_VALUE"""),"")</f>
        <v/>
      </c>
      <c r="AD169" s="1" t="str">
        <f>IFERROR(__xludf.DUMMYFUNCTION("""COMPUTED_VALUE"""),"")</f>
        <v/>
      </c>
      <c r="AE169" s="1" t="str">
        <f>IFERROR(__xludf.DUMMYFUNCTION("""COMPUTED_VALUE"""),"")</f>
        <v/>
      </c>
      <c r="AF169" s="1" t="str">
        <f>IFERROR(__xludf.DUMMYFUNCTION("""COMPUTED_VALUE"""),"")</f>
        <v/>
      </c>
      <c r="AG169" s="1" t="str">
        <f>IFERROR(__xludf.DUMMYFUNCTION("""COMPUTED_VALUE"""),"")</f>
        <v/>
      </c>
      <c r="AH169" s="1" t="str">
        <f>IFERROR(__xludf.DUMMYFUNCTION("""COMPUTED_VALUE"""),"Media Monitoring")</f>
        <v>Media Monitoring</v>
      </c>
      <c r="AI169" s="2" t="str">
        <f>IFERROR(__xludf.DUMMYFUNCTION("""COMPUTED_VALUE"""),"https://www.datacenterdynamics.com/en/news/vantage-files-for-two-data-center-campuses-outside-atlanta-georgia/")</f>
        <v>https://www.datacenterdynamics.com/en/news/vantage-files-for-two-data-center-campuses-outside-atlanta-georgia/</v>
      </c>
      <c r="AJ169" s="1" t="str">
        <f>IFERROR(__xludf.DUMMYFUNCTION("""COMPUTED_VALUE"""),"")</f>
        <v/>
      </c>
      <c r="AK169" s="1" t="str">
        <f>IFERROR(__xludf.DUMMYFUNCTION("""COMPUTED_VALUE"""),"")</f>
        <v/>
      </c>
      <c r="AL169" s="1" t="str">
        <f>IFERROR(__xludf.DUMMYFUNCTION("""COMPUTED_VALUE"""),"")</f>
        <v/>
      </c>
      <c r="AM169" s="1" t="str">
        <f>IFERROR(__xludf.DUMMYFUNCTION("""COMPUTED_VALUE"""),"")</f>
        <v/>
      </c>
      <c r="AN169" s="1" t="str">
        <f>IFERROR(__xludf.DUMMYFUNCTION("""COMPUTED_VALUE"""),"")</f>
        <v/>
      </c>
      <c r="AO169" s="1" t="str">
        <f>IFERROR(__xludf.DUMMYFUNCTION("""COMPUTED_VALUE"""),"")</f>
        <v/>
      </c>
      <c r="AP169" s="1" t="str">
        <f>IFERROR(__xludf.DUMMYFUNCTION("""COMPUTED_VALUE"""),"")</f>
        <v/>
      </c>
      <c r="AQ169" s="1" t="str">
        <f>IFERROR(__xludf.DUMMYFUNCTION("""COMPUTED_VALUE"""),"06/25/2025")</f>
        <v>06/25/2025</v>
      </c>
      <c r="AR169" s="1" t="str">
        <f>IFERROR(__xludf.DUMMYFUNCTION("""COMPUTED_VALUE"""),"06/25/2025")</f>
        <v>06/25/2025</v>
      </c>
    </row>
    <row r="170">
      <c r="A170" s="1" t="str">
        <f>IFERROR(__xludf.DUMMYFUNCTION("""COMPUTED_VALUE"""),"Vantage: Westlake Project")</f>
        <v>Vantage: Westlake Project</v>
      </c>
      <c r="B170" s="1" t="str">
        <f>IFERROR(__xludf.DUMMYFUNCTION("""COMPUTED_VALUE"""),"6605 Plummer Rd SW")</f>
        <v>6605 Plummer Rd SW</v>
      </c>
      <c r="C170" s="1" t="str">
        <f>IFERROR(__xludf.DUMMYFUNCTION("""COMPUTED_VALUE"""),"Atlanta")</f>
        <v>Atlanta</v>
      </c>
      <c r="D170" s="1" t="str">
        <f>IFERROR(__xludf.DUMMYFUNCTION("""COMPUTED_VALUE"""),"GA")</f>
        <v>GA</v>
      </c>
      <c r="E170" s="1" t="str">
        <f>IFERROR(__xludf.DUMMYFUNCTION("""COMPUTED_VALUE"""),"30331")</f>
        <v>30331</v>
      </c>
      <c r="F170" s="1" t="str">
        <f>IFERROR(__xludf.DUMMYFUNCTION("""COMPUTED_VALUE"""),"Fulton")</f>
        <v>Fulton</v>
      </c>
      <c r="G170" s="1" t="str">
        <f>IFERROR(__xludf.DUMMYFUNCTION("""COMPUTED_VALUE"""),"33.70682")</f>
        <v>33.70682</v>
      </c>
      <c r="H170" s="1" t="str">
        <f>IFERROR(__xludf.DUMMYFUNCTION("""COMPUTED_VALUE"""),"-84.5833")</f>
        <v>-84.5833</v>
      </c>
      <c r="I170" s="1" t="str">
        <f>IFERROR(__xludf.DUMMYFUNCTION("""COMPUTED_VALUE"""),"Proposed")</f>
        <v>Proposed</v>
      </c>
      <c r="J170" s="1" t="str">
        <f>IFERROR(__xludf.DUMMYFUNCTION("""COMPUTED_VALUE"""),"High")</f>
        <v>High</v>
      </c>
      <c r="K170" s="1" t="str">
        <f>IFERROR(__xludf.DUMMYFUNCTION("""COMPUTED_VALUE"""),"")</f>
        <v/>
      </c>
      <c r="L170" s="1" t="str">
        <f>IFERROR(__xludf.DUMMYFUNCTION("""COMPUTED_VALUE"""),"")</f>
        <v/>
      </c>
      <c r="M170" s="1" t="str">
        <f>IFERROR(__xludf.DUMMYFUNCTION("""COMPUTED_VALUE"""),"")</f>
        <v/>
      </c>
      <c r="N170" s="1" t="str">
        <f>IFERROR(__xludf.DUMMYFUNCTION("""COMPUTED_VALUE"""),"")</f>
        <v/>
      </c>
      <c r="O170" s="1" t="str">
        <f>IFERROR(__xludf.DUMMYFUNCTION("""COMPUTED_VALUE"""),"Unknown")</f>
        <v>Unknown</v>
      </c>
      <c r="P170" s="1" t="str">
        <f>IFERROR(__xludf.DUMMYFUNCTION("""COMPUTED_VALUE"""),"")</f>
        <v/>
      </c>
      <c r="Q170" s="1" t="str">
        <f>IFERROR(__xludf.DUMMYFUNCTION("""COMPUTED_VALUE"""),"")</f>
        <v/>
      </c>
      <c r="R170" s="1" t="str">
        <f>IFERROR(__xludf.DUMMYFUNCTION("""COMPUTED_VALUE"""),"")</f>
        <v/>
      </c>
      <c r="S170" s="1" t="str">
        <f>IFERROR(__xludf.DUMMYFUNCTION("""COMPUTED_VALUE"""),"")</f>
        <v/>
      </c>
      <c r="T170" s="1" t="str">
        <f>IFERROR(__xludf.DUMMYFUNCTION("""COMPUTED_VALUE"""),"")</f>
        <v/>
      </c>
      <c r="U170" s="1" t="str">
        <f>IFERROR(__xludf.DUMMYFUNCTION("""COMPUTED_VALUE"""),"")</f>
        <v/>
      </c>
      <c r="V170" s="1" t="str">
        <f>IFERROR(__xludf.DUMMYFUNCTION("""COMPUTED_VALUE"""),"750,000")</f>
        <v>750,000</v>
      </c>
      <c r="W170" s="1" t="str">
        <f>IFERROR(__xludf.DUMMYFUNCTION("""COMPUTED_VALUE"""),"")</f>
        <v/>
      </c>
      <c r="X170" s="1" t="str">
        <f>IFERROR(__xludf.DUMMYFUNCTION("""COMPUTED_VALUE"""),"")</f>
        <v/>
      </c>
      <c r="Y170" s="1" t="str">
        <f>IFERROR(__xludf.DUMMYFUNCTION("""COMPUTED_VALUE"""),"")</f>
        <v/>
      </c>
      <c r="Z170" s="1" t="str">
        <f>IFERROR(__xludf.DUMMYFUNCTION("""COMPUTED_VALUE"""),"Unknown")</f>
        <v>Unknown</v>
      </c>
      <c r="AA170" s="1" t="str">
        <f>IFERROR(__xludf.DUMMYFUNCTION("""COMPUTED_VALUE"""),"")</f>
        <v/>
      </c>
      <c r="AB170" s="1" t="str">
        <f>IFERROR(__xludf.DUMMYFUNCTION("""COMPUTED_VALUE"""),"")</f>
        <v/>
      </c>
      <c r="AC170" s="1" t="str">
        <f>IFERROR(__xludf.DUMMYFUNCTION("""COMPUTED_VALUE"""),"")</f>
        <v/>
      </c>
      <c r="AD170" s="1" t="str">
        <f>IFERROR(__xludf.DUMMYFUNCTION("""COMPUTED_VALUE"""),"")</f>
        <v/>
      </c>
      <c r="AE170" s="1" t="str">
        <f>IFERROR(__xludf.DUMMYFUNCTION("""COMPUTED_VALUE"""),"")</f>
        <v/>
      </c>
      <c r="AF170" s="1" t="str">
        <f>IFERROR(__xludf.DUMMYFUNCTION("""COMPUTED_VALUE"""),"")</f>
        <v/>
      </c>
      <c r="AG170" s="1" t="str">
        <f>IFERROR(__xludf.DUMMYFUNCTION("""COMPUTED_VALUE"""),"")</f>
        <v/>
      </c>
      <c r="AH170" s="1" t="str">
        <f>IFERROR(__xludf.DUMMYFUNCTION("""COMPUTED_VALUE"""),"Media Monitoring")</f>
        <v>Media Monitoring</v>
      </c>
      <c r="AI170" s="2" t="str">
        <f>IFERROR(__xludf.DUMMYFUNCTION("""COMPUTED_VALUE"""),"https://www.datacenterdynamics.com/en/news/vantage-files-for-two-data-center-campuses-outside-atlanta-georgia/")</f>
        <v>https://www.datacenterdynamics.com/en/news/vantage-files-for-two-data-center-campuses-outside-atlanta-georgia/</v>
      </c>
      <c r="AJ170" s="1" t="str">
        <f>IFERROR(__xludf.DUMMYFUNCTION("""COMPUTED_VALUE"""),"")</f>
        <v/>
      </c>
      <c r="AK170" s="1" t="str">
        <f>IFERROR(__xludf.DUMMYFUNCTION("""COMPUTED_VALUE"""),"")</f>
        <v/>
      </c>
      <c r="AL170" s="1" t="str">
        <f>IFERROR(__xludf.DUMMYFUNCTION("""COMPUTED_VALUE"""),"")</f>
        <v/>
      </c>
      <c r="AM170" s="1" t="str">
        <f>IFERROR(__xludf.DUMMYFUNCTION("""COMPUTED_VALUE"""),"")</f>
        <v/>
      </c>
      <c r="AN170" s="1" t="str">
        <f>IFERROR(__xludf.DUMMYFUNCTION("""COMPUTED_VALUE"""),"")</f>
        <v/>
      </c>
      <c r="AO170" s="1" t="str">
        <f>IFERROR(__xludf.DUMMYFUNCTION("""COMPUTED_VALUE"""),"")</f>
        <v/>
      </c>
      <c r="AP170" s="1" t="str">
        <f>IFERROR(__xludf.DUMMYFUNCTION("""COMPUTED_VALUE"""),"")</f>
        <v/>
      </c>
      <c r="AQ170" s="1" t="str">
        <f>IFERROR(__xludf.DUMMYFUNCTION("""COMPUTED_VALUE"""),"06/25/2025")</f>
        <v>06/25/2025</v>
      </c>
      <c r="AR170" s="1" t="str">
        <f>IFERROR(__xludf.DUMMYFUNCTION("""COMPUTED_VALUE"""),"06/25/2025")</f>
        <v>06/25/2025</v>
      </c>
    </row>
    <row r="171">
      <c r="A171" s="1" t="str">
        <f>IFERROR(__xludf.DUMMYFUNCTION("""COMPUTED_VALUE"""),"Windstream Atlanta")</f>
        <v>Windstream Atlanta</v>
      </c>
      <c r="B171" s="1" t="str">
        <f>IFERROR(__xludf.DUMMYFUNCTION("""COMPUTED_VALUE"""),"1593 NE Expressway")</f>
        <v>1593 NE Expressway</v>
      </c>
      <c r="C171" s="1" t="str">
        <f>IFERROR(__xludf.DUMMYFUNCTION("""COMPUTED_VALUE"""),"Atlanta")</f>
        <v>Atlanta</v>
      </c>
      <c r="D171" s="1" t="str">
        <f>IFERROR(__xludf.DUMMYFUNCTION("""COMPUTED_VALUE"""),"GA")</f>
        <v>GA</v>
      </c>
      <c r="E171" s="1" t="str">
        <f>IFERROR(__xludf.DUMMYFUNCTION("""COMPUTED_VALUE"""),"30329")</f>
        <v>30329</v>
      </c>
      <c r="F171" s="1" t="str">
        <f>IFERROR(__xludf.DUMMYFUNCTION("""COMPUTED_VALUE"""),"Dekalb")</f>
        <v>Dekalb</v>
      </c>
      <c r="G171" s="1" t="str">
        <f>IFERROR(__xludf.DUMMYFUNCTION("""COMPUTED_VALUE"""),"33.835022")</f>
        <v>33.835022</v>
      </c>
      <c r="H171" s="1" t="str">
        <f>IFERROR(__xludf.DUMMYFUNCTION("""COMPUTED_VALUE"""),"-84.32718")</f>
        <v>-84.32718</v>
      </c>
      <c r="I171" s="1" t="str">
        <f>IFERROR(__xludf.DUMMYFUNCTION("""COMPUTED_VALUE"""),"Operating")</f>
        <v>Operating</v>
      </c>
      <c r="J171" s="1" t="str">
        <f>IFERROR(__xludf.DUMMYFUNCTION("""COMPUTED_VALUE"""),"High")</f>
        <v>High</v>
      </c>
      <c r="K171" s="1" t="str">
        <f>IFERROR(__xludf.DUMMYFUNCTION("""COMPUTED_VALUE"""),"")</f>
        <v/>
      </c>
      <c r="L171" s="1" t="str">
        <f>IFERROR(__xludf.DUMMYFUNCTION("""COMPUTED_VALUE"""),"Windstream")</f>
        <v>Windstream</v>
      </c>
      <c r="M171" s="1" t="str">
        <f>IFERROR(__xludf.DUMMYFUNCTION("""COMPUTED_VALUE"""),"")</f>
        <v/>
      </c>
      <c r="N171" s="1" t="str">
        <f>IFERROR(__xludf.DUMMYFUNCTION("""COMPUTED_VALUE"""),"75")</f>
        <v>75</v>
      </c>
      <c r="O171" s="1" t="str">
        <f>IFERROR(__xludf.DUMMYFUNCTION("""COMPUTED_VALUE"""),"Large (51-99 MW)")</f>
        <v>Large (51-99 MW)</v>
      </c>
      <c r="P171" s="1" t="str">
        <f>IFERROR(__xludf.DUMMYFUNCTION("""COMPUTED_VALUE"""),"")</f>
        <v/>
      </c>
      <c r="Q171" s="1" t="str">
        <f>IFERROR(__xludf.DUMMYFUNCTION("""COMPUTED_VALUE"""),"")</f>
        <v/>
      </c>
      <c r="R171" s="1" t="str">
        <f>IFERROR(__xludf.DUMMYFUNCTION("""COMPUTED_VALUE"""),"")</f>
        <v/>
      </c>
      <c r="S171" s="1" t="str">
        <f>IFERROR(__xludf.DUMMYFUNCTION("""COMPUTED_VALUE"""),"")</f>
        <v/>
      </c>
      <c r="T171" s="1" t="str">
        <f>IFERROR(__xludf.DUMMYFUNCTION("""COMPUTED_VALUE"""),"")</f>
        <v/>
      </c>
      <c r="U171" s="1" t="str">
        <f>IFERROR(__xludf.DUMMYFUNCTION("""COMPUTED_VALUE"""),"")</f>
        <v/>
      </c>
      <c r="V171" s="1" t="str">
        <f>IFERROR(__xludf.DUMMYFUNCTION("""COMPUTED_VALUE"""),"1,300")</f>
        <v>1,300</v>
      </c>
      <c r="W171" s="1" t="str">
        <f>IFERROR(__xludf.DUMMYFUNCTION("""COMPUTED_VALUE"""),"")</f>
        <v/>
      </c>
      <c r="X171" s="1" t="str">
        <f>IFERROR(__xludf.DUMMYFUNCTION("""COMPUTED_VALUE"""),"")</f>
        <v/>
      </c>
      <c r="Y171" s="1" t="str">
        <f>IFERROR(__xludf.DUMMYFUNCTION("""COMPUTED_VALUE"""),"")</f>
        <v/>
      </c>
      <c r="Z171" s="1" t="str">
        <f>IFERROR(__xludf.DUMMYFUNCTION("""COMPUTED_VALUE"""),"Unknown")</f>
        <v>Unknown</v>
      </c>
      <c r="AA171" s="1" t="str">
        <f>IFERROR(__xludf.DUMMYFUNCTION("""COMPUTED_VALUE"""),"")</f>
        <v/>
      </c>
      <c r="AB171" s="1" t="str">
        <f>IFERROR(__xludf.DUMMYFUNCTION("""COMPUTED_VALUE"""),"")</f>
        <v/>
      </c>
      <c r="AC171" s="1" t="str">
        <f>IFERROR(__xludf.DUMMYFUNCTION("""COMPUTED_VALUE"""),"")</f>
        <v/>
      </c>
      <c r="AD171" s="1" t="str">
        <f>IFERROR(__xludf.DUMMYFUNCTION("""COMPUTED_VALUE"""),"")</f>
        <v/>
      </c>
      <c r="AE171" s="1" t="str">
        <f>IFERROR(__xludf.DUMMYFUNCTION("""COMPUTED_VALUE"""),"")</f>
        <v/>
      </c>
      <c r="AF171" s="1" t="str">
        <f>IFERROR(__xludf.DUMMYFUNCTION("""COMPUTED_VALUE"""),"")</f>
        <v/>
      </c>
      <c r="AG171" s="1" t="str">
        <f>IFERROR(__xludf.DUMMYFUNCTION("""COMPUTED_VALUE"""),"")</f>
        <v/>
      </c>
      <c r="AH171" s="1" t="str">
        <f>IFERROR(__xludf.DUMMYFUNCTION("""COMPUTED_VALUE"""),"Sci4GA")</f>
        <v>Sci4GA</v>
      </c>
      <c r="AI171" s="1" t="str">
        <f>IFERROR(__xludf.DUMMYFUNCTION("""COMPUTED_VALUE"""),"")</f>
        <v/>
      </c>
      <c r="AJ171" s="1" t="str">
        <f>IFERROR(__xludf.DUMMYFUNCTION("""COMPUTED_VALUE"""),"")</f>
        <v/>
      </c>
      <c r="AK171" s="1" t="str">
        <f>IFERROR(__xludf.DUMMYFUNCTION("""COMPUTED_VALUE"""),"")</f>
        <v/>
      </c>
      <c r="AL171" s="1" t="str">
        <f>IFERROR(__xludf.DUMMYFUNCTION("""COMPUTED_VALUE"""),"")</f>
        <v/>
      </c>
      <c r="AM171" s="1" t="str">
        <f>IFERROR(__xludf.DUMMYFUNCTION("""COMPUTED_VALUE"""),"")</f>
        <v/>
      </c>
      <c r="AN171" s="1" t="str">
        <f>IFERROR(__xludf.DUMMYFUNCTION("""COMPUTED_VALUE"""),"")</f>
        <v/>
      </c>
      <c r="AO171" s="1" t="str">
        <f>IFERROR(__xludf.DUMMYFUNCTION("""COMPUTED_VALUE"""),"")</f>
        <v/>
      </c>
      <c r="AP171" s="1" t="str">
        <f>IFERROR(__xludf.DUMMYFUNCTION("""COMPUTED_VALUE"""),"")</f>
        <v/>
      </c>
      <c r="AQ171" s="1" t="str">
        <f>IFERROR(__xludf.DUMMYFUNCTION("""COMPUTED_VALUE"""),"10/16/2025")</f>
        <v>10/16/2025</v>
      </c>
      <c r="AR171" s="1" t="str">
        <f>IFERROR(__xludf.DUMMYFUNCTION("""COMPUTED_VALUE"""),"10/16/2025")</f>
        <v>10/16/2025</v>
      </c>
    </row>
    <row r="172">
      <c r="A172" s="1" t="str">
        <f>IFERROR(__xludf.DUMMYFUNCTION("""COMPUTED_VALUE"""),"T5: Project Eisenhower")</f>
        <v>T5: Project Eisenhower</v>
      </c>
      <c r="B172" s="1" t="str">
        <f>IFERROR(__xludf.DUMMYFUNCTION("""COMPUTED_VALUE"""),"2111 Powell Rd")</f>
        <v>2111 Powell Rd</v>
      </c>
      <c r="C172" s="1" t="str">
        <f>IFERROR(__xludf.DUMMYFUNCTION("""COMPUTED_VALUE"""),"Augusta")</f>
        <v>Augusta</v>
      </c>
      <c r="D172" s="1" t="str">
        <f>IFERROR(__xludf.DUMMYFUNCTION("""COMPUTED_VALUE"""),"GA")</f>
        <v>GA</v>
      </c>
      <c r="E172" s="1" t="str">
        <f>IFERROR(__xludf.DUMMYFUNCTION("""COMPUTED_VALUE"""),"30909")</f>
        <v>30909</v>
      </c>
      <c r="F172" s="1" t="str">
        <f>IFERROR(__xludf.DUMMYFUNCTION("""COMPUTED_VALUE"""),"Richmond")</f>
        <v>Richmond</v>
      </c>
      <c r="G172" s="1" t="str">
        <f>IFERROR(__xludf.DUMMYFUNCTION("""COMPUTED_VALUE"""),"33.43883")</f>
        <v>33.43883</v>
      </c>
      <c r="H172" s="1" t="str">
        <f>IFERROR(__xludf.DUMMYFUNCTION("""COMPUTED_VALUE"""),"-82.1557")</f>
        <v>-82.1557</v>
      </c>
      <c r="I172" s="1" t="str">
        <f>IFERROR(__xludf.DUMMYFUNCTION("""COMPUTED_VALUE"""),"Approved/Permitted/Under construction")</f>
        <v>Approved/Permitted/Under construction</v>
      </c>
      <c r="J172" s="1" t="str">
        <f>IFERROR(__xludf.DUMMYFUNCTION("""COMPUTED_VALUE"""),"High")</f>
        <v>High</v>
      </c>
      <c r="K172" s="1" t="str">
        <f>IFERROR(__xludf.DUMMYFUNCTION("""COMPUTED_VALUE"""),"")</f>
        <v/>
      </c>
      <c r="L172" s="1" t="str">
        <f>IFERROR(__xludf.DUMMYFUNCTION("""COMPUTED_VALUE"""),"")</f>
        <v/>
      </c>
      <c r="M172" s="1" t="str">
        <f>IFERROR(__xludf.DUMMYFUNCTION("""COMPUTED_VALUE"""),"")</f>
        <v/>
      </c>
      <c r="N172" s="1" t="str">
        <f>IFERROR(__xludf.DUMMYFUNCTION("""COMPUTED_VALUE"""),"")</f>
        <v/>
      </c>
      <c r="O172" s="1" t="str">
        <f>IFERROR(__xludf.DUMMYFUNCTION("""COMPUTED_VALUE"""),"Unknown")</f>
        <v>Unknown</v>
      </c>
      <c r="P172" s="1" t="str">
        <f>IFERROR(__xludf.DUMMYFUNCTION("""COMPUTED_VALUE"""),"")</f>
        <v/>
      </c>
      <c r="Q172" s="1" t="str">
        <f>IFERROR(__xludf.DUMMYFUNCTION("""COMPUTED_VALUE"""),"")</f>
        <v/>
      </c>
      <c r="R172" s="1" t="str">
        <f>IFERROR(__xludf.DUMMYFUNCTION("""COMPUTED_VALUE"""),"")</f>
        <v/>
      </c>
      <c r="S172" s="1" t="str">
        <f>IFERROR(__xludf.DUMMYFUNCTION("""COMPUTED_VALUE"""),"")</f>
        <v/>
      </c>
      <c r="T172" s="1" t="str">
        <f>IFERROR(__xludf.DUMMYFUNCTION("""COMPUTED_VALUE"""),"")</f>
        <v/>
      </c>
      <c r="U172" s="1" t="str">
        <f>IFERROR(__xludf.DUMMYFUNCTION("""COMPUTED_VALUE"""),"")</f>
        <v/>
      </c>
      <c r="V172" s="1" t="str">
        <f>IFERROR(__xludf.DUMMYFUNCTION("""COMPUTED_VALUE"""),"2,150,000")</f>
        <v>2,150,000</v>
      </c>
      <c r="W172" s="1" t="str">
        <f>IFERROR(__xludf.DUMMYFUNCTION("""COMPUTED_VALUE"""),"")</f>
        <v/>
      </c>
      <c r="X172" s="1" t="str">
        <f>IFERROR(__xludf.DUMMYFUNCTION("""COMPUTED_VALUE"""),"")</f>
        <v/>
      </c>
      <c r="Y172" s="1" t="str">
        <f>IFERROR(__xludf.DUMMYFUNCTION("""COMPUTED_VALUE"""),"")</f>
        <v/>
      </c>
      <c r="Z172" s="1" t="str">
        <f>IFERROR(__xludf.DUMMYFUNCTION("""COMPUTED_VALUE"""),"Unknown")</f>
        <v>Unknown</v>
      </c>
      <c r="AA172" s="1" t="str">
        <f>IFERROR(__xludf.DUMMYFUNCTION("""COMPUTED_VALUE"""),"")</f>
        <v/>
      </c>
      <c r="AB172" s="1" t="str">
        <f>IFERROR(__xludf.DUMMYFUNCTION("""COMPUTED_VALUE"""),"")</f>
        <v/>
      </c>
      <c r="AC172" s="1" t="str">
        <f>IFERROR(__xludf.DUMMYFUNCTION("""COMPUTED_VALUE"""),"")</f>
        <v/>
      </c>
      <c r="AD172" s="1" t="str">
        <f>IFERROR(__xludf.DUMMYFUNCTION("""COMPUTED_VALUE"""),"")</f>
        <v/>
      </c>
      <c r="AE172" s="1" t="str">
        <f>IFERROR(__xludf.DUMMYFUNCTION("""COMPUTED_VALUE"""),"")</f>
        <v/>
      </c>
      <c r="AF172" s="1" t="str">
        <f>IFERROR(__xludf.DUMMYFUNCTION("""COMPUTED_VALUE"""),"")</f>
        <v/>
      </c>
      <c r="AG172" s="1" t="str">
        <f>IFERROR(__xludf.DUMMYFUNCTION("""COMPUTED_VALUE"""),"")</f>
        <v/>
      </c>
      <c r="AH172" s="1" t="str">
        <f>IFERROR(__xludf.DUMMYFUNCTION("""COMPUTED_VALUE"""),"Media Monitoring")</f>
        <v>Media Monitoring</v>
      </c>
      <c r="AI172" s="2" t="str">
        <f>IFERROR(__xludf.DUMMYFUNCTION("""COMPUTED_VALUE"""),"https://www.datacenterdynamics.com/en/news/plans-filed-to-expand-former-t5-campus-site-in-augusta-georgia/")</f>
        <v>https://www.datacenterdynamics.com/en/news/plans-filed-to-expand-former-t5-campus-site-in-augusta-georgia/</v>
      </c>
      <c r="AJ172" s="1" t="str">
        <f>IFERROR(__xludf.DUMMYFUNCTION("""COMPUTED_VALUE"""),"")</f>
        <v/>
      </c>
      <c r="AK172" s="1" t="str">
        <f>IFERROR(__xludf.DUMMYFUNCTION("""COMPUTED_VALUE"""),"")</f>
        <v/>
      </c>
      <c r="AL172" s="1" t="str">
        <f>IFERROR(__xludf.DUMMYFUNCTION("""COMPUTED_VALUE"""),"")</f>
        <v/>
      </c>
      <c r="AM172" s="1" t="str">
        <f>IFERROR(__xludf.DUMMYFUNCTION("""COMPUTED_VALUE"""),"")</f>
        <v/>
      </c>
      <c r="AN172" s="1" t="str">
        <f>IFERROR(__xludf.DUMMYFUNCTION("""COMPUTED_VALUE"""),"")</f>
        <v/>
      </c>
      <c r="AO172" s="1" t="str">
        <f>IFERROR(__xludf.DUMMYFUNCTION("""COMPUTED_VALUE"""),"")</f>
        <v/>
      </c>
      <c r="AP172" s="1" t="str">
        <f>IFERROR(__xludf.DUMMYFUNCTION("""COMPUTED_VALUE"""),"")</f>
        <v/>
      </c>
      <c r="AQ172" s="1" t="str">
        <f>IFERROR(__xludf.DUMMYFUNCTION("""COMPUTED_VALUE"""),"06/25/2025")</f>
        <v>06/25/2025</v>
      </c>
      <c r="AR172" s="1" t="str">
        <f>IFERROR(__xludf.DUMMYFUNCTION("""COMPUTED_VALUE"""),"06/25/2025")</f>
        <v>06/25/2025</v>
      </c>
    </row>
    <row r="173">
      <c r="A173" s="1" t="str">
        <f>IFERROR(__xludf.DUMMYFUNCTION("""COMPUTED_VALUE"""),"Barnesville Amazon Data Center")</f>
        <v>Barnesville Amazon Data Center</v>
      </c>
      <c r="B173" s="1" t="str">
        <f>IFERROR(__xludf.DUMMYFUNCTION("""COMPUTED_VALUE"""),"unknown location")</f>
        <v>unknown location</v>
      </c>
      <c r="C173" s="1" t="str">
        <f>IFERROR(__xludf.DUMMYFUNCTION("""COMPUTED_VALUE"""),"Barnesville")</f>
        <v>Barnesville</v>
      </c>
      <c r="D173" s="1" t="str">
        <f>IFERROR(__xludf.DUMMYFUNCTION("""COMPUTED_VALUE"""),"GA")</f>
        <v>GA</v>
      </c>
      <c r="E173" s="1" t="str">
        <f>IFERROR(__xludf.DUMMYFUNCTION("""COMPUTED_VALUE"""),"30204")</f>
        <v>30204</v>
      </c>
      <c r="F173" s="1" t="str">
        <f>IFERROR(__xludf.DUMMYFUNCTION("""COMPUTED_VALUE"""),"Lamar")</f>
        <v>Lamar</v>
      </c>
      <c r="G173" s="1" t="str">
        <f>IFERROR(__xludf.DUMMYFUNCTION("""COMPUTED_VALUE"""),"33.05563")</f>
        <v>33.05563</v>
      </c>
      <c r="H173" s="1" t="str">
        <f>IFERROR(__xludf.DUMMYFUNCTION("""COMPUTED_VALUE"""),"-84.1222")</f>
        <v>-84.1222</v>
      </c>
      <c r="I173" s="1" t="str">
        <f>IFERROR(__xludf.DUMMYFUNCTION("""COMPUTED_VALUE"""),"Proposed")</f>
        <v>Proposed</v>
      </c>
      <c r="J173" s="1" t="str">
        <f>IFERROR(__xludf.DUMMYFUNCTION("""COMPUTED_VALUE"""),"Low")</f>
        <v>Low</v>
      </c>
      <c r="K173" s="1" t="str">
        <f>IFERROR(__xludf.DUMMYFUNCTION("""COMPUTED_VALUE"""),"")</f>
        <v/>
      </c>
      <c r="L173" s="1" t="str">
        <f>IFERROR(__xludf.DUMMYFUNCTION("""COMPUTED_VALUE"""),"Amazon")</f>
        <v>Amazon</v>
      </c>
      <c r="M173" s="1" t="str">
        <f>IFERROR(__xludf.DUMMYFUNCTION("""COMPUTED_VALUE"""),"")</f>
        <v/>
      </c>
      <c r="N173" s="1" t="str">
        <f>IFERROR(__xludf.DUMMYFUNCTION("""COMPUTED_VALUE"""),"")</f>
        <v/>
      </c>
      <c r="O173" s="1" t="str">
        <f>IFERROR(__xludf.DUMMYFUNCTION("""COMPUTED_VALUE"""),"Unknown")</f>
        <v>Unknown</v>
      </c>
      <c r="P173" s="1" t="str">
        <f>IFERROR(__xludf.DUMMYFUNCTION("""COMPUTED_VALUE"""),"")</f>
        <v/>
      </c>
      <c r="Q173" s="1" t="str">
        <f>IFERROR(__xludf.DUMMYFUNCTION("""COMPUTED_VALUE"""),"")</f>
        <v/>
      </c>
      <c r="R173" s="1" t="str">
        <f>IFERROR(__xludf.DUMMYFUNCTION("""COMPUTED_VALUE"""),"")</f>
        <v/>
      </c>
      <c r="S173" s="1" t="str">
        <f>IFERROR(__xludf.DUMMYFUNCTION("""COMPUTED_VALUE"""),"")</f>
        <v/>
      </c>
      <c r="T173" s="1" t="str">
        <f>IFERROR(__xludf.DUMMYFUNCTION("""COMPUTED_VALUE"""),"")</f>
        <v/>
      </c>
      <c r="U173" s="1" t="str">
        <f>IFERROR(__xludf.DUMMYFUNCTION("""COMPUTED_VALUE"""),"")</f>
        <v/>
      </c>
      <c r="V173" s="1" t="str">
        <f>IFERROR(__xludf.DUMMYFUNCTION("""COMPUTED_VALUE"""),"")</f>
        <v/>
      </c>
      <c r="W173" s="1" t="str">
        <f>IFERROR(__xludf.DUMMYFUNCTION("""COMPUTED_VALUE"""),"985")</f>
        <v>985</v>
      </c>
      <c r="X173" s="1" t="str">
        <f>IFERROR(__xludf.DUMMYFUNCTION("""COMPUTED_VALUE"""),"$270 million")</f>
        <v>$270 million</v>
      </c>
      <c r="Y173" s="1" t="str">
        <f>IFERROR(__xludf.DUMMYFUNCTION("""COMPUTED_VALUE"""),"")</f>
        <v/>
      </c>
      <c r="Z173" s="1" t="str">
        <f>IFERROR(__xludf.DUMMYFUNCTION("""COMPUTED_VALUE"""),"Unknown")</f>
        <v>Unknown</v>
      </c>
      <c r="AA173" s="1" t="str">
        <f>IFERROR(__xludf.DUMMYFUNCTION("""COMPUTED_VALUE"""),"")</f>
        <v/>
      </c>
      <c r="AB173" s="1" t="str">
        <f>IFERROR(__xludf.DUMMYFUNCTION("""COMPUTED_VALUE"""),"")</f>
        <v/>
      </c>
      <c r="AC173" s="1" t="str">
        <f>IFERROR(__xludf.DUMMYFUNCTION("""COMPUTED_VALUE"""),"")</f>
        <v/>
      </c>
      <c r="AD173" s="1" t="str">
        <f>IFERROR(__xludf.DUMMYFUNCTION("""COMPUTED_VALUE"""),"")</f>
        <v/>
      </c>
      <c r="AE173" s="1" t="str">
        <f>IFERROR(__xludf.DUMMYFUNCTION("""COMPUTED_VALUE"""),"")</f>
        <v/>
      </c>
      <c r="AF173" s="1" t="str">
        <f>IFERROR(__xludf.DUMMYFUNCTION("""COMPUTED_VALUE"""),"")</f>
        <v/>
      </c>
      <c r="AG173" s="1" t="str">
        <f>IFERROR(__xludf.DUMMYFUNCTION("""COMPUTED_VALUE"""),"")</f>
        <v/>
      </c>
      <c r="AH173" s="1" t="str">
        <f>IFERROR(__xludf.DUMMYFUNCTION("""COMPUTED_VALUE"""),"Media Monitoring")</f>
        <v>Media Monitoring</v>
      </c>
      <c r="AI173" s="2" t="str">
        <f>IFERROR(__xludf.DUMMYFUNCTION("""COMPUTED_VALUE"""),"https://www.blackenterprise.com/amazon-land-development-georgia-da")</f>
        <v>https://www.blackenterprise.com/amazon-land-development-georgia-da</v>
      </c>
      <c r="AJ173" s="2" t="str">
        <f>IFERROR(__xludf.DUMMYFUNCTION("""COMPUTED_VALUE"""),"https://www.wabe.org/amazon-purchases-270-million-land-development-for-data-center-use-outside-of-atlanta/")</f>
        <v>https://www.wabe.org/amazon-purchases-270-million-land-development-for-data-center-use-outside-of-atlanta/</v>
      </c>
      <c r="AK173" s="1" t="str">
        <f>IFERROR(__xludf.DUMMYFUNCTION("""COMPUTED_VALUE"""),"")</f>
        <v/>
      </c>
      <c r="AL173" s="1" t="str">
        <f>IFERROR(__xludf.DUMMYFUNCTION("""COMPUTED_VALUE"""),"")</f>
        <v/>
      </c>
      <c r="AM173" s="1" t="str">
        <f>IFERROR(__xludf.DUMMYFUNCTION("""COMPUTED_VALUE"""),"")</f>
        <v/>
      </c>
      <c r="AN173" s="1" t="str">
        <f>IFERROR(__xludf.DUMMYFUNCTION("""COMPUTED_VALUE"""),"")</f>
        <v/>
      </c>
      <c r="AO173" s="1" t="str">
        <f>IFERROR(__xludf.DUMMYFUNCTION("""COMPUTED_VALUE"""),"")</f>
        <v/>
      </c>
      <c r="AP173" s="1" t="str">
        <f>IFERROR(__xludf.DUMMYFUNCTION("""COMPUTED_VALUE"""),"")</f>
        <v/>
      </c>
      <c r="AQ173" s="1" t="str">
        <f>IFERROR(__xludf.DUMMYFUNCTION("""COMPUTED_VALUE"""),"08/09/2025")</f>
        <v>08/09/2025</v>
      </c>
      <c r="AR173" s="1" t="str">
        <f>IFERROR(__xludf.DUMMYFUNCTION("""COMPUTED_VALUE"""),"08/09/2025")</f>
        <v>08/09/2025</v>
      </c>
    </row>
    <row r="174">
      <c r="A174" s="1" t="str">
        <f>IFERROR(__xludf.DUMMYFUNCTION("""COMPUTED_VALUE"""),"Trammell Crow Company Data Center")</f>
        <v>Trammell Crow Company Data Center</v>
      </c>
      <c r="B174" s="1" t="str">
        <f>IFERROR(__xludf.DUMMYFUNCTION("""COMPUTED_VALUE"""),"near 1530 US-41")</f>
        <v>near 1530 US-41</v>
      </c>
      <c r="C174" s="1" t="str">
        <f>IFERROR(__xludf.DUMMYFUNCTION("""COMPUTED_VALUE"""),"Barnesville")</f>
        <v>Barnesville</v>
      </c>
      <c r="D174" s="1" t="str">
        <f>IFERROR(__xludf.DUMMYFUNCTION("""COMPUTED_VALUE"""),"GA")</f>
        <v>GA</v>
      </c>
      <c r="E174" s="1" t="str">
        <f>IFERROR(__xludf.DUMMYFUNCTION("""COMPUTED_VALUE"""),"30204")</f>
        <v>30204</v>
      </c>
      <c r="F174" s="1" t="str">
        <f>IFERROR(__xludf.DUMMYFUNCTION("""COMPUTED_VALUE"""),"Monroe")</f>
        <v>Monroe</v>
      </c>
      <c r="G174" s="1" t="str">
        <f>IFERROR(__xludf.DUMMYFUNCTION("""COMPUTED_VALUE"""),"33.104168")</f>
        <v>33.104168</v>
      </c>
      <c r="H174" s="1" t="str">
        <f>IFERROR(__xludf.DUMMYFUNCTION("""COMPUTED_VALUE"""),"-84.009544")</f>
        <v>-84.009544</v>
      </c>
      <c r="I174" s="1" t="str">
        <f>IFERROR(__xludf.DUMMYFUNCTION("""COMPUTED_VALUE"""),"Approved/Permitted/Under construction")</f>
        <v>Approved/Permitted/Under construction</v>
      </c>
      <c r="J174" s="1" t="str">
        <f>IFERROR(__xludf.DUMMYFUNCTION("""COMPUTED_VALUE"""),"Medium")</f>
        <v>Medium</v>
      </c>
      <c r="K174" s="1" t="str">
        <f>IFERROR(__xludf.DUMMYFUNCTION("""COMPUTED_VALUE"""),"")</f>
        <v/>
      </c>
      <c r="L174" s="1" t="str">
        <f>IFERROR(__xludf.DUMMYFUNCTION("""COMPUTED_VALUE"""),"CBRE")</f>
        <v>CBRE</v>
      </c>
      <c r="M174" s="1" t="str">
        <f>IFERROR(__xludf.DUMMYFUNCTION("""COMPUTED_VALUE"""),"")</f>
        <v/>
      </c>
      <c r="N174" s="1" t="str">
        <f>IFERROR(__xludf.DUMMYFUNCTION("""COMPUTED_VALUE"""),"")</f>
        <v/>
      </c>
      <c r="O174" s="1" t="str">
        <f>IFERROR(__xludf.DUMMYFUNCTION("""COMPUTED_VALUE"""),"Hyperscale (100-999 MW)")</f>
        <v>Hyperscale (100-999 MW)</v>
      </c>
      <c r="P174" s="1" t="str">
        <f>IFERROR(__xludf.DUMMYFUNCTION("""COMPUTED_VALUE"""),"")</f>
        <v/>
      </c>
      <c r="Q174" s="1" t="str">
        <f>IFERROR(__xludf.DUMMYFUNCTION("""COMPUTED_VALUE"""),"")</f>
        <v/>
      </c>
      <c r="R174" s="1" t="str">
        <f>IFERROR(__xludf.DUMMYFUNCTION("""COMPUTED_VALUE"""),"")</f>
        <v/>
      </c>
      <c r="S174" s="1" t="str">
        <f>IFERROR(__xludf.DUMMYFUNCTION("""COMPUTED_VALUE"""),"")</f>
        <v/>
      </c>
      <c r="T174" s="1" t="str">
        <f>IFERROR(__xludf.DUMMYFUNCTION("""COMPUTED_VALUE"""),"")</f>
        <v/>
      </c>
      <c r="U174" s="1" t="str">
        <f>IFERROR(__xludf.DUMMYFUNCTION("""COMPUTED_VALUE"""),"")</f>
        <v/>
      </c>
      <c r="V174" s="1" t="str">
        <f>IFERROR(__xludf.DUMMYFUNCTION("""COMPUTED_VALUE"""),"12,000,000")</f>
        <v>12,000,000</v>
      </c>
      <c r="W174" s="1" t="str">
        <f>IFERROR(__xludf.DUMMYFUNCTION("""COMPUTED_VALUE"""),"1630")</f>
        <v>1630</v>
      </c>
      <c r="X174" s="1" t="str">
        <f>IFERROR(__xludf.DUMMYFUNCTION("""COMPUTED_VALUE"""),"$8.4 billion")</f>
        <v>$8.4 billion</v>
      </c>
      <c r="Y174" s="1" t="str">
        <f>IFERROR(__xludf.DUMMYFUNCTION("""COMPUTED_VALUE"""),"Full buildout by 2037")</f>
        <v>Full buildout by 2037</v>
      </c>
      <c r="Z174" s="1" t="str">
        <f>IFERROR(__xludf.DUMMYFUNCTION("""COMPUTED_VALUE"""),"Unknown")</f>
        <v>Unknown</v>
      </c>
      <c r="AA174" s="1" t="str">
        <f>IFERROR(__xludf.DUMMYFUNCTION("""COMPUTED_VALUE"""),"")</f>
        <v/>
      </c>
      <c r="AB174" s="1" t="str">
        <f>IFERROR(__xludf.DUMMYFUNCTION("""COMPUTED_VALUE"""),"")</f>
        <v/>
      </c>
      <c r="AC174" s="1" t="str">
        <f>IFERROR(__xludf.DUMMYFUNCTION("""COMPUTED_VALUE"""),"")</f>
        <v/>
      </c>
      <c r="AD174" s="1" t="str">
        <f>IFERROR(__xludf.DUMMYFUNCTION("""COMPUTED_VALUE"""),"")</f>
        <v/>
      </c>
      <c r="AE174" s="1" t="str">
        <f>IFERROR(__xludf.DUMMYFUNCTION("""COMPUTED_VALUE"""),"")</f>
        <v/>
      </c>
      <c r="AF174" s="1" t="str">
        <f>IFERROR(__xludf.DUMMYFUNCTION("""COMPUTED_VALUE"""),"")</f>
        <v/>
      </c>
      <c r="AG174" s="1" t="str">
        <f>IFERROR(__xludf.DUMMYFUNCTION("""COMPUTED_VALUE"""),"")</f>
        <v/>
      </c>
      <c r="AH174" s="1" t="str">
        <f>IFERROR(__xludf.DUMMYFUNCTION("""COMPUTED_VALUE"""),"Media Monitoring")</f>
        <v>Media Monitoring</v>
      </c>
      <c r="AI174" s="2" t="str">
        <f>IFERROR(__xludf.DUMMYFUNCTION("""COMPUTED_VALUE"""),"https://www.datacenterdynamics.com/en/news/cbres-trammell-crow-files-to-develop-12-million-sq-ft-data-center-campus-outside-atlanta-georgia/")</f>
        <v>https://www.datacenterdynamics.com/en/news/cbres-trammell-crow-files-to-develop-12-million-sq-ft-data-center-campus-outside-atlanta-georgia/</v>
      </c>
      <c r="AJ174" s="2" t="str">
        <f>IFERROR(__xludf.DUMMYFUNCTION("""COMPUTED_VALUE"""),"https://www.datacenterdynamics.com/en/news/1600-acre-data-center-approved-by-local-authorities-in-forsyth-georgia/")</f>
        <v>https://www.datacenterdynamics.com/en/news/1600-acre-data-center-approved-by-local-authorities-in-forsyth-georgia/</v>
      </c>
      <c r="AK174" s="1" t="str">
        <f>IFERROR(__xludf.DUMMYFUNCTION("""COMPUTED_VALUE"""),"")</f>
        <v/>
      </c>
      <c r="AL174" s="1" t="str">
        <f>IFERROR(__xludf.DUMMYFUNCTION("""COMPUTED_VALUE"""),"")</f>
        <v/>
      </c>
      <c r="AM174" s="1" t="str">
        <f>IFERROR(__xludf.DUMMYFUNCTION("""COMPUTED_VALUE"""),"")</f>
        <v/>
      </c>
      <c r="AN174" s="1" t="str">
        <f>IFERROR(__xludf.DUMMYFUNCTION("""COMPUTED_VALUE"""),"")</f>
        <v/>
      </c>
      <c r="AO174" s="1" t="str">
        <f>IFERROR(__xludf.DUMMYFUNCTION("""COMPUTED_VALUE"""),"")</f>
        <v/>
      </c>
      <c r="AP174" s="1" t="str">
        <f>IFERROR(__xludf.DUMMYFUNCTION("""COMPUTED_VALUE"""),"")</f>
        <v/>
      </c>
      <c r="AQ174" s="1" t="str">
        <f>IFERROR(__xludf.DUMMYFUNCTION("""COMPUTED_VALUE"""),"12/08/2025")</f>
        <v>12/08/2025</v>
      </c>
      <c r="AR174" s="1" t="str">
        <f>IFERROR(__xludf.DUMMYFUNCTION("""COMPUTED_VALUE"""),"02/15/2026")</f>
        <v>02/15/2026</v>
      </c>
    </row>
    <row r="175">
      <c r="A175" s="1" t="str">
        <f>IFERROR(__xludf.DUMMYFUNCTION("""COMPUTED_VALUE"""),"Project Blue Hole")</f>
        <v>Project Blue Hole</v>
      </c>
      <c r="B175" s="1" t="str">
        <f>IFERROR(__xludf.DUMMYFUNCTION("""COMPUTED_VALUE"""),"Martha Berry Hwy")</f>
        <v>Martha Berry Hwy</v>
      </c>
      <c r="C175" s="1" t="str">
        <f>IFERROR(__xludf.DUMMYFUNCTION("""COMPUTED_VALUE"""),"Blakely")</f>
        <v>Blakely</v>
      </c>
      <c r="D175" s="1" t="str">
        <f>IFERROR(__xludf.DUMMYFUNCTION("""COMPUTED_VALUE"""),"GA")</f>
        <v>GA</v>
      </c>
      <c r="E175" s="1" t="str">
        <f>IFERROR(__xludf.DUMMYFUNCTION("""COMPUTED_VALUE"""),"39823")</f>
        <v>39823</v>
      </c>
      <c r="F175" s="1" t="str">
        <f>IFERROR(__xludf.DUMMYFUNCTION("""COMPUTED_VALUE"""),"Early")</f>
        <v>Early</v>
      </c>
      <c r="G175" s="1" t="str">
        <f>IFERROR(__xludf.DUMMYFUNCTION("""COMPUTED_VALUE"""),"31.406675")</f>
        <v>31.406675</v>
      </c>
      <c r="H175" s="1" t="str">
        <f>IFERROR(__xludf.DUMMYFUNCTION("""COMPUTED_VALUE"""),"-84.912994")</f>
        <v>-84.912994</v>
      </c>
      <c r="I175" s="1" t="str">
        <f>IFERROR(__xludf.DUMMYFUNCTION("""COMPUTED_VALUE"""),"Proposed")</f>
        <v>Proposed</v>
      </c>
      <c r="J175" s="1" t="str">
        <f>IFERROR(__xludf.DUMMYFUNCTION("""COMPUTED_VALUE"""),"High")</f>
        <v>High</v>
      </c>
      <c r="K175" s="1" t="str">
        <f>IFERROR(__xludf.DUMMYFUNCTION("""COMPUTED_VALUE"""),"")</f>
        <v/>
      </c>
      <c r="L175" s="1" t="str">
        <f>IFERROR(__xludf.DUMMYFUNCTION("""COMPUTED_VALUE"""),"")</f>
        <v/>
      </c>
      <c r="M175" s="1" t="str">
        <f>IFERROR(__xludf.DUMMYFUNCTION("""COMPUTED_VALUE"""),"")</f>
        <v/>
      </c>
      <c r="N175" s="1" t="str">
        <f>IFERROR(__xludf.DUMMYFUNCTION("""COMPUTED_VALUE"""),"")</f>
        <v/>
      </c>
      <c r="O175" s="1" t="str">
        <f>IFERROR(__xludf.DUMMYFUNCTION("""COMPUTED_VALUE"""),"Unknown")</f>
        <v>Unknown</v>
      </c>
      <c r="P175" s="1" t="str">
        <f>IFERROR(__xludf.DUMMYFUNCTION("""COMPUTED_VALUE"""),"")</f>
        <v/>
      </c>
      <c r="Q175" s="1" t="str">
        <f>IFERROR(__xludf.DUMMYFUNCTION("""COMPUTED_VALUE"""),"")</f>
        <v/>
      </c>
      <c r="R175" s="1" t="str">
        <f>IFERROR(__xludf.DUMMYFUNCTION("""COMPUTED_VALUE"""),"0")</f>
        <v>0</v>
      </c>
      <c r="S175" s="1" t="str">
        <f>IFERROR(__xludf.DUMMYFUNCTION("""COMPUTED_VALUE"""),"")</f>
        <v/>
      </c>
      <c r="T175" s="1" t="str">
        <f>IFERROR(__xludf.DUMMYFUNCTION("""COMPUTED_VALUE"""),"Water")</f>
        <v>Water</v>
      </c>
      <c r="U175" s="1" t="str">
        <f>IFERROR(__xludf.DUMMYFUNCTION("""COMPUTED_VALUE"""),"Closed loop")</f>
        <v>Closed loop</v>
      </c>
      <c r="V175" s="1" t="str">
        <f>IFERROR(__xludf.DUMMYFUNCTION("""COMPUTED_VALUE"""),"12,000,000")</f>
        <v>12,000,000</v>
      </c>
      <c r="W175" s="1" t="str">
        <f>IFERROR(__xludf.DUMMYFUNCTION("""COMPUTED_VALUE"""),"")</f>
        <v/>
      </c>
      <c r="X175" s="1" t="str">
        <f>IFERROR(__xludf.DUMMYFUNCTION("""COMPUTED_VALUE"""),"")</f>
        <v/>
      </c>
      <c r="Y175" s="1" t="str">
        <f>IFERROR(__xludf.DUMMYFUNCTION("""COMPUTED_VALUE"""),"Full buildout by 2035")</f>
        <v>Full buildout by 2035</v>
      </c>
      <c r="Z175" s="1" t="str">
        <f>IFERROR(__xludf.DUMMYFUNCTION("""COMPUTED_VALUE"""),"Unknown")</f>
        <v>Unknown</v>
      </c>
      <c r="AA175" s="1" t="str">
        <f>IFERROR(__xludf.DUMMYFUNCTION("""COMPUTED_VALUE"""),"")</f>
        <v/>
      </c>
      <c r="AB175" s="1" t="str">
        <f>IFERROR(__xludf.DUMMYFUNCTION("""COMPUTED_VALUE"""),"")</f>
        <v/>
      </c>
      <c r="AC175" s="1" t="str">
        <f>IFERROR(__xludf.DUMMYFUNCTION("""COMPUTED_VALUE"""),"")</f>
        <v/>
      </c>
      <c r="AD175" s="1" t="str">
        <f>IFERROR(__xludf.DUMMYFUNCTION("""COMPUTED_VALUE"""),"")</f>
        <v/>
      </c>
      <c r="AE175" s="1" t="str">
        <f>IFERROR(__xludf.DUMMYFUNCTION("""COMPUTED_VALUE"""),"")</f>
        <v/>
      </c>
      <c r="AF175" s="1" t="str">
        <f>IFERROR(__xludf.DUMMYFUNCTION("""COMPUTED_VALUE"""),"")</f>
        <v/>
      </c>
      <c r="AG175" s="1" t="str">
        <f>IFERROR(__xludf.DUMMYFUNCTION("""COMPUTED_VALUE"""),"")</f>
        <v/>
      </c>
      <c r="AH175" s="1" t="str">
        <f>IFERROR(__xludf.DUMMYFUNCTION("""COMPUTED_VALUE"""),"Crowdsourced")</f>
        <v>Crowdsourced</v>
      </c>
      <c r="AI175" s="2" t="str">
        <f>IFERROR(__xludf.DUMMYFUNCTION("""COMPUTED_VALUE"""),"https://www.developearly.com/post/top-10-most-faq-about-qts-blakely")</f>
        <v>https://www.developearly.com/post/top-10-most-faq-about-qts-blakely</v>
      </c>
      <c r="AJ175" s="2" t="str">
        <f>IFERROR(__xludf.DUMMYFUNCTION("""COMPUTED_VALUE"""),"https://qtsdatacenters.com/data-centers/blakely/")</f>
        <v>https://qtsdatacenters.com/data-centers/blakely/</v>
      </c>
      <c r="AK175" s="2" t="str">
        <f>IFERROR(__xludf.DUMMYFUNCTION("""COMPUTED_VALUE"""),"https://www.earlycountynews.com/articles/qts-data-centers-considers-a-location-in-blakely/")</f>
        <v>https://www.earlycountynews.com/articles/qts-data-centers-considers-a-location-in-blakely/</v>
      </c>
      <c r="AL175" s="2" t="str">
        <f>IFERROR(__xludf.DUMMYFUNCTION("""COMPUTED_VALUE"""),"https://www.datacenterdynamics.com/en/news/qts-targets-two-data-center-campuses-in-georgia/")</f>
        <v>https://www.datacenterdynamics.com/en/news/qts-targets-two-data-center-campuses-in-georgia/</v>
      </c>
      <c r="AM175" s="1" t="str">
        <f>IFERROR(__xludf.DUMMYFUNCTION("""COMPUTED_VALUE"""),"")</f>
        <v/>
      </c>
      <c r="AN175" s="1" t="str">
        <f>IFERROR(__xludf.DUMMYFUNCTION("""COMPUTED_VALUE"""),"")</f>
        <v/>
      </c>
      <c r="AO175" s="1" t="str">
        <f>IFERROR(__xludf.DUMMYFUNCTION("""COMPUTED_VALUE"""),"")</f>
        <v/>
      </c>
      <c r="AP175" s="1" t="str">
        <f>IFERROR(__xludf.DUMMYFUNCTION("""COMPUTED_VALUE"""),"")</f>
        <v/>
      </c>
      <c r="AQ175" s="1" t="str">
        <f>IFERROR(__xludf.DUMMYFUNCTION("""COMPUTED_VALUE"""),"12/24/2025")</f>
        <v>12/24/2025</v>
      </c>
      <c r="AR175" s="1" t="str">
        <f>IFERROR(__xludf.DUMMYFUNCTION("""COMPUTED_VALUE"""),"03/13/2026")</f>
        <v>03/13/2026</v>
      </c>
    </row>
    <row r="176">
      <c r="A176" s="1" t="str">
        <f>IFERROR(__xludf.DUMMYFUNCTION("""COMPUTED_VALUE"""),"Project Ruby")</f>
        <v>Project Ruby</v>
      </c>
      <c r="B176" s="1" t="str">
        <f>IFERROR(__xludf.DUMMYFUNCTION("""COMPUTED_VALUE"""),"Just west of Talbot Energy Facility")</f>
        <v>Just west of Talbot Energy Facility</v>
      </c>
      <c r="C176" s="1" t="str">
        <f>IFERROR(__xludf.DUMMYFUNCTION("""COMPUTED_VALUE"""),"Box Springs")</f>
        <v>Box Springs</v>
      </c>
      <c r="D176" s="1" t="str">
        <f>IFERROR(__xludf.DUMMYFUNCTION("""COMPUTED_VALUE"""),"GA")</f>
        <v>GA</v>
      </c>
      <c r="E176" s="1" t="str">
        <f>IFERROR(__xludf.DUMMYFUNCTION("""COMPUTED_VALUE"""),"31801")</f>
        <v>31801</v>
      </c>
      <c r="F176" s="1" t="str">
        <f>IFERROR(__xludf.DUMMYFUNCTION("""COMPUTED_VALUE"""),"Muscogee")</f>
        <v>Muscogee</v>
      </c>
      <c r="G176" s="1" t="str">
        <f>IFERROR(__xludf.DUMMYFUNCTION("""COMPUTED_VALUE"""),"32.581497")</f>
        <v>32.581497</v>
      </c>
      <c r="H176" s="1" t="str">
        <f>IFERROR(__xludf.DUMMYFUNCTION("""COMPUTED_VALUE"""),"-84.71003")</f>
        <v>-84.71003</v>
      </c>
      <c r="I176" s="1" t="str">
        <f>IFERROR(__xludf.DUMMYFUNCTION("""COMPUTED_VALUE"""),"Proposed")</f>
        <v>Proposed</v>
      </c>
      <c r="J176" s="1" t="str">
        <f>IFERROR(__xludf.DUMMYFUNCTION("""COMPUTED_VALUE"""),"High")</f>
        <v>High</v>
      </c>
      <c r="K176" s="1" t="str">
        <f>IFERROR(__xludf.DUMMYFUNCTION("""COMPUTED_VALUE"""),"")</f>
        <v/>
      </c>
      <c r="L176" s="1" t="str">
        <f>IFERROR(__xludf.DUMMYFUNCTION("""COMPUTED_VALUE"""),"")</f>
        <v/>
      </c>
      <c r="M176" s="1" t="str">
        <f>IFERROR(__xludf.DUMMYFUNCTION("""COMPUTED_VALUE"""),"")</f>
        <v/>
      </c>
      <c r="N176" s="1" t="str">
        <f>IFERROR(__xludf.DUMMYFUNCTION("""COMPUTED_VALUE"""),"")</f>
        <v/>
      </c>
      <c r="O176" s="1" t="str">
        <f>IFERROR(__xludf.DUMMYFUNCTION("""COMPUTED_VALUE"""),"Hyperscale (100-999 MW)")</f>
        <v>Hyperscale (100-999 MW)</v>
      </c>
      <c r="P176" s="1" t="str">
        <f>IFERROR(__xludf.DUMMYFUNCTION("""COMPUTED_VALUE"""),"")</f>
        <v/>
      </c>
      <c r="Q176" s="1" t="str">
        <f>IFERROR(__xludf.DUMMYFUNCTION("""COMPUTED_VALUE"""),"")</f>
        <v/>
      </c>
      <c r="R176" s="1" t="str">
        <f>IFERROR(__xludf.DUMMYFUNCTION("""COMPUTED_VALUE"""),"")</f>
        <v/>
      </c>
      <c r="S176" s="1" t="str">
        <f>IFERROR(__xludf.DUMMYFUNCTION("""COMPUTED_VALUE"""),"2")</f>
        <v>2</v>
      </c>
      <c r="T176" s="1" t="str">
        <f>IFERROR(__xludf.DUMMYFUNCTION("""COMPUTED_VALUE"""),"")</f>
        <v/>
      </c>
      <c r="U176" s="1" t="str">
        <f>IFERROR(__xludf.DUMMYFUNCTION("""COMPUTED_VALUE"""),"")</f>
        <v/>
      </c>
      <c r="V176" s="1" t="str">
        <f>IFERROR(__xludf.DUMMYFUNCTION("""COMPUTED_VALUE"""),"")</f>
        <v/>
      </c>
      <c r="W176" s="1" t="str">
        <f>IFERROR(__xludf.DUMMYFUNCTION("""COMPUTED_VALUE"""),"875")</f>
        <v>875</v>
      </c>
      <c r="X176" s="1" t="str">
        <f>IFERROR(__xludf.DUMMYFUNCTION("""COMPUTED_VALUE"""),"$5.18 billion")</f>
        <v>$5.18 billion</v>
      </c>
      <c r="Y176" s="1" t="str">
        <f>IFERROR(__xludf.DUMMYFUNCTION("""COMPUTED_VALUE"""),"")</f>
        <v/>
      </c>
      <c r="Z176" s="1" t="str">
        <f>IFERROR(__xludf.DUMMYFUNCTION("""COMPUTED_VALUE"""),"Unknown")</f>
        <v>Unknown</v>
      </c>
      <c r="AA176" s="1" t="str">
        <f>IFERROR(__xludf.DUMMYFUNCTION("""COMPUTED_VALUE"""),"")</f>
        <v/>
      </c>
      <c r="AB176" s="1" t="str">
        <f>IFERROR(__xludf.DUMMYFUNCTION("""COMPUTED_VALUE"""),"")</f>
        <v/>
      </c>
      <c r="AC176" s="1" t="str">
        <f>IFERROR(__xludf.DUMMYFUNCTION("""COMPUTED_VALUE"""),"")</f>
        <v/>
      </c>
      <c r="AD176" s="1" t="str">
        <f>IFERROR(__xludf.DUMMYFUNCTION("""COMPUTED_VALUE"""),"")</f>
        <v/>
      </c>
      <c r="AE176" s="1" t="str">
        <f>IFERROR(__xludf.DUMMYFUNCTION("""COMPUTED_VALUE"""),"")</f>
        <v/>
      </c>
      <c r="AF176" s="1" t="str">
        <f>IFERROR(__xludf.DUMMYFUNCTION("""COMPUTED_VALUE"""),"")</f>
        <v/>
      </c>
      <c r="AG176" s="1" t="str">
        <f>IFERROR(__xludf.DUMMYFUNCTION("""COMPUTED_VALUE"""),"")</f>
        <v/>
      </c>
      <c r="AH176" s="1" t="str">
        <f>IFERROR(__xludf.DUMMYFUNCTION("""COMPUTED_VALUE"""),"Media Monitoring")</f>
        <v>Media Monitoring</v>
      </c>
      <c r="AI176" s="2" t="str">
        <f>IFERROR(__xludf.DUMMYFUNCTION("""COMPUTED_VALUE"""),"https://www.ledger-enquirer.com/news/business/article314817948.html")</f>
        <v>https://www.ledger-enquirer.com/news/business/article314817948.html</v>
      </c>
      <c r="AJ176" s="2" t="str">
        <f>IFERROR(__xludf.DUMMYFUNCTION("""COMPUTED_VALUE"""),"https://www.wrbl.com/top-stories/columbus-city-council-discusses-proposed-5-18-billion-data-center-residents-voice-concern/")</f>
        <v>https://www.wrbl.com/top-stories/columbus-city-council-discusses-proposed-5-18-billion-data-center-residents-voice-concern/</v>
      </c>
      <c r="AK176" s="1" t="str">
        <f>IFERROR(__xludf.DUMMYFUNCTION("""COMPUTED_VALUE"""),"")</f>
        <v/>
      </c>
      <c r="AL176" s="1" t="str">
        <f>IFERROR(__xludf.DUMMYFUNCTION("""COMPUTED_VALUE"""),"")</f>
        <v/>
      </c>
      <c r="AM176" s="1" t="str">
        <f>IFERROR(__xludf.DUMMYFUNCTION("""COMPUTED_VALUE"""),"")</f>
        <v/>
      </c>
      <c r="AN176" s="1" t="str">
        <f>IFERROR(__xludf.DUMMYFUNCTION("""COMPUTED_VALUE"""),"")</f>
        <v/>
      </c>
      <c r="AO176" s="1" t="str">
        <f>IFERROR(__xludf.DUMMYFUNCTION("""COMPUTED_VALUE"""),"")</f>
        <v/>
      </c>
      <c r="AP176" s="1" t="str">
        <f>IFERROR(__xludf.DUMMYFUNCTION("""COMPUTED_VALUE"""),"")</f>
        <v/>
      </c>
      <c r="AQ176" s="1" t="str">
        <f>IFERROR(__xludf.DUMMYFUNCTION("""COMPUTED_VALUE"""),"02/26/2026")</f>
        <v>02/26/2026</v>
      </c>
      <c r="AR176" s="1" t="str">
        <f>IFERROR(__xludf.DUMMYFUNCTION("""COMPUTED_VALUE"""),"02/26/2026")</f>
        <v>02/26/2026</v>
      </c>
    </row>
    <row r="177">
      <c r="A177" s="1" t="str">
        <f>IFERROR(__xludf.DUMMYFUNCTION("""COMPUTED_VALUE"""),"Data Center")</f>
        <v>Data Center</v>
      </c>
      <c r="B177" s="1" t="str">
        <f>IFERROR(__xludf.DUMMYFUNCTION("""COMPUTED_VALUE"""),"GA-53 Spur, adj to Fair's Auto Services")</f>
        <v>GA-53 Spur, adj to Fair's Auto Services</v>
      </c>
      <c r="C177" s="1" t="str">
        <f>IFERROR(__xludf.DUMMYFUNCTION("""COMPUTED_VALUE"""),"Calhoun")</f>
        <v>Calhoun</v>
      </c>
      <c r="D177" s="1" t="str">
        <f>IFERROR(__xludf.DUMMYFUNCTION("""COMPUTED_VALUE"""),"GA")</f>
        <v>GA</v>
      </c>
      <c r="E177" s="1" t="str">
        <f>IFERROR(__xludf.DUMMYFUNCTION("""COMPUTED_VALUE"""),"30701")</f>
        <v>30701</v>
      </c>
      <c r="F177" s="1" t="str">
        <f>IFERROR(__xludf.DUMMYFUNCTION("""COMPUTED_VALUE"""),"Gordon")</f>
        <v>Gordon</v>
      </c>
      <c r="G177" s="1" t="str">
        <f>IFERROR(__xludf.DUMMYFUNCTION("""COMPUTED_VALUE"""),"34.482914")</f>
        <v>34.482914</v>
      </c>
      <c r="H177" s="1" t="str">
        <f>IFERROR(__xludf.DUMMYFUNCTION("""COMPUTED_VALUE"""),"-84.97241")</f>
        <v>-84.97241</v>
      </c>
      <c r="I177" s="1" t="str">
        <f>IFERROR(__xludf.DUMMYFUNCTION("""COMPUTED_VALUE"""),"Proposed")</f>
        <v>Proposed</v>
      </c>
      <c r="J177" s="1" t="str">
        <f>IFERROR(__xludf.DUMMYFUNCTION("""COMPUTED_VALUE"""),"Medium")</f>
        <v>Medium</v>
      </c>
      <c r="K177" s="1" t="str">
        <f>IFERROR(__xludf.DUMMYFUNCTION("""COMPUTED_VALUE"""),"")</f>
        <v/>
      </c>
      <c r="L177" s="1" t="str">
        <f>IFERROR(__xludf.DUMMYFUNCTION("""COMPUTED_VALUE"""),"")</f>
        <v/>
      </c>
      <c r="M177" s="1" t="str">
        <f>IFERROR(__xludf.DUMMYFUNCTION("""COMPUTED_VALUE"""),"")</f>
        <v/>
      </c>
      <c r="N177" s="1" t="str">
        <f>IFERROR(__xludf.DUMMYFUNCTION("""COMPUTED_VALUE"""),"")</f>
        <v/>
      </c>
      <c r="O177" s="1" t="str">
        <f>IFERROR(__xludf.DUMMYFUNCTION("""COMPUTED_VALUE"""),"Unknown")</f>
        <v>Unknown</v>
      </c>
      <c r="P177" s="1" t="str">
        <f>IFERROR(__xludf.DUMMYFUNCTION("""COMPUTED_VALUE"""),"")</f>
        <v/>
      </c>
      <c r="Q177" s="1" t="str">
        <f>IFERROR(__xludf.DUMMYFUNCTION("""COMPUTED_VALUE"""),"")</f>
        <v/>
      </c>
      <c r="R177" s="1" t="str">
        <f>IFERROR(__xludf.DUMMYFUNCTION("""COMPUTED_VALUE"""),"")</f>
        <v/>
      </c>
      <c r="S177" s="1" t="str">
        <f>IFERROR(__xludf.DUMMYFUNCTION("""COMPUTED_VALUE"""),"")</f>
        <v/>
      </c>
      <c r="T177" s="1" t="str">
        <f>IFERROR(__xludf.DUMMYFUNCTION("""COMPUTED_VALUE"""),"")</f>
        <v/>
      </c>
      <c r="U177" s="1" t="str">
        <f>IFERROR(__xludf.DUMMYFUNCTION("""COMPUTED_VALUE"""),"")</f>
        <v/>
      </c>
      <c r="V177" s="1" t="str">
        <f>IFERROR(__xludf.DUMMYFUNCTION("""COMPUTED_VALUE"""),"500000")</f>
        <v>500000</v>
      </c>
      <c r="W177" s="1" t="str">
        <f>IFERROR(__xludf.DUMMYFUNCTION("""COMPUTED_VALUE"""),"57")</f>
        <v>57</v>
      </c>
      <c r="X177" s="1" t="str">
        <f>IFERROR(__xludf.DUMMYFUNCTION("""COMPUTED_VALUE"""),"")</f>
        <v/>
      </c>
      <c r="Y177" s="1" t="str">
        <f>IFERROR(__xludf.DUMMYFUNCTION("""COMPUTED_VALUE"""),"")</f>
        <v/>
      </c>
      <c r="Z177" s="1" t="str">
        <f>IFERROR(__xludf.DUMMYFUNCTION("""COMPUTED_VALUE"""),"Unknown")</f>
        <v>Unknown</v>
      </c>
      <c r="AA177" s="1" t="str">
        <f>IFERROR(__xludf.DUMMYFUNCTION("""COMPUTED_VALUE"""),"")</f>
        <v/>
      </c>
      <c r="AB177" s="1" t="str">
        <f>IFERROR(__xludf.DUMMYFUNCTION("""COMPUTED_VALUE"""),"")</f>
        <v/>
      </c>
      <c r="AC177" s="1" t="str">
        <f>IFERROR(__xludf.DUMMYFUNCTION("""COMPUTED_VALUE"""),"")</f>
        <v/>
      </c>
      <c r="AD177" s="1" t="str">
        <f>IFERROR(__xludf.DUMMYFUNCTION("""COMPUTED_VALUE"""),"")</f>
        <v/>
      </c>
      <c r="AE177" s="1" t="str">
        <f>IFERROR(__xludf.DUMMYFUNCTION("""COMPUTED_VALUE"""),"")</f>
        <v/>
      </c>
      <c r="AF177" s="1" t="str">
        <f>IFERROR(__xludf.DUMMYFUNCTION("""COMPUTED_VALUE"""),"")</f>
        <v/>
      </c>
      <c r="AG177" s="1" t="str">
        <f>IFERROR(__xludf.DUMMYFUNCTION("""COMPUTED_VALUE"""),"Trying to pass this despite moratorium")</f>
        <v>Trying to pass this despite moratorium</v>
      </c>
      <c r="AH177" s="1" t="str">
        <f>IFERROR(__xludf.DUMMYFUNCTION("""COMPUTED_VALUE"""),"Media Monitoring")</f>
        <v>Media Monitoring</v>
      </c>
      <c r="AI177" s="2" t="str">
        <f>IFERROR(__xludf.DUMMYFUNCTION("""COMPUTED_VALUE"""),"https://www.timesfreepress.com/news/2026/jun/27/calhoun-georgia-looks-to-understand-what-a-500k")</f>
        <v>https://www.timesfreepress.com/news/2026/jun/27/calhoun-georgia-looks-to-understand-what-a-500k</v>
      </c>
      <c r="AJ177" s="2" t="str">
        <f>IFERROR(__xludf.DUMMYFUNCTION("""COMPUTED_VALUE"""),"https://coosavalleynews.com/2026/04/calhoun-approves-90-day-moratorium-on-data-centers/")</f>
        <v>https://coosavalleynews.com/2026/04/calhoun-approves-90-day-moratorium-on-data-centers/</v>
      </c>
      <c r="AK177" s="1" t="str">
        <f>IFERROR(__xludf.DUMMYFUNCTION("""COMPUTED_VALUE"""),"")</f>
        <v/>
      </c>
      <c r="AL177" s="1" t="str">
        <f>IFERROR(__xludf.DUMMYFUNCTION("""COMPUTED_VALUE"""),"")</f>
        <v/>
      </c>
      <c r="AM177" s="1" t="str">
        <f>IFERROR(__xludf.DUMMYFUNCTION("""COMPUTED_VALUE"""),"")</f>
        <v/>
      </c>
      <c r="AN177" s="1" t="str">
        <f>IFERROR(__xludf.DUMMYFUNCTION("""COMPUTED_VALUE"""),"")</f>
        <v/>
      </c>
      <c r="AO177" s="1" t="str">
        <f>IFERROR(__xludf.DUMMYFUNCTION("""COMPUTED_VALUE"""),"")</f>
        <v/>
      </c>
      <c r="AP177" s="1" t="str">
        <f>IFERROR(__xludf.DUMMYFUNCTION("""COMPUTED_VALUE"""),"")</f>
        <v/>
      </c>
      <c r="AQ177" s="1" t="str">
        <f>IFERROR(__xludf.DUMMYFUNCTION("""COMPUTED_VALUE"""),"06/30/2026")</f>
        <v>06/30/2026</v>
      </c>
      <c r="AR177" s="1" t="str">
        <f>IFERROR(__xludf.DUMMYFUNCTION("""COMPUTED_VALUE"""),"06/30/2026")</f>
        <v>06/30/2026</v>
      </c>
    </row>
    <row r="178">
      <c r="A178" s="1" t="str">
        <f>IFERROR(__xludf.DUMMYFUNCTION("""COMPUTED_VALUE"""),"FOGO Carrollton")</f>
        <v>FOGO Carrollton</v>
      </c>
      <c r="B178" s="1" t="str">
        <f>IFERROR(__xludf.DUMMYFUNCTION("""COMPUTED_VALUE"""),"340 Tom Reeve Drive")</f>
        <v>340 Tom Reeve Drive</v>
      </c>
      <c r="C178" s="1" t="str">
        <f>IFERROR(__xludf.DUMMYFUNCTION("""COMPUTED_VALUE"""),"Carrollton")</f>
        <v>Carrollton</v>
      </c>
      <c r="D178" s="1" t="str">
        <f>IFERROR(__xludf.DUMMYFUNCTION("""COMPUTED_VALUE"""),"GA")</f>
        <v>GA</v>
      </c>
      <c r="E178" s="1" t="str">
        <f>IFERROR(__xludf.DUMMYFUNCTION("""COMPUTED_VALUE"""),"30177")</f>
        <v>30177</v>
      </c>
      <c r="F178" s="1" t="str">
        <f>IFERROR(__xludf.DUMMYFUNCTION("""COMPUTED_VALUE"""),"Carroll")</f>
        <v>Carroll</v>
      </c>
      <c r="G178" s="1" t="str">
        <f>IFERROR(__xludf.DUMMYFUNCTION("""COMPUTED_VALUE"""),"33.558292")</f>
        <v>33.558292</v>
      </c>
      <c r="H178" s="1" t="str">
        <f>IFERROR(__xludf.DUMMYFUNCTION("""COMPUTED_VALUE"""),"-85.09067")</f>
        <v>-85.09067</v>
      </c>
      <c r="I178" s="1" t="str">
        <f>IFERROR(__xludf.DUMMYFUNCTION("""COMPUTED_VALUE"""),"Operating")</f>
        <v>Operating</v>
      </c>
      <c r="J178" s="1" t="str">
        <f>IFERROR(__xludf.DUMMYFUNCTION("""COMPUTED_VALUE"""),"High")</f>
        <v>High</v>
      </c>
      <c r="K178" s="1" t="str">
        <f>IFERROR(__xludf.DUMMYFUNCTION("""COMPUTED_VALUE"""),"")</f>
        <v/>
      </c>
      <c r="L178" s="1" t="str">
        <f>IFERROR(__xludf.DUMMYFUNCTION("""COMPUTED_VALUE"""),"FOGO Solutions")</f>
        <v>FOGO Solutions</v>
      </c>
      <c r="M178" s="1" t="str">
        <f>IFERROR(__xludf.DUMMYFUNCTION("""COMPUTED_VALUE"""),"")</f>
        <v/>
      </c>
      <c r="N178" s="1" t="str">
        <f>IFERROR(__xludf.DUMMYFUNCTION("""COMPUTED_VALUE"""),"")</f>
        <v/>
      </c>
      <c r="O178" s="1" t="str">
        <f>IFERROR(__xludf.DUMMYFUNCTION("""COMPUTED_VALUE"""),"Unknown")</f>
        <v>Unknown</v>
      </c>
      <c r="P178" s="1" t="str">
        <f>IFERROR(__xludf.DUMMYFUNCTION("""COMPUTED_VALUE"""),"")</f>
        <v/>
      </c>
      <c r="Q178" s="1" t="str">
        <f>IFERROR(__xludf.DUMMYFUNCTION("""COMPUTED_VALUE"""),"")</f>
        <v/>
      </c>
      <c r="R178" s="1" t="str">
        <f>IFERROR(__xludf.DUMMYFUNCTION("""COMPUTED_VALUE"""),"")</f>
        <v/>
      </c>
      <c r="S178" s="1" t="str">
        <f>IFERROR(__xludf.DUMMYFUNCTION("""COMPUTED_VALUE"""),"")</f>
        <v/>
      </c>
      <c r="T178" s="1" t="str">
        <f>IFERROR(__xludf.DUMMYFUNCTION("""COMPUTED_VALUE"""),"")</f>
        <v/>
      </c>
      <c r="U178" s="1" t="str">
        <f>IFERROR(__xludf.DUMMYFUNCTION("""COMPUTED_VALUE"""),"")</f>
        <v/>
      </c>
      <c r="V178" s="1" t="str">
        <f>IFERROR(__xludf.DUMMYFUNCTION("""COMPUTED_VALUE"""),"")</f>
        <v/>
      </c>
      <c r="W178" s="1" t="str">
        <f>IFERROR(__xludf.DUMMYFUNCTION("""COMPUTED_VALUE"""),"")</f>
        <v/>
      </c>
      <c r="X178" s="1" t="str">
        <f>IFERROR(__xludf.DUMMYFUNCTION("""COMPUTED_VALUE"""),"")</f>
        <v/>
      </c>
      <c r="Y178" s="1" t="str">
        <f>IFERROR(__xludf.DUMMYFUNCTION("""COMPUTED_VALUE"""),"")</f>
        <v/>
      </c>
      <c r="Z178" s="1" t="str">
        <f>IFERROR(__xludf.DUMMYFUNCTION("""COMPUTED_VALUE"""),"Unknown")</f>
        <v>Unknown</v>
      </c>
      <c r="AA178" s="1" t="str">
        <f>IFERROR(__xludf.DUMMYFUNCTION("""COMPUTED_VALUE"""),"")</f>
        <v/>
      </c>
      <c r="AB178" s="1" t="str">
        <f>IFERROR(__xludf.DUMMYFUNCTION("""COMPUTED_VALUE"""),"")</f>
        <v/>
      </c>
      <c r="AC178" s="1" t="str">
        <f>IFERROR(__xludf.DUMMYFUNCTION("""COMPUTED_VALUE"""),"")</f>
        <v/>
      </c>
      <c r="AD178" s="1" t="str">
        <f>IFERROR(__xludf.DUMMYFUNCTION("""COMPUTED_VALUE"""),"")</f>
        <v/>
      </c>
      <c r="AE178" s="1" t="str">
        <f>IFERROR(__xludf.DUMMYFUNCTION("""COMPUTED_VALUE"""),"")</f>
        <v/>
      </c>
      <c r="AF178" s="1" t="str">
        <f>IFERROR(__xludf.DUMMYFUNCTION("""COMPUTED_VALUE"""),"")</f>
        <v/>
      </c>
      <c r="AG178" s="1" t="str">
        <f>IFERROR(__xludf.DUMMYFUNCTION("""COMPUTED_VALUE"""),"")</f>
        <v/>
      </c>
      <c r="AH178" s="1" t="str">
        <f>IFERROR(__xludf.DUMMYFUNCTION("""COMPUTED_VALUE"""),"Sci4GA")</f>
        <v>Sci4GA</v>
      </c>
      <c r="AI178" s="1" t="str">
        <f>IFERROR(__xludf.DUMMYFUNCTION("""COMPUTED_VALUE"""),"")</f>
        <v/>
      </c>
      <c r="AJ178" s="1" t="str">
        <f>IFERROR(__xludf.DUMMYFUNCTION("""COMPUTED_VALUE"""),"")</f>
        <v/>
      </c>
      <c r="AK178" s="1" t="str">
        <f>IFERROR(__xludf.DUMMYFUNCTION("""COMPUTED_VALUE"""),"")</f>
        <v/>
      </c>
      <c r="AL178" s="1" t="str">
        <f>IFERROR(__xludf.DUMMYFUNCTION("""COMPUTED_VALUE"""),"")</f>
        <v/>
      </c>
      <c r="AM178" s="1" t="str">
        <f>IFERROR(__xludf.DUMMYFUNCTION("""COMPUTED_VALUE"""),"")</f>
        <v/>
      </c>
      <c r="AN178" s="1" t="str">
        <f>IFERROR(__xludf.DUMMYFUNCTION("""COMPUTED_VALUE"""),"")</f>
        <v/>
      </c>
      <c r="AO178" s="1" t="str">
        <f>IFERROR(__xludf.DUMMYFUNCTION("""COMPUTED_VALUE"""),"")</f>
        <v/>
      </c>
      <c r="AP178" s="1" t="str">
        <f>IFERROR(__xludf.DUMMYFUNCTION("""COMPUTED_VALUE"""),"")</f>
        <v/>
      </c>
      <c r="AQ178" s="1" t="str">
        <f>IFERROR(__xludf.DUMMYFUNCTION("""COMPUTED_VALUE"""),"10/16/2025")</f>
        <v>10/16/2025</v>
      </c>
      <c r="AR178" s="1" t="str">
        <f>IFERROR(__xludf.DUMMYFUNCTION("""COMPUTED_VALUE"""),"10/16/2025")</f>
        <v>10/16/2025</v>
      </c>
    </row>
    <row r="179">
      <c r="A179" s="1" t="str">
        <f>IFERROR(__xludf.DUMMYFUNCTION("""COMPUTED_VALUE"""),"Project Bunkhouse")</f>
        <v>Project Bunkhouse</v>
      </c>
      <c r="B179" s="1" t="str">
        <f>IFERROR(__xludf.DUMMYFUNCTION("""COMPUTED_VALUE"""),"14 Taff Rd")</f>
        <v>14 Taff Rd</v>
      </c>
      <c r="C179" s="1" t="str">
        <f>IFERROR(__xludf.DUMMYFUNCTION("""COMPUTED_VALUE"""),"Cartersville")</f>
        <v>Cartersville</v>
      </c>
      <c r="D179" s="1" t="str">
        <f>IFERROR(__xludf.DUMMYFUNCTION("""COMPUTED_VALUE"""),"GA")</f>
        <v>GA</v>
      </c>
      <c r="E179" s="1" t="str">
        <f>IFERROR(__xludf.DUMMYFUNCTION("""COMPUTED_VALUE"""),"30120")</f>
        <v>30120</v>
      </c>
      <c r="F179" s="1" t="str">
        <f>IFERROR(__xludf.DUMMYFUNCTION("""COMPUTED_VALUE"""),"Bartow")</f>
        <v>Bartow</v>
      </c>
      <c r="G179" s="1" t="str">
        <f>IFERROR(__xludf.DUMMYFUNCTION("""COMPUTED_VALUE"""),"34.0998")</f>
        <v>34.0998</v>
      </c>
      <c r="H179" s="1" t="str">
        <f>IFERROR(__xludf.DUMMYFUNCTION("""COMPUTED_VALUE"""),"-84.9167")</f>
        <v>-84.9167</v>
      </c>
      <c r="I179" s="1" t="str">
        <f>IFERROR(__xludf.DUMMYFUNCTION("""COMPUTED_VALUE"""),"Proposed")</f>
        <v>Proposed</v>
      </c>
      <c r="J179" s="1" t="str">
        <f>IFERROR(__xludf.DUMMYFUNCTION("""COMPUTED_VALUE"""),"High")</f>
        <v>High</v>
      </c>
      <c r="K179" s="1" t="str">
        <f>IFERROR(__xludf.DUMMYFUNCTION("""COMPUTED_VALUE"""),"")</f>
        <v/>
      </c>
      <c r="L179" s="1" t="str">
        <f>IFERROR(__xludf.DUMMYFUNCTION("""COMPUTED_VALUE"""),"Gaines Family Land LLC")</f>
        <v>Gaines Family Land LLC</v>
      </c>
      <c r="M179" s="1" t="str">
        <f>IFERROR(__xludf.DUMMYFUNCTION("""COMPUTED_VALUE"""),"")</f>
        <v/>
      </c>
      <c r="N179" s="1" t="str">
        <f>IFERROR(__xludf.DUMMYFUNCTION("""COMPUTED_VALUE"""),"1830")</f>
        <v>1830</v>
      </c>
      <c r="O179" s="1" t="str">
        <f>IFERROR(__xludf.DUMMYFUNCTION("""COMPUTED_VALUE"""),"Mega campus (&gt;1,000 MW)")</f>
        <v>Mega campus (&gt;1,000 MW)</v>
      </c>
      <c r="P179" s="1" t="str">
        <f>IFERROR(__xludf.DUMMYFUNCTION("""COMPUTED_VALUE"""),"")</f>
        <v/>
      </c>
      <c r="Q179" s="1" t="str">
        <f>IFERROR(__xludf.DUMMYFUNCTION("""COMPUTED_VALUE"""),"")</f>
        <v/>
      </c>
      <c r="R179" s="1" t="str">
        <f>IFERROR(__xludf.DUMMYFUNCTION("""COMPUTED_VALUE"""),"")</f>
        <v/>
      </c>
      <c r="S179" s="1" t="str">
        <f>IFERROR(__xludf.DUMMYFUNCTION("""COMPUTED_VALUE"""),"12")</f>
        <v>12</v>
      </c>
      <c r="T179" s="1" t="str">
        <f>IFERROR(__xludf.DUMMYFUNCTION("""COMPUTED_VALUE"""),"")</f>
        <v/>
      </c>
      <c r="U179" s="1" t="str">
        <f>IFERROR(__xludf.DUMMYFUNCTION("""COMPUTED_VALUE"""),"")</f>
        <v/>
      </c>
      <c r="V179" s="1" t="str">
        <f>IFERROR(__xludf.DUMMYFUNCTION("""COMPUTED_VALUE"""),"8,600,000")</f>
        <v>8,600,000</v>
      </c>
      <c r="W179" s="1" t="str">
        <f>IFERROR(__xludf.DUMMYFUNCTION("""COMPUTED_VALUE"""),"")</f>
        <v/>
      </c>
      <c r="X179" s="1" t="str">
        <f>IFERROR(__xludf.DUMMYFUNCTION("""COMPUTED_VALUE"""),"$19 billion")</f>
        <v>$19 billion</v>
      </c>
      <c r="Y179" s="1" t="str">
        <f>IFERROR(__xludf.DUMMYFUNCTION("""COMPUTED_VALUE"""),"")</f>
        <v/>
      </c>
      <c r="Z179" s="1" t="str">
        <f>IFERROR(__xludf.DUMMYFUNCTION("""COMPUTED_VALUE"""),"Unknown")</f>
        <v>Unknown</v>
      </c>
      <c r="AA179" s="1" t="str">
        <f>IFERROR(__xludf.DUMMYFUNCTION("""COMPUTED_VALUE"""),"")</f>
        <v/>
      </c>
      <c r="AB179" s="1" t="str">
        <f>IFERROR(__xludf.DUMMYFUNCTION("""COMPUTED_VALUE"""),"")</f>
        <v/>
      </c>
      <c r="AC179" s="1" t="str">
        <f>IFERROR(__xludf.DUMMYFUNCTION("""COMPUTED_VALUE"""),"")</f>
        <v/>
      </c>
      <c r="AD179" s="1" t="str">
        <f>IFERROR(__xludf.DUMMYFUNCTION("""COMPUTED_VALUE"""),"")</f>
        <v/>
      </c>
      <c r="AE179" s="1" t="str">
        <f>IFERROR(__xludf.DUMMYFUNCTION("""COMPUTED_VALUE"""),"")</f>
        <v/>
      </c>
      <c r="AF179" s="1" t="str">
        <f>IFERROR(__xludf.DUMMYFUNCTION("""COMPUTED_VALUE"""),"")</f>
        <v/>
      </c>
      <c r="AG179" s="1" t="str">
        <f>IFERROR(__xludf.DUMMYFUNCTION("""COMPUTED_VALUE"""),"complete by 2035?")</f>
        <v>complete by 2035?</v>
      </c>
      <c r="AH179" s="1" t="str">
        <f>IFERROR(__xludf.DUMMYFUNCTION("""COMPUTED_VALUE"""),"Media Monitoring")</f>
        <v>Media Monitoring</v>
      </c>
      <c r="AI179" s="2" t="str">
        <f>IFERROR(__xludf.DUMMYFUNCTION("""COMPUTED_VALUE"""),"https://www.datacenterdynamics.com/en/news/application-filed-for-86-million-sq-ft-data-center-project-outside-atlanta-georgia/")</f>
        <v>https://www.datacenterdynamics.com/en/news/application-filed-for-86-million-sq-ft-data-center-project-outside-atlanta-georgia/</v>
      </c>
      <c r="AJ179" s="2" t="str">
        <f>IFERROR(__xludf.DUMMYFUNCTION("""COMPUTED_VALUE"""),"https://apps.dca.ga.gov/DRI/InitialForm.aspx?driid=4433")</f>
        <v>https://apps.dca.ga.gov/DRI/InitialForm.aspx?driid=4433</v>
      </c>
      <c r="AK179" s="2" t="str">
        <f>IFERROR(__xludf.DUMMYFUNCTION("""COMPUTED_VALUE"""),"https://www.ajc.com/news/business/19b-data-center-campus-proposed-northwest-of-atlanta/FPMRPJCYERGXLLAND6IZACSVEM/")</f>
        <v>https://www.ajc.com/news/business/19b-data-center-campus-proposed-northwest-of-atlanta/FPMRPJCYERGXLLAND6IZACSVEM/</v>
      </c>
      <c r="AL179" s="1" t="str">
        <f>IFERROR(__xludf.DUMMYFUNCTION("""COMPUTED_VALUE"""),"")</f>
        <v/>
      </c>
      <c r="AM179" s="1" t="str">
        <f>IFERROR(__xludf.DUMMYFUNCTION("""COMPUTED_VALUE"""),"")</f>
        <v/>
      </c>
      <c r="AN179" s="1" t="str">
        <f>IFERROR(__xludf.DUMMYFUNCTION("""COMPUTED_VALUE"""),"")</f>
        <v/>
      </c>
      <c r="AO179" s="1" t="str">
        <f>IFERROR(__xludf.DUMMYFUNCTION("""COMPUTED_VALUE"""),"")</f>
        <v/>
      </c>
      <c r="AP179" s="1" t="str">
        <f>IFERROR(__xludf.DUMMYFUNCTION("""COMPUTED_VALUE"""),"")</f>
        <v/>
      </c>
      <c r="AQ179" s="1" t="str">
        <f>IFERROR(__xludf.DUMMYFUNCTION("""COMPUTED_VALUE"""),"05/25/2025")</f>
        <v>05/25/2025</v>
      </c>
      <c r="AR179" s="1" t="str">
        <f>IFERROR(__xludf.DUMMYFUNCTION("""COMPUTED_VALUE"""),"11/19/2025")</f>
        <v>11/19/2025</v>
      </c>
    </row>
    <row r="180">
      <c r="A180" s="1" t="str">
        <f>IFERROR(__xludf.DUMMYFUNCTION("""COMPUTED_VALUE"""),"""Project Indo""")</f>
        <v>"Project Indo"</v>
      </c>
      <c r="B180" s="1" t="str">
        <f>IFERROR(__xludf.DUMMYFUNCTION("""COMPUTED_VALUE"""),"218 Industrial Park Rd")</f>
        <v>218 Industrial Park Rd</v>
      </c>
      <c r="C180" s="1" t="str">
        <f>IFERROR(__xludf.DUMMYFUNCTION("""COMPUTED_VALUE"""),"Cartersville")</f>
        <v>Cartersville</v>
      </c>
      <c r="D180" s="1" t="str">
        <f>IFERROR(__xludf.DUMMYFUNCTION("""COMPUTED_VALUE"""),"GA")</f>
        <v>GA</v>
      </c>
      <c r="E180" s="1" t="str">
        <f>IFERROR(__xludf.DUMMYFUNCTION("""COMPUTED_VALUE"""),"30121")</f>
        <v>30121</v>
      </c>
      <c r="F180" s="1" t="str">
        <f>IFERROR(__xludf.DUMMYFUNCTION("""COMPUTED_VALUE"""),"Bartow")</f>
        <v>Bartow</v>
      </c>
      <c r="G180" s="1" t="str">
        <f>IFERROR(__xludf.DUMMYFUNCTION("""COMPUTED_VALUE"""),"34.23581")</f>
        <v>34.23581</v>
      </c>
      <c r="H180" s="1" t="str">
        <f>IFERROR(__xludf.DUMMYFUNCTION("""COMPUTED_VALUE"""),"-84.7963")</f>
        <v>-84.7963</v>
      </c>
      <c r="I180" s="1" t="str">
        <f>IFERROR(__xludf.DUMMYFUNCTION("""COMPUTED_VALUE"""),"Proposed")</f>
        <v>Proposed</v>
      </c>
      <c r="J180" s="1" t="str">
        <f>IFERROR(__xludf.DUMMYFUNCTION("""COMPUTED_VALUE"""),"")</f>
        <v/>
      </c>
      <c r="K180" s="1" t="str">
        <f>IFERROR(__xludf.DUMMYFUNCTION("""COMPUTED_VALUE"""),"")</f>
        <v/>
      </c>
      <c r="L180" s="1" t="str">
        <f>IFERROR(__xludf.DUMMYFUNCTION("""COMPUTED_VALUE"""),"DataBank")</f>
        <v>DataBank</v>
      </c>
      <c r="M180" s="1" t="str">
        <f>IFERROR(__xludf.DUMMYFUNCTION("""COMPUTED_VALUE"""),"")</f>
        <v/>
      </c>
      <c r="N180" s="1" t="str">
        <f>IFERROR(__xludf.DUMMYFUNCTION("""COMPUTED_VALUE"""),"200")</f>
        <v>200</v>
      </c>
      <c r="O180" s="1" t="str">
        <f>IFERROR(__xludf.DUMMYFUNCTION("""COMPUTED_VALUE"""),"Hyperscale (100-999 MW)")</f>
        <v>Hyperscale (100-999 MW)</v>
      </c>
      <c r="P180" s="1" t="str">
        <f>IFERROR(__xludf.DUMMYFUNCTION("""COMPUTED_VALUE"""),"")</f>
        <v/>
      </c>
      <c r="Q180" s="1" t="str">
        <f>IFERROR(__xludf.DUMMYFUNCTION("""COMPUTED_VALUE"""),"")</f>
        <v/>
      </c>
      <c r="R180" s="1" t="str">
        <f>IFERROR(__xludf.DUMMYFUNCTION("""COMPUTED_VALUE"""),"")</f>
        <v/>
      </c>
      <c r="S180" s="1" t="str">
        <f>IFERROR(__xludf.DUMMYFUNCTION("""COMPUTED_VALUE"""),"")</f>
        <v/>
      </c>
      <c r="T180" s="1" t="str">
        <f>IFERROR(__xludf.DUMMYFUNCTION("""COMPUTED_VALUE"""),"")</f>
        <v/>
      </c>
      <c r="U180" s="1" t="str">
        <f>IFERROR(__xludf.DUMMYFUNCTION("""COMPUTED_VALUE"""),"")</f>
        <v/>
      </c>
      <c r="V180" s="1" t="str">
        <f>IFERROR(__xludf.DUMMYFUNCTION("""COMPUTED_VALUE"""),"1,000,000")</f>
        <v>1,000,000</v>
      </c>
      <c r="W180" s="1" t="str">
        <f>IFERROR(__xludf.DUMMYFUNCTION("""COMPUTED_VALUE"""),"69")</f>
        <v>69</v>
      </c>
      <c r="X180" s="1" t="str">
        <f>IFERROR(__xludf.DUMMYFUNCTION("""COMPUTED_VALUE"""),"$2.4 billion")</f>
        <v>$2.4 billion</v>
      </c>
      <c r="Y180" s="1" t="str">
        <f>IFERROR(__xludf.DUMMYFUNCTION("""COMPUTED_VALUE"""),"2032")</f>
        <v>2032</v>
      </c>
      <c r="Z180" s="1" t="str">
        <f>IFERROR(__xludf.DUMMYFUNCTION("""COMPUTED_VALUE"""),"Unknown")</f>
        <v>Unknown</v>
      </c>
      <c r="AA180" s="1" t="str">
        <f>IFERROR(__xludf.DUMMYFUNCTION("""COMPUTED_VALUE"""),"")</f>
        <v/>
      </c>
      <c r="AB180" s="1" t="str">
        <f>IFERROR(__xludf.DUMMYFUNCTION("""COMPUTED_VALUE"""),"")</f>
        <v/>
      </c>
      <c r="AC180" s="1" t="str">
        <f>IFERROR(__xludf.DUMMYFUNCTION("""COMPUTED_VALUE"""),"")</f>
        <v/>
      </c>
      <c r="AD180" s="1" t="str">
        <f>IFERROR(__xludf.DUMMYFUNCTION("""COMPUTED_VALUE"""),"")</f>
        <v/>
      </c>
      <c r="AE180" s="1" t="str">
        <f>IFERROR(__xludf.DUMMYFUNCTION("""COMPUTED_VALUE"""),"")</f>
        <v/>
      </c>
      <c r="AF180" s="1" t="str">
        <f>IFERROR(__xludf.DUMMYFUNCTION("""COMPUTED_VALUE"""),"")</f>
        <v/>
      </c>
      <c r="AG180" s="1" t="str">
        <f>IFERROR(__xludf.DUMMYFUNCTION("""COMPUTED_VALUE"""),"")</f>
        <v/>
      </c>
      <c r="AH180" s="1" t="str">
        <f>IFERROR(__xludf.DUMMYFUNCTION("""COMPUTED_VALUE"""),"Media Monitoring")</f>
        <v>Media Monitoring</v>
      </c>
      <c r="AI180" s="2" t="str">
        <f>IFERROR(__xludf.DUMMYFUNCTION("""COMPUTED_VALUE"""),"https://www.datacenterdynamics.com/en/news/databank-files-for-200mw-data-center-campus-outside-atlanta-georgia/")</f>
        <v>https://www.datacenterdynamics.com/en/news/databank-files-for-200mw-data-center-campus-outside-atlanta-georgia/</v>
      </c>
      <c r="AJ180" s="1" t="str">
        <f>IFERROR(__xludf.DUMMYFUNCTION("""COMPUTED_VALUE"""),"")</f>
        <v/>
      </c>
      <c r="AK180" s="1" t="str">
        <f>IFERROR(__xludf.DUMMYFUNCTION("""COMPUTED_VALUE"""),"")</f>
        <v/>
      </c>
      <c r="AL180" s="1" t="str">
        <f>IFERROR(__xludf.DUMMYFUNCTION("""COMPUTED_VALUE"""),"")</f>
        <v/>
      </c>
      <c r="AM180" s="1" t="str">
        <f>IFERROR(__xludf.DUMMYFUNCTION("""COMPUTED_VALUE"""),"")</f>
        <v/>
      </c>
      <c r="AN180" s="1" t="str">
        <f>IFERROR(__xludf.DUMMYFUNCTION("""COMPUTED_VALUE"""),"")</f>
        <v/>
      </c>
      <c r="AO180" s="1" t="str">
        <f>IFERROR(__xludf.DUMMYFUNCTION("""COMPUTED_VALUE"""),"")</f>
        <v/>
      </c>
      <c r="AP180" s="1" t="str">
        <f>IFERROR(__xludf.DUMMYFUNCTION("""COMPUTED_VALUE"""),"")</f>
        <v/>
      </c>
      <c r="AQ180" s="1" t="str">
        <f>IFERROR(__xludf.DUMMYFUNCTION("""COMPUTED_VALUE"""),"06/22/2026")</f>
        <v>06/22/2026</v>
      </c>
      <c r="AR180" s="1" t="str">
        <f>IFERROR(__xludf.DUMMYFUNCTION("""COMPUTED_VALUE"""),"06/22/2026")</f>
        <v>06/22/2026</v>
      </c>
    </row>
    <row r="181">
      <c r="A181" s="1" t="str">
        <f>IFERROR(__xludf.DUMMYFUNCTION("""COMPUTED_VALUE"""),"Switch")</f>
        <v>Switch</v>
      </c>
      <c r="B181" s="1" t="str">
        <f>IFERROR(__xludf.DUMMYFUNCTION("""COMPUTED_VALUE"""),"40 Bates Rd")</f>
        <v>40 Bates Rd</v>
      </c>
      <c r="C181" s="1" t="str">
        <f>IFERROR(__xludf.DUMMYFUNCTION("""COMPUTED_VALUE"""),"Cartersville")</f>
        <v>Cartersville</v>
      </c>
      <c r="D181" s="1" t="str">
        <f>IFERROR(__xludf.DUMMYFUNCTION("""COMPUTED_VALUE"""),"GA")</f>
        <v>GA</v>
      </c>
      <c r="E181" s="1" t="str">
        <f>IFERROR(__xludf.DUMMYFUNCTION("""COMPUTED_VALUE"""),"30120")</f>
        <v>30120</v>
      </c>
      <c r="F181" s="1" t="str">
        <f>IFERROR(__xludf.DUMMYFUNCTION("""COMPUTED_VALUE"""),"Bartow")</f>
        <v>Bartow</v>
      </c>
      <c r="G181" s="1" t="str">
        <f>IFERROR(__xludf.DUMMYFUNCTION("""COMPUTED_VALUE"""),"34.11429")</f>
        <v>34.11429</v>
      </c>
      <c r="H181" s="1" t="str">
        <f>IFERROR(__xludf.DUMMYFUNCTION("""COMPUTED_VALUE"""),"-84.7938")</f>
        <v>-84.7938</v>
      </c>
      <c r="I181" s="1" t="str">
        <f>IFERROR(__xludf.DUMMYFUNCTION("""COMPUTED_VALUE"""),"Proposed")</f>
        <v>Proposed</v>
      </c>
      <c r="J181" s="1" t="str">
        <f>IFERROR(__xludf.DUMMYFUNCTION("""COMPUTED_VALUE"""),"High")</f>
        <v>High</v>
      </c>
      <c r="K181" s="1" t="str">
        <f>IFERROR(__xludf.DUMMYFUNCTION("""COMPUTED_VALUE"""),"")</f>
        <v/>
      </c>
      <c r="L181" s="1" t="str">
        <f>IFERROR(__xludf.DUMMYFUNCTION("""COMPUTED_VALUE"""),"Switch")</f>
        <v>Switch</v>
      </c>
      <c r="M181" s="1" t="str">
        <f>IFERROR(__xludf.DUMMYFUNCTION("""COMPUTED_VALUE"""),"")</f>
        <v/>
      </c>
      <c r="N181" s="1" t="str">
        <f>IFERROR(__xludf.DUMMYFUNCTION("""COMPUTED_VALUE"""),"")</f>
        <v/>
      </c>
      <c r="O181" s="1" t="str">
        <f>IFERROR(__xludf.DUMMYFUNCTION("""COMPUTED_VALUE"""),"Hyperscale (100-999 MW)")</f>
        <v>Hyperscale (100-999 MW)</v>
      </c>
      <c r="P181" s="1" t="str">
        <f>IFERROR(__xludf.DUMMYFUNCTION("""COMPUTED_VALUE"""),"")</f>
        <v/>
      </c>
      <c r="Q181" s="1" t="str">
        <f>IFERROR(__xludf.DUMMYFUNCTION("""COMPUTED_VALUE"""),"")</f>
        <v/>
      </c>
      <c r="R181" s="1" t="str">
        <f>IFERROR(__xludf.DUMMYFUNCTION("""COMPUTED_VALUE"""),"")</f>
        <v/>
      </c>
      <c r="S181" s="1" t="str">
        <f>IFERROR(__xludf.DUMMYFUNCTION("""COMPUTED_VALUE"""),"")</f>
        <v/>
      </c>
      <c r="T181" s="1" t="str">
        <f>IFERROR(__xludf.DUMMYFUNCTION("""COMPUTED_VALUE"""),"")</f>
        <v/>
      </c>
      <c r="U181" s="1" t="str">
        <f>IFERROR(__xludf.DUMMYFUNCTION("""COMPUTED_VALUE"""),"")</f>
        <v/>
      </c>
      <c r="V181" s="1" t="str">
        <f>IFERROR(__xludf.DUMMYFUNCTION("""COMPUTED_VALUE"""),"")</f>
        <v/>
      </c>
      <c r="W181" s="1" t="str">
        <f>IFERROR(__xludf.DUMMYFUNCTION("""COMPUTED_VALUE"""),"126")</f>
        <v>126</v>
      </c>
      <c r="X181" s="1" t="str">
        <f>IFERROR(__xludf.DUMMYFUNCTION("""COMPUTED_VALUE"""),"$772 million")</f>
        <v>$772 million</v>
      </c>
      <c r="Y181" s="1" t="str">
        <f>IFERROR(__xludf.DUMMYFUNCTION("""COMPUTED_VALUE"""),"")</f>
        <v/>
      </c>
      <c r="Z181" s="1" t="str">
        <f>IFERROR(__xludf.DUMMYFUNCTION("""COMPUTED_VALUE"""),"Unknown")</f>
        <v>Unknown</v>
      </c>
      <c r="AA181" s="1" t="str">
        <f>IFERROR(__xludf.DUMMYFUNCTION("""COMPUTED_VALUE"""),"")</f>
        <v/>
      </c>
      <c r="AB181" s="1" t="str">
        <f>IFERROR(__xludf.DUMMYFUNCTION("""COMPUTED_VALUE"""),"")</f>
        <v/>
      </c>
      <c r="AC181" s="1" t="str">
        <f>IFERROR(__xludf.DUMMYFUNCTION("""COMPUTED_VALUE"""),"")</f>
        <v/>
      </c>
      <c r="AD181" s="1" t="str">
        <f>IFERROR(__xludf.DUMMYFUNCTION("""COMPUTED_VALUE"""),"")</f>
        <v/>
      </c>
      <c r="AE181" s="1" t="str">
        <f>IFERROR(__xludf.DUMMYFUNCTION("""COMPUTED_VALUE"""),"")</f>
        <v/>
      </c>
      <c r="AF181" s="1" t="str">
        <f>IFERROR(__xludf.DUMMYFUNCTION("""COMPUTED_VALUE"""),"")</f>
        <v/>
      </c>
      <c r="AG181" s="1" t="str">
        <f>IFERROR(__xludf.DUMMYFUNCTION("""COMPUTED_VALUE"""),"complete 2026, full build-out 2046. ")</f>
        <v>complete 2026, full build-out 2046. </v>
      </c>
      <c r="AH181" s="1" t="str">
        <f>IFERROR(__xludf.DUMMYFUNCTION("""COMPUTED_VALUE"""),"Media Monitoring")</f>
        <v>Media Monitoring</v>
      </c>
      <c r="AI181" s="2" t="str">
        <f>IFERROR(__xludf.DUMMYFUNCTION("""COMPUTED_VALUE"""),"https://www.datacenterdynamics.com/en/news/switch-to-invest-772-million-in-second-georgia-campus-outside-atlanta/")</f>
        <v>https://www.datacenterdynamics.com/en/news/switch-to-invest-772-million-in-second-georgia-campus-outside-atlanta/</v>
      </c>
      <c r="AJ181" s="2" t="str">
        <f>IFERROR(__xludf.DUMMYFUNCTION("""COMPUTED_VALUE"""),"https://wbhfradio.org/126-acre-commercial-project-proposed-in-carter-grove/")</f>
        <v>https://wbhfradio.org/126-acre-commercial-project-proposed-in-carter-grove/</v>
      </c>
      <c r="AK181" s="2" t="str">
        <f>IFERROR(__xludf.DUMMYFUNCTION("""COMPUTED_VALUE"""),"https://locationofchoice.com/index.php/news/article/1046")</f>
        <v>https://locationofchoice.com/index.php/news/article/1046</v>
      </c>
      <c r="AL181" s="1" t="str">
        <f>IFERROR(__xludf.DUMMYFUNCTION("""COMPUTED_VALUE"""),"")</f>
        <v/>
      </c>
      <c r="AM181" s="1" t="str">
        <f>IFERROR(__xludf.DUMMYFUNCTION("""COMPUTED_VALUE"""),"")</f>
        <v/>
      </c>
      <c r="AN181" s="1" t="str">
        <f>IFERROR(__xludf.DUMMYFUNCTION("""COMPUTED_VALUE"""),"")</f>
        <v/>
      </c>
      <c r="AO181" s="1" t="str">
        <f>IFERROR(__xludf.DUMMYFUNCTION("""COMPUTED_VALUE"""),"")</f>
        <v/>
      </c>
      <c r="AP181" s="1" t="str">
        <f>IFERROR(__xludf.DUMMYFUNCTION("""COMPUTED_VALUE"""),"")</f>
        <v/>
      </c>
      <c r="AQ181" s="1" t="str">
        <f>IFERROR(__xludf.DUMMYFUNCTION("""COMPUTED_VALUE"""),"05/25/2025")</f>
        <v>05/25/2025</v>
      </c>
      <c r="AR181" s="1" t="str">
        <f>IFERROR(__xludf.DUMMYFUNCTION("""COMPUTED_VALUE"""),"02/19/2026")</f>
        <v>02/19/2026</v>
      </c>
    </row>
    <row r="182">
      <c r="A182" s="1" t="str">
        <f>IFERROR(__xludf.DUMMYFUNCTION("""COMPUTED_VALUE"""),"ATL Data Center")</f>
        <v>ATL Data Center</v>
      </c>
      <c r="B182" s="1" t="str">
        <f>IFERROR(__xludf.DUMMYFUNCTION("""COMPUTED_VALUE"""),"2380 Godby Park")</f>
        <v>2380 Godby Park</v>
      </c>
      <c r="C182" s="1" t="str">
        <f>IFERROR(__xludf.DUMMYFUNCTION("""COMPUTED_VALUE"""),"College Park")</f>
        <v>College Park</v>
      </c>
      <c r="D182" s="1" t="str">
        <f>IFERROR(__xludf.DUMMYFUNCTION("""COMPUTED_VALUE"""),"GA")</f>
        <v>GA</v>
      </c>
      <c r="E182" s="1" t="str">
        <f>IFERROR(__xludf.DUMMYFUNCTION("""COMPUTED_VALUE"""),"30349")</f>
        <v>30349</v>
      </c>
      <c r="F182" s="1" t="str">
        <f>IFERROR(__xludf.DUMMYFUNCTION("""COMPUTED_VALUE"""),"Fulton")</f>
        <v>Fulton</v>
      </c>
      <c r="G182" s="1" t="str">
        <f>IFERROR(__xludf.DUMMYFUNCTION("""COMPUTED_VALUE"""),"33.614918")</f>
        <v>33.614918</v>
      </c>
      <c r="H182" s="1" t="str">
        <f>IFERROR(__xludf.DUMMYFUNCTION("""COMPUTED_VALUE"""),"-84.467186")</f>
        <v>-84.467186</v>
      </c>
      <c r="I182" s="1" t="str">
        <f>IFERROR(__xludf.DUMMYFUNCTION("""COMPUTED_VALUE"""),"Operating")</f>
        <v>Operating</v>
      </c>
      <c r="J182" s="1" t="str">
        <f>IFERROR(__xludf.DUMMYFUNCTION("""COMPUTED_VALUE"""),"High")</f>
        <v>High</v>
      </c>
      <c r="K182" s="1" t="str">
        <f>IFERROR(__xludf.DUMMYFUNCTION("""COMPUTED_VALUE"""),"")</f>
        <v/>
      </c>
      <c r="L182" s="1" t="str">
        <f>IFERROR(__xludf.DUMMYFUNCTION("""COMPUTED_VALUE"""),"ATL Data Centers LLC")</f>
        <v>ATL Data Centers LLC</v>
      </c>
      <c r="M182" s="1" t="str">
        <f>IFERROR(__xludf.DUMMYFUNCTION("""COMPUTED_VALUE"""),"")</f>
        <v/>
      </c>
      <c r="N182" s="1" t="str">
        <f>IFERROR(__xludf.DUMMYFUNCTION("""COMPUTED_VALUE"""),"6")</f>
        <v>6</v>
      </c>
      <c r="O182" s="1" t="str">
        <f>IFERROR(__xludf.DUMMYFUNCTION("""COMPUTED_VALUE"""),"Small (0-10 MW)")</f>
        <v>Small (0-10 MW)</v>
      </c>
      <c r="P182" s="1" t="str">
        <f>IFERROR(__xludf.DUMMYFUNCTION("""COMPUTED_VALUE"""),"")</f>
        <v/>
      </c>
      <c r="Q182" s="1" t="str">
        <f>IFERROR(__xludf.DUMMYFUNCTION("""COMPUTED_VALUE"""),"")</f>
        <v/>
      </c>
      <c r="R182" s="1" t="str">
        <f>IFERROR(__xludf.DUMMYFUNCTION("""COMPUTED_VALUE"""),"")</f>
        <v/>
      </c>
      <c r="S182" s="1" t="str">
        <f>IFERROR(__xludf.DUMMYFUNCTION("""COMPUTED_VALUE"""),"")</f>
        <v/>
      </c>
      <c r="T182" s="1" t="str">
        <f>IFERROR(__xludf.DUMMYFUNCTION("""COMPUTED_VALUE"""),"")</f>
        <v/>
      </c>
      <c r="U182" s="1" t="str">
        <f>IFERROR(__xludf.DUMMYFUNCTION("""COMPUTED_VALUE"""),"")</f>
        <v/>
      </c>
      <c r="V182" s="1" t="str">
        <f>IFERROR(__xludf.DUMMYFUNCTION("""COMPUTED_VALUE"""),"40,000")</f>
        <v>40,000</v>
      </c>
      <c r="W182" s="1" t="str">
        <f>IFERROR(__xludf.DUMMYFUNCTION("""COMPUTED_VALUE"""),"")</f>
        <v/>
      </c>
      <c r="X182" s="1" t="str">
        <f>IFERROR(__xludf.DUMMYFUNCTION("""COMPUTED_VALUE"""),"")</f>
        <v/>
      </c>
      <c r="Y182" s="1" t="str">
        <f>IFERROR(__xludf.DUMMYFUNCTION("""COMPUTED_VALUE"""),"")</f>
        <v/>
      </c>
      <c r="Z182" s="1" t="str">
        <f>IFERROR(__xludf.DUMMYFUNCTION("""COMPUTED_VALUE"""),"Unknown")</f>
        <v>Unknown</v>
      </c>
      <c r="AA182" s="1" t="str">
        <f>IFERROR(__xludf.DUMMYFUNCTION("""COMPUTED_VALUE"""),"")</f>
        <v/>
      </c>
      <c r="AB182" s="1" t="str">
        <f>IFERROR(__xludf.DUMMYFUNCTION("""COMPUTED_VALUE"""),"")</f>
        <v/>
      </c>
      <c r="AC182" s="1" t="str">
        <f>IFERROR(__xludf.DUMMYFUNCTION("""COMPUTED_VALUE"""),"")</f>
        <v/>
      </c>
      <c r="AD182" s="1" t="str">
        <f>IFERROR(__xludf.DUMMYFUNCTION("""COMPUTED_VALUE"""),"")</f>
        <v/>
      </c>
      <c r="AE182" s="1" t="str">
        <f>IFERROR(__xludf.DUMMYFUNCTION("""COMPUTED_VALUE"""),"")</f>
        <v/>
      </c>
      <c r="AF182" s="1" t="str">
        <f>IFERROR(__xludf.DUMMYFUNCTION("""COMPUTED_VALUE"""),"")</f>
        <v/>
      </c>
      <c r="AG182" s="1" t="str">
        <f>IFERROR(__xludf.DUMMYFUNCTION("""COMPUTED_VALUE"""),"")</f>
        <v/>
      </c>
      <c r="AH182" s="1" t="str">
        <f>IFERROR(__xludf.DUMMYFUNCTION("""COMPUTED_VALUE"""),"Sci4GA")</f>
        <v>Sci4GA</v>
      </c>
      <c r="AI182" s="1" t="str">
        <f>IFERROR(__xludf.DUMMYFUNCTION("""COMPUTED_VALUE"""),"")</f>
        <v/>
      </c>
      <c r="AJ182" s="1" t="str">
        <f>IFERROR(__xludf.DUMMYFUNCTION("""COMPUTED_VALUE"""),"")</f>
        <v/>
      </c>
      <c r="AK182" s="1" t="str">
        <f>IFERROR(__xludf.DUMMYFUNCTION("""COMPUTED_VALUE"""),"")</f>
        <v/>
      </c>
      <c r="AL182" s="1" t="str">
        <f>IFERROR(__xludf.DUMMYFUNCTION("""COMPUTED_VALUE"""),"")</f>
        <v/>
      </c>
      <c r="AM182" s="1" t="str">
        <f>IFERROR(__xludf.DUMMYFUNCTION("""COMPUTED_VALUE"""),"")</f>
        <v/>
      </c>
      <c r="AN182" s="1" t="str">
        <f>IFERROR(__xludf.DUMMYFUNCTION("""COMPUTED_VALUE"""),"")</f>
        <v/>
      </c>
      <c r="AO182" s="1" t="str">
        <f>IFERROR(__xludf.DUMMYFUNCTION("""COMPUTED_VALUE"""),"")</f>
        <v/>
      </c>
      <c r="AP182" s="1" t="str">
        <f>IFERROR(__xludf.DUMMYFUNCTION("""COMPUTED_VALUE"""),"")</f>
        <v/>
      </c>
      <c r="AQ182" s="1" t="str">
        <f>IFERROR(__xludf.DUMMYFUNCTION("""COMPUTED_VALUE"""),"10/16/2025")</f>
        <v>10/16/2025</v>
      </c>
      <c r="AR182" s="1" t="str">
        <f>IFERROR(__xludf.DUMMYFUNCTION("""COMPUTED_VALUE"""),"10/16/2025")</f>
        <v>10/16/2025</v>
      </c>
    </row>
    <row r="183">
      <c r="A183" s="1" t="str">
        <f>IFERROR(__xludf.DUMMYFUNCTION("""COMPUTED_VALUE"""),"Lumen College Park")</f>
        <v>Lumen College Park</v>
      </c>
      <c r="B183" s="1" t="str">
        <f>IFERROR(__xludf.DUMMYFUNCTION("""COMPUTED_VALUE"""),"4311 Best Rd")</f>
        <v>4311 Best Rd</v>
      </c>
      <c r="C183" s="1" t="str">
        <f>IFERROR(__xludf.DUMMYFUNCTION("""COMPUTED_VALUE"""),"College Park")</f>
        <v>College Park</v>
      </c>
      <c r="D183" s="1" t="str">
        <f>IFERROR(__xludf.DUMMYFUNCTION("""COMPUTED_VALUE"""),"GA")</f>
        <v>GA</v>
      </c>
      <c r="E183" s="1" t="str">
        <f>IFERROR(__xludf.DUMMYFUNCTION("""COMPUTED_VALUE"""),"")</f>
        <v/>
      </c>
      <c r="F183" s="1" t="str">
        <f>IFERROR(__xludf.DUMMYFUNCTION("""COMPUTED_VALUE"""),"Fulton")</f>
        <v>Fulton</v>
      </c>
      <c r="G183" s="1" t="str">
        <f>IFERROR(__xludf.DUMMYFUNCTION("""COMPUTED_VALUE"""),"33.63764")</f>
        <v>33.63764</v>
      </c>
      <c r="H183" s="1" t="str">
        <f>IFERROR(__xludf.DUMMYFUNCTION("""COMPUTED_VALUE"""),"-84.458496")</f>
        <v>-84.458496</v>
      </c>
      <c r="I183" s="1" t="str">
        <f>IFERROR(__xludf.DUMMYFUNCTION("""COMPUTED_VALUE"""),"Operating")</f>
        <v>Operating</v>
      </c>
      <c r="J183" s="1" t="str">
        <f>IFERROR(__xludf.DUMMYFUNCTION("""COMPUTED_VALUE"""),"High")</f>
        <v>High</v>
      </c>
      <c r="K183" s="1" t="str">
        <f>IFERROR(__xludf.DUMMYFUNCTION("""COMPUTED_VALUE"""),"")</f>
        <v/>
      </c>
      <c r="L183" s="1" t="str">
        <f>IFERROR(__xludf.DUMMYFUNCTION("""COMPUTED_VALUE"""),"Lumen")</f>
        <v>Lumen</v>
      </c>
      <c r="M183" s="1" t="str">
        <f>IFERROR(__xludf.DUMMYFUNCTION("""COMPUTED_VALUE"""),"")</f>
        <v/>
      </c>
      <c r="N183" s="1" t="str">
        <f>IFERROR(__xludf.DUMMYFUNCTION("""COMPUTED_VALUE"""),"")</f>
        <v/>
      </c>
      <c r="O183" s="1" t="str">
        <f>IFERROR(__xludf.DUMMYFUNCTION("""COMPUTED_VALUE"""),"Unknown")</f>
        <v>Unknown</v>
      </c>
      <c r="P183" s="1" t="str">
        <f>IFERROR(__xludf.DUMMYFUNCTION("""COMPUTED_VALUE"""),"")</f>
        <v/>
      </c>
      <c r="Q183" s="1" t="str">
        <f>IFERROR(__xludf.DUMMYFUNCTION("""COMPUTED_VALUE"""),"")</f>
        <v/>
      </c>
      <c r="R183" s="1" t="str">
        <f>IFERROR(__xludf.DUMMYFUNCTION("""COMPUTED_VALUE"""),"")</f>
        <v/>
      </c>
      <c r="S183" s="1" t="str">
        <f>IFERROR(__xludf.DUMMYFUNCTION("""COMPUTED_VALUE"""),"")</f>
        <v/>
      </c>
      <c r="T183" s="1" t="str">
        <f>IFERROR(__xludf.DUMMYFUNCTION("""COMPUTED_VALUE"""),"")</f>
        <v/>
      </c>
      <c r="U183" s="1" t="str">
        <f>IFERROR(__xludf.DUMMYFUNCTION("""COMPUTED_VALUE"""),"")</f>
        <v/>
      </c>
      <c r="V183" s="1" t="str">
        <f>IFERROR(__xludf.DUMMYFUNCTION("""COMPUTED_VALUE"""),"")</f>
        <v/>
      </c>
      <c r="W183" s="1" t="str">
        <f>IFERROR(__xludf.DUMMYFUNCTION("""COMPUTED_VALUE"""),"")</f>
        <v/>
      </c>
      <c r="X183" s="1" t="str">
        <f>IFERROR(__xludf.DUMMYFUNCTION("""COMPUTED_VALUE"""),"")</f>
        <v/>
      </c>
      <c r="Y183" s="1" t="str">
        <f>IFERROR(__xludf.DUMMYFUNCTION("""COMPUTED_VALUE"""),"")</f>
        <v/>
      </c>
      <c r="Z183" s="1" t="str">
        <f>IFERROR(__xludf.DUMMYFUNCTION("""COMPUTED_VALUE"""),"Unknown")</f>
        <v>Unknown</v>
      </c>
      <c r="AA183" s="1" t="str">
        <f>IFERROR(__xludf.DUMMYFUNCTION("""COMPUTED_VALUE"""),"")</f>
        <v/>
      </c>
      <c r="AB183" s="1" t="str">
        <f>IFERROR(__xludf.DUMMYFUNCTION("""COMPUTED_VALUE"""),"")</f>
        <v/>
      </c>
      <c r="AC183" s="1" t="str">
        <f>IFERROR(__xludf.DUMMYFUNCTION("""COMPUTED_VALUE"""),"")</f>
        <v/>
      </c>
      <c r="AD183" s="1" t="str">
        <f>IFERROR(__xludf.DUMMYFUNCTION("""COMPUTED_VALUE"""),"")</f>
        <v/>
      </c>
      <c r="AE183" s="1" t="str">
        <f>IFERROR(__xludf.DUMMYFUNCTION("""COMPUTED_VALUE"""),"")</f>
        <v/>
      </c>
      <c r="AF183" s="1" t="str">
        <f>IFERROR(__xludf.DUMMYFUNCTION("""COMPUTED_VALUE"""),"")</f>
        <v/>
      </c>
      <c r="AG183" s="1" t="str">
        <f>IFERROR(__xludf.DUMMYFUNCTION("""COMPUTED_VALUE"""),"")</f>
        <v/>
      </c>
      <c r="AH183" s="1" t="str">
        <f>IFERROR(__xludf.DUMMYFUNCTION("""COMPUTED_VALUE"""),"Sci4GA")</f>
        <v>Sci4GA</v>
      </c>
      <c r="AI183" s="1" t="str">
        <f>IFERROR(__xludf.DUMMYFUNCTION("""COMPUTED_VALUE"""),"")</f>
        <v/>
      </c>
      <c r="AJ183" s="1" t="str">
        <f>IFERROR(__xludf.DUMMYFUNCTION("""COMPUTED_VALUE"""),"")</f>
        <v/>
      </c>
      <c r="AK183" s="1" t="str">
        <f>IFERROR(__xludf.DUMMYFUNCTION("""COMPUTED_VALUE"""),"")</f>
        <v/>
      </c>
      <c r="AL183" s="1" t="str">
        <f>IFERROR(__xludf.DUMMYFUNCTION("""COMPUTED_VALUE"""),"")</f>
        <v/>
      </c>
      <c r="AM183" s="1" t="str">
        <f>IFERROR(__xludf.DUMMYFUNCTION("""COMPUTED_VALUE"""),"")</f>
        <v/>
      </c>
      <c r="AN183" s="1" t="str">
        <f>IFERROR(__xludf.DUMMYFUNCTION("""COMPUTED_VALUE"""),"")</f>
        <v/>
      </c>
      <c r="AO183" s="1" t="str">
        <f>IFERROR(__xludf.DUMMYFUNCTION("""COMPUTED_VALUE"""),"")</f>
        <v/>
      </c>
      <c r="AP183" s="1" t="str">
        <f>IFERROR(__xludf.DUMMYFUNCTION("""COMPUTED_VALUE"""),"")</f>
        <v/>
      </c>
      <c r="AQ183" s="1" t="str">
        <f>IFERROR(__xludf.DUMMYFUNCTION("""COMPUTED_VALUE"""),"10/16/2025")</f>
        <v>10/16/2025</v>
      </c>
      <c r="AR183" s="1" t="str">
        <f>IFERROR(__xludf.DUMMYFUNCTION("""COMPUTED_VALUE"""),"10/16/2025")</f>
        <v>10/16/2025</v>
      </c>
    </row>
    <row r="184">
      <c r="A184" s="1" t="str">
        <f>IFERROR(__xludf.DUMMYFUNCTION("""COMPUTED_VALUE"""),"Microsoft Union City Data Center Campus")</f>
        <v>Microsoft Union City Data Center Campus</v>
      </c>
      <c r="B184" s="1" t="str">
        <f>IFERROR(__xludf.DUMMYFUNCTION("""COMPUTED_VALUE"""),"4810 Stonewall Tell Rd")</f>
        <v>4810 Stonewall Tell Rd</v>
      </c>
      <c r="C184" s="1" t="str">
        <f>IFERROR(__xludf.DUMMYFUNCTION("""COMPUTED_VALUE"""),"College Park")</f>
        <v>College Park</v>
      </c>
      <c r="D184" s="1" t="str">
        <f>IFERROR(__xludf.DUMMYFUNCTION("""COMPUTED_VALUE"""),"GA")</f>
        <v>GA</v>
      </c>
      <c r="E184" s="1" t="str">
        <f>IFERROR(__xludf.DUMMYFUNCTION("""COMPUTED_VALUE"""),"30349")</f>
        <v>30349</v>
      </c>
      <c r="F184" s="1" t="str">
        <f>IFERROR(__xludf.DUMMYFUNCTION("""COMPUTED_VALUE"""),"Fulton")</f>
        <v>Fulton</v>
      </c>
      <c r="G184" s="1" t="str">
        <f>IFERROR(__xludf.DUMMYFUNCTION("""COMPUTED_VALUE"""),"33.62499")</f>
        <v>33.62499</v>
      </c>
      <c r="H184" s="1" t="str">
        <f>IFERROR(__xludf.DUMMYFUNCTION("""COMPUTED_VALUE"""),"-84.56204")</f>
        <v>-84.56204</v>
      </c>
      <c r="I184" s="1" t="str">
        <f>IFERROR(__xludf.DUMMYFUNCTION("""COMPUTED_VALUE"""),"Approved/Permitted/Under construction")</f>
        <v>Approved/Permitted/Under construction</v>
      </c>
      <c r="J184" s="1" t="str">
        <f>IFERROR(__xludf.DUMMYFUNCTION("""COMPUTED_VALUE"""),"Medium")</f>
        <v>Medium</v>
      </c>
      <c r="K184" s="1" t="str">
        <f>IFERROR(__xludf.DUMMYFUNCTION("""COMPUTED_VALUE"""),"")</f>
        <v/>
      </c>
      <c r="L184" s="1" t="str">
        <f>IFERROR(__xludf.DUMMYFUNCTION("""COMPUTED_VALUE"""),"Microsoft")</f>
        <v>Microsoft</v>
      </c>
      <c r="M184" s="1" t="str">
        <f>IFERROR(__xludf.DUMMYFUNCTION("""COMPUTED_VALUE"""),"")</f>
        <v/>
      </c>
      <c r="N184" s="1" t="str">
        <f>IFERROR(__xludf.DUMMYFUNCTION("""COMPUTED_VALUE"""),"324")</f>
        <v>324</v>
      </c>
      <c r="O184" s="1" t="str">
        <f>IFERROR(__xludf.DUMMYFUNCTION("""COMPUTED_VALUE"""),"Hyperscale (100-999 MW)")</f>
        <v>Hyperscale (100-999 MW)</v>
      </c>
      <c r="P184" s="1" t="str">
        <f>IFERROR(__xludf.DUMMYFUNCTION("""COMPUTED_VALUE"""),"")</f>
        <v/>
      </c>
      <c r="Q184" s="1" t="str">
        <f>IFERROR(__xludf.DUMMYFUNCTION("""COMPUTED_VALUE"""),"")</f>
        <v/>
      </c>
      <c r="R184" s="1" t="str">
        <f>IFERROR(__xludf.DUMMYFUNCTION("""COMPUTED_VALUE"""),"")</f>
        <v/>
      </c>
      <c r="S184" s="1" t="str">
        <f>IFERROR(__xludf.DUMMYFUNCTION("""COMPUTED_VALUE"""),"")</f>
        <v/>
      </c>
      <c r="T184" s="1" t="str">
        <f>IFERROR(__xludf.DUMMYFUNCTION("""COMPUTED_VALUE"""),"")</f>
        <v/>
      </c>
      <c r="U184" s="1" t="str">
        <f>IFERROR(__xludf.DUMMYFUNCTION("""COMPUTED_VALUE"""),"")</f>
        <v/>
      </c>
      <c r="V184" s="1" t="str">
        <f>IFERROR(__xludf.DUMMYFUNCTION("""COMPUTED_VALUE"""),"2,100,000")</f>
        <v>2,100,000</v>
      </c>
      <c r="W184" s="1" t="str">
        <f>IFERROR(__xludf.DUMMYFUNCTION("""COMPUTED_VALUE"""),"")</f>
        <v/>
      </c>
      <c r="X184" s="1" t="str">
        <f>IFERROR(__xludf.DUMMYFUNCTION("""COMPUTED_VALUE"""),"")</f>
        <v/>
      </c>
      <c r="Y184" s="1" t="str">
        <f>IFERROR(__xludf.DUMMYFUNCTION("""COMPUTED_VALUE"""),"")</f>
        <v/>
      </c>
      <c r="Z184" s="1" t="str">
        <f>IFERROR(__xludf.DUMMYFUNCTION("""COMPUTED_VALUE"""),"Unknown")</f>
        <v>Unknown</v>
      </c>
      <c r="AA184" s="1" t="str">
        <f>IFERROR(__xludf.DUMMYFUNCTION("""COMPUTED_VALUE"""),"")</f>
        <v/>
      </c>
      <c r="AB184" s="1" t="str">
        <f>IFERROR(__xludf.DUMMYFUNCTION("""COMPUTED_VALUE"""),"")</f>
        <v/>
      </c>
      <c r="AC184" s="1" t="str">
        <f>IFERROR(__xludf.DUMMYFUNCTION("""COMPUTED_VALUE"""),"")</f>
        <v/>
      </c>
      <c r="AD184" s="1" t="str">
        <f>IFERROR(__xludf.DUMMYFUNCTION("""COMPUTED_VALUE"""),"")</f>
        <v/>
      </c>
      <c r="AE184" s="1" t="str">
        <f>IFERROR(__xludf.DUMMYFUNCTION("""COMPUTED_VALUE"""),"")</f>
        <v/>
      </c>
      <c r="AF184" s="1" t="str">
        <f>IFERROR(__xludf.DUMMYFUNCTION("""COMPUTED_VALUE"""),"")</f>
        <v/>
      </c>
      <c r="AG184" s="1" t="str">
        <f>IFERROR(__xludf.DUMMYFUNCTION("""COMPUTED_VALUE"""),"Developed by Burr Computer Environments")</f>
        <v>Developed by Burr Computer Environments</v>
      </c>
      <c r="AH184" s="1" t="str">
        <f>IFERROR(__xludf.DUMMYFUNCTION("""COMPUTED_VALUE"""),"Media Monitoring")</f>
        <v>Media Monitoring</v>
      </c>
      <c r="AI184" s="2" t="str">
        <f>IFERROR(__xludf.DUMMYFUNCTION("""COMPUTED_VALUE"""),"https://www.datacenterdynamics.com/en/news/21-million-sq-ft-data-center-campus-proposed-outside-atlanta-georgia/")</f>
        <v>https://www.datacenterdynamics.com/en/news/21-million-sq-ft-data-center-campus-proposed-outside-atlanta-georgia/</v>
      </c>
      <c r="AJ184" s="2" t="str">
        <f>IFERROR(__xludf.DUMMYFUNCTION("""COMPUTED_VALUE"""),"https://apps.dca.ga.gov/DRI/AppSummary.aspx?driid=4235")</f>
        <v>https://apps.dca.ga.gov/DRI/AppSummary.aspx?driid=4235</v>
      </c>
      <c r="AK184" s="2" t="str">
        <f>IFERROR(__xludf.DUMMYFUNCTION("""COMPUTED_VALUE"""),"https://www.datacenterfrontier.com/hyperscale/article/55126626/details-emerge-on-microsofts-18-billion-investment-in-atlanta-data-centers-amid-tax-development-wrangles")</f>
        <v>https://www.datacenterfrontier.com/hyperscale/article/55126626/details-emerge-on-microsofts-18-billion-investment-in-atlanta-data-centers-amid-tax-development-wrangles</v>
      </c>
      <c r="AL184" s="1" t="str">
        <f>IFERROR(__xludf.DUMMYFUNCTION("""COMPUTED_VALUE"""),"")</f>
        <v/>
      </c>
      <c r="AM184" s="1" t="str">
        <f>IFERROR(__xludf.DUMMYFUNCTION("""COMPUTED_VALUE"""),"")</f>
        <v/>
      </c>
      <c r="AN184" s="1" t="str">
        <f>IFERROR(__xludf.DUMMYFUNCTION("""COMPUTED_VALUE"""),"")</f>
        <v/>
      </c>
      <c r="AO184" s="1" t="str">
        <f>IFERROR(__xludf.DUMMYFUNCTION("""COMPUTED_VALUE"""),"")</f>
        <v/>
      </c>
      <c r="AP184" s="1" t="str">
        <f>IFERROR(__xludf.DUMMYFUNCTION("""COMPUTED_VALUE"""),"")</f>
        <v/>
      </c>
      <c r="AQ184" s="1" t="str">
        <f>IFERROR(__xludf.DUMMYFUNCTION("""COMPUTED_VALUE"""),"07/05/2025")</f>
        <v>07/05/2025</v>
      </c>
      <c r="AR184" s="1" t="str">
        <f>IFERROR(__xludf.DUMMYFUNCTION("""COMPUTED_VALUE"""),"07/05/2025")</f>
        <v>07/05/2025</v>
      </c>
    </row>
    <row r="185">
      <c r="A185" s="1" t="str">
        <f>IFERROR(__xludf.DUMMYFUNCTION("""COMPUTED_VALUE"""),"Stacks/College Park")</f>
        <v>Stacks/College Park</v>
      </c>
      <c r="B185" s="1" t="str">
        <f>IFERROR(__xludf.DUMMYFUNCTION("""COMPUTED_VALUE"""),"4380 Stacks Road")</f>
        <v>4380 Stacks Road</v>
      </c>
      <c r="C185" s="1" t="str">
        <f>IFERROR(__xludf.DUMMYFUNCTION("""COMPUTED_VALUE"""),"College Park")</f>
        <v>College Park</v>
      </c>
      <c r="D185" s="1" t="str">
        <f>IFERROR(__xludf.DUMMYFUNCTION("""COMPUTED_VALUE"""),"GA")</f>
        <v>GA</v>
      </c>
      <c r="E185" s="1" t="str">
        <f>IFERROR(__xludf.DUMMYFUNCTION("""COMPUTED_VALUE"""),"30349")</f>
        <v>30349</v>
      </c>
      <c r="F185" s="1" t="str">
        <f>IFERROR(__xludf.DUMMYFUNCTION("""COMPUTED_VALUE"""),"Fulton")</f>
        <v>Fulton</v>
      </c>
      <c r="G185" s="1" t="str">
        <f>IFERROR(__xludf.DUMMYFUNCTION("""COMPUTED_VALUE"""),"33.708233")</f>
        <v>33.708233</v>
      </c>
      <c r="H185" s="1" t="str">
        <f>IFERROR(__xludf.DUMMYFUNCTION("""COMPUTED_VALUE"""),"-84.52996")</f>
        <v>-84.52996</v>
      </c>
      <c r="I185" s="1" t="str">
        <f>IFERROR(__xludf.DUMMYFUNCTION("""COMPUTED_VALUE"""),"Operating")</f>
        <v>Operating</v>
      </c>
      <c r="J185" s="1" t="str">
        <f>IFERROR(__xludf.DUMMYFUNCTION("""COMPUTED_VALUE"""),"High")</f>
        <v>High</v>
      </c>
      <c r="K185" s="1" t="str">
        <f>IFERROR(__xludf.DUMMYFUNCTION("""COMPUTED_VALUE"""),"")</f>
        <v/>
      </c>
      <c r="L185" s="1" t="str">
        <f>IFERROR(__xludf.DUMMYFUNCTION("""COMPUTED_VALUE"""),"Vantage Data Centers")</f>
        <v>Vantage Data Centers</v>
      </c>
      <c r="M185" s="1" t="str">
        <f>IFERROR(__xludf.DUMMYFUNCTION("""COMPUTED_VALUE"""),"")</f>
        <v/>
      </c>
      <c r="N185" s="1" t="str">
        <f>IFERROR(__xludf.DUMMYFUNCTION("""COMPUTED_VALUE"""),"105")</f>
        <v>105</v>
      </c>
      <c r="O185" s="1" t="str">
        <f>IFERROR(__xludf.DUMMYFUNCTION("""COMPUTED_VALUE"""),"Hyperscale (100-999 MW)")</f>
        <v>Hyperscale (100-999 MW)</v>
      </c>
      <c r="P185" s="1" t="str">
        <f>IFERROR(__xludf.DUMMYFUNCTION("""COMPUTED_VALUE"""),"")</f>
        <v/>
      </c>
      <c r="Q185" s="1" t="str">
        <f>IFERROR(__xludf.DUMMYFUNCTION("""COMPUTED_VALUE"""),"")</f>
        <v/>
      </c>
      <c r="R185" s="1" t="str">
        <f>IFERROR(__xludf.DUMMYFUNCTION("""COMPUTED_VALUE"""),"")</f>
        <v/>
      </c>
      <c r="S185" s="1" t="str">
        <f>IFERROR(__xludf.DUMMYFUNCTION("""COMPUTED_VALUE"""),"")</f>
        <v/>
      </c>
      <c r="T185" s="1" t="str">
        <f>IFERROR(__xludf.DUMMYFUNCTION("""COMPUTED_VALUE"""),"")</f>
        <v/>
      </c>
      <c r="U185" s="1" t="str">
        <f>IFERROR(__xludf.DUMMYFUNCTION("""COMPUTED_VALUE"""),"")</f>
        <v/>
      </c>
      <c r="V185" s="1" t="str">
        <f>IFERROR(__xludf.DUMMYFUNCTION("""COMPUTED_VALUE"""),"696,981")</f>
        <v>696,981</v>
      </c>
      <c r="W185" s="1" t="str">
        <f>IFERROR(__xludf.DUMMYFUNCTION("""COMPUTED_VALUE"""),"")</f>
        <v/>
      </c>
      <c r="X185" s="1" t="str">
        <f>IFERROR(__xludf.DUMMYFUNCTION("""COMPUTED_VALUE"""),"")</f>
        <v/>
      </c>
      <c r="Y185" s="1" t="str">
        <f>IFERROR(__xludf.DUMMYFUNCTION("""COMPUTED_VALUE"""),"")</f>
        <v/>
      </c>
      <c r="Z185" s="1" t="str">
        <f>IFERROR(__xludf.DUMMYFUNCTION("""COMPUTED_VALUE"""),"Unknown")</f>
        <v>Unknown</v>
      </c>
      <c r="AA185" s="1" t="str">
        <f>IFERROR(__xludf.DUMMYFUNCTION("""COMPUTED_VALUE"""),"")</f>
        <v/>
      </c>
      <c r="AB185" s="1" t="str">
        <f>IFERROR(__xludf.DUMMYFUNCTION("""COMPUTED_VALUE"""),"")</f>
        <v/>
      </c>
      <c r="AC185" s="1" t="str">
        <f>IFERROR(__xludf.DUMMYFUNCTION("""COMPUTED_VALUE"""),"")</f>
        <v/>
      </c>
      <c r="AD185" s="1" t="str">
        <f>IFERROR(__xludf.DUMMYFUNCTION("""COMPUTED_VALUE"""),"")</f>
        <v/>
      </c>
      <c r="AE185" s="1" t="str">
        <f>IFERROR(__xludf.DUMMYFUNCTION("""COMPUTED_VALUE"""),"")</f>
        <v/>
      </c>
      <c r="AF185" s="1" t="str">
        <f>IFERROR(__xludf.DUMMYFUNCTION("""COMPUTED_VALUE"""),"")</f>
        <v/>
      </c>
      <c r="AG185" s="1" t="str">
        <f>IFERROR(__xludf.DUMMYFUNCTION("""COMPUTED_VALUE"""),"")</f>
        <v/>
      </c>
      <c r="AH185" s="1" t="str">
        <f>IFERROR(__xludf.DUMMYFUNCTION("""COMPUTED_VALUE"""),"Sci4GA")</f>
        <v>Sci4GA</v>
      </c>
      <c r="AI185" s="2" t="str">
        <f>IFERROR(__xludf.DUMMYFUNCTION("""COMPUTED_VALUE"""),"https://apps.dca.ga.gov/DRI/AppSummary.aspx?driid=4257")</f>
        <v>https://apps.dca.ga.gov/DRI/AppSummary.aspx?driid=4257</v>
      </c>
      <c r="AJ185" s="1" t="str">
        <f>IFERROR(__xludf.DUMMYFUNCTION("""COMPUTED_VALUE"""),"")</f>
        <v/>
      </c>
      <c r="AK185" s="1" t="str">
        <f>IFERROR(__xludf.DUMMYFUNCTION("""COMPUTED_VALUE"""),"")</f>
        <v/>
      </c>
      <c r="AL185" s="1" t="str">
        <f>IFERROR(__xludf.DUMMYFUNCTION("""COMPUTED_VALUE"""),"")</f>
        <v/>
      </c>
      <c r="AM185" s="1" t="str">
        <f>IFERROR(__xludf.DUMMYFUNCTION("""COMPUTED_VALUE"""),"")</f>
        <v/>
      </c>
      <c r="AN185" s="1" t="str">
        <f>IFERROR(__xludf.DUMMYFUNCTION("""COMPUTED_VALUE"""),"")</f>
        <v/>
      </c>
      <c r="AO185" s="1" t="str">
        <f>IFERROR(__xludf.DUMMYFUNCTION("""COMPUTED_VALUE"""),"")</f>
        <v/>
      </c>
      <c r="AP185" s="1" t="str">
        <f>IFERROR(__xludf.DUMMYFUNCTION("""COMPUTED_VALUE"""),"")</f>
        <v/>
      </c>
      <c r="AQ185" s="1" t="str">
        <f>IFERROR(__xludf.DUMMYFUNCTION("""COMPUTED_VALUE"""),"10/16/2025")</f>
        <v>10/16/2025</v>
      </c>
      <c r="AR185" s="1" t="str">
        <f>IFERROR(__xludf.DUMMYFUNCTION("""COMPUTED_VALUE"""),"04/24/2026")</f>
        <v>04/24/2026</v>
      </c>
    </row>
    <row r="186">
      <c r="A186" s="1" t="str">
        <f>IFERROR(__xludf.DUMMYFUNCTION("""COMPUTED_VALUE"""),"JMF IXP Farm Colombus")</f>
        <v>JMF IXP Farm Colombus</v>
      </c>
      <c r="B186" s="1" t="str">
        <f>IFERROR(__xludf.DUMMYFUNCTION("""COMPUTED_VALUE"""),"8 Corporate Ridge Pkwy")</f>
        <v>8 Corporate Ridge Pkwy</v>
      </c>
      <c r="C186" s="1" t="str">
        <f>IFERROR(__xludf.DUMMYFUNCTION("""COMPUTED_VALUE"""),"Columbus")</f>
        <v>Columbus</v>
      </c>
      <c r="D186" s="1" t="str">
        <f>IFERROR(__xludf.DUMMYFUNCTION("""COMPUTED_VALUE"""),"GA")</f>
        <v>GA</v>
      </c>
      <c r="E186" s="1" t="str">
        <f>IFERROR(__xludf.DUMMYFUNCTION("""COMPUTED_VALUE"""),"31907")</f>
        <v>31907</v>
      </c>
      <c r="F186" s="1" t="str">
        <f>IFERROR(__xludf.DUMMYFUNCTION("""COMPUTED_VALUE"""),"Muscogee")</f>
        <v>Muscogee</v>
      </c>
      <c r="G186" s="1" t="str">
        <f>IFERROR(__xludf.DUMMYFUNCTION("""COMPUTED_VALUE"""),"32.498444")</f>
        <v>32.498444</v>
      </c>
      <c r="H186" s="1" t="str">
        <f>IFERROR(__xludf.DUMMYFUNCTION("""COMPUTED_VALUE"""),"-84.883575")</f>
        <v>-84.883575</v>
      </c>
      <c r="I186" s="1" t="str">
        <f>IFERROR(__xludf.DUMMYFUNCTION("""COMPUTED_VALUE"""),"Operating")</f>
        <v>Operating</v>
      </c>
      <c r="J186" s="1" t="str">
        <f>IFERROR(__xludf.DUMMYFUNCTION("""COMPUTED_VALUE"""),"High")</f>
        <v>High</v>
      </c>
      <c r="K186" s="1" t="str">
        <f>IFERROR(__xludf.DUMMYFUNCTION("""COMPUTED_VALUE"""),"")</f>
        <v/>
      </c>
      <c r="L186" s="1" t="str">
        <f>IFERROR(__xludf.DUMMYFUNCTION("""COMPUTED_VALUE"""),"JMF Solutions")</f>
        <v>JMF Solutions</v>
      </c>
      <c r="M186" s="1" t="str">
        <f>IFERROR(__xludf.DUMMYFUNCTION("""COMPUTED_VALUE"""),"")</f>
        <v/>
      </c>
      <c r="N186" s="1" t="str">
        <f>IFERROR(__xludf.DUMMYFUNCTION("""COMPUTED_VALUE"""),"13")</f>
        <v>13</v>
      </c>
      <c r="O186" s="1" t="str">
        <f>IFERROR(__xludf.DUMMYFUNCTION("""COMPUTED_VALUE"""),"Medium (11-50 MW)")</f>
        <v>Medium (11-50 MW)</v>
      </c>
      <c r="P186" s="1" t="str">
        <f>IFERROR(__xludf.DUMMYFUNCTION("""COMPUTED_VALUE"""),"")</f>
        <v/>
      </c>
      <c r="Q186" s="1" t="str">
        <f>IFERROR(__xludf.DUMMYFUNCTION("""COMPUTED_VALUE"""),"")</f>
        <v/>
      </c>
      <c r="R186" s="1" t="str">
        <f>IFERROR(__xludf.DUMMYFUNCTION("""COMPUTED_VALUE"""),"")</f>
        <v/>
      </c>
      <c r="S186" s="1" t="str">
        <f>IFERROR(__xludf.DUMMYFUNCTION("""COMPUTED_VALUE"""),"")</f>
        <v/>
      </c>
      <c r="T186" s="1" t="str">
        <f>IFERROR(__xludf.DUMMYFUNCTION("""COMPUTED_VALUE"""),"")</f>
        <v/>
      </c>
      <c r="U186" s="1" t="str">
        <f>IFERROR(__xludf.DUMMYFUNCTION("""COMPUTED_VALUE"""),"")</f>
        <v/>
      </c>
      <c r="V186" s="1" t="str">
        <f>IFERROR(__xludf.DUMMYFUNCTION("""COMPUTED_VALUE"""),"50,000")</f>
        <v>50,000</v>
      </c>
      <c r="W186" s="1" t="str">
        <f>IFERROR(__xludf.DUMMYFUNCTION("""COMPUTED_VALUE"""),"")</f>
        <v/>
      </c>
      <c r="X186" s="1" t="str">
        <f>IFERROR(__xludf.DUMMYFUNCTION("""COMPUTED_VALUE"""),"")</f>
        <v/>
      </c>
      <c r="Y186" s="1" t="str">
        <f>IFERROR(__xludf.DUMMYFUNCTION("""COMPUTED_VALUE"""),"")</f>
        <v/>
      </c>
      <c r="Z186" s="1" t="str">
        <f>IFERROR(__xludf.DUMMYFUNCTION("""COMPUTED_VALUE"""),"Unknown")</f>
        <v>Unknown</v>
      </c>
      <c r="AA186" s="1" t="str">
        <f>IFERROR(__xludf.DUMMYFUNCTION("""COMPUTED_VALUE"""),"")</f>
        <v/>
      </c>
      <c r="AB186" s="1" t="str">
        <f>IFERROR(__xludf.DUMMYFUNCTION("""COMPUTED_VALUE"""),"")</f>
        <v/>
      </c>
      <c r="AC186" s="1" t="str">
        <f>IFERROR(__xludf.DUMMYFUNCTION("""COMPUTED_VALUE"""),"")</f>
        <v/>
      </c>
      <c r="AD186" s="1" t="str">
        <f>IFERROR(__xludf.DUMMYFUNCTION("""COMPUTED_VALUE"""),"")</f>
        <v/>
      </c>
      <c r="AE186" s="1" t="str">
        <f>IFERROR(__xludf.DUMMYFUNCTION("""COMPUTED_VALUE"""),"")</f>
        <v/>
      </c>
      <c r="AF186" s="1" t="str">
        <f>IFERROR(__xludf.DUMMYFUNCTION("""COMPUTED_VALUE"""),"")</f>
        <v/>
      </c>
      <c r="AG186" s="1" t="str">
        <f>IFERROR(__xludf.DUMMYFUNCTION("""COMPUTED_VALUE"""),"")</f>
        <v/>
      </c>
      <c r="AH186" s="1" t="str">
        <f>IFERROR(__xludf.DUMMYFUNCTION("""COMPUTED_VALUE"""),"Sci4GA")</f>
        <v>Sci4GA</v>
      </c>
      <c r="AI186" s="1" t="str">
        <f>IFERROR(__xludf.DUMMYFUNCTION("""COMPUTED_VALUE"""),"")</f>
        <v/>
      </c>
      <c r="AJ186" s="1" t="str">
        <f>IFERROR(__xludf.DUMMYFUNCTION("""COMPUTED_VALUE"""),"")</f>
        <v/>
      </c>
      <c r="AK186" s="1" t="str">
        <f>IFERROR(__xludf.DUMMYFUNCTION("""COMPUTED_VALUE"""),"")</f>
        <v/>
      </c>
      <c r="AL186" s="1" t="str">
        <f>IFERROR(__xludf.DUMMYFUNCTION("""COMPUTED_VALUE"""),"")</f>
        <v/>
      </c>
      <c r="AM186" s="1" t="str">
        <f>IFERROR(__xludf.DUMMYFUNCTION("""COMPUTED_VALUE"""),"")</f>
        <v/>
      </c>
      <c r="AN186" s="1" t="str">
        <f>IFERROR(__xludf.DUMMYFUNCTION("""COMPUTED_VALUE"""),"")</f>
        <v/>
      </c>
      <c r="AO186" s="1" t="str">
        <f>IFERROR(__xludf.DUMMYFUNCTION("""COMPUTED_VALUE"""),"")</f>
        <v/>
      </c>
      <c r="AP186" s="1" t="str">
        <f>IFERROR(__xludf.DUMMYFUNCTION("""COMPUTED_VALUE"""),"")</f>
        <v/>
      </c>
      <c r="AQ186" s="1" t="str">
        <f>IFERROR(__xludf.DUMMYFUNCTION("""COMPUTED_VALUE"""),"10/16/2025")</f>
        <v>10/16/2025</v>
      </c>
      <c r="AR186" s="1" t="str">
        <f>IFERROR(__xludf.DUMMYFUNCTION("""COMPUTED_VALUE"""),"10/16/2025")</f>
        <v>10/16/2025</v>
      </c>
    </row>
    <row r="187">
      <c r="A187" s="1" t="str">
        <f>IFERROR(__xludf.DUMMYFUNCTION("""COMPUTED_VALUE"""),"DC BLOX Atlanta East Campus")</f>
        <v>DC BLOX Atlanta East Campus</v>
      </c>
      <c r="B187" s="1" t="str">
        <f>IFERROR(__xludf.DUMMYFUNCTION("""COMPUTED_VALUE"""),"1726 Farmer Road")</f>
        <v>1726 Farmer Road</v>
      </c>
      <c r="C187" s="1" t="str">
        <f>IFERROR(__xludf.DUMMYFUNCTION("""COMPUTED_VALUE"""),"Conyers")</f>
        <v>Conyers</v>
      </c>
      <c r="D187" s="1" t="str">
        <f>IFERROR(__xludf.DUMMYFUNCTION("""COMPUTED_VALUE"""),"GA")</f>
        <v>GA</v>
      </c>
      <c r="E187" s="1" t="str">
        <f>IFERROR(__xludf.DUMMYFUNCTION("""COMPUTED_VALUE"""),"30012")</f>
        <v>30012</v>
      </c>
      <c r="F187" s="1" t="str">
        <f>IFERROR(__xludf.DUMMYFUNCTION("""COMPUTED_VALUE"""),"Rockdale")</f>
        <v>Rockdale</v>
      </c>
      <c r="G187" s="1" t="str">
        <f>IFERROR(__xludf.DUMMYFUNCTION("""COMPUTED_VALUE"""),"33.68936")</f>
        <v>33.68936</v>
      </c>
      <c r="H187" s="1" t="str">
        <f>IFERROR(__xludf.DUMMYFUNCTION("""COMPUTED_VALUE"""),"-84.04566")</f>
        <v>-84.04566</v>
      </c>
      <c r="I187" s="1" t="str">
        <f>IFERROR(__xludf.DUMMYFUNCTION("""COMPUTED_VALUE"""),"Approved/Permitted/Under construction")</f>
        <v>Approved/Permitted/Under construction</v>
      </c>
      <c r="J187" s="1" t="str">
        <f>IFERROR(__xludf.DUMMYFUNCTION("""COMPUTED_VALUE"""),"High")</f>
        <v>High</v>
      </c>
      <c r="K187" s="1" t="str">
        <f>IFERROR(__xludf.DUMMYFUNCTION("""COMPUTED_VALUE"""),"")</f>
        <v/>
      </c>
      <c r="L187" s="1" t="str">
        <f>IFERROR(__xludf.DUMMYFUNCTION("""COMPUTED_VALUE"""),"DC BLOX")</f>
        <v>DC BLOX</v>
      </c>
      <c r="M187" s="1" t="str">
        <f>IFERROR(__xludf.DUMMYFUNCTION("""COMPUTED_VALUE"""),"")</f>
        <v/>
      </c>
      <c r="N187" s="1" t="str">
        <f>IFERROR(__xludf.DUMMYFUNCTION("""COMPUTED_VALUE"""),"216")</f>
        <v>216</v>
      </c>
      <c r="O187" s="1" t="str">
        <f>IFERROR(__xludf.DUMMYFUNCTION("""COMPUTED_VALUE"""),"Hyperscale (100-999 MW)")</f>
        <v>Hyperscale (100-999 MW)</v>
      </c>
      <c r="P187" s="1" t="str">
        <f>IFERROR(__xludf.DUMMYFUNCTION("""COMPUTED_VALUE"""),"")</f>
        <v/>
      </c>
      <c r="Q187" s="1" t="str">
        <f>IFERROR(__xludf.DUMMYFUNCTION("""COMPUTED_VALUE"""),"")</f>
        <v/>
      </c>
      <c r="R187" s="1" t="str">
        <f>IFERROR(__xludf.DUMMYFUNCTION("""COMPUTED_VALUE"""),"")</f>
        <v/>
      </c>
      <c r="S187" s="1" t="str">
        <f>IFERROR(__xludf.DUMMYFUNCTION("""COMPUTED_VALUE"""),"")</f>
        <v/>
      </c>
      <c r="T187" s="1" t="str">
        <f>IFERROR(__xludf.DUMMYFUNCTION("""COMPUTED_VALUE"""),"")</f>
        <v/>
      </c>
      <c r="U187" s="1" t="str">
        <f>IFERROR(__xludf.DUMMYFUNCTION("""COMPUTED_VALUE"""),"")</f>
        <v/>
      </c>
      <c r="V187" s="1" t="str">
        <f>IFERROR(__xludf.DUMMYFUNCTION("""COMPUTED_VALUE"""),"1,016,828")</f>
        <v>1,016,828</v>
      </c>
      <c r="W187" s="1" t="str">
        <f>IFERROR(__xludf.DUMMYFUNCTION("""COMPUTED_VALUE"""),"68")</f>
        <v>68</v>
      </c>
      <c r="X187" s="1" t="str">
        <f>IFERROR(__xludf.DUMMYFUNCTION("""COMPUTED_VALUE"""),"")</f>
        <v/>
      </c>
      <c r="Y187" s="1" t="str">
        <f>IFERROR(__xludf.DUMMYFUNCTION("""COMPUTED_VALUE"""),"")</f>
        <v/>
      </c>
      <c r="Z187" s="1" t="str">
        <f>IFERROR(__xludf.DUMMYFUNCTION("""COMPUTED_VALUE"""),"Unknown")</f>
        <v>Unknown</v>
      </c>
      <c r="AA187" s="1" t="str">
        <f>IFERROR(__xludf.DUMMYFUNCTION("""COMPUTED_VALUE"""),"")</f>
        <v/>
      </c>
      <c r="AB187" s="1" t="str">
        <f>IFERROR(__xludf.DUMMYFUNCTION("""COMPUTED_VALUE"""),"")</f>
        <v/>
      </c>
      <c r="AC187" s="1" t="str">
        <f>IFERROR(__xludf.DUMMYFUNCTION("""COMPUTED_VALUE"""),"")</f>
        <v/>
      </c>
      <c r="AD187" s="1" t="str">
        <f>IFERROR(__xludf.DUMMYFUNCTION("""COMPUTED_VALUE"""),"")</f>
        <v/>
      </c>
      <c r="AE187" s="1" t="str">
        <f>IFERROR(__xludf.DUMMYFUNCTION("""COMPUTED_VALUE"""),"")</f>
        <v/>
      </c>
      <c r="AF187" s="1" t="str">
        <f>IFERROR(__xludf.DUMMYFUNCTION("""COMPUTED_VALUE"""),"")</f>
        <v/>
      </c>
      <c r="AG187" s="1" t="str">
        <f>IFERROR(__xludf.DUMMYFUNCTION("""COMPUTED_VALUE"""),"")</f>
        <v/>
      </c>
      <c r="AH187" s="1" t="str">
        <f>IFERROR(__xludf.DUMMYFUNCTION("""COMPUTED_VALUE"""),"Media Monitoring")</f>
        <v>Media Monitoring</v>
      </c>
      <c r="AI187" s="2" t="str">
        <f>IFERROR(__xludf.DUMMYFUNCTION("""COMPUTED_VALUE"""),"https://www.dcblox.com/data-centers/rockdale-county-ga-hyperscale-data-center-campus/")</f>
        <v>https://www.dcblox.com/data-centers/rockdale-county-ga-hyperscale-data-center-campus/</v>
      </c>
      <c r="AJ187" s="2" t="str">
        <f>IFERROR(__xludf.DUMMYFUNCTION("""COMPUTED_VALUE"""),"https://www.datacenterdynamics.com/en/news/dc-blox-secures-115bn-green-loan-for-atlanta-data-center-development/")</f>
        <v>https://www.datacenterdynamics.com/en/news/dc-blox-secures-115bn-green-loan-for-atlanta-data-center-development/</v>
      </c>
      <c r="AK187" s="1" t="str">
        <f>IFERROR(__xludf.DUMMYFUNCTION("""COMPUTED_VALUE"""),"")</f>
        <v/>
      </c>
      <c r="AL187" s="1" t="str">
        <f>IFERROR(__xludf.DUMMYFUNCTION("""COMPUTED_VALUE"""),"")</f>
        <v/>
      </c>
      <c r="AM187" s="1" t="str">
        <f>IFERROR(__xludf.DUMMYFUNCTION("""COMPUTED_VALUE"""),"")</f>
        <v/>
      </c>
      <c r="AN187" s="1" t="str">
        <f>IFERROR(__xludf.DUMMYFUNCTION("""COMPUTED_VALUE"""),"")</f>
        <v/>
      </c>
      <c r="AO187" s="1" t="str">
        <f>IFERROR(__xludf.DUMMYFUNCTION("""COMPUTED_VALUE"""),"")</f>
        <v/>
      </c>
      <c r="AP187" s="1" t="str">
        <f>IFERROR(__xludf.DUMMYFUNCTION("""COMPUTED_VALUE"""),"")</f>
        <v/>
      </c>
      <c r="AQ187" s="1" t="str">
        <f>IFERROR(__xludf.DUMMYFUNCTION("""COMPUTED_VALUE"""),"10/16/2025")</f>
        <v>10/16/2025</v>
      </c>
      <c r="AR187" s="1" t="str">
        <f>IFERROR(__xludf.DUMMYFUNCTION("""COMPUTED_VALUE"""),"10/16/2025")</f>
        <v>10/16/2025</v>
      </c>
    </row>
    <row r="188">
      <c r="A188" s="1" t="str">
        <f>IFERROR(__xludf.DUMMYFUNCTION("""COMPUTED_VALUE"""),"Rockdale Technology Park")</f>
        <v>Rockdale Technology Park</v>
      </c>
      <c r="B188" s="1" t="str">
        <f>IFERROR(__xludf.DUMMYFUNCTION("""COMPUTED_VALUE"""),"1975 Sigman Rd")</f>
        <v>1975 Sigman Rd</v>
      </c>
      <c r="C188" s="1" t="str">
        <f>IFERROR(__xludf.DUMMYFUNCTION("""COMPUTED_VALUE"""),"Conyers")</f>
        <v>Conyers</v>
      </c>
      <c r="D188" s="1" t="str">
        <f>IFERROR(__xludf.DUMMYFUNCTION("""COMPUTED_VALUE"""),"GA")</f>
        <v>GA</v>
      </c>
      <c r="E188" s="1" t="str">
        <f>IFERROR(__xludf.DUMMYFUNCTION("""COMPUTED_VALUE"""),"30012")</f>
        <v>30012</v>
      </c>
      <c r="F188" s="1" t="str">
        <f>IFERROR(__xludf.DUMMYFUNCTION("""COMPUTED_VALUE"""),"Rockdale")</f>
        <v>Rockdale</v>
      </c>
      <c r="G188" s="1" t="str">
        <f>IFERROR(__xludf.DUMMYFUNCTION("""COMPUTED_VALUE"""),"33.68682")</f>
        <v>33.68682</v>
      </c>
      <c r="H188" s="1" t="str">
        <f>IFERROR(__xludf.DUMMYFUNCTION("""COMPUTED_VALUE"""),"-84.05222")</f>
        <v>-84.05222</v>
      </c>
      <c r="I188" s="1" t="str">
        <f>IFERROR(__xludf.DUMMYFUNCTION("""COMPUTED_VALUE"""),"Proposed")</f>
        <v>Proposed</v>
      </c>
      <c r="J188" s="1" t="str">
        <f>IFERROR(__xludf.DUMMYFUNCTION("""COMPUTED_VALUE"""),"High")</f>
        <v>High</v>
      </c>
      <c r="K188" s="1" t="str">
        <f>IFERROR(__xludf.DUMMYFUNCTION("""COMPUTED_VALUE"""),"")</f>
        <v/>
      </c>
      <c r="L188" s="1" t="str">
        <f>IFERROR(__xludf.DUMMYFUNCTION("""COMPUTED_VALUE"""),"SDP Aquisitions LLC")</f>
        <v>SDP Aquisitions LLC</v>
      </c>
      <c r="M188" s="1" t="str">
        <f>IFERROR(__xludf.DUMMYFUNCTION("""COMPUTED_VALUE"""),"")</f>
        <v/>
      </c>
      <c r="N188" s="1" t="str">
        <f>IFERROR(__xludf.DUMMYFUNCTION("""COMPUTED_VALUE"""),"126")</f>
        <v>126</v>
      </c>
      <c r="O188" s="1" t="str">
        <f>IFERROR(__xludf.DUMMYFUNCTION("""COMPUTED_VALUE"""),"Hyperscale (100-999 MW)")</f>
        <v>Hyperscale (100-999 MW)</v>
      </c>
      <c r="P188" s="1" t="str">
        <f>IFERROR(__xludf.DUMMYFUNCTION("""COMPUTED_VALUE"""),"")</f>
        <v/>
      </c>
      <c r="Q188" s="1" t="str">
        <f>IFERROR(__xludf.DUMMYFUNCTION("""COMPUTED_VALUE"""),"")</f>
        <v/>
      </c>
      <c r="R188" s="1" t="str">
        <f>IFERROR(__xludf.DUMMYFUNCTION("""COMPUTED_VALUE"""),"")</f>
        <v/>
      </c>
      <c r="S188" s="1" t="str">
        <f>IFERROR(__xludf.DUMMYFUNCTION("""COMPUTED_VALUE"""),"")</f>
        <v/>
      </c>
      <c r="T188" s="1" t="str">
        <f>IFERROR(__xludf.DUMMYFUNCTION("""COMPUTED_VALUE"""),"")</f>
        <v/>
      </c>
      <c r="U188" s="1" t="str">
        <f>IFERROR(__xludf.DUMMYFUNCTION("""COMPUTED_VALUE"""),"")</f>
        <v/>
      </c>
      <c r="V188" s="1" t="str">
        <f>IFERROR(__xludf.DUMMYFUNCTION("""COMPUTED_VALUE"""),"837,500")</f>
        <v>837,500</v>
      </c>
      <c r="W188" s="1" t="str">
        <f>IFERROR(__xludf.DUMMYFUNCTION("""COMPUTED_VALUE"""),"")</f>
        <v/>
      </c>
      <c r="X188" s="1" t="str">
        <f>IFERROR(__xludf.DUMMYFUNCTION("""COMPUTED_VALUE"""),"")</f>
        <v/>
      </c>
      <c r="Y188" s="1" t="str">
        <f>IFERROR(__xludf.DUMMYFUNCTION("""COMPUTED_VALUE"""),"")</f>
        <v/>
      </c>
      <c r="Z188" s="1" t="str">
        <f>IFERROR(__xludf.DUMMYFUNCTION("""COMPUTED_VALUE"""),"Unknown")</f>
        <v>Unknown</v>
      </c>
      <c r="AA188" s="1" t="str">
        <f>IFERROR(__xludf.DUMMYFUNCTION("""COMPUTED_VALUE"""),"")</f>
        <v/>
      </c>
      <c r="AB188" s="1" t="str">
        <f>IFERROR(__xludf.DUMMYFUNCTION("""COMPUTED_VALUE"""),"")</f>
        <v/>
      </c>
      <c r="AC188" s="1" t="str">
        <f>IFERROR(__xludf.DUMMYFUNCTION("""COMPUTED_VALUE"""),"")</f>
        <v/>
      </c>
      <c r="AD188" s="1" t="str">
        <f>IFERROR(__xludf.DUMMYFUNCTION("""COMPUTED_VALUE"""),"")</f>
        <v/>
      </c>
      <c r="AE188" s="1" t="str">
        <f>IFERROR(__xludf.DUMMYFUNCTION("""COMPUTED_VALUE"""),"")</f>
        <v/>
      </c>
      <c r="AF188" s="1" t="str">
        <f>IFERROR(__xludf.DUMMYFUNCTION("""COMPUTED_VALUE"""),"")</f>
        <v/>
      </c>
      <c r="AG188" s="1" t="str">
        <f>IFERROR(__xludf.DUMMYFUNCTION("""COMPUTED_VALUE"""),"")</f>
        <v/>
      </c>
      <c r="AH188" s="1" t="str">
        <f>IFERROR(__xludf.DUMMYFUNCTION("""COMPUTED_VALUE"""),"Sci4GA")</f>
        <v>Sci4GA</v>
      </c>
      <c r="AI188" s="2" t="str">
        <f>IFERROR(__xludf.DUMMYFUNCTION("""COMPUTED_VALUE"""),"https://www.11alive.com/article/tech/metro-atlanta-data-center-proposed-53-acre-site/85-ac4c267f-95ad-4670-85c6-bdae1b9a337a")</f>
        <v>https://www.11alive.com/article/tech/metro-atlanta-data-center-proposed-53-acre-site/85-ac4c267f-95ad-4670-85c6-bdae1b9a337a</v>
      </c>
      <c r="AJ188" s="1" t="str">
        <f>IFERROR(__xludf.DUMMYFUNCTION("""COMPUTED_VALUE"""),"")</f>
        <v/>
      </c>
      <c r="AK188" s="1" t="str">
        <f>IFERROR(__xludf.DUMMYFUNCTION("""COMPUTED_VALUE"""),"")</f>
        <v/>
      </c>
      <c r="AL188" s="1" t="str">
        <f>IFERROR(__xludf.DUMMYFUNCTION("""COMPUTED_VALUE"""),"")</f>
        <v/>
      </c>
      <c r="AM188" s="1" t="str">
        <f>IFERROR(__xludf.DUMMYFUNCTION("""COMPUTED_VALUE"""),"")</f>
        <v/>
      </c>
      <c r="AN188" s="1" t="str">
        <f>IFERROR(__xludf.DUMMYFUNCTION("""COMPUTED_VALUE"""),"")</f>
        <v/>
      </c>
      <c r="AO188" s="1" t="str">
        <f>IFERROR(__xludf.DUMMYFUNCTION("""COMPUTED_VALUE"""),"")</f>
        <v/>
      </c>
      <c r="AP188" s="1" t="str">
        <f>IFERROR(__xludf.DUMMYFUNCTION("""COMPUTED_VALUE"""),"")</f>
        <v/>
      </c>
      <c r="AQ188" s="1" t="str">
        <f>IFERROR(__xludf.DUMMYFUNCTION("""COMPUTED_VALUE"""),"10/16/2025")</f>
        <v>10/16/2025</v>
      </c>
      <c r="AR188" s="1" t="str">
        <f>IFERROR(__xludf.DUMMYFUNCTION("""COMPUTED_VALUE"""),"10/16/2025")</f>
        <v>10/16/2025</v>
      </c>
    </row>
    <row r="189">
      <c r="A189" s="1" t="str">
        <f>IFERROR(__xludf.DUMMYFUNCTION("""COMPUTED_VALUE"""),"Project Splice")</f>
        <v>Project Splice</v>
      </c>
      <c r="B189" s="1" t="str">
        <f>IFERROR(__xludf.DUMMYFUNCTION("""COMPUTED_VALUE"""),"Old Nesbitt Rd")</f>
        <v>Old Nesbitt Rd</v>
      </c>
      <c r="C189" s="1" t="str">
        <f>IFERROR(__xludf.DUMMYFUNCTION("""COMPUTED_VALUE"""),"Cordele")</f>
        <v>Cordele</v>
      </c>
      <c r="D189" s="1" t="str">
        <f>IFERROR(__xludf.DUMMYFUNCTION("""COMPUTED_VALUE"""),"GA")</f>
        <v>GA</v>
      </c>
      <c r="E189" s="1" t="str">
        <f>IFERROR(__xludf.DUMMYFUNCTION("""COMPUTED_VALUE"""),"")</f>
        <v/>
      </c>
      <c r="F189" s="1" t="str">
        <f>IFERROR(__xludf.DUMMYFUNCTION("""COMPUTED_VALUE"""),"Crisp")</f>
        <v>Crisp</v>
      </c>
      <c r="G189" s="1" t="str">
        <f>IFERROR(__xludf.DUMMYFUNCTION("""COMPUTED_VALUE"""),"31.97113")</f>
        <v>31.97113</v>
      </c>
      <c r="H189" s="1" t="str">
        <f>IFERROR(__xludf.DUMMYFUNCTION("""COMPUTED_VALUE"""),"-83.7316")</f>
        <v>-83.7316</v>
      </c>
      <c r="I189" s="1" t="str">
        <f>IFERROR(__xludf.DUMMYFUNCTION("""COMPUTED_VALUE"""),"Proposed")</f>
        <v>Proposed</v>
      </c>
      <c r="J189" s="1" t="str">
        <f>IFERROR(__xludf.DUMMYFUNCTION("""COMPUTED_VALUE"""),"High")</f>
        <v>High</v>
      </c>
      <c r="K189" s="1" t="str">
        <f>IFERROR(__xludf.DUMMYFUNCTION("""COMPUTED_VALUE"""),"")</f>
        <v/>
      </c>
      <c r="L189" s="1" t="str">
        <f>IFERROR(__xludf.DUMMYFUNCTION("""COMPUTED_VALUE"""),"Red Wolf DCD")</f>
        <v>Red Wolf DCD</v>
      </c>
      <c r="M189" s="1" t="str">
        <f>IFERROR(__xludf.DUMMYFUNCTION("""COMPUTED_VALUE"""),"")</f>
        <v/>
      </c>
      <c r="N189" s="1" t="str">
        <f>IFERROR(__xludf.DUMMYFUNCTION("""COMPUTED_VALUE"""),"")</f>
        <v/>
      </c>
      <c r="O189" s="1" t="str">
        <f>IFERROR(__xludf.DUMMYFUNCTION("""COMPUTED_VALUE"""),"Unknown")</f>
        <v>Unknown</v>
      </c>
      <c r="P189" s="1" t="str">
        <f>IFERROR(__xludf.DUMMYFUNCTION("""COMPUTED_VALUE"""),"")</f>
        <v/>
      </c>
      <c r="Q189" s="1" t="str">
        <f>IFERROR(__xludf.DUMMYFUNCTION("""COMPUTED_VALUE"""),"")</f>
        <v/>
      </c>
      <c r="R189" s="1" t="str">
        <f>IFERROR(__xludf.DUMMYFUNCTION("""COMPUTED_VALUE"""),"")</f>
        <v/>
      </c>
      <c r="S189" s="1" t="str">
        <f>IFERROR(__xludf.DUMMYFUNCTION("""COMPUTED_VALUE"""),"7")</f>
        <v>7</v>
      </c>
      <c r="T189" s="1" t="str">
        <f>IFERROR(__xludf.DUMMYFUNCTION("""COMPUTED_VALUE"""),"")</f>
        <v/>
      </c>
      <c r="U189" s="1" t="str">
        <f>IFERROR(__xludf.DUMMYFUNCTION("""COMPUTED_VALUE"""),"")</f>
        <v/>
      </c>
      <c r="V189" s="1" t="str">
        <f>IFERROR(__xludf.DUMMYFUNCTION("""COMPUTED_VALUE"""),"2,100,000")</f>
        <v>2,100,000</v>
      </c>
      <c r="W189" s="1" t="str">
        <f>IFERROR(__xludf.DUMMYFUNCTION("""COMPUTED_VALUE"""),"")</f>
        <v/>
      </c>
      <c r="X189" s="1" t="str">
        <f>IFERROR(__xludf.DUMMYFUNCTION("""COMPUTED_VALUE"""),"$6 billion")</f>
        <v>$6 billion</v>
      </c>
      <c r="Y189" s="1" t="str">
        <f>IFERROR(__xludf.DUMMYFUNCTION("""COMPUTED_VALUE"""),"")</f>
        <v/>
      </c>
      <c r="Z189" s="1" t="str">
        <f>IFERROR(__xludf.DUMMYFUNCTION("""COMPUTED_VALUE"""),"Unknown")</f>
        <v>Unknown</v>
      </c>
      <c r="AA189" s="1" t="str">
        <f>IFERROR(__xludf.DUMMYFUNCTION("""COMPUTED_VALUE"""),"")</f>
        <v/>
      </c>
      <c r="AB189" s="1" t="str">
        <f>IFERROR(__xludf.DUMMYFUNCTION("""COMPUTED_VALUE"""),"")</f>
        <v/>
      </c>
      <c r="AC189" s="1" t="str">
        <f>IFERROR(__xludf.DUMMYFUNCTION("""COMPUTED_VALUE"""),"")</f>
        <v/>
      </c>
      <c r="AD189" s="1" t="str">
        <f>IFERROR(__xludf.DUMMYFUNCTION("""COMPUTED_VALUE"""),"")</f>
        <v/>
      </c>
      <c r="AE189" s="1" t="str">
        <f>IFERROR(__xludf.DUMMYFUNCTION("""COMPUTED_VALUE"""),"")</f>
        <v/>
      </c>
      <c r="AF189" s="1" t="str">
        <f>IFERROR(__xludf.DUMMYFUNCTION("""COMPUTED_VALUE"""),"")</f>
        <v/>
      </c>
      <c r="AG189" s="1" t="str">
        <f>IFERROR(__xludf.DUMMYFUNCTION("""COMPUTED_VALUE"""),"7 buildings plus substation")</f>
        <v>7 buildings plus substation</v>
      </c>
      <c r="AH189" s="1" t="str">
        <f>IFERROR(__xludf.DUMMYFUNCTION("""COMPUTED_VALUE"""),"Media Monitoring")</f>
        <v>Media Monitoring</v>
      </c>
      <c r="AI189" s="2" t="str">
        <f>IFERROR(__xludf.DUMMYFUNCTION("""COMPUTED_VALUE"""),"https://www.datacenterdynamics.com/en/news/21-million-sq-ft-technology-campus-proposed-in-southern-georgia/")</f>
        <v>https://www.datacenterdynamics.com/en/news/21-million-sq-ft-technology-campus-proposed-in-southern-georgia/</v>
      </c>
      <c r="AJ189" s="1" t="str">
        <f>IFERROR(__xludf.DUMMYFUNCTION("""COMPUTED_VALUE"""),"")</f>
        <v/>
      </c>
      <c r="AK189" s="1" t="str">
        <f>IFERROR(__xludf.DUMMYFUNCTION("""COMPUTED_VALUE"""),"")</f>
        <v/>
      </c>
      <c r="AL189" s="1" t="str">
        <f>IFERROR(__xludf.DUMMYFUNCTION("""COMPUTED_VALUE"""),"")</f>
        <v/>
      </c>
      <c r="AM189" s="1" t="str">
        <f>IFERROR(__xludf.DUMMYFUNCTION("""COMPUTED_VALUE"""),"")</f>
        <v/>
      </c>
      <c r="AN189" s="1" t="str">
        <f>IFERROR(__xludf.DUMMYFUNCTION("""COMPUTED_VALUE"""),"")</f>
        <v/>
      </c>
      <c r="AO189" s="1" t="str">
        <f>IFERROR(__xludf.DUMMYFUNCTION("""COMPUTED_VALUE"""),"")</f>
        <v/>
      </c>
      <c r="AP189" s="1" t="str">
        <f>IFERROR(__xludf.DUMMYFUNCTION("""COMPUTED_VALUE"""),"")</f>
        <v/>
      </c>
      <c r="AQ189" s="1" t="str">
        <f>IFERROR(__xludf.DUMMYFUNCTION("""COMPUTED_VALUE"""),"08/25/2025")</f>
        <v>08/25/2025</v>
      </c>
      <c r="AR189" s="1" t="str">
        <f>IFERROR(__xludf.DUMMYFUNCTION("""COMPUTED_VALUE"""),"08/25/2025")</f>
        <v>08/25/2025</v>
      </c>
    </row>
    <row r="190">
      <c r="A190" s="1" t="str">
        <f>IFERROR(__xludf.DUMMYFUNCTION("""COMPUTED_VALUE"""),"Amazon Covington Data Center")</f>
        <v>Amazon Covington Data Center</v>
      </c>
      <c r="B190" s="1" t="str">
        <f>IFERROR(__xludf.DUMMYFUNCTION("""COMPUTED_VALUE"""),"Alcovy Rd near Hwy 142")</f>
        <v>Alcovy Rd near Hwy 142</v>
      </c>
      <c r="C190" s="1" t="str">
        <f>IFERROR(__xludf.DUMMYFUNCTION("""COMPUTED_VALUE"""),"Covington")</f>
        <v>Covington</v>
      </c>
      <c r="D190" s="1" t="str">
        <f>IFERROR(__xludf.DUMMYFUNCTION("""COMPUTED_VALUE"""),"GA")</f>
        <v>GA</v>
      </c>
      <c r="E190" s="1" t="str">
        <f>IFERROR(__xludf.DUMMYFUNCTION("""COMPUTED_VALUE"""),"30014")</f>
        <v>30014</v>
      </c>
      <c r="F190" s="1" t="str">
        <f>IFERROR(__xludf.DUMMYFUNCTION("""COMPUTED_VALUE"""),"Newton")</f>
        <v>Newton</v>
      </c>
      <c r="G190" s="1" t="str">
        <f>IFERROR(__xludf.DUMMYFUNCTION("""COMPUTED_VALUE"""),"33.63342")</f>
        <v>33.63342</v>
      </c>
      <c r="H190" s="1" t="str">
        <f>IFERROR(__xludf.DUMMYFUNCTION("""COMPUTED_VALUE"""),"-83.833015")</f>
        <v>-83.833015</v>
      </c>
      <c r="I190" s="1" t="str">
        <f>IFERROR(__xludf.DUMMYFUNCTION("""COMPUTED_VALUE"""),"Approved/Permitted/Under construction")</f>
        <v>Approved/Permitted/Under construction</v>
      </c>
      <c r="J190" s="1" t="str">
        <f>IFERROR(__xludf.DUMMYFUNCTION("""COMPUTED_VALUE"""),"Medium")</f>
        <v>Medium</v>
      </c>
      <c r="K190" s="1" t="str">
        <f>IFERROR(__xludf.DUMMYFUNCTION("""COMPUTED_VALUE"""),"Hyperscale cloud data-center campus")</f>
        <v>Hyperscale cloud data-center campus</v>
      </c>
      <c r="L190" s="1" t="str">
        <f>IFERROR(__xludf.DUMMYFUNCTION("""COMPUTED_VALUE"""),"Amazon")</f>
        <v>Amazon</v>
      </c>
      <c r="M190" s="1" t="str">
        <f>IFERROR(__xludf.DUMMYFUNCTION("""COMPUTED_VALUE"""),"")</f>
        <v/>
      </c>
      <c r="N190" s="1" t="str">
        <f>IFERROR(__xludf.DUMMYFUNCTION("""COMPUTED_VALUE"""),"")</f>
        <v/>
      </c>
      <c r="O190" s="1" t="str">
        <f>IFERROR(__xludf.DUMMYFUNCTION("""COMPUTED_VALUE"""),"Hyperscale (100-999 MW)")</f>
        <v>Hyperscale (100-999 MW)</v>
      </c>
      <c r="P190" s="1" t="str">
        <f>IFERROR(__xludf.DUMMYFUNCTION("""COMPUTED_VALUE"""),"")</f>
        <v/>
      </c>
      <c r="Q190" s="1" t="str">
        <f>IFERROR(__xludf.DUMMYFUNCTION("""COMPUTED_VALUE"""),"")</f>
        <v/>
      </c>
      <c r="R190" s="1" t="str">
        <f>IFERROR(__xludf.DUMMYFUNCTION("""COMPUTED_VALUE"""),"")</f>
        <v/>
      </c>
      <c r="S190" s="1" t="str">
        <f>IFERROR(__xludf.DUMMYFUNCTION("""COMPUTED_VALUE"""),"")</f>
        <v/>
      </c>
      <c r="T190" s="1" t="str">
        <f>IFERROR(__xludf.DUMMYFUNCTION("""COMPUTED_VALUE"""),"")</f>
        <v/>
      </c>
      <c r="U190" s="1" t="str">
        <f>IFERROR(__xludf.DUMMYFUNCTION("""COMPUTED_VALUE"""),"")</f>
        <v/>
      </c>
      <c r="V190" s="1" t="str">
        <f>IFERROR(__xludf.DUMMYFUNCTION("""COMPUTED_VALUE"""),"")</f>
        <v/>
      </c>
      <c r="W190" s="1" t="str">
        <f>IFERROR(__xludf.DUMMYFUNCTION("""COMPUTED_VALUE"""),"")</f>
        <v/>
      </c>
      <c r="X190" s="1" t="str">
        <f>IFERROR(__xludf.DUMMYFUNCTION("""COMPUTED_VALUE"""),"$11 billion")</f>
        <v>$11 billion</v>
      </c>
      <c r="Y190" s="1" t="str">
        <f>IFERROR(__xludf.DUMMYFUNCTION("""COMPUTED_VALUE"""),"")</f>
        <v/>
      </c>
      <c r="Z190" s="1" t="str">
        <f>IFERROR(__xludf.DUMMYFUNCTION("""COMPUTED_VALUE"""),"Unknown")</f>
        <v>Unknown</v>
      </c>
      <c r="AA190" s="1" t="str">
        <f>IFERROR(__xludf.DUMMYFUNCTION("""COMPUTED_VALUE"""),"")</f>
        <v/>
      </c>
      <c r="AB190" s="1" t="str">
        <f>IFERROR(__xludf.DUMMYFUNCTION("""COMPUTED_VALUE"""),"")</f>
        <v/>
      </c>
      <c r="AC190" s="1" t="str">
        <f>IFERROR(__xludf.DUMMYFUNCTION("""COMPUTED_VALUE"""),"")</f>
        <v/>
      </c>
      <c r="AD190" s="1" t="str">
        <f>IFERROR(__xludf.DUMMYFUNCTION("""COMPUTED_VALUE"""),"")</f>
        <v/>
      </c>
      <c r="AE190" s="1" t="str">
        <f>IFERROR(__xludf.DUMMYFUNCTION("""COMPUTED_VALUE"""),"")</f>
        <v/>
      </c>
      <c r="AF190" s="1" t="str">
        <f>IFERROR(__xludf.DUMMYFUNCTION("""COMPUTED_VALUE"""),"")</f>
        <v/>
      </c>
      <c r="AG190" s="1" t="str">
        <f>IFERROR(__xludf.DUMMYFUNCTION("""COMPUTED_VALUE"""),"")</f>
        <v/>
      </c>
      <c r="AH190" s="1" t="str">
        <f>IFERROR(__xludf.DUMMYFUNCTION("""COMPUTED_VALUE"""),"Media Monitoring")</f>
        <v>Media Monitoring</v>
      </c>
      <c r="AI190" s="2" t="str">
        <f>IFERROR(__xludf.DUMMYFUNCTION("""COMPUTED_VALUE"""),"https://www.datacenterdynamics.com/en/news/aws-plans-data-center-in-covington-georgia/")</f>
        <v>https://www.datacenterdynamics.com/en/news/aws-plans-data-center-in-covington-georgia/</v>
      </c>
      <c r="AJ190" s="2" t="str">
        <f>IFERROR(__xludf.DUMMYFUNCTION("""COMPUTED_VALUE"""),"https://www.aboutamazon.com/news/aws/aws-investment-georgia-ai-cloud-infrastructure")</f>
        <v>https://www.aboutamazon.com/news/aws/aws-investment-georgia-ai-cloud-infrastructure</v>
      </c>
      <c r="AK190" s="2" t="str">
        <f>IFERROR(__xludf.DUMMYFUNCTION("""COMPUTED_VALUE"""),"https://w.media/aws-plans-new-data-center-in-georgia-usa/")</f>
        <v>https://w.media/aws-plans-new-data-center-in-georgia-usa/</v>
      </c>
      <c r="AL190" s="1" t="str">
        <f>IFERROR(__xludf.DUMMYFUNCTION("""COMPUTED_VALUE"""),"")</f>
        <v/>
      </c>
      <c r="AM190" s="1" t="str">
        <f>IFERROR(__xludf.DUMMYFUNCTION("""COMPUTED_VALUE"""),"")</f>
        <v/>
      </c>
      <c r="AN190" s="1" t="str">
        <f>IFERROR(__xludf.DUMMYFUNCTION("""COMPUTED_VALUE"""),"")</f>
        <v/>
      </c>
      <c r="AO190" s="1" t="str">
        <f>IFERROR(__xludf.DUMMYFUNCTION("""COMPUTED_VALUE"""),"")</f>
        <v/>
      </c>
      <c r="AP190" s="1" t="str">
        <f>IFERROR(__xludf.DUMMYFUNCTION("""COMPUTED_VALUE"""),"")</f>
        <v/>
      </c>
      <c r="AQ190" s="1" t="str">
        <f>IFERROR(__xludf.DUMMYFUNCTION("""COMPUTED_VALUE"""),"12/18/2025")</f>
        <v>12/18/2025</v>
      </c>
      <c r="AR190" s="1" t="str">
        <f>IFERROR(__xludf.DUMMYFUNCTION("""COMPUTED_VALUE"""),"02/19/2026")</f>
        <v>02/19/2026</v>
      </c>
    </row>
    <row r="191">
      <c r="A191" s="1" t="str">
        <f>IFERROR(__xludf.DUMMYFUNCTION("""COMPUTED_VALUE"""),"Project Lighthouse")</f>
        <v>Project Lighthouse</v>
      </c>
      <c r="B191" s="1" t="str">
        <f>IFERROR(__xludf.DUMMYFUNCTION("""COMPUTED_VALUE"""),"Off of Gregory Rd, near Flat Rock Rd")</f>
        <v>Off of Gregory Rd, near Flat Rock Rd</v>
      </c>
      <c r="C191" s="1" t="str">
        <f>IFERROR(__xludf.DUMMYFUNCTION("""COMPUTED_VALUE"""),"Covington")</f>
        <v>Covington</v>
      </c>
      <c r="D191" s="1" t="str">
        <f>IFERROR(__xludf.DUMMYFUNCTION("""COMPUTED_VALUE"""),"GA")</f>
        <v>GA</v>
      </c>
      <c r="E191" s="1" t="str">
        <f>IFERROR(__xludf.DUMMYFUNCTION("""COMPUTED_VALUE"""),"30014")</f>
        <v>30014</v>
      </c>
      <c r="F191" s="1" t="str">
        <f>IFERROR(__xludf.DUMMYFUNCTION("""COMPUTED_VALUE"""),"Newton")</f>
        <v>Newton</v>
      </c>
      <c r="G191" s="1" t="str">
        <f>IFERROR(__xludf.DUMMYFUNCTION("""COMPUTED_VALUE"""),"33.653538")</f>
        <v>33.653538</v>
      </c>
      <c r="H191" s="1" t="str">
        <f>IFERROR(__xludf.DUMMYFUNCTION("""COMPUTED_VALUE"""),"-83.81398")</f>
        <v>-83.81398</v>
      </c>
      <c r="I191" s="1" t="str">
        <f>IFERROR(__xludf.DUMMYFUNCTION("""COMPUTED_VALUE"""),"Proposed")</f>
        <v>Proposed</v>
      </c>
      <c r="J191" s="1" t="str">
        <f>IFERROR(__xludf.DUMMYFUNCTION("""COMPUTED_VALUE"""),"High")</f>
        <v>High</v>
      </c>
      <c r="K191" s="1" t="str">
        <f>IFERROR(__xludf.DUMMYFUNCTION("""COMPUTED_VALUE"""),"")</f>
        <v/>
      </c>
      <c r="L191" s="1" t="str">
        <f>IFERROR(__xludf.DUMMYFUNCTION("""COMPUTED_VALUE"""),"Universal Planning and Development LLC, JBW Investments, LLC data center")</f>
        <v>Universal Planning and Development LLC, JBW Investments, LLC data center</v>
      </c>
      <c r="M191" s="1" t="str">
        <f>IFERROR(__xludf.DUMMYFUNCTION("""COMPUTED_VALUE"""),"")</f>
        <v/>
      </c>
      <c r="N191" s="1" t="str">
        <f>IFERROR(__xludf.DUMMYFUNCTION("""COMPUTED_VALUE"""),"360")</f>
        <v>360</v>
      </c>
      <c r="O191" s="1" t="str">
        <f>IFERROR(__xludf.DUMMYFUNCTION("""COMPUTED_VALUE"""),"Hyperscale (100-999 MW)")</f>
        <v>Hyperscale (100-999 MW)</v>
      </c>
      <c r="P191" s="1" t="str">
        <f>IFERROR(__xludf.DUMMYFUNCTION("""COMPUTED_VALUE"""),"")</f>
        <v/>
      </c>
      <c r="Q191" s="1" t="str">
        <f>IFERROR(__xludf.DUMMYFUNCTION("""COMPUTED_VALUE"""),"")</f>
        <v/>
      </c>
      <c r="R191" s="1" t="str">
        <f>IFERROR(__xludf.DUMMYFUNCTION("""COMPUTED_VALUE"""),"")</f>
        <v/>
      </c>
      <c r="S191" s="1" t="str">
        <f>IFERROR(__xludf.DUMMYFUNCTION("""COMPUTED_VALUE"""),"")</f>
        <v/>
      </c>
      <c r="T191" s="1" t="str">
        <f>IFERROR(__xludf.DUMMYFUNCTION("""COMPUTED_VALUE"""),"")</f>
        <v/>
      </c>
      <c r="U191" s="1" t="str">
        <f>IFERROR(__xludf.DUMMYFUNCTION("""COMPUTED_VALUE"""),"")</f>
        <v/>
      </c>
      <c r="V191" s="1" t="str">
        <f>IFERROR(__xludf.DUMMYFUNCTION("""COMPUTED_VALUE"""),"1,410,000")</f>
        <v>1,410,000</v>
      </c>
      <c r="W191" s="1" t="str">
        <f>IFERROR(__xludf.DUMMYFUNCTION("""COMPUTED_VALUE"""),"213")</f>
        <v>213</v>
      </c>
      <c r="X191" s="1" t="str">
        <f>IFERROR(__xludf.DUMMYFUNCTION("""COMPUTED_VALUE"""),"$5.7 billion")</f>
        <v>$5.7 billion</v>
      </c>
      <c r="Y191" s="1" t="str">
        <f>IFERROR(__xludf.DUMMYFUNCTION("""COMPUTED_VALUE"""),"2027")</f>
        <v>2027</v>
      </c>
      <c r="Z191" s="1" t="str">
        <f>IFERROR(__xludf.DUMMYFUNCTION("""COMPUTED_VALUE"""),"Unknown")</f>
        <v>Unknown</v>
      </c>
      <c r="AA191" s="1" t="str">
        <f>IFERROR(__xludf.DUMMYFUNCTION("""COMPUTED_VALUE"""),"")</f>
        <v/>
      </c>
      <c r="AB191" s="1" t="str">
        <f>IFERROR(__xludf.DUMMYFUNCTION("""COMPUTED_VALUE"""),"")</f>
        <v/>
      </c>
      <c r="AC191" s="1" t="str">
        <f>IFERROR(__xludf.DUMMYFUNCTION("""COMPUTED_VALUE"""),"")</f>
        <v/>
      </c>
      <c r="AD191" s="1" t="str">
        <f>IFERROR(__xludf.DUMMYFUNCTION("""COMPUTED_VALUE"""),"")</f>
        <v/>
      </c>
      <c r="AE191" s="1" t="str">
        <f>IFERROR(__xludf.DUMMYFUNCTION("""COMPUTED_VALUE"""),"")</f>
        <v/>
      </c>
      <c r="AF191" s="1" t="str">
        <f>IFERROR(__xludf.DUMMYFUNCTION("""COMPUTED_VALUE"""),"")</f>
        <v/>
      </c>
      <c r="AG191" s="1" t="str">
        <f>IFERROR(__xludf.DUMMYFUNCTION("""COMPUTED_VALUE"""),"")</f>
        <v/>
      </c>
      <c r="AH191" s="1" t="str">
        <f>IFERROR(__xludf.DUMMYFUNCTION("""COMPUTED_VALUE"""),"Sci4GA")</f>
        <v>Sci4GA</v>
      </c>
      <c r="AI191" s="2" t="str">
        <f>IFERROR(__xludf.DUMMYFUNCTION("""COMPUTED_VALUE"""),"https://www.ajc.com/news/business/sprawling-data-center-campuses-proposed-south-and-east-of-atlanta/5QKZEN5W45GU5NCHUHGVYX4UUM/")</f>
        <v>https://www.ajc.com/news/business/sprawling-data-center-campuses-proposed-south-and-east-of-atlanta/5QKZEN5W45GU5NCHUHGVYX4UUM/</v>
      </c>
      <c r="AJ191" s="2" t="str">
        <f>IFERROR(__xludf.DUMMYFUNCTION("""COMPUTED_VALUE"""),"https://www.datacenterdynamics.com/en/news/plans-filed-for-14-million-sq-ft-data-center-campus-outside-atlanta-georgia/")</f>
        <v>https://www.datacenterdynamics.com/en/news/plans-filed-for-14-million-sq-ft-data-center-campus-outside-atlanta-georgia/</v>
      </c>
      <c r="AK191" s="2" t="str">
        <f>IFERROR(__xludf.DUMMYFUNCTION("""COMPUTED_VALUE"""),"https://www.datacenterdynamics.com/en/news/aws-plans-data-center-in-covington-georgia/")</f>
        <v>https://www.datacenterdynamics.com/en/news/aws-plans-data-center-in-covington-georgia/</v>
      </c>
      <c r="AL191" s="1" t="str">
        <f>IFERROR(__xludf.DUMMYFUNCTION("""COMPUTED_VALUE"""),"")</f>
        <v/>
      </c>
      <c r="AM191" s="1" t="str">
        <f>IFERROR(__xludf.DUMMYFUNCTION("""COMPUTED_VALUE"""),"")</f>
        <v/>
      </c>
      <c r="AN191" s="1" t="str">
        <f>IFERROR(__xludf.DUMMYFUNCTION("""COMPUTED_VALUE"""),"")</f>
        <v/>
      </c>
      <c r="AO191" s="1" t="str">
        <f>IFERROR(__xludf.DUMMYFUNCTION("""COMPUTED_VALUE"""),"")</f>
        <v/>
      </c>
      <c r="AP191" s="1" t="str">
        <f>IFERROR(__xludf.DUMMYFUNCTION("""COMPUTED_VALUE"""),"")</f>
        <v/>
      </c>
      <c r="AQ191" s="1" t="str">
        <f>IFERROR(__xludf.DUMMYFUNCTION("""COMPUTED_VALUE"""),"10/16/2025")</f>
        <v>10/16/2025</v>
      </c>
      <c r="AR191" s="1" t="str">
        <f>IFERROR(__xludf.DUMMYFUNCTION("""COMPUTED_VALUE"""),"12/18/2025")</f>
        <v>12/18/2025</v>
      </c>
    </row>
    <row r="192">
      <c r="A192" s="1" t="str">
        <f>IFERROR(__xludf.DUMMYFUNCTION("""COMPUTED_VALUE"""),"Serverfarm ATL2")</f>
        <v>Serverfarm ATL2</v>
      </c>
      <c r="B192" s="1" t="str">
        <f>IFERROR(__xludf.DUMMYFUNCTION("""COMPUTED_VALUE"""),"10835 Hazelbrand Rd NE")</f>
        <v>10835 Hazelbrand Rd NE</v>
      </c>
      <c r="C192" s="1" t="str">
        <f>IFERROR(__xludf.DUMMYFUNCTION("""COMPUTED_VALUE"""),"Covington")</f>
        <v>Covington</v>
      </c>
      <c r="D192" s="1" t="str">
        <f>IFERROR(__xludf.DUMMYFUNCTION("""COMPUTED_VALUE"""),"GA")</f>
        <v>GA</v>
      </c>
      <c r="E192" s="1" t="str">
        <f>IFERROR(__xludf.DUMMYFUNCTION("""COMPUTED_VALUE"""),"30014")</f>
        <v>30014</v>
      </c>
      <c r="F192" s="1" t="str">
        <f>IFERROR(__xludf.DUMMYFUNCTION("""COMPUTED_VALUE"""),"Newton")</f>
        <v>Newton</v>
      </c>
      <c r="G192" s="1" t="str">
        <f>IFERROR(__xludf.DUMMYFUNCTION("""COMPUTED_VALUE"""),"33.61121")</f>
        <v>33.61121</v>
      </c>
      <c r="H192" s="1" t="str">
        <f>IFERROR(__xludf.DUMMYFUNCTION("""COMPUTED_VALUE"""),"-83.83438")</f>
        <v>-83.83438</v>
      </c>
      <c r="I192" s="1" t="str">
        <f>IFERROR(__xludf.DUMMYFUNCTION("""COMPUTED_VALUE"""),"Operating")</f>
        <v>Operating</v>
      </c>
      <c r="J192" s="1" t="str">
        <f>IFERROR(__xludf.DUMMYFUNCTION("""COMPUTED_VALUE"""),"High")</f>
        <v>High</v>
      </c>
      <c r="K192" s="1" t="str">
        <f>IFERROR(__xludf.DUMMYFUNCTION("""COMPUTED_VALUE"""),"")</f>
        <v/>
      </c>
      <c r="L192" s="1" t="str">
        <f>IFERROR(__xludf.DUMMYFUNCTION("""COMPUTED_VALUE"""),"Severfarm")</f>
        <v>Severfarm</v>
      </c>
      <c r="M192" s="1" t="str">
        <f>IFERROR(__xludf.DUMMYFUNCTION("""COMPUTED_VALUE"""),"")</f>
        <v/>
      </c>
      <c r="N192" s="1" t="str">
        <f>IFERROR(__xludf.DUMMYFUNCTION("""COMPUTED_VALUE"""),"75")</f>
        <v>75</v>
      </c>
      <c r="O192" s="1" t="str">
        <f>IFERROR(__xludf.DUMMYFUNCTION("""COMPUTED_VALUE"""),"Large (51-99 MW)")</f>
        <v>Large (51-99 MW)</v>
      </c>
      <c r="P192" s="1" t="str">
        <f>IFERROR(__xludf.DUMMYFUNCTION("""COMPUTED_VALUE"""),"")</f>
        <v/>
      </c>
      <c r="Q192" s="1" t="str">
        <f>IFERROR(__xludf.DUMMYFUNCTION("""COMPUTED_VALUE"""),"")</f>
        <v/>
      </c>
      <c r="R192" s="1" t="str">
        <f>IFERROR(__xludf.DUMMYFUNCTION("""COMPUTED_VALUE"""),"")</f>
        <v/>
      </c>
      <c r="S192" s="1" t="str">
        <f>IFERROR(__xludf.DUMMYFUNCTION("""COMPUTED_VALUE"""),"")</f>
        <v/>
      </c>
      <c r="T192" s="1" t="str">
        <f>IFERROR(__xludf.DUMMYFUNCTION("""COMPUTED_VALUE"""),"")</f>
        <v/>
      </c>
      <c r="U192" s="1" t="str">
        <f>IFERROR(__xludf.DUMMYFUNCTION("""COMPUTED_VALUE"""),"")</f>
        <v/>
      </c>
      <c r="V192" s="1" t="str">
        <f>IFERROR(__xludf.DUMMYFUNCTION("""COMPUTED_VALUE"""),"498,960")</f>
        <v>498,960</v>
      </c>
      <c r="W192" s="1" t="str">
        <f>IFERROR(__xludf.DUMMYFUNCTION("""COMPUTED_VALUE"""),"")</f>
        <v/>
      </c>
      <c r="X192" s="1" t="str">
        <f>IFERROR(__xludf.DUMMYFUNCTION("""COMPUTED_VALUE"""),"")</f>
        <v/>
      </c>
      <c r="Y192" s="1" t="str">
        <f>IFERROR(__xludf.DUMMYFUNCTION("""COMPUTED_VALUE"""),"")</f>
        <v/>
      </c>
      <c r="Z192" s="1" t="str">
        <f>IFERROR(__xludf.DUMMYFUNCTION("""COMPUTED_VALUE"""),"Unknown")</f>
        <v>Unknown</v>
      </c>
      <c r="AA192" s="1" t="str">
        <f>IFERROR(__xludf.DUMMYFUNCTION("""COMPUTED_VALUE"""),"")</f>
        <v/>
      </c>
      <c r="AB192" s="1" t="str">
        <f>IFERROR(__xludf.DUMMYFUNCTION("""COMPUTED_VALUE"""),"")</f>
        <v/>
      </c>
      <c r="AC192" s="1" t="str">
        <f>IFERROR(__xludf.DUMMYFUNCTION("""COMPUTED_VALUE"""),"")</f>
        <v/>
      </c>
      <c r="AD192" s="1" t="str">
        <f>IFERROR(__xludf.DUMMYFUNCTION("""COMPUTED_VALUE"""),"")</f>
        <v/>
      </c>
      <c r="AE192" s="1" t="str">
        <f>IFERROR(__xludf.DUMMYFUNCTION("""COMPUTED_VALUE"""),"")</f>
        <v/>
      </c>
      <c r="AF192" s="1" t="str">
        <f>IFERROR(__xludf.DUMMYFUNCTION("""COMPUTED_VALUE"""),"")</f>
        <v/>
      </c>
      <c r="AG192" s="1" t="str">
        <f>IFERROR(__xludf.DUMMYFUNCTION("""COMPUTED_VALUE"""),"As of Dec 2025 VoltaGrid has applied to install 33 reciprocating internal combustion engines, or RICE generator units, meant to function 24/7 as the primary power source for this data center")</f>
        <v>As of Dec 2025 VoltaGrid has applied to install 33 reciprocating internal combustion engines, or RICE generator units, meant to function 24/7 as the primary power source for this data center</v>
      </c>
      <c r="AH192" s="1" t="str">
        <f>IFERROR(__xludf.DUMMYFUNCTION("""COMPUTED_VALUE"""),"Sci4GA")</f>
        <v>Sci4GA</v>
      </c>
      <c r="AI192" s="2" t="str">
        <f>IFERROR(__xludf.DUMMYFUNCTION("""COMPUTED_VALUE"""),"https://www.datacenterdynamics.com/en/news/serverfarm-plans-natural-gas-powered-data-center-in-georgia/")</f>
        <v>https://www.datacenterdynamics.com/en/news/serverfarm-plans-natural-gas-powered-data-center-in-georgia/</v>
      </c>
      <c r="AJ192" s="2" t="str">
        <f>IFERROR(__xludf.DUMMYFUNCTION("""COMPUTED_VALUE"""),"https://www.timesfreepress.com/news/2025/dec/22/a-new-georgia-data-center-could-be-powered-by/")</f>
        <v>https://www.timesfreepress.com/news/2025/dec/22/a-new-georgia-data-center-could-be-powered-by/</v>
      </c>
      <c r="AK192" s="1" t="str">
        <f>IFERROR(__xludf.DUMMYFUNCTION("""COMPUTED_VALUE"""),"")</f>
        <v/>
      </c>
      <c r="AL192" s="1" t="str">
        <f>IFERROR(__xludf.DUMMYFUNCTION("""COMPUTED_VALUE"""),"")</f>
        <v/>
      </c>
      <c r="AM192" s="1" t="str">
        <f>IFERROR(__xludf.DUMMYFUNCTION("""COMPUTED_VALUE"""),"")</f>
        <v/>
      </c>
      <c r="AN192" s="1" t="str">
        <f>IFERROR(__xludf.DUMMYFUNCTION("""COMPUTED_VALUE"""),"")</f>
        <v/>
      </c>
      <c r="AO192" s="1" t="str">
        <f>IFERROR(__xludf.DUMMYFUNCTION("""COMPUTED_VALUE"""),"")</f>
        <v/>
      </c>
      <c r="AP192" s="1" t="str">
        <f>IFERROR(__xludf.DUMMYFUNCTION("""COMPUTED_VALUE"""),"")</f>
        <v/>
      </c>
      <c r="AQ192" s="1" t="str">
        <f>IFERROR(__xludf.DUMMYFUNCTION("""COMPUTED_VALUE"""),"10/16/2025")</f>
        <v>10/16/2025</v>
      </c>
      <c r="AR192" s="1" t="str">
        <f>IFERROR(__xludf.DUMMYFUNCTION("""COMPUTED_VALUE"""),"01/04/2025")</f>
        <v>01/04/2025</v>
      </c>
    </row>
    <row r="193">
      <c r="A193" s="1" t="str">
        <f>IFERROR(__xludf.DUMMYFUNCTION("""COMPUTED_VALUE"""),"CORE DALTON 4")</f>
        <v>CORE DALTON 4</v>
      </c>
      <c r="B193" s="1" t="str">
        <f>IFERROR(__xludf.DUMMYFUNCTION("""COMPUTED_VALUE"""),"2768 Old Tilton Rd")</f>
        <v>2768 Old Tilton Rd</v>
      </c>
      <c r="C193" s="1" t="str">
        <f>IFERROR(__xludf.DUMMYFUNCTION("""COMPUTED_VALUE"""),"Dalton")</f>
        <v>Dalton</v>
      </c>
      <c r="D193" s="1" t="str">
        <f>IFERROR(__xludf.DUMMYFUNCTION("""COMPUTED_VALUE"""),"GA")</f>
        <v>GA</v>
      </c>
      <c r="E193" s="1" t="str">
        <f>IFERROR(__xludf.DUMMYFUNCTION("""COMPUTED_VALUE"""),"")</f>
        <v/>
      </c>
      <c r="F193" s="1" t="str">
        <f>IFERROR(__xludf.DUMMYFUNCTION("""COMPUTED_VALUE"""),"Whitfield")</f>
        <v>Whitfield</v>
      </c>
      <c r="G193" s="1" t="str">
        <f>IFERROR(__xludf.DUMMYFUNCTION("""COMPUTED_VALUE"""),"34.68098")</f>
        <v>34.68098</v>
      </c>
      <c r="H193" s="1" t="str">
        <f>IFERROR(__xludf.DUMMYFUNCTION("""COMPUTED_VALUE"""),"-84.94408")</f>
        <v>-84.94408</v>
      </c>
      <c r="I193" s="1" t="str">
        <f>IFERROR(__xludf.DUMMYFUNCTION("""COMPUTED_VALUE"""),"Proposed")</f>
        <v>Proposed</v>
      </c>
      <c r="J193" s="1" t="str">
        <f>IFERROR(__xludf.DUMMYFUNCTION("""COMPUTED_VALUE"""),"High")</f>
        <v>High</v>
      </c>
      <c r="K193" s="1" t="str">
        <f>IFERROR(__xludf.DUMMYFUNCTION("""COMPUTED_VALUE"""),"")</f>
        <v/>
      </c>
      <c r="L193" s="1" t="str">
        <f>IFERROR(__xludf.DUMMYFUNCTION("""COMPUTED_VALUE"""),"Core Scientific")</f>
        <v>Core Scientific</v>
      </c>
      <c r="M193" s="1" t="str">
        <f>IFERROR(__xludf.DUMMYFUNCTION("""COMPUTED_VALUE"""),"")</f>
        <v/>
      </c>
      <c r="N193" s="1" t="str">
        <f>IFERROR(__xludf.DUMMYFUNCTION("""COMPUTED_VALUE"""),"")</f>
        <v/>
      </c>
      <c r="O193" s="1" t="str">
        <f>IFERROR(__xludf.DUMMYFUNCTION("""COMPUTED_VALUE"""),"Unknown")</f>
        <v>Unknown</v>
      </c>
      <c r="P193" s="1" t="str">
        <f>IFERROR(__xludf.DUMMYFUNCTION("""COMPUTED_VALUE"""),"")</f>
        <v/>
      </c>
      <c r="Q193" s="1" t="str">
        <f>IFERROR(__xludf.DUMMYFUNCTION("""COMPUTED_VALUE"""),"")</f>
        <v/>
      </c>
      <c r="R193" s="1" t="str">
        <f>IFERROR(__xludf.DUMMYFUNCTION("""COMPUTED_VALUE"""),"")</f>
        <v/>
      </c>
      <c r="S193" s="1" t="str">
        <f>IFERROR(__xludf.DUMMYFUNCTION("""COMPUTED_VALUE"""),"")</f>
        <v/>
      </c>
      <c r="T193" s="1" t="str">
        <f>IFERROR(__xludf.DUMMYFUNCTION("""COMPUTED_VALUE"""),"")</f>
        <v/>
      </c>
      <c r="U193" s="1" t="str">
        <f>IFERROR(__xludf.DUMMYFUNCTION("""COMPUTED_VALUE"""),"")</f>
        <v/>
      </c>
      <c r="V193" s="1" t="str">
        <f>IFERROR(__xludf.DUMMYFUNCTION("""COMPUTED_VALUE"""),"435,600")</f>
        <v>435,600</v>
      </c>
      <c r="W193" s="1" t="str">
        <f>IFERROR(__xludf.DUMMYFUNCTION("""COMPUTED_VALUE"""),"")</f>
        <v/>
      </c>
      <c r="X193" s="1" t="str">
        <f>IFERROR(__xludf.DUMMYFUNCTION("""COMPUTED_VALUE"""),"")</f>
        <v/>
      </c>
      <c r="Y193" s="1" t="str">
        <f>IFERROR(__xludf.DUMMYFUNCTION("""COMPUTED_VALUE"""),"")</f>
        <v/>
      </c>
      <c r="Z193" s="1" t="str">
        <f>IFERROR(__xludf.DUMMYFUNCTION("""COMPUTED_VALUE"""),"Unknown")</f>
        <v>Unknown</v>
      </c>
      <c r="AA193" s="1" t="str">
        <f>IFERROR(__xludf.DUMMYFUNCTION("""COMPUTED_VALUE"""),"")</f>
        <v/>
      </c>
      <c r="AB193" s="1" t="str">
        <f>IFERROR(__xludf.DUMMYFUNCTION("""COMPUTED_VALUE"""),"")</f>
        <v/>
      </c>
      <c r="AC193" s="1" t="str">
        <f>IFERROR(__xludf.DUMMYFUNCTION("""COMPUTED_VALUE"""),"")</f>
        <v/>
      </c>
      <c r="AD193" s="1" t="str">
        <f>IFERROR(__xludf.DUMMYFUNCTION("""COMPUTED_VALUE"""),"")</f>
        <v/>
      </c>
      <c r="AE193" s="1" t="str">
        <f>IFERROR(__xludf.DUMMYFUNCTION("""COMPUTED_VALUE"""),"")</f>
        <v/>
      </c>
      <c r="AF193" s="1" t="str">
        <f>IFERROR(__xludf.DUMMYFUNCTION("""COMPUTED_VALUE"""),"")</f>
        <v/>
      </c>
      <c r="AG193" s="1" t="str">
        <f>IFERROR(__xludf.DUMMYFUNCTION("""COMPUTED_VALUE"""),"")</f>
        <v/>
      </c>
      <c r="AH193" s="1" t="str">
        <f>IFERROR(__xludf.DUMMYFUNCTION("""COMPUTED_VALUE"""),"Sci4GA")</f>
        <v>Sci4GA</v>
      </c>
      <c r="AI193" s="2" t="str">
        <f>IFERROR(__xludf.DUMMYFUNCTION("""COMPUTED_VALUE"""),"https://newschannel9.com/news/local/ai-data-center-to-occupy-10-acres-in-dalton-residents-worry-about-noise-and-disruption?fbclid=IwZXh0bgNhZW0CMTEAAR0qBKoGaPqCaC-SeXxvrxOiIw21X6S2k_Xwys5N4RXZP9MubzNyzEE1q9A_aem_GychPh4WLqAOKhyPihISPQ#")</f>
        <v>https://newschannel9.com/news/local/ai-data-center-to-occupy-10-acres-in-dalton-residents-worry-about-noise-and-disruption?fbclid=IwZXh0bgNhZW0CMTEAAR0qBKoGaPqCaC-SeXxvrxOiIw21X6S2k_Xwys5N4RXZP9MubzNyzEE1q9A_aem_GychPh4WLqAOKhyPihISPQ#</v>
      </c>
      <c r="AJ193" s="1" t="str">
        <f>IFERROR(__xludf.DUMMYFUNCTION("""COMPUTED_VALUE"""),"")</f>
        <v/>
      </c>
      <c r="AK193" s="1" t="str">
        <f>IFERROR(__xludf.DUMMYFUNCTION("""COMPUTED_VALUE"""),"")</f>
        <v/>
      </c>
      <c r="AL193" s="1" t="str">
        <f>IFERROR(__xludf.DUMMYFUNCTION("""COMPUTED_VALUE"""),"")</f>
        <v/>
      </c>
      <c r="AM193" s="1" t="str">
        <f>IFERROR(__xludf.DUMMYFUNCTION("""COMPUTED_VALUE"""),"")</f>
        <v/>
      </c>
      <c r="AN193" s="1" t="str">
        <f>IFERROR(__xludf.DUMMYFUNCTION("""COMPUTED_VALUE"""),"")</f>
        <v/>
      </c>
      <c r="AO193" s="1" t="str">
        <f>IFERROR(__xludf.DUMMYFUNCTION("""COMPUTED_VALUE"""),"")</f>
        <v/>
      </c>
      <c r="AP193" s="1" t="str">
        <f>IFERROR(__xludf.DUMMYFUNCTION("""COMPUTED_VALUE"""),"")</f>
        <v/>
      </c>
      <c r="AQ193" s="1" t="str">
        <f>IFERROR(__xludf.DUMMYFUNCTION("""COMPUTED_VALUE"""),"10/16/2025")</f>
        <v>10/16/2025</v>
      </c>
      <c r="AR193" s="1" t="str">
        <f>IFERROR(__xludf.DUMMYFUNCTION("""COMPUTED_VALUE"""),"10/16/2025")</f>
        <v>10/16/2025</v>
      </c>
    </row>
    <row r="194">
      <c r="A194" s="1" t="str">
        <f>IFERROR(__xludf.DUMMYFUNCTION("""COMPUTED_VALUE"""),"Core Scientific")</f>
        <v>Core Scientific</v>
      </c>
      <c r="B194" s="1" t="str">
        <f>IFERROR(__xludf.DUMMYFUNCTION("""COMPUTED_VALUE"""),"Old Tilton Rd")</f>
        <v>Old Tilton Rd</v>
      </c>
      <c r="C194" s="1" t="str">
        <f>IFERROR(__xludf.DUMMYFUNCTION("""COMPUTED_VALUE"""),"Dalton")</f>
        <v>Dalton</v>
      </c>
      <c r="D194" s="1" t="str">
        <f>IFERROR(__xludf.DUMMYFUNCTION("""COMPUTED_VALUE"""),"GA")</f>
        <v>GA</v>
      </c>
      <c r="E194" s="1" t="str">
        <f>IFERROR(__xludf.DUMMYFUNCTION("""COMPUTED_VALUE"""),"30721")</f>
        <v>30721</v>
      </c>
      <c r="F194" s="1" t="str">
        <f>IFERROR(__xludf.DUMMYFUNCTION("""COMPUTED_VALUE"""),"Whitfield")</f>
        <v>Whitfield</v>
      </c>
      <c r="G194" s="1" t="str">
        <f>IFERROR(__xludf.DUMMYFUNCTION("""COMPUTED_VALUE"""),"34.6883")</f>
        <v>34.6883</v>
      </c>
      <c r="H194" s="1" t="str">
        <f>IFERROR(__xludf.DUMMYFUNCTION("""COMPUTED_VALUE"""),"-84.9408")</f>
        <v>-84.9408</v>
      </c>
      <c r="I194" s="1" t="str">
        <f>IFERROR(__xludf.DUMMYFUNCTION("""COMPUTED_VALUE"""),"Operating")</f>
        <v>Operating</v>
      </c>
      <c r="J194" s="1" t="str">
        <f>IFERROR(__xludf.DUMMYFUNCTION("""COMPUTED_VALUE"""),"High")</f>
        <v>High</v>
      </c>
      <c r="K194" s="1" t="str">
        <f>IFERROR(__xludf.DUMMYFUNCTION("""COMPUTED_VALUE"""),"Cryptocurrency mining data center")</f>
        <v>Cryptocurrency mining data center</v>
      </c>
      <c r="L194" s="1" t="str">
        <f>IFERROR(__xludf.DUMMYFUNCTION("""COMPUTED_VALUE"""),"Core Scientific")</f>
        <v>Core Scientific</v>
      </c>
      <c r="M194" s="1" t="str">
        <f>IFERROR(__xludf.DUMMYFUNCTION("""COMPUTED_VALUE"""),"")</f>
        <v/>
      </c>
      <c r="N194" s="1" t="str">
        <f>IFERROR(__xludf.DUMMYFUNCTION("""COMPUTED_VALUE"""),"195")</f>
        <v>195</v>
      </c>
      <c r="O194" s="1" t="str">
        <f>IFERROR(__xludf.DUMMYFUNCTION("""COMPUTED_VALUE"""),"Large (51-99 MW)")</f>
        <v>Large (51-99 MW)</v>
      </c>
      <c r="P194" s="1" t="str">
        <f>IFERROR(__xludf.DUMMYFUNCTION("""COMPUTED_VALUE"""),"")</f>
        <v/>
      </c>
      <c r="Q194" s="1" t="str">
        <f>IFERROR(__xludf.DUMMYFUNCTION("""COMPUTED_VALUE"""),"")</f>
        <v/>
      </c>
      <c r="R194" s="1" t="str">
        <f>IFERROR(__xludf.DUMMYFUNCTION("""COMPUTED_VALUE"""),"")</f>
        <v/>
      </c>
      <c r="S194" s="1" t="str">
        <f>IFERROR(__xludf.DUMMYFUNCTION("""COMPUTED_VALUE"""),"")</f>
        <v/>
      </c>
      <c r="T194" s="1" t="str">
        <f>IFERROR(__xludf.DUMMYFUNCTION("""COMPUTED_VALUE"""),"")</f>
        <v/>
      </c>
      <c r="U194" s="1" t="str">
        <f>IFERROR(__xludf.DUMMYFUNCTION("""COMPUTED_VALUE"""),"")</f>
        <v/>
      </c>
      <c r="V194" s="1" t="str">
        <f>IFERROR(__xludf.DUMMYFUNCTION("""COMPUTED_VALUE"""),"")</f>
        <v/>
      </c>
      <c r="W194" s="1" t="str">
        <f>IFERROR(__xludf.DUMMYFUNCTION("""COMPUTED_VALUE"""),"")</f>
        <v/>
      </c>
      <c r="X194" s="1" t="str">
        <f>IFERROR(__xludf.DUMMYFUNCTION("""COMPUTED_VALUE"""),"")</f>
        <v/>
      </c>
      <c r="Y194" s="1" t="str">
        <f>IFERROR(__xludf.DUMMYFUNCTION("""COMPUTED_VALUE"""),"")</f>
        <v/>
      </c>
      <c r="Z194" s="1" t="str">
        <f>IFERROR(__xludf.DUMMYFUNCTION("""COMPUTED_VALUE"""),"Yes")</f>
        <v>Yes</v>
      </c>
      <c r="AA194" s="1" t="str">
        <f>IFERROR(__xludf.DUMMYFUNCTION("""COMPUTED_VALUE"""),"")</f>
        <v/>
      </c>
      <c r="AB194" s="1" t="str">
        <f>IFERROR(__xludf.DUMMYFUNCTION("""COMPUTED_VALUE"""),"Emerging Concern")</f>
        <v>Emerging Concern</v>
      </c>
      <c r="AC194" s="1" t="str">
        <f>IFERROR(__xludf.DUMMYFUNCTION("""COMPUTED_VALUE"""),"")</f>
        <v/>
      </c>
      <c r="AD194" s="2" t="str">
        <f>IFERROR(__xludf.DUMMYFUNCTION("""COMPUTED_VALUE"""),"https://www.facebook.com/groups/931942845924036/about")</f>
        <v>https://www.facebook.com/groups/931942845924036/about</v>
      </c>
      <c r="AE194" s="1" t="str">
        <f>IFERROR(__xludf.DUMMYFUNCTION("""COMPUTED_VALUE"""),"")</f>
        <v/>
      </c>
      <c r="AF194" s="1" t="str">
        <f>IFERROR(__xludf.DUMMYFUNCTION("""COMPUTED_VALUE"""),"")</f>
        <v/>
      </c>
      <c r="AG194" s="1" t="str">
        <f>IFERROR(__xludf.DUMMYFUNCTION("""COMPUTED_VALUE"""),"Rumored to be crypto, but Core says just AI")</f>
        <v>Rumored to be crypto, but Core says just AI</v>
      </c>
      <c r="AH194" s="1" t="str">
        <f>IFERROR(__xludf.DUMMYFUNCTION("""COMPUTED_VALUE"""),"Media Monitoring")</f>
        <v>Media Monitoring</v>
      </c>
      <c r="AI194" s="2" t="str">
        <f>IFERROR(__xludf.DUMMYFUNCTION("""COMPUTED_VALUE"""),"https://daltoncitizen.com/2025/03/11/whitfield-county-commissioners-approve-rezoning-for-data-center-despite-opposition/")</f>
        <v>https://daltoncitizen.com/2025/03/11/whitfield-county-commissioners-approve-rezoning-for-data-center-despite-opposition/</v>
      </c>
      <c r="AJ194" s="1" t="str">
        <f>IFERROR(__xludf.DUMMYFUNCTION("""COMPUTED_VALUE"""),"")</f>
        <v/>
      </c>
      <c r="AK194" s="1" t="str">
        <f>IFERROR(__xludf.DUMMYFUNCTION("""COMPUTED_VALUE"""),"")</f>
        <v/>
      </c>
      <c r="AL194" s="1" t="str">
        <f>IFERROR(__xludf.DUMMYFUNCTION("""COMPUTED_VALUE"""),"")</f>
        <v/>
      </c>
      <c r="AM194" s="1" t="str">
        <f>IFERROR(__xludf.DUMMYFUNCTION("""COMPUTED_VALUE"""),"")</f>
        <v/>
      </c>
      <c r="AN194" s="1" t="str">
        <f>IFERROR(__xludf.DUMMYFUNCTION("""COMPUTED_VALUE"""),"")</f>
        <v/>
      </c>
      <c r="AO194" s="1" t="str">
        <f>IFERROR(__xludf.DUMMYFUNCTION("""COMPUTED_VALUE"""),"")</f>
        <v/>
      </c>
      <c r="AP194" s="1" t="str">
        <f>IFERROR(__xludf.DUMMYFUNCTION("""COMPUTED_VALUE"""),"")</f>
        <v/>
      </c>
      <c r="AQ194" s="1" t="str">
        <f>IFERROR(__xludf.DUMMYFUNCTION("""COMPUTED_VALUE"""),"04/18/2025")</f>
        <v>04/18/2025</v>
      </c>
      <c r="AR194" s="1" t="str">
        <f>IFERROR(__xludf.DUMMYFUNCTION("""COMPUTED_VALUE"""),"05/03/2026")</f>
        <v>05/03/2026</v>
      </c>
    </row>
    <row r="195">
      <c r="A195" s="1" t="str">
        <f>IFERROR(__xludf.DUMMYFUNCTION("""COMPUTED_VALUE"""),"Dalton")</f>
        <v>Dalton</v>
      </c>
      <c r="B195" s="1" t="str">
        <f>IFERROR(__xludf.DUMMYFUNCTION("""COMPUTED_VALUE"""),"2205 Industrial South Rd")</f>
        <v>2205 Industrial South Rd</v>
      </c>
      <c r="C195" s="1" t="str">
        <f>IFERROR(__xludf.DUMMYFUNCTION("""COMPUTED_VALUE"""),"Dalton")</f>
        <v>Dalton</v>
      </c>
      <c r="D195" s="1" t="str">
        <f>IFERROR(__xludf.DUMMYFUNCTION("""COMPUTED_VALUE"""),"GA")</f>
        <v>GA</v>
      </c>
      <c r="E195" s="1" t="str">
        <f>IFERROR(__xludf.DUMMYFUNCTION("""COMPUTED_VALUE"""),"30721")</f>
        <v>30721</v>
      </c>
      <c r="F195" s="1" t="str">
        <f>IFERROR(__xludf.DUMMYFUNCTION("""COMPUTED_VALUE"""),"Whitfield")</f>
        <v>Whitfield</v>
      </c>
      <c r="G195" s="1" t="str">
        <f>IFERROR(__xludf.DUMMYFUNCTION("""COMPUTED_VALUE"""),"34.71316")</f>
        <v>34.71316</v>
      </c>
      <c r="H195" s="1" t="str">
        <f>IFERROR(__xludf.DUMMYFUNCTION("""COMPUTED_VALUE"""),"-84.95143")</f>
        <v>-84.95143</v>
      </c>
      <c r="I195" s="1" t="str">
        <f>IFERROR(__xludf.DUMMYFUNCTION("""COMPUTED_VALUE"""),"Operating")</f>
        <v>Operating</v>
      </c>
      <c r="J195" s="1" t="str">
        <f>IFERROR(__xludf.DUMMYFUNCTION("""COMPUTED_VALUE"""),"High")</f>
        <v>High</v>
      </c>
      <c r="K195" s="1" t="str">
        <f>IFERROR(__xludf.DUMMYFUNCTION("""COMPUTED_VALUE"""),"")</f>
        <v/>
      </c>
      <c r="L195" s="1" t="str">
        <f>IFERROR(__xludf.DUMMYFUNCTION("""COMPUTED_VALUE"""),"Core Scientific")</f>
        <v>Core Scientific</v>
      </c>
      <c r="M195" s="1" t="str">
        <f>IFERROR(__xludf.DUMMYFUNCTION("""COMPUTED_VALUE"""),"")</f>
        <v/>
      </c>
      <c r="N195" s="1" t="str">
        <f>IFERROR(__xludf.DUMMYFUNCTION("""COMPUTED_VALUE"""),"195")</f>
        <v>195</v>
      </c>
      <c r="O195" s="1" t="str">
        <f>IFERROR(__xludf.DUMMYFUNCTION("""COMPUTED_VALUE"""),"Hyperscale (100-999 MW)")</f>
        <v>Hyperscale (100-999 MW)</v>
      </c>
      <c r="P195" s="1" t="str">
        <f>IFERROR(__xludf.DUMMYFUNCTION("""COMPUTED_VALUE"""),"")</f>
        <v/>
      </c>
      <c r="Q195" s="1" t="str">
        <f>IFERROR(__xludf.DUMMYFUNCTION("""COMPUTED_VALUE"""),"")</f>
        <v/>
      </c>
      <c r="R195" s="1" t="str">
        <f>IFERROR(__xludf.DUMMYFUNCTION("""COMPUTED_VALUE"""),"")</f>
        <v/>
      </c>
      <c r="S195" s="1" t="str">
        <f>IFERROR(__xludf.DUMMYFUNCTION("""COMPUTED_VALUE"""),"")</f>
        <v/>
      </c>
      <c r="T195" s="1" t="str">
        <f>IFERROR(__xludf.DUMMYFUNCTION("""COMPUTED_VALUE"""),"")</f>
        <v/>
      </c>
      <c r="U195" s="1" t="str">
        <f>IFERROR(__xludf.DUMMYFUNCTION("""COMPUTED_VALUE"""),"")</f>
        <v/>
      </c>
      <c r="V195" s="1" t="str">
        <f>IFERROR(__xludf.DUMMYFUNCTION("""COMPUTED_VALUE"""),"300,000")</f>
        <v>300,000</v>
      </c>
      <c r="W195" s="1" t="str">
        <f>IFERROR(__xludf.DUMMYFUNCTION("""COMPUTED_VALUE"""),"")</f>
        <v/>
      </c>
      <c r="X195" s="1" t="str">
        <f>IFERROR(__xludf.DUMMYFUNCTION("""COMPUTED_VALUE"""),"")</f>
        <v/>
      </c>
      <c r="Y195" s="1" t="str">
        <f>IFERROR(__xludf.DUMMYFUNCTION("""COMPUTED_VALUE"""),"")</f>
        <v/>
      </c>
      <c r="Z195" s="1" t="str">
        <f>IFERROR(__xludf.DUMMYFUNCTION("""COMPUTED_VALUE"""),"Unknown")</f>
        <v>Unknown</v>
      </c>
      <c r="AA195" s="1" t="str">
        <f>IFERROR(__xludf.DUMMYFUNCTION("""COMPUTED_VALUE"""),"")</f>
        <v/>
      </c>
      <c r="AB195" s="1" t="str">
        <f>IFERROR(__xludf.DUMMYFUNCTION("""COMPUTED_VALUE"""),"")</f>
        <v/>
      </c>
      <c r="AC195" s="1" t="str">
        <f>IFERROR(__xludf.DUMMYFUNCTION("""COMPUTED_VALUE"""),"")</f>
        <v/>
      </c>
      <c r="AD195" s="1" t="str">
        <f>IFERROR(__xludf.DUMMYFUNCTION("""COMPUTED_VALUE"""),"")</f>
        <v/>
      </c>
      <c r="AE195" s="1" t="str">
        <f>IFERROR(__xludf.DUMMYFUNCTION("""COMPUTED_VALUE"""),"")</f>
        <v/>
      </c>
      <c r="AF195" s="1" t="str">
        <f>IFERROR(__xludf.DUMMYFUNCTION("""COMPUTED_VALUE"""),"")</f>
        <v/>
      </c>
      <c r="AG195" s="1" t="str">
        <f>IFERROR(__xludf.DUMMYFUNCTION("""COMPUTED_VALUE"""),"")</f>
        <v/>
      </c>
      <c r="AH195" s="1" t="str">
        <f>IFERROR(__xludf.DUMMYFUNCTION("""COMPUTED_VALUE"""),"Sci4GA")</f>
        <v>Sci4GA</v>
      </c>
      <c r="AI195" s="2" t="str">
        <f>IFERROR(__xludf.DUMMYFUNCTION("""COMPUTED_VALUE"""),"https://www.gem.wiki/Core_Scientific_Whitfield_County_facility")</f>
        <v>https://www.gem.wiki/Core_Scientific_Whitfield_County_facility</v>
      </c>
      <c r="AJ195" s="1" t="str">
        <f>IFERROR(__xludf.DUMMYFUNCTION("""COMPUTED_VALUE"""),"")</f>
        <v/>
      </c>
      <c r="AK195" s="1" t="str">
        <f>IFERROR(__xludf.DUMMYFUNCTION("""COMPUTED_VALUE"""),"")</f>
        <v/>
      </c>
      <c r="AL195" s="1" t="str">
        <f>IFERROR(__xludf.DUMMYFUNCTION("""COMPUTED_VALUE"""),"")</f>
        <v/>
      </c>
      <c r="AM195" s="1" t="str">
        <f>IFERROR(__xludf.DUMMYFUNCTION("""COMPUTED_VALUE"""),"")</f>
        <v/>
      </c>
      <c r="AN195" s="1" t="str">
        <f>IFERROR(__xludf.DUMMYFUNCTION("""COMPUTED_VALUE"""),"")</f>
        <v/>
      </c>
      <c r="AO195" s="1" t="str">
        <f>IFERROR(__xludf.DUMMYFUNCTION("""COMPUTED_VALUE"""),"")</f>
        <v/>
      </c>
      <c r="AP195" s="1" t="str">
        <f>IFERROR(__xludf.DUMMYFUNCTION("""COMPUTED_VALUE"""),"")</f>
        <v/>
      </c>
      <c r="AQ195" s="1" t="str">
        <f>IFERROR(__xludf.DUMMYFUNCTION("""COMPUTED_VALUE"""),"10/16/2025")</f>
        <v>10/16/2025</v>
      </c>
      <c r="AR195" s="1" t="str">
        <f>IFERROR(__xludf.DUMMYFUNCTION("""COMPUTED_VALUE"""),"10/16/2025")</f>
        <v>10/16/2025</v>
      </c>
    </row>
    <row r="196">
      <c r="A196" s="1" t="str">
        <f>IFERROR(__xludf.DUMMYFUNCTION("""COMPUTED_VALUE"""),"Dalton 3")</f>
        <v>Dalton 3</v>
      </c>
      <c r="B196" s="1" t="str">
        <f>IFERROR(__xludf.DUMMYFUNCTION("""COMPUTED_VALUE"""),"206 Boring Dr")</f>
        <v>206 Boring Dr</v>
      </c>
      <c r="C196" s="1" t="str">
        <f>IFERROR(__xludf.DUMMYFUNCTION("""COMPUTED_VALUE"""),"Dalton")</f>
        <v>Dalton</v>
      </c>
      <c r="D196" s="1" t="str">
        <f>IFERROR(__xludf.DUMMYFUNCTION("""COMPUTED_VALUE"""),"GA")</f>
        <v>GA</v>
      </c>
      <c r="E196" s="1" t="str">
        <f>IFERROR(__xludf.DUMMYFUNCTION("""COMPUTED_VALUE"""),"30721")</f>
        <v>30721</v>
      </c>
      <c r="F196" s="1" t="str">
        <f>IFERROR(__xludf.DUMMYFUNCTION("""COMPUTED_VALUE"""),"Whitfield")</f>
        <v>Whitfield</v>
      </c>
      <c r="G196" s="1" t="str">
        <f>IFERROR(__xludf.DUMMYFUNCTION("""COMPUTED_VALUE"""),"34.701214")</f>
        <v>34.701214</v>
      </c>
      <c r="H196" s="1" t="str">
        <f>IFERROR(__xludf.DUMMYFUNCTION("""COMPUTED_VALUE"""),"-84.95039")</f>
        <v>-84.95039</v>
      </c>
      <c r="I196" s="1" t="str">
        <f>IFERROR(__xludf.DUMMYFUNCTION("""COMPUTED_VALUE"""),"Proposed")</f>
        <v>Proposed</v>
      </c>
      <c r="J196" s="1" t="str">
        <f>IFERROR(__xludf.DUMMYFUNCTION("""COMPUTED_VALUE"""),"High")</f>
        <v>High</v>
      </c>
      <c r="K196" s="1" t="str">
        <f>IFERROR(__xludf.DUMMYFUNCTION("""COMPUTED_VALUE"""),"")</f>
        <v/>
      </c>
      <c r="L196" s="1" t="str">
        <f>IFERROR(__xludf.DUMMYFUNCTION("""COMPUTED_VALUE"""),"Core Scientific")</f>
        <v>Core Scientific</v>
      </c>
      <c r="M196" s="1" t="str">
        <f>IFERROR(__xludf.DUMMYFUNCTION("""COMPUTED_VALUE"""),"")</f>
        <v/>
      </c>
      <c r="N196" s="1" t="str">
        <f>IFERROR(__xludf.DUMMYFUNCTION("""COMPUTED_VALUE"""),"142")</f>
        <v>142</v>
      </c>
      <c r="O196" s="1" t="str">
        <f>IFERROR(__xludf.DUMMYFUNCTION("""COMPUTED_VALUE"""),"Hyperscale (100-999 MW)")</f>
        <v>Hyperscale (100-999 MW)</v>
      </c>
      <c r="P196" s="1" t="str">
        <f>IFERROR(__xludf.DUMMYFUNCTION("""COMPUTED_VALUE"""),"")</f>
        <v/>
      </c>
      <c r="Q196" s="1" t="str">
        <f>IFERROR(__xludf.DUMMYFUNCTION("""COMPUTED_VALUE"""),"")</f>
        <v/>
      </c>
      <c r="R196" s="1" t="str">
        <f>IFERROR(__xludf.DUMMYFUNCTION("""COMPUTED_VALUE"""),"")</f>
        <v/>
      </c>
      <c r="S196" s="1" t="str">
        <f>IFERROR(__xludf.DUMMYFUNCTION("""COMPUTED_VALUE"""),"")</f>
        <v/>
      </c>
      <c r="T196" s="1" t="str">
        <f>IFERROR(__xludf.DUMMYFUNCTION("""COMPUTED_VALUE"""),"")</f>
        <v/>
      </c>
      <c r="U196" s="1" t="str">
        <f>IFERROR(__xludf.DUMMYFUNCTION("""COMPUTED_VALUE"""),"")</f>
        <v/>
      </c>
      <c r="V196" s="1" t="str">
        <f>IFERROR(__xludf.DUMMYFUNCTION("""COMPUTED_VALUE"""),"87,000")</f>
        <v>87,000</v>
      </c>
      <c r="W196" s="1" t="str">
        <f>IFERROR(__xludf.DUMMYFUNCTION("""COMPUTED_VALUE"""),"")</f>
        <v/>
      </c>
      <c r="X196" s="1" t="str">
        <f>IFERROR(__xludf.DUMMYFUNCTION("""COMPUTED_VALUE"""),"")</f>
        <v/>
      </c>
      <c r="Y196" s="1" t="str">
        <f>IFERROR(__xludf.DUMMYFUNCTION("""COMPUTED_VALUE"""),"")</f>
        <v/>
      </c>
      <c r="Z196" s="1" t="str">
        <f>IFERROR(__xludf.DUMMYFUNCTION("""COMPUTED_VALUE"""),"Unknown")</f>
        <v>Unknown</v>
      </c>
      <c r="AA196" s="1" t="str">
        <f>IFERROR(__xludf.DUMMYFUNCTION("""COMPUTED_VALUE"""),"")</f>
        <v/>
      </c>
      <c r="AB196" s="1" t="str">
        <f>IFERROR(__xludf.DUMMYFUNCTION("""COMPUTED_VALUE"""),"")</f>
        <v/>
      </c>
      <c r="AC196" s="1" t="str">
        <f>IFERROR(__xludf.DUMMYFUNCTION("""COMPUTED_VALUE"""),"")</f>
        <v/>
      </c>
      <c r="AD196" s="1" t="str">
        <f>IFERROR(__xludf.DUMMYFUNCTION("""COMPUTED_VALUE"""),"")</f>
        <v/>
      </c>
      <c r="AE196" s="1" t="str">
        <f>IFERROR(__xludf.DUMMYFUNCTION("""COMPUTED_VALUE"""),"")</f>
        <v/>
      </c>
      <c r="AF196" s="1" t="str">
        <f>IFERROR(__xludf.DUMMYFUNCTION("""COMPUTED_VALUE"""),"")</f>
        <v/>
      </c>
      <c r="AG196" s="1" t="str">
        <f>IFERROR(__xludf.DUMMYFUNCTION("""COMPUTED_VALUE"""),"")</f>
        <v/>
      </c>
      <c r="AH196" s="1" t="str">
        <f>IFERROR(__xludf.DUMMYFUNCTION("""COMPUTED_VALUE"""),"Sci4GA")</f>
        <v>Sci4GA</v>
      </c>
      <c r="AI196" s="2" t="str">
        <f>IFERROR(__xludf.DUMMYFUNCTION("""COMPUTED_VALUE"""),"https://daltoncitizen.com/2025/09/27/dalton-whitfield-joint-development-authority-moves-forward-on-deal-for-data-center/")</f>
        <v>https://daltoncitizen.com/2025/09/27/dalton-whitfield-joint-development-authority-moves-forward-on-deal-for-data-center/</v>
      </c>
      <c r="AJ196" s="1" t="str">
        <f>IFERROR(__xludf.DUMMYFUNCTION("""COMPUTED_VALUE"""),"")</f>
        <v/>
      </c>
      <c r="AK196" s="1" t="str">
        <f>IFERROR(__xludf.DUMMYFUNCTION("""COMPUTED_VALUE"""),"")</f>
        <v/>
      </c>
      <c r="AL196" s="1" t="str">
        <f>IFERROR(__xludf.DUMMYFUNCTION("""COMPUTED_VALUE"""),"")</f>
        <v/>
      </c>
      <c r="AM196" s="1" t="str">
        <f>IFERROR(__xludf.DUMMYFUNCTION("""COMPUTED_VALUE"""),"")</f>
        <v/>
      </c>
      <c r="AN196" s="1" t="str">
        <f>IFERROR(__xludf.DUMMYFUNCTION("""COMPUTED_VALUE"""),"")</f>
        <v/>
      </c>
      <c r="AO196" s="1" t="str">
        <f>IFERROR(__xludf.DUMMYFUNCTION("""COMPUTED_VALUE"""),"")</f>
        <v/>
      </c>
      <c r="AP196" s="1" t="str">
        <f>IFERROR(__xludf.DUMMYFUNCTION("""COMPUTED_VALUE"""),"")</f>
        <v/>
      </c>
      <c r="AQ196" s="1" t="str">
        <f>IFERROR(__xludf.DUMMYFUNCTION("""COMPUTED_VALUE"""),"10/16/2025")</f>
        <v>10/16/2025</v>
      </c>
      <c r="AR196" s="1" t="str">
        <f>IFERROR(__xludf.DUMMYFUNCTION("""COMPUTED_VALUE"""),"10/16/2025")</f>
        <v>10/16/2025</v>
      </c>
    </row>
    <row r="197">
      <c r="A197" s="1" t="str">
        <f>IFERROR(__xludf.DUMMYFUNCTION("""COMPUTED_VALUE"""),"Data center")</f>
        <v>Data center</v>
      </c>
      <c r="B197" s="1" t="str">
        <f>IFERROR(__xludf.DUMMYFUNCTION("""COMPUTED_VALUE"""),"615 South Thornton Avenue")</f>
        <v>615 South Thornton Avenue</v>
      </c>
      <c r="C197" s="1" t="str">
        <f>IFERROR(__xludf.DUMMYFUNCTION("""COMPUTED_VALUE"""),"Dalton")</f>
        <v>Dalton</v>
      </c>
      <c r="D197" s="1" t="str">
        <f>IFERROR(__xludf.DUMMYFUNCTION("""COMPUTED_VALUE"""),"GA")</f>
        <v>GA</v>
      </c>
      <c r="E197" s="1" t="str">
        <f>IFERROR(__xludf.DUMMYFUNCTION("""COMPUTED_VALUE"""),"30720")</f>
        <v>30720</v>
      </c>
      <c r="F197" s="1" t="str">
        <f>IFERROR(__xludf.DUMMYFUNCTION("""COMPUTED_VALUE"""),"Whitfield")</f>
        <v>Whitfield</v>
      </c>
      <c r="G197" s="1" t="str">
        <f>IFERROR(__xludf.DUMMYFUNCTION("""COMPUTED_VALUE"""),"34.76418")</f>
        <v>34.76418</v>
      </c>
      <c r="H197" s="1" t="str">
        <f>IFERROR(__xludf.DUMMYFUNCTION("""COMPUTED_VALUE"""),"-84.9711")</f>
        <v>-84.9711</v>
      </c>
      <c r="I197" s="1" t="str">
        <f>IFERROR(__xludf.DUMMYFUNCTION("""COMPUTED_VALUE"""),"Operating")</f>
        <v>Operating</v>
      </c>
      <c r="J197" s="1" t="str">
        <f>IFERROR(__xludf.DUMMYFUNCTION("""COMPUTED_VALUE"""),"High")</f>
        <v>High</v>
      </c>
      <c r="K197" s="1" t="str">
        <f>IFERROR(__xludf.DUMMYFUNCTION("""COMPUTED_VALUE"""),"")</f>
        <v/>
      </c>
      <c r="L197" s="1" t="str">
        <f>IFERROR(__xludf.DUMMYFUNCTION("""COMPUTED_VALUE"""),"")</f>
        <v/>
      </c>
      <c r="M197" s="1" t="str">
        <f>IFERROR(__xludf.DUMMYFUNCTION("""COMPUTED_VALUE"""),"")</f>
        <v/>
      </c>
      <c r="N197" s="1" t="str">
        <f>IFERROR(__xludf.DUMMYFUNCTION("""COMPUTED_VALUE"""),"")</f>
        <v/>
      </c>
      <c r="O197" s="1" t="str">
        <f>IFERROR(__xludf.DUMMYFUNCTION("""COMPUTED_VALUE"""),"Small (0-10 MW)")</f>
        <v>Small (0-10 MW)</v>
      </c>
      <c r="P197" s="1" t="str">
        <f>IFERROR(__xludf.DUMMYFUNCTION("""COMPUTED_VALUE"""),"")</f>
        <v/>
      </c>
      <c r="Q197" s="1" t="str">
        <f>IFERROR(__xludf.DUMMYFUNCTION("""COMPUTED_VALUE"""),"")</f>
        <v/>
      </c>
      <c r="R197" s="1" t="str">
        <f>IFERROR(__xludf.DUMMYFUNCTION("""COMPUTED_VALUE"""),"")</f>
        <v/>
      </c>
      <c r="S197" s="1" t="str">
        <f>IFERROR(__xludf.DUMMYFUNCTION("""COMPUTED_VALUE"""),"")</f>
        <v/>
      </c>
      <c r="T197" s="1" t="str">
        <f>IFERROR(__xludf.DUMMYFUNCTION("""COMPUTED_VALUE"""),"")</f>
        <v/>
      </c>
      <c r="U197" s="1" t="str">
        <f>IFERROR(__xludf.DUMMYFUNCTION("""COMPUTED_VALUE"""),"")</f>
        <v/>
      </c>
      <c r="V197" s="1" t="str">
        <f>IFERROR(__xludf.DUMMYFUNCTION("""COMPUTED_VALUE"""),"57,320")</f>
        <v>57,320</v>
      </c>
      <c r="W197" s="1" t="str">
        <f>IFERROR(__xludf.DUMMYFUNCTION("""COMPUTED_VALUE"""),"")</f>
        <v/>
      </c>
      <c r="X197" s="1" t="str">
        <f>IFERROR(__xludf.DUMMYFUNCTION("""COMPUTED_VALUE"""),"")</f>
        <v/>
      </c>
      <c r="Y197" s="1" t="str">
        <f>IFERROR(__xludf.DUMMYFUNCTION("""COMPUTED_VALUE"""),"")</f>
        <v/>
      </c>
      <c r="Z197" s="1" t="str">
        <f>IFERROR(__xludf.DUMMYFUNCTION("""COMPUTED_VALUE"""),"Unknown")</f>
        <v>Unknown</v>
      </c>
      <c r="AA197" s="1" t="str">
        <f>IFERROR(__xludf.DUMMYFUNCTION("""COMPUTED_VALUE"""),"")</f>
        <v/>
      </c>
      <c r="AB197" s="1" t="str">
        <f>IFERROR(__xludf.DUMMYFUNCTION("""COMPUTED_VALUE"""),"")</f>
        <v/>
      </c>
      <c r="AC197" s="1" t="str">
        <f>IFERROR(__xludf.DUMMYFUNCTION("""COMPUTED_VALUE"""),"")</f>
        <v/>
      </c>
      <c r="AD197" s="1" t="str">
        <f>IFERROR(__xludf.DUMMYFUNCTION("""COMPUTED_VALUE"""),"")</f>
        <v/>
      </c>
      <c r="AE197" s="1" t="str">
        <f>IFERROR(__xludf.DUMMYFUNCTION("""COMPUTED_VALUE"""),"")</f>
        <v/>
      </c>
      <c r="AF197" s="1" t="str">
        <f>IFERROR(__xludf.DUMMYFUNCTION("""COMPUTED_VALUE"""),"")</f>
        <v/>
      </c>
      <c r="AG197" s="1" t="str">
        <f>IFERROR(__xludf.DUMMYFUNCTION("""COMPUTED_VALUE"""),"")</f>
        <v/>
      </c>
      <c r="AH197" s="1" t="str">
        <f>IFERROR(__xludf.DUMMYFUNCTION("""COMPUTED_VALUE"""),"Media Monitoring")</f>
        <v>Media Monitoring</v>
      </c>
      <c r="AI197" s="2" t="str">
        <f>IFERROR(__xludf.DUMMYFUNCTION("""COMPUTED_VALUE"""),"https://invest.jll.com/us/en/listings/special-purpose-facility/8-asset-switch-portfolio")</f>
        <v>https://invest.jll.com/us/en/listings/special-purpose-facility/8-asset-switch-portfolio</v>
      </c>
      <c r="AJ197" s="1" t="str">
        <f>IFERROR(__xludf.DUMMYFUNCTION("""COMPUTED_VALUE"""),"")</f>
        <v/>
      </c>
      <c r="AK197" s="1" t="str">
        <f>IFERROR(__xludf.DUMMYFUNCTION("""COMPUTED_VALUE"""),"")</f>
        <v/>
      </c>
      <c r="AL197" s="1" t="str">
        <f>IFERROR(__xludf.DUMMYFUNCTION("""COMPUTED_VALUE"""),"")</f>
        <v/>
      </c>
      <c r="AM197" s="1" t="str">
        <f>IFERROR(__xludf.DUMMYFUNCTION("""COMPUTED_VALUE"""),"")</f>
        <v/>
      </c>
      <c r="AN197" s="1" t="str">
        <f>IFERROR(__xludf.DUMMYFUNCTION("""COMPUTED_VALUE"""),"")</f>
        <v/>
      </c>
      <c r="AO197" s="1" t="str">
        <f>IFERROR(__xludf.DUMMYFUNCTION("""COMPUTED_VALUE"""),"")</f>
        <v/>
      </c>
      <c r="AP197" s="1" t="str">
        <f>IFERROR(__xludf.DUMMYFUNCTION("""COMPUTED_VALUE"""),"")</f>
        <v/>
      </c>
      <c r="AQ197" s="1" t="str">
        <f>IFERROR(__xludf.DUMMYFUNCTION("""COMPUTED_VALUE"""),"05/27/2025")</f>
        <v>05/27/2025</v>
      </c>
      <c r="AR197" s="1" t="str">
        <f>IFERROR(__xludf.DUMMYFUNCTION("""COMPUTED_VALUE"""),"03/11/2026")</f>
        <v>03/11/2026</v>
      </c>
    </row>
    <row r="198">
      <c r="A198" s="1" t="str">
        <f>IFERROR(__xludf.DUMMYFUNCTION("""COMPUTED_VALUE"""),"Atlanta-Douglasville 1")</f>
        <v>Atlanta-Douglasville 1</v>
      </c>
      <c r="B198" s="1" t="str">
        <f>IFERROR(__xludf.DUMMYFUNCTION("""COMPUTED_VALUE"""),"1700 North River Road")</f>
        <v>1700 North River Road</v>
      </c>
      <c r="C198" s="1" t="str">
        <f>IFERROR(__xludf.DUMMYFUNCTION("""COMPUTED_VALUE"""),"Douglasville")</f>
        <v>Douglasville</v>
      </c>
      <c r="D198" s="1" t="str">
        <f>IFERROR(__xludf.DUMMYFUNCTION("""COMPUTED_VALUE"""),"GA")</f>
        <v>GA</v>
      </c>
      <c r="E198" s="1" t="str">
        <f>IFERROR(__xludf.DUMMYFUNCTION("""COMPUTED_VALUE"""),"30122")</f>
        <v>30122</v>
      </c>
      <c r="F198" s="1" t="str">
        <f>IFERROR(__xludf.DUMMYFUNCTION("""COMPUTED_VALUE"""),"Douglas")</f>
        <v>Douglas</v>
      </c>
      <c r="G198" s="1" t="str">
        <f>IFERROR(__xludf.DUMMYFUNCTION("""COMPUTED_VALUE"""),"33.73072")</f>
        <v>33.73072</v>
      </c>
      <c r="H198" s="1" t="str">
        <f>IFERROR(__xludf.DUMMYFUNCTION("""COMPUTED_VALUE"""),"-84.61699")</f>
        <v>-84.61699</v>
      </c>
      <c r="I198" s="1" t="str">
        <f>IFERROR(__xludf.DUMMYFUNCTION("""COMPUTED_VALUE"""),"Operating")</f>
        <v>Operating</v>
      </c>
      <c r="J198" s="1" t="str">
        <f>IFERROR(__xludf.DUMMYFUNCTION("""COMPUTED_VALUE"""),"High")</f>
        <v>High</v>
      </c>
      <c r="K198" s="1" t="str">
        <f>IFERROR(__xludf.DUMMYFUNCTION("""COMPUTED_VALUE"""),"")</f>
        <v/>
      </c>
      <c r="L198" s="1" t="str">
        <f>IFERROR(__xludf.DUMMYFUNCTION("""COMPUTED_VALUE"""),"Flexential")</f>
        <v>Flexential</v>
      </c>
      <c r="M198" s="1" t="str">
        <f>IFERROR(__xludf.DUMMYFUNCTION("""COMPUTED_VALUE"""),"")</f>
        <v/>
      </c>
      <c r="N198" s="1" t="str">
        <f>IFERROR(__xludf.DUMMYFUNCTION("""COMPUTED_VALUE"""),"23")</f>
        <v>23</v>
      </c>
      <c r="O198" s="1" t="str">
        <f>IFERROR(__xludf.DUMMYFUNCTION("""COMPUTED_VALUE"""),"Medium (11-50 MW)")</f>
        <v>Medium (11-50 MW)</v>
      </c>
      <c r="P198" s="1" t="str">
        <f>IFERROR(__xludf.DUMMYFUNCTION("""COMPUTED_VALUE"""),"")</f>
        <v/>
      </c>
      <c r="Q198" s="1" t="str">
        <f>IFERROR(__xludf.DUMMYFUNCTION("""COMPUTED_VALUE"""),"")</f>
        <v/>
      </c>
      <c r="R198" s="1" t="str">
        <f>IFERROR(__xludf.DUMMYFUNCTION("""COMPUTED_VALUE"""),"")</f>
        <v/>
      </c>
      <c r="S198" s="1" t="str">
        <f>IFERROR(__xludf.DUMMYFUNCTION("""COMPUTED_VALUE"""),"")</f>
        <v/>
      </c>
      <c r="T198" s="1" t="str">
        <f>IFERROR(__xludf.DUMMYFUNCTION("""COMPUTED_VALUE"""),"")</f>
        <v/>
      </c>
      <c r="U198" s="1" t="str">
        <f>IFERROR(__xludf.DUMMYFUNCTION("""COMPUTED_VALUE"""),"")</f>
        <v/>
      </c>
      <c r="V198" s="1" t="str">
        <f>IFERROR(__xludf.DUMMYFUNCTION("""COMPUTED_VALUE"""),"205,000")</f>
        <v>205,000</v>
      </c>
      <c r="W198" s="1" t="str">
        <f>IFERROR(__xludf.DUMMYFUNCTION("""COMPUTED_VALUE"""),"")</f>
        <v/>
      </c>
      <c r="X198" s="1" t="str">
        <f>IFERROR(__xludf.DUMMYFUNCTION("""COMPUTED_VALUE"""),"")</f>
        <v/>
      </c>
      <c r="Y198" s="1" t="str">
        <f>IFERROR(__xludf.DUMMYFUNCTION("""COMPUTED_VALUE"""),"")</f>
        <v/>
      </c>
      <c r="Z198" s="1" t="str">
        <f>IFERROR(__xludf.DUMMYFUNCTION("""COMPUTED_VALUE"""),"Unknown")</f>
        <v>Unknown</v>
      </c>
      <c r="AA198" s="1" t="str">
        <f>IFERROR(__xludf.DUMMYFUNCTION("""COMPUTED_VALUE"""),"")</f>
        <v/>
      </c>
      <c r="AB198" s="1" t="str">
        <f>IFERROR(__xludf.DUMMYFUNCTION("""COMPUTED_VALUE"""),"")</f>
        <v/>
      </c>
      <c r="AC198" s="1" t="str">
        <f>IFERROR(__xludf.DUMMYFUNCTION("""COMPUTED_VALUE"""),"")</f>
        <v/>
      </c>
      <c r="AD198" s="1" t="str">
        <f>IFERROR(__xludf.DUMMYFUNCTION("""COMPUTED_VALUE"""),"")</f>
        <v/>
      </c>
      <c r="AE198" s="1" t="str">
        <f>IFERROR(__xludf.DUMMYFUNCTION("""COMPUTED_VALUE"""),"")</f>
        <v/>
      </c>
      <c r="AF198" s="1" t="str">
        <f>IFERROR(__xludf.DUMMYFUNCTION("""COMPUTED_VALUE"""),"")</f>
        <v/>
      </c>
      <c r="AG198" s="1" t="str">
        <f>IFERROR(__xludf.DUMMYFUNCTION("""COMPUTED_VALUE"""),"")</f>
        <v/>
      </c>
      <c r="AH198" s="1" t="str">
        <f>IFERROR(__xludf.DUMMYFUNCTION("""COMPUTED_VALUE"""),"Sci4GA")</f>
        <v>Sci4GA</v>
      </c>
      <c r="AI198" s="1" t="str">
        <f>IFERROR(__xludf.DUMMYFUNCTION("""COMPUTED_VALUE"""),"")</f>
        <v/>
      </c>
      <c r="AJ198" s="1" t="str">
        <f>IFERROR(__xludf.DUMMYFUNCTION("""COMPUTED_VALUE"""),"")</f>
        <v/>
      </c>
      <c r="AK198" s="1" t="str">
        <f>IFERROR(__xludf.DUMMYFUNCTION("""COMPUTED_VALUE"""),"")</f>
        <v/>
      </c>
      <c r="AL198" s="1" t="str">
        <f>IFERROR(__xludf.DUMMYFUNCTION("""COMPUTED_VALUE"""),"")</f>
        <v/>
      </c>
      <c r="AM198" s="1" t="str">
        <f>IFERROR(__xludf.DUMMYFUNCTION("""COMPUTED_VALUE"""),"")</f>
        <v/>
      </c>
      <c r="AN198" s="1" t="str">
        <f>IFERROR(__xludf.DUMMYFUNCTION("""COMPUTED_VALUE"""),"")</f>
        <v/>
      </c>
      <c r="AO198" s="1" t="str">
        <f>IFERROR(__xludf.DUMMYFUNCTION("""COMPUTED_VALUE"""),"")</f>
        <v/>
      </c>
      <c r="AP198" s="1" t="str">
        <f>IFERROR(__xludf.DUMMYFUNCTION("""COMPUTED_VALUE"""),"")</f>
        <v/>
      </c>
      <c r="AQ198" s="1" t="str">
        <f>IFERROR(__xludf.DUMMYFUNCTION("""COMPUTED_VALUE"""),"10/16/2025")</f>
        <v>10/16/2025</v>
      </c>
      <c r="AR198" s="1" t="str">
        <f>IFERROR(__xludf.DUMMYFUNCTION("""COMPUTED_VALUE"""),"10/16/2025")</f>
        <v>10/16/2025</v>
      </c>
    </row>
    <row r="199">
      <c r="A199" s="1" t="str">
        <f>IFERROR(__xludf.DUMMYFUNCTION("""COMPUTED_VALUE"""),"Atlanta-Douglasville 2")</f>
        <v>Atlanta-Douglasville 2</v>
      </c>
      <c r="B199" s="1" t="str">
        <f>IFERROR(__xludf.DUMMYFUNCTION("""COMPUTED_VALUE"""),"1750 North River Road")</f>
        <v>1750 North River Road</v>
      </c>
      <c r="C199" s="1" t="str">
        <f>IFERROR(__xludf.DUMMYFUNCTION("""COMPUTED_VALUE"""),"Douglasville")</f>
        <v>Douglasville</v>
      </c>
      <c r="D199" s="1" t="str">
        <f>IFERROR(__xludf.DUMMYFUNCTION("""COMPUTED_VALUE"""),"GA")</f>
        <v>GA</v>
      </c>
      <c r="E199" s="1" t="str">
        <f>IFERROR(__xludf.DUMMYFUNCTION("""COMPUTED_VALUE"""),"30122")</f>
        <v>30122</v>
      </c>
      <c r="F199" s="1" t="str">
        <f>IFERROR(__xludf.DUMMYFUNCTION("""COMPUTED_VALUE"""),"Douglas")</f>
        <v>Douglas</v>
      </c>
      <c r="G199" s="1" t="str">
        <f>IFERROR(__xludf.DUMMYFUNCTION("""COMPUTED_VALUE"""),"33.730686")</f>
        <v>33.730686</v>
      </c>
      <c r="H199" s="1" t="str">
        <f>IFERROR(__xludf.DUMMYFUNCTION("""COMPUTED_VALUE"""),"-84.61119")</f>
        <v>-84.61119</v>
      </c>
      <c r="I199" s="1" t="str">
        <f>IFERROR(__xludf.DUMMYFUNCTION("""COMPUTED_VALUE"""),"Operating")</f>
        <v>Operating</v>
      </c>
      <c r="J199" s="1" t="str">
        <f>IFERROR(__xludf.DUMMYFUNCTION("""COMPUTED_VALUE"""),"High")</f>
        <v>High</v>
      </c>
      <c r="K199" s="1" t="str">
        <f>IFERROR(__xludf.DUMMYFUNCTION("""COMPUTED_VALUE"""),"")</f>
        <v/>
      </c>
      <c r="L199" s="1" t="str">
        <f>IFERROR(__xludf.DUMMYFUNCTION("""COMPUTED_VALUE"""),"Flexential")</f>
        <v>Flexential</v>
      </c>
      <c r="M199" s="1" t="str">
        <f>IFERROR(__xludf.DUMMYFUNCTION("""COMPUTED_VALUE"""),"")</f>
        <v/>
      </c>
      <c r="N199" s="1" t="str">
        <f>IFERROR(__xludf.DUMMYFUNCTION("""COMPUTED_VALUE"""),"36")</f>
        <v>36</v>
      </c>
      <c r="O199" s="1" t="str">
        <f>IFERROR(__xludf.DUMMYFUNCTION("""COMPUTED_VALUE"""),"Medium (11-50 MW)")</f>
        <v>Medium (11-50 MW)</v>
      </c>
      <c r="P199" s="1" t="str">
        <f>IFERROR(__xludf.DUMMYFUNCTION("""COMPUTED_VALUE"""),"")</f>
        <v/>
      </c>
      <c r="Q199" s="1" t="str">
        <f>IFERROR(__xludf.DUMMYFUNCTION("""COMPUTED_VALUE"""),"")</f>
        <v/>
      </c>
      <c r="R199" s="1" t="str">
        <f>IFERROR(__xludf.DUMMYFUNCTION("""COMPUTED_VALUE"""),"")</f>
        <v/>
      </c>
      <c r="S199" s="1" t="str">
        <f>IFERROR(__xludf.DUMMYFUNCTION("""COMPUTED_VALUE"""),"")</f>
        <v/>
      </c>
      <c r="T199" s="1" t="str">
        <f>IFERROR(__xludf.DUMMYFUNCTION("""COMPUTED_VALUE"""),"")</f>
        <v/>
      </c>
      <c r="U199" s="1" t="str">
        <f>IFERROR(__xludf.DUMMYFUNCTION("""COMPUTED_VALUE"""),"")</f>
        <v/>
      </c>
      <c r="V199" s="1" t="str">
        <f>IFERROR(__xludf.DUMMYFUNCTION("""COMPUTED_VALUE"""),"358,000")</f>
        <v>358,000</v>
      </c>
      <c r="W199" s="1" t="str">
        <f>IFERROR(__xludf.DUMMYFUNCTION("""COMPUTED_VALUE"""),"")</f>
        <v/>
      </c>
      <c r="X199" s="1" t="str">
        <f>IFERROR(__xludf.DUMMYFUNCTION("""COMPUTED_VALUE"""),"")</f>
        <v/>
      </c>
      <c r="Y199" s="1" t="str">
        <f>IFERROR(__xludf.DUMMYFUNCTION("""COMPUTED_VALUE"""),"")</f>
        <v/>
      </c>
      <c r="Z199" s="1" t="str">
        <f>IFERROR(__xludf.DUMMYFUNCTION("""COMPUTED_VALUE"""),"Unknown")</f>
        <v>Unknown</v>
      </c>
      <c r="AA199" s="1" t="str">
        <f>IFERROR(__xludf.DUMMYFUNCTION("""COMPUTED_VALUE"""),"")</f>
        <v/>
      </c>
      <c r="AB199" s="1" t="str">
        <f>IFERROR(__xludf.DUMMYFUNCTION("""COMPUTED_VALUE"""),"")</f>
        <v/>
      </c>
      <c r="AC199" s="1" t="str">
        <f>IFERROR(__xludf.DUMMYFUNCTION("""COMPUTED_VALUE"""),"")</f>
        <v/>
      </c>
      <c r="AD199" s="1" t="str">
        <f>IFERROR(__xludf.DUMMYFUNCTION("""COMPUTED_VALUE"""),"")</f>
        <v/>
      </c>
      <c r="AE199" s="1" t="str">
        <f>IFERROR(__xludf.DUMMYFUNCTION("""COMPUTED_VALUE"""),"")</f>
        <v/>
      </c>
      <c r="AF199" s="1" t="str">
        <f>IFERROR(__xludf.DUMMYFUNCTION("""COMPUTED_VALUE"""),"")</f>
        <v/>
      </c>
      <c r="AG199" s="1" t="str">
        <f>IFERROR(__xludf.DUMMYFUNCTION("""COMPUTED_VALUE"""),"")</f>
        <v/>
      </c>
      <c r="AH199" s="1" t="str">
        <f>IFERROR(__xludf.DUMMYFUNCTION("""COMPUTED_VALUE"""),"Sci4GA")</f>
        <v>Sci4GA</v>
      </c>
      <c r="AI199" s="1" t="str">
        <f>IFERROR(__xludf.DUMMYFUNCTION("""COMPUTED_VALUE"""),"")</f>
        <v/>
      </c>
      <c r="AJ199" s="1" t="str">
        <f>IFERROR(__xludf.DUMMYFUNCTION("""COMPUTED_VALUE"""),"")</f>
        <v/>
      </c>
      <c r="AK199" s="1" t="str">
        <f>IFERROR(__xludf.DUMMYFUNCTION("""COMPUTED_VALUE"""),"")</f>
        <v/>
      </c>
      <c r="AL199" s="1" t="str">
        <f>IFERROR(__xludf.DUMMYFUNCTION("""COMPUTED_VALUE"""),"")</f>
        <v/>
      </c>
      <c r="AM199" s="1" t="str">
        <f>IFERROR(__xludf.DUMMYFUNCTION("""COMPUTED_VALUE"""),"")</f>
        <v/>
      </c>
      <c r="AN199" s="1" t="str">
        <f>IFERROR(__xludf.DUMMYFUNCTION("""COMPUTED_VALUE"""),"")</f>
        <v/>
      </c>
      <c r="AO199" s="1" t="str">
        <f>IFERROR(__xludf.DUMMYFUNCTION("""COMPUTED_VALUE"""),"")</f>
        <v/>
      </c>
      <c r="AP199" s="1" t="str">
        <f>IFERROR(__xludf.DUMMYFUNCTION("""COMPUTED_VALUE"""),"")</f>
        <v/>
      </c>
      <c r="AQ199" s="1" t="str">
        <f>IFERROR(__xludf.DUMMYFUNCTION("""COMPUTED_VALUE"""),"10/16/2025")</f>
        <v>10/16/2025</v>
      </c>
      <c r="AR199" s="1" t="str">
        <f>IFERROR(__xludf.DUMMYFUNCTION("""COMPUTED_VALUE"""),"10/16/2025")</f>
        <v>10/16/2025</v>
      </c>
    </row>
    <row r="200">
      <c r="A200" s="1" t="str">
        <f>IFERROR(__xludf.DUMMYFUNCTION("""COMPUTED_VALUE"""),"Douglasville Campus")</f>
        <v>Douglasville Campus</v>
      </c>
      <c r="B200" s="1" t="str">
        <f>IFERROR(__xludf.DUMMYFUNCTION("""COMPUTED_VALUE"""),"1601 North River Road")</f>
        <v>1601 North River Road</v>
      </c>
      <c r="C200" s="1" t="str">
        <f>IFERROR(__xludf.DUMMYFUNCTION("""COMPUTED_VALUE"""),"Douglasville")</f>
        <v>Douglasville</v>
      </c>
      <c r="D200" s="1" t="str">
        <f>IFERROR(__xludf.DUMMYFUNCTION("""COMPUTED_VALUE"""),"GA")</f>
        <v>GA</v>
      </c>
      <c r="E200" s="1" t="str">
        <f>IFERROR(__xludf.DUMMYFUNCTION("""COMPUTED_VALUE"""),"30122")</f>
        <v>30122</v>
      </c>
      <c r="F200" s="1" t="str">
        <f>IFERROR(__xludf.DUMMYFUNCTION("""COMPUTED_VALUE"""),"Douglas")</f>
        <v>Douglas</v>
      </c>
      <c r="G200" s="1" t="str">
        <f>IFERROR(__xludf.DUMMYFUNCTION("""COMPUTED_VALUE"""),"33.73178")</f>
        <v>33.73178</v>
      </c>
      <c r="H200" s="1" t="str">
        <f>IFERROR(__xludf.DUMMYFUNCTION("""COMPUTED_VALUE"""),"-84.61917")</f>
        <v>-84.61917</v>
      </c>
      <c r="I200" s="1" t="str">
        <f>IFERROR(__xludf.DUMMYFUNCTION("""COMPUTED_VALUE"""),"Operating")</f>
        <v>Operating</v>
      </c>
      <c r="J200" s="1" t="str">
        <f>IFERROR(__xludf.DUMMYFUNCTION("""COMPUTED_VALUE"""),"High")</f>
        <v>High</v>
      </c>
      <c r="K200" s="1" t="str">
        <f>IFERROR(__xludf.DUMMYFUNCTION("""COMPUTED_VALUE"""),"")</f>
        <v/>
      </c>
      <c r="L200" s="1" t="str">
        <f>IFERROR(__xludf.DUMMYFUNCTION("""COMPUTED_VALUE"""),"Microsoft")</f>
        <v>Microsoft</v>
      </c>
      <c r="M200" s="1" t="str">
        <f>IFERROR(__xludf.DUMMYFUNCTION("""COMPUTED_VALUE"""),"")</f>
        <v/>
      </c>
      <c r="N200" s="1" t="str">
        <f>IFERROR(__xludf.DUMMYFUNCTION("""COMPUTED_VALUE"""),"150")</f>
        <v>150</v>
      </c>
      <c r="O200" s="1" t="str">
        <f>IFERROR(__xludf.DUMMYFUNCTION("""COMPUTED_VALUE"""),"Hyperscale (100-999 MW)")</f>
        <v>Hyperscale (100-999 MW)</v>
      </c>
      <c r="P200" s="1" t="str">
        <f>IFERROR(__xludf.DUMMYFUNCTION("""COMPUTED_VALUE"""),"")</f>
        <v/>
      </c>
      <c r="Q200" s="1" t="str">
        <f>IFERROR(__xludf.DUMMYFUNCTION("""COMPUTED_VALUE"""),"")</f>
        <v/>
      </c>
      <c r="R200" s="1" t="str">
        <f>IFERROR(__xludf.DUMMYFUNCTION("""COMPUTED_VALUE"""),"")</f>
        <v/>
      </c>
      <c r="S200" s="1" t="str">
        <f>IFERROR(__xludf.DUMMYFUNCTION("""COMPUTED_VALUE"""),"")</f>
        <v/>
      </c>
      <c r="T200" s="1" t="str">
        <f>IFERROR(__xludf.DUMMYFUNCTION("""COMPUTED_VALUE"""),"")</f>
        <v/>
      </c>
      <c r="U200" s="1" t="str">
        <f>IFERROR(__xludf.DUMMYFUNCTION("""COMPUTED_VALUE"""),"")</f>
        <v/>
      </c>
      <c r="V200" s="1" t="str">
        <f>IFERROR(__xludf.DUMMYFUNCTION("""COMPUTED_VALUE"""),"1,000,000")</f>
        <v>1,000,000</v>
      </c>
      <c r="W200" s="1" t="str">
        <f>IFERROR(__xludf.DUMMYFUNCTION("""COMPUTED_VALUE"""),"")</f>
        <v/>
      </c>
      <c r="X200" s="1" t="str">
        <f>IFERROR(__xludf.DUMMYFUNCTION("""COMPUTED_VALUE"""),"")</f>
        <v/>
      </c>
      <c r="Y200" s="1" t="str">
        <f>IFERROR(__xludf.DUMMYFUNCTION("""COMPUTED_VALUE"""),"")</f>
        <v/>
      </c>
      <c r="Z200" s="1" t="str">
        <f>IFERROR(__xludf.DUMMYFUNCTION("""COMPUTED_VALUE"""),"Unknown")</f>
        <v>Unknown</v>
      </c>
      <c r="AA200" s="1" t="str">
        <f>IFERROR(__xludf.DUMMYFUNCTION("""COMPUTED_VALUE"""),"")</f>
        <v/>
      </c>
      <c r="AB200" s="1" t="str">
        <f>IFERROR(__xludf.DUMMYFUNCTION("""COMPUTED_VALUE"""),"")</f>
        <v/>
      </c>
      <c r="AC200" s="1" t="str">
        <f>IFERROR(__xludf.DUMMYFUNCTION("""COMPUTED_VALUE"""),"")</f>
        <v/>
      </c>
      <c r="AD200" s="1" t="str">
        <f>IFERROR(__xludf.DUMMYFUNCTION("""COMPUTED_VALUE"""),"")</f>
        <v/>
      </c>
      <c r="AE200" s="1" t="str">
        <f>IFERROR(__xludf.DUMMYFUNCTION("""COMPUTED_VALUE"""),"")</f>
        <v/>
      </c>
      <c r="AF200" s="1" t="str">
        <f>IFERROR(__xludf.DUMMYFUNCTION("""COMPUTED_VALUE"""),"")</f>
        <v/>
      </c>
      <c r="AG200" s="1" t="str">
        <f>IFERROR(__xludf.DUMMYFUNCTION("""COMPUTED_VALUE"""),"")</f>
        <v/>
      </c>
      <c r="AH200" s="1" t="str">
        <f>IFERROR(__xludf.DUMMYFUNCTION("""COMPUTED_VALUE"""),"Sci4GA")</f>
        <v>Sci4GA</v>
      </c>
      <c r="AI200" s="2" t="str">
        <f>IFERROR(__xludf.DUMMYFUNCTION("""COMPUTED_VALUE"""),"https://baxtel.com/data-center/microsoft-douglasville")</f>
        <v>https://baxtel.com/data-center/microsoft-douglasville</v>
      </c>
      <c r="AJ200" s="1" t="str">
        <f>IFERROR(__xludf.DUMMYFUNCTION("""COMPUTED_VALUE"""),"")</f>
        <v/>
      </c>
      <c r="AK200" s="1" t="str">
        <f>IFERROR(__xludf.DUMMYFUNCTION("""COMPUTED_VALUE"""),"")</f>
        <v/>
      </c>
      <c r="AL200" s="1" t="str">
        <f>IFERROR(__xludf.DUMMYFUNCTION("""COMPUTED_VALUE"""),"")</f>
        <v/>
      </c>
      <c r="AM200" s="1" t="str">
        <f>IFERROR(__xludf.DUMMYFUNCTION("""COMPUTED_VALUE"""),"")</f>
        <v/>
      </c>
      <c r="AN200" s="1" t="str">
        <f>IFERROR(__xludf.DUMMYFUNCTION("""COMPUTED_VALUE"""),"")</f>
        <v/>
      </c>
      <c r="AO200" s="1" t="str">
        <f>IFERROR(__xludf.DUMMYFUNCTION("""COMPUTED_VALUE"""),"")</f>
        <v/>
      </c>
      <c r="AP200" s="1" t="str">
        <f>IFERROR(__xludf.DUMMYFUNCTION("""COMPUTED_VALUE"""),"")</f>
        <v/>
      </c>
      <c r="AQ200" s="1" t="str">
        <f>IFERROR(__xludf.DUMMYFUNCTION("""COMPUTED_VALUE"""),"10/16/2025")</f>
        <v>10/16/2025</v>
      </c>
      <c r="AR200" s="1" t="str">
        <f>IFERROR(__xludf.DUMMYFUNCTION("""COMPUTED_VALUE"""),"10/16/2025")</f>
        <v>10/16/2025</v>
      </c>
    </row>
    <row r="201">
      <c r="A201" s="1" t="str">
        <f>IFERROR(__xludf.DUMMYFUNCTION("""COMPUTED_VALUE"""),"Vantage Data Center")</f>
        <v>Vantage Data Center</v>
      </c>
      <c r="B201" s="1" t="str">
        <f>IFERROR(__xludf.DUMMYFUNCTION("""COMPUTED_VALUE"""),"Roberts Rd")</f>
        <v>Roberts Rd</v>
      </c>
      <c r="C201" s="1" t="str">
        <f>IFERROR(__xludf.DUMMYFUNCTION("""COMPUTED_VALUE"""),"Douglasville")</f>
        <v>Douglasville</v>
      </c>
      <c r="D201" s="1" t="str">
        <f>IFERROR(__xludf.DUMMYFUNCTION("""COMPUTED_VALUE"""),"GA")</f>
        <v>GA</v>
      </c>
      <c r="E201" s="1" t="str">
        <f>IFERROR(__xludf.DUMMYFUNCTION("""COMPUTED_VALUE"""),"30135")</f>
        <v>30135</v>
      </c>
      <c r="F201" s="1" t="str">
        <f>IFERROR(__xludf.DUMMYFUNCTION("""COMPUTED_VALUE"""),"Douglas")</f>
        <v>Douglas</v>
      </c>
      <c r="G201" s="1" t="str">
        <f>IFERROR(__xludf.DUMMYFUNCTION("""COMPUTED_VALUE"""),"33.71054")</f>
        <v>33.71054</v>
      </c>
      <c r="H201" s="1" t="str">
        <f>IFERROR(__xludf.DUMMYFUNCTION("""COMPUTED_VALUE"""),"-84.6269")</f>
        <v>-84.6269</v>
      </c>
      <c r="I201" s="1" t="str">
        <f>IFERROR(__xludf.DUMMYFUNCTION("""COMPUTED_VALUE"""),"Proposed")</f>
        <v>Proposed</v>
      </c>
      <c r="J201" s="1" t="str">
        <f>IFERROR(__xludf.DUMMYFUNCTION("""COMPUTED_VALUE"""),"Medium")</f>
        <v>Medium</v>
      </c>
      <c r="K201" s="1" t="str">
        <f>IFERROR(__xludf.DUMMYFUNCTION("""COMPUTED_VALUE"""),"")</f>
        <v/>
      </c>
      <c r="L201" s="1" t="str">
        <f>IFERROR(__xludf.DUMMYFUNCTION("""COMPUTED_VALUE"""),"")</f>
        <v/>
      </c>
      <c r="M201" s="1" t="str">
        <f>IFERROR(__xludf.DUMMYFUNCTION("""COMPUTED_VALUE"""),"")</f>
        <v/>
      </c>
      <c r="N201" s="1" t="str">
        <f>IFERROR(__xludf.DUMMYFUNCTION("""COMPUTED_VALUE"""),"")</f>
        <v/>
      </c>
      <c r="O201" s="1" t="str">
        <f>IFERROR(__xludf.DUMMYFUNCTION("""COMPUTED_VALUE"""),"Unknown")</f>
        <v>Unknown</v>
      </c>
      <c r="P201" s="1" t="str">
        <f>IFERROR(__xludf.DUMMYFUNCTION("""COMPUTED_VALUE"""),"")</f>
        <v/>
      </c>
      <c r="Q201" s="1" t="str">
        <f>IFERROR(__xludf.DUMMYFUNCTION("""COMPUTED_VALUE"""),"")</f>
        <v/>
      </c>
      <c r="R201" s="1" t="str">
        <f>IFERROR(__xludf.DUMMYFUNCTION("""COMPUTED_VALUE"""),"")</f>
        <v/>
      </c>
      <c r="S201" s="1" t="str">
        <f>IFERROR(__xludf.DUMMYFUNCTION("""COMPUTED_VALUE"""),"")</f>
        <v/>
      </c>
      <c r="T201" s="1" t="str">
        <f>IFERROR(__xludf.DUMMYFUNCTION("""COMPUTED_VALUE"""),"")</f>
        <v/>
      </c>
      <c r="U201" s="1" t="str">
        <f>IFERROR(__xludf.DUMMYFUNCTION("""COMPUTED_VALUE"""),"")</f>
        <v/>
      </c>
      <c r="V201" s="1" t="str">
        <f>IFERROR(__xludf.DUMMYFUNCTION("""COMPUTED_VALUE"""),"1,700,000")</f>
        <v>1,700,000</v>
      </c>
      <c r="W201" s="1" t="str">
        <f>IFERROR(__xludf.DUMMYFUNCTION("""COMPUTED_VALUE"""),"")</f>
        <v/>
      </c>
      <c r="X201" s="1" t="str">
        <f>IFERROR(__xludf.DUMMYFUNCTION("""COMPUTED_VALUE"""),"")</f>
        <v/>
      </c>
      <c r="Y201" s="1" t="str">
        <f>IFERROR(__xludf.DUMMYFUNCTION("""COMPUTED_VALUE"""),"")</f>
        <v/>
      </c>
      <c r="Z201" s="1" t="str">
        <f>IFERROR(__xludf.DUMMYFUNCTION("""COMPUTED_VALUE"""),"Unknown")</f>
        <v>Unknown</v>
      </c>
      <c r="AA201" s="1" t="str">
        <f>IFERROR(__xludf.DUMMYFUNCTION("""COMPUTED_VALUE"""),"")</f>
        <v/>
      </c>
      <c r="AB201" s="1" t="str">
        <f>IFERROR(__xludf.DUMMYFUNCTION("""COMPUTED_VALUE"""),"")</f>
        <v/>
      </c>
      <c r="AC201" s="1" t="str">
        <f>IFERROR(__xludf.DUMMYFUNCTION("""COMPUTED_VALUE"""),"")</f>
        <v/>
      </c>
      <c r="AD201" s="1" t="str">
        <f>IFERROR(__xludf.DUMMYFUNCTION("""COMPUTED_VALUE"""),"")</f>
        <v/>
      </c>
      <c r="AE201" s="1" t="str">
        <f>IFERROR(__xludf.DUMMYFUNCTION("""COMPUTED_VALUE"""),"")</f>
        <v/>
      </c>
      <c r="AF201" s="1" t="str">
        <f>IFERROR(__xludf.DUMMYFUNCTION("""COMPUTED_VALUE"""),"")</f>
        <v/>
      </c>
      <c r="AG201" s="1" t="str">
        <f>IFERROR(__xludf.DUMMYFUNCTION("""COMPUTED_VALUE"""),"")</f>
        <v/>
      </c>
      <c r="AH201" s="1" t="str">
        <f>IFERROR(__xludf.DUMMYFUNCTION("""COMPUTED_VALUE"""),"Media Monitoring")</f>
        <v>Media Monitoring</v>
      </c>
      <c r="AI201" s="2" t="str">
        <f>IFERROR(__xludf.DUMMYFUNCTION("""COMPUTED_VALUE"""),"https://www.datacenterdynamics.com/en/news/vantage-plots-data-center-campus-in-atlanta-georgia/")</f>
        <v>https://www.datacenterdynamics.com/en/news/vantage-plots-data-center-campus-in-atlanta-georgia/</v>
      </c>
      <c r="AJ201" s="1" t="str">
        <f>IFERROR(__xludf.DUMMYFUNCTION("""COMPUTED_VALUE"""),"")</f>
        <v/>
      </c>
      <c r="AK201" s="1" t="str">
        <f>IFERROR(__xludf.DUMMYFUNCTION("""COMPUTED_VALUE"""),"")</f>
        <v/>
      </c>
      <c r="AL201" s="1" t="str">
        <f>IFERROR(__xludf.DUMMYFUNCTION("""COMPUTED_VALUE"""),"")</f>
        <v/>
      </c>
      <c r="AM201" s="1" t="str">
        <f>IFERROR(__xludf.DUMMYFUNCTION("""COMPUTED_VALUE"""),"")</f>
        <v/>
      </c>
      <c r="AN201" s="1" t="str">
        <f>IFERROR(__xludf.DUMMYFUNCTION("""COMPUTED_VALUE"""),"")</f>
        <v/>
      </c>
      <c r="AO201" s="1" t="str">
        <f>IFERROR(__xludf.DUMMYFUNCTION("""COMPUTED_VALUE"""),"")</f>
        <v/>
      </c>
      <c r="AP201" s="1" t="str">
        <f>IFERROR(__xludf.DUMMYFUNCTION("""COMPUTED_VALUE"""),"")</f>
        <v/>
      </c>
      <c r="AQ201" s="1" t="str">
        <f>IFERROR(__xludf.DUMMYFUNCTION("""COMPUTED_VALUE"""),"06/25/2025")</f>
        <v>06/25/2025</v>
      </c>
      <c r="AR201" s="1" t="str">
        <f>IFERROR(__xludf.DUMMYFUNCTION("""COMPUTED_VALUE"""),"06/25/2025")</f>
        <v>06/25/2025</v>
      </c>
    </row>
    <row r="202">
      <c r="A202" s="1" t="str">
        <f>IFERROR(__xludf.DUMMYFUNCTION("""COMPUTED_VALUE"""),"Project Eagle")</f>
        <v>Project Eagle</v>
      </c>
      <c r="B202" s="1" t="str">
        <f>IFERROR(__xludf.DUMMYFUNCTION("""COMPUTED_VALUE"""),"7015 Adams Park Rd")</f>
        <v>7015 Adams Park Rd</v>
      </c>
      <c r="C202" s="1" t="str">
        <f>IFERROR(__xludf.DUMMYFUNCTION("""COMPUTED_VALUE"""),"Dry Branch")</f>
        <v>Dry Branch</v>
      </c>
      <c r="D202" s="1" t="str">
        <f>IFERROR(__xludf.DUMMYFUNCTION("""COMPUTED_VALUE"""),"GA")</f>
        <v>GA</v>
      </c>
      <c r="E202" s="1" t="str">
        <f>IFERROR(__xludf.DUMMYFUNCTION("""COMPUTED_VALUE"""),"31020")</f>
        <v>31020</v>
      </c>
      <c r="F202" s="1" t="str">
        <f>IFERROR(__xludf.DUMMYFUNCTION("""COMPUTED_VALUE"""),"Twiggs")</f>
        <v>Twiggs</v>
      </c>
      <c r="G202" s="1" t="str">
        <f>IFERROR(__xludf.DUMMYFUNCTION("""COMPUTED_VALUE"""),"32.63236")</f>
        <v>32.63236</v>
      </c>
      <c r="H202" s="1" t="str">
        <f>IFERROR(__xludf.DUMMYFUNCTION("""COMPUTED_VALUE"""),"-83.5072")</f>
        <v>-83.5072</v>
      </c>
      <c r="I202" s="1" t="str">
        <f>IFERROR(__xludf.DUMMYFUNCTION("""COMPUTED_VALUE"""),"Proposed")</f>
        <v>Proposed</v>
      </c>
      <c r="J202" s="1" t="str">
        <f>IFERROR(__xludf.DUMMYFUNCTION("""COMPUTED_VALUE"""),"High")</f>
        <v>High</v>
      </c>
      <c r="K202" s="1" t="str">
        <f>IFERROR(__xludf.DUMMYFUNCTION("""COMPUTED_VALUE"""),"AI")</f>
        <v>AI</v>
      </c>
      <c r="L202" s="1" t="str">
        <f>IFERROR(__xludf.DUMMYFUNCTION("""COMPUTED_VALUE"""),"Eagle Rock Partners LLC and Thomas &amp; Hutton Engineering")</f>
        <v>Eagle Rock Partners LLC and Thomas &amp; Hutton Engineering</v>
      </c>
      <c r="M202" s="1" t="str">
        <f>IFERROR(__xludf.DUMMYFUNCTION("""COMPUTED_VALUE"""),"")</f>
        <v/>
      </c>
      <c r="N202" s="1" t="str">
        <f>IFERROR(__xludf.DUMMYFUNCTION("""COMPUTED_VALUE"""),"900")</f>
        <v>900</v>
      </c>
      <c r="O202" s="1" t="str">
        <f>IFERROR(__xludf.DUMMYFUNCTION("""COMPUTED_VALUE"""),"Hyperscale (100-999 MW)")</f>
        <v>Hyperscale (100-999 MW)</v>
      </c>
      <c r="P202" s="1" t="str">
        <f>IFERROR(__xludf.DUMMYFUNCTION("""COMPUTED_VALUE"""),"")</f>
        <v/>
      </c>
      <c r="Q202" s="1" t="str">
        <f>IFERROR(__xludf.DUMMYFUNCTION("""COMPUTED_VALUE"""),"")</f>
        <v/>
      </c>
      <c r="R202" s="1" t="str">
        <f>IFERROR(__xludf.DUMMYFUNCTION("""COMPUTED_VALUE"""),"")</f>
        <v/>
      </c>
      <c r="S202" s="1" t="str">
        <f>IFERROR(__xludf.DUMMYFUNCTION("""COMPUTED_VALUE"""),"9")</f>
        <v>9</v>
      </c>
      <c r="T202" s="1" t="str">
        <f>IFERROR(__xludf.DUMMYFUNCTION("""COMPUTED_VALUE"""),"Water")</f>
        <v>Water</v>
      </c>
      <c r="U202" s="1" t="str">
        <f>IFERROR(__xludf.DUMMYFUNCTION("""COMPUTED_VALUE"""),"")</f>
        <v/>
      </c>
      <c r="V202" s="1" t="str">
        <f>IFERROR(__xludf.DUMMYFUNCTION("""COMPUTED_VALUE"""),"")</f>
        <v/>
      </c>
      <c r="W202" s="1" t="str">
        <f>IFERROR(__xludf.DUMMYFUNCTION("""COMPUTED_VALUE"""),"300")</f>
        <v>300</v>
      </c>
      <c r="X202" s="1" t="str">
        <f>IFERROR(__xludf.DUMMYFUNCTION("""COMPUTED_VALUE"""),"$5 billion")</f>
        <v>$5 billion</v>
      </c>
      <c r="Y202" s="1" t="str">
        <f>IFERROR(__xludf.DUMMYFUNCTION("""COMPUTED_VALUE"""),"")</f>
        <v/>
      </c>
      <c r="Z202" s="1" t="str">
        <f>IFERROR(__xludf.DUMMYFUNCTION("""COMPUTED_VALUE"""),"Yes")</f>
        <v>Yes</v>
      </c>
      <c r="AA202" s="1" t="str">
        <f>IFERROR(__xludf.DUMMYFUNCTION("""COMPUTED_VALUE"""),"")</f>
        <v/>
      </c>
      <c r="AB202" s="1" t="str">
        <f>IFERROR(__xludf.DUMMYFUNCTION("""COMPUTED_VALUE"""),"")</f>
        <v/>
      </c>
      <c r="AC202" s="1" t="str">
        <f>IFERROR(__xludf.DUMMYFUNCTION("""COMPUTED_VALUE"""),"")</f>
        <v/>
      </c>
      <c r="AD202" s="1" t="str">
        <f>IFERROR(__xludf.DUMMYFUNCTION("""COMPUTED_VALUE"""),"")</f>
        <v/>
      </c>
      <c r="AE202" s="1" t="str">
        <f>IFERROR(__xludf.DUMMYFUNCTION("""COMPUTED_VALUE"""),"")</f>
        <v/>
      </c>
      <c r="AF202" s="1" t="str">
        <f>IFERROR(__xludf.DUMMYFUNCTION("""COMPUTED_VALUE"""),"")</f>
        <v/>
      </c>
      <c r="AG202" s="1" t="str">
        <f>IFERROR(__xludf.DUMMYFUNCTION("""COMPUTED_VALUE"""),"Forested land owned by Weyerhaeuser NR Company. Would use 11,250 gal water/day. Strong community opposition.Twiggs County commissioners approved plans to rezone property on Adams Park Road for the data center. Area historically inhabited by the Muscogee C"&amp;"reek Nation")</f>
        <v>Forested land owned by Weyerhaeuser NR Company. Would use 11,250 gal water/day. Strong community opposition.Twiggs County commissioners approved plans to rezone property on Adams Park Road for the data center. Area historically inhabited by the Muscogee Creek Nation</v>
      </c>
      <c r="AH202" s="1" t="str">
        <f>IFERROR(__xludf.DUMMYFUNCTION("""COMPUTED_VALUE"""),"Media Monitoring")</f>
        <v>Media Monitoring</v>
      </c>
      <c r="AI202" s="2" t="str">
        <f>IFERROR(__xludf.DUMMYFUNCTION("""COMPUTED_VALUE"""),"https://www.13wmaz.com/article/news/local/twiggs/5-billion-data-center-proposed-for-rural-twiggs-county-mixed-reactions/93-8c88256d-72bf-47d8-83b7-992aa21475a1")</f>
        <v>https://www.13wmaz.com/article/news/local/twiggs/5-billion-data-center-proposed-for-rural-twiggs-county-mixed-reactions/93-8c88256d-72bf-47d8-83b7-992aa21475a1</v>
      </c>
      <c r="AJ202" s="2" t="str">
        <f>IFERROR(__xludf.DUMMYFUNCTION("""COMPUTED_VALUE"""),"https://www.13wmaz.com/article/news/local/twiggs-neighbors-fear-5b-proposed-data-center-will-drain-wells-endanger-wilderness/93-32db438f-a736-46b8-a899-d97f891206b4")</f>
        <v>https://www.13wmaz.com/article/news/local/twiggs-neighbors-fear-5b-proposed-data-center-will-drain-wells-endanger-wilderness/93-32db438f-a736-46b8-a899-d97f891206b4</v>
      </c>
      <c r="AK202" s="2" t="str">
        <f>IFERROR(__xludf.DUMMYFUNCTION("""COMPUTED_VALUE"""),"https://wgxa.tv/news/local/local-farmer-has-growing-concern-over-rezoning-request-for-data-center-in-twiggs-county")</f>
        <v>https://wgxa.tv/news/local/local-farmer-has-growing-concern-over-rezoning-request-for-data-center-in-twiggs-county</v>
      </c>
      <c r="AL202" s="2" t="str">
        <f>IFERROR(__xludf.DUMMYFUNCTION("""COMPUTED_VALUE"""),"https://www.datacenterdynamics.com/en/news/data-center-proposed-in-twiggs-county-georgia/")</f>
        <v>https://www.datacenterdynamics.com/en/news/data-center-proposed-in-twiggs-county-georgia/</v>
      </c>
      <c r="AM202" s="2" t="str">
        <f>IFERROR(__xludf.DUMMYFUNCTION("""COMPUTED_VALUE"""),"https://www.twiggscounty.us/wp-content/uploads/2025/08/Pine-Ridge-Data-Center-Facts-Sheet.pdf")</f>
        <v>https://www.twiggscounty.us/wp-content/uploads/2025/08/Pine-Ridge-Data-Center-Facts-Sheet.pdf</v>
      </c>
      <c r="AN202" s="2" t="str">
        <f>IFERROR(__xludf.DUMMYFUNCTION("""COMPUTED_VALUE"""),"https://wgxa.tv/news/local/environmental-advocate-urges-twiggs-county-to-reject-data-center-plans-near-ocmulgee-river")</f>
        <v>https://wgxa.tv/news/local/environmental-advocate-urges-twiggs-county-to-reject-data-center-plans-near-ocmulgee-river</v>
      </c>
      <c r="AO202" s="2" t="str">
        <f>IFERROR(__xludf.DUMMYFUNCTION("""COMPUTED_VALUE"""),"https://www.41nbc.com/twiggs-county-data-center-rezoning-approval/")</f>
        <v>https://www.41nbc.com/twiggs-county-data-center-rezoning-approval/</v>
      </c>
      <c r="AP202" s="2" t="str">
        <f>IFERROR(__xludf.DUMMYFUNCTION("""COMPUTED_VALUE"""),"https://www.41nbc.com/twiggs-county-data-center-rezoning-approval/")</f>
        <v>https://www.41nbc.com/twiggs-county-data-center-rezoning-approval/</v>
      </c>
      <c r="AQ202" s="1" t="str">
        <f>IFERROR(__xludf.DUMMYFUNCTION("""COMPUTED_VALUE"""),"09/01/2025")</f>
        <v>09/01/2025</v>
      </c>
      <c r="AR202" s="1" t="str">
        <f>IFERROR(__xludf.DUMMYFUNCTION("""COMPUTED_VALUE"""),"03/23/2026")</f>
        <v>03/23/2026</v>
      </c>
    </row>
    <row r="203">
      <c r="A203" s="1" t="str">
        <f>IFERROR(__xludf.DUMMYFUNCTION("""COMPUTED_VALUE"""),"East Point Campus")</f>
        <v>East Point Campus</v>
      </c>
      <c r="B203" s="1" t="str">
        <f>IFERROR(__xludf.DUMMYFUNCTION("""COMPUTED_VALUE"""),"4165 Ben Hill Road")</f>
        <v>4165 Ben Hill Road</v>
      </c>
      <c r="C203" s="1" t="str">
        <f>IFERROR(__xludf.DUMMYFUNCTION("""COMPUTED_VALUE"""),"East Point")</f>
        <v>East Point</v>
      </c>
      <c r="D203" s="1" t="str">
        <f>IFERROR(__xludf.DUMMYFUNCTION("""COMPUTED_VALUE"""),"GA")</f>
        <v>GA</v>
      </c>
      <c r="E203" s="1" t="str">
        <f>IFERROR(__xludf.DUMMYFUNCTION("""COMPUTED_VALUE"""),"30349")</f>
        <v>30349</v>
      </c>
      <c r="F203" s="1" t="str">
        <f>IFERROR(__xludf.DUMMYFUNCTION("""COMPUTED_VALUE"""),"Fulton")</f>
        <v>Fulton</v>
      </c>
      <c r="G203" s="1" t="str">
        <f>IFERROR(__xludf.DUMMYFUNCTION("""COMPUTED_VALUE"""),"33.642456")</f>
        <v>33.642456</v>
      </c>
      <c r="H203" s="1" t="str">
        <f>IFERROR(__xludf.DUMMYFUNCTION("""COMPUTED_VALUE"""),"-84.514824")</f>
        <v>-84.514824</v>
      </c>
      <c r="I203" s="1" t="str">
        <f>IFERROR(__xludf.DUMMYFUNCTION("""COMPUTED_VALUE"""),"Operating")</f>
        <v>Operating</v>
      </c>
      <c r="J203" s="1" t="str">
        <f>IFERROR(__xludf.DUMMYFUNCTION("""COMPUTED_VALUE"""),"High")</f>
        <v>High</v>
      </c>
      <c r="K203" s="1" t="str">
        <f>IFERROR(__xludf.DUMMYFUNCTION("""COMPUTED_VALUE"""),"")</f>
        <v/>
      </c>
      <c r="L203" s="1" t="str">
        <f>IFERROR(__xludf.DUMMYFUNCTION("""COMPUTED_VALUE"""),"Microsoft")</f>
        <v>Microsoft</v>
      </c>
      <c r="M203" s="1" t="str">
        <f>IFERROR(__xludf.DUMMYFUNCTION("""COMPUTED_VALUE"""),"")</f>
        <v/>
      </c>
      <c r="N203" s="1" t="str">
        <f>IFERROR(__xludf.DUMMYFUNCTION("""COMPUTED_VALUE"""),"38")</f>
        <v>38</v>
      </c>
      <c r="O203" s="1" t="str">
        <f>IFERROR(__xludf.DUMMYFUNCTION("""COMPUTED_VALUE"""),"Medium (11-50 MW)")</f>
        <v>Medium (11-50 MW)</v>
      </c>
      <c r="P203" s="1" t="str">
        <f>IFERROR(__xludf.DUMMYFUNCTION("""COMPUTED_VALUE"""),"")</f>
        <v/>
      </c>
      <c r="Q203" s="1" t="str">
        <f>IFERROR(__xludf.DUMMYFUNCTION("""COMPUTED_VALUE"""),"")</f>
        <v/>
      </c>
      <c r="R203" s="1" t="str">
        <f>IFERROR(__xludf.DUMMYFUNCTION("""COMPUTED_VALUE"""),"")</f>
        <v/>
      </c>
      <c r="S203" s="1" t="str">
        <f>IFERROR(__xludf.DUMMYFUNCTION("""COMPUTED_VALUE"""),"")</f>
        <v/>
      </c>
      <c r="T203" s="1" t="str">
        <f>IFERROR(__xludf.DUMMYFUNCTION("""COMPUTED_VALUE"""),"")</f>
        <v/>
      </c>
      <c r="U203" s="1" t="str">
        <f>IFERROR(__xludf.DUMMYFUNCTION("""COMPUTED_VALUE"""),"")</f>
        <v/>
      </c>
      <c r="V203" s="1" t="str">
        <f>IFERROR(__xludf.DUMMYFUNCTION("""COMPUTED_VALUE"""),"250,000")</f>
        <v>250,000</v>
      </c>
      <c r="W203" s="1" t="str">
        <f>IFERROR(__xludf.DUMMYFUNCTION("""COMPUTED_VALUE"""),"")</f>
        <v/>
      </c>
      <c r="X203" s="1" t="str">
        <f>IFERROR(__xludf.DUMMYFUNCTION("""COMPUTED_VALUE"""),"")</f>
        <v/>
      </c>
      <c r="Y203" s="1" t="str">
        <f>IFERROR(__xludf.DUMMYFUNCTION("""COMPUTED_VALUE"""),"")</f>
        <v/>
      </c>
      <c r="Z203" s="1" t="str">
        <f>IFERROR(__xludf.DUMMYFUNCTION("""COMPUTED_VALUE"""),"Unknown")</f>
        <v>Unknown</v>
      </c>
      <c r="AA203" s="1" t="str">
        <f>IFERROR(__xludf.DUMMYFUNCTION("""COMPUTED_VALUE"""),"")</f>
        <v/>
      </c>
      <c r="AB203" s="1" t="str">
        <f>IFERROR(__xludf.DUMMYFUNCTION("""COMPUTED_VALUE"""),"")</f>
        <v/>
      </c>
      <c r="AC203" s="1" t="str">
        <f>IFERROR(__xludf.DUMMYFUNCTION("""COMPUTED_VALUE"""),"")</f>
        <v/>
      </c>
      <c r="AD203" s="1" t="str">
        <f>IFERROR(__xludf.DUMMYFUNCTION("""COMPUTED_VALUE"""),"")</f>
        <v/>
      </c>
      <c r="AE203" s="1" t="str">
        <f>IFERROR(__xludf.DUMMYFUNCTION("""COMPUTED_VALUE"""),"")</f>
        <v/>
      </c>
      <c r="AF203" s="1" t="str">
        <f>IFERROR(__xludf.DUMMYFUNCTION("""COMPUTED_VALUE"""),"")</f>
        <v/>
      </c>
      <c r="AG203" s="1" t="str">
        <f>IFERROR(__xludf.DUMMYFUNCTION("""COMPUTED_VALUE"""),"")</f>
        <v/>
      </c>
      <c r="AH203" s="1" t="str">
        <f>IFERROR(__xludf.DUMMYFUNCTION("""COMPUTED_VALUE"""),"Sci4GA")</f>
        <v>Sci4GA</v>
      </c>
      <c r="AI203" s="2" t="str">
        <f>IFERROR(__xludf.DUMMYFUNCTION("""COMPUTED_VALUE"""),"https://local.microsoft.com/blog/east-point-datacenter-project-overview/")</f>
        <v>https://local.microsoft.com/blog/east-point-datacenter-project-overview/</v>
      </c>
      <c r="AJ203" s="1" t="str">
        <f>IFERROR(__xludf.DUMMYFUNCTION("""COMPUTED_VALUE"""),"")</f>
        <v/>
      </c>
      <c r="AK203" s="1" t="str">
        <f>IFERROR(__xludf.DUMMYFUNCTION("""COMPUTED_VALUE"""),"")</f>
        <v/>
      </c>
      <c r="AL203" s="1" t="str">
        <f>IFERROR(__xludf.DUMMYFUNCTION("""COMPUTED_VALUE"""),"")</f>
        <v/>
      </c>
      <c r="AM203" s="1" t="str">
        <f>IFERROR(__xludf.DUMMYFUNCTION("""COMPUTED_VALUE"""),"")</f>
        <v/>
      </c>
      <c r="AN203" s="1" t="str">
        <f>IFERROR(__xludf.DUMMYFUNCTION("""COMPUTED_VALUE"""),"")</f>
        <v/>
      </c>
      <c r="AO203" s="1" t="str">
        <f>IFERROR(__xludf.DUMMYFUNCTION("""COMPUTED_VALUE"""),"")</f>
        <v/>
      </c>
      <c r="AP203" s="1" t="str">
        <f>IFERROR(__xludf.DUMMYFUNCTION("""COMPUTED_VALUE"""),"")</f>
        <v/>
      </c>
      <c r="AQ203" s="1" t="str">
        <f>IFERROR(__xludf.DUMMYFUNCTION("""COMPUTED_VALUE"""),"10/16/2025")</f>
        <v>10/16/2025</v>
      </c>
      <c r="AR203" s="1" t="str">
        <f>IFERROR(__xludf.DUMMYFUNCTION("""COMPUTED_VALUE"""),"10/16/2025")</f>
        <v>10/16/2025</v>
      </c>
    </row>
    <row r="204">
      <c r="A204" s="1" t="str">
        <f>IFERROR(__xludf.DUMMYFUNCTION("""COMPUTED_VALUE"""),"Clayton Commerce III")</f>
        <v>Clayton Commerce III</v>
      </c>
      <c r="B204" s="1" t="str">
        <f>IFERROR(__xludf.DUMMYFUNCTION("""COMPUTED_VALUE"""),"4350 E Tanners Church Rd")</f>
        <v>4350 E Tanners Church Rd</v>
      </c>
      <c r="C204" s="1" t="str">
        <f>IFERROR(__xludf.DUMMYFUNCTION("""COMPUTED_VALUE"""),"Ellenwood")</f>
        <v>Ellenwood</v>
      </c>
      <c r="D204" s="1" t="str">
        <f>IFERROR(__xludf.DUMMYFUNCTION("""COMPUTED_VALUE"""),"GA")</f>
        <v>GA</v>
      </c>
      <c r="E204" s="1" t="str">
        <f>IFERROR(__xludf.DUMMYFUNCTION("""COMPUTED_VALUE"""),"30294")</f>
        <v>30294</v>
      </c>
      <c r="F204" s="1" t="str">
        <f>IFERROR(__xludf.DUMMYFUNCTION("""COMPUTED_VALUE"""),"Clayton")</f>
        <v>Clayton</v>
      </c>
      <c r="G204" s="1" t="str">
        <f>IFERROR(__xludf.DUMMYFUNCTION("""COMPUTED_VALUE"""),"33.6353")</f>
        <v>33.6353</v>
      </c>
      <c r="H204" s="1" t="str">
        <f>IFERROR(__xludf.DUMMYFUNCTION("""COMPUTED_VALUE"""),"-84.30396")</f>
        <v>-84.30396</v>
      </c>
      <c r="I204" s="1" t="str">
        <f>IFERROR(__xludf.DUMMYFUNCTION("""COMPUTED_VALUE"""),"Proposed")</f>
        <v>Proposed</v>
      </c>
      <c r="J204" s="1" t="str">
        <f>IFERROR(__xludf.DUMMYFUNCTION("""COMPUTED_VALUE"""),"High")</f>
        <v>High</v>
      </c>
      <c r="K204" s="1" t="str">
        <f>IFERROR(__xludf.DUMMYFUNCTION("""COMPUTED_VALUE"""),"")</f>
        <v/>
      </c>
      <c r="L204" s="1" t="str">
        <f>IFERROR(__xludf.DUMMYFUNCTION("""COMPUTED_VALUE"""),"TA Realty/ EdgeconneX")</f>
        <v>TA Realty/ EdgeconneX</v>
      </c>
      <c r="M204" s="1" t="str">
        <f>IFERROR(__xludf.DUMMYFUNCTION("""COMPUTED_VALUE"""),"")</f>
        <v/>
      </c>
      <c r="N204" s="1" t="str">
        <f>IFERROR(__xludf.DUMMYFUNCTION("""COMPUTED_VALUE"""),"180")</f>
        <v>180</v>
      </c>
      <c r="O204" s="1" t="str">
        <f>IFERROR(__xludf.DUMMYFUNCTION("""COMPUTED_VALUE"""),"Hyperscale (100-999 MW)")</f>
        <v>Hyperscale (100-999 MW)</v>
      </c>
      <c r="P204" s="1" t="str">
        <f>IFERROR(__xludf.DUMMYFUNCTION("""COMPUTED_VALUE"""),"")</f>
        <v/>
      </c>
      <c r="Q204" s="1" t="str">
        <f>IFERROR(__xludf.DUMMYFUNCTION("""COMPUTED_VALUE"""),"")</f>
        <v/>
      </c>
      <c r="R204" s="1" t="str">
        <f>IFERROR(__xludf.DUMMYFUNCTION("""COMPUTED_VALUE"""),"")</f>
        <v/>
      </c>
      <c r="S204" s="1" t="str">
        <f>IFERROR(__xludf.DUMMYFUNCTION("""COMPUTED_VALUE"""),"")</f>
        <v/>
      </c>
      <c r="T204" s="1" t="str">
        <f>IFERROR(__xludf.DUMMYFUNCTION("""COMPUTED_VALUE"""),"")</f>
        <v/>
      </c>
      <c r="U204" s="1" t="str">
        <f>IFERROR(__xludf.DUMMYFUNCTION("""COMPUTED_VALUE"""),"")</f>
        <v/>
      </c>
      <c r="V204" s="1" t="str">
        <f>IFERROR(__xludf.DUMMYFUNCTION("""COMPUTED_VALUE"""),"")</f>
        <v/>
      </c>
      <c r="W204" s="1" t="str">
        <f>IFERROR(__xludf.DUMMYFUNCTION("""COMPUTED_VALUE"""),"")</f>
        <v/>
      </c>
      <c r="X204" s="1" t="str">
        <f>IFERROR(__xludf.DUMMYFUNCTION("""COMPUTED_VALUE"""),"")</f>
        <v/>
      </c>
      <c r="Y204" s="1" t="str">
        <f>IFERROR(__xludf.DUMMYFUNCTION("""COMPUTED_VALUE"""),"")</f>
        <v/>
      </c>
      <c r="Z204" s="1" t="str">
        <f>IFERROR(__xludf.DUMMYFUNCTION("""COMPUTED_VALUE"""),"Unknown")</f>
        <v>Unknown</v>
      </c>
      <c r="AA204" s="1" t="str">
        <f>IFERROR(__xludf.DUMMYFUNCTION("""COMPUTED_VALUE"""),"")</f>
        <v/>
      </c>
      <c r="AB204" s="1" t="str">
        <f>IFERROR(__xludf.DUMMYFUNCTION("""COMPUTED_VALUE"""),"")</f>
        <v/>
      </c>
      <c r="AC204" s="1" t="str">
        <f>IFERROR(__xludf.DUMMYFUNCTION("""COMPUTED_VALUE"""),"")</f>
        <v/>
      </c>
      <c r="AD204" s="1" t="str">
        <f>IFERROR(__xludf.DUMMYFUNCTION("""COMPUTED_VALUE"""),"")</f>
        <v/>
      </c>
      <c r="AE204" s="1" t="str">
        <f>IFERROR(__xludf.DUMMYFUNCTION("""COMPUTED_VALUE"""),"")</f>
        <v/>
      </c>
      <c r="AF204" s="1" t="str">
        <f>IFERROR(__xludf.DUMMYFUNCTION("""COMPUTED_VALUE"""),"")</f>
        <v/>
      </c>
      <c r="AG204" s="1" t="str">
        <f>IFERROR(__xludf.DUMMYFUNCTION("""COMPUTED_VALUE"""),"")</f>
        <v/>
      </c>
      <c r="AH204" s="1" t="str">
        <f>IFERROR(__xludf.DUMMYFUNCTION("""COMPUTED_VALUE"""),"Sci4GA")</f>
        <v>Sci4GA</v>
      </c>
      <c r="AI204" s="2" t="str">
        <f>IFERROR(__xludf.DUMMYFUNCTION("""COMPUTED_VALUE"""),"https://www.datacenterdynamics.com/en/news/ta-realty-gets-green-light-for-data-center-outside-atlanta-georgia/")</f>
        <v>https://www.datacenterdynamics.com/en/news/ta-realty-gets-green-light-for-data-center-outside-atlanta-georgia/</v>
      </c>
      <c r="AJ204" s="2" t="str">
        <f>IFERROR(__xludf.DUMMYFUNCTION("""COMPUTED_VALUE"""),"https://www.ajc.com/news/2025/06/clayton-county-agency-approves-tax-break-for-1b-data-center/")</f>
        <v>https://www.ajc.com/news/2025/06/clayton-county-agency-approves-tax-break-for-1b-data-center/</v>
      </c>
      <c r="AK204" s="1" t="str">
        <f>IFERROR(__xludf.DUMMYFUNCTION("""COMPUTED_VALUE"""),"")</f>
        <v/>
      </c>
      <c r="AL204" s="1" t="str">
        <f>IFERROR(__xludf.DUMMYFUNCTION("""COMPUTED_VALUE"""),"")</f>
        <v/>
      </c>
      <c r="AM204" s="1" t="str">
        <f>IFERROR(__xludf.DUMMYFUNCTION("""COMPUTED_VALUE"""),"")</f>
        <v/>
      </c>
      <c r="AN204" s="1" t="str">
        <f>IFERROR(__xludf.DUMMYFUNCTION("""COMPUTED_VALUE"""),"")</f>
        <v/>
      </c>
      <c r="AO204" s="1" t="str">
        <f>IFERROR(__xludf.DUMMYFUNCTION("""COMPUTED_VALUE"""),"")</f>
        <v/>
      </c>
      <c r="AP204" s="1" t="str">
        <f>IFERROR(__xludf.DUMMYFUNCTION("""COMPUTED_VALUE"""),"")</f>
        <v/>
      </c>
      <c r="AQ204" s="1" t="str">
        <f>IFERROR(__xludf.DUMMYFUNCTION("""COMPUTED_VALUE"""),"10/16/2025")</f>
        <v>10/16/2025</v>
      </c>
      <c r="AR204" s="1" t="str">
        <f>IFERROR(__xludf.DUMMYFUNCTION("""COMPUTED_VALUE"""),"10/16/2025")</f>
        <v>10/16/2025</v>
      </c>
    </row>
    <row r="205">
      <c r="A205" s="1" t="str">
        <f>IFERROR(__xludf.DUMMYFUNCTION("""COMPUTED_VALUE"""),"Conley Creek Data Center")</f>
        <v>Conley Creek Data Center</v>
      </c>
      <c r="B205" s="1" t="str">
        <f>IFERROR(__xludf.DUMMYFUNCTION("""COMPUTED_VALUE"""),"4280 Loveless Pl")</f>
        <v>4280 Loveless Pl</v>
      </c>
      <c r="C205" s="1" t="str">
        <f>IFERROR(__xludf.DUMMYFUNCTION("""COMPUTED_VALUE"""),"Ellenwood")</f>
        <v>Ellenwood</v>
      </c>
      <c r="D205" s="1" t="str">
        <f>IFERROR(__xludf.DUMMYFUNCTION("""COMPUTED_VALUE"""),"GA")</f>
        <v>GA</v>
      </c>
      <c r="E205" s="1" t="str">
        <f>IFERROR(__xludf.DUMMYFUNCTION("""COMPUTED_VALUE"""),"30294")</f>
        <v>30294</v>
      </c>
      <c r="F205" s="1" t="str">
        <f>IFERROR(__xludf.DUMMYFUNCTION("""COMPUTED_VALUE"""),"Dekalb")</f>
        <v>Dekalb</v>
      </c>
      <c r="G205" s="1" t="str">
        <f>IFERROR(__xludf.DUMMYFUNCTION("""COMPUTED_VALUE"""),"33.64961")</f>
        <v>33.64961</v>
      </c>
      <c r="H205" s="1" t="str">
        <f>IFERROR(__xludf.DUMMYFUNCTION("""COMPUTED_VALUE"""),"-84.294815")</f>
        <v>-84.294815</v>
      </c>
      <c r="I205" s="1" t="str">
        <f>IFERROR(__xludf.DUMMYFUNCTION("""COMPUTED_VALUE"""),"Suspended")</f>
        <v>Suspended</v>
      </c>
      <c r="J205" s="1" t="str">
        <f>IFERROR(__xludf.DUMMYFUNCTION("""COMPUTED_VALUE"""),"High")</f>
        <v>High</v>
      </c>
      <c r="K205" s="1" t="str">
        <f>IFERROR(__xludf.DUMMYFUNCTION("""COMPUTED_VALUE"""),"")</f>
        <v/>
      </c>
      <c r="L205" s="1" t="str">
        <f>IFERROR(__xludf.DUMMYFUNCTION("""COMPUTED_VALUE"""),"Telecad Wireless")</f>
        <v>Telecad Wireless</v>
      </c>
      <c r="M205" s="1" t="str">
        <f>IFERROR(__xludf.DUMMYFUNCTION("""COMPUTED_VALUE"""),"")</f>
        <v/>
      </c>
      <c r="N205" s="1" t="str">
        <f>IFERROR(__xludf.DUMMYFUNCTION("""COMPUTED_VALUE"""),"")</f>
        <v/>
      </c>
      <c r="O205" s="1" t="str">
        <f>IFERROR(__xludf.DUMMYFUNCTION("""COMPUTED_VALUE"""),"Unknown")</f>
        <v>Unknown</v>
      </c>
      <c r="P205" s="1" t="str">
        <f>IFERROR(__xludf.DUMMYFUNCTION("""COMPUTED_VALUE"""),"")</f>
        <v/>
      </c>
      <c r="Q205" s="1" t="str">
        <f>IFERROR(__xludf.DUMMYFUNCTION("""COMPUTED_VALUE"""),"")</f>
        <v/>
      </c>
      <c r="R205" s="1" t="str">
        <f>IFERROR(__xludf.DUMMYFUNCTION("""COMPUTED_VALUE"""),"")</f>
        <v/>
      </c>
      <c r="S205" s="1" t="str">
        <f>IFERROR(__xludf.DUMMYFUNCTION("""COMPUTED_VALUE"""),"")</f>
        <v/>
      </c>
      <c r="T205" s="1" t="str">
        <f>IFERROR(__xludf.DUMMYFUNCTION("""COMPUTED_VALUE"""),"")</f>
        <v/>
      </c>
      <c r="U205" s="1" t="str">
        <f>IFERROR(__xludf.DUMMYFUNCTION("""COMPUTED_VALUE"""),"")</f>
        <v/>
      </c>
      <c r="V205" s="1" t="str">
        <f>IFERROR(__xludf.DUMMYFUNCTION("""COMPUTED_VALUE"""),"1,000,000")</f>
        <v>1,000,000</v>
      </c>
      <c r="W205" s="1" t="str">
        <f>IFERROR(__xludf.DUMMYFUNCTION("""COMPUTED_VALUE"""),"")</f>
        <v/>
      </c>
      <c r="X205" s="1" t="str">
        <f>IFERROR(__xludf.DUMMYFUNCTION("""COMPUTED_VALUE"""),"")</f>
        <v/>
      </c>
      <c r="Y205" s="1" t="str">
        <f>IFERROR(__xludf.DUMMYFUNCTION("""COMPUTED_VALUE"""),"")</f>
        <v/>
      </c>
      <c r="Z205" s="1" t="str">
        <f>IFERROR(__xludf.DUMMYFUNCTION("""COMPUTED_VALUE"""),"Yes")</f>
        <v>Yes</v>
      </c>
      <c r="AA205" s="1" t="str">
        <f>IFERROR(__xludf.DUMMYFUNCTION("""COMPUTED_VALUE"""),"")</f>
        <v/>
      </c>
      <c r="AB205" s="1" t="str">
        <f>IFERROR(__xludf.DUMMYFUNCTION("""COMPUTED_VALUE"""),"")</f>
        <v/>
      </c>
      <c r="AC205" s="1" t="str">
        <f>IFERROR(__xludf.DUMMYFUNCTION("""COMPUTED_VALUE"""),"")</f>
        <v/>
      </c>
      <c r="AD205" s="1" t="str">
        <f>IFERROR(__xludf.DUMMYFUNCTION("""COMPUTED_VALUE"""),"")</f>
        <v/>
      </c>
      <c r="AE205" s="1" t="str">
        <f>IFERROR(__xludf.DUMMYFUNCTION("""COMPUTED_VALUE"""),"")</f>
        <v/>
      </c>
      <c r="AF205" s="2" t="str">
        <f>IFERROR(__xludf.DUMMYFUNCTION("""COMPUTED_VALUE"""),"https://www.change.org/p/no-data-centers-in-our-communities-georgia-fights-back")</f>
        <v>https://www.change.org/p/no-data-centers-in-our-communities-georgia-fights-back</v>
      </c>
      <c r="AG205" s="1" t="str">
        <f>IFERROR(__xludf.DUMMYFUNCTION("""COMPUTED_VALUE"""),"")</f>
        <v/>
      </c>
      <c r="AH205" s="1" t="str">
        <f>IFERROR(__xludf.DUMMYFUNCTION("""COMPUTED_VALUE"""),"Sci4GA")</f>
        <v>Sci4GA</v>
      </c>
      <c r="AI205" s="2" t="str">
        <f>IFERROR(__xludf.DUMMYFUNCTION("""COMPUTED_VALUE"""),"https://www.decaturish.com/business/1-million-square-foot-data-center-proposed-in-south-dekalb/article_360e16a7-a411-4af9-91ed-1d8661aa37a5.html")</f>
        <v>https://www.decaturish.com/business/1-million-square-foot-data-center-proposed-in-south-dekalb/article_360e16a7-a411-4af9-91ed-1d8661aa37a5.html</v>
      </c>
      <c r="AJ205" s="2" t="str">
        <f>IFERROR(__xludf.DUMMYFUNCTION("""COMPUTED_VALUE"""),"https://www.datacenterdynamics.com/en/news/rezoning-proposal-for-95-acre-data-center-in-dekalb-county-georgia-deferred/")</f>
        <v>https://www.datacenterdynamics.com/en/news/rezoning-proposal-for-95-acre-data-center-in-dekalb-county-georgia-deferred/</v>
      </c>
      <c r="AK205" s="2" t="str">
        <f>IFERROR(__xludf.DUMMYFUNCTION("""COMPUTED_VALUE"""),"https://www.decaturish.com/news/dekalb/tensions-flare-at-dekalb-zoning-meeting-about-data-centers/article_46a3dba1-11dd-4b2a-846f-543e3400b51d.html")</f>
        <v>https://www.decaturish.com/news/dekalb/tensions-flare-at-dekalb-zoning-meeting-about-data-centers/article_46a3dba1-11dd-4b2a-846f-543e3400b51d.html</v>
      </c>
      <c r="AL205" s="1" t="str">
        <f>IFERROR(__xludf.DUMMYFUNCTION("""COMPUTED_VALUE"""),"")</f>
        <v/>
      </c>
      <c r="AM205" s="1" t="str">
        <f>IFERROR(__xludf.DUMMYFUNCTION("""COMPUTED_VALUE"""),"")</f>
        <v/>
      </c>
      <c r="AN205" s="1" t="str">
        <f>IFERROR(__xludf.DUMMYFUNCTION("""COMPUTED_VALUE"""),"")</f>
        <v/>
      </c>
      <c r="AO205" s="1" t="str">
        <f>IFERROR(__xludf.DUMMYFUNCTION("""COMPUTED_VALUE"""),"")</f>
        <v/>
      </c>
      <c r="AP205" s="1" t="str">
        <f>IFERROR(__xludf.DUMMYFUNCTION("""COMPUTED_VALUE"""),"")</f>
        <v/>
      </c>
      <c r="AQ205" s="1" t="str">
        <f>IFERROR(__xludf.DUMMYFUNCTION("""COMPUTED_VALUE"""),"10/16/2025")</f>
        <v>10/16/2025</v>
      </c>
      <c r="AR205" s="1" t="str">
        <f>IFERROR(__xludf.DUMMYFUNCTION("""COMPUTED_VALUE"""),"03/23/2026")</f>
        <v>03/23/2026</v>
      </c>
    </row>
    <row r="206">
      <c r="A206" s="1" t="str">
        <f>IFERROR(__xludf.DUMMYFUNCTION("""COMPUTED_VALUE"""),"Fairburn Technology Center")</f>
        <v>Fairburn Technology Center</v>
      </c>
      <c r="B206" s="1" t="str">
        <f>IFERROR(__xludf.DUMMYFUNCTION("""COMPUTED_VALUE"""),"8125 Bohannon Drive")</f>
        <v>8125 Bohannon Drive</v>
      </c>
      <c r="C206" s="1" t="str">
        <f>IFERROR(__xludf.DUMMYFUNCTION("""COMPUTED_VALUE"""),"Fairburn")</f>
        <v>Fairburn</v>
      </c>
      <c r="D206" s="1" t="str">
        <f>IFERROR(__xludf.DUMMYFUNCTION("""COMPUTED_VALUE"""),"GA")</f>
        <v>GA</v>
      </c>
      <c r="E206" s="1" t="str">
        <f>IFERROR(__xludf.DUMMYFUNCTION("""COMPUTED_VALUE"""),"30213")</f>
        <v>30213</v>
      </c>
      <c r="F206" s="1" t="str">
        <f>IFERROR(__xludf.DUMMYFUNCTION("""COMPUTED_VALUE"""),"Fulton")</f>
        <v>Fulton</v>
      </c>
      <c r="G206" s="1" t="str">
        <f>IFERROR(__xludf.DUMMYFUNCTION("""COMPUTED_VALUE"""),"33.532734")</f>
        <v>33.532734</v>
      </c>
      <c r="H206" s="1" t="str">
        <f>IFERROR(__xludf.DUMMYFUNCTION("""COMPUTED_VALUE"""),"-84.58926")</f>
        <v>-84.58926</v>
      </c>
      <c r="I206" s="1" t="str">
        <f>IFERROR(__xludf.DUMMYFUNCTION("""COMPUTED_VALUE"""),"Proposed")</f>
        <v>Proposed</v>
      </c>
      <c r="J206" s="1" t="str">
        <f>IFERROR(__xludf.DUMMYFUNCTION("""COMPUTED_VALUE"""),"High")</f>
        <v>High</v>
      </c>
      <c r="K206" s="1" t="str">
        <f>IFERROR(__xludf.DUMMYFUNCTION("""COMPUTED_VALUE"""),"")</f>
        <v/>
      </c>
      <c r="L206" s="1" t="str">
        <f>IFERROR(__xludf.DUMMYFUNCTION("""COMPUTED_VALUE"""),"Bohannon Road Venture, LLC.")</f>
        <v>Bohannon Road Venture, LLC.</v>
      </c>
      <c r="M206" s="1" t="str">
        <f>IFERROR(__xludf.DUMMYFUNCTION("""COMPUTED_VALUE"""),"")</f>
        <v/>
      </c>
      <c r="N206" s="1" t="str">
        <f>IFERROR(__xludf.DUMMYFUNCTION("""COMPUTED_VALUE"""),"")</f>
        <v/>
      </c>
      <c r="O206" s="1" t="str">
        <f>IFERROR(__xludf.DUMMYFUNCTION("""COMPUTED_VALUE"""),"Unknown")</f>
        <v>Unknown</v>
      </c>
      <c r="P206" s="1" t="str">
        <f>IFERROR(__xludf.DUMMYFUNCTION("""COMPUTED_VALUE"""),"")</f>
        <v/>
      </c>
      <c r="Q206" s="1" t="str">
        <f>IFERROR(__xludf.DUMMYFUNCTION("""COMPUTED_VALUE"""),"")</f>
        <v/>
      </c>
      <c r="R206" s="1" t="str">
        <f>IFERROR(__xludf.DUMMYFUNCTION("""COMPUTED_VALUE"""),"")</f>
        <v/>
      </c>
      <c r="S206" s="1" t="str">
        <f>IFERROR(__xludf.DUMMYFUNCTION("""COMPUTED_VALUE"""),"")</f>
        <v/>
      </c>
      <c r="T206" s="1" t="str">
        <f>IFERROR(__xludf.DUMMYFUNCTION("""COMPUTED_VALUE"""),"")</f>
        <v/>
      </c>
      <c r="U206" s="1" t="str">
        <f>IFERROR(__xludf.DUMMYFUNCTION("""COMPUTED_VALUE"""),"")</f>
        <v/>
      </c>
      <c r="V206" s="1" t="str">
        <f>IFERROR(__xludf.DUMMYFUNCTION("""COMPUTED_VALUE"""),"1,190,000")</f>
        <v>1,190,000</v>
      </c>
      <c r="W206" s="1" t="str">
        <f>IFERROR(__xludf.DUMMYFUNCTION("""COMPUTED_VALUE"""),"")</f>
        <v/>
      </c>
      <c r="X206" s="1" t="str">
        <f>IFERROR(__xludf.DUMMYFUNCTION("""COMPUTED_VALUE"""),"")</f>
        <v/>
      </c>
      <c r="Y206" s="1" t="str">
        <f>IFERROR(__xludf.DUMMYFUNCTION("""COMPUTED_VALUE"""),"")</f>
        <v/>
      </c>
      <c r="Z206" s="1" t="str">
        <f>IFERROR(__xludf.DUMMYFUNCTION("""COMPUTED_VALUE"""),"Unknown")</f>
        <v>Unknown</v>
      </c>
      <c r="AA206" s="1" t="str">
        <f>IFERROR(__xludf.DUMMYFUNCTION("""COMPUTED_VALUE"""),"")</f>
        <v/>
      </c>
      <c r="AB206" s="1" t="str">
        <f>IFERROR(__xludf.DUMMYFUNCTION("""COMPUTED_VALUE"""),"")</f>
        <v/>
      </c>
      <c r="AC206" s="1" t="str">
        <f>IFERROR(__xludf.DUMMYFUNCTION("""COMPUTED_VALUE"""),"")</f>
        <v/>
      </c>
      <c r="AD206" s="1" t="str">
        <f>IFERROR(__xludf.DUMMYFUNCTION("""COMPUTED_VALUE"""),"")</f>
        <v/>
      </c>
      <c r="AE206" s="1" t="str">
        <f>IFERROR(__xludf.DUMMYFUNCTION("""COMPUTED_VALUE"""),"")</f>
        <v/>
      </c>
      <c r="AF206" s="1" t="str">
        <f>IFERROR(__xludf.DUMMYFUNCTION("""COMPUTED_VALUE"""),"")</f>
        <v/>
      </c>
      <c r="AG206" s="1" t="str">
        <f>IFERROR(__xludf.DUMMYFUNCTION("""COMPUTED_VALUE"""),"")</f>
        <v/>
      </c>
      <c r="AH206" s="1" t="str">
        <f>IFERROR(__xludf.DUMMYFUNCTION("""COMPUTED_VALUE"""),"Sci4GA")</f>
        <v>Sci4GA</v>
      </c>
      <c r="AI206" s="2" t="str">
        <f>IFERROR(__xludf.DUMMYFUNCTION("""COMPUTED_VALUE"""),"https://www.datacenterdynamics.com/en/news/large-data-center-campus-planned-outside-atlanta-georgia/")</f>
        <v>https://www.datacenterdynamics.com/en/news/large-data-center-campus-planned-outside-atlanta-georgia/</v>
      </c>
      <c r="AJ206" s="1" t="str">
        <f>IFERROR(__xludf.DUMMYFUNCTION("""COMPUTED_VALUE"""),"")</f>
        <v/>
      </c>
      <c r="AK206" s="1" t="str">
        <f>IFERROR(__xludf.DUMMYFUNCTION("""COMPUTED_VALUE"""),"")</f>
        <v/>
      </c>
      <c r="AL206" s="1" t="str">
        <f>IFERROR(__xludf.DUMMYFUNCTION("""COMPUTED_VALUE"""),"")</f>
        <v/>
      </c>
      <c r="AM206" s="1" t="str">
        <f>IFERROR(__xludf.DUMMYFUNCTION("""COMPUTED_VALUE"""),"")</f>
        <v/>
      </c>
      <c r="AN206" s="1" t="str">
        <f>IFERROR(__xludf.DUMMYFUNCTION("""COMPUTED_VALUE"""),"")</f>
        <v/>
      </c>
      <c r="AO206" s="1" t="str">
        <f>IFERROR(__xludf.DUMMYFUNCTION("""COMPUTED_VALUE"""),"")</f>
        <v/>
      </c>
      <c r="AP206" s="1" t="str">
        <f>IFERROR(__xludf.DUMMYFUNCTION("""COMPUTED_VALUE"""),"")</f>
        <v/>
      </c>
      <c r="AQ206" s="1" t="str">
        <f>IFERROR(__xludf.DUMMYFUNCTION("""COMPUTED_VALUE"""),"10/16/2025")</f>
        <v>10/16/2025</v>
      </c>
      <c r="AR206" s="1" t="str">
        <f>IFERROR(__xludf.DUMMYFUNCTION("""COMPUTED_VALUE"""),"10/16/2025")</f>
        <v>10/16/2025</v>
      </c>
    </row>
    <row r="207">
      <c r="A207" s="1" t="str">
        <f>IFERROR(__xludf.DUMMYFUNCTION("""COMPUTED_VALUE"""),"T5 ATL IV")</f>
        <v>T5 ATL IV</v>
      </c>
      <c r="B207" s="1" t="str">
        <f>IFERROR(__xludf.DUMMYFUNCTION("""COMPUTED_VALUE"""),"Gullatt Road")</f>
        <v>Gullatt Road</v>
      </c>
      <c r="C207" s="1" t="str">
        <f>IFERROR(__xludf.DUMMYFUNCTION("""COMPUTED_VALUE"""),"Fairburn")</f>
        <v>Fairburn</v>
      </c>
      <c r="D207" s="1" t="str">
        <f>IFERROR(__xludf.DUMMYFUNCTION("""COMPUTED_VALUE"""),"GA")</f>
        <v>GA</v>
      </c>
      <c r="E207" s="1" t="str">
        <f>IFERROR(__xludf.DUMMYFUNCTION("""COMPUTED_VALUE"""),"30268")</f>
        <v>30268</v>
      </c>
      <c r="F207" s="1" t="str">
        <f>IFERROR(__xludf.DUMMYFUNCTION("""COMPUTED_VALUE"""),"Fulton")</f>
        <v>Fulton</v>
      </c>
      <c r="G207" s="1" t="str">
        <f>IFERROR(__xludf.DUMMYFUNCTION("""COMPUTED_VALUE"""),"33.52815")</f>
        <v>33.52815</v>
      </c>
      <c r="H207" s="1" t="str">
        <f>IFERROR(__xludf.DUMMYFUNCTION("""COMPUTED_VALUE"""),"-84.6147")</f>
        <v>-84.6147</v>
      </c>
      <c r="I207" s="1" t="str">
        <f>IFERROR(__xludf.DUMMYFUNCTION("""COMPUTED_VALUE"""),"Proposed")</f>
        <v>Proposed</v>
      </c>
      <c r="J207" s="1" t="str">
        <f>IFERROR(__xludf.DUMMYFUNCTION("""COMPUTED_VALUE"""),"Medium")</f>
        <v>Medium</v>
      </c>
      <c r="K207" s="1" t="str">
        <f>IFERROR(__xludf.DUMMYFUNCTION("""COMPUTED_VALUE"""),"")</f>
        <v/>
      </c>
      <c r="L207" s="1" t="str">
        <f>IFERROR(__xludf.DUMMYFUNCTION("""COMPUTED_VALUE"""),"")</f>
        <v/>
      </c>
      <c r="M207" s="1" t="str">
        <f>IFERROR(__xludf.DUMMYFUNCTION("""COMPUTED_VALUE"""),"")</f>
        <v/>
      </c>
      <c r="N207" s="1" t="str">
        <f>IFERROR(__xludf.DUMMYFUNCTION("""COMPUTED_VALUE"""),"")</f>
        <v/>
      </c>
      <c r="O207" s="1" t="str">
        <f>IFERROR(__xludf.DUMMYFUNCTION("""COMPUTED_VALUE"""),"Unknown")</f>
        <v>Unknown</v>
      </c>
      <c r="P207" s="1" t="str">
        <f>IFERROR(__xludf.DUMMYFUNCTION("""COMPUTED_VALUE"""),"")</f>
        <v/>
      </c>
      <c r="Q207" s="1" t="str">
        <f>IFERROR(__xludf.DUMMYFUNCTION("""COMPUTED_VALUE"""),"")</f>
        <v/>
      </c>
      <c r="R207" s="1" t="str">
        <f>IFERROR(__xludf.DUMMYFUNCTION("""COMPUTED_VALUE"""),"")</f>
        <v/>
      </c>
      <c r="S207" s="1" t="str">
        <f>IFERROR(__xludf.DUMMYFUNCTION("""COMPUTED_VALUE"""),"")</f>
        <v/>
      </c>
      <c r="T207" s="1" t="str">
        <f>IFERROR(__xludf.DUMMYFUNCTION("""COMPUTED_VALUE"""),"")</f>
        <v/>
      </c>
      <c r="U207" s="1" t="str">
        <f>IFERROR(__xludf.DUMMYFUNCTION("""COMPUTED_VALUE"""),"")</f>
        <v/>
      </c>
      <c r="V207" s="1" t="str">
        <f>IFERROR(__xludf.DUMMYFUNCTION("""COMPUTED_VALUE"""),"1,320,000")</f>
        <v>1,320,000</v>
      </c>
      <c r="W207" s="1" t="str">
        <f>IFERROR(__xludf.DUMMYFUNCTION("""COMPUTED_VALUE"""),"")</f>
        <v/>
      </c>
      <c r="X207" s="1" t="str">
        <f>IFERROR(__xludf.DUMMYFUNCTION("""COMPUTED_VALUE"""),"")</f>
        <v/>
      </c>
      <c r="Y207" s="1" t="str">
        <f>IFERROR(__xludf.DUMMYFUNCTION("""COMPUTED_VALUE"""),"")</f>
        <v/>
      </c>
      <c r="Z207" s="1" t="str">
        <f>IFERROR(__xludf.DUMMYFUNCTION("""COMPUTED_VALUE"""),"Unknown")</f>
        <v>Unknown</v>
      </c>
      <c r="AA207" s="1" t="str">
        <f>IFERROR(__xludf.DUMMYFUNCTION("""COMPUTED_VALUE"""),"")</f>
        <v/>
      </c>
      <c r="AB207" s="1" t="str">
        <f>IFERROR(__xludf.DUMMYFUNCTION("""COMPUTED_VALUE"""),"")</f>
        <v/>
      </c>
      <c r="AC207" s="1" t="str">
        <f>IFERROR(__xludf.DUMMYFUNCTION("""COMPUTED_VALUE"""),"")</f>
        <v/>
      </c>
      <c r="AD207" s="1" t="str">
        <f>IFERROR(__xludf.DUMMYFUNCTION("""COMPUTED_VALUE"""),"")</f>
        <v/>
      </c>
      <c r="AE207" s="1" t="str">
        <f>IFERROR(__xludf.DUMMYFUNCTION("""COMPUTED_VALUE"""),"")</f>
        <v/>
      </c>
      <c r="AF207" s="1" t="str">
        <f>IFERROR(__xludf.DUMMYFUNCTION("""COMPUTED_VALUE"""),"")</f>
        <v/>
      </c>
      <c r="AG207" s="1" t="str">
        <f>IFERROR(__xludf.DUMMYFUNCTION("""COMPUTED_VALUE"""),"")</f>
        <v/>
      </c>
      <c r="AH207" s="1" t="str">
        <f>IFERROR(__xludf.DUMMYFUNCTION("""COMPUTED_VALUE"""),"Media Monitoring")</f>
        <v>Media Monitoring</v>
      </c>
      <c r="AI207" s="2" t="str">
        <f>IFERROR(__xludf.DUMMYFUNCTION("""COMPUTED_VALUE"""),"https://www.datacenterdynamics.com/en/news/t5-files-to-develop-data-center-campus-outside-atlanta-georgia/")</f>
        <v>https://www.datacenterdynamics.com/en/news/t5-files-to-develop-data-center-campus-outside-atlanta-georgia/</v>
      </c>
      <c r="AJ207" s="1" t="str">
        <f>IFERROR(__xludf.DUMMYFUNCTION("""COMPUTED_VALUE"""),"")</f>
        <v/>
      </c>
      <c r="AK207" s="1" t="str">
        <f>IFERROR(__xludf.DUMMYFUNCTION("""COMPUTED_VALUE"""),"")</f>
        <v/>
      </c>
      <c r="AL207" s="1" t="str">
        <f>IFERROR(__xludf.DUMMYFUNCTION("""COMPUTED_VALUE"""),"")</f>
        <v/>
      </c>
      <c r="AM207" s="1" t="str">
        <f>IFERROR(__xludf.DUMMYFUNCTION("""COMPUTED_VALUE"""),"")</f>
        <v/>
      </c>
      <c r="AN207" s="1" t="str">
        <f>IFERROR(__xludf.DUMMYFUNCTION("""COMPUTED_VALUE"""),"")</f>
        <v/>
      </c>
      <c r="AO207" s="1" t="str">
        <f>IFERROR(__xludf.DUMMYFUNCTION("""COMPUTED_VALUE"""),"")</f>
        <v/>
      </c>
      <c r="AP207" s="1" t="str">
        <f>IFERROR(__xludf.DUMMYFUNCTION("""COMPUTED_VALUE"""),"")</f>
        <v/>
      </c>
      <c r="AQ207" s="1" t="str">
        <f>IFERROR(__xludf.DUMMYFUNCTION("""COMPUTED_VALUE"""),"06/24/2025")</f>
        <v>06/24/2025</v>
      </c>
      <c r="AR207" s="1" t="str">
        <f>IFERROR(__xludf.DUMMYFUNCTION("""COMPUTED_VALUE"""),"06/24/2025")</f>
        <v>06/24/2025</v>
      </c>
    </row>
    <row r="208">
      <c r="A208" s="1" t="str">
        <f>IFERROR(__xludf.DUMMYFUNCTION("""COMPUTED_VALUE"""),"Crow Holdings Development ")</f>
        <v>Crow Holdings Development </v>
      </c>
      <c r="B208" s="1" t="str">
        <f>IFERROR(__xludf.DUMMYFUNCTION("""COMPUTED_VALUE"""),"south of Roberts Rd and west of Hwy 85")</f>
        <v>south of Roberts Rd and west of Hwy 85</v>
      </c>
      <c r="C208" s="1" t="str">
        <f>IFERROR(__xludf.DUMMYFUNCTION("""COMPUTED_VALUE"""),"Fayetteville")</f>
        <v>Fayetteville</v>
      </c>
      <c r="D208" s="1" t="str">
        <f>IFERROR(__xludf.DUMMYFUNCTION("""COMPUTED_VALUE"""),"GA")</f>
        <v>GA</v>
      </c>
      <c r="E208" s="1" t="str">
        <f>IFERROR(__xludf.DUMMYFUNCTION("""COMPUTED_VALUE"""),"30214")</f>
        <v>30214</v>
      </c>
      <c r="F208" s="1" t="str">
        <f>IFERROR(__xludf.DUMMYFUNCTION("""COMPUTED_VALUE"""),"Fayette")</f>
        <v>Fayette</v>
      </c>
      <c r="G208" s="1" t="str">
        <f>IFERROR(__xludf.DUMMYFUNCTION("""COMPUTED_VALUE"""),"33.484707")</f>
        <v>33.484707</v>
      </c>
      <c r="H208" s="1" t="str">
        <f>IFERROR(__xludf.DUMMYFUNCTION("""COMPUTED_VALUE"""),"-84.43693")</f>
        <v>-84.43693</v>
      </c>
      <c r="I208" s="1" t="str">
        <f>IFERROR(__xludf.DUMMYFUNCTION("""COMPUTED_VALUE"""),"Cancelled")</f>
        <v>Cancelled</v>
      </c>
      <c r="J208" s="1" t="str">
        <f>IFERROR(__xludf.DUMMYFUNCTION("""COMPUTED_VALUE"""),"High")</f>
        <v>High</v>
      </c>
      <c r="K208" s="1" t="str">
        <f>IFERROR(__xludf.DUMMYFUNCTION("""COMPUTED_VALUE"""),"")</f>
        <v/>
      </c>
      <c r="L208" s="1" t="str">
        <f>IFERROR(__xludf.DUMMYFUNCTION("""COMPUTED_VALUE"""),"")</f>
        <v/>
      </c>
      <c r="M208" s="1" t="str">
        <f>IFERROR(__xludf.DUMMYFUNCTION("""COMPUTED_VALUE"""),"")</f>
        <v/>
      </c>
      <c r="N208" s="1" t="str">
        <f>IFERROR(__xludf.DUMMYFUNCTION("""COMPUTED_VALUE"""),"")</f>
        <v/>
      </c>
      <c r="O208" s="1" t="str">
        <f>IFERROR(__xludf.DUMMYFUNCTION("""COMPUTED_VALUE"""),"Unknown")</f>
        <v>Unknown</v>
      </c>
      <c r="P208" s="1" t="str">
        <f>IFERROR(__xludf.DUMMYFUNCTION("""COMPUTED_VALUE"""),"")</f>
        <v/>
      </c>
      <c r="Q208" s="1" t="str">
        <f>IFERROR(__xludf.DUMMYFUNCTION("""COMPUTED_VALUE"""),"")</f>
        <v/>
      </c>
      <c r="R208" s="1" t="str">
        <f>IFERROR(__xludf.DUMMYFUNCTION("""COMPUTED_VALUE"""),"")</f>
        <v/>
      </c>
      <c r="S208" s="1" t="str">
        <f>IFERROR(__xludf.DUMMYFUNCTION("""COMPUTED_VALUE"""),"")</f>
        <v/>
      </c>
      <c r="T208" s="1" t="str">
        <f>IFERROR(__xludf.DUMMYFUNCTION("""COMPUTED_VALUE"""),"")</f>
        <v/>
      </c>
      <c r="U208" s="1" t="str">
        <f>IFERROR(__xludf.DUMMYFUNCTION("""COMPUTED_VALUE"""),"")</f>
        <v/>
      </c>
      <c r="V208" s="1" t="str">
        <f>IFERROR(__xludf.DUMMYFUNCTION("""COMPUTED_VALUE"""),"300,000")</f>
        <v>300,000</v>
      </c>
      <c r="W208" s="1" t="str">
        <f>IFERROR(__xludf.DUMMYFUNCTION("""COMPUTED_VALUE"""),"37")</f>
        <v>37</v>
      </c>
      <c r="X208" s="1" t="str">
        <f>IFERROR(__xludf.DUMMYFUNCTION("""COMPUTED_VALUE"""),"")</f>
        <v/>
      </c>
      <c r="Y208" s="1" t="str">
        <f>IFERROR(__xludf.DUMMYFUNCTION("""COMPUTED_VALUE"""),"")</f>
        <v/>
      </c>
      <c r="Z208" s="1" t="str">
        <f>IFERROR(__xludf.DUMMYFUNCTION("""COMPUTED_VALUE"""),"Unknown")</f>
        <v>Unknown</v>
      </c>
      <c r="AA208" s="1" t="str">
        <f>IFERROR(__xludf.DUMMYFUNCTION("""COMPUTED_VALUE"""),"")</f>
        <v/>
      </c>
      <c r="AB208" s="1" t="str">
        <f>IFERROR(__xludf.DUMMYFUNCTION("""COMPUTED_VALUE"""),"")</f>
        <v/>
      </c>
      <c r="AC208" s="1" t="str">
        <f>IFERROR(__xludf.DUMMYFUNCTION("""COMPUTED_VALUE"""),"")</f>
        <v/>
      </c>
      <c r="AD208" s="1" t="str">
        <f>IFERROR(__xludf.DUMMYFUNCTION("""COMPUTED_VALUE"""),"")</f>
        <v/>
      </c>
      <c r="AE208" s="1" t="str">
        <f>IFERROR(__xludf.DUMMYFUNCTION("""COMPUTED_VALUE"""),"")</f>
        <v/>
      </c>
      <c r="AF208" s="1" t="str">
        <f>IFERROR(__xludf.DUMMYFUNCTION("""COMPUTED_VALUE"""),"")</f>
        <v/>
      </c>
      <c r="AG208" s="1" t="str">
        <f>IFERROR(__xludf.DUMMYFUNCTION("""COMPUTED_VALUE"""),"Data center had been rejected by the Fayetteville planning and zoning commission earlier in late January")</f>
        <v>Data center had been rejected by the Fayetteville planning and zoning commission earlier in late January</v>
      </c>
      <c r="AH208" s="1" t="str">
        <f>IFERROR(__xludf.DUMMYFUNCTION("""COMPUTED_VALUE"""),"Media Monitoring")</f>
        <v>Media Monitoring</v>
      </c>
      <c r="AI208" s="2" t="str">
        <f>IFERROR(__xludf.DUMMYFUNCTION("""COMPUTED_VALUE"""),"https://www.datacenterdynamics.com/en/news/developer-effectively-withdraws-application-for-data-center-in-fayetteville-georgia/")</f>
        <v>https://www.datacenterdynamics.com/en/news/developer-effectively-withdraws-application-for-data-center-in-fayetteville-georgia/</v>
      </c>
      <c r="AJ208" s="1" t="str">
        <f>IFERROR(__xludf.DUMMYFUNCTION("""COMPUTED_VALUE"""),"")</f>
        <v/>
      </c>
      <c r="AK208" s="1" t="str">
        <f>IFERROR(__xludf.DUMMYFUNCTION("""COMPUTED_VALUE"""),"")</f>
        <v/>
      </c>
      <c r="AL208" s="1" t="str">
        <f>IFERROR(__xludf.DUMMYFUNCTION("""COMPUTED_VALUE"""),"")</f>
        <v/>
      </c>
      <c r="AM208" s="1" t="str">
        <f>IFERROR(__xludf.DUMMYFUNCTION("""COMPUTED_VALUE"""),"")</f>
        <v/>
      </c>
      <c r="AN208" s="1" t="str">
        <f>IFERROR(__xludf.DUMMYFUNCTION("""COMPUTED_VALUE"""),"")</f>
        <v/>
      </c>
      <c r="AO208" s="1" t="str">
        <f>IFERROR(__xludf.DUMMYFUNCTION("""COMPUTED_VALUE"""),"")</f>
        <v/>
      </c>
      <c r="AP208" s="1" t="str">
        <f>IFERROR(__xludf.DUMMYFUNCTION("""COMPUTED_VALUE"""),"")</f>
        <v/>
      </c>
      <c r="AQ208" s="1" t="str">
        <f>IFERROR(__xludf.DUMMYFUNCTION("""COMPUTED_VALUE"""),"04/02/2026")</f>
        <v>04/02/2026</v>
      </c>
      <c r="AR208" s="1" t="str">
        <f>IFERROR(__xludf.DUMMYFUNCTION("""COMPUTED_VALUE"""),"04/02/2026")</f>
        <v>04/02/2026</v>
      </c>
    </row>
    <row r="209">
      <c r="A209" s="1" t="str">
        <f>IFERROR(__xludf.DUMMYFUNCTION("""COMPUTED_VALUE"""),"Fairwater 2")</f>
        <v>Fairwater 2</v>
      </c>
      <c r="B209" s="1" t="str">
        <f>IFERROR(__xludf.DUMMYFUNCTION("""COMPUTED_VALUE"""),"north of GA-54")</f>
        <v>north of GA-54</v>
      </c>
      <c r="C209" s="1" t="str">
        <f>IFERROR(__xludf.DUMMYFUNCTION("""COMPUTED_VALUE"""),"Fayetteville")</f>
        <v>Fayetteville</v>
      </c>
      <c r="D209" s="1" t="str">
        <f>IFERROR(__xludf.DUMMYFUNCTION("""COMPUTED_VALUE"""),"GA")</f>
        <v>GA</v>
      </c>
      <c r="E209" s="1" t="str">
        <f>IFERROR(__xludf.DUMMYFUNCTION("""COMPUTED_VALUE"""),"30214")</f>
        <v>30214</v>
      </c>
      <c r="F209" s="1" t="str">
        <f>IFERROR(__xludf.DUMMYFUNCTION("""COMPUTED_VALUE"""),"Fayette")</f>
        <v>Fayette</v>
      </c>
      <c r="G209" s="1" t="str">
        <f>IFERROR(__xludf.DUMMYFUNCTION("""COMPUTED_VALUE"""),"33.46006")</f>
        <v>33.46006</v>
      </c>
      <c r="H209" s="1" t="str">
        <f>IFERROR(__xludf.DUMMYFUNCTION("""COMPUTED_VALUE"""),"-84.523994")</f>
        <v>-84.523994</v>
      </c>
      <c r="I209" s="1" t="str">
        <f>IFERROR(__xludf.DUMMYFUNCTION("""COMPUTED_VALUE"""),"Operating")</f>
        <v>Operating</v>
      </c>
      <c r="J209" s="1" t="str">
        <f>IFERROR(__xludf.DUMMYFUNCTION("""COMPUTED_VALUE"""),"High")</f>
        <v>High</v>
      </c>
      <c r="K209" s="1" t="str">
        <f>IFERROR(__xludf.DUMMYFUNCTION("""COMPUTED_VALUE"""),"AI ""superfactory""")</f>
        <v>AI "superfactory"</v>
      </c>
      <c r="L209" s="1" t="str">
        <f>IFERROR(__xludf.DUMMYFUNCTION("""COMPUTED_VALUE"""),"Microsoft")</f>
        <v>Microsoft</v>
      </c>
      <c r="M209" s="1" t="str">
        <f>IFERROR(__xludf.DUMMYFUNCTION("""COMPUTED_VALUE"""),"")</f>
        <v/>
      </c>
      <c r="N209" s="1" t="str">
        <f>IFERROR(__xludf.DUMMYFUNCTION("""COMPUTED_VALUE"""),"615-1100")</f>
        <v>615-1100</v>
      </c>
      <c r="O209" s="1" t="str">
        <f>IFERROR(__xludf.DUMMYFUNCTION("""COMPUTED_VALUE"""),"Mega campus (&gt;1,000 MW)")</f>
        <v>Mega campus (&gt;1,000 MW)</v>
      </c>
      <c r="P209" s="1" t="str">
        <f>IFERROR(__xludf.DUMMYFUNCTION("""COMPUTED_VALUE"""),"")</f>
        <v/>
      </c>
      <c r="Q209" s="1" t="str">
        <f>IFERROR(__xludf.DUMMYFUNCTION("""COMPUTED_VALUE"""),"")</f>
        <v/>
      </c>
      <c r="R209" s="1" t="str">
        <f>IFERROR(__xludf.DUMMYFUNCTION("""COMPUTED_VALUE"""),"")</f>
        <v/>
      </c>
      <c r="S209" s="1" t="str">
        <f>IFERROR(__xludf.DUMMYFUNCTION("""COMPUTED_VALUE"""),"")</f>
        <v/>
      </c>
      <c r="T209" s="1" t="str">
        <f>IFERROR(__xludf.DUMMYFUNCTION("""COMPUTED_VALUE"""),"")</f>
        <v/>
      </c>
      <c r="U209" s="1" t="str">
        <f>IFERROR(__xludf.DUMMYFUNCTION("""COMPUTED_VALUE"""),"")</f>
        <v/>
      </c>
      <c r="V209" s="1" t="str">
        <f>IFERROR(__xludf.DUMMYFUNCTION("""COMPUTED_VALUE"""),"1,200,000")</f>
        <v>1,200,000</v>
      </c>
      <c r="W209" s="1" t="str">
        <f>IFERROR(__xludf.DUMMYFUNCTION("""COMPUTED_VALUE"""),"315")</f>
        <v>315</v>
      </c>
      <c r="X209" s="1" t="str">
        <f>IFERROR(__xludf.DUMMYFUNCTION("""COMPUTED_VALUE"""),"")</f>
        <v/>
      </c>
      <c r="Y209" s="1" t="str">
        <f>IFERROR(__xludf.DUMMYFUNCTION("""COMPUTED_VALUE"""),"")</f>
        <v/>
      </c>
      <c r="Z209" s="1" t="str">
        <f>IFERROR(__xludf.DUMMYFUNCTION("""COMPUTED_VALUE"""),"Unknown")</f>
        <v>Unknown</v>
      </c>
      <c r="AA209" s="1" t="str">
        <f>IFERROR(__xludf.DUMMYFUNCTION("""COMPUTED_VALUE"""),"")</f>
        <v/>
      </c>
      <c r="AB209" s="1" t="str">
        <f>IFERROR(__xludf.DUMMYFUNCTION("""COMPUTED_VALUE"""),"")</f>
        <v/>
      </c>
      <c r="AC209" s="1" t="str">
        <f>IFERROR(__xludf.DUMMYFUNCTION("""COMPUTED_VALUE"""),"")</f>
        <v/>
      </c>
      <c r="AD209" s="1" t="str">
        <f>IFERROR(__xludf.DUMMYFUNCTION("""COMPUTED_VALUE"""),"")</f>
        <v/>
      </c>
      <c r="AE209" s="1" t="str">
        <f>IFERROR(__xludf.DUMMYFUNCTION("""COMPUTED_VALUE"""),"")</f>
        <v/>
      </c>
      <c r="AF209" s="1" t="str">
        <f>IFERROR(__xludf.DUMMYFUNCTION("""COMPUTED_VALUE"""),"")</f>
        <v/>
      </c>
      <c r="AG209" s="1" t="str">
        <f>IFERROR(__xludf.DUMMYFUNCTION("""COMPUTED_VALUE"""),"Directly connected to WI Fairwater data center. Uses nearly no water for cooling")</f>
        <v>Directly connected to WI Fairwater data center. Uses nearly no water for cooling</v>
      </c>
      <c r="AH209" s="1" t="str">
        <f>IFERROR(__xludf.DUMMYFUNCTION("""COMPUTED_VALUE"""),"Media Monitoring")</f>
        <v>Media Monitoring</v>
      </c>
      <c r="AI209" s="2" t="str">
        <f>IFERROR(__xludf.DUMMYFUNCTION("""COMPUTED_VALUE"""),"https://tech.yahoo.com/ai/copilot/articles/microsoft-reveals-datacenter-atlanta-help-182309564.html")</f>
        <v>https://tech.yahoo.com/ai/copilot/articles/microsoft-reveals-datacenter-atlanta-help-182309564.html</v>
      </c>
      <c r="AJ209" s="2" t="str">
        <f>IFERROR(__xludf.DUMMYFUNCTION("""COMPUTED_VALUE"""),"https://www.datacenterdynamics.com/en/news/microsoft-launches-atlanta-fairwater-data-center-two-stories-no-ups-or-gen-sets/")</f>
        <v>https://www.datacenterdynamics.com/en/news/microsoft-launches-atlanta-fairwater-data-center-two-stories-no-ups-or-gen-sets/</v>
      </c>
      <c r="AK209" s="2" t="str">
        <f>IFERROR(__xludf.DUMMYFUNCTION("""COMPUTED_VALUE"""),"https://roughdraftatlanta.com/2025/11/12/atlanta-fairwater-ai-data-center/")</f>
        <v>https://roughdraftatlanta.com/2025/11/12/atlanta-fairwater-ai-data-center/</v>
      </c>
      <c r="AL209" s="2" t="str">
        <f>IFERROR(__xludf.DUMMYFUNCTION("""COMPUTED_VALUE"""),"https://epoch.ai/data/data-centers/satellite-explorer/MicrosoftFairwaterFayettevilleGeorgia?ref=404media.co")</f>
        <v>https://epoch.ai/data/data-centers/satellite-explorer/MicrosoftFairwaterFayettevilleGeorgia?ref=404media.co</v>
      </c>
      <c r="AM209" s="2" t="str">
        <f>IFERROR(__xludf.DUMMYFUNCTION("""COMPUTED_VALUE"""),"https://cleanview.co/public/data-centers/georgia/1896/fairwater-2---atlanta")</f>
        <v>https://cleanview.co/public/data-centers/georgia/1896/fairwater-2---atlanta</v>
      </c>
      <c r="AN209" s="1" t="str">
        <f>IFERROR(__xludf.DUMMYFUNCTION("""COMPUTED_VALUE"""),"")</f>
        <v/>
      </c>
      <c r="AO209" s="1" t="str">
        <f>IFERROR(__xludf.DUMMYFUNCTION("""COMPUTED_VALUE"""),"")</f>
        <v/>
      </c>
      <c r="AP209" s="1" t="str">
        <f>IFERROR(__xludf.DUMMYFUNCTION("""COMPUTED_VALUE"""),"")</f>
        <v/>
      </c>
      <c r="AQ209" s="1" t="str">
        <f>IFERROR(__xludf.DUMMYFUNCTION("""COMPUTED_VALUE"""),"11/26/2025")</f>
        <v>11/26/2025</v>
      </c>
      <c r="AR209" s="1" t="str">
        <f>IFERROR(__xludf.DUMMYFUNCTION("""COMPUTED_VALUE"""),"01/01/2026")</f>
        <v>01/01/2026</v>
      </c>
    </row>
    <row r="210">
      <c r="A210" s="1" t="str">
        <f>IFERROR(__xludf.DUMMYFUNCTION("""COMPUTED_VALUE"""),"QTS Atlanta Fayetteville Campus/ Project Excalibur")</f>
        <v>QTS Atlanta Fayetteville Campus/ Project Excalibur</v>
      </c>
      <c r="B210" s="1" t="str">
        <f>IFERROR(__xludf.DUMMYFUNCTION("""COMPUTED_VALUE"""),"1435 Hwy 54 West")</f>
        <v>1435 Hwy 54 West</v>
      </c>
      <c r="C210" s="1" t="str">
        <f>IFERROR(__xludf.DUMMYFUNCTION("""COMPUTED_VALUE"""),"Fayetteville")</f>
        <v>Fayetteville</v>
      </c>
      <c r="D210" s="1" t="str">
        <f>IFERROR(__xludf.DUMMYFUNCTION("""COMPUTED_VALUE"""),"GA")</f>
        <v>GA</v>
      </c>
      <c r="E210" s="1" t="str">
        <f>IFERROR(__xludf.DUMMYFUNCTION("""COMPUTED_VALUE"""),"30214")</f>
        <v>30214</v>
      </c>
      <c r="F210" s="1" t="str">
        <f>IFERROR(__xludf.DUMMYFUNCTION("""COMPUTED_VALUE"""),"Fayette")</f>
        <v>Fayette</v>
      </c>
      <c r="G210" s="1" t="str">
        <f>IFERROR(__xludf.DUMMYFUNCTION("""COMPUTED_VALUE"""),"33.447083")</f>
        <v>33.447083</v>
      </c>
      <c r="H210" s="1" t="str">
        <f>IFERROR(__xludf.DUMMYFUNCTION("""COMPUTED_VALUE"""),"-84.52227")</f>
        <v>-84.52227</v>
      </c>
      <c r="I210" s="1" t="str">
        <f>IFERROR(__xludf.DUMMYFUNCTION("""COMPUTED_VALUE"""),"Approved/Permitted/Under construction")</f>
        <v>Approved/Permitted/Under construction</v>
      </c>
      <c r="J210" s="1" t="str">
        <f>IFERROR(__xludf.DUMMYFUNCTION("""COMPUTED_VALUE"""),"High")</f>
        <v>High</v>
      </c>
      <c r="K210" s="1" t="str">
        <f>IFERROR(__xludf.DUMMYFUNCTION("""COMPUTED_VALUE"""),"")</f>
        <v/>
      </c>
      <c r="L210" s="1" t="str">
        <f>IFERROR(__xludf.DUMMYFUNCTION("""COMPUTED_VALUE"""),"QTS Data Centers")</f>
        <v>QTS Data Centers</v>
      </c>
      <c r="M210" s="1" t="str">
        <f>IFERROR(__xludf.DUMMYFUNCTION("""COMPUTED_VALUE"""),"")</f>
        <v/>
      </c>
      <c r="N210" s="1" t="str">
        <f>IFERROR(__xludf.DUMMYFUNCTION("""COMPUTED_VALUE"""),"500")</f>
        <v>500</v>
      </c>
      <c r="O210" s="1" t="str">
        <f>IFERROR(__xludf.DUMMYFUNCTION("""COMPUTED_VALUE"""),"Hyperscale (100-999 MW)")</f>
        <v>Hyperscale (100-999 MW)</v>
      </c>
      <c r="P210" s="1" t="str">
        <f>IFERROR(__xludf.DUMMYFUNCTION("""COMPUTED_VALUE"""),"")</f>
        <v/>
      </c>
      <c r="Q210" s="1" t="str">
        <f>IFERROR(__xludf.DUMMYFUNCTION("""COMPUTED_VALUE"""),"")</f>
        <v/>
      </c>
      <c r="R210" s="1" t="str">
        <f>IFERROR(__xludf.DUMMYFUNCTION("""COMPUTED_VALUE"""),"")</f>
        <v/>
      </c>
      <c r="S210" s="1" t="str">
        <f>IFERROR(__xludf.DUMMYFUNCTION("""COMPUTED_VALUE"""),"16")</f>
        <v>16</v>
      </c>
      <c r="T210" s="1" t="str">
        <f>IFERROR(__xludf.DUMMYFUNCTION("""COMPUTED_VALUE"""),"")</f>
        <v/>
      </c>
      <c r="U210" s="1" t="str">
        <f>IFERROR(__xludf.DUMMYFUNCTION("""COMPUTED_VALUE"""),"")</f>
        <v/>
      </c>
      <c r="V210" s="1" t="str">
        <f>IFERROR(__xludf.DUMMYFUNCTION("""COMPUTED_VALUE"""),"6,200,000")</f>
        <v>6,200,000</v>
      </c>
      <c r="W210" s="1" t="str">
        <f>IFERROR(__xludf.DUMMYFUNCTION("""COMPUTED_VALUE"""),"615")</f>
        <v>615</v>
      </c>
      <c r="X210" s="1" t="str">
        <f>IFERROR(__xludf.DUMMYFUNCTION("""COMPUTED_VALUE"""),"$1 billion")</f>
        <v>$1 billion</v>
      </c>
      <c r="Y210" s="1" t="str">
        <f>IFERROR(__xludf.DUMMYFUNCTION("""COMPUTED_VALUE"""),"")</f>
        <v/>
      </c>
      <c r="Z210" s="1" t="str">
        <f>IFERROR(__xludf.DUMMYFUNCTION("""COMPUTED_VALUE"""),"Yes")</f>
        <v>Yes</v>
      </c>
      <c r="AA210" s="1" t="str">
        <f>IFERROR(__xludf.DUMMYFUNCTION("""COMPUTED_VALUE"""),"Drew significant local backlash after it was revealed that QTS had secretly consumed 29 mil gallons of water over 9–15 months during construction, discovered when residents began complaining about low pressure. The use far exceeded the max agreed to durin"&amp;"g planning. Tom's Hardware. In response, Fayetteville's city council passed Ordinance 26-0-12, banning new data centers in every zoning district in the city. Construction began in 2023 and is not expected to be completed for 3 to 5 years.")</f>
        <v>Drew significant local backlash after it was revealed that QTS had secretly consumed 29 mil gallons of water over 9–15 months during construction, discovered when residents began complaining about low pressure. The use far exceeded the max agreed to during planning. Tom's Hardware. In response, Fayetteville's city council passed Ordinance 26-0-12, banning new data centers in every zoning district in the city. Construction began in 2023 and is not expected to be completed for 3 to 5 years.</v>
      </c>
      <c r="AB210" s="1" t="str">
        <f>IFERROR(__xludf.DUMMYFUNCTION("""COMPUTED_VALUE"""),"Emerging Concern")</f>
        <v>Emerging Concern</v>
      </c>
      <c r="AC210" s="1" t="str">
        <f>IFERROR(__xludf.DUMMYFUNCTION("""COMPUTED_VALUE"""),"")</f>
        <v/>
      </c>
      <c r="AD210" s="1" t="str">
        <f>IFERROR(__xludf.DUMMYFUNCTION("""COMPUTED_VALUE"""),"")</f>
        <v/>
      </c>
      <c r="AE210" s="1" t="str">
        <f>IFERROR(__xludf.DUMMYFUNCTION("""COMPUTED_VALUE"""),"")</f>
        <v/>
      </c>
      <c r="AF210" s="1" t="str">
        <f>IFERROR(__xludf.DUMMYFUNCTION("""COMPUTED_VALUE"""),"")</f>
        <v/>
      </c>
      <c r="AG210" s="1" t="str">
        <f>IFERROR(__xludf.DUMMYFUNCTION("""COMPUTED_VALUE"""),"")</f>
        <v/>
      </c>
      <c r="AH210" s="1" t="str">
        <f>IFERROR(__xludf.DUMMYFUNCTION("""COMPUTED_VALUE"""),"Media Monitoring")</f>
        <v>Media Monitoring</v>
      </c>
      <c r="AI210" s="2" t="str">
        <f>IFERROR(__xludf.DUMMYFUNCTION("""COMPUTED_VALUE"""),"https://apps.dca.ga.gov/DRI/AppSummary.aspx?driid=3813")</f>
        <v>https://apps.dca.ga.gov/DRI/AppSummary.aspx?driid=3813</v>
      </c>
      <c r="AJ210" s="2" t="str">
        <f>IFERROR(__xludf.DUMMYFUNCTION("""COMPUTED_VALUE"""),"https://www.datacenterdynamics.com/en/news/project-excalibur-qts-planning-16-building-66-million-sq-ft-development-in-fayetteville-georgia/")</f>
        <v>https://www.datacenterdynamics.com/en/news/project-excalibur-qts-planning-16-building-66-million-sq-ft-development-in-fayetteville-georgia/</v>
      </c>
      <c r="AK210" s="2" t="str">
        <f>IFERROR(__xludf.DUMMYFUNCTION("""COMPUTED_VALUE"""),"https://www.ledger-enquirer.com/news/environment/article312215145.html")</f>
        <v>https://www.ledger-enquirer.com/news/environment/article312215145.html</v>
      </c>
      <c r="AL210" s="2" t="str">
        <f>IFERROR(__xludf.DUMMYFUNCTION("""COMPUTED_VALUE"""),"https://www.tomshardware.com/tech-industry/georgia-data-center-used-29-million-gallons-of-water")</f>
        <v>https://www.tomshardware.com/tech-industry/georgia-data-center-used-29-million-gallons-of-water</v>
      </c>
      <c r="AM210" s="1" t="str">
        <f>IFERROR(__xludf.DUMMYFUNCTION("""COMPUTED_VALUE"""),"")</f>
        <v/>
      </c>
      <c r="AN210" s="1" t="str">
        <f>IFERROR(__xludf.DUMMYFUNCTION("""COMPUTED_VALUE"""),"")</f>
        <v/>
      </c>
      <c r="AO210" s="1" t="str">
        <f>IFERROR(__xludf.DUMMYFUNCTION("""COMPUTED_VALUE"""),"")</f>
        <v/>
      </c>
      <c r="AP210" s="1" t="str">
        <f>IFERROR(__xludf.DUMMYFUNCTION("""COMPUTED_VALUE"""),"")</f>
        <v/>
      </c>
      <c r="AQ210" s="1" t="str">
        <f>IFERROR(__xludf.DUMMYFUNCTION("""COMPUTED_VALUE"""),"10/16/2025")</f>
        <v>10/16/2025</v>
      </c>
      <c r="AR210" s="1" t="str">
        <f>IFERROR(__xludf.DUMMYFUNCTION("""COMPUTED_VALUE"""),"06/05/2026")</f>
        <v>06/05/2026</v>
      </c>
    </row>
    <row r="211">
      <c r="A211" s="1" t="str">
        <f>IFERROR(__xludf.DUMMYFUNCTION("""COMPUTED_VALUE"""),"QTS ATL2 East")</f>
        <v>QTS ATL2 East</v>
      </c>
      <c r="B211" s="1" t="str">
        <f>IFERROR(__xludf.DUMMYFUNCTION("""COMPUTED_VALUE"""),"west of Veterans Parkway")</f>
        <v>west of Veterans Parkway</v>
      </c>
      <c r="C211" s="1" t="str">
        <f>IFERROR(__xludf.DUMMYFUNCTION("""COMPUTED_VALUE"""),"Fayetteville ")</f>
        <v>Fayetteville </v>
      </c>
      <c r="D211" s="1" t="str">
        <f>IFERROR(__xludf.DUMMYFUNCTION("""COMPUTED_VALUE"""),"GA")</f>
        <v>GA</v>
      </c>
      <c r="E211" s="1" t="str">
        <f>IFERROR(__xludf.DUMMYFUNCTION("""COMPUTED_VALUE"""),"30214")</f>
        <v>30214</v>
      </c>
      <c r="F211" s="1" t="str">
        <f>IFERROR(__xludf.DUMMYFUNCTION("""COMPUTED_VALUE"""),"Fayette")</f>
        <v>Fayette</v>
      </c>
      <c r="G211" s="1" t="str">
        <f>IFERROR(__xludf.DUMMYFUNCTION("""COMPUTED_VALUE"""),"33.454353")</f>
        <v>33.454353</v>
      </c>
      <c r="H211" s="1" t="str">
        <f>IFERROR(__xludf.DUMMYFUNCTION("""COMPUTED_VALUE"""),"-84.51676")</f>
        <v>-84.51676</v>
      </c>
      <c r="I211" s="1" t="str">
        <f>IFERROR(__xludf.DUMMYFUNCTION("""COMPUTED_VALUE"""),"Proposed")</f>
        <v>Proposed</v>
      </c>
      <c r="J211" s="1" t="str">
        <f>IFERROR(__xludf.DUMMYFUNCTION("""COMPUTED_VALUE"""),"High")</f>
        <v>High</v>
      </c>
      <c r="K211" s="1" t="str">
        <f>IFERROR(__xludf.DUMMYFUNCTION("""COMPUTED_VALUE"""),"")</f>
        <v/>
      </c>
      <c r="L211" s="1" t="str">
        <f>IFERROR(__xludf.DUMMYFUNCTION("""COMPUTED_VALUE"""),"QTS Data Centers")</f>
        <v>QTS Data Centers</v>
      </c>
      <c r="M211" s="1" t="str">
        <f>IFERROR(__xludf.DUMMYFUNCTION("""COMPUTED_VALUE"""),"")</f>
        <v/>
      </c>
      <c r="N211" s="1" t="str">
        <f>IFERROR(__xludf.DUMMYFUNCTION("""COMPUTED_VALUE"""),"")</f>
        <v/>
      </c>
      <c r="O211" s="1" t="str">
        <f>IFERROR(__xludf.DUMMYFUNCTION("""COMPUTED_VALUE"""),"Unknown")</f>
        <v>Unknown</v>
      </c>
      <c r="P211" s="1" t="str">
        <f>IFERROR(__xludf.DUMMYFUNCTION("""COMPUTED_VALUE"""),"")</f>
        <v/>
      </c>
      <c r="Q211" s="1" t="str">
        <f>IFERROR(__xludf.DUMMYFUNCTION("""COMPUTED_VALUE"""),"")</f>
        <v/>
      </c>
      <c r="R211" s="1" t="str">
        <f>IFERROR(__xludf.DUMMYFUNCTION("""COMPUTED_VALUE"""),"")</f>
        <v/>
      </c>
      <c r="S211" s="1" t="str">
        <f>IFERROR(__xludf.DUMMYFUNCTION("""COMPUTED_VALUE"""),"")</f>
        <v/>
      </c>
      <c r="T211" s="1" t="str">
        <f>IFERROR(__xludf.DUMMYFUNCTION("""COMPUTED_VALUE"""),"")</f>
        <v/>
      </c>
      <c r="U211" s="1" t="str">
        <f>IFERROR(__xludf.DUMMYFUNCTION("""COMPUTED_VALUE"""),"")</f>
        <v/>
      </c>
      <c r="V211" s="1" t="str">
        <f>IFERROR(__xludf.DUMMYFUNCTION("""COMPUTED_VALUE"""),"2,000,000")</f>
        <v>2,000,000</v>
      </c>
      <c r="W211" s="1" t="str">
        <f>IFERROR(__xludf.DUMMYFUNCTION("""COMPUTED_VALUE"""),"313")</f>
        <v>313</v>
      </c>
      <c r="X211" s="1" t="str">
        <f>IFERROR(__xludf.DUMMYFUNCTION("""COMPUTED_VALUE"""),"$153.8 million")</f>
        <v>$153.8 million</v>
      </c>
      <c r="Y211" s="1" t="str">
        <f>IFERROR(__xludf.DUMMYFUNCTION("""COMPUTED_VALUE"""),"2029")</f>
        <v>2029</v>
      </c>
      <c r="Z211" s="1" t="str">
        <f>IFERROR(__xludf.DUMMYFUNCTION("""COMPUTED_VALUE"""),"Unknown")</f>
        <v>Unknown</v>
      </c>
      <c r="AA211" s="1" t="str">
        <f>IFERROR(__xludf.DUMMYFUNCTION("""COMPUTED_VALUE"""),"")</f>
        <v/>
      </c>
      <c r="AB211" s="1" t="str">
        <f>IFERROR(__xludf.DUMMYFUNCTION("""COMPUTED_VALUE"""),"")</f>
        <v/>
      </c>
      <c r="AC211" s="1" t="str">
        <f>IFERROR(__xludf.DUMMYFUNCTION("""COMPUTED_VALUE"""),"")</f>
        <v/>
      </c>
      <c r="AD211" s="1" t="str">
        <f>IFERROR(__xludf.DUMMYFUNCTION("""COMPUTED_VALUE"""),"")</f>
        <v/>
      </c>
      <c r="AE211" s="1" t="str">
        <f>IFERROR(__xludf.DUMMYFUNCTION("""COMPUTED_VALUE"""),"")</f>
        <v/>
      </c>
      <c r="AF211" s="1" t="str">
        <f>IFERROR(__xludf.DUMMYFUNCTION("""COMPUTED_VALUE"""),"")</f>
        <v/>
      </c>
      <c r="AG211" s="1" t="str">
        <f>IFERROR(__xludf.DUMMYFUNCTION("""COMPUTED_VALUE"""),"")</f>
        <v/>
      </c>
      <c r="AH211" s="1" t="str">
        <f>IFERROR(__xludf.DUMMYFUNCTION("""COMPUTED_VALUE"""),"Media Monitoring")</f>
        <v>Media Monitoring</v>
      </c>
      <c r="AI211" s="2" t="str">
        <f>IFERROR(__xludf.DUMMYFUNCTION("""COMPUTED_VALUE"""),"https://www.datacenterdynamics.com/en/news/qts-files-to-expand-fayetteville-data-center-campus-in-georgia/")</f>
        <v>https://www.datacenterdynamics.com/en/news/qts-files-to-expand-fayetteville-data-center-campus-in-georgia/</v>
      </c>
      <c r="AJ211" s="2" t="str">
        <f>IFERROR(__xludf.DUMMYFUNCTION("""COMPUTED_VALUE"""),"https://apps.dca.ga.gov/DRI/InitialForm.aspx?driid=4603")</f>
        <v>https://apps.dca.ga.gov/DRI/InitialForm.aspx?driid=4603</v>
      </c>
      <c r="AK211" s="1" t="str">
        <f>IFERROR(__xludf.DUMMYFUNCTION("""COMPUTED_VALUE"""),"")</f>
        <v/>
      </c>
      <c r="AL211" s="1" t="str">
        <f>IFERROR(__xludf.DUMMYFUNCTION("""COMPUTED_VALUE"""),"")</f>
        <v/>
      </c>
      <c r="AM211" s="1" t="str">
        <f>IFERROR(__xludf.DUMMYFUNCTION("""COMPUTED_VALUE"""),"")</f>
        <v/>
      </c>
      <c r="AN211" s="1" t="str">
        <f>IFERROR(__xludf.DUMMYFUNCTION("""COMPUTED_VALUE"""),"")</f>
        <v/>
      </c>
      <c r="AO211" s="1" t="str">
        <f>IFERROR(__xludf.DUMMYFUNCTION("""COMPUTED_VALUE"""),"")</f>
        <v/>
      </c>
      <c r="AP211" s="1" t="str">
        <f>IFERROR(__xludf.DUMMYFUNCTION("""COMPUTED_VALUE"""),"")</f>
        <v/>
      </c>
      <c r="AQ211" s="1" t="str">
        <f>IFERROR(__xludf.DUMMYFUNCTION("""COMPUTED_VALUE"""),"06/05/2026")</f>
        <v>06/05/2026</v>
      </c>
      <c r="AR211" s="1" t="str">
        <f>IFERROR(__xludf.DUMMYFUNCTION("""COMPUTED_VALUE"""),"06/05/2026")</f>
        <v>06/05/2026</v>
      </c>
    </row>
    <row r="212">
      <c r="A212" s="1" t="str">
        <f>IFERROR(__xludf.DUMMYFUNCTION("""COMPUTED_VALUE"""),"Digital Realty Fort Gillem Campus")</f>
        <v>Digital Realty Fort Gillem Campus</v>
      </c>
      <c r="B212" s="1" t="str">
        <f>IFERROR(__xludf.DUMMYFUNCTION("""COMPUTED_VALUE"""),"Fort Gillem")</f>
        <v>Fort Gillem</v>
      </c>
      <c r="C212" s="1" t="str">
        <f>IFERROR(__xludf.DUMMYFUNCTION("""COMPUTED_VALUE"""),"Forest Park")</f>
        <v>Forest Park</v>
      </c>
      <c r="D212" s="1" t="str">
        <f>IFERROR(__xludf.DUMMYFUNCTION("""COMPUTED_VALUE"""),"GA")</f>
        <v>GA</v>
      </c>
      <c r="E212" s="1" t="str">
        <f>IFERROR(__xludf.DUMMYFUNCTION("""COMPUTED_VALUE"""),"30294")</f>
        <v>30294</v>
      </c>
      <c r="F212" s="1" t="str">
        <f>IFERROR(__xludf.DUMMYFUNCTION("""COMPUTED_VALUE"""),"Clayton")</f>
        <v>Clayton</v>
      </c>
      <c r="G212" s="1" t="str">
        <f>IFERROR(__xludf.DUMMYFUNCTION("""COMPUTED_VALUE"""),"33.61974")</f>
        <v>33.61974</v>
      </c>
      <c r="H212" s="1" t="str">
        <f>IFERROR(__xludf.DUMMYFUNCTION("""COMPUTED_VALUE"""),"-84.329025")</f>
        <v>-84.329025</v>
      </c>
      <c r="I212" s="1" t="str">
        <f>IFERROR(__xludf.DUMMYFUNCTION("""COMPUTED_VALUE"""),"Proposed")</f>
        <v>Proposed</v>
      </c>
      <c r="J212" s="1" t="str">
        <f>IFERROR(__xludf.DUMMYFUNCTION("""COMPUTED_VALUE"""),"High")</f>
        <v>High</v>
      </c>
      <c r="K212" s="1" t="str">
        <f>IFERROR(__xludf.DUMMYFUNCTION("""COMPUTED_VALUE"""),"")</f>
        <v/>
      </c>
      <c r="L212" s="1" t="str">
        <f>IFERROR(__xludf.DUMMYFUNCTION("""COMPUTED_VALUE"""),"Digital Realty")</f>
        <v>Digital Realty</v>
      </c>
      <c r="M212" s="1" t="str">
        <f>IFERROR(__xludf.DUMMYFUNCTION("""COMPUTED_VALUE"""),"")</f>
        <v/>
      </c>
      <c r="N212" s="1" t="str">
        <f>IFERROR(__xludf.DUMMYFUNCTION("""COMPUTED_VALUE"""),"")</f>
        <v/>
      </c>
      <c r="O212" s="1" t="str">
        <f>IFERROR(__xludf.DUMMYFUNCTION("""COMPUTED_VALUE"""),"Unknown")</f>
        <v>Unknown</v>
      </c>
      <c r="P212" s="1" t="str">
        <f>IFERROR(__xludf.DUMMYFUNCTION("""COMPUTED_VALUE"""),"")</f>
        <v/>
      </c>
      <c r="Q212" s="1" t="str">
        <f>IFERROR(__xludf.DUMMYFUNCTION("""COMPUTED_VALUE"""),"")</f>
        <v/>
      </c>
      <c r="R212" s="1" t="str">
        <f>IFERROR(__xludf.DUMMYFUNCTION("""COMPUTED_VALUE"""),"")</f>
        <v/>
      </c>
      <c r="S212" s="1" t="str">
        <f>IFERROR(__xludf.DUMMYFUNCTION("""COMPUTED_VALUE"""),"")</f>
        <v/>
      </c>
      <c r="T212" s="1" t="str">
        <f>IFERROR(__xludf.DUMMYFUNCTION("""COMPUTED_VALUE"""),"")</f>
        <v/>
      </c>
      <c r="U212" s="1" t="str">
        <f>IFERROR(__xludf.DUMMYFUNCTION("""COMPUTED_VALUE"""),"")</f>
        <v/>
      </c>
      <c r="V212" s="1" t="str">
        <f>IFERROR(__xludf.DUMMYFUNCTION("""COMPUTED_VALUE"""),"1,900,000")</f>
        <v>1,900,000</v>
      </c>
      <c r="W212" s="1" t="str">
        <f>IFERROR(__xludf.DUMMYFUNCTION("""COMPUTED_VALUE"""),"")</f>
        <v/>
      </c>
      <c r="X212" s="1" t="str">
        <f>IFERROR(__xludf.DUMMYFUNCTION("""COMPUTED_VALUE"""),"")</f>
        <v/>
      </c>
      <c r="Y212" s="1" t="str">
        <f>IFERROR(__xludf.DUMMYFUNCTION("""COMPUTED_VALUE"""),"")</f>
        <v/>
      </c>
      <c r="Z212" s="1" t="str">
        <f>IFERROR(__xludf.DUMMYFUNCTION("""COMPUTED_VALUE"""),"Unknown")</f>
        <v>Unknown</v>
      </c>
      <c r="AA212" s="1" t="str">
        <f>IFERROR(__xludf.DUMMYFUNCTION("""COMPUTED_VALUE"""),"")</f>
        <v/>
      </c>
      <c r="AB212" s="1" t="str">
        <f>IFERROR(__xludf.DUMMYFUNCTION("""COMPUTED_VALUE"""),"")</f>
        <v/>
      </c>
      <c r="AC212" s="1" t="str">
        <f>IFERROR(__xludf.DUMMYFUNCTION("""COMPUTED_VALUE"""),"")</f>
        <v/>
      </c>
      <c r="AD212" s="1" t="str">
        <f>IFERROR(__xludf.DUMMYFUNCTION("""COMPUTED_VALUE"""),"")</f>
        <v/>
      </c>
      <c r="AE212" s="1" t="str">
        <f>IFERROR(__xludf.DUMMYFUNCTION("""COMPUTED_VALUE"""),"")</f>
        <v/>
      </c>
      <c r="AF212" s="1" t="str">
        <f>IFERROR(__xludf.DUMMYFUNCTION("""COMPUTED_VALUE"""),"")</f>
        <v/>
      </c>
      <c r="AG212" s="1" t="str">
        <f>IFERROR(__xludf.DUMMYFUNCTION("""COMPUTED_VALUE"""),"")</f>
        <v/>
      </c>
      <c r="AH212" s="1" t="str">
        <f>IFERROR(__xludf.DUMMYFUNCTION("""COMPUTED_VALUE"""),"Sci4GA")</f>
        <v>Sci4GA</v>
      </c>
      <c r="AI212" s="1" t="str">
        <f>IFERROR(__xludf.DUMMYFUNCTION("""COMPUTED_VALUE"""),"Large data center pitched for site of shuttered Forest Park Army depot")</f>
        <v>Large data center pitched for site of shuttered Forest Park Army depot</v>
      </c>
      <c r="AJ212" s="1" t="str">
        <f>IFERROR(__xludf.DUMMYFUNCTION("""COMPUTED_VALUE"""),"")</f>
        <v/>
      </c>
      <c r="AK212" s="1" t="str">
        <f>IFERROR(__xludf.DUMMYFUNCTION("""COMPUTED_VALUE"""),"")</f>
        <v/>
      </c>
      <c r="AL212" s="1" t="str">
        <f>IFERROR(__xludf.DUMMYFUNCTION("""COMPUTED_VALUE"""),"")</f>
        <v/>
      </c>
      <c r="AM212" s="1" t="str">
        <f>IFERROR(__xludf.DUMMYFUNCTION("""COMPUTED_VALUE"""),"")</f>
        <v/>
      </c>
      <c r="AN212" s="1" t="str">
        <f>IFERROR(__xludf.DUMMYFUNCTION("""COMPUTED_VALUE"""),"")</f>
        <v/>
      </c>
      <c r="AO212" s="1" t="str">
        <f>IFERROR(__xludf.DUMMYFUNCTION("""COMPUTED_VALUE"""),"")</f>
        <v/>
      </c>
      <c r="AP212" s="1" t="str">
        <f>IFERROR(__xludf.DUMMYFUNCTION("""COMPUTED_VALUE"""),"")</f>
        <v/>
      </c>
      <c r="AQ212" s="1" t="str">
        <f>IFERROR(__xludf.DUMMYFUNCTION("""COMPUTED_VALUE"""),"10/16/2025")</f>
        <v>10/16/2025</v>
      </c>
      <c r="AR212" s="1" t="str">
        <f>IFERROR(__xludf.DUMMYFUNCTION("""COMPUTED_VALUE"""),"10/16/2025")</f>
        <v>10/16/2025</v>
      </c>
    </row>
    <row r="213">
      <c r="A213" s="1" t="str">
        <f>IFERROR(__xludf.DUMMYFUNCTION("""COMPUTED_VALUE"""),"Rumble Technology Campus")</f>
        <v>Rumble Technology Campus</v>
      </c>
      <c r="B213" s="1" t="str">
        <f>IFERROR(__xludf.DUMMYFUNCTION("""COMPUTED_VALUE"""),"Rumble Rd")</f>
        <v>Rumble Rd</v>
      </c>
      <c r="C213" s="1" t="str">
        <f>IFERROR(__xludf.DUMMYFUNCTION("""COMPUTED_VALUE"""),"Forsyth")</f>
        <v>Forsyth</v>
      </c>
      <c r="D213" s="1" t="str">
        <f>IFERROR(__xludf.DUMMYFUNCTION("""COMPUTED_VALUE"""),"GA")</f>
        <v>GA</v>
      </c>
      <c r="E213" s="1" t="str">
        <f>IFERROR(__xludf.DUMMYFUNCTION("""COMPUTED_VALUE"""),"31029")</f>
        <v>31029</v>
      </c>
      <c r="F213" s="1" t="str">
        <f>IFERROR(__xludf.DUMMYFUNCTION("""COMPUTED_VALUE"""),"Monroe")</f>
        <v>Monroe</v>
      </c>
      <c r="G213" s="1" t="str">
        <f>IFERROR(__xludf.DUMMYFUNCTION("""COMPUTED_VALUE"""),"32.99113")</f>
        <v>32.99113</v>
      </c>
      <c r="H213" s="1" t="str">
        <f>IFERROR(__xludf.DUMMYFUNCTION("""COMPUTED_VALUE"""),"-83.8368")</f>
        <v>-83.8368</v>
      </c>
      <c r="I213" s="1" t="str">
        <f>IFERROR(__xludf.DUMMYFUNCTION("""COMPUTED_VALUE"""),"Proposed")</f>
        <v>Proposed</v>
      </c>
      <c r="J213" s="1" t="str">
        <f>IFERROR(__xludf.DUMMYFUNCTION("""COMPUTED_VALUE"""),"High")</f>
        <v>High</v>
      </c>
      <c r="K213" s="1" t="str">
        <f>IFERROR(__xludf.DUMMYFUNCTION("""COMPUTED_VALUE"""),"")</f>
        <v/>
      </c>
      <c r="L213" s="1" t="str">
        <f>IFERROR(__xludf.DUMMYFUNCTION("""COMPUTED_VALUE"""),"Google/Cloverleaf Infrastructure")</f>
        <v>Google/Cloverleaf Infrastructure</v>
      </c>
      <c r="M213" s="1" t="str">
        <f>IFERROR(__xludf.DUMMYFUNCTION("""COMPUTED_VALUE"""),"")</f>
        <v/>
      </c>
      <c r="N213" s="1" t="str">
        <f>IFERROR(__xludf.DUMMYFUNCTION("""COMPUTED_VALUE"""),"")</f>
        <v/>
      </c>
      <c r="O213" s="1" t="str">
        <f>IFERROR(__xludf.DUMMYFUNCTION("""COMPUTED_VALUE"""),"Unknown")</f>
        <v>Unknown</v>
      </c>
      <c r="P213" s="1" t="str">
        <f>IFERROR(__xludf.DUMMYFUNCTION("""COMPUTED_VALUE"""),"")</f>
        <v/>
      </c>
      <c r="Q213" s="1" t="str">
        <f>IFERROR(__xludf.DUMMYFUNCTION("""COMPUTED_VALUE"""),"")</f>
        <v/>
      </c>
      <c r="R213" s="1" t="str">
        <f>IFERROR(__xludf.DUMMYFUNCTION("""COMPUTED_VALUE"""),"")</f>
        <v/>
      </c>
      <c r="S213" s="1" t="str">
        <f>IFERROR(__xludf.DUMMYFUNCTION("""COMPUTED_VALUE"""),"12")</f>
        <v>12</v>
      </c>
      <c r="T213" s="1" t="str">
        <f>IFERROR(__xludf.DUMMYFUNCTION("""COMPUTED_VALUE"""),"")</f>
        <v/>
      </c>
      <c r="U213" s="1" t="str">
        <f>IFERROR(__xludf.DUMMYFUNCTION("""COMPUTED_VALUE"""),"")</f>
        <v/>
      </c>
      <c r="V213" s="1" t="str">
        <f>IFERROR(__xludf.DUMMYFUNCTION("""COMPUTED_VALUE"""),"4,200,000")</f>
        <v>4,200,000</v>
      </c>
      <c r="W213" s="1" t="str">
        <f>IFERROR(__xludf.DUMMYFUNCTION("""COMPUTED_VALUE"""),"900")</f>
        <v>900</v>
      </c>
      <c r="X213" s="1" t="str">
        <f>IFERROR(__xludf.DUMMYFUNCTION("""COMPUTED_VALUE"""),"$1.2 billion")</f>
        <v>$1.2 billion</v>
      </c>
      <c r="Y213" s="1" t="str">
        <f>IFERROR(__xludf.DUMMYFUNCTION("""COMPUTED_VALUE"""),"")</f>
        <v/>
      </c>
      <c r="Z213" s="1" t="str">
        <f>IFERROR(__xludf.DUMMYFUNCTION("""COMPUTED_VALUE"""),"Unknown")</f>
        <v>Unknown</v>
      </c>
      <c r="AA213" s="1" t="str">
        <f>IFERROR(__xludf.DUMMYFUNCTION("""COMPUTED_VALUE"""),"")</f>
        <v/>
      </c>
      <c r="AB213" s="1" t="str">
        <f>IFERROR(__xludf.DUMMYFUNCTION("""COMPUTED_VALUE"""),"")</f>
        <v/>
      </c>
      <c r="AC213" s="1" t="str">
        <f>IFERROR(__xludf.DUMMYFUNCTION("""COMPUTED_VALUE"""),"")</f>
        <v/>
      </c>
      <c r="AD213" s="1" t="str">
        <f>IFERROR(__xludf.DUMMYFUNCTION("""COMPUTED_VALUE"""),"")</f>
        <v/>
      </c>
      <c r="AE213" s="1" t="str">
        <f>IFERROR(__xludf.DUMMYFUNCTION("""COMPUTED_VALUE"""),"")</f>
        <v/>
      </c>
      <c r="AF213" s="1" t="str">
        <f>IFERROR(__xludf.DUMMYFUNCTION("""COMPUTED_VALUE"""),"")</f>
        <v/>
      </c>
      <c r="AG213" s="1" t="str">
        <f>IFERROR(__xludf.DUMMYFUNCTION("""COMPUTED_VALUE"""),"originally proposed in September 2024 by Data Core Innovations")</f>
        <v>originally proposed in September 2024 by Data Core Innovations</v>
      </c>
      <c r="AH213" s="1" t="str">
        <f>IFERROR(__xludf.DUMMYFUNCTION("""COMPUTED_VALUE"""),"Media Monitoring")</f>
        <v>Media Monitoring</v>
      </c>
      <c r="AI213" s="2" t="str">
        <f>IFERROR(__xludf.DUMMYFUNCTION("""COMPUTED_VALUE"""),"https://www.datacenterdynamics.com/en/news/12-building-42-million-sq-ft-data-center-campus-proposed-in-georgia/")</f>
        <v>https://www.datacenterdynamics.com/en/news/12-building-42-million-sq-ft-data-center-campus-proposed-in-georgia/</v>
      </c>
      <c r="AJ213" s="2" t="str">
        <f>IFERROR(__xludf.DUMMYFUNCTION("""COMPUTED_VALUE"""),"https://www.datacenterdynamics.com/en/news/google-purchases-950-acres-for-potential-data-center-in-monroe-county-georgia/")</f>
        <v>https://www.datacenterdynamics.com/en/news/google-purchases-950-acres-for-potential-data-center-in-monroe-county-georgia/</v>
      </c>
      <c r="AK213" s="2" t="str">
        <f>IFERROR(__xludf.DUMMYFUNCTION("""COMPUTED_VALUE"""),"https://apps.dca.ga.gov/DRI/AppSummary.aspx?driid=4308")</f>
        <v>https://apps.dca.ga.gov/DRI/AppSummary.aspx?driid=4308</v>
      </c>
      <c r="AL213" s="1" t="str">
        <f>IFERROR(__xludf.DUMMYFUNCTION("""COMPUTED_VALUE"""),"")</f>
        <v/>
      </c>
      <c r="AM213" s="1" t="str">
        <f>IFERROR(__xludf.DUMMYFUNCTION("""COMPUTED_VALUE"""),"")</f>
        <v/>
      </c>
      <c r="AN213" s="1" t="str">
        <f>IFERROR(__xludf.DUMMYFUNCTION("""COMPUTED_VALUE"""),"")</f>
        <v/>
      </c>
      <c r="AO213" s="1" t="str">
        <f>IFERROR(__xludf.DUMMYFUNCTION("""COMPUTED_VALUE"""),"")</f>
        <v/>
      </c>
      <c r="AP213" s="1" t="str">
        <f>IFERROR(__xludf.DUMMYFUNCTION("""COMPUTED_VALUE"""),"")</f>
        <v/>
      </c>
      <c r="AQ213" s="1" t="str">
        <f>IFERROR(__xludf.DUMMYFUNCTION("""COMPUTED_VALUE"""),"06/24/2025")</f>
        <v>06/24/2025</v>
      </c>
      <c r="AR213" s="1" t="str">
        <f>IFERROR(__xludf.DUMMYFUNCTION("""COMPUTED_VALUE"""),"10/15/2025")</f>
        <v>10/15/2025</v>
      </c>
    </row>
    <row r="214">
      <c r="A214" s="1" t="str">
        <f>IFERROR(__xludf.DUMMYFUNCTION("""COMPUTED_VALUE"""),"Project Turbo")</f>
        <v>Project Turbo</v>
      </c>
      <c r="B214" s="1" t="str">
        <f>IFERROR(__xludf.DUMMYFUNCTION("""COMPUTED_VALUE"""),"24000 O’Kelly Rd")</f>
        <v>24000 O’Kelly Rd</v>
      </c>
      <c r="C214" s="1" t="str">
        <f>IFERROR(__xludf.DUMMYFUNCTION("""COMPUTED_VALUE"""),"Gainesville")</f>
        <v>Gainesville</v>
      </c>
      <c r="D214" s="1" t="str">
        <f>IFERROR(__xludf.DUMMYFUNCTION("""COMPUTED_VALUE"""),"GA")</f>
        <v>GA</v>
      </c>
      <c r="E214" s="1" t="str">
        <f>IFERROR(__xludf.DUMMYFUNCTION("""COMPUTED_VALUE"""),"30507")</f>
        <v>30507</v>
      </c>
      <c r="F214" s="1" t="str">
        <f>IFERROR(__xludf.DUMMYFUNCTION("""COMPUTED_VALUE"""),"Hall")</f>
        <v>Hall</v>
      </c>
      <c r="G214" s="1" t="str">
        <f>IFERROR(__xludf.DUMMYFUNCTION("""COMPUTED_VALUE"""),"34.226425")</f>
        <v>34.226425</v>
      </c>
      <c r="H214" s="1" t="str">
        <f>IFERROR(__xludf.DUMMYFUNCTION("""COMPUTED_VALUE"""),"-83.78167")</f>
        <v>-83.78167</v>
      </c>
      <c r="I214" s="1" t="str">
        <f>IFERROR(__xludf.DUMMYFUNCTION("""COMPUTED_VALUE"""),"Proposed")</f>
        <v>Proposed</v>
      </c>
      <c r="J214" s="1" t="str">
        <f>IFERROR(__xludf.DUMMYFUNCTION("""COMPUTED_VALUE"""),"High")</f>
        <v>High</v>
      </c>
      <c r="K214" s="1" t="str">
        <f>IFERROR(__xludf.DUMMYFUNCTION("""COMPUTED_VALUE"""),"")</f>
        <v/>
      </c>
      <c r="L214" s="1" t="str">
        <f>IFERROR(__xludf.DUMMYFUNCTION("""COMPUTED_VALUE"""),"Project Turbo, Inc")</f>
        <v>Project Turbo, Inc</v>
      </c>
      <c r="M214" s="1" t="str">
        <f>IFERROR(__xludf.DUMMYFUNCTION("""COMPUTED_VALUE"""),"")</f>
        <v/>
      </c>
      <c r="N214" s="1" t="str">
        <f>IFERROR(__xludf.DUMMYFUNCTION("""COMPUTED_VALUE"""),"")</f>
        <v/>
      </c>
      <c r="O214" s="1" t="str">
        <f>IFERROR(__xludf.DUMMYFUNCTION("""COMPUTED_VALUE"""),"Hyperscale (100-999 MW)")</f>
        <v>Hyperscale (100-999 MW)</v>
      </c>
      <c r="P214" s="1" t="str">
        <f>IFERROR(__xludf.DUMMYFUNCTION("""COMPUTED_VALUE"""),"")</f>
        <v/>
      </c>
      <c r="Q214" s="1" t="str">
        <f>IFERROR(__xludf.DUMMYFUNCTION("""COMPUTED_VALUE"""),"")</f>
        <v/>
      </c>
      <c r="R214" s="1" t="str">
        <f>IFERROR(__xludf.DUMMYFUNCTION("""COMPUTED_VALUE"""),"")</f>
        <v/>
      </c>
      <c r="S214" s="1" t="str">
        <f>IFERROR(__xludf.DUMMYFUNCTION("""COMPUTED_VALUE"""),"")</f>
        <v/>
      </c>
      <c r="T214" s="1" t="str">
        <f>IFERROR(__xludf.DUMMYFUNCTION("""COMPUTED_VALUE"""),"")</f>
        <v/>
      </c>
      <c r="U214" s="1" t="str">
        <f>IFERROR(__xludf.DUMMYFUNCTION("""COMPUTED_VALUE"""),"")</f>
        <v/>
      </c>
      <c r="V214" s="1" t="str">
        <f>IFERROR(__xludf.DUMMYFUNCTION("""COMPUTED_VALUE"""),"900,000")</f>
        <v>900,000</v>
      </c>
      <c r="W214" s="1" t="str">
        <f>IFERROR(__xludf.DUMMYFUNCTION("""COMPUTED_VALUE"""),"145")</f>
        <v>145</v>
      </c>
      <c r="X214" s="1" t="str">
        <f>IFERROR(__xludf.DUMMYFUNCTION("""COMPUTED_VALUE"""),"")</f>
        <v/>
      </c>
      <c r="Y214" s="1" t="str">
        <f>IFERROR(__xludf.DUMMYFUNCTION("""COMPUTED_VALUE"""),"2027-28")</f>
        <v>2027-28</v>
      </c>
      <c r="Z214" s="1" t="str">
        <f>IFERROR(__xludf.DUMMYFUNCTION("""COMPUTED_VALUE"""),"Yes")</f>
        <v>Yes</v>
      </c>
      <c r="AA214" s="1" t="str">
        <f>IFERROR(__xludf.DUMMYFUNCTION("""COMPUTED_VALUE"""),"Hall County transitioned from intense local resistance to a broader legislative debate after the developer formally withdrew their data center application in December 2025. [Recent] While the original hyperscale proposal for 2400 O’Kelly Road is currently"&amp;" ""abandoned,"" advocates remain on high alert due to the developer's stated interest in pursuing the project through other avenues, such as annexation into the City of Gainesville.")</f>
        <v>Hall County transitioned from intense local resistance to a broader legislative debate after the developer formally withdrew their data center application in December 2025. [Recent] While the original hyperscale proposal for 2400 O’Kelly Road is currently "abandoned," advocates remain on high alert due to the developer's stated interest in pursuing the project through other avenues, such as annexation into the City of Gainesville.</v>
      </c>
      <c r="AB214" s="1" t="str">
        <f>IFERROR(__xludf.DUMMYFUNCTION("""COMPUTED_VALUE"""),"")</f>
        <v/>
      </c>
      <c r="AC214" s="1" t="str">
        <f>IFERROR(__xludf.DUMMYFUNCTION("""COMPUTED_VALUE"""),"")</f>
        <v/>
      </c>
      <c r="AD214" s="2" t="str">
        <f>IFERROR(__xludf.DUMMYFUNCTION("""COMPUTED_VALUE"""),"https://lakelanier.org/project-turbo-data-center/#:~:text=A%20company%20called%20Project%20Turbo,relied%20substantially%20on%20evaporative%20cooling.")</f>
        <v>https://lakelanier.org/project-turbo-data-center/#:~:text=A%20company%20called%20Project%20Turbo,relied%20substantially%20on%20evaporative%20cooling.</v>
      </c>
      <c r="AE214" s="1" t="str">
        <f>IFERROR(__xludf.DUMMYFUNCTION("""COMPUTED_VALUE"""),"")</f>
        <v/>
      </c>
      <c r="AF214" s="1" t="str">
        <f>IFERROR(__xludf.DUMMYFUNCTION("""COMPUTED_VALUE"""),"")</f>
        <v/>
      </c>
      <c r="AG214" s="1" t="str">
        <f>IFERROR(__xludf.DUMMYFUNCTION("""COMPUTED_VALUE"""),"Includes new substation. Near high voltage transmission lines. Environmental studies have not been conducted; zoned area does not have adequate water supply (aquaphor), electrical supply, is a partial wetland, and houses historical burial grounds.")</f>
        <v>Includes new substation. Near high voltage transmission lines. Environmental studies have not been conducted; zoned area does not have adequate water supply (aquaphor), electrical supply, is a partial wetland, and houses historical burial grounds.</v>
      </c>
      <c r="AH214" s="1" t="str">
        <f>IFERROR(__xludf.DUMMYFUNCTION("""COMPUTED_VALUE"""),"Media Monitoring")</f>
        <v>Media Monitoring</v>
      </c>
      <c r="AI214" s="2" t="str">
        <f>IFERROR(__xludf.DUMMYFUNCTION("""COMPUTED_VALUE"""),"https://www.datacenterdynamics.com/en/news/company-files-for-project-turbo-data-center-campus-outside-atlanta-georgia/")</f>
        <v>https://www.datacenterdynamics.com/en/news/company-files-for-project-turbo-data-center-campus-outside-atlanta-georgia/</v>
      </c>
      <c r="AJ214" s="2" t="str">
        <f>IFERROR(__xludf.DUMMYFUNCTION("""COMPUTED_VALUE"""),"https://www.fox5atlanta.com/news/hall-county-tables-vote-massive-data-center-project-after-residents-raise-concerns")</f>
        <v>https://www.fox5atlanta.com/news/hall-county-tables-vote-massive-data-center-project-after-residents-raise-concerns</v>
      </c>
      <c r="AK214" s="2" t="str">
        <f>IFERROR(__xludf.DUMMYFUNCTION("""COMPUTED_VALUE"""),"https://www.datacenterdynamics.com/en/news/plans-filed-for-six-building-data-center-campus-outside-augusta-georgia/")</f>
        <v>https://www.datacenterdynamics.com/en/news/plans-filed-for-six-building-data-center-campus-outside-augusta-georgia/</v>
      </c>
      <c r="AL214" s="1" t="str">
        <f>IFERROR(__xludf.DUMMYFUNCTION("""COMPUTED_VALUE"""),"")</f>
        <v/>
      </c>
      <c r="AM214" s="1" t="str">
        <f>IFERROR(__xludf.DUMMYFUNCTION("""COMPUTED_VALUE"""),"")</f>
        <v/>
      </c>
      <c r="AN214" s="1" t="str">
        <f>IFERROR(__xludf.DUMMYFUNCTION("""COMPUTED_VALUE"""),"")</f>
        <v/>
      </c>
      <c r="AO214" s="1" t="str">
        <f>IFERROR(__xludf.DUMMYFUNCTION("""COMPUTED_VALUE"""),"")</f>
        <v/>
      </c>
      <c r="AP214" s="1" t="str">
        <f>IFERROR(__xludf.DUMMYFUNCTION("""COMPUTED_VALUE"""),"")</f>
        <v/>
      </c>
      <c r="AQ214" s="1" t="str">
        <f>IFERROR(__xludf.DUMMYFUNCTION("""COMPUTED_VALUE"""),"10/06/2025")</f>
        <v>10/06/2025</v>
      </c>
      <c r="AR214" s="1" t="str">
        <f>IFERROR(__xludf.DUMMYFUNCTION("""COMPUTED_VALUE"""),"03/23/2026")</f>
        <v>03/23/2026</v>
      </c>
    </row>
    <row r="215">
      <c r="A215" s="1" t="str">
        <f>IFERROR(__xludf.DUMMYFUNCTION("""COMPUTED_VALUE"""),"Eagle Rock Partners LLC and Thomas &amp; Hutton Engineering Data Center")</f>
        <v>Eagle Rock Partners LLC and Thomas &amp; Hutton Engineering Data Center</v>
      </c>
      <c r="B215" s="1" t="str">
        <f>IFERROR(__xludf.DUMMYFUNCTION("""COMPUTED_VALUE"""),"near 2349 GA-18")</f>
        <v>near 2349 GA-18</v>
      </c>
      <c r="C215" s="1" t="str">
        <f>IFERROR(__xludf.DUMMYFUNCTION("""COMPUTED_VALUE"""),"Gordon")</f>
        <v>Gordon</v>
      </c>
      <c r="D215" s="1" t="str">
        <f>IFERROR(__xludf.DUMMYFUNCTION("""COMPUTED_VALUE"""),"GA")</f>
        <v>GA</v>
      </c>
      <c r="E215" s="1" t="str">
        <f>IFERROR(__xludf.DUMMYFUNCTION("""COMPUTED_VALUE"""),"31031")</f>
        <v>31031</v>
      </c>
      <c r="F215" s="1" t="str">
        <f>IFERROR(__xludf.DUMMYFUNCTION("""COMPUTED_VALUE"""),"Jones")</f>
        <v>Jones</v>
      </c>
      <c r="G215" s="1" t="str">
        <f>IFERROR(__xludf.DUMMYFUNCTION("""COMPUTED_VALUE"""),"32.91623")</f>
        <v>32.91623</v>
      </c>
      <c r="H215" s="1" t="str">
        <f>IFERROR(__xludf.DUMMYFUNCTION("""COMPUTED_VALUE"""),"-83.382996")</f>
        <v>-83.382996</v>
      </c>
      <c r="I215" s="1" t="str">
        <f>IFERROR(__xludf.DUMMYFUNCTION("""COMPUTED_VALUE"""),"Proposed")</f>
        <v>Proposed</v>
      </c>
      <c r="J215" s="1" t="str">
        <f>IFERROR(__xludf.DUMMYFUNCTION("""COMPUTED_VALUE"""),"High")</f>
        <v>High</v>
      </c>
      <c r="K215" s="1" t="str">
        <f>IFERROR(__xludf.DUMMYFUNCTION("""COMPUTED_VALUE"""),"")</f>
        <v/>
      </c>
      <c r="L215" s="1" t="str">
        <f>IFERROR(__xludf.DUMMYFUNCTION("""COMPUTED_VALUE"""),"")</f>
        <v/>
      </c>
      <c r="M215" s="1" t="str">
        <f>IFERROR(__xludf.DUMMYFUNCTION("""COMPUTED_VALUE"""),"")</f>
        <v/>
      </c>
      <c r="N215" s="1" t="str">
        <f>IFERROR(__xludf.DUMMYFUNCTION("""COMPUTED_VALUE"""),"")</f>
        <v/>
      </c>
      <c r="O215" s="1" t="str">
        <f>IFERROR(__xludf.DUMMYFUNCTION("""COMPUTED_VALUE"""),"Hyperscale (100-999 MW)")</f>
        <v>Hyperscale (100-999 MW)</v>
      </c>
      <c r="P215" s="1" t="str">
        <f>IFERROR(__xludf.DUMMYFUNCTION("""COMPUTED_VALUE"""),"")</f>
        <v/>
      </c>
      <c r="Q215" s="1" t="str">
        <f>IFERROR(__xludf.DUMMYFUNCTION("""COMPUTED_VALUE"""),"")</f>
        <v/>
      </c>
      <c r="R215" s="1" t="str">
        <f>IFERROR(__xludf.DUMMYFUNCTION("""COMPUTED_VALUE"""),"")</f>
        <v/>
      </c>
      <c r="S215" s="1" t="str">
        <f>IFERROR(__xludf.DUMMYFUNCTION("""COMPUTED_VALUE"""),"")</f>
        <v/>
      </c>
      <c r="T215" s="1" t="str">
        <f>IFERROR(__xludf.DUMMYFUNCTION("""COMPUTED_VALUE"""),"")</f>
        <v/>
      </c>
      <c r="U215" s="1" t="str">
        <f>IFERROR(__xludf.DUMMYFUNCTION("""COMPUTED_VALUE"""),"")</f>
        <v/>
      </c>
      <c r="V215" s="1" t="str">
        <f>IFERROR(__xludf.DUMMYFUNCTION("""COMPUTED_VALUE"""),"1,800,000")</f>
        <v>1,800,000</v>
      </c>
      <c r="W215" s="1" t="str">
        <f>IFERROR(__xludf.DUMMYFUNCTION("""COMPUTED_VALUE"""),"634")</f>
        <v>634</v>
      </c>
      <c r="X215" s="1" t="str">
        <f>IFERROR(__xludf.DUMMYFUNCTION("""COMPUTED_VALUE"""),"")</f>
        <v/>
      </c>
      <c r="Y215" s="1" t="str">
        <f>IFERROR(__xludf.DUMMYFUNCTION("""COMPUTED_VALUE"""),"")</f>
        <v/>
      </c>
      <c r="Z215" s="1" t="str">
        <f>IFERROR(__xludf.DUMMYFUNCTION("""COMPUTED_VALUE"""),"Unknown")</f>
        <v>Unknown</v>
      </c>
      <c r="AA215" s="1" t="str">
        <f>IFERROR(__xludf.DUMMYFUNCTION("""COMPUTED_VALUE"""),"")</f>
        <v/>
      </c>
      <c r="AB215" s="1" t="str">
        <f>IFERROR(__xludf.DUMMYFUNCTION("""COMPUTED_VALUE"""),"")</f>
        <v/>
      </c>
      <c r="AC215" s="1" t="str">
        <f>IFERROR(__xludf.DUMMYFUNCTION("""COMPUTED_VALUE"""),"")</f>
        <v/>
      </c>
      <c r="AD215" s="1" t="str">
        <f>IFERROR(__xludf.DUMMYFUNCTION("""COMPUTED_VALUE"""),"")</f>
        <v/>
      </c>
      <c r="AE215" s="1" t="str">
        <f>IFERROR(__xludf.DUMMYFUNCTION("""COMPUTED_VALUE"""),"")</f>
        <v/>
      </c>
      <c r="AF215" s="1" t="str">
        <f>IFERROR(__xludf.DUMMYFUNCTION("""COMPUTED_VALUE"""),"")</f>
        <v/>
      </c>
      <c r="AG215" s="1" t="str">
        <f>IFERROR(__xludf.DUMMYFUNCTION("""COMPUTED_VALUE"""),"")</f>
        <v/>
      </c>
      <c r="AH215" s="1" t="str">
        <f>IFERROR(__xludf.DUMMYFUNCTION("""COMPUTED_VALUE"""),"Media Monitoring")</f>
        <v>Media Monitoring</v>
      </c>
      <c r="AI215" s="2" t="str">
        <f>IFERROR(__xludf.DUMMYFUNCTION("""COMPUTED_VALUE"""),"https://www.13wmaz.com/article/news/local/600-acre-data-center-proposed-for-jones-county-faces-early-opposition/93-25e72bf8-9eed-47ae-a351-8b7a05ee723f")</f>
        <v>https://www.13wmaz.com/article/news/local/600-acre-data-center-proposed-for-jones-county-faces-early-opposition/93-25e72bf8-9eed-47ae-a351-8b7a05ee723f</v>
      </c>
      <c r="AJ215" s="1" t="str">
        <f>IFERROR(__xludf.DUMMYFUNCTION("""COMPUTED_VALUE"""),"")</f>
        <v/>
      </c>
      <c r="AK215" s="1" t="str">
        <f>IFERROR(__xludf.DUMMYFUNCTION("""COMPUTED_VALUE"""),"")</f>
        <v/>
      </c>
      <c r="AL215" s="1" t="str">
        <f>IFERROR(__xludf.DUMMYFUNCTION("""COMPUTED_VALUE"""),"")</f>
        <v/>
      </c>
      <c r="AM215" s="1" t="str">
        <f>IFERROR(__xludf.DUMMYFUNCTION("""COMPUTED_VALUE"""),"")</f>
        <v/>
      </c>
      <c r="AN215" s="1" t="str">
        <f>IFERROR(__xludf.DUMMYFUNCTION("""COMPUTED_VALUE"""),"")</f>
        <v/>
      </c>
      <c r="AO215" s="1" t="str">
        <f>IFERROR(__xludf.DUMMYFUNCTION("""COMPUTED_VALUE"""),"")</f>
        <v/>
      </c>
      <c r="AP215" s="1" t="str">
        <f>IFERROR(__xludf.DUMMYFUNCTION("""COMPUTED_VALUE"""),"")</f>
        <v/>
      </c>
      <c r="AQ215" s="1" t="str">
        <f>IFERROR(__xludf.DUMMYFUNCTION("""COMPUTED_VALUE"""),"10/06/2025")</f>
        <v>10/06/2025</v>
      </c>
      <c r="AR215" s="1" t="str">
        <f>IFERROR(__xludf.DUMMYFUNCTION("""COMPUTED_VALUE"""),"10/06/2025")</f>
        <v>10/06/2025</v>
      </c>
    </row>
    <row r="216">
      <c r="A216" s="1" t="str">
        <f>IFERROR(__xludf.DUMMYFUNCTION("""COMPUTED_VALUE"""),"Crooked Creek Data Center")</f>
        <v>Crooked Creek Data Center</v>
      </c>
      <c r="B216" s="1" t="str">
        <f>IFERROR(__xludf.DUMMYFUNCTION("""COMPUTED_VALUE"""),"near Highway 18 and Highway 49")</f>
        <v>near Highway 18 and Highway 49</v>
      </c>
      <c r="C216" s="1" t="str">
        <f>IFERROR(__xludf.DUMMYFUNCTION("""COMPUTED_VALUE"""),"Gray")</f>
        <v>Gray</v>
      </c>
      <c r="D216" s="1" t="str">
        <f>IFERROR(__xludf.DUMMYFUNCTION("""COMPUTED_VALUE"""),"GA")</f>
        <v>GA</v>
      </c>
      <c r="E216" s="1" t="str">
        <f>IFERROR(__xludf.DUMMYFUNCTION("""COMPUTED_VALUE"""),"31032")</f>
        <v>31032</v>
      </c>
      <c r="F216" s="1" t="str">
        <f>IFERROR(__xludf.DUMMYFUNCTION("""COMPUTED_VALUE"""),"Jones")</f>
        <v>Jones</v>
      </c>
      <c r="G216" s="1" t="str">
        <f>IFERROR(__xludf.DUMMYFUNCTION("""COMPUTED_VALUE"""),"32.937828")</f>
        <v>32.937828</v>
      </c>
      <c r="H216" s="1" t="str">
        <f>IFERROR(__xludf.DUMMYFUNCTION("""COMPUTED_VALUE"""),"-83.396965")</f>
        <v>-83.396965</v>
      </c>
      <c r="I216" s="1" t="str">
        <f>IFERROR(__xludf.DUMMYFUNCTION("""COMPUTED_VALUE"""),"Cancelled")</f>
        <v>Cancelled</v>
      </c>
      <c r="J216" s="1" t="str">
        <f>IFERROR(__xludf.DUMMYFUNCTION("""COMPUTED_VALUE"""),"Medium")</f>
        <v>Medium</v>
      </c>
      <c r="K216" s="1" t="str">
        <f>IFERROR(__xludf.DUMMYFUNCTION("""COMPUTED_VALUE"""),"")</f>
        <v/>
      </c>
      <c r="L216" s="1" t="str">
        <f>IFERROR(__xludf.DUMMYFUNCTION("""COMPUTED_VALUE"""),"Eagle Rock Partners LLC and Thomas &amp; Hutton Engineering")</f>
        <v>Eagle Rock Partners LLC and Thomas &amp; Hutton Engineering</v>
      </c>
      <c r="M216" s="1" t="str">
        <f>IFERROR(__xludf.DUMMYFUNCTION("""COMPUTED_VALUE"""),"")</f>
        <v/>
      </c>
      <c r="N216" s="1" t="str">
        <f>IFERROR(__xludf.DUMMYFUNCTION("""COMPUTED_VALUE"""),"")</f>
        <v/>
      </c>
      <c r="O216" s="1" t="str">
        <f>IFERROR(__xludf.DUMMYFUNCTION("""COMPUTED_VALUE"""),"Unknown")</f>
        <v>Unknown</v>
      </c>
      <c r="P216" s="1" t="str">
        <f>IFERROR(__xludf.DUMMYFUNCTION("""COMPUTED_VALUE"""),"")</f>
        <v/>
      </c>
      <c r="Q216" s="1" t="str">
        <f>IFERROR(__xludf.DUMMYFUNCTION("""COMPUTED_VALUE"""),"")</f>
        <v/>
      </c>
      <c r="R216" s="1" t="str">
        <f>IFERROR(__xludf.DUMMYFUNCTION("""COMPUTED_VALUE"""),"")</f>
        <v/>
      </c>
      <c r="S216" s="1" t="str">
        <f>IFERROR(__xludf.DUMMYFUNCTION("""COMPUTED_VALUE"""),"")</f>
        <v/>
      </c>
      <c r="T216" s="1" t="str">
        <f>IFERROR(__xludf.DUMMYFUNCTION("""COMPUTED_VALUE"""),"")</f>
        <v/>
      </c>
      <c r="U216" s="1" t="str">
        <f>IFERROR(__xludf.DUMMYFUNCTION("""COMPUTED_VALUE"""),"")</f>
        <v/>
      </c>
      <c r="V216" s="1" t="str">
        <f>IFERROR(__xludf.DUMMYFUNCTION("""COMPUTED_VALUE"""),"1,800,000")</f>
        <v>1,800,000</v>
      </c>
      <c r="W216" s="1" t="str">
        <f>IFERROR(__xludf.DUMMYFUNCTION("""COMPUTED_VALUE"""),"634")</f>
        <v>634</v>
      </c>
      <c r="X216" s="1" t="str">
        <f>IFERROR(__xludf.DUMMYFUNCTION("""COMPUTED_VALUE"""),"$5-7 billion")</f>
        <v>$5-7 billion</v>
      </c>
      <c r="Y216" s="1" t="str">
        <f>IFERROR(__xludf.DUMMYFUNCTION("""COMPUTED_VALUE"""),"")</f>
        <v/>
      </c>
      <c r="Z216" s="1" t="str">
        <f>IFERROR(__xludf.DUMMYFUNCTION("""COMPUTED_VALUE"""),"Yes")</f>
        <v>Yes</v>
      </c>
      <c r="AA216" s="1" t="str">
        <f>IFERROR(__xludf.DUMMYFUNCTION("""COMPUTED_VALUE"""),"")</f>
        <v/>
      </c>
      <c r="AB216" s="1" t="str">
        <f>IFERROR(__xludf.DUMMYFUNCTION("""COMPUTED_VALUE"""),"")</f>
        <v/>
      </c>
      <c r="AC216" s="1" t="str">
        <f>IFERROR(__xludf.DUMMYFUNCTION("""COMPUTED_VALUE"""),"")</f>
        <v/>
      </c>
      <c r="AD216" s="2" t="str">
        <f>IFERROR(__xludf.DUMMYFUNCTION("""COMPUTED_VALUE"""),"https://www.facebook.com/groups/1699215814102745/")</f>
        <v>https://www.facebook.com/groups/1699215814102745/</v>
      </c>
      <c r="AE216" s="1" t="str">
        <f>IFERROR(__xludf.DUMMYFUNCTION("""COMPUTED_VALUE"""),"")</f>
        <v/>
      </c>
      <c r="AF216" s="1" t="str">
        <f>IFERROR(__xludf.DUMMYFUNCTION("""COMPUTED_VALUE"""),"")</f>
        <v/>
      </c>
      <c r="AG216" s="1" t="str">
        <f>IFERROR(__xludf.DUMMYFUNCTION("""COMPUTED_VALUE"""),"Proposed rezoning of residential to neighborhood commercial (C-1); acreage is in a very rural area (farmland) with residential land and farms adjoined to the proposed rezoned location. Environmental studies were not conducted; zoned area is a partial wetl"&amp;"and and houses historical burial grounds. Thomas &amp; Hutton withdrew their application from the Jones County Planning and Zoning meeting in Oct 2025.")</f>
        <v>Proposed rezoning of residential to neighborhood commercial (C-1); acreage is in a very rural area (farmland) with residential land and farms adjoined to the proposed rezoned location. Environmental studies were not conducted; zoned area is a partial wetland and houses historical burial grounds. Thomas &amp; Hutton withdrew their application from the Jones County Planning and Zoning meeting in Oct 2025.</v>
      </c>
      <c r="AH216" s="1" t="str">
        <f>IFERROR(__xludf.DUMMYFUNCTION("""COMPUTED_VALUE"""),"Crowdsourced")</f>
        <v>Crowdsourced</v>
      </c>
      <c r="AI216" s="2" t="str">
        <f>IFERROR(__xludf.DUMMYFUNCTION("""COMPUTED_VALUE"""),"https://www.13wmaz.com/article/news/local/gray-jones/proposed-jones-county-data-center-axed-zoning-board-agenda-developers-withdraw/93-1cb42aca-7025-4d9c-b843-b1ada7cd7465")</f>
        <v>https://www.13wmaz.com/article/news/local/gray-jones/proposed-jones-county-data-center-axed-zoning-board-agenda-developers-withdraw/93-1cb42aca-7025-4d9c-b843-b1ada7cd7465</v>
      </c>
      <c r="AJ216" s="2" t="str">
        <f>IFERROR(__xludf.DUMMYFUNCTION("""COMPUTED_VALUE"""),"https://www.datacenterdynamics.com/en/news/data-center-developers-withdraw-plans-to-rezone-more-than-600-acres-in-jones-county-georgia-after-local-pushback/")</f>
        <v>https://www.datacenterdynamics.com/en/news/data-center-developers-withdraw-plans-to-rezone-more-than-600-acres-in-jones-county-georgia-after-local-pushback/</v>
      </c>
      <c r="AK216" s="1" t="str">
        <f>IFERROR(__xludf.DUMMYFUNCTION("""COMPUTED_VALUE"""),"")</f>
        <v/>
      </c>
      <c r="AL216" s="1" t="str">
        <f>IFERROR(__xludf.DUMMYFUNCTION("""COMPUTED_VALUE"""),"")</f>
        <v/>
      </c>
      <c r="AM216" s="1" t="str">
        <f>IFERROR(__xludf.DUMMYFUNCTION("""COMPUTED_VALUE"""),"")</f>
        <v/>
      </c>
      <c r="AN216" s="1" t="str">
        <f>IFERROR(__xludf.DUMMYFUNCTION("""COMPUTED_VALUE"""),"")</f>
        <v/>
      </c>
      <c r="AO216" s="1" t="str">
        <f>IFERROR(__xludf.DUMMYFUNCTION("""COMPUTED_VALUE"""),"")</f>
        <v/>
      </c>
      <c r="AP216" s="1" t="str">
        <f>IFERROR(__xludf.DUMMYFUNCTION("""COMPUTED_VALUE"""),"")</f>
        <v/>
      </c>
      <c r="AQ216" s="1" t="str">
        <f>IFERROR(__xludf.DUMMYFUNCTION("""COMPUTED_VALUE"""),"12/08/2025")</f>
        <v>12/08/2025</v>
      </c>
      <c r="AR216" s="1" t="str">
        <f>IFERROR(__xludf.DUMMYFUNCTION("""COMPUTED_VALUE"""),"03/23/2026")</f>
        <v>03/23/2026</v>
      </c>
    </row>
    <row r="217">
      <c r="A217" s="1" t="str">
        <f>IFERROR(__xludf.DUMMYFUNCTION("""COMPUTED_VALUE"""),"75 South Data Center Campus")</f>
        <v>75 South Data Center Campus</v>
      </c>
      <c r="B217" s="1" t="str">
        <f>IFERROR(__xludf.DUMMYFUNCTION("""COMPUTED_VALUE"""),"~1201 Tomochichi Rd")</f>
        <v>~1201 Tomochichi Rd</v>
      </c>
      <c r="C217" s="1" t="str">
        <f>IFERROR(__xludf.DUMMYFUNCTION("""COMPUTED_VALUE"""),"Griffin")</f>
        <v>Griffin</v>
      </c>
      <c r="D217" s="1" t="str">
        <f>IFERROR(__xludf.DUMMYFUNCTION("""COMPUTED_VALUE"""),"GA")</f>
        <v>GA</v>
      </c>
      <c r="E217" s="1" t="str">
        <f>IFERROR(__xludf.DUMMYFUNCTION("""COMPUTED_VALUE"""),"30223")</f>
        <v>30223</v>
      </c>
      <c r="F217" s="1" t="str">
        <f>IFERROR(__xludf.DUMMYFUNCTION("""COMPUTED_VALUE"""),"Spalding")</f>
        <v>Spalding</v>
      </c>
      <c r="G217" s="1" t="str">
        <f>IFERROR(__xludf.DUMMYFUNCTION("""COMPUTED_VALUE"""),"33.256115")</f>
        <v>33.256115</v>
      </c>
      <c r="H217" s="1" t="str">
        <f>IFERROR(__xludf.DUMMYFUNCTION("""COMPUTED_VALUE"""),"-84.14383")</f>
        <v>-84.14383</v>
      </c>
      <c r="I217" s="1" t="str">
        <f>IFERROR(__xludf.DUMMYFUNCTION("""COMPUTED_VALUE"""),"Proposed")</f>
        <v>Proposed</v>
      </c>
      <c r="J217" s="1" t="str">
        <f>IFERROR(__xludf.DUMMYFUNCTION("""COMPUTED_VALUE"""),"High")</f>
        <v>High</v>
      </c>
      <c r="K217" s="1" t="str">
        <f>IFERROR(__xludf.DUMMYFUNCTION("""COMPUTED_VALUE"""),"")</f>
        <v/>
      </c>
      <c r="L217" s="1" t="str">
        <f>IFERROR(__xludf.DUMMYFUNCTION("""COMPUTED_VALUE"""),"")</f>
        <v/>
      </c>
      <c r="M217" s="1" t="str">
        <f>IFERROR(__xludf.DUMMYFUNCTION("""COMPUTED_VALUE"""),"")</f>
        <v/>
      </c>
      <c r="N217" s="1" t="str">
        <f>IFERROR(__xludf.DUMMYFUNCTION("""COMPUTED_VALUE"""),"")</f>
        <v/>
      </c>
      <c r="O217" s="1" t="str">
        <f>IFERROR(__xludf.DUMMYFUNCTION("""COMPUTED_VALUE"""),"Hyperscale (100-999 MW)")</f>
        <v>Hyperscale (100-999 MW)</v>
      </c>
      <c r="P217" s="1" t="str">
        <f>IFERROR(__xludf.DUMMYFUNCTION("""COMPUTED_VALUE"""),"")</f>
        <v/>
      </c>
      <c r="Q217" s="1" t="str">
        <f>IFERROR(__xludf.DUMMYFUNCTION("""COMPUTED_VALUE"""),"")</f>
        <v/>
      </c>
      <c r="R217" s="1" t="str">
        <f>IFERROR(__xludf.DUMMYFUNCTION("""COMPUTED_VALUE"""),"")</f>
        <v/>
      </c>
      <c r="S217" s="1" t="str">
        <f>IFERROR(__xludf.DUMMYFUNCTION("""COMPUTED_VALUE"""),"7")</f>
        <v>7</v>
      </c>
      <c r="T217" s="1" t="str">
        <f>IFERROR(__xludf.DUMMYFUNCTION("""COMPUTED_VALUE"""),"")</f>
        <v/>
      </c>
      <c r="U217" s="1" t="str">
        <f>IFERROR(__xludf.DUMMYFUNCTION("""COMPUTED_VALUE"""),"")</f>
        <v/>
      </c>
      <c r="V217" s="1" t="str">
        <f>IFERROR(__xludf.DUMMYFUNCTION("""COMPUTED_VALUE"""),"2,200,000")</f>
        <v>2,200,000</v>
      </c>
      <c r="W217" s="1" t="str">
        <f>IFERROR(__xludf.DUMMYFUNCTION("""COMPUTED_VALUE"""),"291")</f>
        <v>291</v>
      </c>
      <c r="X217" s="1" t="str">
        <f>IFERROR(__xludf.DUMMYFUNCTION("""COMPUTED_VALUE"""),"")</f>
        <v/>
      </c>
      <c r="Y217" s="1" t="str">
        <f>IFERROR(__xludf.DUMMYFUNCTION("""COMPUTED_VALUE"""),"")</f>
        <v/>
      </c>
      <c r="Z217" s="1" t="str">
        <f>IFERROR(__xludf.DUMMYFUNCTION("""COMPUTED_VALUE"""),"Unknown")</f>
        <v>Unknown</v>
      </c>
      <c r="AA217" s="1" t="str">
        <f>IFERROR(__xludf.DUMMYFUNCTION("""COMPUTED_VALUE"""),"")</f>
        <v/>
      </c>
      <c r="AB217" s="1" t="str">
        <f>IFERROR(__xludf.DUMMYFUNCTION("""COMPUTED_VALUE"""),"")</f>
        <v/>
      </c>
      <c r="AC217" s="1" t="str">
        <f>IFERROR(__xludf.DUMMYFUNCTION("""COMPUTED_VALUE"""),"")</f>
        <v/>
      </c>
      <c r="AD217" s="1" t="str">
        <f>IFERROR(__xludf.DUMMYFUNCTION("""COMPUTED_VALUE"""),"")</f>
        <v/>
      </c>
      <c r="AE217" s="1" t="str">
        <f>IFERROR(__xludf.DUMMYFUNCTION("""COMPUTED_VALUE"""),"")</f>
        <v/>
      </c>
      <c r="AF217" s="1" t="str">
        <f>IFERROR(__xludf.DUMMYFUNCTION("""COMPUTED_VALUE"""),"")</f>
        <v/>
      </c>
      <c r="AG217" s="1" t="str">
        <f>IFERROR(__xludf.DUMMYFUNCTION("""COMPUTED_VALUE"""),"GA Power substation adjacent to data center site")</f>
        <v>GA Power substation adjacent to data center site</v>
      </c>
      <c r="AH217" s="1" t="str">
        <f>IFERROR(__xludf.DUMMYFUNCTION("""COMPUTED_VALUE"""),"Media Monitoring")</f>
        <v>Media Monitoring</v>
      </c>
      <c r="AI217" s="2" t="str">
        <f>IFERROR(__xludf.DUMMYFUNCTION("""COMPUTED_VALUE"""),"https://www.datacenterdynamics.com/en/news/hillwood-affiliate-files-to-develop-22-million-sq-ft-data-center-campus-outside-atlanta-georgia/")</f>
        <v>https://www.datacenterdynamics.com/en/news/hillwood-affiliate-files-to-develop-22-million-sq-ft-data-center-campus-outside-atlanta-georgia/</v>
      </c>
      <c r="AJ217" s="2" t="str">
        <f>IFERROR(__xludf.DUMMYFUNCTION("""COMPUTED_VALUE"""),"https://www.facebook.com/groups/saveruralspalding/posts/1424956929359534/")</f>
        <v>https://www.facebook.com/groups/saveruralspalding/posts/1424956929359534/</v>
      </c>
      <c r="AK217" s="2" t="str">
        <f>IFERROR(__xludf.DUMMYFUNCTION("""COMPUTED_VALUE"""),"https://apps.dca.ga.gov/DRI/InitialForm.aspx?driid=4607")</f>
        <v>https://apps.dca.ga.gov/DRI/InitialForm.aspx?driid=4607</v>
      </c>
      <c r="AL217" s="1" t="str">
        <f>IFERROR(__xludf.DUMMYFUNCTION("""COMPUTED_VALUE"""),"")</f>
        <v/>
      </c>
      <c r="AM217" s="1" t="str">
        <f>IFERROR(__xludf.DUMMYFUNCTION("""COMPUTED_VALUE"""),"")</f>
        <v/>
      </c>
      <c r="AN217" s="1" t="str">
        <f>IFERROR(__xludf.DUMMYFUNCTION("""COMPUTED_VALUE"""),"")</f>
        <v/>
      </c>
      <c r="AO217" s="1" t="str">
        <f>IFERROR(__xludf.DUMMYFUNCTION("""COMPUTED_VALUE"""),"")</f>
        <v/>
      </c>
      <c r="AP217" s="1" t="str">
        <f>IFERROR(__xludf.DUMMYFUNCTION("""COMPUTED_VALUE"""),"")</f>
        <v/>
      </c>
      <c r="AQ217" s="1" t="str">
        <f>IFERROR(__xludf.DUMMYFUNCTION("""COMPUTED_VALUE"""),"03/04/2026")</f>
        <v>03/04/2026</v>
      </c>
      <c r="AR217" s="1" t="str">
        <f>IFERROR(__xludf.DUMMYFUNCTION("""COMPUTED_VALUE"""),"03/04/2026")</f>
        <v>03/04/2026</v>
      </c>
    </row>
    <row r="218">
      <c r="A218" s="1" t="str">
        <f>IFERROR(__xludf.DUMMYFUNCTION("""COMPUTED_VALUE"""),"Project Spalding")</f>
        <v>Project Spalding</v>
      </c>
      <c r="B218" s="1" t="str">
        <f>IFERROR(__xludf.DUMMYFUNCTION("""COMPUTED_VALUE"""),"High Falls Rd")</f>
        <v>High Falls Rd</v>
      </c>
      <c r="C218" s="1" t="str">
        <f>IFERROR(__xludf.DUMMYFUNCTION("""COMPUTED_VALUE"""),"Griffin")</f>
        <v>Griffin</v>
      </c>
      <c r="D218" s="1" t="str">
        <f>IFERROR(__xludf.DUMMYFUNCTION("""COMPUTED_VALUE"""),"GA")</f>
        <v>GA</v>
      </c>
      <c r="E218" s="1" t="str">
        <f>IFERROR(__xludf.DUMMYFUNCTION("""COMPUTED_VALUE"""),"30224")</f>
        <v>30224</v>
      </c>
      <c r="F218" s="1" t="str">
        <f>IFERROR(__xludf.DUMMYFUNCTION("""COMPUTED_VALUE"""),"Spalding")</f>
        <v>Spalding</v>
      </c>
      <c r="G218" s="1" t="str">
        <f>IFERROR(__xludf.DUMMYFUNCTION("""COMPUTED_VALUE"""),"33.24653")</f>
        <v>33.24653</v>
      </c>
      <c r="H218" s="1" t="str">
        <f>IFERROR(__xludf.DUMMYFUNCTION("""COMPUTED_VALUE"""),"-84.2326")</f>
        <v>-84.2326</v>
      </c>
      <c r="I218" s="1" t="str">
        <f>IFERROR(__xludf.DUMMYFUNCTION("""COMPUTED_VALUE"""),"Approved/Permitted/Under construction")</f>
        <v>Approved/Permitted/Under construction</v>
      </c>
      <c r="J218" s="1" t="str">
        <f>IFERROR(__xludf.DUMMYFUNCTION("""COMPUTED_VALUE"""),"High")</f>
        <v>High</v>
      </c>
      <c r="K218" s="1" t="str">
        <f>IFERROR(__xludf.DUMMYFUNCTION("""COMPUTED_VALUE"""),"")</f>
        <v/>
      </c>
      <c r="L218" s="1" t="str">
        <f>IFERROR(__xludf.DUMMYFUNCTION("""COMPUTED_VALUE"""),"Montana Property Group LLC")</f>
        <v>Montana Property Group LLC</v>
      </c>
      <c r="M218" s="1" t="str">
        <f>IFERROR(__xludf.DUMMYFUNCTION("""COMPUTED_VALUE"""),"")</f>
        <v/>
      </c>
      <c r="N218" s="1" t="str">
        <f>IFERROR(__xludf.DUMMYFUNCTION("""COMPUTED_VALUE"""),"")</f>
        <v/>
      </c>
      <c r="O218" s="1" t="str">
        <f>IFERROR(__xludf.DUMMYFUNCTION("""COMPUTED_VALUE"""),"Hyperscale (100-999 MW)")</f>
        <v>Hyperscale (100-999 MW)</v>
      </c>
      <c r="P218" s="1" t="str">
        <f>IFERROR(__xludf.DUMMYFUNCTION("""COMPUTED_VALUE"""),"")</f>
        <v/>
      </c>
      <c r="Q218" s="1" t="str">
        <f>IFERROR(__xludf.DUMMYFUNCTION("""COMPUTED_VALUE"""),"")</f>
        <v/>
      </c>
      <c r="R218" s="1" t="str">
        <f>IFERROR(__xludf.DUMMYFUNCTION("""COMPUTED_VALUE"""),"")</f>
        <v/>
      </c>
      <c r="S218" s="1" t="str">
        <f>IFERROR(__xludf.DUMMYFUNCTION("""COMPUTED_VALUE"""),"")</f>
        <v/>
      </c>
      <c r="T218" s="1" t="str">
        <f>IFERROR(__xludf.DUMMYFUNCTION("""COMPUTED_VALUE"""),"")</f>
        <v/>
      </c>
      <c r="U218" s="1" t="str">
        <f>IFERROR(__xludf.DUMMYFUNCTION("""COMPUTED_VALUE"""),"")</f>
        <v/>
      </c>
      <c r="V218" s="1" t="str">
        <f>IFERROR(__xludf.DUMMYFUNCTION("""COMPUTED_VALUE"""),"2,550,000")</f>
        <v>2,550,000</v>
      </c>
      <c r="W218" s="1" t="str">
        <f>IFERROR(__xludf.DUMMYFUNCTION("""COMPUTED_VALUE"""),"")</f>
        <v/>
      </c>
      <c r="X218" s="1" t="str">
        <f>IFERROR(__xludf.DUMMYFUNCTION("""COMPUTED_VALUE"""),"")</f>
        <v/>
      </c>
      <c r="Y218" s="1" t="str">
        <f>IFERROR(__xludf.DUMMYFUNCTION("""COMPUTED_VALUE"""),"")</f>
        <v/>
      </c>
      <c r="Z218" s="1" t="str">
        <f>IFERROR(__xludf.DUMMYFUNCTION("""COMPUTED_VALUE"""),"Unknown")</f>
        <v>Unknown</v>
      </c>
      <c r="AA218" s="1" t="str">
        <f>IFERROR(__xludf.DUMMYFUNCTION("""COMPUTED_VALUE"""),"")</f>
        <v/>
      </c>
      <c r="AB218" s="1" t="str">
        <f>IFERROR(__xludf.DUMMYFUNCTION("""COMPUTED_VALUE"""),"")</f>
        <v/>
      </c>
      <c r="AC218" s="1" t="str">
        <f>IFERROR(__xludf.DUMMYFUNCTION("""COMPUTED_VALUE"""),"")</f>
        <v/>
      </c>
      <c r="AD218" s="1" t="str">
        <f>IFERROR(__xludf.DUMMYFUNCTION("""COMPUTED_VALUE"""),"")</f>
        <v/>
      </c>
      <c r="AE218" s="1" t="str">
        <f>IFERROR(__xludf.DUMMYFUNCTION("""COMPUTED_VALUE"""),"")</f>
        <v/>
      </c>
      <c r="AF218" s="1" t="str">
        <f>IFERROR(__xludf.DUMMYFUNCTION("""COMPUTED_VALUE"""),"")</f>
        <v/>
      </c>
      <c r="AG218" s="1" t="str">
        <f>IFERROR(__xludf.DUMMYFUNCTION("""COMPUTED_VALUE"""),"")</f>
        <v/>
      </c>
      <c r="AH218" s="1" t="str">
        <f>IFERROR(__xludf.DUMMYFUNCTION("""COMPUTED_VALUE"""),"Media Monitoring")</f>
        <v>Media Monitoring</v>
      </c>
      <c r="AI218" s="2" t="str">
        <f>IFERROR(__xludf.DUMMYFUNCTION("""COMPUTED_VALUE"""),"https://www.datacenterdynamics.com/en/news/plans-filed-for-255-million-sq-ft-data-center-campus-outside-atlanta/")</f>
        <v>https://www.datacenterdynamics.com/en/news/plans-filed-for-255-million-sq-ft-data-center-campus-outside-atlanta/</v>
      </c>
      <c r="AJ218" s="2" t="str">
        <f>IFERROR(__xludf.DUMMYFUNCTION("""COMPUTED_VALUE"""),"https://www.griffindailynews.com/news/spalding-county-resident-raises-alarm-about-a-proposed-data-center-on-high-falls-road/article_ec6873d9-ad5a-5327-b940-fbec3e36b16c.html")</f>
        <v>https://www.griffindailynews.com/news/spalding-county-resident-raises-alarm-about-a-proposed-data-center-on-high-falls-road/article_ec6873d9-ad5a-5327-b940-fbec3e36b16c.html</v>
      </c>
      <c r="AK218" s="2" t="str">
        <f>IFERROR(__xludf.DUMMYFUNCTION("""COMPUTED_VALUE"""),"https://www.ajc.com/news/business/sprawling-data-center-campuses-proposed-south-and-east-of-atlanta/5QKZEN5W45GU5NCHUHGVYX4UUM/")</f>
        <v>https://www.ajc.com/news/business/sprawling-data-center-campuses-proposed-south-and-east-of-atlanta/5QKZEN5W45GU5NCHUHGVYX4UUM/</v>
      </c>
      <c r="AL218" s="2" t="str">
        <f>IFERROR(__xludf.DUMMYFUNCTION("""COMPUTED_VALUE"""),"https://www.datacenterdynamics.com/en/news/application-filed-for-5-million-sq-ft-data-center-campus-outside-atlanta-georgia/")</f>
        <v>https://www.datacenterdynamics.com/en/news/application-filed-for-5-million-sq-ft-data-center-campus-outside-atlanta-georgia/</v>
      </c>
      <c r="AM218" s="1" t="str">
        <f>IFERROR(__xludf.DUMMYFUNCTION("""COMPUTED_VALUE"""),"")</f>
        <v/>
      </c>
      <c r="AN218" s="1" t="str">
        <f>IFERROR(__xludf.DUMMYFUNCTION("""COMPUTED_VALUE"""),"")</f>
        <v/>
      </c>
      <c r="AO218" s="1" t="str">
        <f>IFERROR(__xludf.DUMMYFUNCTION("""COMPUTED_VALUE"""),"")</f>
        <v/>
      </c>
      <c r="AP218" s="1" t="str">
        <f>IFERROR(__xludf.DUMMYFUNCTION("""COMPUTED_VALUE"""),"")</f>
        <v/>
      </c>
      <c r="AQ218" s="1" t="str">
        <f>IFERROR(__xludf.DUMMYFUNCTION("""COMPUTED_VALUE"""),"06/24/2025")</f>
        <v>06/24/2025</v>
      </c>
      <c r="AR218" s="1" t="str">
        <f>IFERROR(__xludf.DUMMYFUNCTION("""COMPUTED_VALUE"""),"01/09/2026")</f>
        <v>01/09/2026</v>
      </c>
    </row>
    <row r="219">
      <c r="A219" s="1" t="str">
        <f>IFERROR(__xludf.DUMMYFUNCTION("""COMPUTED_VALUE"""),"Spalding Investments LLC Data Center")</f>
        <v>Spalding Investments LLC Data Center</v>
      </c>
      <c r="B219" s="1" t="str">
        <f>IFERROR(__xludf.DUMMYFUNCTION("""COMPUTED_VALUE"""),"~2038 High Falls Rd")</f>
        <v>~2038 High Falls Rd</v>
      </c>
      <c r="C219" s="1" t="str">
        <f>IFERROR(__xludf.DUMMYFUNCTION("""COMPUTED_VALUE"""),"Griffin")</f>
        <v>Griffin</v>
      </c>
      <c r="D219" s="1" t="str">
        <f>IFERROR(__xludf.DUMMYFUNCTION("""COMPUTED_VALUE"""),"GA")</f>
        <v>GA</v>
      </c>
      <c r="E219" s="1" t="str">
        <f>IFERROR(__xludf.DUMMYFUNCTION("""COMPUTED_VALUE"""),"30223")</f>
        <v>30223</v>
      </c>
      <c r="F219" s="1" t="str">
        <f>IFERROR(__xludf.DUMMYFUNCTION("""COMPUTED_VALUE"""),"Spaulding")</f>
        <v>Spaulding</v>
      </c>
      <c r="G219" s="1" t="str">
        <f>IFERROR(__xludf.DUMMYFUNCTION("""COMPUTED_VALUE"""),"33.24212")</f>
        <v>33.24212</v>
      </c>
      <c r="H219" s="1" t="str">
        <f>IFERROR(__xludf.DUMMYFUNCTION("""COMPUTED_VALUE"""),"-84.19505")</f>
        <v>-84.19505</v>
      </c>
      <c r="I219" s="1" t="str">
        <f>IFERROR(__xludf.DUMMYFUNCTION("""COMPUTED_VALUE"""),"Proposed")</f>
        <v>Proposed</v>
      </c>
      <c r="J219" s="1" t="str">
        <f>IFERROR(__xludf.DUMMYFUNCTION("""COMPUTED_VALUE"""),"High")</f>
        <v>High</v>
      </c>
      <c r="K219" s="1" t="str">
        <f>IFERROR(__xludf.DUMMYFUNCTION("""COMPUTED_VALUE"""),"")</f>
        <v/>
      </c>
      <c r="L219" s="1" t="str">
        <f>IFERROR(__xludf.DUMMYFUNCTION("""COMPUTED_VALUE"""),"")</f>
        <v/>
      </c>
      <c r="M219" s="1" t="str">
        <f>IFERROR(__xludf.DUMMYFUNCTION("""COMPUTED_VALUE"""),"")</f>
        <v/>
      </c>
      <c r="N219" s="1" t="str">
        <f>IFERROR(__xludf.DUMMYFUNCTION("""COMPUTED_VALUE"""),"")</f>
        <v/>
      </c>
      <c r="O219" s="1" t="str">
        <f>IFERROR(__xludf.DUMMYFUNCTION("""COMPUTED_VALUE"""),"Hyperscale (100-999 MW)")</f>
        <v>Hyperscale (100-999 MW)</v>
      </c>
      <c r="P219" s="1" t="str">
        <f>IFERROR(__xludf.DUMMYFUNCTION("""COMPUTED_VALUE"""),"")</f>
        <v/>
      </c>
      <c r="Q219" s="1" t="str">
        <f>IFERROR(__xludf.DUMMYFUNCTION("""COMPUTED_VALUE"""),"")</f>
        <v/>
      </c>
      <c r="R219" s="1" t="str">
        <f>IFERROR(__xludf.DUMMYFUNCTION("""COMPUTED_VALUE"""),"")</f>
        <v/>
      </c>
      <c r="S219" s="1" t="str">
        <f>IFERROR(__xludf.DUMMYFUNCTION("""COMPUTED_VALUE"""),"8")</f>
        <v>8</v>
      </c>
      <c r="T219" s="1" t="str">
        <f>IFERROR(__xludf.DUMMYFUNCTION("""COMPUTED_VALUE"""),"")</f>
        <v/>
      </c>
      <c r="U219" s="1" t="str">
        <f>IFERROR(__xludf.DUMMYFUNCTION("""COMPUTED_VALUE"""),"Closed loop")</f>
        <v>Closed loop</v>
      </c>
      <c r="V219" s="1" t="str">
        <f>IFERROR(__xludf.DUMMYFUNCTION("""COMPUTED_VALUE"""),"1,420,000")</f>
        <v>1,420,000</v>
      </c>
      <c r="W219" s="1" t="str">
        <f>IFERROR(__xludf.DUMMYFUNCTION("""COMPUTED_VALUE"""),"127")</f>
        <v>127</v>
      </c>
      <c r="X219" s="1" t="str">
        <f>IFERROR(__xludf.DUMMYFUNCTION("""COMPUTED_VALUE"""),"$1.5 billion")</f>
        <v>$1.5 billion</v>
      </c>
      <c r="Y219" s="1" t="str">
        <f>IFERROR(__xludf.DUMMYFUNCTION("""COMPUTED_VALUE"""),"")</f>
        <v/>
      </c>
      <c r="Z219" s="1" t="str">
        <f>IFERROR(__xludf.DUMMYFUNCTION("""COMPUTED_VALUE"""),"Unknown")</f>
        <v>Unknown</v>
      </c>
      <c r="AA219" s="1" t="str">
        <f>IFERROR(__xludf.DUMMYFUNCTION("""COMPUTED_VALUE"""),"")</f>
        <v/>
      </c>
      <c r="AB219" s="1" t="str">
        <f>IFERROR(__xludf.DUMMYFUNCTION("""COMPUTED_VALUE"""),"")</f>
        <v/>
      </c>
      <c r="AC219" s="1" t="str">
        <f>IFERROR(__xludf.DUMMYFUNCTION("""COMPUTED_VALUE"""),"")</f>
        <v/>
      </c>
      <c r="AD219" s="1" t="str">
        <f>IFERROR(__xludf.DUMMYFUNCTION("""COMPUTED_VALUE"""),"")</f>
        <v/>
      </c>
      <c r="AE219" s="1" t="str">
        <f>IFERROR(__xludf.DUMMYFUNCTION("""COMPUTED_VALUE"""),"")</f>
        <v/>
      </c>
      <c r="AF219" s="1" t="str">
        <f>IFERROR(__xludf.DUMMYFUNCTION("""COMPUTED_VALUE"""),"")</f>
        <v/>
      </c>
      <c r="AG219" s="1" t="str">
        <f>IFERROR(__xludf.DUMMYFUNCTION("""COMPUTED_VALUE"""),"")</f>
        <v/>
      </c>
      <c r="AH219" s="1" t="str">
        <f>IFERROR(__xludf.DUMMYFUNCTION("""COMPUTED_VALUE"""),"Media Monitoring")</f>
        <v>Media Monitoring</v>
      </c>
      <c r="AI219" s="2" t="str">
        <f>IFERROR(__xludf.DUMMYFUNCTION("""COMPUTED_VALUE"""),"https://www.datacenterdynamics.com/en/news/land-rezoning-for-georgia-data-center-recommended-for-approval/")</f>
        <v>https://www.datacenterdynamics.com/en/news/land-rezoning-for-georgia-data-center-recommended-for-approval/</v>
      </c>
      <c r="AJ219" s="1" t="str">
        <f>IFERROR(__xludf.DUMMYFUNCTION("""COMPUTED_VALUE"""),"")</f>
        <v/>
      </c>
      <c r="AK219" s="1" t="str">
        <f>IFERROR(__xludf.DUMMYFUNCTION("""COMPUTED_VALUE"""),"")</f>
        <v/>
      </c>
      <c r="AL219" s="1" t="str">
        <f>IFERROR(__xludf.DUMMYFUNCTION("""COMPUTED_VALUE"""),"")</f>
        <v/>
      </c>
      <c r="AM219" s="1" t="str">
        <f>IFERROR(__xludf.DUMMYFUNCTION("""COMPUTED_VALUE"""),"")</f>
        <v/>
      </c>
      <c r="AN219" s="1" t="str">
        <f>IFERROR(__xludf.DUMMYFUNCTION("""COMPUTED_VALUE"""),"")</f>
        <v/>
      </c>
      <c r="AO219" s="1" t="str">
        <f>IFERROR(__xludf.DUMMYFUNCTION("""COMPUTED_VALUE"""),"")</f>
        <v/>
      </c>
      <c r="AP219" s="1" t="str">
        <f>IFERROR(__xludf.DUMMYFUNCTION("""COMPUTED_VALUE"""),"")</f>
        <v/>
      </c>
      <c r="AQ219" s="1" t="str">
        <f>IFERROR(__xludf.DUMMYFUNCTION("""COMPUTED_VALUE"""),"01/09/2026")</f>
        <v>01/09/2026</v>
      </c>
      <c r="AR219" s="1" t="str">
        <f>IFERROR(__xludf.DUMMYFUNCTION("""COMPUTED_VALUE"""),"01/09/2026")</f>
        <v>01/09/2026</v>
      </c>
    </row>
    <row r="220">
      <c r="A220" s="1" t="str">
        <f>IFERROR(__xludf.DUMMYFUNCTION("""COMPUTED_VALUE"""),"Wallace Jackson Data Center Campus")</f>
        <v>Wallace Jackson Data Center Campus</v>
      </c>
      <c r="B220" s="1" t="str">
        <f>IFERROR(__xludf.DUMMYFUNCTION("""COMPUTED_VALUE"""),"5745 Jackson Rd")</f>
        <v>5745 Jackson Rd</v>
      </c>
      <c r="C220" s="1" t="str">
        <f>IFERROR(__xludf.DUMMYFUNCTION("""COMPUTED_VALUE"""),"Griffin")</f>
        <v>Griffin</v>
      </c>
      <c r="D220" s="1" t="str">
        <f>IFERROR(__xludf.DUMMYFUNCTION("""COMPUTED_VALUE"""),"GA")</f>
        <v>GA</v>
      </c>
      <c r="E220" s="1" t="str">
        <f>IFERROR(__xludf.DUMMYFUNCTION("""COMPUTED_VALUE"""),"30223")</f>
        <v>30223</v>
      </c>
      <c r="F220" s="1" t="str">
        <f>IFERROR(__xludf.DUMMYFUNCTION("""COMPUTED_VALUE"""),"Spaulding")</f>
        <v>Spaulding</v>
      </c>
      <c r="G220" s="1" t="str">
        <f>IFERROR(__xludf.DUMMYFUNCTION("""COMPUTED_VALUE"""),"33.273514")</f>
        <v>33.273514</v>
      </c>
      <c r="H220" s="1" t="str">
        <f>IFERROR(__xludf.DUMMYFUNCTION("""COMPUTED_VALUE"""),"-84.12198")</f>
        <v>-84.12198</v>
      </c>
      <c r="I220" s="1" t="str">
        <f>IFERROR(__xludf.DUMMYFUNCTION("""COMPUTED_VALUE"""),"Proposed")</f>
        <v>Proposed</v>
      </c>
      <c r="J220" s="1" t="str">
        <f>IFERROR(__xludf.DUMMYFUNCTION("""COMPUTED_VALUE"""),"High")</f>
        <v>High</v>
      </c>
      <c r="K220" s="1" t="str">
        <f>IFERROR(__xludf.DUMMYFUNCTION("""COMPUTED_VALUE"""),"")</f>
        <v/>
      </c>
      <c r="L220" s="1" t="str">
        <f>IFERROR(__xludf.DUMMYFUNCTION("""COMPUTED_VALUE"""),"")</f>
        <v/>
      </c>
      <c r="M220" s="1" t="str">
        <f>IFERROR(__xludf.DUMMYFUNCTION("""COMPUTED_VALUE"""),"")</f>
        <v/>
      </c>
      <c r="N220" s="1" t="str">
        <f>IFERROR(__xludf.DUMMYFUNCTION("""COMPUTED_VALUE"""),"")</f>
        <v/>
      </c>
      <c r="O220" s="1" t="str">
        <f>IFERROR(__xludf.DUMMYFUNCTION("""COMPUTED_VALUE"""),"Mega campus (&gt;1,000 MW)")</f>
        <v>Mega campus (&gt;1,000 MW)</v>
      </c>
      <c r="P220" s="1" t="str">
        <f>IFERROR(__xludf.DUMMYFUNCTION("""COMPUTED_VALUE"""),"")</f>
        <v/>
      </c>
      <c r="Q220" s="1" t="str">
        <f>IFERROR(__xludf.DUMMYFUNCTION("""COMPUTED_VALUE"""),"")</f>
        <v/>
      </c>
      <c r="R220" s="1" t="str">
        <f>IFERROR(__xludf.DUMMYFUNCTION("""COMPUTED_VALUE"""),"")</f>
        <v/>
      </c>
      <c r="S220" s="1" t="str">
        <f>IFERROR(__xludf.DUMMYFUNCTION("""COMPUTED_VALUE"""),"10")</f>
        <v>10</v>
      </c>
      <c r="T220" s="1" t="str">
        <f>IFERROR(__xludf.DUMMYFUNCTION("""COMPUTED_VALUE"""),"")</f>
        <v/>
      </c>
      <c r="U220" s="1" t="str">
        <f>IFERROR(__xludf.DUMMYFUNCTION("""COMPUTED_VALUE"""),"")</f>
        <v/>
      </c>
      <c r="V220" s="1" t="str">
        <f>IFERROR(__xludf.DUMMYFUNCTION("""COMPUTED_VALUE"""),"4,986,000")</f>
        <v>4,986,000</v>
      </c>
      <c r="W220" s="1" t="str">
        <f>IFERROR(__xludf.DUMMYFUNCTION("""COMPUTED_VALUE"""),"190")</f>
        <v>190</v>
      </c>
      <c r="X220" s="1" t="str">
        <f>IFERROR(__xludf.DUMMYFUNCTION("""COMPUTED_VALUE"""),"")</f>
        <v/>
      </c>
      <c r="Y220" s="1" t="str">
        <f>IFERROR(__xludf.DUMMYFUNCTION("""COMPUTED_VALUE"""),"")</f>
        <v/>
      </c>
      <c r="Z220" s="1" t="str">
        <f>IFERROR(__xludf.DUMMYFUNCTION("""COMPUTED_VALUE"""),"Unknown")</f>
        <v>Unknown</v>
      </c>
      <c r="AA220" s="1" t="str">
        <f>IFERROR(__xludf.DUMMYFUNCTION("""COMPUTED_VALUE"""),"")</f>
        <v/>
      </c>
      <c r="AB220" s="1" t="str">
        <f>IFERROR(__xludf.DUMMYFUNCTION("""COMPUTED_VALUE"""),"")</f>
        <v/>
      </c>
      <c r="AC220" s="1" t="str">
        <f>IFERROR(__xludf.DUMMYFUNCTION("""COMPUTED_VALUE"""),"")</f>
        <v/>
      </c>
      <c r="AD220" s="1" t="str">
        <f>IFERROR(__xludf.DUMMYFUNCTION("""COMPUTED_VALUE"""),"")</f>
        <v/>
      </c>
      <c r="AE220" s="1" t="str">
        <f>IFERROR(__xludf.DUMMYFUNCTION("""COMPUTED_VALUE"""),"")</f>
        <v/>
      </c>
      <c r="AF220" s="1" t="str">
        <f>IFERROR(__xludf.DUMMYFUNCTION("""COMPUTED_VALUE"""),"")</f>
        <v/>
      </c>
      <c r="AG220" s="1" t="str">
        <f>IFERROR(__xludf.DUMMYFUNCTION("""COMPUTED_VALUE"""),"")</f>
        <v/>
      </c>
      <c r="AH220" s="1" t="str">
        <f>IFERROR(__xludf.DUMMYFUNCTION("""COMPUTED_VALUE"""),"Media Monitoring")</f>
        <v>Media Monitoring</v>
      </c>
      <c r="AI220" s="2" t="str">
        <f>IFERROR(__xludf.DUMMYFUNCTION("""COMPUTED_VALUE"""),"https://www.datacenterdynamics.com/en/news/application-filed-for-5-million-sq-ft-data-center-campus-outside-atlanta-georgia/")</f>
        <v>https://www.datacenterdynamics.com/en/news/application-filed-for-5-million-sq-ft-data-center-campus-outside-atlanta-georgia/</v>
      </c>
      <c r="AJ220" s="2" t="str">
        <f>IFERROR(__xludf.DUMMYFUNCTION("""COMPUTED_VALUE"""),"https://apps.dca.ga.gov/DRI/InitialForm.aspx?driid=4599")</f>
        <v>https://apps.dca.ga.gov/DRI/InitialForm.aspx?driid=4599</v>
      </c>
      <c r="AK220" s="1" t="str">
        <f>IFERROR(__xludf.DUMMYFUNCTION("""COMPUTED_VALUE"""),"")</f>
        <v/>
      </c>
      <c r="AL220" s="1" t="str">
        <f>IFERROR(__xludf.DUMMYFUNCTION("""COMPUTED_VALUE"""),"")</f>
        <v/>
      </c>
      <c r="AM220" s="1" t="str">
        <f>IFERROR(__xludf.DUMMYFUNCTION("""COMPUTED_VALUE"""),"")</f>
        <v/>
      </c>
      <c r="AN220" s="1" t="str">
        <f>IFERROR(__xludf.DUMMYFUNCTION("""COMPUTED_VALUE"""),"")</f>
        <v/>
      </c>
      <c r="AO220" s="1" t="str">
        <f>IFERROR(__xludf.DUMMYFUNCTION("""COMPUTED_VALUE"""),"")</f>
        <v/>
      </c>
      <c r="AP220" s="1" t="str">
        <f>IFERROR(__xludf.DUMMYFUNCTION("""COMPUTED_VALUE"""),"")</f>
        <v/>
      </c>
      <c r="AQ220" s="1" t="str">
        <f>IFERROR(__xludf.DUMMYFUNCTION("""COMPUTED_VALUE"""),"01/09/2026")</f>
        <v>01/09/2026</v>
      </c>
      <c r="AR220" s="1" t="str">
        <f>IFERROR(__xludf.DUMMYFUNCTION("""COMPUTED_VALUE"""),"01/09/2026")</f>
        <v>01/09/2026</v>
      </c>
    </row>
    <row r="221">
      <c r="A221" s="1" t="str">
        <f>IFERROR(__xludf.DUMMYFUNCTION("""COMPUTED_VALUE"""),"0 Rocky Creek Data Center Campus")</f>
        <v>0 Rocky Creek Data Center Campus</v>
      </c>
      <c r="B221" s="1" t="str">
        <f>IFERROR(__xludf.DUMMYFUNCTION("""COMPUTED_VALUE"""),"GA-20 &amp; Rocky Creek Rd")</f>
        <v>GA-20 &amp; Rocky Creek Rd</v>
      </c>
      <c r="C221" s="1" t="str">
        <f>IFERROR(__xludf.DUMMYFUNCTION("""COMPUTED_VALUE"""),"Hampton")</f>
        <v>Hampton</v>
      </c>
      <c r="D221" s="1" t="str">
        <f>IFERROR(__xludf.DUMMYFUNCTION("""COMPUTED_VALUE"""),"GA")</f>
        <v>GA</v>
      </c>
      <c r="E221" s="1" t="str">
        <f>IFERROR(__xludf.DUMMYFUNCTION("""COMPUTED_VALUE"""),"30228")</f>
        <v>30228</v>
      </c>
      <c r="F221" s="1" t="str">
        <f>IFERROR(__xludf.DUMMYFUNCTION("""COMPUTED_VALUE"""),"Henry")</f>
        <v>Henry</v>
      </c>
      <c r="G221" s="1" t="str">
        <f>IFERROR(__xludf.DUMMYFUNCTION("""COMPUTED_VALUE"""),"33.40101")</f>
        <v>33.40101</v>
      </c>
      <c r="H221" s="1" t="str">
        <f>IFERROR(__xludf.DUMMYFUNCTION("""COMPUTED_VALUE"""),"-84.2243")</f>
        <v>-84.2243</v>
      </c>
      <c r="I221" s="1" t="str">
        <f>IFERROR(__xludf.DUMMYFUNCTION("""COMPUTED_VALUE"""),"Proposed")</f>
        <v>Proposed</v>
      </c>
      <c r="J221" s="1" t="str">
        <f>IFERROR(__xludf.DUMMYFUNCTION("""COMPUTED_VALUE"""),"High")</f>
        <v>High</v>
      </c>
      <c r="K221" s="1" t="str">
        <f>IFERROR(__xludf.DUMMYFUNCTION("""COMPUTED_VALUE"""),"")</f>
        <v/>
      </c>
      <c r="L221" s="1" t="str">
        <f>IFERROR(__xludf.DUMMYFUNCTION("""COMPUTED_VALUE"""),"")</f>
        <v/>
      </c>
      <c r="M221" s="1" t="str">
        <f>IFERROR(__xludf.DUMMYFUNCTION("""COMPUTED_VALUE"""),"")</f>
        <v/>
      </c>
      <c r="N221" s="1" t="str">
        <f>IFERROR(__xludf.DUMMYFUNCTION("""COMPUTED_VALUE"""),"")</f>
        <v/>
      </c>
      <c r="O221" s="1" t="str">
        <f>IFERROR(__xludf.DUMMYFUNCTION("""COMPUTED_VALUE"""),"Unknown")</f>
        <v>Unknown</v>
      </c>
      <c r="P221" s="1" t="str">
        <f>IFERROR(__xludf.DUMMYFUNCTION("""COMPUTED_VALUE"""),"")</f>
        <v/>
      </c>
      <c r="Q221" s="1" t="str">
        <f>IFERROR(__xludf.DUMMYFUNCTION("""COMPUTED_VALUE"""),"")</f>
        <v/>
      </c>
      <c r="R221" s="1" t="str">
        <f>IFERROR(__xludf.DUMMYFUNCTION("""COMPUTED_VALUE"""),"")</f>
        <v/>
      </c>
      <c r="S221" s="1" t="str">
        <f>IFERROR(__xludf.DUMMYFUNCTION("""COMPUTED_VALUE"""),"")</f>
        <v/>
      </c>
      <c r="T221" s="1" t="str">
        <f>IFERROR(__xludf.DUMMYFUNCTION("""COMPUTED_VALUE"""),"")</f>
        <v/>
      </c>
      <c r="U221" s="1" t="str">
        <f>IFERROR(__xludf.DUMMYFUNCTION("""COMPUTED_VALUE"""),"")</f>
        <v/>
      </c>
      <c r="V221" s="1" t="str">
        <f>IFERROR(__xludf.DUMMYFUNCTION("""COMPUTED_VALUE"""),"1,250,000")</f>
        <v>1,250,000</v>
      </c>
      <c r="W221" s="1" t="str">
        <f>IFERROR(__xludf.DUMMYFUNCTION("""COMPUTED_VALUE"""),"")</f>
        <v/>
      </c>
      <c r="X221" s="1" t="str">
        <f>IFERROR(__xludf.DUMMYFUNCTION("""COMPUTED_VALUE"""),"")</f>
        <v/>
      </c>
      <c r="Y221" s="1" t="str">
        <f>IFERROR(__xludf.DUMMYFUNCTION("""COMPUTED_VALUE"""),"")</f>
        <v/>
      </c>
      <c r="Z221" s="1" t="str">
        <f>IFERROR(__xludf.DUMMYFUNCTION("""COMPUTED_VALUE"""),"Unknown")</f>
        <v>Unknown</v>
      </c>
      <c r="AA221" s="1" t="str">
        <f>IFERROR(__xludf.DUMMYFUNCTION("""COMPUTED_VALUE"""),"")</f>
        <v/>
      </c>
      <c r="AB221" s="1" t="str">
        <f>IFERROR(__xludf.DUMMYFUNCTION("""COMPUTED_VALUE"""),"")</f>
        <v/>
      </c>
      <c r="AC221" s="1" t="str">
        <f>IFERROR(__xludf.DUMMYFUNCTION("""COMPUTED_VALUE"""),"")</f>
        <v/>
      </c>
      <c r="AD221" s="1" t="str">
        <f>IFERROR(__xludf.DUMMYFUNCTION("""COMPUTED_VALUE"""),"")</f>
        <v/>
      </c>
      <c r="AE221" s="1" t="str">
        <f>IFERROR(__xludf.DUMMYFUNCTION("""COMPUTED_VALUE"""),"")</f>
        <v/>
      </c>
      <c r="AF221" s="1" t="str">
        <f>IFERROR(__xludf.DUMMYFUNCTION("""COMPUTED_VALUE"""),"")</f>
        <v/>
      </c>
      <c r="AG221" s="1" t="str">
        <f>IFERROR(__xludf.DUMMYFUNCTION("""COMPUTED_VALUE"""),"launch 2028")</f>
        <v>launch 2028</v>
      </c>
      <c r="AH221" s="1" t="str">
        <f>IFERROR(__xludf.DUMMYFUNCTION("""COMPUTED_VALUE"""),"Media Monitoring")</f>
        <v>Media Monitoring</v>
      </c>
      <c r="AI221" s="2" t="str">
        <f>IFERROR(__xludf.DUMMYFUNCTION("""COMPUTED_VALUE"""),"https://www.datacenterdynamics.com/en/news/125-million-sq-ft-data-center-proposed-outside-atlanta-georgia")</f>
        <v>https://www.datacenterdynamics.com/en/news/125-million-sq-ft-data-center-proposed-outside-atlanta-georgia</v>
      </c>
      <c r="AJ221" s="1" t="str">
        <f>IFERROR(__xludf.DUMMYFUNCTION("""COMPUTED_VALUE"""),"")</f>
        <v/>
      </c>
      <c r="AK221" s="1" t="str">
        <f>IFERROR(__xludf.DUMMYFUNCTION("""COMPUTED_VALUE"""),"")</f>
        <v/>
      </c>
      <c r="AL221" s="1" t="str">
        <f>IFERROR(__xludf.DUMMYFUNCTION("""COMPUTED_VALUE"""),"")</f>
        <v/>
      </c>
      <c r="AM221" s="1" t="str">
        <f>IFERROR(__xludf.DUMMYFUNCTION("""COMPUTED_VALUE"""),"")</f>
        <v/>
      </c>
      <c r="AN221" s="1" t="str">
        <f>IFERROR(__xludf.DUMMYFUNCTION("""COMPUTED_VALUE"""),"")</f>
        <v/>
      </c>
      <c r="AO221" s="1" t="str">
        <f>IFERROR(__xludf.DUMMYFUNCTION("""COMPUTED_VALUE"""),"")</f>
        <v/>
      </c>
      <c r="AP221" s="1" t="str">
        <f>IFERROR(__xludf.DUMMYFUNCTION("""COMPUTED_VALUE"""),"")</f>
        <v/>
      </c>
      <c r="AQ221" s="1" t="str">
        <f>IFERROR(__xludf.DUMMYFUNCTION("""COMPUTED_VALUE"""),"05/27/2025")</f>
        <v>05/27/2025</v>
      </c>
      <c r="AR221" s="1" t="str">
        <f>IFERROR(__xludf.DUMMYFUNCTION("""COMPUTED_VALUE"""),"05/27/2025")</f>
        <v>05/27/2025</v>
      </c>
    </row>
    <row r="222">
      <c r="A222" s="1" t="str">
        <f>IFERROR(__xludf.DUMMYFUNCTION("""COMPUTED_VALUE"""),"Hampton Data Center")</f>
        <v>Hampton Data Center</v>
      </c>
      <c r="B222" s="1" t="str">
        <f>IFERROR(__xludf.DUMMYFUNCTION("""COMPUTED_VALUE"""),"North of I-20 at McDonough St")</f>
        <v>North of I-20 at McDonough St</v>
      </c>
      <c r="C222" s="1" t="str">
        <f>IFERROR(__xludf.DUMMYFUNCTION("""COMPUTED_VALUE"""),"Hampton")</f>
        <v>Hampton</v>
      </c>
      <c r="D222" s="1" t="str">
        <f>IFERROR(__xludf.DUMMYFUNCTION("""COMPUTED_VALUE"""),"GA")</f>
        <v>GA</v>
      </c>
      <c r="E222" s="1" t="str">
        <f>IFERROR(__xludf.DUMMYFUNCTION("""COMPUTED_VALUE"""),"30228")</f>
        <v>30228</v>
      </c>
      <c r="F222" s="1" t="str">
        <f>IFERROR(__xludf.DUMMYFUNCTION("""COMPUTED_VALUE"""),"Henry")</f>
        <v>Henry</v>
      </c>
      <c r="G222" s="1" t="str">
        <f>IFERROR(__xludf.DUMMYFUNCTION("""COMPUTED_VALUE"""),"33.384445")</f>
        <v>33.384445</v>
      </c>
      <c r="H222" s="1" t="str">
        <f>IFERROR(__xludf.DUMMYFUNCTION("""COMPUTED_VALUE"""),"-84.26329")</f>
        <v>-84.26329</v>
      </c>
      <c r="I222" s="1" t="str">
        <f>IFERROR(__xludf.DUMMYFUNCTION("""COMPUTED_VALUE"""),"Proposed")</f>
        <v>Proposed</v>
      </c>
      <c r="J222" s="1" t="str">
        <f>IFERROR(__xludf.DUMMYFUNCTION("""COMPUTED_VALUE"""),"High")</f>
        <v>High</v>
      </c>
      <c r="K222" s="1" t="str">
        <f>IFERROR(__xludf.DUMMYFUNCTION("""COMPUTED_VALUE"""),"")</f>
        <v/>
      </c>
      <c r="L222" s="1" t="str">
        <f>IFERROR(__xludf.DUMMYFUNCTION("""COMPUTED_VALUE"""),"Southeast Property Holdings LLC")</f>
        <v>Southeast Property Holdings LLC</v>
      </c>
      <c r="M222" s="1" t="str">
        <f>IFERROR(__xludf.DUMMYFUNCTION("""COMPUTED_VALUE"""),"")</f>
        <v/>
      </c>
      <c r="N222" s="1" t="str">
        <f>IFERROR(__xludf.DUMMYFUNCTION("""COMPUTED_VALUE"""),"")</f>
        <v/>
      </c>
      <c r="O222" s="1" t="str">
        <f>IFERROR(__xludf.DUMMYFUNCTION("""COMPUTED_VALUE"""),"Unknown")</f>
        <v>Unknown</v>
      </c>
      <c r="P222" s="1" t="str">
        <f>IFERROR(__xludf.DUMMYFUNCTION("""COMPUTED_VALUE"""),"")</f>
        <v/>
      </c>
      <c r="Q222" s="1" t="str">
        <f>IFERROR(__xludf.DUMMYFUNCTION("""COMPUTED_VALUE"""),"")</f>
        <v/>
      </c>
      <c r="R222" s="1" t="str">
        <f>IFERROR(__xludf.DUMMYFUNCTION("""COMPUTED_VALUE"""),"")</f>
        <v/>
      </c>
      <c r="S222" s="1" t="str">
        <f>IFERROR(__xludf.DUMMYFUNCTION("""COMPUTED_VALUE"""),"")</f>
        <v/>
      </c>
      <c r="T222" s="1" t="str">
        <f>IFERROR(__xludf.DUMMYFUNCTION("""COMPUTED_VALUE"""),"")</f>
        <v/>
      </c>
      <c r="U222" s="1" t="str">
        <f>IFERROR(__xludf.DUMMYFUNCTION("""COMPUTED_VALUE"""),"")</f>
        <v/>
      </c>
      <c r="V222" s="1" t="str">
        <f>IFERROR(__xludf.DUMMYFUNCTION("""COMPUTED_VALUE"""),"585,000")</f>
        <v>585,000</v>
      </c>
      <c r="W222" s="1" t="str">
        <f>IFERROR(__xludf.DUMMYFUNCTION("""COMPUTED_VALUE"""),"")</f>
        <v/>
      </c>
      <c r="X222" s="1" t="str">
        <f>IFERROR(__xludf.DUMMYFUNCTION("""COMPUTED_VALUE"""),"")</f>
        <v/>
      </c>
      <c r="Y222" s="1" t="str">
        <f>IFERROR(__xludf.DUMMYFUNCTION("""COMPUTED_VALUE"""),"")</f>
        <v/>
      </c>
      <c r="Z222" s="1" t="str">
        <f>IFERROR(__xludf.DUMMYFUNCTION("""COMPUTED_VALUE"""),"Yes")</f>
        <v>Yes</v>
      </c>
      <c r="AA222" s="1" t="str">
        <f>IFERROR(__xludf.DUMMYFUNCTION("""COMPUTED_VALUE"""),"")</f>
        <v/>
      </c>
      <c r="AB222" s="1" t="str">
        <f>IFERROR(__xludf.DUMMYFUNCTION("""COMPUTED_VALUE"""),"")</f>
        <v/>
      </c>
      <c r="AC222" s="1" t="str">
        <f>IFERROR(__xludf.DUMMYFUNCTION("""COMPUTED_VALUE"""),"")</f>
        <v/>
      </c>
      <c r="AD222" s="1" t="str">
        <f>IFERROR(__xludf.DUMMYFUNCTION("""COMPUTED_VALUE"""),"")</f>
        <v/>
      </c>
      <c r="AE222" s="1" t="str">
        <f>IFERROR(__xludf.DUMMYFUNCTION("""COMPUTED_VALUE"""),"")</f>
        <v/>
      </c>
      <c r="AF222" s="2" t="str">
        <f>IFERROR(__xludf.DUMMYFUNCTION("""COMPUTED_VALUE"""),"https://www.change.org/p/citizens-opposed-to-data-centers-in-henry-county-ga")</f>
        <v>https://www.change.org/p/citizens-opposed-to-data-centers-in-henry-county-ga</v>
      </c>
      <c r="AG222" s="1" t="str">
        <f>IFERROR(__xludf.DUMMYFUNCTION("""COMPUTED_VALUE"""),"")</f>
        <v/>
      </c>
      <c r="AH222" s="1" t="str">
        <f>IFERROR(__xludf.DUMMYFUNCTION("""COMPUTED_VALUE"""),"Sci4GA")</f>
        <v>Sci4GA</v>
      </c>
      <c r="AI222" s="2" t="str">
        <f>IFERROR(__xludf.DUMMYFUNCTION("""COMPUTED_VALUE"""),"https://henryga.news/2025/03/28/data-center-approved-to-locate-off-georgia-20-in-hampton/")</f>
        <v>https://henryga.news/2025/03/28/data-center-approved-to-locate-off-georgia-20-in-hampton/</v>
      </c>
      <c r="AJ222" s="1" t="str">
        <f>IFERROR(__xludf.DUMMYFUNCTION("""COMPUTED_VALUE"""),"")</f>
        <v/>
      </c>
      <c r="AK222" s="1" t="str">
        <f>IFERROR(__xludf.DUMMYFUNCTION("""COMPUTED_VALUE"""),"")</f>
        <v/>
      </c>
      <c r="AL222" s="1" t="str">
        <f>IFERROR(__xludf.DUMMYFUNCTION("""COMPUTED_VALUE"""),"")</f>
        <v/>
      </c>
      <c r="AM222" s="1" t="str">
        <f>IFERROR(__xludf.DUMMYFUNCTION("""COMPUTED_VALUE"""),"")</f>
        <v/>
      </c>
      <c r="AN222" s="1" t="str">
        <f>IFERROR(__xludf.DUMMYFUNCTION("""COMPUTED_VALUE"""),"")</f>
        <v/>
      </c>
      <c r="AO222" s="1" t="str">
        <f>IFERROR(__xludf.DUMMYFUNCTION("""COMPUTED_VALUE"""),"")</f>
        <v/>
      </c>
      <c r="AP222" s="1" t="str">
        <f>IFERROR(__xludf.DUMMYFUNCTION("""COMPUTED_VALUE"""),"")</f>
        <v/>
      </c>
      <c r="AQ222" s="1" t="str">
        <f>IFERROR(__xludf.DUMMYFUNCTION("""COMPUTED_VALUE"""),"10/16/2025")</f>
        <v>10/16/2025</v>
      </c>
      <c r="AR222" s="1" t="str">
        <f>IFERROR(__xludf.DUMMYFUNCTION("""COMPUTED_VALUE"""),"03/23/2026")</f>
        <v>03/23/2026</v>
      </c>
    </row>
    <row r="223">
      <c r="A223" s="1" t="str">
        <f>IFERROR(__xludf.DUMMYFUNCTION("""COMPUTED_VALUE"""),"Rocky Creek")</f>
        <v>Rocky Creek</v>
      </c>
      <c r="B223" s="1" t="str">
        <f>IFERROR(__xludf.DUMMYFUNCTION("""COMPUTED_VALUE"""),"SE intersection of Rocky Creek Road and GA Highway 20 W")</f>
        <v>SE intersection of Rocky Creek Road and GA Highway 20 W</v>
      </c>
      <c r="C223" s="1" t="str">
        <f>IFERROR(__xludf.DUMMYFUNCTION("""COMPUTED_VALUE"""),"Hampton")</f>
        <v>Hampton</v>
      </c>
      <c r="D223" s="1" t="str">
        <f>IFERROR(__xludf.DUMMYFUNCTION("""COMPUTED_VALUE"""),"GA")</f>
        <v>GA</v>
      </c>
      <c r="E223" s="1" t="str">
        <f>IFERROR(__xludf.DUMMYFUNCTION("""COMPUTED_VALUE"""),"30228")</f>
        <v>30228</v>
      </c>
      <c r="F223" s="1" t="str">
        <f>IFERROR(__xludf.DUMMYFUNCTION("""COMPUTED_VALUE"""),"Henry")</f>
        <v>Henry</v>
      </c>
      <c r="G223" s="1" t="str">
        <f>IFERROR(__xludf.DUMMYFUNCTION("""COMPUTED_VALUE"""),"33.40127")</f>
        <v>33.40127</v>
      </c>
      <c r="H223" s="1" t="str">
        <f>IFERROR(__xludf.DUMMYFUNCTION("""COMPUTED_VALUE"""),"-84.22438")</f>
        <v>-84.22438</v>
      </c>
      <c r="I223" s="1" t="str">
        <f>IFERROR(__xludf.DUMMYFUNCTION("""COMPUTED_VALUE"""),"Proposed")</f>
        <v>Proposed</v>
      </c>
      <c r="J223" s="1" t="str">
        <f>IFERROR(__xludf.DUMMYFUNCTION("""COMPUTED_VALUE"""),"High")</f>
        <v>High</v>
      </c>
      <c r="K223" s="1" t="str">
        <f>IFERROR(__xludf.DUMMYFUNCTION("""COMPUTED_VALUE"""),"")</f>
        <v/>
      </c>
      <c r="L223" s="1" t="str">
        <f>IFERROR(__xludf.DUMMYFUNCTION("""COMPUTED_VALUE"""),"Red Wolf DCD Properties, LLC")</f>
        <v>Red Wolf DCD Properties, LLC</v>
      </c>
      <c r="M223" s="1" t="str">
        <f>IFERROR(__xludf.DUMMYFUNCTION("""COMPUTED_VALUE"""),"")</f>
        <v/>
      </c>
      <c r="N223" s="1" t="str">
        <f>IFERROR(__xludf.DUMMYFUNCTION("""COMPUTED_VALUE"""),"")</f>
        <v/>
      </c>
      <c r="O223" s="1" t="str">
        <f>IFERROR(__xludf.DUMMYFUNCTION("""COMPUTED_VALUE"""),"Unknown")</f>
        <v>Unknown</v>
      </c>
      <c r="P223" s="1" t="str">
        <f>IFERROR(__xludf.DUMMYFUNCTION("""COMPUTED_VALUE"""),"")</f>
        <v/>
      </c>
      <c r="Q223" s="1" t="str">
        <f>IFERROR(__xludf.DUMMYFUNCTION("""COMPUTED_VALUE"""),"")</f>
        <v/>
      </c>
      <c r="R223" s="1" t="str">
        <f>IFERROR(__xludf.DUMMYFUNCTION("""COMPUTED_VALUE"""),"")</f>
        <v/>
      </c>
      <c r="S223" s="1" t="str">
        <f>IFERROR(__xludf.DUMMYFUNCTION("""COMPUTED_VALUE"""),"")</f>
        <v/>
      </c>
      <c r="T223" s="1" t="str">
        <f>IFERROR(__xludf.DUMMYFUNCTION("""COMPUTED_VALUE"""),"")</f>
        <v/>
      </c>
      <c r="U223" s="1" t="str">
        <f>IFERROR(__xludf.DUMMYFUNCTION("""COMPUTED_VALUE"""),"")</f>
        <v/>
      </c>
      <c r="V223" s="1" t="str">
        <f>IFERROR(__xludf.DUMMYFUNCTION("""COMPUTED_VALUE"""),"1,253,752")</f>
        <v>1,253,752</v>
      </c>
      <c r="W223" s="1" t="str">
        <f>IFERROR(__xludf.DUMMYFUNCTION("""COMPUTED_VALUE"""),"")</f>
        <v/>
      </c>
      <c r="X223" s="1" t="str">
        <f>IFERROR(__xludf.DUMMYFUNCTION("""COMPUTED_VALUE"""),"")</f>
        <v/>
      </c>
      <c r="Y223" s="1" t="str">
        <f>IFERROR(__xludf.DUMMYFUNCTION("""COMPUTED_VALUE"""),"")</f>
        <v/>
      </c>
      <c r="Z223" s="1" t="str">
        <f>IFERROR(__xludf.DUMMYFUNCTION("""COMPUTED_VALUE"""),"Yes")</f>
        <v>Yes</v>
      </c>
      <c r="AA223" s="1" t="str">
        <f>IFERROR(__xludf.DUMMYFUNCTION("""COMPUTED_VALUE"""),"")</f>
        <v/>
      </c>
      <c r="AB223" s="1" t="str">
        <f>IFERROR(__xludf.DUMMYFUNCTION("""COMPUTED_VALUE"""),"")</f>
        <v/>
      </c>
      <c r="AC223" s="1" t="str">
        <f>IFERROR(__xludf.DUMMYFUNCTION("""COMPUTED_VALUE"""),"")</f>
        <v/>
      </c>
      <c r="AD223" s="1" t="str">
        <f>IFERROR(__xludf.DUMMYFUNCTION("""COMPUTED_VALUE"""),"")</f>
        <v/>
      </c>
      <c r="AE223" s="1" t="str">
        <f>IFERROR(__xludf.DUMMYFUNCTION("""COMPUTED_VALUE"""),"")</f>
        <v/>
      </c>
      <c r="AF223" s="2" t="str">
        <f>IFERROR(__xludf.DUMMYFUNCTION("""COMPUTED_VALUE"""),"https://www.change.org/p/citizens-opposed-to-data-centers-in-henry-county-ga")</f>
        <v>https://www.change.org/p/citizens-opposed-to-data-centers-in-henry-county-ga</v>
      </c>
      <c r="AG223" s="1" t="str">
        <f>IFERROR(__xludf.DUMMYFUNCTION("""COMPUTED_VALUE"""),"")</f>
        <v/>
      </c>
      <c r="AH223" s="1" t="str">
        <f>IFERROR(__xludf.DUMMYFUNCTION("""COMPUTED_VALUE"""),"Sci4GA")</f>
        <v>Sci4GA</v>
      </c>
      <c r="AI223" s="1" t="str">
        <f>IFERROR(__xludf.DUMMYFUNCTION("""COMPUTED_VALUE"""),"DRI Application Summary")</f>
        <v>DRI Application Summary</v>
      </c>
      <c r="AJ223" s="1" t="str">
        <f>IFERROR(__xludf.DUMMYFUNCTION("""COMPUTED_VALUE"""),"")</f>
        <v/>
      </c>
      <c r="AK223" s="1" t="str">
        <f>IFERROR(__xludf.DUMMYFUNCTION("""COMPUTED_VALUE"""),"")</f>
        <v/>
      </c>
      <c r="AL223" s="1" t="str">
        <f>IFERROR(__xludf.DUMMYFUNCTION("""COMPUTED_VALUE"""),"")</f>
        <v/>
      </c>
      <c r="AM223" s="1" t="str">
        <f>IFERROR(__xludf.DUMMYFUNCTION("""COMPUTED_VALUE"""),"")</f>
        <v/>
      </c>
      <c r="AN223" s="1" t="str">
        <f>IFERROR(__xludf.DUMMYFUNCTION("""COMPUTED_VALUE"""),"")</f>
        <v/>
      </c>
      <c r="AO223" s="1" t="str">
        <f>IFERROR(__xludf.DUMMYFUNCTION("""COMPUTED_VALUE"""),"")</f>
        <v/>
      </c>
      <c r="AP223" s="1" t="str">
        <f>IFERROR(__xludf.DUMMYFUNCTION("""COMPUTED_VALUE"""),"")</f>
        <v/>
      </c>
      <c r="AQ223" s="1" t="str">
        <f>IFERROR(__xludf.DUMMYFUNCTION("""COMPUTED_VALUE"""),"10/16/2025")</f>
        <v>10/16/2025</v>
      </c>
      <c r="AR223" s="1" t="str">
        <f>IFERROR(__xludf.DUMMYFUNCTION("""COMPUTED_VALUE"""),"3036-03-23")</f>
        <v>3036-03-23</v>
      </c>
    </row>
    <row r="224">
      <c r="A224" s="1" t="str">
        <f>IFERROR(__xludf.DUMMYFUNCTION("""COMPUTED_VALUE"""),"Pumpkin Tech Campus")</f>
        <v>Pumpkin Tech Campus</v>
      </c>
      <c r="B224" s="1" t="str">
        <f>IFERROR(__xludf.DUMMYFUNCTION("""COMPUTED_VALUE"""),"White Oak Road / Greenpoint Area")</f>
        <v>White Oak Road / Greenpoint Area</v>
      </c>
      <c r="C224" s="1" t="str">
        <f>IFERROR(__xludf.DUMMYFUNCTION("""COMPUTED_VALUE"""),"Harlem")</f>
        <v>Harlem</v>
      </c>
      <c r="D224" s="1" t="str">
        <f>IFERROR(__xludf.DUMMYFUNCTION("""COMPUTED_VALUE"""),"GA")</f>
        <v>GA</v>
      </c>
      <c r="E224" s="1" t="str">
        <f>IFERROR(__xludf.DUMMYFUNCTION("""COMPUTED_VALUE"""),"30814")</f>
        <v>30814</v>
      </c>
      <c r="F224" s="1" t="str">
        <f>IFERROR(__xludf.DUMMYFUNCTION("""COMPUTED_VALUE"""),"Columbia")</f>
        <v>Columbia</v>
      </c>
      <c r="G224" s="1" t="str">
        <f>IFERROR(__xludf.DUMMYFUNCTION("""COMPUTED_VALUE"""),"33.418")</f>
        <v>33.418</v>
      </c>
      <c r="H224" s="1" t="str">
        <f>IFERROR(__xludf.DUMMYFUNCTION("""COMPUTED_VALUE"""),"-82.316")</f>
        <v>-82.316</v>
      </c>
      <c r="I224" s="1" t="str">
        <f>IFERROR(__xludf.DUMMYFUNCTION("""COMPUTED_VALUE"""),"Proposed")</f>
        <v>Proposed</v>
      </c>
      <c r="J224" s="1" t="str">
        <f>IFERROR(__xludf.DUMMYFUNCTION("""COMPUTED_VALUE"""),"High")</f>
        <v>High</v>
      </c>
      <c r="K224" s="1" t="str">
        <f>IFERROR(__xludf.DUMMYFUNCTION("""COMPUTED_VALUE"""),"Hyperscale Cloud &amp; AI Workloads")</f>
        <v>Hyperscale Cloud &amp; AI Workloads</v>
      </c>
      <c r="L224" s="1" t="str">
        <f>IFERROR(__xludf.DUMMYFUNCTION("""COMPUTED_VALUE"""),"Cloverleaf Infrastructure")</f>
        <v>Cloverleaf Infrastructure</v>
      </c>
      <c r="M224" s="1" t="str">
        <f>IFERROR(__xludf.DUMMYFUNCTION("""COMPUTED_VALUE"""),"")</f>
        <v/>
      </c>
      <c r="N224" s="1" t="str">
        <f>IFERROR(__xludf.DUMMYFUNCTION("""COMPUTED_VALUE"""),"500")</f>
        <v>500</v>
      </c>
      <c r="O224" s="1" t="str">
        <f>IFERROR(__xludf.DUMMYFUNCTION("""COMPUTED_VALUE"""),"Hyperscale (100-999 MW)")</f>
        <v>Hyperscale (100-999 MW)</v>
      </c>
      <c r="P224" s="1" t="str">
        <f>IFERROR(__xludf.DUMMYFUNCTION("""COMPUTED_VALUE"""),"Hybrid (onsite and grid)")</f>
        <v>Hybrid (onsite and grid)</v>
      </c>
      <c r="Q224" s="1" t="str">
        <f>IFERROR(__xludf.DUMMYFUNCTION("""COMPUTED_VALUE"""),"Georgia Power")</f>
        <v>Georgia Power</v>
      </c>
      <c r="R224" s="1" t="str">
        <f>IFERROR(__xludf.DUMMYFUNCTION("""COMPUTED_VALUE"""),"")</f>
        <v/>
      </c>
      <c r="S224" s="1" t="str">
        <f>IFERROR(__xludf.DUMMYFUNCTION("""COMPUTED_VALUE"""),"4")</f>
        <v>4</v>
      </c>
      <c r="T224" s="1" t="str">
        <f>IFERROR(__xludf.DUMMYFUNCTION("""COMPUTED_VALUE"""),"Water")</f>
        <v>Water</v>
      </c>
      <c r="U224" s="1" t="str">
        <f>IFERROR(__xludf.DUMMYFUNCTION("""COMPUTED_VALUE"""),"Closed loop")</f>
        <v>Closed loop</v>
      </c>
      <c r="V224" s="1" t="str">
        <f>IFERROR(__xludf.DUMMYFUNCTION("""COMPUTED_VALUE"""),"2,870,400")</f>
        <v>2,870,400</v>
      </c>
      <c r="W224" s="1" t="str">
        <f>IFERROR(__xludf.DUMMYFUNCTION("""COMPUTED_VALUE"""),"420")</f>
        <v>420</v>
      </c>
      <c r="X224" s="1" t="str">
        <f>IFERROR(__xludf.DUMMYFUNCTION("""COMPUTED_VALUE"""),"")</f>
        <v/>
      </c>
      <c r="Y224" s="1" t="str">
        <f>IFERROR(__xludf.DUMMYFUNCTION("""COMPUTED_VALUE"""),"")</f>
        <v/>
      </c>
      <c r="Z224" s="1" t="str">
        <f>IFERROR(__xludf.DUMMYFUNCTION("""COMPUTED_VALUE"""),"Yes")</f>
        <v>Yes</v>
      </c>
      <c r="AA224" s="1" t="str">
        <f>IFERROR(__xludf.DUMMYFUNCTION("""COMPUTED_VALUE"""),"Local Greenpoint neighborhood opposition")</f>
        <v>Local Greenpoint neighborhood opposition</v>
      </c>
      <c r="AB224" s="1" t="str">
        <f>IFERROR(__xludf.DUMMYFUNCTION("""COMPUTED_VALUE"""),"Organized Advocacy")</f>
        <v>Organized Advocacy</v>
      </c>
      <c r="AC224" s="1" t="str">
        <f>IFERROR(__xludf.DUMMYFUNCTION("""COMPUTED_VALUE"""),"Active (Tenant identity legally shielded)")</f>
        <v>Active (Tenant identity legally shielded)</v>
      </c>
      <c r="AD224" s="2" t="str">
        <f>IFERROR(__xludf.DUMMYFUNCTION("""COMPUTED_VALUE"""),"https://www.facebook.com/groups/1345806563919459/")</f>
        <v>https://www.facebook.com/groups/1345806563919459/</v>
      </c>
      <c r="AE224" s="2" t="str">
        <f>IFERROR(__xludf.DUMMYFUNCTION("""COMPUTED_VALUE"""),"https://www.facebook.com/groups/1469043077373264/")</f>
        <v>https://www.facebook.com/groups/1469043077373264/</v>
      </c>
      <c r="AF224" s="1" t="str">
        <f>IFERROR(__xludf.DUMMYFUNCTION("""COMPUTED_VALUE"""),"")</f>
        <v/>
      </c>
      <c r="AG224" s="1" t="str">
        <f>IFERROR(__xludf.DUMMYFUNCTION("""COMPUTED_VALUE"""),"")</f>
        <v/>
      </c>
      <c r="AH224" s="1" t="str">
        <f>IFERROR(__xludf.DUMMYFUNCTION("""COMPUTED_VALUE"""),"Media Monitoring")</f>
        <v>Media Monitoring</v>
      </c>
      <c r="AI224" s="2" t="str">
        <f>IFERROR(__xludf.DUMMYFUNCTION("""COMPUTED_VALUE"""),"https://www.wrdw.com/2026/02/16/columbia-co-data-center-plans-3-construction-exits-420-acre-site/")</f>
        <v>https://www.wrdw.com/2026/02/16/columbia-co-data-center-plans-3-construction-exits-420-acre-site/</v>
      </c>
      <c r="AJ224" s="1" t="str">
        <f>IFERROR(__xludf.DUMMYFUNCTION("""COMPUTED_VALUE"""),"tps://nationaltoday.com/us/ga/evans/news/2026/02/17/bulldozing-approved-for-columbia-county-data-center")</f>
        <v>tps://nationaltoday.com/us/ga/evans/news/2026/02/17/bulldozing-approved-for-columbia-county-data-center</v>
      </c>
      <c r="AK224" s="1" t="str">
        <f>IFERROR(__xludf.DUMMYFUNCTION("""COMPUTED_VALUE"""),"")</f>
        <v/>
      </c>
      <c r="AL224" s="1" t="str">
        <f>IFERROR(__xludf.DUMMYFUNCTION("""COMPUTED_VALUE"""),"")</f>
        <v/>
      </c>
      <c r="AM224" s="1" t="str">
        <f>IFERROR(__xludf.DUMMYFUNCTION("""COMPUTED_VALUE"""),"")</f>
        <v/>
      </c>
      <c r="AN224" s="1" t="str">
        <f>IFERROR(__xludf.DUMMYFUNCTION("""COMPUTED_VALUE"""),"")</f>
        <v/>
      </c>
      <c r="AO224" s="1" t="str">
        <f>IFERROR(__xludf.DUMMYFUNCTION("""COMPUTED_VALUE"""),"")</f>
        <v/>
      </c>
      <c r="AP224" s="1" t="str">
        <f>IFERROR(__xludf.DUMMYFUNCTION("""COMPUTED_VALUE"""),"")</f>
        <v/>
      </c>
      <c r="AQ224" s="1" t="str">
        <f>IFERROR(__xludf.DUMMYFUNCTION("""COMPUTED_VALUE"""),"06/10/2026")</f>
        <v>06/10/2026</v>
      </c>
      <c r="AR224" s="1" t="str">
        <f>IFERROR(__xludf.DUMMYFUNCTION("""COMPUTED_VALUE"""),"06/10/2026")</f>
        <v>06/10/2026</v>
      </c>
    </row>
    <row r="225">
      <c r="A225" s="1" t="str">
        <f>IFERROR(__xludf.DUMMYFUNCTION("""COMPUTED_VALUE"""),"Hogansville Data Center")</f>
        <v>Hogansville Data Center</v>
      </c>
      <c r="B225" s="1" t="str">
        <f>IFERROR(__xludf.DUMMYFUNCTION("""COMPUTED_VALUE"""),"Hightower Rd")</f>
        <v>Hightower Rd</v>
      </c>
      <c r="C225" s="1" t="str">
        <f>IFERROR(__xludf.DUMMYFUNCTION("""COMPUTED_VALUE"""),"Hogansville")</f>
        <v>Hogansville</v>
      </c>
      <c r="D225" s="1" t="str">
        <f>IFERROR(__xludf.DUMMYFUNCTION("""COMPUTED_VALUE"""),"GA")</f>
        <v>GA</v>
      </c>
      <c r="E225" s="1" t="str">
        <f>IFERROR(__xludf.DUMMYFUNCTION("""COMPUTED_VALUE"""),"30230")</f>
        <v>30230</v>
      </c>
      <c r="F225" s="1" t="str">
        <f>IFERROR(__xludf.DUMMYFUNCTION("""COMPUTED_VALUE"""),"Troup")</f>
        <v>Troup</v>
      </c>
      <c r="G225" s="1" t="str">
        <f>IFERROR(__xludf.DUMMYFUNCTION("""COMPUTED_VALUE"""),"33.14624")</f>
        <v>33.14624</v>
      </c>
      <c r="H225" s="1" t="str">
        <f>IFERROR(__xludf.DUMMYFUNCTION("""COMPUTED_VALUE"""),"-84.94037")</f>
        <v>-84.94037</v>
      </c>
      <c r="I225" s="1" t="str">
        <f>IFERROR(__xludf.DUMMYFUNCTION("""COMPUTED_VALUE"""),"Proposed")</f>
        <v>Proposed</v>
      </c>
      <c r="J225" s="1" t="str">
        <f>IFERROR(__xludf.DUMMYFUNCTION("""COMPUTED_VALUE"""),"Medium")</f>
        <v>Medium</v>
      </c>
      <c r="K225" s="1" t="str">
        <f>IFERROR(__xludf.DUMMYFUNCTION("""COMPUTED_VALUE"""),"")</f>
        <v/>
      </c>
      <c r="L225" s="1" t="str">
        <f>IFERROR(__xludf.DUMMYFUNCTION("""COMPUTED_VALUE"""),"")</f>
        <v/>
      </c>
      <c r="M225" s="1" t="str">
        <f>IFERROR(__xludf.DUMMYFUNCTION("""COMPUTED_VALUE"""),"")</f>
        <v/>
      </c>
      <c r="N225" s="1" t="str">
        <f>IFERROR(__xludf.DUMMYFUNCTION("""COMPUTED_VALUE"""),"600")</f>
        <v>600</v>
      </c>
      <c r="O225" s="1" t="str">
        <f>IFERROR(__xludf.DUMMYFUNCTION("""COMPUTED_VALUE"""),"Hyperscale (100-999 MW)")</f>
        <v>Hyperscale (100-999 MW)</v>
      </c>
      <c r="P225" s="1" t="str">
        <f>IFERROR(__xludf.DUMMYFUNCTION("""COMPUTED_VALUE"""),"")</f>
        <v/>
      </c>
      <c r="Q225" s="1" t="str">
        <f>IFERROR(__xludf.DUMMYFUNCTION("""COMPUTED_VALUE"""),"")</f>
        <v/>
      </c>
      <c r="R225" s="1" t="str">
        <f>IFERROR(__xludf.DUMMYFUNCTION("""COMPUTED_VALUE"""),"")</f>
        <v/>
      </c>
      <c r="S225" s="1" t="str">
        <f>IFERROR(__xludf.DUMMYFUNCTION("""COMPUTED_VALUE"""),"")</f>
        <v/>
      </c>
      <c r="T225" s="1" t="str">
        <f>IFERROR(__xludf.DUMMYFUNCTION("""COMPUTED_VALUE"""),"")</f>
        <v/>
      </c>
      <c r="U225" s="1" t="str">
        <f>IFERROR(__xludf.DUMMYFUNCTION("""COMPUTED_VALUE"""),"")</f>
        <v/>
      </c>
      <c r="V225" s="1" t="str">
        <f>IFERROR(__xludf.DUMMYFUNCTION("""COMPUTED_VALUE"""),"")</f>
        <v/>
      </c>
      <c r="W225" s="1" t="str">
        <f>IFERROR(__xludf.DUMMYFUNCTION("""COMPUTED_VALUE"""),"437")</f>
        <v>437</v>
      </c>
      <c r="X225" s="1" t="str">
        <f>IFERROR(__xludf.DUMMYFUNCTION("""COMPUTED_VALUE"""),"$300 million")</f>
        <v>$300 million</v>
      </c>
      <c r="Y225" s="1" t="str">
        <f>IFERROR(__xludf.DUMMYFUNCTION("""COMPUTED_VALUE"""),"")</f>
        <v/>
      </c>
      <c r="Z225" s="1" t="str">
        <f>IFERROR(__xludf.DUMMYFUNCTION("""COMPUTED_VALUE"""),"Yes")</f>
        <v>Yes</v>
      </c>
      <c r="AA225" s="1" t="str">
        <f>IFERROR(__xludf.DUMMYFUNCTION("""COMPUTED_VALUE"""),"The Troup County Anti-Data Center Coalition remains the primary hub for opposition. Recent discussions focus on ""infrasound""—vibrations from cooling fans that residents believe cause health issues—and potential property loss due to the massive new subst"&amp;"ations and transmission lines required for a 600 MW facility.")</f>
        <v>The Troup County Anti-Data Center Coalition remains the primary hub for opposition. Recent discussions focus on "infrasound"—vibrations from cooling fans that residents believe cause health issues—and potential property loss due to the massive new substations and transmission lines required for a 600 MW facility.</v>
      </c>
      <c r="AB225" s="1" t="str">
        <f>IFERROR(__xludf.DUMMYFUNCTION("""COMPUTED_VALUE"""),"")</f>
        <v/>
      </c>
      <c r="AC225" s="1" t="str">
        <f>IFERROR(__xludf.DUMMYFUNCTION("""COMPUTED_VALUE"""),"")</f>
        <v/>
      </c>
      <c r="AD225" s="2" t="str">
        <f>IFERROR(__xludf.DUMMYFUNCTION("""COMPUTED_VALUE"""),"https://www.facebook.com/groups/24200940622890970/")</f>
        <v>https://www.facebook.com/groups/24200940622890970/</v>
      </c>
      <c r="AE225" s="1" t="str">
        <f>IFERROR(__xludf.DUMMYFUNCTION("""COMPUTED_VALUE"""),"")</f>
        <v/>
      </c>
      <c r="AF225" s="1" t="str">
        <f>IFERROR(__xludf.DUMMYFUNCTION("""COMPUTED_VALUE"""),"")</f>
        <v/>
      </c>
      <c r="AG225" s="1" t="str">
        <f>IFERROR(__xludf.DUMMYFUNCTION("""COMPUTED_VALUE"""),"Property sale is contingent upon the land being rezoned from residential to industrial property. Troup County Board of Commissioners enacted a 90-day moratorium to address new data center projects following public concerns. n March 2026, the Hogansville C"&amp;"ity Council reportedly agreed to extend the purchase option contract with the developer, FGI, through March 9, 2027. This gives the developer another year to attempt to move the project forward on the Hightower Road site.")</f>
        <v>Property sale is contingent upon the land being rezoned from residential to industrial property. Troup County Board of Commissioners enacted a 90-day moratorium to address new data center projects following public concerns. n March 2026, the Hogansville City Council reportedly agreed to extend the purchase option contract with the developer, FGI, through March 9, 2027. This gives the developer another year to attempt to move the project forward on the Hightower Road site.</v>
      </c>
      <c r="AH225" s="1" t="str">
        <f>IFERROR(__xludf.DUMMYFUNCTION("""COMPUTED_VALUE"""),"Media Monitoring")</f>
        <v>Media Monitoring</v>
      </c>
      <c r="AI225" s="2" t="str">
        <f>IFERROR(__xludf.DUMMYFUNCTION("""COMPUTED_VALUE"""),"https://www.gpb.org/news/2025/11/26/why-are-troup-county-residents-saying-no-600-mw-data-center-in-hogansville")</f>
        <v>https://www.gpb.org/news/2025/11/26/why-are-troup-county-residents-saying-no-600-mw-data-center-in-hogansville</v>
      </c>
      <c r="AJ225" s="2" t="str">
        <f>IFERROR(__xludf.DUMMYFUNCTION("""COMPUTED_VALUE"""),"https://www.nytimes.com/2025/11/30/us/politics/data-centers-electric-bills-georgia.html")</f>
        <v>https://www.nytimes.com/2025/11/30/us/politics/data-centers-electric-bills-georgia.html</v>
      </c>
      <c r="AK225" s="2" t="str">
        <f>IFERROR(__xludf.DUMMYFUNCTION("""COMPUTED_VALUE"""),"https://www.lagrangenews.com/news/hogansville-residents-protest-against-proposed-data-center-c8f47f93")</f>
        <v>https://www.lagrangenews.com/news/hogansville-residents-protest-against-proposed-data-center-c8f47f93</v>
      </c>
      <c r="AL225" s="1" t="str">
        <f>IFERROR(__xludf.DUMMYFUNCTION("""COMPUTED_VALUE"""),"")</f>
        <v/>
      </c>
      <c r="AM225" s="1" t="str">
        <f>IFERROR(__xludf.DUMMYFUNCTION("""COMPUTED_VALUE"""),"")</f>
        <v/>
      </c>
      <c r="AN225" s="1" t="str">
        <f>IFERROR(__xludf.DUMMYFUNCTION("""COMPUTED_VALUE"""),"")</f>
        <v/>
      </c>
      <c r="AO225" s="1" t="str">
        <f>IFERROR(__xludf.DUMMYFUNCTION("""COMPUTED_VALUE"""),"")</f>
        <v/>
      </c>
      <c r="AP225" s="1" t="str">
        <f>IFERROR(__xludf.DUMMYFUNCTION("""COMPUTED_VALUE"""),"")</f>
        <v/>
      </c>
      <c r="AQ225" s="1" t="str">
        <f>IFERROR(__xludf.DUMMYFUNCTION("""COMPUTED_VALUE"""),"12/01/2025")</f>
        <v>12/01/2025</v>
      </c>
      <c r="AR225" s="1" t="str">
        <f>IFERROR(__xludf.DUMMYFUNCTION("""COMPUTED_VALUE"""),"03/24/2026")</f>
        <v>03/24/2026</v>
      </c>
    </row>
    <row r="226">
      <c r="A226" s="1" t="str">
        <f>IFERROR(__xludf.DUMMYFUNCTION("""COMPUTED_VALUE"""),"River Park")</f>
        <v>River Park</v>
      </c>
      <c r="B226" s="1" t="str">
        <f>IFERROR(__xludf.DUMMYFUNCTION("""COMPUTED_VALUE"""),"Logistics Pkwy")</f>
        <v>Logistics Pkwy</v>
      </c>
      <c r="C226" s="1" t="str">
        <f>IFERROR(__xludf.DUMMYFUNCTION("""COMPUTED_VALUE"""),"Jackson")</f>
        <v>Jackson</v>
      </c>
      <c r="D226" s="1" t="str">
        <f>IFERROR(__xludf.DUMMYFUNCTION("""COMPUTED_VALUE"""),"GA")</f>
        <v>GA</v>
      </c>
      <c r="E226" s="1" t="str">
        <f>IFERROR(__xludf.DUMMYFUNCTION("""COMPUTED_VALUE"""),"30233")</f>
        <v>30233</v>
      </c>
      <c r="F226" s="1" t="str">
        <f>IFERROR(__xludf.DUMMYFUNCTION("""COMPUTED_VALUE"""),"Butts")</f>
        <v>Butts</v>
      </c>
      <c r="G226" s="1" t="str">
        <f>IFERROR(__xludf.DUMMYFUNCTION("""COMPUTED_VALUE"""),"33.276512")</f>
        <v>33.276512</v>
      </c>
      <c r="H226" s="1" t="str">
        <f>IFERROR(__xludf.DUMMYFUNCTION("""COMPUTED_VALUE"""),"-84.09031")</f>
        <v>-84.09031</v>
      </c>
      <c r="I226" s="1" t="str">
        <f>IFERROR(__xludf.DUMMYFUNCTION("""COMPUTED_VALUE"""),"Proposed")</f>
        <v>Proposed</v>
      </c>
      <c r="J226" s="1" t="str">
        <f>IFERROR(__xludf.DUMMYFUNCTION("""COMPUTED_VALUE"""),"High")</f>
        <v>High</v>
      </c>
      <c r="K226" s="1" t="str">
        <f>IFERROR(__xludf.DUMMYFUNCTION("""COMPUTED_VALUE"""),"")</f>
        <v/>
      </c>
      <c r="L226" s="1" t="str">
        <f>IFERROR(__xludf.DUMMYFUNCTION("""COMPUTED_VALUE"""),"Interstate Health Systems, LLC")</f>
        <v>Interstate Health Systems, LLC</v>
      </c>
      <c r="M226" s="1" t="str">
        <f>IFERROR(__xludf.DUMMYFUNCTION("""COMPUTED_VALUE"""),"")</f>
        <v/>
      </c>
      <c r="N226" s="1" t="str">
        <f>IFERROR(__xludf.DUMMYFUNCTION("""COMPUTED_VALUE"""),"")</f>
        <v/>
      </c>
      <c r="O226" s="1" t="str">
        <f>IFERROR(__xludf.DUMMYFUNCTION("""COMPUTED_VALUE"""),"Unknown")</f>
        <v>Unknown</v>
      </c>
      <c r="P226" s="1" t="str">
        <f>IFERROR(__xludf.DUMMYFUNCTION("""COMPUTED_VALUE"""),"")</f>
        <v/>
      </c>
      <c r="Q226" s="1" t="str">
        <f>IFERROR(__xludf.DUMMYFUNCTION("""COMPUTED_VALUE"""),"")</f>
        <v/>
      </c>
      <c r="R226" s="1" t="str">
        <f>IFERROR(__xludf.DUMMYFUNCTION("""COMPUTED_VALUE"""),"")</f>
        <v/>
      </c>
      <c r="S226" s="1" t="str">
        <f>IFERROR(__xludf.DUMMYFUNCTION("""COMPUTED_VALUE"""),"")</f>
        <v/>
      </c>
      <c r="T226" s="1" t="str">
        <f>IFERROR(__xludf.DUMMYFUNCTION("""COMPUTED_VALUE"""),"")</f>
        <v/>
      </c>
      <c r="U226" s="1" t="str">
        <f>IFERROR(__xludf.DUMMYFUNCTION("""COMPUTED_VALUE"""),"")</f>
        <v/>
      </c>
      <c r="V226" s="1" t="str">
        <f>IFERROR(__xludf.DUMMYFUNCTION("""COMPUTED_VALUE"""),"11,000,000")</f>
        <v>11,000,000</v>
      </c>
      <c r="W226" s="1" t="str">
        <f>IFERROR(__xludf.DUMMYFUNCTION("""COMPUTED_VALUE"""),"")</f>
        <v/>
      </c>
      <c r="X226" s="1" t="str">
        <f>IFERROR(__xludf.DUMMYFUNCTION("""COMPUTED_VALUE"""),"")</f>
        <v/>
      </c>
      <c r="Y226" s="1" t="str">
        <f>IFERROR(__xludf.DUMMYFUNCTION("""COMPUTED_VALUE"""),"")</f>
        <v/>
      </c>
      <c r="Z226" s="1" t="str">
        <f>IFERROR(__xludf.DUMMYFUNCTION("""COMPUTED_VALUE"""),"Unknown")</f>
        <v>Unknown</v>
      </c>
      <c r="AA226" s="1" t="str">
        <f>IFERROR(__xludf.DUMMYFUNCTION("""COMPUTED_VALUE"""),"")</f>
        <v/>
      </c>
      <c r="AB226" s="1" t="str">
        <f>IFERROR(__xludf.DUMMYFUNCTION("""COMPUTED_VALUE"""),"")</f>
        <v/>
      </c>
      <c r="AC226" s="1" t="str">
        <f>IFERROR(__xludf.DUMMYFUNCTION("""COMPUTED_VALUE"""),"")</f>
        <v/>
      </c>
      <c r="AD226" s="1" t="str">
        <f>IFERROR(__xludf.DUMMYFUNCTION("""COMPUTED_VALUE"""),"")</f>
        <v/>
      </c>
      <c r="AE226" s="1" t="str">
        <f>IFERROR(__xludf.DUMMYFUNCTION("""COMPUTED_VALUE"""),"")</f>
        <v/>
      </c>
      <c r="AF226" s="1" t="str">
        <f>IFERROR(__xludf.DUMMYFUNCTION("""COMPUTED_VALUE"""),"")</f>
        <v/>
      </c>
      <c r="AG226" s="1" t="str">
        <f>IFERROR(__xludf.DUMMYFUNCTION("""COMPUTED_VALUE"""),"")</f>
        <v/>
      </c>
      <c r="AH226" s="1" t="str">
        <f>IFERROR(__xludf.DUMMYFUNCTION("""COMPUTED_VALUE"""),"Sci4GA")</f>
        <v>Sci4GA</v>
      </c>
      <c r="AI226" s="2" t="str">
        <f>IFERROR(__xludf.DUMMYFUNCTION("""COMPUTED_VALUE"""),"https://www.ajc.com/business/2025/10/10b-hospital-project-backed-by-burt-jones-includes-sea-of-data-centers/")</f>
        <v>https://www.ajc.com/business/2025/10/10b-hospital-project-backed-by-burt-jones-includes-sea-of-data-centers/</v>
      </c>
      <c r="AJ226" s="1" t="str">
        <f>IFERROR(__xludf.DUMMYFUNCTION("""COMPUTED_VALUE"""),"")</f>
        <v/>
      </c>
      <c r="AK226" s="1" t="str">
        <f>IFERROR(__xludf.DUMMYFUNCTION("""COMPUTED_VALUE"""),"")</f>
        <v/>
      </c>
      <c r="AL226" s="1" t="str">
        <f>IFERROR(__xludf.DUMMYFUNCTION("""COMPUTED_VALUE"""),"")</f>
        <v/>
      </c>
      <c r="AM226" s="1" t="str">
        <f>IFERROR(__xludf.DUMMYFUNCTION("""COMPUTED_VALUE"""),"")</f>
        <v/>
      </c>
      <c r="AN226" s="1" t="str">
        <f>IFERROR(__xludf.DUMMYFUNCTION("""COMPUTED_VALUE"""),"")</f>
        <v/>
      </c>
      <c r="AO226" s="1" t="str">
        <f>IFERROR(__xludf.DUMMYFUNCTION("""COMPUTED_VALUE"""),"")</f>
        <v/>
      </c>
      <c r="AP226" s="1" t="str">
        <f>IFERROR(__xludf.DUMMYFUNCTION("""COMPUTED_VALUE"""),"")</f>
        <v/>
      </c>
      <c r="AQ226" s="1" t="str">
        <f>IFERROR(__xludf.DUMMYFUNCTION("""COMPUTED_VALUE"""),"10/16/2025")</f>
        <v>10/16/2025</v>
      </c>
      <c r="AR226" s="1" t="str">
        <f>IFERROR(__xludf.DUMMYFUNCTION("""COMPUTED_VALUE"""),"10/16/2025")</f>
        <v>10/16/2025</v>
      </c>
    </row>
    <row r="227">
      <c r="A227" s="1" t="str">
        <f>IFERROR(__xludf.DUMMYFUNCTION("""COMPUTED_VALUE"""),"Project Pegasus")</f>
        <v>Project Pegasus</v>
      </c>
      <c r="B227" s="1" t="str">
        <f>IFERROR(__xludf.DUMMYFUNCTION("""COMPUTED_VALUE"""),"411 Pegasus Parkway")</f>
        <v>411 Pegasus Parkway</v>
      </c>
      <c r="C227" s="1" t="str">
        <f>IFERROR(__xludf.DUMMYFUNCTION("""COMPUTED_VALUE"""),"LaGrange")</f>
        <v>LaGrange</v>
      </c>
      <c r="D227" s="1" t="str">
        <f>IFERROR(__xludf.DUMMYFUNCTION("""COMPUTED_VALUE"""),"GA")</f>
        <v>GA</v>
      </c>
      <c r="E227" s="1" t="str">
        <f>IFERROR(__xludf.DUMMYFUNCTION("""COMPUTED_VALUE"""),"30240")</f>
        <v>30240</v>
      </c>
      <c r="F227" s="1" t="str">
        <f>IFERROR(__xludf.DUMMYFUNCTION("""COMPUTED_VALUE"""),"Troup")</f>
        <v>Troup</v>
      </c>
      <c r="G227" s="1" t="str">
        <f>IFERROR(__xludf.DUMMYFUNCTION("""COMPUTED_VALUE"""),"32.98697")</f>
        <v>32.98697</v>
      </c>
      <c r="H227" s="1" t="str">
        <f>IFERROR(__xludf.DUMMYFUNCTION("""COMPUTED_VALUE"""),"-85.05588")</f>
        <v>-85.05588</v>
      </c>
      <c r="I227" s="1" t="str">
        <f>IFERROR(__xludf.DUMMYFUNCTION("""COMPUTED_VALUE"""),"Operating")</f>
        <v>Operating</v>
      </c>
      <c r="J227" s="1" t="str">
        <f>IFERROR(__xludf.DUMMYFUNCTION("""COMPUTED_VALUE"""),"High")</f>
        <v>High</v>
      </c>
      <c r="K227" s="1" t="str">
        <f>IFERROR(__xludf.DUMMYFUNCTION("""COMPUTED_VALUE"""),"")</f>
        <v/>
      </c>
      <c r="L227" s="1" t="str">
        <f>IFERROR(__xludf.DUMMYFUNCTION("""COMPUTED_VALUE"""),"Form8tion (Thor Equities), Google")</f>
        <v>Form8tion (Thor Equities), Google</v>
      </c>
      <c r="M227" s="1" t="str">
        <f>IFERROR(__xludf.DUMMYFUNCTION("""COMPUTED_VALUE"""),"")</f>
        <v/>
      </c>
      <c r="N227" s="1" t="str">
        <f>IFERROR(__xludf.DUMMYFUNCTION("""COMPUTED_VALUE"""),"")</f>
        <v/>
      </c>
      <c r="O227" s="1" t="str">
        <f>IFERROR(__xludf.DUMMYFUNCTION("""COMPUTED_VALUE"""),"Hyperscale (100-999 MW)")</f>
        <v>Hyperscale (100-999 MW)</v>
      </c>
      <c r="P227" s="1" t="str">
        <f>IFERROR(__xludf.DUMMYFUNCTION("""COMPUTED_VALUE"""),"")</f>
        <v/>
      </c>
      <c r="Q227" s="1" t="str">
        <f>IFERROR(__xludf.DUMMYFUNCTION("""COMPUTED_VALUE"""),"")</f>
        <v/>
      </c>
      <c r="R227" s="1" t="str">
        <f>IFERROR(__xludf.DUMMYFUNCTION("""COMPUTED_VALUE"""),"")</f>
        <v/>
      </c>
      <c r="S227" s="1" t="str">
        <f>IFERROR(__xludf.DUMMYFUNCTION("""COMPUTED_VALUE"""),"")</f>
        <v/>
      </c>
      <c r="T227" s="1" t="str">
        <f>IFERROR(__xludf.DUMMYFUNCTION("""COMPUTED_VALUE"""),"")</f>
        <v/>
      </c>
      <c r="U227" s="1" t="str">
        <f>IFERROR(__xludf.DUMMYFUNCTION("""COMPUTED_VALUE"""),"")</f>
        <v/>
      </c>
      <c r="V227" s="1" t="str">
        <f>IFERROR(__xludf.DUMMYFUNCTION("""COMPUTED_VALUE"""),"")</f>
        <v/>
      </c>
      <c r="W227" s="1" t="str">
        <f>IFERROR(__xludf.DUMMYFUNCTION("""COMPUTED_VALUE"""),"271")</f>
        <v>271</v>
      </c>
      <c r="X227" s="1" t="str">
        <f>IFERROR(__xludf.DUMMYFUNCTION("""COMPUTED_VALUE"""),"")</f>
        <v/>
      </c>
      <c r="Y227" s="1" t="str">
        <f>IFERROR(__xludf.DUMMYFUNCTION("""COMPUTED_VALUE"""),"")</f>
        <v/>
      </c>
      <c r="Z227" s="1" t="str">
        <f>IFERROR(__xludf.DUMMYFUNCTION("""COMPUTED_VALUE"""),"Unknown")</f>
        <v>Unknown</v>
      </c>
      <c r="AA227" s="1" t="str">
        <f>IFERROR(__xludf.DUMMYFUNCTION("""COMPUTED_VALUE"""),"")</f>
        <v/>
      </c>
      <c r="AB227" s="1" t="str">
        <f>IFERROR(__xludf.DUMMYFUNCTION("""COMPUTED_VALUE"""),"")</f>
        <v/>
      </c>
      <c r="AC227" s="1" t="str">
        <f>IFERROR(__xludf.DUMMYFUNCTION("""COMPUTED_VALUE"""),"")</f>
        <v/>
      </c>
      <c r="AD227" s="1" t="str">
        <f>IFERROR(__xludf.DUMMYFUNCTION("""COMPUTED_VALUE"""),"")</f>
        <v/>
      </c>
      <c r="AE227" s="1" t="str">
        <f>IFERROR(__xludf.DUMMYFUNCTION("""COMPUTED_VALUE"""),"")</f>
        <v/>
      </c>
      <c r="AF227" s="1" t="str">
        <f>IFERROR(__xludf.DUMMYFUNCTION("""COMPUTED_VALUE"""),"")</f>
        <v/>
      </c>
      <c r="AG227" s="1" t="str">
        <f>IFERROR(__xludf.DUMMYFUNCTION("""COMPUTED_VALUE"""),"")</f>
        <v/>
      </c>
      <c r="AH227" s="1" t="str">
        <f>IFERROR(__xludf.DUMMYFUNCTION("""COMPUTED_VALUE"""),"Sci4GA")</f>
        <v>Sci4GA</v>
      </c>
      <c r="AI227" s="2" t="str">
        <f>IFERROR(__xludf.DUMMYFUNCTION("""COMPUTED_VALUE"""),"https://www.form8tion.net/wp-content/uploads/2024/12/Form8tion-LGA1.pdf")</f>
        <v>https://www.form8tion.net/wp-content/uploads/2024/12/Form8tion-LGA1.pdf</v>
      </c>
      <c r="AJ227" s="2" t="str">
        <f>IFERROR(__xludf.DUMMYFUNCTION("""COMPUTED_VALUE"""),"https://www.datacenterdynamics.com/en/news/thor-equities-buys-270-acres-in-georgia-for-data-center/")</f>
        <v>https://www.datacenterdynamics.com/en/news/thor-equities-buys-270-acres-in-georgia-for-data-center/</v>
      </c>
      <c r="AK227" s="2" t="str">
        <f>IFERROR(__xludf.DUMMYFUNCTION("""COMPUTED_VALUE"""),"https://www.datacenterdynamics.com/en/news/google-confirms-plans-for-data-center-in-lagrange-georgia/")</f>
        <v>https://www.datacenterdynamics.com/en/news/google-confirms-plans-for-data-center-in-lagrange-georgia/</v>
      </c>
      <c r="AL227" s="1" t="str">
        <f>IFERROR(__xludf.DUMMYFUNCTION("""COMPUTED_VALUE"""),"")</f>
        <v/>
      </c>
      <c r="AM227" s="1" t="str">
        <f>IFERROR(__xludf.DUMMYFUNCTION("""COMPUTED_VALUE"""),"")</f>
        <v/>
      </c>
      <c r="AN227" s="1" t="str">
        <f>IFERROR(__xludf.DUMMYFUNCTION("""COMPUTED_VALUE"""),"")</f>
        <v/>
      </c>
      <c r="AO227" s="1" t="str">
        <f>IFERROR(__xludf.DUMMYFUNCTION("""COMPUTED_VALUE"""),"")</f>
        <v/>
      </c>
      <c r="AP227" s="1" t="str">
        <f>IFERROR(__xludf.DUMMYFUNCTION("""COMPUTED_VALUE"""),"")</f>
        <v/>
      </c>
      <c r="AQ227" s="1" t="str">
        <f>IFERROR(__xludf.DUMMYFUNCTION("""COMPUTED_VALUE"""),"10/16/2025")</f>
        <v>10/16/2025</v>
      </c>
      <c r="AR227" s="1" t="str">
        <f>IFERROR(__xludf.DUMMYFUNCTION("""COMPUTED_VALUE"""),"04/23/2026")</f>
        <v>04/23/2026</v>
      </c>
    </row>
    <row r="228">
      <c r="A228" s="1" t="str">
        <f>IFERROR(__xludf.DUMMYFUNCTION("""COMPUTED_VALUE"""),"Project West")</f>
        <v>Project West</v>
      </c>
      <c r="B228" s="1" t="str">
        <f>IFERROR(__xludf.DUMMYFUNCTION("""COMPUTED_VALUE"""),"Interstate 85 and Hamilton Rd")</f>
        <v>Interstate 85 and Hamilton Rd</v>
      </c>
      <c r="C228" s="1" t="str">
        <f>IFERROR(__xludf.DUMMYFUNCTION("""COMPUTED_VALUE"""),"LaGrange")</f>
        <v>LaGrange</v>
      </c>
      <c r="D228" s="1" t="str">
        <f>IFERROR(__xludf.DUMMYFUNCTION("""COMPUTED_VALUE"""),"GA")</f>
        <v>GA</v>
      </c>
      <c r="E228" s="1" t="str">
        <f>IFERROR(__xludf.DUMMYFUNCTION("""COMPUTED_VALUE"""),"30240")</f>
        <v>30240</v>
      </c>
      <c r="F228" s="1" t="str">
        <f>IFERROR(__xludf.DUMMYFUNCTION("""COMPUTED_VALUE"""),"Troup")</f>
        <v>Troup</v>
      </c>
      <c r="G228" s="1" t="str">
        <f>IFERROR(__xludf.DUMMYFUNCTION("""COMPUTED_VALUE"""),"32.96313")</f>
        <v>32.96313</v>
      </c>
      <c r="H228" s="1" t="str">
        <f>IFERROR(__xludf.DUMMYFUNCTION("""COMPUTED_VALUE"""),"-85.0219")</f>
        <v>-85.0219</v>
      </c>
      <c r="I228" s="1" t="str">
        <f>IFERROR(__xludf.DUMMYFUNCTION("""COMPUTED_VALUE"""),"Proposed")</f>
        <v>Proposed</v>
      </c>
      <c r="J228" s="1" t="str">
        <f>IFERROR(__xludf.DUMMYFUNCTION("""COMPUTED_VALUE"""),"High")</f>
        <v>High</v>
      </c>
      <c r="K228" s="1" t="str">
        <f>IFERROR(__xludf.DUMMYFUNCTION("""COMPUTED_VALUE"""),"")</f>
        <v/>
      </c>
      <c r="L228" s="1" t="str">
        <f>IFERROR(__xludf.DUMMYFUNCTION("""COMPUTED_VALUE"""),"Economic Impact Group LLC")</f>
        <v>Economic Impact Group LLC</v>
      </c>
      <c r="M228" s="1" t="str">
        <f>IFERROR(__xludf.DUMMYFUNCTION("""COMPUTED_VALUE"""),"")</f>
        <v/>
      </c>
      <c r="N228" s="1" t="str">
        <f>IFERROR(__xludf.DUMMYFUNCTION("""COMPUTED_VALUE"""),"600")</f>
        <v>600</v>
      </c>
      <c r="O228" s="1" t="str">
        <f>IFERROR(__xludf.DUMMYFUNCTION("""COMPUTED_VALUE"""),"Hyperscale (100-999 MW)")</f>
        <v>Hyperscale (100-999 MW)</v>
      </c>
      <c r="P228" s="1" t="str">
        <f>IFERROR(__xludf.DUMMYFUNCTION("""COMPUTED_VALUE"""),"")</f>
        <v/>
      </c>
      <c r="Q228" s="1" t="str">
        <f>IFERROR(__xludf.DUMMYFUNCTION("""COMPUTED_VALUE"""),"")</f>
        <v/>
      </c>
      <c r="R228" s="1" t="str">
        <f>IFERROR(__xludf.DUMMYFUNCTION("""COMPUTED_VALUE"""),"")</f>
        <v/>
      </c>
      <c r="S228" s="1" t="str">
        <f>IFERROR(__xludf.DUMMYFUNCTION("""COMPUTED_VALUE"""),"")</f>
        <v/>
      </c>
      <c r="T228" s="1" t="str">
        <f>IFERROR(__xludf.DUMMYFUNCTION("""COMPUTED_VALUE"""),"")</f>
        <v/>
      </c>
      <c r="U228" s="1" t="str">
        <f>IFERROR(__xludf.DUMMYFUNCTION("""COMPUTED_VALUE"""),"")</f>
        <v/>
      </c>
      <c r="V228" s="1" t="str">
        <f>IFERROR(__xludf.DUMMYFUNCTION("""COMPUTED_VALUE"""),"1,500,000")</f>
        <v>1,500,000</v>
      </c>
      <c r="W228" s="1" t="str">
        <f>IFERROR(__xludf.DUMMYFUNCTION("""COMPUTED_VALUE"""),"")</f>
        <v/>
      </c>
      <c r="X228" s="1" t="str">
        <f>IFERROR(__xludf.DUMMYFUNCTION("""COMPUTED_VALUE"""),"")</f>
        <v/>
      </c>
      <c r="Y228" s="1" t="str">
        <f>IFERROR(__xludf.DUMMYFUNCTION("""COMPUTED_VALUE"""),"")</f>
        <v/>
      </c>
      <c r="Z228" s="1" t="str">
        <f>IFERROR(__xludf.DUMMYFUNCTION("""COMPUTED_VALUE"""),"Unknown")</f>
        <v>Unknown</v>
      </c>
      <c r="AA228" s="1" t="str">
        <f>IFERROR(__xludf.DUMMYFUNCTION("""COMPUTED_VALUE"""),"")</f>
        <v/>
      </c>
      <c r="AB228" s="1" t="str">
        <f>IFERROR(__xludf.DUMMYFUNCTION("""COMPUTED_VALUE"""),"")</f>
        <v/>
      </c>
      <c r="AC228" s="1" t="str">
        <f>IFERROR(__xludf.DUMMYFUNCTION("""COMPUTED_VALUE"""),"")</f>
        <v/>
      </c>
      <c r="AD228" s="1" t="str">
        <f>IFERROR(__xludf.DUMMYFUNCTION("""COMPUTED_VALUE"""),"")</f>
        <v/>
      </c>
      <c r="AE228" s="1" t="str">
        <f>IFERROR(__xludf.DUMMYFUNCTION("""COMPUTED_VALUE"""),"")</f>
        <v/>
      </c>
      <c r="AF228" s="1" t="str">
        <f>IFERROR(__xludf.DUMMYFUNCTION("""COMPUTED_VALUE"""),"")</f>
        <v/>
      </c>
      <c r="AG228" s="1" t="str">
        <f>IFERROR(__xludf.DUMMYFUNCTION("""COMPUTED_VALUE"""),"")</f>
        <v/>
      </c>
      <c r="AH228" s="1" t="str">
        <f>IFERROR(__xludf.DUMMYFUNCTION("""COMPUTED_VALUE"""),"Sci4GA")</f>
        <v>Sci4GA</v>
      </c>
      <c r="AI228" s="2" t="str">
        <f>IFERROR(__xludf.DUMMYFUNCTION("""COMPUTED_VALUE"""),"https://www.fox5atlanta.com/news/data-center-campus-proposed-troup-county-jobs")</f>
        <v>https://www.fox5atlanta.com/news/data-center-campus-proposed-troup-county-jobs</v>
      </c>
      <c r="AJ228" s="1" t="str">
        <f>IFERROR(__xludf.DUMMYFUNCTION("""COMPUTED_VALUE"""),"")</f>
        <v/>
      </c>
      <c r="AK228" s="1" t="str">
        <f>IFERROR(__xludf.DUMMYFUNCTION("""COMPUTED_VALUE"""),"")</f>
        <v/>
      </c>
      <c r="AL228" s="1" t="str">
        <f>IFERROR(__xludf.DUMMYFUNCTION("""COMPUTED_VALUE"""),"")</f>
        <v/>
      </c>
      <c r="AM228" s="1" t="str">
        <f>IFERROR(__xludf.DUMMYFUNCTION("""COMPUTED_VALUE"""),"")</f>
        <v/>
      </c>
      <c r="AN228" s="1" t="str">
        <f>IFERROR(__xludf.DUMMYFUNCTION("""COMPUTED_VALUE"""),"")</f>
        <v/>
      </c>
      <c r="AO228" s="1" t="str">
        <f>IFERROR(__xludf.DUMMYFUNCTION("""COMPUTED_VALUE"""),"")</f>
        <v/>
      </c>
      <c r="AP228" s="1" t="str">
        <f>IFERROR(__xludf.DUMMYFUNCTION("""COMPUTED_VALUE"""),"")</f>
        <v/>
      </c>
      <c r="AQ228" s="1" t="str">
        <f>IFERROR(__xludf.DUMMYFUNCTION("""COMPUTED_VALUE"""),"10/16/2025")</f>
        <v>10/16/2025</v>
      </c>
      <c r="AR228" s="1" t="str">
        <f>IFERROR(__xludf.DUMMYFUNCTION("""COMPUTED_VALUE"""),"10/16/2025")</f>
        <v>10/16/2025</v>
      </c>
    </row>
    <row r="229">
      <c r="A229" s="1" t="str">
        <f>IFERROR(__xludf.DUMMYFUNCTION("""COMPUTED_VALUE"""),"Lamar County Amazon Data Center")</f>
        <v>Lamar County Amazon Data Center</v>
      </c>
      <c r="B229" s="1" t="str">
        <f>IFERROR(__xludf.DUMMYFUNCTION("""COMPUTED_VALUE"""),"near Van Mar Blvd and High Falls Road")</f>
        <v>near Van Mar Blvd and High Falls Road</v>
      </c>
      <c r="C229" s="1" t="str">
        <f>IFERROR(__xludf.DUMMYFUNCTION("""COMPUTED_VALUE"""),"Lamar County")</f>
        <v>Lamar County</v>
      </c>
      <c r="D229" s="1" t="str">
        <f>IFERROR(__xludf.DUMMYFUNCTION("""COMPUTED_VALUE"""),"GA")</f>
        <v>GA</v>
      </c>
      <c r="E229" s="1" t="str">
        <f>IFERROR(__xludf.DUMMYFUNCTION("""COMPUTED_VALUE"""),"")</f>
        <v/>
      </c>
      <c r="F229" s="1" t="str">
        <f>IFERROR(__xludf.DUMMYFUNCTION("""COMPUTED_VALUE"""),"Lamar")</f>
        <v>Lamar</v>
      </c>
      <c r="G229" s="1" t="str">
        <f>IFERROR(__xludf.DUMMYFUNCTION("""COMPUTED_VALUE"""),"33.1795")</f>
        <v>33.1795</v>
      </c>
      <c r="H229" s="1" t="str">
        <f>IFERROR(__xludf.DUMMYFUNCTION("""COMPUTED_VALUE"""),"-84.0563")</f>
        <v>-84.0563</v>
      </c>
      <c r="I229" s="1" t="str">
        <f>IFERROR(__xludf.DUMMYFUNCTION("""COMPUTED_VALUE"""),"Proposed")</f>
        <v>Proposed</v>
      </c>
      <c r="J229" s="1" t="str">
        <f>IFERROR(__xludf.DUMMYFUNCTION("""COMPUTED_VALUE"""),"Medium")</f>
        <v>Medium</v>
      </c>
      <c r="K229" s="1" t="str">
        <f>IFERROR(__xludf.DUMMYFUNCTION("""COMPUTED_VALUE"""),"")</f>
        <v/>
      </c>
      <c r="L229" s="1" t="str">
        <f>IFERROR(__xludf.DUMMYFUNCTION("""COMPUTED_VALUE"""),"Amazon")</f>
        <v>Amazon</v>
      </c>
      <c r="M229" s="1" t="str">
        <f>IFERROR(__xludf.DUMMYFUNCTION("""COMPUTED_VALUE"""),"")</f>
        <v/>
      </c>
      <c r="N229" s="1" t="str">
        <f>IFERROR(__xludf.DUMMYFUNCTION("""COMPUTED_VALUE"""),"")</f>
        <v/>
      </c>
      <c r="O229" s="1" t="str">
        <f>IFERROR(__xludf.DUMMYFUNCTION("""COMPUTED_VALUE"""),"Unknown")</f>
        <v>Unknown</v>
      </c>
      <c r="P229" s="1" t="str">
        <f>IFERROR(__xludf.DUMMYFUNCTION("""COMPUTED_VALUE"""),"")</f>
        <v/>
      </c>
      <c r="Q229" s="1" t="str">
        <f>IFERROR(__xludf.DUMMYFUNCTION("""COMPUTED_VALUE"""),"")</f>
        <v/>
      </c>
      <c r="R229" s="1" t="str">
        <f>IFERROR(__xludf.DUMMYFUNCTION("""COMPUTED_VALUE"""),"")</f>
        <v/>
      </c>
      <c r="S229" s="1" t="str">
        <f>IFERROR(__xludf.DUMMYFUNCTION("""COMPUTED_VALUE"""),"")</f>
        <v/>
      </c>
      <c r="T229" s="1" t="str">
        <f>IFERROR(__xludf.DUMMYFUNCTION("""COMPUTED_VALUE"""),"")</f>
        <v/>
      </c>
      <c r="U229" s="1" t="str">
        <f>IFERROR(__xludf.DUMMYFUNCTION("""COMPUTED_VALUE"""),"")</f>
        <v/>
      </c>
      <c r="V229" s="1" t="str">
        <f>IFERROR(__xludf.DUMMYFUNCTION("""COMPUTED_VALUE"""),"19,000,000")</f>
        <v>19,000,000</v>
      </c>
      <c r="W229" s="1" t="str">
        <f>IFERROR(__xludf.DUMMYFUNCTION("""COMPUTED_VALUE"""),"985")</f>
        <v>985</v>
      </c>
      <c r="X229" s="1" t="str">
        <f>IFERROR(__xludf.DUMMYFUNCTION("""COMPUTED_VALUE"""),"$270 million")</f>
        <v>$270 million</v>
      </c>
      <c r="Y229" s="1" t="str">
        <f>IFERROR(__xludf.DUMMYFUNCTION("""COMPUTED_VALUE"""),"")</f>
        <v/>
      </c>
      <c r="Z229" s="1" t="str">
        <f>IFERROR(__xludf.DUMMYFUNCTION("""COMPUTED_VALUE"""),"Unknown")</f>
        <v>Unknown</v>
      </c>
      <c r="AA229" s="1" t="str">
        <f>IFERROR(__xludf.DUMMYFUNCTION("""COMPUTED_VALUE"""),"")</f>
        <v/>
      </c>
      <c r="AB229" s="1" t="str">
        <f>IFERROR(__xludf.DUMMYFUNCTION("""COMPUTED_VALUE"""),"")</f>
        <v/>
      </c>
      <c r="AC229" s="1" t="str">
        <f>IFERROR(__xludf.DUMMYFUNCTION("""COMPUTED_VALUE"""),"")</f>
        <v/>
      </c>
      <c r="AD229" s="1" t="str">
        <f>IFERROR(__xludf.DUMMYFUNCTION("""COMPUTED_VALUE"""),"")</f>
        <v/>
      </c>
      <c r="AE229" s="1" t="str">
        <f>IFERROR(__xludf.DUMMYFUNCTION("""COMPUTED_VALUE"""),"")</f>
        <v/>
      </c>
      <c r="AF229" s="1" t="str">
        <f>IFERROR(__xludf.DUMMYFUNCTION("""COMPUTED_VALUE"""),"")</f>
        <v/>
      </c>
      <c r="AG229" s="1" t="str">
        <f>IFERROR(__xludf.DUMMYFUNCTION("""COMPUTED_VALUE"""),"Industrial zoning, likely data center")</f>
        <v>Industrial zoning, likely data center</v>
      </c>
      <c r="AH229" s="1" t="str">
        <f>IFERROR(__xludf.DUMMYFUNCTION("""COMPUTED_VALUE"""),"Media Monitoring")</f>
        <v>Media Monitoring</v>
      </c>
      <c r="AI229" s="2" t="str">
        <f>IFERROR(__xludf.DUMMYFUNCTION("""COMPUTED_VALUE"""),"https://www.datacenterdynamics.com/en/news/amazon-acquires-1000-acres-of-land-outside-atlanta-georgia/")</f>
        <v>https://www.datacenterdynamics.com/en/news/amazon-acquires-1000-acres-of-land-outside-atlanta-georgia/</v>
      </c>
      <c r="AJ229" s="1" t="str">
        <f>IFERROR(__xludf.DUMMYFUNCTION("""COMPUTED_VALUE"""),"")</f>
        <v/>
      </c>
      <c r="AK229" s="1" t="str">
        <f>IFERROR(__xludf.DUMMYFUNCTION("""COMPUTED_VALUE"""),"")</f>
        <v/>
      </c>
      <c r="AL229" s="1" t="str">
        <f>IFERROR(__xludf.DUMMYFUNCTION("""COMPUTED_VALUE"""),"")</f>
        <v/>
      </c>
      <c r="AM229" s="1" t="str">
        <f>IFERROR(__xludf.DUMMYFUNCTION("""COMPUTED_VALUE"""),"")</f>
        <v/>
      </c>
      <c r="AN229" s="1" t="str">
        <f>IFERROR(__xludf.DUMMYFUNCTION("""COMPUTED_VALUE"""),"")</f>
        <v/>
      </c>
      <c r="AO229" s="1" t="str">
        <f>IFERROR(__xludf.DUMMYFUNCTION("""COMPUTED_VALUE"""),"")</f>
        <v/>
      </c>
      <c r="AP229" s="1" t="str">
        <f>IFERROR(__xludf.DUMMYFUNCTION("""COMPUTED_VALUE"""),"")</f>
        <v/>
      </c>
      <c r="AQ229" s="1" t="str">
        <f>IFERROR(__xludf.DUMMYFUNCTION("""COMPUTED_VALUE"""),"08/06/2025")</f>
        <v>08/06/2025</v>
      </c>
      <c r="AR229" s="1" t="str">
        <f>IFERROR(__xludf.DUMMYFUNCTION("""COMPUTED_VALUE"""),"08/06/2025")</f>
        <v>08/06/2025</v>
      </c>
    </row>
    <row r="230">
      <c r="A230" s="1" t="str">
        <f>IFERROR(__xludf.DUMMYFUNCTION("""COMPUTED_VALUE"""),"Data Bank ATL5 Data Center")</f>
        <v>Data Bank ATL5 Data Center</v>
      </c>
      <c r="B230" s="1" t="str">
        <f>IFERROR(__xludf.DUMMYFUNCTION("""COMPUTED_VALUE"""),"4764 Bakers Ferry Rd SW")</f>
        <v>4764 Bakers Ferry Rd SW</v>
      </c>
      <c r="C230" s="1" t="str">
        <f>IFERROR(__xludf.DUMMYFUNCTION("""COMPUTED_VALUE"""),"Litha Springs")</f>
        <v>Litha Springs</v>
      </c>
      <c r="D230" s="1" t="str">
        <f>IFERROR(__xludf.DUMMYFUNCTION("""COMPUTED_VALUE"""),"GA")</f>
        <v>GA</v>
      </c>
      <c r="E230" s="1" t="str">
        <f>IFERROR(__xludf.DUMMYFUNCTION("""COMPUTED_VALUE"""),"30122")</f>
        <v>30122</v>
      </c>
      <c r="F230" s="1" t="str">
        <f>IFERROR(__xludf.DUMMYFUNCTION("""COMPUTED_VALUE"""),"Fulton")</f>
        <v>Fulton</v>
      </c>
      <c r="G230" s="1" t="str">
        <f>IFERROR(__xludf.DUMMYFUNCTION("""COMPUTED_VALUE"""),"33.7474")</f>
        <v>33.7474</v>
      </c>
      <c r="H230" s="1" t="str">
        <f>IFERROR(__xludf.DUMMYFUNCTION("""COMPUTED_VALUE"""),"-84.5403")</f>
        <v>-84.5403</v>
      </c>
      <c r="I230" s="1" t="str">
        <f>IFERROR(__xludf.DUMMYFUNCTION("""COMPUTED_VALUE"""),"Proposed")</f>
        <v>Proposed</v>
      </c>
      <c r="J230" s="1" t="str">
        <f>IFERROR(__xludf.DUMMYFUNCTION("""COMPUTED_VALUE"""),"High")</f>
        <v>High</v>
      </c>
      <c r="K230" s="1" t="str">
        <f>IFERROR(__xludf.DUMMYFUNCTION("""COMPUTED_VALUE"""),"")</f>
        <v/>
      </c>
      <c r="L230" s="1" t="str">
        <f>IFERROR(__xludf.DUMMYFUNCTION("""COMPUTED_VALUE"""),"DataBank")</f>
        <v>DataBank</v>
      </c>
      <c r="M230" s="1" t="str">
        <f>IFERROR(__xludf.DUMMYFUNCTION("""COMPUTED_VALUE"""),"")</f>
        <v/>
      </c>
      <c r="N230" s="1" t="str">
        <f>IFERROR(__xludf.DUMMYFUNCTION("""COMPUTED_VALUE"""),"72")</f>
        <v>72</v>
      </c>
      <c r="O230" s="1" t="str">
        <f>IFERROR(__xludf.DUMMYFUNCTION("""COMPUTED_VALUE"""),"Large (51-99 MW)")</f>
        <v>Large (51-99 MW)</v>
      </c>
      <c r="P230" s="1" t="str">
        <f>IFERROR(__xludf.DUMMYFUNCTION("""COMPUTED_VALUE"""),"")</f>
        <v/>
      </c>
      <c r="Q230" s="1" t="str">
        <f>IFERROR(__xludf.DUMMYFUNCTION("""COMPUTED_VALUE"""),"")</f>
        <v/>
      </c>
      <c r="R230" s="1" t="str">
        <f>IFERROR(__xludf.DUMMYFUNCTION("""COMPUTED_VALUE"""),"")</f>
        <v/>
      </c>
      <c r="S230" s="1" t="str">
        <f>IFERROR(__xludf.DUMMYFUNCTION("""COMPUTED_VALUE"""),"")</f>
        <v/>
      </c>
      <c r="T230" s="1" t="str">
        <f>IFERROR(__xludf.DUMMYFUNCTION("""COMPUTED_VALUE"""),"")</f>
        <v/>
      </c>
      <c r="U230" s="1" t="str">
        <f>IFERROR(__xludf.DUMMYFUNCTION("""COMPUTED_VALUE"""),"")</f>
        <v/>
      </c>
      <c r="V230" s="1" t="str">
        <f>IFERROR(__xludf.DUMMYFUNCTION("""COMPUTED_VALUE"""),"240,000")</f>
        <v>240,000</v>
      </c>
      <c r="W230" s="1" t="str">
        <f>IFERROR(__xludf.DUMMYFUNCTION("""COMPUTED_VALUE"""),"")</f>
        <v/>
      </c>
      <c r="X230" s="1" t="str">
        <f>IFERROR(__xludf.DUMMYFUNCTION("""COMPUTED_VALUE"""),"")</f>
        <v/>
      </c>
      <c r="Y230" s="1" t="str">
        <f>IFERROR(__xludf.DUMMYFUNCTION("""COMPUTED_VALUE"""),"")</f>
        <v/>
      </c>
      <c r="Z230" s="1" t="str">
        <f>IFERROR(__xludf.DUMMYFUNCTION("""COMPUTED_VALUE"""),"Unknown")</f>
        <v>Unknown</v>
      </c>
      <c r="AA230" s="1" t="str">
        <f>IFERROR(__xludf.DUMMYFUNCTION("""COMPUTED_VALUE"""),"")</f>
        <v/>
      </c>
      <c r="AB230" s="1" t="str">
        <f>IFERROR(__xludf.DUMMYFUNCTION("""COMPUTED_VALUE"""),"")</f>
        <v/>
      </c>
      <c r="AC230" s="1" t="str">
        <f>IFERROR(__xludf.DUMMYFUNCTION("""COMPUTED_VALUE"""),"")</f>
        <v/>
      </c>
      <c r="AD230" s="1" t="str">
        <f>IFERROR(__xludf.DUMMYFUNCTION("""COMPUTED_VALUE"""),"")</f>
        <v/>
      </c>
      <c r="AE230" s="1" t="str">
        <f>IFERROR(__xludf.DUMMYFUNCTION("""COMPUTED_VALUE"""),"")</f>
        <v/>
      </c>
      <c r="AF230" s="1" t="str">
        <f>IFERROR(__xludf.DUMMYFUNCTION("""COMPUTED_VALUE"""),"")</f>
        <v/>
      </c>
      <c r="AG230" s="1" t="str">
        <f>IFERROR(__xludf.DUMMYFUNCTION("""COMPUTED_VALUE"""),"")</f>
        <v/>
      </c>
      <c r="AH230" s="1" t="str">
        <f>IFERROR(__xludf.DUMMYFUNCTION("""COMPUTED_VALUE"""),"Sci4GA")</f>
        <v>Sci4GA</v>
      </c>
      <c r="AI230" s="2" t="str">
        <f>IFERROR(__xludf.DUMMYFUNCTION("""COMPUTED_VALUE"""),"https://www.databank.com/data-centers/atlanta/lithia-springs/atl5/")</f>
        <v>https://www.databank.com/data-centers/atlanta/lithia-springs/atl5/</v>
      </c>
      <c r="AJ230" s="1" t="str">
        <f>IFERROR(__xludf.DUMMYFUNCTION("""COMPUTED_VALUE"""),"")</f>
        <v/>
      </c>
      <c r="AK230" s="1" t="str">
        <f>IFERROR(__xludf.DUMMYFUNCTION("""COMPUTED_VALUE"""),"")</f>
        <v/>
      </c>
      <c r="AL230" s="1" t="str">
        <f>IFERROR(__xludf.DUMMYFUNCTION("""COMPUTED_VALUE"""),"")</f>
        <v/>
      </c>
      <c r="AM230" s="1" t="str">
        <f>IFERROR(__xludf.DUMMYFUNCTION("""COMPUTED_VALUE"""),"")</f>
        <v/>
      </c>
      <c r="AN230" s="1" t="str">
        <f>IFERROR(__xludf.DUMMYFUNCTION("""COMPUTED_VALUE"""),"")</f>
        <v/>
      </c>
      <c r="AO230" s="1" t="str">
        <f>IFERROR(__xludf.DUMMYFUNCTION("""COMPUTED_VALUE"""),"")</f>
        <v/>
      </c>
      <c r="AP230" s="1" t="str">
        <f>IFERROR(__xludf.DUMMYFUNCTION("""COMPUTED_VALUE"""),"")</f>
        <v/>
      </c>
      <c r="AQ230" s="1" t="str">
        <f>IFERROR(__xludf.DUMMYFUNCTION("""COMPUTED_VALUE"""),"10/16/2025")</f>
        <v>10/16/2025</v>
      </c>
      <c r="AR230" s="1" t="str">
        <f>IFERROR(__xludf.DUMMYFUNCTION("""COMPUTED_VALUE"""),"10/16/2025")</f>
        <v>10/16/2025</v>
      </c>
    </row>
    <row r="231">
      <c r="A231" s="1" t="str">
        <f>IFERROR(__xludf.DUMMYFUNCTION("""COMPUTED_VALUE"""),"Switch Atlanta - The KEEP Campus")</f>
        <v>Switch Atlanta - The KEEP Campus</v>
      </c>
      <c r="B231" s="1" t="str">
        <f>IFERROR(__xludf.DUMMYFUNCTION("""COMPUTED_VALUE"""),"1 Switch Way")</f>
        <v>1 Switch Way</v>
      </c>
      <c r="C231" s="1" t="str">
        <f>IFERROR(__xludf.DUMMYFUNCTION("""COMPUTED_VALUE"""),"Lithia")</f>
        <v>Lithia</v>
      </c>
      <c r="D231" s="1" t="str">
        <f>IFERROR(__xludf.DUMMYFUNCTION("""COMPUTED_VALUE"""),"GA")</f>
        <v>GA</v>
      </c>
      <c r="E231" s="1" t="str">
        <f>IFERROR(__xludf.DUMMYFUNCTION("""COMPUTED_VALUE"""),"30122")</f>
        <v>30122</v>
      </c>
      <c r="F231" s="1" t="str">
        <f>IFERROR(__xludf.DUMMYFUNCTION("""COMPUTED_VALUE"""),"Douglas")</f>
        <v>Douglas</v>
      </c>
      <c r="G231" s="1" t="str">
        <f>IFERROR(__xludf.DUMMYFUNCTION("""COMPUTED_VALUE"""),"33.770504")</f>
        <v>33.770504</v>
      </c>
      <c r="H231" s="1" t="str">
        <f>IFERROR(__xludf.DUMMYFUNCTION("""COMPUTED_VALUE"""),"-84.590355")</f>
        <v>-84.590355</v>
      </c>
      <c r="I231" s="1" t="str">
        <f>IFERROR(__xludf.DUMMYFUNCTION("""COMPUTED_VALUE"""),"Operating")</f>
        <v>Operating</v>
      </c>
      <c r="J231" s="1" t="str">
        <f>IFERROR(__xludf.DUMMYFUNCTION("""COMPUTED_VALUE"""),"High")</f>
        <v>High</v>
      </c>
      <c r="K231" s="1" t="str">
        <f>IFERROR(__xludf.DUMMYFUNCTION("""COMPUTED_VALUE"""),"")</f>
        <v/>
      </c>
      <c r="L231" s="1" t="str">
        <f>IFERROR(__xludf.DUMMYFUNCTION("""COMPUTED_VALUE"""),"Switch")</f>
        <v>Switch</v>
      </c>
      <c r="M231" s="1" t="str">
        <f>IFERROR(__xludf.DUMMYFUNCTION("""COMPUTED_VALUE"""),"")</f>
        <v/>
      </c>
      <c r="N231" s="1" t="str">
        <f>IFERROR(__xludf.DUMMYFUNCTION("""COMPUTED_VALUE"""),"110")</f>
        <v>110</v>
      </c>
      <c r="O231" s="1" t="str">
        <f>IFERROR(__xludf.DUMMYFUNCTION("""COMPUTED_VALUE"""),"Hyperscale (100-999 MW)")</f>
        <v>Hyperscale (100-999 MW)</v>
      </c>
      <c r="P231" s="1" t="str">
        <f>IFERROR(__xludf.DUMMYFUNCTION("""COMPUTED_VALUE"""),"")</f>
        <v/>
      </c>
      <c r="Q231" s="1" t="str">
        <f>IFERROR(__xludf.DUMMYFUNCTION("""COMPUTED_VALUE"""),"")</f>
        <v/>
      </c>
      <c r="R231" s="1" t="str">
        <f>IFERROR(__xludf.DUMMYFUNCTION("""COMPUTED_VALUE"""),"")</f>
        <v/>
      </c>
      <c r="S231" s="1" t="str">
        <f>IFERROR(__xludf.DUMMYFUNCTION("""COMPUTED_VALUE"""),"")</f>
        <v/>
      </c>
      <c r="T231" s="1" t="str">
        <f>IFERROR(__xludf.DUMMYFUNCTION("""COMPUTED_VALUE"""),"")</f>
        <v/>
      </c>
      <c r="U231" s="1" t="str">
        <f>IFERROR(__xludf.DUMMYFUNCTION("""COMPUTED_VALUE"""),"")</f>
        <v/>
      </c>
      <c r="V231" s="1" t="str">
        <f>IFERROR(__xludf.DUMMYFUNCTION("""COMPUTED_VALUE"""),"1,000,000")</f>
        <v>1,000,000</v>
      </c>
      <c r="W231" s="1" t="str">
        <f>IFERROR(__xludf.DUMMYFUNCTION("""COMPUTED_VALUE"""),"")</f>
        <v/>
      </c>
      <c r="X231" s="1" t="str">
        <f>IFERROR(__xludf.DUMMYFUNCTION("""COMPUTED_VALUE"""),"")</f>
        <v/>
      </c>
      <c r="Y231" s="1" t="str">
        <f>IFERROR(__xludf.DUMMYFUNCTION("""COMPUTED_VALUE"""),"")</f>
        <v/>
      </c>
      <c r="Z231" s="1" t="str">
        <f>IFERROR(__xludf.DUMMYFUNCTION("""COMPUTED_VALUE"""),"Unknown")</f>
        <v>Unknown</v>
      </c>
      <c r="AA231" s="1" t="str">
        <f>IFERROR(__xludf.DUMMYFUNCTION("""COMPUTED_VALUE"""),"")</f>
        <v/>
      </c>
      <c r="AB231" s="1" t="str">
        <f>IFERROR(__xludf.DUMMYFUNCTION("""COMPUTED_VALUE"""),"")</f>
        <v/>
      </c>
      <c r="AC231" s="1" t="str">
        <f>IFERROR(__xludf.DUMMYFUNCTION("""COMPUTED_VALUE"""),"")</f>
        <v/>
      </c>
      <c r="AD231" s="1" t="str">
        <f>IFERROR(__xludf.DUMMYFUNCTION("""COMPUTED_VALUE"""),"")</f>
        <v/>
      </c>
      <c r="AE231" s="1" t="str">
        <f>IFERROR(__xludf.DUMMYFUNCTION("""COMPUTED_VALUE"""),"")</f>
        <v/>
      </c>
      <c r="AF231" s="1" t="str">
        <f>IFERROR(__xludf.DUMMYFUNCTION("""COMPUTED_VALUE"""),"")</f>
        <v/>
      </c>
      <c r="AG231" s="1" t="str">
        <f>IFERROR(__xludf.DUMMYFUNCTION("""COMPUTED_VALUE"""),"")</f>
        <v/>
      </c>
      <c r="AH231" s="1" t="str">
        <f>IFERROR(__xludf.DUMMYFUNCTION("""COMPUTED_VALUE"""),"Sci4GA")</f>
        <v>Sci4GA</v>
      </c>
      <c r="AI231" s="1" t="str">
        <f>IFERROR(__xludf.DUMMYFUNCTION("""COMPUTED_VALUE"""),"")</f>
        <v/>
      </c>
      <c r="AJ231" s="1" t="str">
        <f>IFERROR(__xludf.DUMMYFUNCTION("""COMPUTED_VALUE"""),"")</f>
        <v/>
      </c>
      <c r="AK231" s="1" t="str">
        <f>IFERROR(__xludf.DUMMYFUNCTION("""COMPUTED_VALUE"""),"")</f>
        <v/>
      </c>
      <c r="AL231" s="1" t="str">
        <f>IFERROR(__xludf.DUMMYFUNCTION("""COMPUTED_VALUE"""),"")</f>
        <v/>
      </c>
      <c r="AM231" s="1" t="str">
        <f>IFERROR(__xludf.DUMMYFUNCTION("""COMPUTED_VALUE"""),"")</f>
        <v/>
      </c>
      <c r="AN231" s="1" t="str">
        <f>IFERROR(__xludf.DUMMYFUNCTION("""COMPUTED_VALUE"""),"")</f>
        <v/>
      </c>
      <c r="AO231" s="1" t="str">
        <f>IFERROR(__xludf.DUMMYFUNCTION("""COMPUTED_VALUE"""),"")</f>
        <v/>
      </c>
      <c r="AP231" s="1" t="str">
        <f>IFERROR(__xludf.DUMMYFUNCTION("""COMPUTED_VALUE"""),"")</f>
        <v/>
      </c>
      <c r="AQ231" s="1" t="str">
        <f>IFERROR(__xludf.DUMMYFUNCTION("""COMPUTED_VALUE"""),"10/16/2025")</f>
        <v>10/16/2025</v>
      </c>
      <c r="AR231" s="1" t="str">
        <f>IFERROR(__xludf.DUMMYFUNCTION("""COMPUTED_VALUE"""),"10/16/2025")</f>
        <v>10/16/2025</v>
      </c>
    </row>
    <row r="232">
      <c r="A232" s="1" t="str">
        <f>IFERROR(__xludf.DUMMYFUNCTION("""COMPUTED_VALUE"""),"Atlanta ATL1a")</f>
        <v>Atlanta ATL1a</v>
      </c>
      <c r="B232" s="1" t="str">
        <f>IFERROR(__xludf.DUMMYFUNCTION("""COMPUTED_VALUE"""),"375 Riverside Parkway Suite 100")</f>
        <v>375 Riverside Parkway Suite 100</v>
      </c>
      <c r="C232" s="1" t="str">
        <f>IFERROR(__xludf.DUMMYFUNCTION("""COMPUTED_VALUE"""),"Lithia Springs")</f>
        <v>Lithia Springs</v>
      </c>
      <c r="D232" s="1" t="str">
        <f>IFERROR(__xludf.DUMMYFUNCTION("""COMPUTED_VALUE"""),"GA")</f>
        <v>GA</v>
      </c>
      <c r="E232" s="1" t="str">
        <f>IFERROR(__xludf.DUMMYFUNCTION("""COMPUTED_VALUE"""),"30122")</f>
        <v>30122</v>
      </c>
      <c r="F232" s="1" t="str">
        <f>IFERROR(__xludf.DUMMYFUNCTION("""COMPUTED_VALUE"""),"Douglas")</f>
        <v>Douglas</v>
      </c>
      <c r="G232" s="1" t="str">
        <f>IFERROR(__xludf.DUMMYFUNCTION("""COMPUTED_VALUE"""),"33.74414")</f>
        <v>33.74414</v>
      </c>
      <c r="H232" s="1" t="str">
        <f>IFERROR(__xludf.DUMMYFUNCTION("""COMPUTED_VALUE"""),"-84.581215")</f>
        <v>-84.581215</v>
      </c>
      <c r="I232" s="1" t="str">
        <f>IFERROR(__xludf.DUMMYFUNCTION("""COMPUTED_VALUE"""),"Operating")</f>
        <v>Operating</v>
      </c>
      <c r="J232" s="1" t="str">
        <f>IFERROR(__xludf.DUMMYFUNCTION("""COMPUTED_VALUE"""),"High")</f>
        <v>High</v>
      </c>
      <c r="K232" s="1" t="str">
        <f>IFERROR(__xludf.DUMMYFUNCTION("""COMPUTED_VALUE"""),"")</f>
        <v/>
      </c>
      <c r="L232" s="1" t="str">
        <f>IFERROR(__xludf.DUMMYFUNCTION("""COMPUTED_VALUE"""),"Centersquare")</f>
        <v>Centersquare</v>
      </c>
      <c r="M232" s="1" t="str">
        <f>IFERROR(__xludf.DUMMYFUNCTION("""COMPUTED_VALUE"""),"")</f>
        <v/>
      </c>
      <c r="N232" s="1" t="str">
        <f>IFERROR(__xludf.DUMMYFUNCTION("""COMPUTED_VALUE"""),"7")</f>
        <v>7</v>
      </c>
      <c r="O232" s="1" t="str">
        <f>IFERROR(__xludf.DUMMYFUNCTION("""COMPUTED_VALUE"""),"Small (0-10 MW)")</f>
        <v>Small (0-10 MW)</v>
      </c>
      <c r="P232" s="1" t="str">
        <f>IFERROR(__xludf.DUMMYFUNCTION("""COMPUTED_VALUE"""),"")</f>
        <v/>
      </c>
      <c r="Q232" s="1" t="str">
        <f>IFERROR(__xludf.DUMMYFUNCTION("""COMPUTED_VALUE"""),"")</f>
        <v/>
      </c>
      <c r="R232" s="1" t="str">
        <f>IFERROR(__xludf.DUMMYFUNCTION("""COMPUTED_VALUE"""),"")</f>
        <v/>
      </c>
      <c r="S232" s="1" t="str">
        <f>IFERROR(__xludf.DUMMYFUNCTION("""COMPUTED_VALUE"""),"")</f>
        <v/>
      </c>
      <c r="T232" s="1" t="str">
        <f>IFERROR(__xludf.DUMMYFUNCTION("""COMPUTED_VALUE"""),"")</f>
        <v/>
      </c>
      <c r="U232" s="1" t="str">
        <f>IFERROR(__xludf.DUMMYFUNCTION("""COMPUTED_VALUE"""),"")</f>
        <v/>
      </c>
      <c r="V232" s="1" t="str">
        <f>IFERROR(__xludf.DUMMYFUNCTION("""COMPUTED_VALUE"""),"137,203")</f>
        <v>137,203</v>
      </c>
      <c r="W232" s="1" t="str">
        <f>IFERROR(__xludf.DUMMYFUNCTION("""COMPUTED_VALUE"""),"")</f>
        <v/>
      </c>
      <c r="X232" s="1" t="str">
        <f>IFERROR(__xludf.DUMMYFUNCTION("""COMPUTED_VALUE"""),"")</f>
        <v/>
      </c>
      <c r="Y232" s="1" t="str">
        <f>IFERROR(__xludf.DUMMYFUNCTION("""COMPUTED_VALUE"""),"")</f>
        <v/>
      </c>
      <c r="Z232" s="1" t="str">
        <f>IFERROR(__xludf.DUMMYFUNCTION("""COMPUTED_VALUE"""),"Unknown")</f>
        <v>Unknown</v>
      </c>
      <c r="AA232" s="1" t="str">
        <f>IFERROR(__xludf.DUMMYFUNCTION("""COMPUTED_VALUE"""),"")</f>
        <v/>
      </c>
      <c r="AB232" s="1" t="str">
        <f>IFERROR(__xludf.DUMMYFUNCTION("""COMPUTED_VALUE"""),"")</f>
        <v/>
      </c>
      <c r="AC232" s="1" t="str">
        <f>IFERROR(__xludf.DUMMYFUNCTION("""COMPUTED_VALUE"""),"")</f>
        <v/>
      </c>
      <c r="AD232" s="1" t="str">
        <f>IFERROR(__xludf.DUMMYFUNCTION("""COMPUTED_VALUE"""),"")</f>
        <v/>
      </c>
      <c r="AE232" s="1" t="str">
        <f>IFERROR(__xludf.DUMMYFUNCTION("""COMPUTED_VALUE"""),"")</f>
        <v/>
      </c>
      <c r="AF232" s="1" t="str">
        <f>IFERROR(__xludf.DUMMYFUNCTION("""COMPUTED_VALUE"""),"")</f>
        <v/>
      </c>
      <c r="AG232" s="1" t="str">
        <f>IFERROR(__xludf.DUMMYFUNCTION("""COMPUTED_VALUE"""),"")</f>
        <v/>
      </c>
      <c r="AH232" s="1" t="str">
        <f>IFERROR(__xludf.DUMMYFUNCTION("""COMPUTED_VALUE"""),"Sci4GA")</f>
        <v>Sci4GA</v>
      </c>
      <c r="AI232" s="2" t="str">
        <f>IFERROR(__xludf.DUMMYFUNCTION("""COMPUTED_VALUE"""),"https://www.dcblox.com/data-centers/atlanta-data-centers/douglas-county-ga-hyperscale-data-center-campus/")</f>
        <v>https://www.dcblox.com/data-centers/atlanta-data-centers/douglas-county-ga-hyperscale-data-center-campus/</v>
      </c>
      <c r="AJ232" s="1" t="str">
        <f>IFERROR(__xludf.DUMMYFUNCTION("""COMPUTED_VALUE"""),"")</f>
        <v/>
      </c>
      <c r="AK232" s="1" t="str">
        <f>IFERROR(__xludf.DUMMYFUNCTION("""COMPUTED_VALUE"""),"")</f>
        <v/>
      </c>
      <c r="AL232" s="1" t="str">
        <f>IFERROR(__xludf.DUMMYFUNCTION("""COMPUTED_VALUE"""),"")</f>
        <v/>
      </c>
      <c r="AM232" s="1" t="str">
        <f>IFERROR(__xludf.DUMMYFUNCTION("""COMPUTED_VALUE"""),"")</f>
        <v/>
      </c>
      <c r="AN232" s="1" t="str">
        <f>IFERROR(__xludf.DUMMYFUNCTION("""COMPUTED_VALUE"""),"")</f>
        <v/>
      </c>
      <c r="AO232" s="1" t="str">
        <f>IFERROR(__xludf.DUMMYFUNCTION("""COMPUTED_VALUE"""),"")</f>
        <v/>
      </c>
      <c r="AP232" s="1" t="str">
        <f>IFERROR(__xludf.DUMMYFUNCTION("""COMPUTED_VALUE"""),"")</f>
        <v/>
      </c>
      <c r="AQ232" s="1" t="str">
        <f>IFERROR(__xludf.DUMMYFUNCTION("""COMPUTED_VALUE"""),"10/16/2025")</f>
        <v>10/16/2025</v>
      </c>
      <c r="AR232" s="1" t="str">
        <f>IFERROR(__xludf.DUMMYFUNCTION("""COMPUTED_VALUE"""),"04/27/2026")</f>
        <v>04/27/2026</v>
      </c>
    </row>
    <row r="233">
      <c r="A233" s="1" t="str">
        <f>IFERROR(__xludf.DUMMYFUNCTION("""COMPUTED_VALUE"""),"Atlanta ATL1b")</f>
        <v>Atlanta ATL1b</v>
      </c>
      <c r="B233" s="1" t="str">
        <f>IFERROR(__xludf.DUMMYFUNCTION("""COMPUTED_VALUE"""),"375 Riverside Parkway Suite 200")</f>
        <v>375 Riverside Parkway Suite 200</v>
      </c>
      <c r="C233" s="1" t="str">
        <f>IFERROR(__xludf.DUMMYFUNCTION("""COMPUTED_VALUE"""),"Lithia Springs")</f>
        <v>Lithia Springs</v>
      </c>
      <c r="D233" s="1" t="str">
        <f>IFERROR(__xludf.DUMMYFUNCTION("""COMPUTED_VALUE"""),"GA")</f>
        <v>GA</v>
      </c>
      <c r="E233" s="1" t="str">
        <f>IFERROR(__xludf.DUMMYFUNCTION("""COMPUTED_VALUE"""),"30122")</f>
        <v>30122</v>
      </c>
      <c r="F233" s="1" t="str">
        <f>IFERROR(__xludf.DUMMYFUNCTION("""COMPUTED_VALUE"""),"Douglas")</f>
        <v>Douglas</v>
      </c>
      <c r="G233" s="1" t="str">
        <f>IFERROR(__xludf.DUMMYFUNCTION("""COMPUTED_VALUE"""),"33.74414")</f>
        <v>33.74414</v>
      </c>
      <c r="H233" s="1" t="str">
        <f>IFERROR(__xludf.DUMMYFUNCTION("""COMPUTED_VALUE"""),"-84.581215")</f>
        <v>-84.581215</v>
      </c>
      <c r="I233" s="1" t="str">
        <f>IFERROR(__xludf.DUMMYFUNCTION("""COMPUTED_VALUE"""),"Operating")</f>
        <v>Operating</v>
      </c>
      <c r="J233" s="1" t="str">
        <f>IFERROR(__xludf.DUMMYFUNCTION("""COMPUTED_VALUE"""),"High")</f>
        <v>High</v>
      </c>
      <c r="K233" s="1" t="str">
        <f>IFERROR(__xludf.DUMMYFUNCTION("""COMPUTED_VALUE"""),"")</f>
        <v/>
      </c>
      <c r="L233" s="1" t="str">
        <f>IFERROR(__xludf.DUMMYFUNCTION("""COMPUTED_VALUE"""),"Centersquare")</f>
        <v>Centersquare</v>
      </c>
      <c r="M233" s="1" t="str">
        <f>IFERROR(__xludf.DUMMYFUNCTION("""COMPUTED_VALUE"""),"")</f>
        <v/>
      </c>
      <c r="N233" s="1" t="str">
        <f>IFERROR(__xludf.DUMMYFUNCTION("""COMPUTED_VALUE"""),"18")</f>
        <v>18</v>
      </c>
      <c r="O233" s="1" t="str">
        <f>IFERROR(__xludf.DUMMYFUNCTION("""COMPUTED_VALUE"""),"Medium (11-50 MW)")</f>
        <v>Medium (11-50 MW)</v>
      </c>
      <c r="P233" s="1" t="str">
        <f>IFERROR(__xludf.DUMMYFUNCTION("""COMPUTED_VALUE"""),"")</f>
        <v/>
      </c>
      <c r="Q233" s="1" t="str">
        <f>IFERROR(__xludf.DUMMYFUNCTION("""COMPUTED_VALUE"""),"")</f>
        <v/>
      </c>
      <c r="R233" s="1" t="str">
        <f>IFERROR(__xludf.DUMMYFUNCTION("""COMPUTED_VALUE"""),"")</f>
        <v/>
      </c>
      <c r="S233" s="1" t="str">
        <f>IFERROR(__xludf.DUMMYFUNCTION("""COMPUTED_VALUE"""),"")</f>
        <v/>
      </c>
      <c r="T233" s="1" t="str">
        <f>IFERROR(__xludf.DUMMYFUNCTION("""COMPUTED_VALUE"""),"")</f>
        <v/>
      </c>
      <c r="U233" s="1" t="str">
        <f>IFERROR(__xludf.DUMMYFUNCTION("""COMPUTED_VALUE"""),"")</f>
        <v/>
      </c>
      <c r="V233" s="1" t="str">
        <f>IFERROR(__xludf.DUMMYFUNCTION("""COMPUTED_VALUE"""),"137,203")</f>
        <v>137,203</v>
      </c>
      <c r="W233" s="1" t="str">
        <f>IFERROR(__xludf.DUMMYFUNCTION("""COMPUTED_VALUE"""),"")</f>
        <v/>
      </c>
      <c r="X233" s="1" t="str">
        <f>IFERROR(__xludf.DUMMYFUNCTION("""COMPUTED_VALUE"""),"")</f>
        <v/>
      </c>
      <c r="Y233" s="1" t="str">
        <f>IFERROR(__xludf.DUMMYFUNCTION("""COMPUTED_VALUE"""),"")</f>
        <v/>
      </c>
      <c r="Z233" s="1" t="str">
        <f>IFERROR(__xludf.DUMMYFUNCTION("""COMPUTED_VALUE"""),"Unknown")</f>
        <v>Unknown</v>
      </c>
      <c r="AA233" s="1" t="str">
        <f>IFERROR(__xludf.DUMMYFUNCTION("""COMPUTED_VALUE"""),"")</f>
        <v/>
      </c>
      <c r="AB233" s="1" t="str">
        <f>IFERROR(__xludf.DUMMYFUNCTION("""COMPUTED_VALUE"""),"")</f>
        <v/>
      </c>
      <c r="AC233" s="1" t="str">
        <f>IFERROR(__xludf.DUMMYFUNCTION("""COMPUTED_VALUE"""),"")</f>
        <v/>
      </c>
      <c r="AD233" s="1" t="str">
        <f>IFERROR(__xludf.DUMMYFUNCTION("""COMPUTED_VALUE"""),"")</f>
        <v/>
      </c>
      <c r="AE233" s="1" t="str">
        <f>IFERROR(__xludf.DUMMYFUNCTION("""COMPUTED_VALUE"""),"")</f>
        <v/>
      </c>
      <c r="AF233" s="1" t="str">
        <f>IFERROR(__xludf.DUMMYFUNCTION("""COMPUTED_VALUE"""),"")</f>
        <v/>
      </c>
      <c r="AG233" s="1" t="str">
        <f>IFERROR(__xludf.DUMMYFUNCTION("""COMPUTED_VALUE"""),"")</f>
        <v/>
      </c>
      <c r="AH233" s="1" t="str">
        <f>IFERROR(__xludf.DUMMYFUNCTION("""COMPUTED_VALUE"""),"Sci4GA")</f>
        <v>Sci4GA</v>
      </c>
      <c r="AI233" s="1" t="str">
        <f>IFERROR(__xludf.DUMMYFUNCTION("""COMPUTED_VALUE"""),"")</f>
        <v/>
      </c>
      <c r="AJ233" s="1" t="str">
        <f>IFERROR(__xludf.DUMMYFUNCTION("""COMPUTED_VALUE"""),"")</f>
        <v/>
      </c>
      <c r="AK233" s="1" t="str">
        <f>IFERROR(__xludf.DUMMYFUNCTION("""COMPUTED_VALUE"""),"")</f>
        <v/>
      </c>
      <c r="AL233" s="1" t="str">
        <f>IFERROR(__xludf.DUMMYFUNCTION("""COMPUTED_VALUE"""),"")</f>
        <v/>
      </c>
      <c r="AM233" s="1" t="str">
        <f>IFERROR(__xludf.DUMMYFUNCTION("""COMPUTED_VALUE"""),"")</f>
        <v/>
      </c>
      <c r="AN233" s="1" t="str">
        <f>IFERROR(__xludf.DUMMYFUNCTION("""COMPUTED_VALUE"""),"")</f>
        <v/>
      </c>
      <c r="AO233" s="1" t="str">
        <f>IFERROR(__xludf.DUMMYFUNCTION("""COMPUTED_VALUE"""),"")</f>
        <v/>
      </c>
      <c r="AP233" s="1" t="str">
        <f>IFERROR(__xludf.DUMMYFUNCTION("""COMPUTED_VALUE"""),"")</f>
        <v/>
      </c>
      <c r="AQ233" s="1" t="str">
        <f>IFERROR(__xludf.DUMMYFUNCTION("""COMPUTED_VALUE"""),"10/16/2025")</f>
        <v>10/16/2025</v>
      </c>
      <c r="AR233" s="1" t="str">
        <f>IFERROR(__xludf.DUMMYFUNCTION("""COMPUTED_VALUE"""),"10/16/2025")</f>
        <v>10/16/2025</v>
      </c>
    </row>
    <row r="234">
      <c r="A234" s="1" t="str">
        <f>IFERROR(__xludf.DUMMYFUNCTION("""COMPUTED_VALUE"""),"DC BLOX Atlanta West Campus")</f>
        <v>DC BLOX Atlanta West Campus</v>
      </c>
      <c r="B234" s="1" t="str">
        <f>IFERROR(__xludf.DUMMYFUNCTION("""COMPUTED_VALUE"""),"1701 North River Road")</f>
        <v>1701 North River Road</v>
      </c>
      <c r="C234" s="1" t="str">
        <f>IFERROR(__xludf.DUMMYFUNCTION("""COMPUTED_VALUE"""),"Lithia Springs")</f>
        <v>Lithia Springs</v>
      </c>
      <c r="D234" s="1" t="str">
        <f>IFERROR(__xludf.DUMMYFUNCTION("""COMPUTED_VALUE"""),"GA")</f>
        <v>GA</v>
      </c>
      <c r="E234" s="1" t="str">
        <f>IFERROR(__xludf.DUMMYFUNCTION("""COMPUTED_VALUE"""),"30122")</f>
        <v>30122</v>
      </c>
      <c r="F234" s="1" t="str">
        <f>IFERROR(__xludf.DUMMYFUNCTION("""COMPUTED_VALUE"""),"Douglas")</f>
        <v>Douglas</v>
      </c>
      <c r="G234" s="1" t="str">
        <f>IFERROR(__xludf.DUMMYFUNCTION("""COMPUTED_VALUE"""),"33.733944")</f>
        <v>33.733944</v>
      </c>
      <c r="H234" s="1" t="str">
        <f>IFERROR(__xludf.DUMMYFUNCTION("""COMPUTED_VALUE"""),"-84.615234")</f>
        <v>-84.615234</v>
      </c>
      <c r="I234" s="1" t="str">
        <f>IFERROR(__xludf.DUMMYFUNCTION("""COMPUTED_VALUE"""),"Operating")</f>
        <v>Operating</v>
      </c>
      <c r="J234" s="1" t="str">
        <f>IFERROR(__xludf.DUMMYFUNCTION("""COMPUTED_VALUE"""),"High")</f>
        <v>High</v>
      </c>
      <c r="K234" s="1" t="str">
        <f>IFERROR(__xludf.DUMMYFUNCTION("""COMPUTED_VALUE"""),"")</f>
        <v/>
      </c>
      <c r="L234" s="1" t="str">
        <f>IFERROR(__xludf.DUMMYFUNCTION("""COMPUTED_VALUE"""),"DC BLOX")</f>
        <v>DC BLOX</v>
      </c>
      <c r="M234" s="1" t="str">
        <f>IFERROR(__xludf.DUMMYFUNCTION("""COMPUTED_VALUE"""),"")</f>
        <v/>
      </c>
      <c r="N234" s="1" t="str">
        <f>IFERROR(__xludf.DUMMYFUNCTION("""COMPUTED_VALUE"""),"120")</f>
        <v>120</v>
      </c>
      <c r="O234" s="1" t="str">
        <f>IFERROR(__xludf.DUMMYFUNCTION("""COMPUTED_VALUE"""),"Hyperscale (100-999 MW)")</f>
        <v>Hyperscale (100-999 MW)</v>
      </c>
      <c r="P234" s="1" t="str">
        <f>IFERROR(__xludf.DUMMYFUNCTION("""COMPUTED_VALUE"""),"")</f>
        <v/>
      </c>
      <c r="Q234" s="1" t="str">
        <f>IFERROR(__xludf.DUMMYFUNCTION("""COMPUTED_VALUE"""),"")</f>
        <v/>
      </c>
      <c r="R234" s="1" t="str">
        <f>IFERROR(__xludf.DUMMYFUNCTION("""COMPUTED_VALUE"""),"")</f>
        <v/>
      </c>
      <c r="S234" s="1" t="str">
        <f>IFERROR(__xludf.DUMMYFUNCTION("""COMPUTED_VALUE"""),"")</f>
        <v/>
      </c>
      <c r="T234" s="1" t="str">
        <f>IFERROR(__xludf.DUMMYFUNCTION("""COMPUTED_VALUE"""),"")</f>
        <v/>
      </c>
      <c r="U234" s="1" t="str">
        <f>IFERROR(__xludf.DUMMYFUNCTION("""COMPUTED_VALUE"""),"")</f>
        <v/>
      </c>
      <c r="V234" s="1" t="str">
        <f>IFERROR(__xludf.DUMMYFUNCTION("""COMPUTED_VALUE"""),"1,250,000")</f>
        <v>1,250,000</v>
      </c>
      <c r="W234" s="1" t="str">
        <f>IFERROR(__xludf.DUMMYFUNCTION("""COMPUTED_VALUE"""),"")</f>
        <v/>
      </c>
      <c r="X234" s="1" t="str">
        <f>IFERROR(__xludf.DUMMYFUNCTION("""COMPUTED_VALUE"""),"")</f>
        <v/>
      </c>
      <c r="Y234" s="1" t="str">
        <f>IFERROR(__xludf.DUMMYFUNCTION("""COMPUTED_VALUE"""),"")</f>
        <v/>
      </c>
      <c r="Z234" s="1" t="str">
        <f>IFERROR(__xludf.DUMMYFUNCTION("""COMPUTED_VALUE"""),"Unknown")</f>
        <v>Unknown</v>
      </c>
      <c r="AA234" s="1" t="str">
        <f>IFERROR(__xludf.DUMMYFUNCTION("""COMPUTED_VALUE"""),"")</f>
        <v/>
      </c>
      <c r="AB234" s="1" t="str">
        <f>IFERROR(__xludf.DUMMYFUNCTION("""COMPUTED_VALUE"""),"")</f>
        <v/>
      </c>
      <c r="AC234" s="1" t="str">
        <f>IFERROR(__xludf.DUMMYFUNCTION("""COMPUTED_VALUE"""),"")</f>
        <v/>
      </c>
      <c r="AD234" s="1" t="str">
        <f>IFERROR(__xludf.DUMMYFUNCTION("""COMPUTED_VALUE"""),"")</f>
        <v/>
      </c>
      <c r="AE234" s="1" t="str">
        <f>IFERROR(__xludf.DUMMYFUNCTION("""COMPUTED_VALUE"""),"")</f>
        <v/>
      </c>
      <c r="AF234" s="1" t="str">
        <f>IFERROR(__xludf.DUMMYFUNCTION("""COMPUTED_VALUE"""),"")</f>
        <v/>
      </c>
      <c r="AG234" s="1" t="str">
        <f>IFERROR(__xludf.DUMMYFUNCTION("""COMPUTED_VALUE"""),"")</f>
        <v/>
      </c>
      <c r="AH234" s="1" t="str">
        <f>IFERROR(__xludf.DUMMYFUNCTION("""COMPUTED_VALUE"""),"Sci4GA")</f>
        <v>Sci4GA</v>
      </c>
      <c r="AI234" s="1" t="str">
        <f>IFERROR(__xludf.DUMMYFUNCTION("""COMPUTED_VALUE"""),"")</f>
        <v/>
      </c>
      <c r="AJ234" s="1" t="str">
        <f>IFERROR(__xludf.DUMMYFUNCTION("""COMPUTED_VALUE"""),"")</f>
        <v/>
      </c>
      <c r="AK234" s="1" t="str">
        <f>IFERROR(__xludf.DUMMYFUNCTION("""COMPUTED_VALUE"""),"")</f>
        <v/>
      </c>
      <c r="AL234" s="1" t="str">
        <f>IFERROR(__xludf.DUMMYFUNCTION("""COMPUTED_VALUE"""),"")</f>
        <v/>
      </c>
      <c r="AM234" s="1" t="str">
        <f>IFERROR(__xludf.DUMMYFUNCTION("""COMPUTED_VALUE"""),"")</f>
        <v/>
      </c>
      <c r="AN234" s="1" t="str">
        <f>IFERROR(__xludf.DUMMYFUNCTION("""COMPUTED_VALUE"""),"")</f>
        <v/>
      </c>
      <c r="AO234" s="1" t="str">
        <f>IFERROR(__xludf.DUMMYFUNCTION("""COMPUTED_VALUE"""),"")</f>
        <v/>
      </c>
      <c r="AP234" s="1" t="str">
        <f>IFERROR(__xludf.DUMMYFUNCTION("""COMPUTED_VALUE"""),"")</f>
        <v/>
      </c>
      <c r="AQ234" s="1" t="str">
        <f>IFERROR(__xludf.DUMMYFUNCTION("""COMPUTED_VALUE"""),"10/16/2025")</f>
        <v>10/16/2025</v>
      </c>
      <c r="AR234" s="1" t="str">
        <f>IFERROR(__xludf.DUMMYFUNCTION("""COMPUTED_VALUE"""),"10/16/2025")</f>
        <v>10/16/2025</v>
      </c>
    </row>
    <row r="235">
      <c r="A235" s="1" t="str">
        <f>IFERROR(__xludf.DUMMYFUNCTION("""COMPUTED_VALUE"""),"Digital Realty Atlanta ATL11 Data Center")</f>
        <v>Digital Realty Atlanta ATL11 Data Center</v>
      </c>
      <c r="B235" s="1" t="str">
        <f>IFERROR(__xludf.DUMMYFUNCTION("""COMPUTED_VALUE"""),"101 Aquila Way")</f>
        <v>101 Aquila Way</v>
      </c>
      <c r="C235" s="1" t="str">
        <f>IFERROR(__xludf.DUMMYFUNCTION("""COMPUTED_VALUE"""),"Lithia Springs")</f>
        <v>Lithia Springs</v>
      </c>
      <c r="D235" s="1" t="str">
        <f>IFERROR(__xludf.DUMMYFUNCTION("""COMPUTED_VALUE"""),"GA")</f>
        <v>GA</v>
      </c>
      <c r="E235" s="1" t="str">
        <f>IFERROR(__xludf.DUMMYFUNCTION("""COMPUTED_VALUE"""),"30122")</f>
        <v>30122</v>
      </c>
      <c r="F235" s="1" t="str">
        <f>IFERROR(__xludf.DUMMYFUNCTION("""COMPUTED_VALUE"""),"Douglas")</f>
        <v>Douglas</v>
      </c>
      <c r="G235" s="1" t="str">
        <f>IFERROR(__xludf.DUMMYFUNCTION("""COMPUTED_VALUE"""),"33.74681")</f>
        <v>33.74681</v>
      </c>
      <c r="H235" s="1" t="str">
        <f>IFERROR(__xludf.DUMMYFUNCTION("""COMPUTED_VALUE"""),"-84.5797")</f>
        <v>-84.5797</v>
      </c>
      <c r="I235" s="1" t="str">
        <f>IFERROR(__xludf.DUMMYFUNCTION("""COMPUTED_VALUE"""),"Operating")</f>
        <v>Operating</v>
      </c>
      <c r="J235" s="1" t="str">
        <f>IFERROR(__xludf.DUMMYFUNCTION("""COMPUTED_VALUE"""),"High")</f>
        <v>High</v>
      </c>
      <c r="K235" s="1" t="str">
        <f>IFERROR(__xludf.DUMMYFUNCTION("""COMPUTED_VALUE"""),"")</f>
        <v/>
      </c>
      <c r="L235" s="1" t="str">
        <f>IFERROR(__xludf.DUMMYFUNCTION("""COMPUTED_VALUE"""),"Digital Realty")</f>
        <v>Digital Realty</v>
      </c>
      <c r="M235" s="1" t="str">
        <f>IFERROR(__xludf.DUMMYFUNCTION("""COMPUTED_VALUE"""),"")</f>
        <v/>
      </c>
      <c r="N235" s="1" t="str">
        <f>IFERROR(__xludf.DUMMYFUNCTION("""COMPUTED_VALUE"""),"")</f>
        <v/>
      </c>
      <c r="O235" s="1" t="str">
        <f>IFERROR(__xludf.DUMMYFUNCTION("""COMPUTED_VALUE"""),"Unknown")</f>
        <v>Unknown</v>
      </c>
      <c r="P235" s="1" t="str">
        <f>IFERROR(__xludf.DUMMYFUNCTION("""COMPUTED_VALUE"""),"")</f>
        <v/>
      </c>
      <c r="Q235" s="1" t="str">
        <f>IFERROR(__xludf.DUMMYFUNCTION("""COMPUTED_VALUE"""),"")</f>
        <v/>
      </c>
      <c r="R235" s="1" t="str">
        <f>IFERROR(__xludf.DUMMYFUNCTION("""COMPUTED_VALUE"""),"")</f>
        <v/>
      </c>
      <c r="S235" s="1" t="str">
        <f>IFERROR(__xludf.DUMMYFUNCTION("""COMPUTED_VALUE"""),"")</f>
        <v/>
      </c>
      <c r="T235" s="1" t="str">
        <f>IFERROR(__xludf.DUMMYFUNCTION("""COMPUTED_VALUE"""),"")</f>
        <v/>
      </c>
      <c r="U235" s="1" t="str">
        <f>IFERROR(__xludf.DUMMYFUNCTION("""COMPUTED_VALUE"""),"")</f>
        <v/>
      </c>
      <c r="V235" s="1" t="str">
        <f>IFERROR(__xludf.DUMMYFUNCTION("""COMPUTED_VALUE"""),"313,000")</f>
        <v>313,000</v>
      </c>
      <c r="W235" s="1" t="str">
        <f>IFERROR(__xludf.DUMMYFUNCTION("""COMPUTED_VALUE"""),"")</f>
        <v/>
      </c>
      <c r="X235" s="1" t="str">
        <f>IFERROR(__xludf.DUMMYFUNCTION("""COMPUTED_VALUE"""),"")</f>
        <v/>
      </c>
      <c r="Y235" s="1" t="str">
        <f>IFERROR(__xludf.DUMMYFUNCTION("""COMPUTED_VALUE"""),"")</f>
        <v/>
      </c>
      <c r="Z235" s="1" t="str">
        <f>IFERROR(__xludf.DUMMYFUNCTION("""COMPUTED_VALUE"""),"Unknown")</f>
        <v>Unknown</v>
      </c>
      <c r="AA235" s="1" t="str">
        <f>IFERROR(__xludf.DUMMYFUNCTION("""COMPUTED_VALUE"""),"")</f>
        <v/>
      </c>
      <c r="AB235" s="1" t="str">
        <f>IFERROR(__xludf.DUMMYFUNCTION("""COMPUTED_VALUE"""),"")</f>
        <v/>
      </c>
      <c r="AC235" s="1" t="str">
        <f>IFERROR(__xludf.DUMMYFUNCTION("""COMPUTED_VALUE"""),"")</f>
        <v/>
      </c>
      <c r="AD235" s="1" t="str">
        <f>IFERROR(__xludf.DUMMYFUNCTION("""COMPUTED_VALUE"""),"")</f>
        <v/>
      </c>
      <c r="AE235" s="1" t="str">
        <f>IFERROR(__xludf.DUMMYFUNCTION("""COMPUTED_VALUE"""),"")</f>
        <v/>
      </c>
      <c r="AF235" s="1" t="str">
        <f>IFERROR(__xludf.DUMMYFUNCTION("""COMPUTED_VALUE"""),"")</f>
        <v/>
      </c>
      <c r="AG235" s="1" t="str">
        <f>IFERROR(__xludf.DUMMYFUNCTION("""COMPUTED_VALUE"""),"")</f>
        <v/>
      </c>
      <c r="AH235" s="1" t="str">
        <f>IFERROR(__xludf.DUMMYFUNCTION("""COMPUTED_VALUE"""),"Media Monitoring")</f>
        <v>Media Monitoring</v>
      </c>
      <c r="AI235" s="2" t="str">
        <f>IFERROR(__xludf.DUMMYFUNCTION("""COMPUTED_VALUE"""),"https://www.datacenterdynamics.com/en/news/digital-realty-files-to-develop-two-building-campus-outside-atlanta-georgia/")</f>
        <v>https://www.datacenterdynamics.com/en/news/digital-realty-files-to-develop-two-building-campus-outside-atlanta-georgia/</v>
      </c>
      <c r="AJ235" s="2" t="str">
        <f>IFERROR(__xludf.DUMMYFUNCTION("""COMPUTED_VALUE"""),"https://go2.digitalrealty.com/rs/087-YZJ-646/images/DS_Digital_Realty_2401_ATL11_Property_Factsheet_EN.pdf?_ga=2.250737478.1597358513.1726764384-1666570387.1726591142")</f>
        <v>https://go2.digitalrealty.com/rs/087-YZJ-646/images/DS_Digital_Realty_2401_ATL11_Property_Factsheet_EN.pdf?_ga=2.250737478.1597358513.1726764384-1666570387.1726591142</v>
      </c>
      <c r="AK235" s="1" t="str">
        <f>IFERROR(__xludf.DUMMYFUNCTION("""COMPUTED_VALUE"""),"")</f>
        <v/>
      </c>
      <c r="AL235" s="1" t="str">
        <f>IFERROR(__xludf.DUMMYFUNCTION("""COMPUTED_VALUE"""),"")</f>
        <v/>
      </c>
      <c r="AM235" s="1" t="str">
        <f>IFERROR(__xludf.DUMMYFUNCTION("""COMPUTED_VALUE"""),"")</f>
        <v/>
      </c>
      <c r="AN235" s="1" t="str">
        <f>IFERROR(__xludf.DUMMYFUNCTION("""COMPUTED_VALUE"""),"")</f>
        <v/>
      </c>
      <c r="AO235" s="1" t="str">
        <f>IFERROR(__xludf.DUMMYFUNCTION("""COMPUTED_VALUE"""),"")</f>
        <v/>
      </c>
      <c r="AP235" s="1" t="str">
        <f>IFERROR(__xludf.DUMMYFUNCTION("""COMPUTED_VALUE"""),"")</f>
        <v/>
      </c>
      <c r="AQ235" s="1" t="str">
        <f>IFERROR(__xludf.DUMMYFUNCTION("""COMPUTED_VALUE"""),"06/05/2025")</f>
        <v>06/05/2025</v>
      </c>
      <c r="AR235" s="1" t="str">
        <f>IFERROR(__xludf.DUMMYFUNCTION("""COMPUTED_VALUE"""),"06/05/2025")</f>
        <v>06/05/2025</v>
      </c>
    </row>
    <row r="236">
      <c r="A236" s="1" t="str">
        <f>IFERROR(__xludf.DUMMYFUNCTION("""COMPUTED_VALUE"""),"Lithia Springs Google Data Center")</f>
        <v>Lithia Springs Google Data Center</v>
      </c>
      <c r="B236" s="1" t="str">
        <f>IFERROR(__xludf.DUMMYFUNCTION("""COMPUTED_VALUE"""),"300 Riverside Parkway")</f>
        <v>300 Riverside Parkway</v>
      </c>
      <c r="C236" s="1" t="str">
        <f>IFERROR(__xludf.DUMMYFUNCTION("""COMPUTED_VALUE"""),"Lithia Springs")</f>
        <v>Lithia Springs</v>
      </c>
      <c r="D236" s="1" t="str">
        <f>IFERROR(__xludf.DUMMYFUNCTION("""COMPUTED_VALUE"""),"GA")</f>
        <v>GA</v>
      </c>
      <c r="E236" s="1" t="str">
        <f>IFERROR(__xludf.DUMMYFUNCTION("""COMPUTED_VALUE"""),"30122")</f>
        <v>30122</v>
      </c>
      <c r="F236" s="1" t="str">
        <f>IFERROR(__xludf.DUMMYFUNCTION("""COMPUTED_VALUE"""),"Douglas")</f>
        <v>Douglas</v>
      </c>
      <c r="G236" s="1" t="str">
        <f>IFERROR(__xludf.DUMMYFUNCTION("""COMPUTED_VALUE"""),"33.749466")</f>
        <v>33.749466</v>
      </c>
      <c r="H236" s="1" t="str">
        <f>IFERROR(__xludf.DUMMYFUNCTION("""COMPUTED_VALUE"""),"-84.584785")</f>
        <v>-84.584785</v>
      </c>
      <c r="I236" s="1" t="str">
        <f>IFERROR(__xludf.DUMMYFUNCTION("""COMPUTED_VALUE"""),"Operating")</f>
        <v>Operating</v>
      </c>
      <c r="J236" s="1" t="str">
        <f>IFERROR(__xludf.DUMMYFUNCTION("""COMPUTED_VALUE"""),"High")</f>
        <v>High</v>
      </c>
      <c r="K236" s="1" t="str">
        <f>IFERROR(__xludf.DUMMYFUNCTION("""COMPUTED_VALUE"""),"")</f>
        <v/>
      </c>
      <c r="L236" s="1" t="str">
        <f>IFERROR(__xludf.DUMMYFUNCTION("""COMPUTED_VALUE"""),"Google")</f>
        <v>Google</v>
      </c>
      <c r="M236" s="1" t="str">
        <f>IFERROR(__xludf.DUMMYFUNCTION("""COMPUTED_VALUE"""),"")</f>
        <v/>
      </c>
      <c r="N236" s="1" t="str">
        <f>IFERROR(__xludf.DUMMYFUNCTION("""COMPUTED_VALUE"""),"78")</f>
        <v>78</v>
      </c>
      <c r="O236" s="1" t="str">
        <f>IFERROR(__xludf.DUMMYFUNCTION("""COMPUTED_VALUE"""),"Large (51-99 MW)")</f>
        <v>Large (51-99 MW)</v>
      </c>
      <c r="P236" s="1" t="str">
        <f>IFERROR(__xludf.DUMMYFUNCTION("""COMPUTED_VALUE"""),"")</f>
        <v/>
      </c>
      <c r="Q236" s="1" t="str">
        <f>IFERROR(__xludf.DUMMYFUNCTION("""COMPUTED_VALUE"""),"")</f>
        <v/>
      </c>
      <c r="R236" s="1" t="str">
        <f>IFERROR(__xludf.DUMMYFUNCTION("""COMPUTED_VALUE"""),"")</f>
        <v/>
      </c>
      <c r="S236" s="1" t="str">
        <f>IFERROR(__xludf.DUMMYFUNCTION("""COMPUTED_VALUE"""),"")</f>
        <v/>
      </c>
      <c r="T236" s="1" t="str">
        <f>IFERROR(__xludf.DUMMYFUNCTION("""COMPUTED_VALUE"""),"")</f>
        <v/>
      </c>
      <c r="U236" s="1" t="str">
        <f>IFERROR(__xludf.DUMMYFUNCTION("""COMPUTED_VALUE"""),"")</f>
        <v/>
      </c>
      <c r="V236" s="1" t="str">
        <f>IFERROR(__xludf.DUMMYFUNCTION("""COMPUTED_VALUE"""),"1,300,000")</f>
        <v>1,300,000</v>
      </c>
      <c r="W236" s="1" t="str">
        <f>IFERROR(__xludf.DUMMYFUNCTION("""COMPUTED_VALUE"""),"")</f>
        <v/>
      </c>
      <c r="X236" s="1" t="str">
        <f>IFERROR(__xludf.DUMMYFUNCTION("""COMPUTED_VALUE"""),"")</f>
        <v/>
      </c>
      <c r="Y236" s="1" t="str">
        <f>IFERROR(__xludf.DUMMYFUNCTION("""COMPUTED_VALUE"""),"")</f>
        <v/>
      </c>
      <c r="Z236" s="1" t="str">
        <f>IFERROR(__xludf.DUMMYFUNCTION("""COMPUTED_VALUE"""),"Unknown")</f>
        <v>Unknown</v>
      </c>
      <c r="AA236" s="1" t="str">
        <f>IFERROR(__xludf.DUMMYFUNCTION("""COMPUTED_VALUE"""),"")</f>
        <v/>
      </c>
      <c r="AB236" s="1" t="str">
        <f>IFERROR(__xludf.DUMMYFUNCTION("""COMPUTED_VALUE"""),"")</f>
        <v/>
      </c>
      <c r="AC236" s="1" t="str">
        <f>IFERROR(__xludf.DUMMYFUNCTION("""COMPUTED_VALUE"""),"")</f>
        <v/>
      </c>
      <c r="AD236" s="1" t="str">
        <f>IFERROR(__xludf.DUMMYFUNCTION("""COMPUTED_VALUE"""),"")</f>
        <v/>
      </c>
      <c r="AE236" s="1" t="str">
        <f>IFERROR(__xludf.DUMMYFUNCTION("""COMPUTED_VALUE"""),"")</f>
        <v/>
      </c>
      <c r="AF236" s="1" t="str">
        <f>IFERROR(__xludf.DUMMYFUNCTION("""COMPUTED_VALUE"""),"")</f>
        <v/>
      </c>
      <c r="AG236" s="1" t="str">
        <f>IFERROR(__xludf.DUMMYFUNCTION("""COMPUTED_VALUE"""),"")</f>
        <v/>
      </c>
      <c r="AH236" s="1" t="str">
        <f>IFERROR(__xludf.DUMMYFUNCTION("""COMPUTED_VALUE"""),"Sci4GA")</f>
        <v>Sci4GA</v>
      </c>
      <c r="AI236" s="2" t="str">
        <f>IFERROR(__xludf.DUMMYFUNCTION("""COMPUTED_VALUE"""),"https://baxtel.com/data-center/google-douglas-county-georgia")</f>
        <v>https://baxtel.com/data-center/google-douglas-county-georgia</v>
      </c>
      <c r="AJ236" s="1" t="str">
        <f>IFERROR(__xludf.DUMMYFUNCTION("""COMPUTED_VALUE"""),"")</f>
        <v/>
      </c>
      <c r="AK236" s="1" t="str">
        <f>IFERROR(__xludf.DUMMYFUNCTION("""COMPUTED_VALUE"""),"")</f>
        <v/>
      </c>
      <c r="AL236" s="1" t="str">
        <f>IFERROR(__xludf.DUMMYFUNCTION("""COMPUTED_VALUE"""),"")</f>
        <v/>
      </c>
      <c r="AM236" s="1" t="str">
        <f>IFERROR(__xludf.DUMMYFUNCTION("""COMPUTED_VALUE"""),"")</f>
        <v/>
      </c>
      <c r="AN236" s="1" t="str">
        <f>IFERROR(__xludf.DUMMYFUNCTION("""COMPUTED_VALUE"""),"")</f>
        <v/>
      </c>
      <c r="AO236" s="1" t="str">
        <f>IFERROR(__xludf.DUMMYFUNCTION("""COMPUTED_VALUE"""),"")</f>
        <v/>
      </c>
      <c r="AP236" s="1" t="str">
        <f>IFERROR(__xludf.DUMMYFUNCTION("""COMPUTED_VALUE"""),"")</f>
        <v/>
      </c>
      <c r="AQ236" s="1" t="str">
        <f>IFERROR(__xludf.DUMMYFUNCTION("""COMPUTED_VALUE"""),"10/16/2025")</f>
        <v>10/16/2025</v>
      </c>
      <c r="AR236" s="1" t="str">
        <f>IFERROR(__xludf.DUMMYFUNCTION("""COMPUTED_VALUE"""),"10/16/2025")</f>
        <v>10/16/2025</v>
      </c>
    </row>
    <row r="237">
      <c r="A237" s="1" t="str">
        <f>IFERROR(__xludf.DUMMYFUNCTION("""COMPUTED_VALUE"""),"Microsoft: FTY101")</f>
        <v>Microsoft: FTY101</v>
      </c>
      <c r="B237" s="1" t="str">
        <f>IFERROR(__xludf.DUMMYFUNCTION("""COMPUTED_VALUE"""),"1601 N River Rd")</f>
        <v>1601 N River Rd</v>
      </c>
      <c r="C237" s="1" t="str">
        <f>IFERROR(__xludf.DUMMYFUNCTION("""COMPUTED_VALUE"""),"Lithia Springs")</f>
        <v>Lithia Springs</v>
      </c>
      <c r="D237" s="1" t="str">
        <f>IFERROR(__xludf.DUMMYFUNCTION("""COMPUTED_VALUE"""),"GA")</f>
        <v>GA</v>
      </c>
      <c r="E237" s="1" t="str">
        <f>IFERROR(__xludf.DUMMYFUNCTION("""COMPUTED_VALUE"""),"30122")</f>
        <v>30122</v>
      </c>
      <c r="F237" s="1" t="str">
        <f>IFERROR(__xludf.DUMMYFUNCTION("""COMPUTED_VALUE"""),"Douglas")</f>
        <v>Douglas</v>
      </c>
      <c r="G237" s="1" t="str">
        <f>IFERROR(__xludf.DUMMYFUNCTION("""COMPUTED_VALUE"""),"33.7318")</f>
        <v>33.7318</v>
      </c>
      <c r="H237" s="1" t="str">
        <f>IFERROR(__xludf.DUMMYFUNCTION("""COMPUTED_VALUE"""),"-84.6192")</f>
        <v>-84.6192</v>
      </c>
      <c r="I237" s="1" t="str">
        <f>IFERROR(__xludf.DUMMYFUNCTION("""COMPUTED_VALUE"""),"Proposed")</f>
        <v>Proposed</v>
      </c>
      <c r="J237" s="1" t="str">
        <f>IFERROR(__xludf.DUMMYFUNCTION("""COMPUTED_VALUE"""),"High")</f>
        <v>High</v>
      </c>
      <c r="K237" s="1" t="str">
        <f>IFERROR(__xludf.DUMMYFUNCTION("""COMPUTED_VALUE"""),"")</f>
        <v/>
      </c>
      <c r="L237" s="1" t="str">
        <f>IFERROR(__xludf.DUMMYFUNCTION("""COMPUTED_VALUE"""),"Microsoft")</f>
        <v>Microsoft</v>
      </c>
      <c r="M237" s="1" t="str">
        <f>IFERROR(__xludf.DUMMYFUNCTION("""COMPUTED_VALUE"""),"")</f>
        <v/>
      </c>
      <c r="N237" s="1" t="str">
        <f>IFERROR(__xludf.DUMMYFUNCTION("""COMPUTED_VALUE"""),"")</f>
        <v/>
      </c>
      <c r="O237" s="1" t="str">
        <f>IFERROR(__xludf.DUMMYFUNCTION("""COMPUTED_VALUE"""),"Unknown")</f>
        <v>Unknown</v>
      </c>
      <c r="P237" s="1" t="str">
        <f>IFERROR(__xludf.DUMMYFUNCTION("""COMPUTED_VALUE"""),"")</f>
        <v/>
      </c>
      <c r="Q237" s="1" t="str">
        <f>IFERROR(__xludf.DUMMYFUNCTION("""COMPUTED_VALUE"""),"")</f>
        <v/>
      </c>
      <c r="R237" s="1" t="str">
        <f>IFERROR(__xludf.DUMMYFUNCTION("""COMPUTED_VALUE"""),"")</f>
        <v/>
      </c>
      <c r="S237" s="1" t="str">
        <f>IFERROR(__xludf.DUMMYFUNCTION("""COMPUTED_VALUE"""),"")</f>
        <v/>
      </c>
      <c r="T237" s="1" t="str">
        <f>IFERROR(__xludf.DUMMYFUNCTION("""COMPUTED_VALUE"""),"")</f>
        <v/>
      </c>
      <c r="U237" s="1" t="str">
        <f>IFERROR(__xludf.DUMMYFUNCTION("""COMPUTED_VALUE"""),"")</f>
        <v/>
      </c>
      <c r="V237" s="1" t="str">
        <f>IFERROR(__xludf.DUMMYFUNCTION("""COMPUTED_VALUE"""),"1,000,000")</f>
        <v>1,000,000</v>
      </c>
      <c r="W237" s="1" t="str">
        <f>IFERROR(__xludf.DUMMYFUNCTION("""COMPUTED_VALUE"""),"160")</f>
        <v>160</v>
      </c>
      <c r="X237" s="1" t="str">
        <f>IFERROR(__xludf.DUMMYFUNCTION("""COMPUTED_VALUE"""),"")</f>
        <v/>
      </c>
      <c r="Y237" s="1" t="str">
        <f>IFERROR(__xludf.DUMMYFUNCTION("""COMPUTED_VALUE"""),"")</f>
        <v/>
      </c>
      <c r="Z237" s="1" t="str">
        <f>IFERROR(__xludf.DUMMYFUNCTION("""COMPUTED_VALUE"""),"Unknown")</f>
        <v>Unknown</v>
      </c>
      <c r="AA237" s="1" t="str">
        <f>IFERROR(__xludf.DUMMYFUNCTION("""COMPUTED_VALUE"""),"")</f>
        <v/>
      </c>
      <c r="AB237" s="1" t="str">
        <f>IFERROR(__xludf.DUMMYFUNCTION("""COMPUTED_VALUE"""),"")</f>
        <v/>
      </c>
      <c r="AC237" s="1" t="str">
        <f>IFERROR(__xludf.DUMMYFUNCTION("""COMPUTED_VALUE"""),"")</f>
        <v/>
      </c>
      <c r="AD237" s="1" t="str">
        <f>IFERROR(__xludf.DUMMYFUNCTION("""COMPUTED_VALUE"""),"")</f>
        <v/>
      </c>
      <c r="AE237" s="1" t="str">
        <f>IFERROR(__xludf.DUMMYFUNCTION("""COMPUTED_VALUE"""),"")</f>
        <v/>
      </c>
      <c r="AF237" s="1" t="str">
        <f>IFERROR(__xludf.DUMMYFUNCTION("""COMPUTED_VALUE"""),"")</f>
        <v/>
      </c>
      <c r="AG237" s="1" t="str">
        <f>IFERROR(__xludf.DUMMYFUNCTION("""COMPUTED_VALUE"""),"")</f>
        <v/>
      </c>
      <c r="AH237" s="1" t="str">
        <f>IFERROR(__xludf.DUMMYFUNCTION("""COMPUTED_VALUE"""),"Media Monitoring")</f>
        <v>Media Monitoring</v>
      </c>
      <c r="AI237" s="2" t="str">
        <f>IFERROR(__xludf.DUMMYFUNCTION("""COMPUTED_VALUE"""),"https://www.datacenterdynamics.com/en/news/microsoft-aiming-to-build-1-million-sq-ft-data-center-in-douglasville-ga-for-east-us-3/")</f>
        <v>https://www.datacenterdynamics.com/en/news/microsoft-aiming-to-build-1-million-sq-ft-data-center-in-douglasville-ga-for-east-us-3/</v>
      </c>
      <c r="AJ237" s="1" t="str">
        <f>IFERROR(__xludf.DUMMYFUNCTION("""COMPUTED_VALUE"""),"")</f>
        <v/>
      </c>
      <c r="AK237" s="1" t="str">
        <f>IFERROR(__xludf.DUMMYFUNCTION("""COMPUTED_VALUE"""),"")</f>
        <v/>
      </c>
      <c r="AL237" s="1" t="str">
        <f>IFERROR(__xludf.DUMMYFUNCTION("""COMPUTED_VALUE"""),"")</f>
        <v/>
      </c>
      <c r="AM237" s="1" t="str">
        <f>IFERROR(__xludf.DUMMYFUNCTION("""COMPUTED_VALUE"""),"")</f>
        <v/>
      </c>
      <c r="AN237" s="1" t="str">
        <f>IFERROR(__xludf.DUMMYFUNCTION("""COMPUTED_VALUE"""),"")</f>
        <v/>
      </c>
      <c r="AO237" s="1" t="str">
        <f>IFERROR(__xludf.DUMMYFUNCTION("""COMPUTED_VALUE"""),"")</f>
        <v/>
      </c>
      <c r="AP237" s="1" t="str">
        <f>IFERROR(__xludf.DUMMYFUNCTION("""COMPUTED_VALUE"""),"")</f>
        <v/>
      </c>
      <c r="AQ237" s="1" t="str">
        <f>IFERROR(__xludf.DUMMYFUNCTION("""COMPUTED_VALUE"""),"06/25/2025")</f>
        <v>06/25/2025</v>
      </c>
      <c r="AR237" s="1" t="str">
        <f>IFERROR(__xludf.DUMMYFUNCTION("""COMPUTED_VALUE"""),"06/25/2025")</f>
        <v>06/25/2025</v>
      </c>
    </row>
    <row r="238">
      <c r="A238" s="1" t="str">
        <f>IFERROR(__xludf.DUMMYFUNCTION("""COMPUTED_VALUE"""),"PWC Lithia Springs")</f>
        <v>PWC Lithia Springs</v>
      </c>
      <c r="B238" s="1" t="str">
        <f>IFERROR(__xludf.DUMMYFUNCTION("""COMPUTED_VALUE"""),"2480 Rock House Rd")</f>
        <v>2480 Rock House Rd</v>
      </c>
      <c r="C238" s="1" t="str">
        <f>IFERROR(__xludf.DUMMYFUNCTION("""COMPUTED_VALUE"""),"Lithia Springs")</f>
        <v>Lithia Springs</v>
      </c>
      <c r="D238" s="1" t="str">
        <f>IFERROR(__xludf.DUMMYFUNCTION("""COMPUTED_VALUE"""),"GA")</f>
        <v>GA</v>
      </c>
      <c r="E238" s="1" t="str">
        <f>IFERROR(__xludf.DUMMYFUNCTION("""COMPUTED_VALUE"""),"30122")</f>
        <v>30122</v>
      </c>
      <c r="F238" s="1" t="str">
        <f>IFERROR(__xludf.DUMMYFUNCTION("""COMPUTED_VALUE"""),"Douglas")</f>
        <v>Douglas</v>
      </c>
      <c r="G238" s="1" t="str">
        <f>IFERROR(__xludf.DUMMYFUNCTION("""COMPUTED_VALUE"""),"33.74222")</f>
        <v>33.74222</v>
      </c>
      <c r="H238" s="1" t="str">
        <f>IFERROR(__xludf.DUMMYFUNCTION("""COMPUTED_VALUE"""),"-84.59638")</f>
        <v>-84.59638</v>
      </c>
      <c r="I238" s="1" t="str">
        <f>IFERROR(__xludf.DUMMYFUNCTION("""COMPUTED_VALUE"""),"Operating")</f>
        <v>Operating</v>
      </c>
      <c r="J238" s="1" t="str">
        <f>IFERROR(__xludf.DUMMYFUNCTION("""COMPUTED_VALUE"""),"High")</f>
        <v>High</v>
      </c>
      <c r="K238" s="1" t="str">
        <f>IFERROR(__xludf.DUMMYFUNCTION("""COMPUTED_VALUE"""),"")</f>
        <v/>
      </c>
      <c r="L238" s="1" t="str">
        <f>IFERROR(__xludf.DUMMYFUNCTION("""COMPUTED_VALUE"""),"PricewaterhouseCoopers")</f>
        <v>PricewaterhouseCoopers</v>
      </c>
      <c r="M238" s="1" t="str">
        <f>IFERROR(__xludf.DUMMYFUNCTION("""COMPUTED_VALUE"""),"")</f>
        <v/>
      </c>
      <c r="N238" s="1" t="str">
        <f>IFERROR(__xludf.DUMMYFUNCTION("""COMPUTED_VALUE"""),"")</f>
        <v/>
      </c>
      <c r="O238" s="1" t="str">
        <f>IFERROR(__xludf.DUMMYFUNCTION("""COMPUTED_VALUE"""),"Unknown")</f>
        <v>Unknown</v>
      </c>
      <c r="P238" s="1" t="str">
        <f>IFERROR(__xludf.DUMMYFUNCTION("""COMPUTED_VALUE"""),"")</f>
        <v/>
      </c>
      <c r="Q238" s="1" t="str">
        <f>IFERROR(__xludf.DUMMYFUNCTION("""COMPUTED_VALUE"""),"")</f>
        <v/>
      </c>
      <c r="R238" s="1" t="str">
        <f>IFERROR(__xludf.DUMMYFUNCTION("""COMPUTED_VALUE"""),"")</f>
        <v/>
      </c>
      <c r="S238" s="1" t="str">
        <f>IFERROR(__xludf.DUMMYFUNCTION("""COMPUTED_VALUE"""),"")</f>
        <v/>
      </c>
      <c r="T238" s="1" t="str">
        <f>IFERROR(__xludf.DUMMYFUNCTION("""COMPUTED_VALUE"""),"")</f>
        <v/>
      </c>
      <c r="U238" s="1" t="str">
        <f>IFERROR(__xludf.DUMMYFUNCTION("""COMPUTED_VALUE"""),"")</f>
        <v/>
      </c>
      <c r="V238" s="1" t="str">
        <f>IFERROR(__xludf.DUMMYFUNCTION("""COMPUTED_VALUE"""),"")</f>
        <v/>
      </c>
      <c r="W238" s="1" t="str">
        <f>IFERROR(__xludf.DUMMYFUNCTION("""COMPUTED_VALUE"""),"")</f>
        <v/>
      </c>
      <c r="X238" s="1" t="str">
        <f>IFERROR(__xludf.DUMMYFUNCTION("""COMPUTED_VALUE"""),"")</f>
        <v/>
      </c>
      <c r="Y238" s="1" t="str">
        <f>IFERROR(__xludf.DUMMYFUNCTION("""COMPUTED_VALUE"""),"")</f>
        <v/>
      </c>
      <c r="Z238" s="1" t="str">
        <f>IFERROR(__xludf.DUMMYFUNCTION("""COMPUTED_VALUE"""),"Unknown")</f>
        <v>Unknown</v>
      </c>
      <c r="AA238" s="1" t="str">
        <f>IFERROR(__xludf.DUMMYFUNCTION("""COMPUTED_VALUE"""),"")</f>
        <v/>
      </c>
      <c r="AB238" s="1" t="str">
        <f>IFERROR(__xludf.DUMMYFUNCTION("""COMPUTED_VALUE"""),"")</f>
        <v/>
      </c>
      <c r="AC238" s="1" t="str">
        <f>IFERROR(__xludf.DUMMYFUNCTION("""COMPUTED_VALUE"""),"")</f>
        <v/>
      </c>
      <c r="AD238" s="1" t="str">
        <f>IFERROR(__xludf.DUMMYFUNCTION("""COMPUTED_VALUE"""),"")</f>
        <v/>
      </c>
      <c r="AE238" s="1" t="str">
        <f>IFERROR(__xludf.DUMMYFUNCTION("""COMPUTED_VALUE"""),"")</f>
        <v/>
      </c>
      <c r="AF238" s="1" t="str">
        <f>IFERROR(__xludf.DUMMYFUNCTION("""COMPUTED_VALUE"""),"")</f>
        <v/>
      </c>
      <c r="AG238" s="1" t="str">
        <f>IFERROR(__xludf.DUMMYFUNCTION("""COMPUTED_VALUE"""),"")</f>
        <v/>
      </c>
      <c r="AH238" s="1" t="str">
        <f>IFERROR(__xludf.DUMMYFUNCTION("""COMPUTED_VALUE"""),"Sci4GA")</f>
        <v>Sci4GA</v>
      </c>
      <c r="AI238" s="2" t="str">
        <f>IFERROR(__xludf.DUMMYFUNCTION("""COMPUTED_VALUE"""),"https://baxtel.com/data-center/pwc-lithia-springs")</f>
        <v>https://baxtel.com/data-center/pwc-lithia-springs</v>
      </c>
      <c r="AJ238" s="1" t="str">
        <f>IFERROR(__xludf.DUMMYFUNCTION("""COMPUTED_VALUE"""),"")</f>
        <v/>
      </c>
      <c r="AK238" s="1" t="str">
        <f>IFERROR(__xludf.DUMMYFUNCTION("""COMPUTED_VALUE"""),"")</f>
        <v/>
      </c>
      <c r="AL238" s="1" t="str">
        <f>IFERROR(__xludf.DUMMYFUNCTION("""COMPUTED_VALUE"""),"")</f>
        <v/>
      </c>
      <c r="AM238" s="1" t="str">
        <f>IFERROR(__xludf.DUMMYFUNCTION("""COMPUTED_VALUE"""),"")</f>
        <v/>
      </c>
      <c r="AN238" s="1" t="str">
        <f>IFERROR(__xludf.DUMMYFUNCTION("""COMPUTED_VALUE"""),"")</f>
        <v/>
      </c>
      <c r="AO238" s="1" t="str">
        <f>IFERROR(__xludf.DUMMYFUNCTION("""COMPUTED_VALUE"""),"")</f>
        <v/>
      </c>
      <c r="AP238" s="1" t="str">
        <f>IFERROR(__xludf.DUMMYFUNCTION("""COMPUTED_VALUE"""),"")</f>
        <v/>
      </c>
      <c r="AQ238" s="1" t="str">
        <f>IFERROR(__xludf.DUMMYFUNCTION("""COMPUTED_VALUE"""),"10/16/2025")</f>
        <v>10/16/2025</v>
      </c>
      <c r="AR238" s="1" t="str">
        <f>IFERROR(__xludf.DUMMYFUNCTION("""COMPUTED_VALUE"""),"10/16/2025")</f>
        <v>10/16/2025</v>
      </c>
    </row>
    <row r="239">
      <c r="A239" s="1" t="str">
        <f>IFERROR(__xludf.DUMMYFUNCTION("""COMPUTED_VALUE"""),"Rock House Road Data Center")</f>
        <v>Rock House Road Data Center</v>
      </c>
      <c r="B239" s="1" t="str">
        <f>IFERROR(__xludf.DUMMYFUNCTION("""COMPUTED_VALUE"""),"1971 Rock House Rd")</f>
        <v>1971 Rock House Rd</v>
      </c>
      <c r="C239" s="1" t="str">
        <f>IFERROR(__xludf.DUMMYFUNCTION("""COMPUTED_VALUE"""),"Lithia Springs")</f>
        <v>Lithia Springs</v>
      </c>
      <c r="D239" s="1" t="str">
        <f>IFERROR(__xludf.DUMMYFUNCTION("""COMPUTED_VALUE"""),"GA")</f>
        <v>GA</v>
      </c>
      <c r="E239" s="1" t="str">
        <f>IFERROR(__xludf.DUMMYFUNCTION("""COMPUTED_VALUE"""),"30122")</f>
        <v>30122</v>
      </c>
      <c r="F239" s="1" t="str">
        <f>IFERROR(__xludf.DUMMYFUNCTION("""COMPUTED_VALUE"""),"Douglas")</f>
        <v>Douglas</v>
      </c>
      <c r="G239" s="1" t="str">
        <f>IFERROR(__xludf.DUMMYFUNCTION("""COMPUTED_VALUE"""),"33.749")</f>
        <v>33.749</v>
      </c>
      <c r="H239" s="1" t="str">
        <f>IFERROR(__xludf.DUMMYFUNCTION("""COMPUTED_VALUE"""),"-84.6093")</f>
        <v>-84.6093</v>
      </c>
      <c r="I239" s="1" t="str">
        <f>IFERROR(__xludf.DUMMYFUNCTION("""COMPUTED_VALUE"""),"Proposed")</f>
        <v>Proposed</v>
      </c>
      <c r="J239" s="1" t="str">
        <f>IFERROR(__xludf.DUMMYFUNCTION("""COMPUTED_VALUE"""),"High")</f>
        <v>High</v>
      </c>
      <c r="K239" s="1" t="str">
        <f>IFERROR(__xludf.DUMMYFUNCTION("""COMPUTED_VALUE"""),"")</f>
        <v/>
      </c>
      <c r="L239" s="1" t="str">
        <f>IFERROR(__xludf.DUMMYFUNCTION("""COMPUTED_VALUE"""),"Amazon")</f>
        <v>Amazon</v>
      </c>
      <c r="M239" s="1" t="str">
        <f>IFERROR(__xludf.DUMMYFUNCTION("""COMPUTED_VALUE"""),"")</f>
        <v/>
      </c>
      <c r="N239" s="1" t="str">
        <f>IFERROR(__xludf.DUMMYFUNCTION("""COMPUTED_VALUE"""),"")</f>
        <v/>
      </c>
      <c r="O239" s="1" t="str">
        <f>IFERROR(__xludf.DUMMYFUNCTION("""COMPUTED_VALUE"""),"Unknown")</f>
        <v>Unknown</v>
      </c>
      <c r="P239" s="1" t="str">
        <f>IFERROR(__xludf.DUMMYFUNCTION("""COMPUTED_VALUE"""),"")</f>
        <v/>
      </c>
      <c r="Q239" s="1" t="str">
        <f>IFERROR(__xludf.DUMMYFUNCTION("""COMPUTED_VALUE"""),"")</f>
        <v/>
      </c>
      <c r="R239" s="1" t="str">
        <f>IFERROR(__xludf.DUMMYFUNCTION("""COMPUTED_VALUE"""),"")</f>
        <v/>
      </c>
      <c r="S239" s="1" t="str">
        <f>IFERROR(__xludf.DUMMYFUNCTION("""COMPUTED_VALUE"""),"")</f>
        <v/>
      </c>
      <c r="T239" s="1" t="str">
        <f>IFERROR(__xludf.DUMMYFUNCTION("""COMPUTED_VALUE"""),"")</f>
        <v/>
      </c>
      <c r="U239" s="1" t="str">
        <f>IFERROR(__xludf.DUMMYFUNCTION("""COMPUTED_VALUE"""),"")</f>
        <v/>
      </c>
      <c r="V239" s="1" t="str">
        <f>IFERROR(__xludf.DUMMYFUNCTION("""COMPUTED_VALUE"""),"1,465,000")</f>
        <v>1,465,000</v>
      </c>
      <c r="W239" s="1" t="str">
        <f>IFERROR(__xludf.DUMMYFUNCTION("""COMPUTED_VALUE"""),"")</f>
        <v/>
      </c>
      <c r="X239" s="1" t="str">
        <f>IFERROR(__xludf.DUMMYFUNCTION("""COMPUTED_VALUE"""),"")</f>
        <v/>
      </c>
      <c r="Y239" s="1" t="str">
        <f>IFERROR(__xludf.DUMMYFUNCTION("""COMPUTED_VALUE"""),"")</f>
        <v/>
      </c>
      <c r="Z239" s="1" t="str">
        <f>IFERROR(__xludf.DUMMYFUNCTION("""COMPUTED_VALUE"""),"Unknown")</f>
        <v>Unknown</v>
      </c>
      <c r="AA239" s="1" t="str">
        <f>IFERROR(__xludf.DUMMYFUNCTION("""COMPUTED_VALUE"""),"")</f>
        <v/>
      </c>
      <c r="AB239" s="1" t="str">
        <f>IFERROR(__xludf.DUMMYFUNCTION("""COMPUTED_VALUE"""),"")</f>
        <v/>
      </c>
      <c r="AC239" s="1" t="str">
        <f>IFERROR(__xludf.DUMMYFUNCTION("""COMPUTED_VALUE"""),"")</f>
        <v/>
      </c>
      <c r="AD239" s="1" t="str">
        <f>IFERROR(__xludf.DUMMYFUNCTION("""COMPUTED_VALUE"""),"")</f>
        <v/>
      </c>
      <c r="AE239" s="1" t="str">
        <f>IFERROR(__xludf.DUMMYFUNCTION("""COMPUTED_VALUE"""),"")</f>
        <v/>
      </c>
      <c r="AF239" s="1" t="str">
        <f>IFERROR(__xludf.DUMMYFUNCTION("""COMPUTED_VALUE"""),"")</f>
        <v/>
      </c>
      <c r="AG239" s="1" t="str">
        <f>IFERROR(__xludf.DUMMYFUNCTION("""COMPUTED_VALUE"""),"")</f>
        <v/>
      </c>
      <c r="AH239" s="1" t="str">
        <f>IFERROR(__xludf.DUMMYFUNCTION("""COMPUTED_VALUE"""),"Media Monitoring")</f>
        <v>Media Monitoring</v>
      </c>
      <c r="AI239" s="2" t="str">
        <f>IFERROR(__xludf.DUMMYFUNCTION("""COMPUTED_VALUE"""),"https://www.datacenterdynamics.com/en/news/t5-requests-permission-for-3-million-sq-ft-campus-outside-atlanta-georgia/")</f>
        <v>https://www.datacenterdynamics.com/en/news/t5-requests-permission-for-3-million-sq-ft-campus-outside-atlanta-georgia/</v>
      </c>
      <c r="AJ239" s="2" t="str">
        <f>IFERROR(__xludf.DUMMYFUNCTION("""COMPUTED_VALUE"""),"https://apps.dca.ga.gov/DRI/AppSummary.aspx?driid=4078")</f>
        <v>https://apps.dca.ga.gov/DRI/AppSummary.aspx?driid=4078</v>
      </c>
      <c r="AK239" s="1" t="str">
        <f>IFERROR(__xludf.DUMMYFUNCTION("""COMPUTED_VALUE"""),"")</f>
        <v/>
      </c>
      <c r="AL239" s="1" t="str">
        <f>IFERROR(__xludf.DUMMYFUNCTION("""COMPUTED_VALUE"""),"")</f>
        <v/>
      </c>
      <c r="AM239" s="1" t="str">
        <f>IFERROR(__xludf.DUMMYFUNCTION("""COMPUTED_VALUE"""),"")</f>
        <v/>
      </c>
      <c r="AN239" s="1" t="str">
        <f>IFERROR(__xludf.DUMMYFUNCTION("""COMPUTED_VALUE"""),"")</f>
        <v/>
      </c>
      <c r="AO239" s="1" t="str">
        <f>IFERROR(__xludf.DUMMYFUNCTION("""COMPUTED_VALUE"""),"")</f>
        <v/>
      </c>
      <c r="AP239" s="1" t="str">
        <f>IFERROR(__xludf.DUMMYFUNCTION("""COMPUTED_VALUE"""),"")</f>
        <v/>
      </c>
      <c r="AQ239" s="1" t="str">
        <f>IFERROR(__xludf.DUMMYFUNCTION("""COMPUTED_VALUE"""),"06/24/2025")</f>
        <v>06/24/2025</v>
      </c>
      <c r="AR239" s="1" t="str">
        <f>IFERROR(__xludf.DUMMYFUNCTION("""COMPUTED_VALUE"""),"06/24/2025")</f>
        <v>06/24/2025</v>
      </c>
    </row>
    <row r="240">
      <c r="A240" s="1" t="str">
        <f>IFERROR(__xludf.DUMMYFUNCTION("""COMPUTED_VALUE"""),"STACK Atlanta ATL02")</f>
        <v>STACK Atlanta ATL02</v>
      </c>
      <c r="B240" s="1" t="str">
        <f>IFERROR(__xludf.DUMMYFUNCTION("""COMPUTED_VALUE"""),"808 Factory Shoals Rd")</f>
        <v>808 Factory Shoals Rd</v>
      </c>
      <c r="C240" s="1" t="str">
        <f>IFERROR(__xludf.DUMMYFUNCTION("""COMPUTED_VALUE"""),"Lithia Springs")</f>
        <v>Lithia Springs</v>
      </c>
      <c r="D240" s="1" t="str">
        <f>IFERROR(__xludf.DUMMYFUNCTION("""COMPUTED_VALUE"""),"GA")</f>
        <v>GA</v>
      </c>
      <c r="E240" s="1" t="str">
        <f>IFERROR(__xludf.DUMMYFUNCTION("""COMPUTED_VALUE"""),"30122")</f>
        <v>30122</v>
      </c>
      <c r="F240" s="1" t="str">
        <f>IFERROR(__xludf.DUMMYFUNCTION("""COMPUTED_VALUE"""),"Douglas")</f>
        <v>Douglas</v>
      </c>
      <c r="G240" s="1" t="str">
        <f>IFERROR(__xludf.DUMMYFUNCTION("""COMPUTED_VALUE"""),"33.76018")</f>
        <v>33.76018</v>
      </c>
      <c r="H240" s="1" t="str">
        <f>IFERROR(__xludf.DUMMYFUNCTION("""COMPUTED_VALUE"""),"-84.6017")</f>
        <v>-84.6017</v>
      </c>
      <c r="I240" s="1" t="str">
        <f>IFERROR(__xludf.DUMMYFUNCTION("""COMPUTED_VALUE"""),"Approved/Permitted/Under construction")</f>
        <v>Approved/Permitted/Under construction</v>
      </c>
      <c r="J240" s="1" t="str">
        <f>IFERROR(__xludf.DUMMYFUNCTION("""COMPUTED_VALUE"""),"High")</f>
        <v>High</v>
      </c>
      <c r="K240" s="1" t="str">
        <f>IFERROR(__xludf.DUMMYFUNCTION("""COMPUTED_VALUE"""),"")</f>
        <v/>
      </c>
      <c r="L240" s="1" t="str">
        <f>IFERROR(__xludf.DUMMYFUNCTION("""COMPUTED_VALUE"""),"STACK Infrastructure")</f>
        <v>STACK Infrastructure</v>
      </c>
      <c r="M240" s="1" t="str">
        <f>IFERROR(__xludf.DUMMYFUNCTION("""COMPUTED_VALUE"""),"")</f>
        <v/>
      </c>
      <c r="N240" s="1" t="str">
        <f>IFERROR(__xludf.DUMMYFUNCTION("""COMPUTED_VALUE"""),"160")</f>
        <v>160</v>
      </c>
      <c r="O240" s="1" t="str">
        <f>IFERROR(__xludf.DUMMYFUNCTION("""COMPUTED_VALUE"""),"Hyperscale (100-999 MW)")</f>
        <v>Hyperscale (100-999 MW)</v>
      </c>
      <c r="P240" s="1" t="str">
        <f>IFERROR(__xludf.DUMMYFUNCTION("""COMPUTED_VALUE"""),"")</f>
        <v/>
      </c>
      <c r="Q240" s="1" t="str">
        <f>IFERROR(__xludf.DUMMYFUNCTION("""COMPUTED_VALUE"""),"")</f>
        <v/>
      </c>
      <c r="R240" s="1" t="str">
        <f>IFERROR(__xludf.DUMMYFUNCTION("""COMPUTED_VALUE"""),"")</f>
        <v/>
      </c>
      <c r="S240" s="1" t="str">
        <f>IFERROR(__xludf.DUMMYFUNCTION("""COMPUTED_VALUE"""),"")</f>
        <v/>
      </c>
      <c r="T240" s="1" t="str">
        <f>IFERROR(__xludf.DUMMYFUNCTION("""COMPUTED_VALUE"""),"")</f>
        <v/>
      </c>
      <c r="U240" s="1" t="str">
        <f>IFERROR(__xludf.DUMMYFUNCTION("""COMPUTED_VALUE"""),"")</f>
        <v/>
      </c>
      <c r="V240" s="1" t="str">
        <f>IFERROR(__xludf.DUMMYFUNCTION("""COMPUTED_VALUE"""),"300,000")</f>
        <v>300,000</v>
      </c>
      <c r="W240" s="1" t="str">
        <f>IFERROR(__xludf.DUMMYFUNCTION("""COMPUTED_VALUE"""),"64")</f>
        <v>64</v>
      </c>
      <c r="X240" s="1" t="str">
        <f>IFERROR(__xludf.DUMMYFUNCTION("""COMPUTED_VALUE"""),"")</f>
        <v/>
      </c>
      <c r="Y240" s="1" t="str">
        <f>IFERROR(__xludf.DUMMYFUNCTION("""COMPUTED_VALUE"""),"")</f>
        <v/>
      </c>
      <c r="Z240" s="1" t="str">
        <f>IFERROR(__xludf.DUMMYFUNCTION("""COMPUTED_VALUE"""),"Unknown")</f>
        <v>Unknown</v>
      </c>
      <c r="AA240" s="1" t="str">
        <f>IFERROR(__xludf.DUMMYFUNCTION("""COMPUTED_VALUE"""),"")</f>
        <v/>
      </c>
      <c r="AB240" s="1" t="str">
        <f>IFERROR(__xludf.DUMMYFUNCTION("""COMPUTED_VALUE"""),"")</f>
        <v/>
      </c>
      <c r="AC240" s="1" t="str">
        <f>IFERROR(__xludf.DUMMYFUNCTION("""COMPUTED_VALUE"""),"")</f>
        <v/>
      </c>
      <c r="AD240" s="1" t="str">
        <f>IFERROR(__xludf.DUMMYFUNCTION("""COMPUTED_VALUE"""),"")</f>
        <v/>
      </c>
      <c r="AE240" s="1" t="str">
        <f>IFERROR(__xludf.DUMMYFUNCTION("""COMPUTED_VALUE"""),"")</f>
        <v/>
      </c>
      <c r="AF240" s="1" t="str">
        <f>IFERROR(__xludf.DUMMYFUNCTION("""COMPUTED_VALUE"""),"")</f>
        <v/>
      </c>
      <c r="AG240" s="1" t="str">
        <f>IFERROR(__xludf.DUMMYFUNCTION("""COMPUTED_VALUE"""),"")</f>
        <v/>
      </c>
      <c r="AH240" s="1" t="str">
        <f>IFERROR(__xludf.DUMMYFUNCTION("""COMPUTED_VALUE"""),"Media Monitoring")</f>
        <v>Media Monitoring</v>
      </c>
      <c r="AI240" s="2" t="str">
        <f>IFERROR(__xludf.DUMMYFUNCTION("""COMPUTED_VALUE"""),"https://www.datacenterdynamics.com/en/news/stack-files-to-build-two-more-data-centers-outside-atlanta-georgia/")</f>
        <v>https://www.datacenterdynamics.com/en/news/stack-files-to-build-two-more-data-centers-outside-atlanta-georgia/</v>
      </c>
      <c r="AJ240" s="2" t="str">
        <f>IFERROR(__xludf.DUMMYFUNCTION("""COMPUTED_VALUE"""),"https://baxtel.com/data-center/stack-atlanta-atl02")</f>
        <v>https://baxtel.com/data-center/stack-atlanta-atl02</v>
      </c>
      <c r="AK240" s="2" t="str">
        <f>IFERROR(__xludf.DUMMYFUNCTION("""COMPUTED_VALUE"""),"https://www.stackinfra.com/locations/americas/atlanta/atl02/")</f>
        <v>https://www.stackinfra.com/locations/americas/atlanta/atl02/</v>
      </c>
      <c r="AL240" s="1" t="str">
        <f>IFERROR(__xludf.DUMMYFUNCTION("""COMPUTED_VALUE"""),"")</f>
        <v/>
      </c>
      <c r="AM240" s="1" t="str">
        <f>IFERROR(__xludf.DUMMYFUNCTION("""COMPUTED_VALUE"""),"")</f>
        <v/>
      </c>
      <c r="AN240" s="1" t="str">
        <f>IFERROR(__xludf.DUMMYFUNCTION("""COMPUTED_VALUE"""),"")</f>
        <v/>
      </c>
      <c r="AO240" s="1" t="str">
        <f>IFERROR(__xludf.DUMMYFUNCTION("""COMPUTED_VALUE"""),"")</f>
        <v/>
      </c>
      <c r="AP240" s="1" t="str">
        <f>IFERROR(__xludf.DUMMYFUNCTION("""COMPUTED_VALUE"""),"")</f>
        <v/>
      </c>
      <c r="AQ240" s="1" t="str">
        <f>IFERROR(__xludf.DUMMYFUNCTION("""COMPUTED_VALUE"""),"05/25/2025")</f>
        <v>05/25/2025</v>
      </c>
      <c r="AR240" s="1" t="str">
        <f>IFERROR(__xludf.DUMMYFUNCTION("""COMPUTED_VALUE"""),"05/25/2025")</f>
        <v>05/25/2025</v>
      </c>
    </row>
    <row r="241">
      <c r="A241" s="1" t="str">
        <f>IFERROR(__xludf.DUMMYFUNCTION("""COMPUTED_VALUE"""),"Switch Atlanta: The Keep Campus")</f>
        <v>Switch Atlanta: The Keep Campus</v>
      </c>
      <c r="B241" s="1" t="str">
        <f>IFERROR(__xludf.DUMMYFUNCTION("""COMPUTED_VALUE"""),"580 Douglas Hills Rd")</f>
        <v>580 Douglas Hills Rd</v>
      </c>
      <c r="C241" s="1" t="str">
        <f>IFERROR(__xludf.DUMMYFUNCTION("""COMPUTED_VALUE"""),"Lithia Springs")</f>
        <v>Lithia Springs</v>
      </c>
      <c r="D241" s="1" t="str">
        <f>IFERROR(__xludf.DUMMYFUNCTION("""COMPUTED_VALUE"""),"GA")</f>
        <v>GA</v>
      </c>
      <c r="E241" s="1" t="str">
        <f>IFERROR(__xludf.DUMMYFUNCTION("""COMPUTED_VALUE"""),"30122")</f>
        <v>30122</v>
      </c>
      <c r="F241" s="1" t="str">
        <f>IFERROR(__xludf.DUMMYFUNCTION("""COMPUTED_VALUE"""),"Douglas")</f>
        <v>Douglas</v>
      </c>
      <c r="G241" s="1" t="str">
        <f>IFERROR(__xludf.DUMMYFUNCTION("""COMPUTED_VALUE"""),"33.756165")</f>
        <v>33.756165</v>
      </c>
      <c r="H241" s="1" t="str">
        <f>IFERROR(__xludf.DUMMYFUNCTION("""COMPUTED_VALUE"""),"-84.59596")</f>
        <v>-84.59596</v>
      </c>
      <c r="I241" s="1" t="str">
        <f>IFERROR(__xludf.DUMMYFUNCTION("""COMPUTED_VALUE"""),"Operating")</f>
        <v>Operating</v>
      </c>
      <c r="J241" s="1" t="str">
        <f>IFERROR(__xludf.DUMMYFUNCTION("""COMPUTED_VALUE"""),"High")</f>
        <v>High</v>
      </c>
      <c r="K241" s="1" t="str">
        <f>IFERROR(__xludf.DUMMYFUNCTION("""COMPUTED_VALUE"""),"")</f>
        <v/>
      </c>
      <c r="L241" s="1" t="str">
        <f>IFERROR(__xludf.DUMMYFUNCTION("""COMPUTED_VALUE"""),"Switch SUPERNAP")</f>
        <v>Switch SUPERNAP</v>
      </c>
      <c r="M241" s="1" t="str">
        <f>IFERROR(__xludf.DUMMYFUNCTION("""COMPUTED_VALUE"""),"")</f>
        <v/>
      </c>
      <c r="N241" s="1" t="str">
        <f>IFERROR(__xludf.DUMMYFUNCTION("""COMPUTED_VALUE"""),"150")</f>
        <v>150</v>
      </c>
      <c r="O241" s="1" t="str">
        <f>IFERROR(__xludf.DUMMYFUNCTION("""COMPUTED_VALUE"""),"Hyperscale (100-999 MW)")</f>
        <v>Hyperscale (100-999 MW)</v>
      </c>
      <c r="P241" s="1" t="str">
        <f>IFERROR(__xludf.DUMMYFUNCTION("""COMPUTED_VALUE"""),"")</f>
        <v/>
      </c>
      <c r="Q241" s="1" t="str">
        <f>IFERROR(__xludf.DUMMYFUNCTION("""COMPUTED_VALUE"""),"")</f>
        <v/>
      </c>
      <c r="R241" s="1" t="str">
        <f>IFERROR(__xludf.DUMMYFUNCTION("""COMPUTED_VALUE"""),"")</f>
        <v/>
      </c>
      <c r="S241" s="1" t="str">
        <f>IFERROR(__xludf.DUMMYFUNCTION("""COMPUTED_VALUE"""),"")</f>
        <v/>
      </c>
      <c r="T241" s="1" t="str">
        <f>IFERROR(__xludf.DUMMYFUNCTION("""COMPUTED_VALUE"""),"")</f>
        <v/>
      </c>
      <c r="U241" s="1" t="str">
        <f>IFERROR(__xludf.DUMMYFUNCTION("""COMPUTED_VALUE"""),"")</f>
        <v/>
      </c>
      <c r="V241" s="1" t="str">
        <f>IFERROR(__xludf.DUMMYFUNCTION("""COMPUTED_VALUE"""),"1,000,000")</f>
        <v>1,000,000</v>
      </c>
      <c r="W241" s="1" t="str">
        <f>IFERROR(__xludf.DUMMYFUNCTION("""COMPUTED_VALUE"""),"")</f>
        <v/>
      </c>
      <c r="X241" s="1" t="str">
        <f>IFERROR(__xludf.DUMMYFUNCTION("""COMPUTED_VALUE"""),"")</f>
        <v/>
      </c>
      <c r="Y241" s="1" t="str">
        <f>IFERROR(__xludf.DUMMYFUNCTION("""COMPUTED_VALUE"""),"")</f>
        <v/>
      </c>
      <c r="Z241" s="1" t="str">
        <f>IFERROR(__xludf.DUMMYFUNCTION("""COMPUTED_VALUE"""),"Unknown")</f>
        <v>Unknown</v>
      </c>
      <c r="AA241" s="1" t="str">
        <f>IFERROR(__xludf.DUMMYFUNCTION("""COMPUTED_VALUE"""),"")</f>
        <v/>
      </c>
      <c r="AB241" s="1" t="str">
        <f>IFERROR(__xludf.DUMMYFUNCTION("""COMPUTED_VALUE"""),"")</f>
        <v/>
      </c>
      <c r="AC241" s="1" t="str">
        <f>IFERROR(__xludf.DUMMYFUNCTION("""COMPUTED_VALUE"""),"")</f>
        <v/>
      </c>
      <c r="AD241" s="1" t="str">
        <f>IFERROR(__xludf.DUMMYFUNCTION("""COMPUTED_VALUE"""),"")</f>
        <v/>
      </c>
      <c r="AE241" s="1" t="str">
        <f>IFERROR(__xludf.DUMMYFUNCTION("""COMPUTED_VALUE"""),"")</f>
        <v/>
      </c>
      <c r="AF241" s="1" t="str">
        <f>IFERROR(__xludf.DUMMYFUNCTION("""COMPUTED_VALUE"""),"")</f>
        <v/>
      </c>
      <c r="AG241" s="1" t="str">
        <f>IFERROR(__xludf.DUMMYFUNCTION("""COMPUTED_VALUE"""),"")</f>
        <v/>
      </c>
      <c r="AH241" s="1" t="str">
        <f>IFERROR(__xludf.DUMMYFUNCTION("""COMPUTED_VALUE"""),"Sci4GA")</f>
        <v>Sci4GA</v>
      </c>
      <c r="AI241" s="2" t="str">
        <f>IFERROR(__xludf.DUMMYFUNCTION("""COMPUTED_VALUE"""),"https://www.switch.com/atlanta/?utm_source=google&amp;utm_medium=Yext")</f>
        <v>https://www.switch.com/atlanta/?utm_source=google&amp;utm_medium=Yext</v>
      </c>
      <c r="AJ241" s="1" t="str">
        <f>IFERROR(__xludf.DUMMYFUNCTION("""COMPUTED_VALUE"""),"")</f>
        <v/>
      </c>
      <c r="AK241" s="1" t="str">
        <f>IFERROR(__xludf.DUMMYFUNCTION("""COMPUTED_VALUE"""),"")</f>
        <v/>
      </c>
      <c r="AL241" s="1" t="str">
        <f>IFERROR(__xludf.DUMMYFUNCTION("""COMPUTED_VALUE"""),"")</f>
        <v/>
      </c>
      <c r="AM241" s="1" t="str">
        <f>IFERROR(__xludf.DUMMYFUNCTION("""COMPUTED_VALUE"""),"")</f>
        <v/>
      </c>
      <c r="AN241" s="1" t="str">
        <f>IFERROR(__xludf.DUMMYFUNCTION("""COMPUTED_VALUE"""),"")</f>
        <v/>
      </c>
      <c r="AO241" s="1" t="str">
        <f>IFERROR(__xludf.DUMMYFUNCTION("""COMPUTED_VALUE"""),"")</f>
        <v/>
      </c>
      <c r="AP241" s="1" t="str">
        <f>IFERROR(__xludf.DUMMYFUNCTION("""COMPUTED_VALUE"""),"")</f>
        <v/>
      </c>
      <c r="AQ241" s="1" t="str">
        <f>IFERROR(__xludf.DUMMYFUNCTION("""COMPUTED_VALUE"""),"10/16/2025")</f>
        <v>10/16/2025</v>
      </c>
      <c r="AR241" s="1" t="str">
        <f>IFERROR(__xludf.DUMMYFUNCTION("""COMPUTED_VALUE"""),"10/16/2025")</f>
        <v>10/16/2025</v>
      </c>
    </row>
    <row r="242">
      <c r="A242" s="1" t="str">
        <f>IFERROR(__xludf.DUMMYFUNCTION("""COMPUTED_VALUE"""),"T5 @ Atlanta III")</f>
        <v>T5 @ Atlanta III</v>
      </c>
      <c r="B242" s="1" t="str">
        <f>IFERROR(__xludf.DUMMYFUNCTION("""COMPUTED_VALUE"""),"1456 Trae Lane")</f>
        <v>1456 Trae Lane</v>
      </c>
      <c r="C242" s="1" t="str">
        <f>IFERROR(__xludf.DUMMYFUNCTION("""COMPUTED_VALUE"""),"Lithia Springs")</f>
        <v>Lithia Springs</v>
      </c>
      <c r="D242" s="1" t="str">
        <f>IFERROR(__xludf.DUMMYFUNCTION("""COMPUTED_VALUE"""),"GA")</f>
        <v>GA</v>
      </c>
      <c r="E242" s="1" t="str">
        <f>IFERROR(__xludf.DUMMYFUNCTION("""COMPUTED_VALUE"""),"30122")</f>
        <v>30122</v>
      </c>
      <c r="F242" s="1" t="str">
        <f>IFERROR(__xludf.DUMMYFUNCTION("""COMPUTED_VALUE"""),"Douglas")</f>
        <v>Douglas</v>
      </c>
      <c r="G242" s="1" t="str">
        <f>IFERROR(__xludf.DUMMYFUNCTION("""COMPUTED_VALUE"""),"33.763447")</f>
        <v>33.763447</v>
      </c>
      <c r="H242" s="1" t="str">
        <f>IFERROR(__xludf.DUMMYFUNCTION("""COMPUTED_VALUE"""),"-84.604774")</f>
        <v>-84.604774</v>
      </c>
      <c r="I242" s="1" t="str">
        <f>IFERROR(__xludf.DUMMYFUNCTION("""COMPUTED_VALUE"""),"Operating")</f>
        <v>Operating</v>
      </c>
      <c r="J242" s="1" t="str">
        <f>IFERROR(__xludf.DUMMYFUNCTION("""COMPUTED_VALUE"""),"High")</f>
        <v>High</v>
      </c>
      <c r="K242" s="1" t="str">
        <f>IFERROR(__xludf.DUMMYFUNCTION("""COMPUTED_VALUE"""),"")</f>
        <v/>
      </c>
      <c r="L242" s="1" t="str">
        <f>IFERROR(__xludf.DUMMYFUNCTION("""COMPUTED_VALUE"""),"T5")</f>
        <v>T5</v>
      </c>
      <c r="M242" s="1" t="str">
        <f>IFERROR(__xludf.DUMMYFUNCTION("""COMPUTED_VALUE"""),"")</f>
        <v/>
      </c>
      <c r="N242" s="1" t="str">
        <f>IFERROR(__xludf.DUMMYFUNCTION("""COMPUTED_VALUE"""),"300")</f>
        <v>300</v>
      </c>
      <c r="O242" s="1" t="str">
        <f>IFERROR(__xludf.DUMMYFUNCTION("""COMPUTED_VALUE"""),"Hyperscale (100-999 MW)")</f>
        <v>Hyperscale (100-999 MW)</v>
      </c>
      <c r="P242" s="1" t="str">
        <f>IFERROR(__xludf.DUMMYFUNCTION("""COMPUTED_VALUE"""),"")</f>
        <v/>
      </c>
      <c r="Q242" s="1" t="str">
        <f>IFERROR(__xludf.DUMMYFUNCTION("""COMPUTED_VALUE"""),"")</f>
        <v/>
      </c>
      <c r="R242" s="1" t="str">
        <f>IFERROR(__xludf.DUMMYFUNCTION("""COMPUTED_VALUE"""),"")</f>
        <v/>
      </c>
      <c r="S242" s="1" t="str">
        <f>IFERROR(__xludf.DUMMYFUNCTION("""COMPUTED_VALUE"""),"")</f>
        <v/>
      </c>
      <c r="T242" s="1" t="str">
        <f>IFERROR(__xludf.DUMMYFUNCTION("""COMPUTED_VALUE"""),"")</f>
        <v/>
      </c>
      <c r="U242" s="1" t="str">
        <f>IFERROR(__xludf.DUMMYFUNCTION("""COMPUTED_VALUE"""),"")</f>
        <v/>
      </c>
      <c r="V242" s="1" t="str">
        <f>IFERROR(__xludf.DUMMYFUNCTION("""COMPUTED_VALUE"""),"1,600,000")</f>
        <v>1,600,000</v>
      </c>
      <c r="W242" s="1" t="str">
        <f>IFERROR(__xludf.DUMMYFUNCTION("""COMPUTED_VALUE"""),"80")</f>
        <v>80</v>
      </c>
      <c r="X242" s="1" t="str">
        <f>IFERROR(__xludf.DUMMYFUNCTION("""COMPUTED_VALUE"""),"")</f>
        <v/>
      </c>
      <c r="Y242" s="1" t="str">
        <f>IFERROR(__xludf.DUMMYFUNCTION("""COMPUTED_VALUE"""),"")</f>
        <v/>
      </c>
      <c r="Z242" s="1" t="str">
        <f>IFERROR(__xludf.DUMMYFUNCTION("""COMPUTED_VALUE"""),"Unknown")</f>
        <v>Unknown</v>
      </c>
      <c r="AA242" s="1" t="str">
        <f>IFERROR(__xludf.DUMMYFUNCTION("""COMPUTED_VALUE"""),"")</f>
        <v/>
      </c>
      <c r="AB242" s="1" t="str">
        <f>IFERROR(__xludf.DUMMYFUNCTION("""COMPUTED_VALUE"""),"")</f>
        <v/>
      </c>
      <c r="AC242" s="1" t="str">
        <f>IFERROR(__xludf.DUMMYFUNCTION("""COMPUTED_VALUE"""),"")</f>
        <v/>
      </c>
      <c r="AD242" s="1" t="str">
        <f>IFERROR(__xludf.DUMMYFUNCTION("""COMPUTED_VALUE"""),"")</f>
        <v/>
      </c>
      <c r="AE242" s="1" t="str">
        <f>IFERROR(__xludf.DUMMYFUNCTION("""COMPUTED_VALUE"""),"")</f>
        <v/>
      </c>
      <c r="AF242" s="1" t="str">
        <f>IFERROR(__xludf.DUMMYFUNCTION("""COMPUTED_VALUE"""),"")</f>
        <v/>
      </c>
      <c r="AG242" s="1" t="str">
        <f>IFERROR(__xludf.DUMMYFUNCTION("""COMPUTED_VALUE"""),"")</f>
        <v/>
      </c>
      <c r="AH242" s="1" t="str">
        <f>IFERROR(__xludf.DUMMYFUNCTION("""COMPUTED_VALUE"""),"Media Monitoring")</f>
        <v>Media Monitoring</v>
      </c>
      <c r="AI242" s="2" t="str">
        <f>IFERROR(__xludf.DUMMYFUNCTION("""COMPUTED_VALUE"""),"https://apps.dca.ga.gov/DRI/AppSummary.aspx?driid=3747")</f>
        <v>https://apps.dca.ga.gov/DRI/AppSummary.aspx?driid=3747</v>
      </c>
      <c r="AJ242" s="2" t="str">
        <f>IFERROR(__xludf.DUMMYFUNCTION("""COMPUTED_VALUE"""),"https://www.datacenterdynamics.com/en/news/t5-requests-permission-for-3-million-sq-ft-campus-outside-atlanta-georgia/")</f>
        <v>https://www.datacenterdynamics.com/en/news/t5-requests-permission-for-3-million-sq-ft-campus-outside-atlanta-georgia/</v>
      </c>
      <c r="AK242" s="1" t="str">
        <f>IFERROR(__xludf.DUMMYFUNCTION("""COMPUTED_VALUE"""),"")</f>
        <v/>
      </c>
      <c r="AL242" s="1" t="str">
        <f>IFERROR(__xludf.DUMMYFUNCTION("""COMPUTED_VALUE"""),"")</f>
        <v/>
      </c>
      <c r="AM242" s="1" t="str">
        <f>IFERROR(__xludf.DUMMYFUNCTION("""COMPUTED_VALUE"""),"")</f>
        <v/>
      </c>
      <c r="AN242" s="1" t="str">
        <f>IFERROR(__xludf.DUMMYFUNCTION("""COMPUTED_VALUE"""),"")</f>
        <v/>
      </c>
      <c r="AO242" s="1" t="str">
        <f>IFERROR(__xludf.DUMMYFUNCTION("""COMPUTED_VALUE"""),"")</f>
        <v/>
      </c>
      <c r="AP242" s="1" t="str">
        <f>IFERROR(__xludf.DUMMYFUNCTION("""COMPUTED_VALUE"""),"")</f>
        <v/>
      </c>
      <c r="AQ242" s="1" t="str">
        <f>IFERROR(__xludf.DUMMYFUNCTION("""COMPUTED_VALUE"""),"10/16/2025")</f>
        <v>10/16/2025</v>
      </c>
      <c r="AR242" s="1" t="str">
        <f>IFERROR(__xludf.DUMMYFUNCTION("""COMPUTED_VALUE"""),"10/16/2025")</f>
        <v>10/16/2025</v>
      </c>
    </row>
    <row r="243">
      <c r="A243" s="1" t="str">
        <f>IFERROR(__xludf.DUMMYFUNCTION("""COMPUTED_VALUE"""),"Bolingbroke Technology Campus")</f>
        <v>Bolingbroke Technology Campus</v>
      </c>
      <c r="B243" s="1" t="str">
        <f>IFERROR(__xludf.DUMMYFUNCTION("""COMPUTED_VALUE"""),"")</f>
        <v/>
      </c>
      <c r="C243" s="1" t="str">
        <f>IFERROR(__xludf.DUMMYFUNCTION("""COMPUTED_VALUE"""),"Macon")</f>
        <v>Macon</v>
      </c>
      <c r="D243" s="1" t="str">
        <f>IFERROR(__xludf.DUMMYFUNCTION("""COMPUTED_VALUE"""),"GA")</f>
        <v>GA</v>
      </c>
      <c r="E243" s="1" t="str">
        <f>IFERROR(__xludf.DUMMYFUNCTION("""COMPUTED_VALUE"""),"31220")</f>
        <v>31220</v>
      </c>
      <c r="F243" s="1" t="str">
        <f>IFERROR(__xludf.DUMMYFUNCTION("""COMPUTED_VALUE"""),"Monroe")</f>
        <v>Monroe</v>
      </c>
      <c r="G243" s="1" t="str">
        <f>IFERROR(__xludf.DUMMYFUNCTION("""COMPUTED_VALUE"""),"32.94087")</f>
        <v>32.94087</v>
      </c>
      <c r="H243" s="1" t="str">
        <f>IFERROR(__xludf.DUMMYFUNCTION("""COMPUTED_VALUE"""),"-83.8188")</f>
        <v>-83.8188</v>
      </c>
      <c r="I243" s="1" t="str">
        <f>IFERROR(__xludf.DUMMYFUNCTION("""COMPUTED_VALUE"""),"Cancelled")</f>
        <v>Cancelled</v>
      </c>
      <c r="J243" s="1" t="str">
        <f>IFERROR(__xludf.DUMMYFUNCTION("""COMPUTED_VALUE"""),"High")</f>
        <v>High</v>
      </c>
      <c r="K243" s="1" t="str">
        <f>IFERROR(__xludf.DUMMYFUNCTION("""COMPUTED_VALUE"""),"")</f>
        <v/>
      </c>
      <c r="L243" s="1" t="str">
        <f>IFERROR(__xludf.DUMMYFUNCTION("""COMPUTED_VALUE"""),"")</f>
        <v/>
      </c>
      <c r="M243" s="1" t="str">
        <f>IFERROR(__xludf.DUMMYFUNCTION("""COMPUTED_VALUE"""),"")</f>
        <v/>
      </c>
      <c r="N243" s="1" t="str">
        <f>IFERROR(__xludf.DUMMYFUNCTION("""COMPUTED_VALUE"""),"900")</f>
        <v>900</v>
      </c>
      <c r="O243" s="1" t="str">
        <f>IFERROR(__xludf.DUMMYFUNCTION("""COMPUTED_VALUE"""),"Hyperscale (100-999 MW)")</f>
        <v>Hyperscale (100-999 MW)</v>
      </c>
      <c r="P243" s="1" t="str">
        <f>IFERROR(__xludf.DUMMYFUNCTION("""COMPUTED_VALUE"""),"")</f>
        <v/>
      </c>
      <c r="Q243" s="1" t="str">
        <f>IFERROR(__xludf.DUMMYFUNCTION("""COMPUTED_VALUE"""),"")</f>
        <v/>
      </c>
      <c r="R243" s="1" t="str">
        <f>IFERROR(__xludf.DUMMYFUNCTION("""COMPUTED_VALUE"""),"")</f>
        <v/>
      </c>
      <c r="S243" s="1" t="str">
        <f>IFERROR(__xludf.DUMMYFUNCTION("""COMPUTED_VALUE"""),"")</f>
        <v/>
      </c>
      <c r="T243" s="1" t="str">
        <f>IFERROR(__xludf.DUMMYFUNCTION("""COMPUTED_VALUE"""),"")</f>
        <v/>
      </c>
      <c r="U243" s="1" t="str">
        <f>IFERROR(__xludf.DUMMYFUNCTION("""COMPUTED_VALUE"""),"")</f>
        <v/>
      </c>
      <c r="V243" s="1" t="str">
        <f>IFERROR(__xludf.DUMMYFUNCTION("""COMPUTED_VALUE"""),"5,400,000")</f>
        <v>5,400,000</v>
      </c>
      <c r="W243" s="1" t="str">
        <f>IFERROR(__xludf.DUMMYFUNCTION("""COMPUTED_VALUE"""),"")</f>
        <v/>
      </c>
      <c r="X243" s="1" t="str">
        <f>IFERROR(__xludf.DUMMYFUNCTION("""COMPUTED_VALUE"""),"")</f>
        <v/>
      </c>
      <c r="Y243" s="1" t="str">
        <f>IFERROR(__xludf.DUMMYFUNCTION("""COMPUTED_VALUE"""),"")</f>
        <v/>
      </c>
      <c r="Z243" s="1" t="str">
        <f>IFERROR(__xludf.DUMMYFUNCTION("""COMPUTED_VALUE"""),"Yes")</f>
        <v>Yes</v>
      </c>
      <c r="AA243" s="1" t="str">
        <f>IFERROR(__xludf.DUMMYFUNCTION("""COMPUTED_VALUE"""),"")</f>
        <v/>
      </c>
      <c r="AB243" s="1" t="str">
        <f>IFERROR(__xludf.DUMMYFUNCTION("""COMPUTED_VALUE"""),"")</f>
        <v/>
      </c>
      <c r="AC243" s="1" t="str">
        <f>IFERROR(__xludf.DUMMYFUNCTION("""COMPUTED_VALUE"""),"")</f>
        <v/>
      </c>
      <c r="AD243" s="1" t="str">
        <f>IFERROR(__xludf.DUMMYFUNCTION("""COMPUTED_VALUE"""),"")</f>
        <v/>
      </c>
      <c r="AE243" s="1" t="str">
        <f>IFERROR(__xludf.DUMMYFUNCTION("""COMPUTED_VALUE"""),"")</f>
        <v/>
      </c>
      <c r="AF243" s="1" t="str">
        <f>IFERROR(__xludf.DUMMYFUNCTION("""COMPUTED_VALUE"""),"")</f>
        <v/>
      </c>
      <c r="AG243" s="1" t="str">
        <f>IFERROR(__xludf.DUMMYFUNCTION("""COMPUTED_VALUE"""),"")</f>
        <v/>
      </c>
      <c r="AH243" s="1" t="str">
        <f>IFERROR(__xludf.DUMMYFUNCTION("""COMPUTED_VALUE"""),"Media Monitoring")</f>
        <v>Media Monitoring</v>
      </c>
      <c r="AI243" s="2" t="str">
        <f>IFERROR(__xludf.DUMMYFUNCTION("""COMPUTED_VALUE"""),"https://www.datacenterdynamics.com/en/news/900mw-data-center-campus-proposed-outside-macon-georgia/")</f>
        <v>https://www.datacenterdynamics.com/en/news/900mw-data-center-campus-proposed-outside-macon-georgia/</v>
      </c>
      <c r="AJ243" s="2" t="str">
        <f>IFERROR(__xludf.DUMMYFUNCTION("""COMPUTED_VALUE"""),"https://www.datacenterdynamics.com/en/news/rezoning-proposal-for-12gw-data-center-campus-outside-macon-georgia-denied-recommendation-for-approval/")</f>
        <v>https://www.datacenterdynamics.com/en/news/rezoning-proposal-for-12gw-data-center-campus-outside-macon-georgia-denied-recommendation-for-approval/</v>
      </c>
      <c r="AK243" s="2" t="str">
        <f>IFERROR(__xludf.DUMMYFUNCTION("""COMPUTED_VALUE"""),"https://www.macon.com/news/politics-government/article311600981.html")</f>
        <v>https://www.macon.com/news/politics-government/article311600981.html</v>
      </c>
      <c r="AL243" s="1" t="str">
        <f>IFERROR(__xludf.DUMMYFUNCTION("""COMPUTED_VALUE"""),"")</f>
        <v/>
      </c>
      <c r="AM243" s="1" t="str">
        <f>IFERROR(__xludf.DUMMYFUNCTION("""COMPUTED_VALUE"""),"")</f>
        <v/>
      </c>
      <c r="AN243" s="1" t="str">
        <f>IFERROR(__xludf.DUMMYFUNCTION("""COMPUTED_VALUE"""),"")</f>
        <v/>
      </c>
      <c r="AO243" s="1" t="str">
        <f>IFERROR(__xludf.DUMMYFUNCTION("""COMPUTED_VALUE"""),"")</f>
        <v/>
      </c>
      <c r="AP243" s="1" t="str">
        <f>IFERROR(__xludf.DUMMYFUNCTION("""COMPUTED_VALUE"""),"")</f>
        <v/>
      </c>
      <c r="AQ243" s="1" t="str">
        <f>IFERROR(__xludf.DUMMYFUNCTION("""COMPUTED_VALUE"""),"08/02/2025")</f>
        <v>08/02/2025</v>
      </c>
      <c r="AR243" s="1" t="str">
        <f>IFERROR(__xludf.DUMMYFUNCTION("""COMPUTED_VALUE"""),"06/29/2026")</f>
        <v>06/29/2026</v>
      </c>
    </row>
    <row r="244">
      <c r="A244" s="1" t="str">
        <f>IFERROR(__xludf.DUMMYFUNCTION("""COMPUTED_VALUE"""),"Stream Data Center")</f>
        <v>Stream Data Center</v>
      </c>
      <c r="B244" s="1" t="str">
        <f>IFERROR(__xludf.DUMMYFUNCTION("""COMPUTED_VALUE"""),"Access is proposed to be from Jason Industrial Pkwy and N Baggett Rd")</f>
        <v>Access is proposed to be from Jason Industrial Pkwy and N Baggett Rd</v>
      </c>
      <c r="C244" s="1" t="str">
        <f>IFERROR(__xludf.DUMMYFUNCTION("""COMPUTED_VALUE"""),"Macon")</f>
        <v>Macon</v>
      </c>
      <c r="D244" s="1" t="str">
        <f>IFERROR(__xludf.DUMMYFUNCTION("""COMPUTED_VALUE"""),"GA")</f>
        <v>GA</v>
      </c>
      <c r="E244" s="1" t="str">
        <f>IFERROR(__xludf.DUMMYFUNCTION("""COMPUTED_VALUE"""),"31217")</f>
        <v>31217</v>
      </c>
      <c r="F244" s="1" t="str">
        <f>IFERROR(__xludf.DUMMYFUNCTION("""COMPUTED_VALUE"""),"Douglas")</f>
        <v>Douglas</v>
      </c>
      <c r="G244" s="1" t="str">
        <f>IFERROR(__xludf.DUMMYFUNCTION("""COMPUTED_VALUE"""),"33.738323")</f>
        <v>33.738323</v>
      </c>
      <c r="H244" s="1" t="str">
        <f>IFERROR(__xludf.DUMMYFUNCTION("""COMPUTED_VALUE"""),"-84.80737")</f>
        <v>-84.80737</v>
      </c>
      <c r="I244" s="1" t="str">
        <f>IFERROR(__xludf.DUMMYFUNCTION("""COMPUTED_VALUE"""),"Proposed")</f>
        <v>Proposed</v>
      </c>
      <c r="J244" s="1" t="str">
        <f>IFERROR(__xludf.DUMMYFUNCTION("""COMPUTED_VALUE"""),"High")</f>
        <v>High</v>
      </c>
      <c r="K244" s="1" t="str">
        <f>IFERROR(__xludf.DUMMYFUNCTION("""COMPUTED_VALUE"""),"")</f>
        <v/>
      </c>
      <c r="L244" s="1" t="str">
        <f>IFERROR(__xludf.DUMMYFUNCTION("""COMPUTED_VALUE"""),"SDC ATLA, LLC")</f>
        <v>SDC ATLA, LLC</v>
      </c>
      <c r="M244" s="1" t="str">
        <f>IFERROR(__xludf.DUMMYFUNCTION("""COMPUTED_VALUE"""),"")</f>
        <v/>
      </c>
      <c r="N244" s="1" t="str">
        <f>IFERROR(__xludf.DUMMYFUNCTION("""COMPUTED_VALUE"""),"")</f>
        <v/>
      </c>
      <c r="O244" s="1" t="str">
        <f>IFERROR(__xludf.DUMMYFUNCTION("""COMPUTED_VALUE"""),"Unknown")</f>
        <v>Unknown</v>
      </c>
      <c r="P244" s="1" t="str">
        <f>IFERROR(__xludf.DUMMYFUNCTION("""COMPUTED_VALUE"""),"")</f>
        <v/>
      </c>
      <c r="Q244" s="1" t="str">
        <f>IFERROR(__xludf.DUMMYFUNCTION("""COMPUTED_VALUE"""),"")</f>
        <v/>
      </c>
      <c r="R244" s="1" t="str">
        <f>IFERROR(__xludf.DUMMYFUNCTION("""COMPUTED_VALUE"""),"")</f>
        <v/>
      </c>
      <c r="S244" s="1" t="str">
        <f>IFERROR(__xludf.DUMMYFUNCTION("""COMPUTED_VALUE"""),"")</f>
        <v/>
      </c>
      <c r="T244" s="1" t="str">
        <f>IFERROR(__xludf.DUMMYFUNCTION("""COMPUTED_VALUE"""),"")</f>
        <v/>
      </c>
      <c r="U244" s="1" t="str">
        <f>IFERROR(__xludf.DUMMYFUNCTION("""COMPUTED_VALUE"""),"")</f>
        <v/>
      </c>
      <c r="V244" s="1" t="str">
        <f>IFERROR(__xludf.DUMMYFUNCTION("""COMPUTED_VALUE"""),"2,687,400")</f>
        <v>2,687,400</v>
      </c>
      <c r="W244" s="1" t="str">
        <f>IFERROR(__xludf.DUMMYFUNCTION("""COMPUTED_VALUE"""),"")</f>
        <v/>
      </c>
      <c r="X244" s="1" t="str">
        <f>IFERROR(__xludf.DUMMYFUNCTION("""COMPUTED_VALUE"""),"")</f>
        <v/>
      </c>
      <c r="Y244" s="1" t="str">
        <f>IFERROR(__xludf.DUMMYFUNCTION("""COMPUTED_VALUE"""),"")</f>
        <v/>
      </c>
      <c r="Z244" s="1" t="str">
        <f>IFERROR(__xludf.DUMMYFUNCTION("""COMPUTED_VALUE"""),"Unknown")</f>
        <v>Unknown</v>
      </c>
      <c r="AA244" s="1" t="str">
        <f>IFERROR(__xludf.DUMMYFUNCTION("""COMPUTED_VALUE"""),"")</f>
        <v/>
      </c>
      <c r="AB244" s="1" t="str">
        <f>IFERROR(__xludf.DUMMYFUNCTION("""COMPUTED_VALUE"""),"")</f>
        <v/>
      </c>
      <c r="AC244" s="1" t="str">
        <f>IFERROR(__xludf.DUMMYFUNCTION("""COMPUTED_VALUE"""),"")</f>
        <v/>
      </c>
      <c r="AD244" s="1" t="str">
        <f>IFERROR(__xludf.DUMMYFUNCTION("""COMPUTED_VALUE"""),"")</f>
        <v/>
      </c>
      <c r="AE244" s="1" t="str">
        <f>IFERROR(__xludf.DUMMYFUNCTION("""COMPUTED_VALUE"""),"")</f>
        <v/>
      </c>
      <c r="AF244" s="1" t="str">
        <f>IFERROR(__xludf.DUMMYFUNCTION("""COMPUTED_VALUE"""),"")</f>
        <v/>
      </c>
      <c r="AG244" s="1" t="str">
        <f>IFERROR(__xludf.DUMMYFUNCTION("""COMPUTED_VALUE"""),"")</f>
        <v/>
      </c>
      <c r="AH244" s="1" t="str">
        <f>IFERROR(__xludf.DUMMYFUNCTION("""COMPUTED_VALUE"""),"Sci4GA")</f>
        <v>Sci4GA</v>
      </c>
      <c r="AI244" s="1" t="str">
        <f>IFERROR(__xludf.DUMMYFUNCTION("""COMPUTED_VALUE"""),"DRI Application Summary")</f>
        <v>DRI Application Summary</v>
      </c>
      <c r="AJ244" s="1" t="str">
        <f>IFERROR(__xludf.DUMMYFUNCTION("""COMPUTED_VALUE"""),"")</f>
        <v/>
      </c>
      <c r="AK244" s="1" t="str">
        <f>IFERROR(__xludf.DUMMYFUNCTION("""COMPUTED_VALUE"""),"")</f>
        <v/>
      </c>
      <c r="AL244" s="1" t="str">
        <f>IFERROR(__xludf.DUMMYFUNCTION("""COMPUTED_VALUE"""),"")</f>
        <v/>
      </c>
      <c r="AM244" s="1" t="str">
        <f>IFERROR(__xludf.DUMMYFUNCTION("""COMPUTED_VALUE"""),"")</f>
        <v/>
      </c>
      <c r="AN244" s="1" t="str">
        <f>IFERROR(__xludf.DUMMYFUNCTION("""COMPUTED_VALUE"""),"")</f>
        <v/>
      </c>
      <c r="AO244" s="1" t="str">
        <f>IFERROR(__xludf.DUMMYFUNCTION("""COMPUTED_VALUE"""),"")</f>
        <v/>
      </c>
      <c r="AP244" s="1" t="str">
        <f>IFERROR(__xludf.DUMMYFUNCTION("""COMPUTED_VALUE"""),"")</f>
        <v/>
      </c>
      <c r="AQ244" s="1" t="str">
        <f>IFERROR(__xludf.DUMMYFUNCTION("""COMPUTED_VALUE"""),"10/16/2025")</f>
        <v>10/16/2025</v>
      </c>
      <c r="AR244" s="1" t="str">
        <f>IFERROR(__xludf.DUMMYFUNCTION("""COMPUTED_VALUE"""),"10/16/2025")</f>
        <v>10/16/2025</v>
      </c>
    </row>
    <row r="245">
      <c r="A245" s="1" t="str">
        <f>IFERROR(__xludf.DUMMYFUNCTION("""COMPUTED_VALUE"""),"Atlanta AT2")</f>
        <v>Atlanta AT2</v>
      </c>
      <c r="B245" s="1" t="str">
        <f>IFERROR(__xludf.DUMMYFUNCTION("""COMPUTED_VALUE"""),"1130 Powers Ferry Place")</f>
        <v>1130 Powers Ferry Place</v>
      </c>
      <c r="C245" s="1" t="str">
        <f>IFERROR(__xludf.DUMMYFUNCTION("""COMPUTED_VALUE"""),"Marietta")</f>
        <v>Marietta</v>
      </c>
      <c r="D245" s="1" t="str">
        <f>IFERROR(__xludf.DUMMYFUNCTION("""COMPUTED_VALUE"""),"GA")</f>
        <v>GA</v>
      </c>
      <c r="E245" s="1" t="str">
        <f>IFERROR(__xludf.DUMMYFUNCTION("""COMPUTED_VALUE"""),"30067")</f>
        <v>30067</v>
      </c>
      <c r="F245" s="1" t="str">
        <f>IFERROR(__xludf.DUMMYFUNCTION("""COMPUTED_VALUE"""),"Cobb")</f>
        <v>Cobb</v>
      </c>
      <c r="G245" s="1" t="str">
        <f>IFERROR(__xludf.DUMMYFUNCTION("""COMPUTED_VALUE"""),"33.925495")</f>
        <v>33.925495</v>
      </c>
      <c r="H245" s="1" t="str">
        <f>IFERROR(__xludf.DUMMYFUNCTION("""COMPUTED_VALUE"""),"-84.48163")</f>
        <v>-84.48163</v>
      </c>
      <c r="I245" s="1" t="str">
        <f>IFERROR(__xludf.DUMMYFUNCTION("""COMPUTED_VALUE"""),"Operating")</f>
        <v>Operating</v>
      </c>
      <c r="J245" s="1" t="str">
        <f>IFERROR(__xludf.DUMMYFUNCTION("""COMPUTED_VALUE"""),"High")</f>
        <v>High</v>
      </c>
      <c r="K245" s="1" t="str">
        <f>IFERROR(__xludf.DUMMYFUNCTION("""COMPUTED_VALUE"""),"")</f>
        <v/>
      </c>
      <c r="L245" s="1" t="str">
        <f>IFERROR(__xludf.DUMMYFUNCTION("""COMPUTED_VALUE"""),"CoreSite")</f>
        <v>CoreSite</v>
      </c>
      <c r="M245" s="1" t="str">
        <f>IFERROR(__xludf.DUMMYFUNCTION("""COMPUTED_VALUE"""),"")</f>
        <v/>
      </c>
      <c r="N245" s="1" t="str">
        <f>IFERROR(__xludf.DUMMYFUNCTION("""COMPUTED_VALUE"""),"2")</f>
        <v>2</v>
      </c>
      <c r="O245" s="1" t="str">
        <f>IFERROR(__xludf.DUMMYFUNCTION("""COMPUTED_VALUE"""),"Small (0-10 MW)")</f>
        <v>Small (0-10 MW)</v>
      </c>
      <c r="P245" s="1" t="str">
        <f>IFERROR(__xludf.DUMMYFUNCTION("""COMPUTED_VALUE"""),"")</f>
        <v/>
      </c>
      <c r="Q245" s="1" t="str">
        <f>IFERROR(__xludf.DUMMYFUNCTION("""COMPUTED_VALUE"""),"")</f>
        <v/>
      </c>
      <c r="R245" s="1" t="str">
        <f>IFERROR(__xludf.DUMMYFUNCTION("""COMPUTED_VALUE"""),"")</f>
        <v/>
      </c>
      <c r="S245" s="1" t="str">
        <f>IFERROR(__xludf.DUMMYFUNCTION("""COMPUTED_VALUE"""),"")</f>
        <v/>
      </c>
      <c r="T245" s="1" t="str">
        <f>IFERROR(__xludf.DUMMYFUNCTION("""COMPUTED_VALUE"""),"")</f>
        <v/>
      </c>
      <c r="U245" s="1" t="str">
        <f>IFERROR(__xludf.DUMMYFUNCTION("""COMPUTED_VALUE"""),"")</f>
        <v/>
      </c>
      <c r="V245" s="1" t="str">
        <f>IFERROR(__xludf.DUMMYFUNCTION("""COMPUTED_VALUE"""),"")</f>
        <v/>
      </c>
      <c r="W245" s="1" t="str">
        <f>IFERROR(__xludf.DUMMYFUNCTION("""COMPUTED_VALUE"""),"")</f>
        <v/>
      </c>
      <c r="X245" s="1" t="str">
        <f>IFERROR(__xludf.DUMMYFUNCTION("""COMPUTED_VALUE"""),"")</f>
        <v/>
      </c>
      <c r="Y245" s="1" t="str">
        <f>IFERROR(__xludf.DUMMYFUNCTION("""COMPUTED_VALUE"""),"")</f>
        <v/>
      </c>
      <c r="Z245" s="1" t="str">
        <f>IFERROR(__xludf.DUMMYFUNCTION("""COMPUTED_VALUE"""),"Unknown")</f>
        <v>Unknown</v>
      </c>
      <c r="AA245" s="1" t="str">
        <f>IFERROR(__xludf.DUMMYFUNCTION("""COMPUTED_VALUE"""),"")</f>
        <v/>
      </c>
      <c r="AB245" s="1" t="str">
        <f>IFERROR(__xludf.DUMMYFUNCTION("""COMPUTED_VALUE"""),"")</f>
        <v/>
      </c>
      <c r="AC245" s="1" t="str">
        <f>IFERROR(__xludf.DUMMYFUNCTION("""COMPUTED_VALUE"""),"")</f>
        <v/>
      </c>
      <c r="AD245" s="1" t="str">
        <f>IFERROR(__xludf.DUMMYFUNCTION("""COMPUTED_VALUE"""),"")</f>
        <v/>
      </c>
      <c r="AE245" s="1" t="str">
        <f>IFERROR(__xludf.DUMMYFUNCTION("""COMPUTED_VALUE"""),"")</f>
        <v/>
      </c>
      <c r="AF245" s="1" t="str">
        <f>IFERROR(__xludf.DUMMYFUNCTION("""COMPUTED_VALUE"""),"")</f>
        <v/>
      </c>
      <c r="AG245" s="1" t="str">
        <f>IFERROR(__xludf.DUMMYFUNCTION("""COMPUTED_VALUE"""),"")</f>
        <v/>
      </c>
      <c r="AH245" s="1" t="str">
        <f>IFERROR(__xludf.DUMMYFUNCTION("""COMPUTED_VALUE"""),"Sci4GA")</f>
        <v>Sci4GA</v>
      </c>
      <c r="AI245" s="2" t="str">
        <f>IFERROR(__xludf.DUMMYFUNCTION("""COMPUTED_VALUE"""),"https://baxtel.com/data-center/datasite-atlanta")</f>
        <v>https://baxtel.com/data-center/datasite-atlanta</v>
      </c>
      <c r="AJ245" s="1" t="str">
        <f>IFERROR(__xludf.DUMMYFUNCTION("""COMPUTED_VALUE"""),"")</f>
        <v/>
      </c>
      <c r="AK245" s="1" t="str">
        <f>IFERROR(__xludf.DUMMYFUNCTION("""COMPUTED_VALUE"""),"")</f>
        <v/>
      </c>
      <c r="AL245" s="1" t="str">
        <f>IFERROR(__xludf.DUMMYFUNCTION("""COMPUTED_VALUE"""),"")</f>
        <v/>
      </c>
      <c r="AM245" s="1" t="str">
        <f>IFERROR(__xludf.DUMMYFUNCTION("""COMPUTED_VALUE"""),"")</f>
        <v/>
      </c>
      <c r="AN245" s="1" t="str">
        <f>IFERROR(__xludf.DUMMYFUNCTION("""COMPUTED_VALUE"""),"")</f>
        <v/>
      </c>
      <c r="AO245" s="1" t="str">
        <f>IFERROR(__xludf.DUMMYFUNCTION("""COMPUTED_VALUE"""),"")</f>
        <v/>
      </c>
      <c r="AP245" s="1" t="str">
        <f>IFERROR(__xludf.DUMMYFUNCTION("""COMPUTED_VALUE"""),"")</f>
        <v/>
      </c>
      <c r="AQ245" s="1" t="str">
        <f>IFERROR(__xludf.DUMMYFUNCTION("""COMPUTED_VALUE"""),"10/16/2025")</f>
        <v>10/16/2025</v>
      </c>
      <c r="AR245" s="1" t="str">
        <f>IFERROR(__xludf.DUMMYFUNCTION("""COMPUTED_VALUE"""),"10/16/2025")</f>
        <v>10/16/2025</v>
      </c>
    </row>
    <row r="246">
      <c r="A246" s="1" t="str">
        <f>IFERROR(__xludf.DUMMYFUNCTION("""COMPUTED_VALUE"""),"Grindcap")</f>
        <v>Grindcap</v>
      </c>
      <c r="B246" s="1" t="str">
        <f>IFERROR(__xludf.DUMMYFUNCTION("""COMPUTED_VALUE"""),"Bells Ferry Rd")</f>
        <v>Bells Ferry Rd</v>
      </c>
      <c r="C246" s="1" t="str">
        <f>IFERROR(__xludf.DUMMYFUNCTION("""COMPUTED_VALUE"""),"Marietta")</f>
        <v>Marietta</v>
      </c>
      <c r="D246" s="1" t="str">
        <f>IFERROR(__xludf.DUMMYFUNCTION("""COMPUTED_VALUE"""),"GA")</f>
        <v>GA</v>
      </c>
      <c r="E246" s="1" t="str">
        <f>IFERROR(__xludf.DUMMYFUNCTION("""COMPUTED_VALUE"""),"30066")</f>
        <v>30066</v>
      </c>
      <c r="F246" s="1" t="str">
        <f>IFERROR(__xludf.DUMMYFUNCTION("""COMPUTED_VALUE"""),"Cobb")</f>
        <v>Cobb</v>
      </c>
      <c r="G246" s="1" t="str">
        <f>IFERROR(__xludf.DUMMYFUNCTION("""COMPUTED_VALUE"""),"33.99401")</f>
        <v>33.99401</v>
      </c>
      <c r="H246" s="1" t="str">
        <f>IFERROR(__xludf.DUMMYFUNCTION("""COMPUTED_VALUE"""),"-84.5527")</f>
        <v>-84.5527</v>
      </c>
      <c r="I246" s="1" t="str">
        <f>IFERROR(__xludf.DUMMYFUNCTION("""COMPUTED_VALUE"""),"Proposed")</f>
        <v>Proposed</v>
      </c>
      <c r="J246" s="1" t="str">
        <f>IFERROR(__xludf.DUMMYFUNCTION("""COMPUTED_VALUE"""),"High")</f>
        <v>High</v>
      </c>
      <c r="K246" s="1" t="str">
        <f>IFERROR(__xludf.DUMMYFUNCTION("""COMPUTED_VALUE"""),"")</f>
        <v/>
      </c>
      <c r="L246" s="1" t="str">
        <f>IFERROR(__xludf.DUMMYFUNCTION("""COMPUTED_VALUE"""),"")</f>
        <v/>
      </c>
      <c r="M246" s="1" t="str">
        <f>IFERROR(__xludf.DUMMYFUNCTION("""COMPUTED_VALUE"""),"")</f>
        <v/>
      </c>
      <c r="N246" s="1" t="str">
        <f>IFERROR(__xludf.DUMMYFUNCTION("""COMPUTED_VALUE"""),"108")</f>
        <v>108</v>
      </c>
      <c r="O246" s="1" t="str">
        <f>IFERROR(__xludf.DUMMYFUNCTION("""COMPUTED_VALUE"""),"Hyperscale (100-999 MW)")</f>
        <v>Hyperscale (100-999 MW)</v>
      </c>
      <c r="P246" s="1" t="str">
        <f>IFERROR(__xludf.DUMMYFUNCTION("""COMPUTED_VALUE"""),"")</f>
        <v/>
      </c>
      <c r="Q246" s="1" t="str">
        <f>IFERROR(__xludf.DUMMYFUNCTION("""COMPUTED_VALUE"""),"")</f>
        <v/>
      </c>
      <c r="R246" s="1" t="str">
        <f>IFERROR(__xludf.DUMMYFUNCTION("""COMPUTED_VALUE"""),"")</f>
        <v/>
      </c>
      <c r="S246" s="1" t="str">
        <f>IFERROR(__xludf.DUMMYFUNCTION("""COMPUTED_VALUE"""),"")</f>
        <v/>
      </c>
      <c r="T246" s="1" t="str">
        <f>IFERROR(__xludf.DUMMYFUNCTION("""COMPUTED_VALUE"""),"")</f>
        <v/>
      </c>
      <c r="U246" s="1" t="str">
        <f>IFERROR(__xludf.DUMMYFUNCTION("""COMPUTED_VALUE"""),"")</f>
        <v/>
      </c>
      <c r="V246" s="1" t="str">
        <f>IFERROR(__xludf.DUMMYFUNCTION("""COMPUTED_VALUE"""),"")</f>
        <v/>
      </c>
      <c r="W246" s="1" t="str">
        <f>IFERROR(__xludf.DUMMYFUNCTION("""COMPUTED_VALUE"""),"31")</f>
        <v>31</v>
      </c>
      <c r="X246" s="1" t="str">
        <f>IFERROR(__xludf.DUMMYFUNCTION("""COMPUTED_VALUE"""),"")</f>
        <v/>
      </c>
      <c r="Y246" s="1" t="str">
        <f>IFERROR(__xludf.DUMMYFUNCTION("""COMPUTED_VALUE"""),"")</f>
        <v/>
      </c>
      <c r="Z246" s="1" t="str">
        <f>IFERROR(__xludf.DUMMYFUNCTION("""COMPUTED_VALUE"""),"Unknown")</f>
        <v>Unknown</v>
      </c>
      <c r="AA246" s="1" t="str">
        <f>IFERROR(__xludf.DUMMYFUNCTION("""COMPUTED_VALUE"""),"")</f>
        <v/>
      </c>
      <c r="AB246" s="1" t="str">
        <f>IFERROR(__xludf.DUMMYFUNCTION("""COMPUTED_VALUE"""),"")</f>
        <v/>
      </c>
      <c r="AC246" s="1" t="str">
        <f>IFERROR(__xludf.DUMMYFUNCTION("""COMPUTED_VALUE"""),"")</f>
        <v/>
      </c>
      <c r="AD246" s="1" t="str">
        <f>IFERROR(__xludf.DUMMYFUNCTION("""COMPUTED_VALUE"""),"")</f>
        <v/>
      </c>
      <c r="AE246" s="1" t="str">
        <f>IFERROR(__xludf.DUMMYFUNCTION("""COMPUTED_VALUE"""),"")</f>
        <v/>
      </c>
      <c r="AF246" s="1" t="str">
        <f>IFERROR(__xludf.DUMMYFUNCTION("""COMPUTED_VALUE"""),"")</f>
        <v/>
      </c>
      <c r="AG246" s="1" t="str">
        <f>IFERROR(__xludf.DUMMYFUNCTION("""COMPUTED_VALUE"""),"")</f>
        <v/>
      </c>
      <c r="AH246" s="1" t="str">
        <f>IFERROR(__xludf.DUMMYFUNCTION("""COMPUTED_VALUE"""),"Media Monitoring")</f>
        <v>Media Monitoring</v>
      </c>
      <c r="AI246" s="2" t="str">
        <f>IFERROR(__xludf.DUMMYFUNCTION("""COMPUTED_VALUE"""),"https://www.datacenterdynamics.com/en/news/108mw-data-center-campus-granted-zoning-approval-outside-atlanta-georgia/")</f>
        <v>https://www.datacenterdynamics.com/en/news/108mw-data-center-campus-granted-zoning-approval-outside-atlanta-georgia/</v>
      </c>
      <c r="AJ246" s="1" t="str">
        <f>IFERROR(__xludf.DUMMYFUNCTION("""COMPUTED_VALUE"""),"")</f>
        <v/>
      </c>
      <c r="AK246" s="1" t="str">
        <f>IFERROR(__xludf.DUMMYFUNCTION("""COMPUTED_VALUE"""),"")</f>
        <v/>
      </c>
      <c r="AL246" s="1" t="str">
        <f>IFERROR(__xludf.DUMMYFUNCTION("""COMPUTED_VALUE"""),"")</f>
        <v/>
      </c>
      <c r="AM246" s="1" t="str">
        <f>IFERROR(__xludf.DUMMYFUNCTION("""COMPUTED_VALUE"""),"")</f>
        <v/>
      </c>
      <c r="AN246" s="1" t="str">
        <f>IFERROR(__xludf.DUMMYFUNCTION("""COMPUTED_VALUE"""),"")</f>
        <v/>
      </c>
      <c r="AO246" s="1" t="str">
        <f>IFERROR(__xludf.DUMMYFUNCTION("""COMPUTED_VALUE"""),"")</f>
        <v/>
      </c>
      <c r="AP246" s="1" t="str">
        <f>IFERROR(__xludf.DUMMYFUNCTION("""COMPUTED_VALUE"""),"")</f>
        <v/>
      </c>
      <c r="AQ246" s="1" t="str">
        <f>IFERROR(__xludf.DUMMYFUNCTION("""COMPUTED_VALUE"""),"06/19/2025")</f>
        <v>06/19/2025</v>
      </c>
      <c r="AR246" s="1" t="str">
        <f>IFERROR(__xludf.DUMMYFUNCTION("""COMPUTED_VALUE"""),"06/19/2025")</f>
        <v>06/19/2025</v>
      </c>
    </row>
    <row r="247">
      <c r="A247" s="1" t="str">
        <f>IFERROR(__xludf.DUMMYFUNCTION("""COMPUTED_VALUE"""),"Marietta Data Center")</f>
        <v>Marietta Data Center</v>
      </c>
      <c r="B247" s="1" t="str">
        <f>IFERROR(__xludf.DUMMYFUNCTION("""COMPUTED_VALUE"""),"1751 Bells Ferry Rd")</f>
        <v>1751 Bells Ferry Rd</v>
      </c>
      <c r="C247" s="1" t="str">
        <f>IFERROR(__xludf.DUMMYFUNCTION("""COMPUTED_VALUE"""),"Marietta")</f>
        <v>Marietta</v>
      </c>
      <c r="D247" s="1" t="str">
        <f>IFERROR(__xludf.DUMMYFUNCTION("""COMPUTED_VALUE"""),"GA")</f>
        <v>GA</v>
      </c>
      <c r="E247" s="1" t="str">
        <f>IFERROR(__xludf.DUMMYFUNCTION("""COMPUTED_VALUE"""),"30066")</f>
        <v>30066</v>
      </c>
      <c r="F247" s="1" t="str">
        <f>IFERROR(__xludf.DUMMYFUNCTION("""COMPUTED_VALUE"""),"Marrietta")</f>
        <v>Marrietta</v>
      </c>
      <c r="G247" s="1" t="str">
        <f>IFERROR(__xludf.DUMMYFUNCTION("""COMPUTED_VALUE"""),"33.994106")</f>
        <v>33.994106</v>
      </c>
      <c r="H247" s="1" t="str">
        <f>IFERROR(__xludf.DUMMYFUNCTION("""COMPUTED_VALUE"""),"-84.552986")</f>
        <v>-84.552986</v>
      </c>
      <c r="I247" s="1" t="str">
        <f>IFERROR(__xludf.DUMMYFUNCTION("""COMPUTED_VALUE"""),"Proposed")</f>
        <v>Proposed</v>
      </c>
      <c r="J247" s="1" t="str">
        <f>IFERROR(__xludf.DUMMYFUNCTION("""COMPUTED_VALUE"""),"High")</f>
        <v>High</v>
      </c>
      <c r="K247" s="1" t="str">
        <f>IFERROR(__xludf.DUMMYFUNCTION("""COMPUTED_VALUE"""),"")</f>
        <v/>
      </c>
      <c r="L247" s="1" t="str">
        <f>IFERROR(__xludf.DUMMYFUNCTION("""COMPUTED_VALUE"""),"MMM Acquisitions LLC/Grindcap")</f>
        <v>MMM Acquisitions LLC/Grindcap</v>
      </c>
      <c r="M247" s="1" t="str">
        <f>IFERROR(__xludf.DUMMYFUNCTION("""COMPUTED_VALUE"""),"")</f>
        <v/>
      </c>
      <c r="N247" s="1" t="str">
        <f>IFERROR(__xludf.DUMMYFUNCTION("""COMPUTED_VALUE"""),"180")</f>
        <v>180</v>
      </c>
      <c r="O247" s="1" t="str">
        <f>IFERROR(__xludf.DUMMYFUNCTION("""COMPUTED_VALUE"""),"Hyperscale (100-999 MW)")</f>
        <v>Hyperscale (100-999 MW)</v>
      </c>
      <c r="P247" s="1" t="str">
        <f>IFERROR(__xludf.DUMMYFUNCTION("""COMPUTED_VALUE"""),"")</f>
        <v/>
      </c>
      <c r="Q247" s="1" t="str">
        <f>IFERROR(__xludf.DUMMYFUNCTION("""COMPUTED_VALUE"""),"")</f>
        <v/>
      </c>
      <c r="R247" s="1" t="str">
        <f>IFERROR(__xludf.DUMMYFUNCTION("""COMPUTED_VALUE"""),"")</f>
        <v/>
      </c>
      <c r="S247" s="1" t="str">
        <f>IFERROR(__xludf.DUMMYFUNCTION("""COMPUTED_VALUE"""),"")</f>
        <v/>
      </c>
      <c r="T247" s="1" t="str">
        <f>IFERROR(__xludf.DUMMYFUNCTION("""COMPUTED_VALUE"""),"")</f>
        <v/>
      </c>
      <c r="U247" s="1" t="str">
        <f>IFERROR(__xludf.DUMMYFUNCTION("""COMPUTED_VALUE"""),"")</f>
        <v/>
      </c>
      <c r="V247" s="1" t="str">
        <f>IFERROR(__xludf.DUMMYFUNCTION("""COMPUTED_VALUE"""),"347,200")</f>
        <v>347,200</v>
      </c>
      <c r="W247" s="1" t="str">
        <f>IFERROR(__xludf.DUMMYFUNCTION("""COMPUTED_VALUE"""),"31")</f>
        <v>31</v>
      </c>
      <c r="X247" s="1" t="str">
        <f>IFERROR(__xludf.DUMMYFUNCTION("""COMPUTED_VALUE"""),"")</f>
        <v/>
      </c>
      <c r="Y247" s="1" t="str">
        <f>IFERROR(__xludf.DUMMYFUNCTION("""COMPUTED_VALUE"""),"")</f>
        <v/>
      </c>
      <c r="Z247" s="1" t="str">
        <f>IFERROR(__xludf.DUMMYFUNCTION("""COMPUTED_VALUE"""),"Unknown")</f>
        <v>Unknown</v>
      </c>
      <c r="AA247" s="1" t="str">
        <f>IFERROR(__xludf.DUMMYFUNCTION("""COMPUTED_VALUE"""),"")</f>
        <v/>
      </c>
      <c r="AB247" s="1" t="str">
        <f>IFERROR(__xludf.DUMMYFUNCTION("""COMPUTED_VALUE"""),"")</f>
        <v/>
      </c>
      <c r="AC247" s="1" t="str">
        <f>IFERROR(__xludf.DUMMYFUNCTION("""COMPUTED_VALUE"""),"")</f>
        <v/>
      </c>
      <c r="AD247" s="1" t="str">
        <f>IFERROR(__xludf.DUMMYFUNCTION("""COMPUTED_VALUE"""),"")</f>
        <v/>
      </c>
      <c r="AE247" s="1" t="str">
        <f>IFERROR(__xludf.DUMMYFUNCTION("""COMPUTED_VALUE"""),"")</f>
        <v/>
      </c>
      <c r="AF247" s="1" t="str">
        <f>IFERROR(__xludf.DUMMYFUNCTION("""COMPUTED_VALUE"""),"")</f>
        <v/>
      </c>
      <c r="AG247" s="1" t="str">
        <f>IFERROR(__xludf.DUMMYFUNCTION("""COMPUTED_VALUE"""),"Marietta City Council approves plan for 31-acre data center")</f>
        <v>Marietta City Council approves plan for 31-acre data center</v>
      </c>
      <c r="AH247" s="1" t="str">
        <f>IFERROR(__xludf.DUMMYFUNCTION("""COMPUTED_VALUE"""),"Sci4GA")</f>
        <v>Sci4GA</v>
      </c>
      <c r="AI247" s="2" t="str">
        <f>IFERROR(__xludf.DUMMYFUNCTION("""COMPUTED_VALUE"""),"https://www.datacenterdynamics.com/en/news/108mw-data-center-campus-granted-zoning-approval-outside-atlanta-georgia/")</f>
        <v>https://www.datacenterdynamics.com/en/news/108mw-data-center-campus-granted-zoning-approval-outside-atlanta-georgia/</v>
      </c>
      <c r="AJ247" s="1" t="str">
        <f>IFERROR(__xludf.DUMMYFUNCTION("""COMPUTED_VALUE"""),"")</f>
        <v/>
      </c>
      <c r="AK247" s="1" t="str">
        <f>IFERROR(__xludf.DUMMYFUNCTION("""COMPUTED_VALUE"""),"")</f>
        <v/>
      </c>
      <c r="AL247" s="1" t="str">
        <f>IFERROR(__xludf.DUMMYFUNCTION("""COMPUTED_VALUE"""),"")</f>
        <v/>
      </c>
      <c r="AM247" s="1" t="str">
        <f>IFERROR(__xludf.DUMMYFUNCTION("""COMPUTED_VALUE"""),"")</f>
        <v/>
      </c>
      <c r="AN247" s="1" t="str">
        <f>IFERROR(__xludf.DUMMYFUNCTION("""COMPUTED_VALUE"""),"")</f>
        <v/>
      </c>
      <c r="AO247" s="1" t="str">
        <f>IFERROR(__xludf.DUMMYFUNCTION("""COMPUTED_VALUE"""),"")</f>
        <v/>
      </c>
      <c r="AP247" s="1" t="str">
        <f>IFERROR(__xludf.DUMMYFUNCTION("""COMPUTED_VALUE"""),"")</f>
        <v/>
      </c>
      <c r="AQ247" s="1" t="str">
        <f>IFERROR(__xludf.DUMMYFUNCTION("""COMPUTED_VALUE"""),"10/16/2025")</f>
        <v>10/16/2025</v>
      </c>
      <c r="AR247" s="1" t="str">
        <f>IFERROR(__xludf.DUMMYFUNCTION("""COMPUTED_VALUE"""),"10/16/2025")</f>
        <v>10/16/2025</v>
      </c>
    </row>
    <row r="248">
      <c r="A248" s="1" t="str">
        <f>IFERROR(__xludf.DUMMYFUNCTION("""COMPUTED_VALUE"""),"Prime Storage Data Center")</f>
        <v>Prime Storage Data Center</v>
      </c>
      <c r="B248" s="1" t="str">
        <f>IFERROR(__xludf.DUMMYFUNCTION("""COMPUTED_VALUE"""),"1155 Powers Ferry Place")</f>
        <v>1155 Powers Ferry Place</v>
      </c>
      <c r="C248" s="1" t="str">
        <f>IFERROR(__xludf.DUMMYFUNCTION("""COMPUTED_VALUE"""),"Marietta")</f>
        <v>Marietta</v>
      </c>
      <c r="D248" s="1" t="str">
        <f>IFERROR(__xludf.DUMMYFUNCTION("""COMPUTED_VALUE"""),"GA")</f>
        <v>GA</v>
      </c>
      <c r="E248" s="1" t="str">
        <f>IFERROR(__xludf.DUMMYFUNCTION("""COMPUTED_VALUE"""),"30067")</f>
        <v>30067</v>
      </c>
      <c r="F248" s="1" t="str">
        <f>IFERROR(__xludf.DUMMYFUNCTION("""COMPUTED_VALUE"""),"Cobb")</f>
        <v>Cobb</v>
      </c>
      <c r="G248" s="1" t="str">
        <f>IFERROR(__xludf.DUMMYFUNCTION("""COMPUTED_VALUE"""),"33.926487")</f>
        <v>33.926487</v>
      </c>
      <c r="H248" s="1" t="str">
        <f>IFERROR(__xludf.DUMMYFUNCTION("""COMPUTED_VALUE"""),"-84.48636")</f>
        <v>-84.48636</v>
      </c>
      <c r="I248" s="1" t="str">
        <f>IFERROR(__xludf.DUMMYFUNCTION("""COMPUTED_VALUE"""),"Proposed")</f>
        <v>Proposed</v>
      </c>
      <c r="J248" s="1" t="str">
        <f>IFERROR(__xludf.DUMMYFUNCTION("""COMPUTED_VALUE"""),"High")</f>
        <v>High</v>
      </c>
      <c r="K248" s="1" t="str">
        <f>IFERROR(__xludf.DUMMYFUNCTION("""COMPUTED_VALUE"""),"")</f>
        <v/>
      </c>
      <c r="L248" s="1" t="str">
        <f>IFERROR(__xludf.DUMMYFUNCTION("""COMPUTED_VALUE"""),"")</f>
        <v/>
      </c>
      <c r="M248" s="1" t="str">
        <f>IFERROR(__xludf.DUMMYFUNCTION("""COMPUTED_VALUE"""),"")</f>
        <v/>
      </c>
      <c r="N248" s="1" t="str">
        <f>IFERROR(__xludf.DUMMYFUNCTION("""COMPUTED_VALUE"""),"18")</f>
        <v>18</v>
      </c>
      <c r="O248" s="1" t="str">
        <f>IFERROR(__xludf.DUMMYFUNCTION("""COMPUTED_VALUE"""),"Medium (11-50 MW)")</f>
        <v>Medium (11-50 MW)</v>
      </c>
      <c r="P248" s="1" t="str">
        <f>IFERROR(__xludf.DUMMYFUNCTION("""COMPUTED_VALUE"""),"")</f>
        <v/>
      </c>
      <c r="Q248" s="1" t="str">
        <f>IFERROR(__xludf.DUMMYFUNCTION("""COMPUTED_VALUE"""),"")</f>
        <v/>
      </c>
      <c r="R248" s="1" t="str">
        <f>IFERROR(__xludf.DUMMYFUNCTION("""COMPUTED_VALUE"""),"")</f>
        <v/>
      </c>
      <c r="S248" s="1" t="str">
        <f>IFERROR(__xludf.DUMMYFUNCTION("""COMPUTED_VALUE"""),"")</f>
        <v/>
      </c>
      <c r="T248" s="1" t="str">
        <f>IFERROR(__xludf.DUMMYFUNCTION("""COMPUTED_VALUE"""),"")</f>
        <v/>
      </c>
      <c r="U248" s="1" t="str">
        <f>IFERROR(__xludf.DUMMYFUNCTION("""COMPUTED_VALUE"""),"")</f>
        <v/>
      </c>
      <c r="V248" s="1" t="str">
        <f>IFERROR(__xludf.DUMMYFUNCTION("""COMPUTED_VALUE"""),"37,000")</f>
        <v>37,000</v>
      </c>
      <c r="W248" s="1" t="str">
        <f>IFERROR(__xludf.DUMMYFUNCTION("""COMPUTED_VALUE"""),"11")</f>
        <v>11</v>
      </c>
      <c r="X248" s="1" t="str">
        <f>IFERROR(__xludf.DUMMYFUNCTION("""COMPUTED_VALUE"""),"")</f>
        <v/>
      </c>
      <c r="Y248" s="1" t="str">
        <f>IFERROR(__xludf.DUMMYFUNCTION("""COMPUTED_VALUE"""),"")</f>
        <v/>
      </c>
      <c r="Z248" s="1" t="str">
        <f>IFERROR(__xludf.DUMMYFUNCTION("""COMPUTED_VALUE"""),"")</f>
        <v/>
      </c>
      <c r="AA248" s="1" t="str">
        <f>IFERROR(__xludf.DUMMYFUNCTION("""COMPUTED_VALUE"""),"")</f>
        <v/>
      </c>
      <c r="AB248" s="1" t="str">
        <f>IFERROR(__xludf.DUMMYFUNCTION("""COMPUTED_VALUE"""),"")</f>
        <v/>
      </c>
      <c r="AC248" s="1" t="str">
        <f>IFERROR(__xludf.DUMMYFUNCTION("""COMPUTED_VALUE"""),"")</f>
        <v/>
      </c>
      <c r="AD248" s="1" t="str">
        <f>IFERROR(__xludf.DUMMYFUNCTION("""COMPUTED_VALUE"""),"")</f>
        <v/>
      </c>
      <c r="AE248" s="1" t="str">
        <f>IFERROR(__xludf.DUMMYFUNCTION("""COMPUTED_VALUE"""),"")</f>
        <v/>
      </c>
      <c r="AF248" s="1" t="str">
        <f>IFERROR(__xludf.DUMMYFUNCTION("""COMPUTED_VALUE"""),"")</f>
        <v/>
      </c>
      <c r="AG248" s="1" t="str">
        <f>IFERROR(__xludf.DUMMYFUNCTION("""COMPUTED_VALUE"""),"")</f>
        <v/>
      </c>
      <c r="AH248" s="1" t="str">
        <f>IFERROR(__xludf.DUMMYFUNCTION("""COMPUTED_VALUE"""),"Media Monitoring")</f>
        <v>Media Monitoring</v>
      </c>
      <c r="AI248" s="2" t="str">
        <f>IFERROR(__xludf.DUMMYFUNCTION("""COMPUTED_VALUE"""),"https://www.datacenterdynamics.com/en/news/self-storage-facility-in-marietta-georgia-targeted-for-18mw-data-center/")</f>
        <v>https://www.datacenterdynamics.com/en/news/self-storage-facility-in-marietta-georgia-targeted-for-18mw-data-center/</v>
      </c>
      <c r="AJ248" s="1" t="str">
        <f>IFERROR(__xludf.DUMMYFUNCTION("""COMPUTED_VALUE"""),"")</f>
        <v/>
      </c>
      <c r="AK248" s="1" t="str">
        <f>IFERROR(__xludf.DUMMYFUNCTION("""COMPUTED_VALUE"""),"")</f>
        <v/>
      </c>
      <c r="AL248" s="1" t="str">
        <f>IFERROR(__xludf.DUMMYFUNCTION("""COMPUTED_VALUE"""),"")</f>
        <v/>
      </c>
      <c r="AM248" s="1" t="str">
        <f>IFERROR(__xludf.DUMMYFUNCTION("""COMPUTED_VALUE"""),"")</f>
        <v/>
      </c>
      <c r="AN248" s="1" t="str">
        <f>IFERROR(__xludf.DUMMYFUNCTION("""COMPUTED_VALUE"""),"")</f>
        <v/>
      </c>
      <c r="AO248" s="1" t="str">
        <f>IFERROR(__xludf.DUMMYFUNCTION("""COMPUTED_VALUE"""),"")</f>
        <v/>
      </c>
      <c r="AP248" s="1" t="str">
        <f>IFERROR(__xludf.DUMMYFUNCTION("""COMPUTED_VALUE"""),"")</f>
        <v/>
      </c>
      <c r="AQ248" s="1" t="str">
        <f>IFERROR(__xludf.DUMMYFUNCTION("""COMPUTED_VALUE"""),"07/14/2026")</f>
        <v>07/14/2026</v>
      </c>
      <c r="AR248" s="1" t="str">
        <f>IFERROR(__xludf.DUMMYFUNCTION("""COMPUTED_VALUE"""),"07/14/2026")</f>
        <v>07/14/2026</v>
      </c>
    </row>
    <row r="249">
      <c r="A249" s="1" t="str">
        <f>IFERROR(__xludf.DUMMYFUNCTION("""COMPUTED_VALUE"""),"Northern Data")</f>
        <v>Northern Data</v>
      </c>
      <c r="B249" s="1" t="str">
        <f>IFERROR(__xludf.DUMMYFUNCTION("""COMPUTED_VALUE"""),"121 Industrial Dr")</f>
        <v>121 Industrial Dr</v>
      </c>
      <c r="C249" s="1" t="str">
        <f>IFERROR(__xludf.DUMMYFUNCTION("""COMPUTED_VALUE"""),"Maysville")</f>
        <v>Maysville</v>
      </c>
      <c r="D249" s="1" t="str">
        <f>IFERROR(__xludf.DUMMYFUNCTION("""COMPUTED_VALUE"""),"GA")</f>
        <v>GA</v>
      </c>
      <c r="E249" s="1" t="str">
        <f>IFERROR(__xludf.DUMMYFUNCTION("""COMPUTED_VALUE"""),"30558")</f>
        <v>30558</v>
      </c>
      <c r="F249" s="1" t="str">
        <f>IFERROR(__xludf.DUMMYFUNCTION("""COMPUTED_VALUE"""),"Jackson")</f>
        <v>Jackson</v>
      </c>
      <c r="G249" s="1" t="str">
        <f>IFERROR(__xludf.DUMMYFUNCTION("""COMPUTED_VALUE"""),"34.24332")</f>
        <v>34.24332</v>
      </c>
      <c r="H249" s="1" t="str">
        <f>IFERROR(__xludf.DUMMYFUNCTION("""COMPUTED_VALUE"""),"-83.54896")</f>
        <v>-83.54896</v>
      </c>
      <c r="I249" s="1" t="str">
        <f>IFERROR(__xludf.DUMMYFUNCTION("""COMPUTED_VALUE"""),"Proposed")</f>
        <v>Proposed</v>
      </c>
      <c r="J249" s="1" t="str">
        <f>IFERROR(__xludf.DUMMYFUNCTION("""COMPUTED_VALUE"""),"High")</f>
        <v>High</v>
      </c>
      <c r="K249" s="1" t="str">
        <f>IFERROR(__xludf.DUMMYFUNCTION("""COMPUTED_VALUE"""),"")</f>
        <v/>
      </c>
      <c r="L249" s="1" t="str">
        <f>IFERROR(__xludf.DUMMYFUNCTION("""COMPUTED_VALUE"""),"Rumble")</f>
        <v>Rumble</v>
      </c>
      <c r="M249" s="1" t="str">
        <f>IFERROR(__xludf.DUMMYFUNCTION("""COMPUTED_VALUE"""),"")</f>
        <v/>
      </c>
      <c r="N249" s="1" t="str">
        <f>IFERROR(__xludf.DUMMYFUNCTION("""COMPUTED_VALUE"""),"120-180")</f>
        <v>120-180</v>
      </c>
      <c r="O249" s="1" t="str">
        <f>IFERROR(__xludf.DUMMYFUNCTION("""COMPUTED_VALUE"""),"Unknown")</f>
        <v>Unknown</v>
      </c>
      <c r="P249" s="1" t="str">
        <f>IFERROR(__xludf.DUMMYFUNCTION("""COMPUTED_VALUE"""),"")</f>
        <v/>
      </c>
      <c r="Q249" s="1" t="str">
        <f>IFERROR(__xludf.DUMMYFUNCTION("""COMPUTED_VALUE"""),"")</f>
        <v/>
      </c>
      <c r="R249" s="1" t="str">
        <f>IFERROR(__xludf.DUMMYFUNCTION("""COMPUTED_VALUE"""),"")</f>
        <v/>
      </c>
      <c r="S249" s="1" t="str">
        <f>IFERROR(__xludf.DUMMYFUNCTION("""COMPUTED_VALUE"""),"")</f>
        <v/>
      </c>
      <c r="T249" s="1" t="str">
        <f>IFERROR(__xludf.DUMMYFUNCTION("""COMPUTED_VALUE"""),"")</f>
        <v/>
      </c>
      <c r="U249" s="1" t="str">
        <f>IFERROR(__xludf.DUMMYFUNCTION("""COMPUTED_VALUE"""),"")</f>
        <v/>
      </c>
      <c r="V249" s="1" t="str">
        <f>IFERROR(__xludf.DUMMYFUNCTION("""COMPUTED_VALUE"""),"")</f>
        <v/>
      </c>
      <c r="W249" s="1" t="str">
        <f>IFERROR(__xludf.DUMMYFUNCTION("""COMPUTED_VALUE"""),"57")</f>
        <v>57</v>
      </c>
      <c r="X249" s="1" t="str">
        <f>IFERROR(__xludf.DUMMYFUNCTION("""COMPUTED_VALUE"""),"")</f>
        <v/>
      </c>
      <c r="Y249" s="1" t="str">
        <f>IFERROR(__xludf.DUMMYFUNCTION("""COMPUTED_VALUE"""),"2027")</f>
        <v>2027</v>
      </c>
      <c r="Z249" s="1" t="str">
        <f>IFERROR(__xludf.DUMMYFUNCTION("""COMPUTED_VALUE"""),"Yes")</f>
        <v>Yes</v>
      </c>
      <c r="AA249" s="1" t="str">
        <f>IFERROR(__xludf.DUMMYFUNCTION("""COMPUTED_VALUE"""),"")</f>
        <v/>
      </c>
      <c r="AB249" s="1" t="str">
        <f>IFERROR(__xludf.DUMMYFUNCTION("""COMPUTED_VALUE"""),"Organized Advocacy")</f>
        <v>Organized Advocacy</v>
      </c>
      <c r="AC249" s="1" t="str">
        <f>IFERROR(__xludf.DUMMYFUNCTION("""COMPUTED_VALUE"""),"")</f>
        <v/>
      </c>
      <c r="AD249" s="2" t="str">
        <f>IFERROR(__xludf.DUMMYFUNCTION("""COMPUTED_VALUE"""),"https://maysvilleneighbor.com/")</f>
        <v>https://maysvilleneighbor.com/</v>
      </c>
      <c r="AE249" s="2" t="str">
        <f>IFERROR(__xludf.DUMMYFUNCTION("""COMPUTED_VALUE"""),"https://www.facebook.com/groups/2372799773209620/posts/2397059260783671/")</f>
        <v>https://www.facebook.com/groups/2372799773209620/posts/2397059260783671/</v>
      </c>
      <c r="AF249" s="1" t="str">
        <f>IFERROR(__xludf.DUMMYFUNCTION("""COMPUTED_VALUE"""),"")</f>
        <v/>
      </c>
      <c r="AG249" s="1" t="str">
        <f>IFERROR(__xludf.DUMMYFUNCTION("""COMPUTED_VALUE"""),"")</f>
        <v/>
      </c>
      <c r="AH249" s="1" t="str">
        <f>IFERROR(__xludf.DUMMYFUNCTION("""COMPUTED_VALUE"""),"Media Monitoring")</f>
        <v>Media Monitoring</v>
      </c>
      <c r="AI249" s="2" t="str">
        <f>IFERROR(__xludf.DUMMYFUNCTION("""COMPUTED_VALUE"""),"https://www.datacenterdynamics.com/en/news/northern-data-to-develop-120mw-hpc-data-center-in-georgia/")</f>
        <v>https://www.datacenterdynamics.com/en/news/northern-data-to-develop-120mw-hpc-data-center-in-georgia/</v>
      </c>
      <c r="AJ249" s="2" t="str">
        <f>IFERROR(__xludf.DUMMYFUNCTION("""COMPUTED_VALUE"""),"https://youtu.be/dGPgLtTRUC4?si=SoRMfJP1pCCPNLMm")</f>
        <v>https://youtu.be/dGPgLtTRUC4?si=SoRMfJP1pCCPNLMm</v>
      </c>
      <c r="AK249" s="2" t="str">
        <f>IFERROR(__xludf.DUMMYFUNCTION("""COMPUTED_VALUE"""),"https://accessnorthga.com/news/citizens-fight-back-as-maysville-cancels-special-meeting-regarding-data-center")</f>
        <v>https://accessnorthga.com/news/citizens-fight-back-as-maysville-cancels-special-meeting-regarding-data-center</v>
      </c>
      <c r="AL249" s="1" t="str">
        <f>IFERROR(__xludf.DUMMYFUNCTION("""COMPUTED_VALUE"""),"")</f>
        <v/>
      </c>
      <c r="AM249" s="1" t="str">
        <f>IFERROR(__xludf.DUMMYFUNCTION("""COMPUTED_VALUE"""),"")</f>
        <v/>
      </c>
      <c r="AN249" s="1" t="str">
        <f>IFERROR(__xludf.DUMMYFUNCTION("""COMPUTED_VALUE"""),"")</f>
        <v/>
      </c>
      <c r="AO249" s="1" t="str">
        <f>IFERROR(__xludf.DUMMYFUNCTION("""COMPUTED_VALUE"""),"")</f>
        <v/>
      </c>
      <c r="AP249" s="1" t="str">
        <f>IFERROR(__xludf.DUMMYFUNCTION("""COMPUTED_VALUE"""),"")</f>
        <v/>
      </c>
      <c r="AQ249" s="1" t="str">
        <f>IFERROR(__xludf.DUMMYFUNCTION("""COMPUTED_VALUE"""),"06/09/2025")</f>
        <v>06/09/2025</v>
      </c>
      <c r="AR249" s="1" t="str">
        <f>IFERROR(__xludf.DUMMYFUNCTION("""COMPUTED_VALUE"""),"07/14/2026")</f>
        <v>07/14/2026</v>
      </c>
    </row>
    <row r="250">
      <c r="A250" s="1" t="str">
        <f>IFERROR(__xludf.DUMMYFUNCTION("""COMPUTED_VALUE"""),"Central Coweta Industrial Phase II")</f>
        <v>Central Coweta Industrial Phase II</v>
      </c>
      <c r="B250" s="1" t="str">
        <f>IFERROR(__xludf.DUMMYFUNCTION("""COMPUTED_VALUE"""),"between Amlajack Boulevard and Coweta Industrial Parkway")</f>
        <v>between Amlajack Boulevard and Coweta Industrial Parkway</v>
      </c>
      <c r="C250" s="1" t="str">
        <f>IFERROR(__xludf.DUMMYFUNCTION("""COMPUTED_VALUE"""),"Newnan")</f>
        <v>Newnan</v>
      </c>
      <c r="D250" s="1" t="str">
        <f>IFERROR(__xludf.DUMMYFUNCTION("""COMPUTED_VALUE"""),"GA")</f>
        <v>GA</v>
      </c>
      <c r="E250" s="1" t="str">
        <f>IFERROR(__xludf.DUMMYFUNCTION("""COMPUTED_VALUE"""),"30265")</f>
        <v>30265</v>
      </c>
      <c r="F250" s="1" t="str">
        <f>IFERROR(__xludf.DUMMYFUNCTION("""COMPUTED_VALUE"""),"Coweta")</f>
        <v>Coweta</v>
      </c>
      <c r="G250" s="1" t="str">
        <f>IFERROR(__xludf.DUMMYFUNCTION("""COMPUTED_VALUE"""),"33.42518")</f>
        <v>33.42518</v>
      </c>
      <c r="H250" s="1" t="str">
        <f>IFERROR(__xludf.DUMMYFUNCTION("""COMPUTED_VALUE"""),"-84.72857")</f>
        <v>-84.72857</v>
      </c>
      <c r="I250" s="1" t="str">
        <f>IFERROR(__xludf.DUMMYFUNCTION("""COMPUTED_VALUE"""),"Proposed")</f>
        <v>Proposed</v>
      </c>
      <c r="J250" s="1" t="str">
        <f>IFERROR(__xludf.DUMMYFUNCTION("""COMPUTED_VALUE"""),"High")</f>
        <v>High</v>
      </c>
      <c r="K250" s="1" t="str">
        <f>IFERROR(__xludf.DUMMYFUNCTION("""COMPUTED_VALUE"""),"")</f>
        <v/>
      </c>
      <c r="L250" s="1" t="str">
        <f>IFERROR(__xludf.DUMMYFUNCTION("""COMPUTED_VALUE"""),"Central Coweta Industrial LLC, Brent Holdings")</f>
        <v>Central Coweta Industrial LLC, Brent Holdings</v>
      </c>
      <c r="M250" s="1" t="str">
        <f>IFERROR(__xludf.DUMMYFUNCTION("""COMPUTED_VALUE"""),"")</f>
        <v/>
      </c>
      <c r="N250" s="1" t="str">
        <f>IFERROR(__xludf.DUMMYFUNCTION("""COMPUTED_VALUE"""),"")</f>
        <v/>
      </c>
      <c r="O250" s="1" t="str">
        <f>IFERROR(__xludf.DUMMYFUNCTION("""COMPUTED_VALUE"""),"Unknown")</f>
        <v>Unknown</v>
      </c>
      <c r="P250" s="1" t="str">
        <f>IFERROR(__xludf.DUMMYFUNCTION("""COMPUTED_VALUE"""),"")</f>
        <v/>
      </c>
      <c r="Q250" s="1" t="str">
        <f>IFERROR(__xludf.DUMMYFUNCTION("""COMPUTED_VALUE"""),"")</f>
        <v/>
      </c>
      <c r="R250" s="1" t="str">
        <f>IFERROR(__xludf.DUMMYFUNCTION("""COMPUTED_VALUE"""),"")</f>
        <v/>
      </c>
      <c r="S250" s="1" t="str">
        <f>IFERROR(__xludf.DUMMYFUNCTION("""COMPUTED_VALUE"""),"")</f>
        <v/>
      </c>
      <c r="T250" s="1" t="str">
        <f>IFERROR(__xludf.DUMMYFUNCTION("""COMPUTED_VALUE"""),"")</f>
        <v/>
      </c>
      <c r="U250" s="1" t="str">
        <f>IFERROR(__xludf.DUMMYFUNCTION("""COMPUTED_VALUE"""),"")</f>
        <v/>
      </c>
      <c r="V250" s="1" t="str">
        <f>IFERROR(__xludf.DUMMYFUNCTION("""COMPUTED_VALUE"""),"24,000,000")</f>
        <v>24,000,000</v>
      </c>
      <c r="W250" s="1" t="str">
        <f>IFERROR(__xludf.DUMMYFUNCTION("""COMPUTED_VALUE"""),"")</f>
        <v/>
      </c>
      <c r="X250" s="1" t="str">
        <f>IFERROR(__xludf.DUMMYFUNCTION("""COMPUTED_VALUE"""),"")</f>
        <v/>
      </c>
      <c r="Y250" s="1" t="str">
        <f>IFERROR(__xludf.DUMMYFUNCTION("""COMPUTED_VALUE"""),"")</f>
        <v/>
      </c>
      <c r="Z250" s="1" t="str">
        <f>IFERROR(__xludf.DUMMYFUNCTION("""COMPUTED_VALUE"""),"Unknown")</f>
        <v>Unknown</v>
      </c>
      <c r="AA250" s="1" t="str">
        <f>IFERROR(__xludf.DUMMYFUNCTION("""COMPUTED_VALUE"""),"")</f>
        <v/>
      </c>
      <c r="AB250" s="1" t="str">
        <f>IFERROR(__xludf.DUMMYFUNCTION("""COMPUTED_VALUE"""),"")</f>
        <v/>
      </c>
      <c r="AC250" s="1" t="str">
        <f>IFERROR(__xludf.DUMMYFUNCTION("""COMPUTED_VALUE"""),"")</f>
        <v/>
      </c>
      <c r="AD250" s="1" t="str">
        <f>IFERROR(__xludf.DUMMYFUNCTION("""COMPUTED_VALUE"""),"")</f>
        <v/>
      </c>
      <c r="AE250" s="1" t="str">
        <f>IFERROR(__xludf.DUMMYFUNCTION("""COMPUTED_VALUE"""),"")</f>
        <v/>
      </c>
      <c r="AF250" s="1" t="str">
        <f>IFERROR(__xludf.DUMMYFUNCTION("""COMPUTED_VALUE"""),"")</f>
        <v/>
      </c>
      <c r="AG250" s="1" t="str">
        <f>IFERROR(__xludf.DUMMYFUNCTION("""COMPUTED_VALUE"""),"")</f>
        <v/>
      </c>
      <c r="AH250" s="1" t="str">
        <f>IFERROR(__xludf.DUMMYFUNCTION("""COMPUTED_VALUE"""),"Sci4GA")</f>
        <v>Sci4GA</v>
      </c>
      <c r="AI250" s="2" t="str">
        <f>IFERROR(__xludf.DUMMYFUNCTION("""COMPUTED_VALUE"""),"https://www.times-herald.com/news/new-proposed-4-billion-data-center-development-under-review-in-coweta/article_2fad1ded-9f1c-4b67-9be1-29a4f027a3d3.html")</f>
        <v>https://www.times-herald.com/news/new-proposed-4-billion-data-center-development-under-review-in-coweta/article_2fad1ded-9f1c-4b67-9be1-29a4f027a3d3.html</v>
      </c>
      <c r="AJ250" s="1" t="str">
        <f>IFERROR(__xludf.DUMMYFUNCTION("""COMPUTED_VALUE"""),"")</f>
        <v/>
      </c>
      <c r="AK250" s="1" t="str">
        <f>IFERROR(__xludf.DUMMYFUNCTION("""COMPUTED_VALUE"""),"")</f>
        <v/>
      </c>
      <c r="AL250" s="1" t="str">
        <f>IFERROR(__xludf.DUMMYFUNCTION("""COMPUTED_VALUE"""),"")</f>
        <v/>
      </c>
      <c r="AM250" s="1" t="str">
        <f>IFERROR(__xludf.DUMMYFUNCTION("""COMPUTED_VALUE"""),"")</f>
        <v/>
      </c>
      <c r="AN250" s="1" t="str">
        <f>IFERROR(__xludf.DUMMYFUNCTION("""COMPUTED_VALUE"""),"")</f>
        <v/>
      </c>
      <c r="AO250" s="1" t="str">
        <f>IFERROR(__xludf.DUMMYFUNCTION("""COMPUTED_VALUE"""),"")</f>
        <v/>
      </c>
      <c r="AP250" s="1" t="str">
        <f>IFERROR(__xludf.DUMMYFUNCTION("""COMPUTED_VALUE"""),"")</f>
        <v/>
      </c>
      <c r="AQ250" s="1" t="str">
        <f>IFERROR(__xludf.DUMMYFUNCTION("""COMPUTED_VALUE"""),"10/16/2025")</f>
        <v>10/16/2025</v>
      </c>
      <c r="AR250" s="1" t="str">
        <f>IFERROR(__xludf.DUMMYFUNCTION("""COMPUTED_VALUE"""),"10/16/2025")</f>
        <v>10/16/2025</v>
      </c>
    </row>
    <row r="251">
      <c r="A251" s="1" t="str">
        <f>IFERROR(__xludf.DUMMYFUNCTION("""COMPUTED_VALUE"""),"Project Sail")</f>
        <v>Project Sail</v>
      </c>
      <c r="B251" s="1" t="str">
        <f>IFERROR(__xludf.DUMMYFUNCTION("""COMPUTED_VALUE"""),"1534 Welcome Sargent Rd")</f>
        <v>1534 Welcome Sargent Rd</v>
      </c>
      <c r="C251" s="1" t="str">
        <f>IFERROR(__xludf.DUMMYFUNCTION("""COMPUTED_VALUE"""),"Newnan")</f>
        <v>Newnan</v>
      </c>
      <c r="D251" s="1" t="str">
        <f>IFERROR(__xludf.DUMMYFUNCTION("""COMPUTED_VALUE"""),"GA")</f>
        <v>GA</v>
      </c>
      <c r="E251" s="1" t="str">
        <f>IFERROR(__xludf.DUMMYFUNCTION("""COMPUTED_VALUE"""),"30263")</f>
        <v>30263</v>
      </c>
      <c r="F251" s="1" t="str">
        <f>IFERROR(__xludf.DUMMYFUNCTION("""COMPUTED_VALUE"""),"Coweta")</f>
        <v>Coweta</v>
      </c>
      <c r="G251" s="1" t="str">
        <f>IFERROR(__xludf.DUMMYFUNCTION("""COMPUTED_VALUE"""),"33.43413")</f>
        <v>33.43413</v>
      </c>
      <c r="H251" s="1" t="str">
        <f>IFERROR(__xludf.DUMMYFUNCTION("""COMPUTED_VALUE"""),"-84.8768")</f>
        <v>-84.8768</v>
      </c>
      <c r="I251" s="1" t="str">
        <f>IFERROR(__xludf.DUMMYFUNCTION("""COMPUTED_VALUE"""),"Approved/Permitted/Under construction")</f>
        <v>Approved/Permitted/Under construction</v>
      </c>
      <c r="J251" s="1" t="str">
        <f>IFERROR(__xludf.DUMMYFUNCTION("""COMPUTED_VALUE"""),"High")</f>
        <v>High</v>
      </c>
      <c r="K251" s="1" t="str">
        <f>IFERROR(__xludf.DUMMYFUNCTION("""COMPUTED_VALUE"""),"")</f>
        <v/>
      </c>
      <c r="L251" s="1" t="str">
        <f>IFERROR(__xludf.DUMMYFUNCTION("""COMPUTED_VALUE"""),"Atlas Development")</f>
        <v>Atlas Development</v>
      </c>
      <c r="M251" s="1" t="str">
        <f>IFERROR(__xludf.DUMMYFUNCTION("""COMPUTED_VALUE"""),"")</f>
        <v/>
      </c>
      <c r="N251" s="1" t="str">
        <f>IFERROR(__xludf.DUMMYFUNCTION("""COMPUTED_VALUE"""),"936")</f>
        <v>936</v>
      </c>
      <c r="O251" s="1" t="str">
        <f>IFERROR(__xludf.DUMMYFUNCTION("""COMPUTED_VALUE"""),"Hyperscale (100-999 MW)")</f>
        <v>Hyperscale (100-999 MW)</v>
      </c>
      <c r="P251" s="1" t="str">
        <f>IFERROR(__xludf.DUMMYFUNCTION("""COMPUTED_VALUE"""),"")</f>
        <v/>
      </c>
      <c r="Q251" s="1" t="str">
        <f>IFERROR(__xludf.DUMMYFUNCTION("""COMPUTED_VALUE"""),"")</f>
        <v/>
      </c>
      <c r="R251" s="1" t="str">
        <f>IFERROR(__xludf.DUMMYFUNCTION("""COMPUTED_VALUE"""),"")</f>
        <v/>
      </c>
      <c r="S251" s="1" t="str">
        <f>IFERROR(__xludf.DUMMYFUNCTION("""COMPUTED_VALUE"""),"13")</f>
        <v>13</v>
      </c>
      <c r="T251" s="1" t="str">
        <f>IFERROR(__xludf.DUMMYFUNCTION("""COMPUTED_VALUE"""),"")</f>
        <v/>
      </c>
      <c r="U251" s="1" t="str">
        <f>IFERROR(__xludf.DUMMYFUNCTION("""COMPUTED_VALUE"""),"")</f>
        <v/>
      </c>
      <c r="V251" s="1" t="str">
        <f>IFERROR(__xludf.DUMMYFUNCTION("""COMPUTED_VALUE"""),"4,900,000")</f>
        <v>4,900,000</v>
      </c>
      <c r="W251" s="1" t="str">
        <f>IFERROR(__xludf.DUMMYFUNCTION("""COMPUTED_VALUE"""),"832")</f>
        <v>832</v>
      </c>
      <c r="X251" s="1" t="str">
        <f>IFERROR(__xludf.DUMMYFUNCTION("""COMPUTED_VALUE"""),"$17 billion")</f>
        <v>$17 billion</v>
      </c>
      <c r="Y251" s="1" t="str">
        <f>IFERROR(__xludf.DUMMYFUNCTION("""COMPUTED_VALUE"""),"")</f>
        <v/>
      </c>
      <c r="Z251" s="1" t="str">
        <f>IFERROR(__xludf.DUMMYFUNCTION("""COMPUTED_VALUE"""),"Yes")</f>
        <v>Yes</v>
      </c>
      <c r="AA251" s="1" t="str">
        <f>IFERROR(__xludf.DUMMYFUNCTION("""COMPUTED_VALUE"""),"")</f>
        <v/>
      </c>
      <c r="AB251" s="1" t="str">
        <f>IFERROR(__xludf.DUMMYFUNCTION("""COMPUTED_VALUE"""),"")</f>
        <v/>
      </c>
      <c r="AC251" s="1" t="str">
        <f>IFERROR(__xludf.DUMMYFUNCTION("""COMPUTED_VALUE"""),"")</f>
        <v/>
      </c>
      <c r="AD251" s="2" t="str">
        <f>IFERROR(__xludf.DUMMYFUNCTION("""COMPUTED_VALUE"""),"https://stopsail.com/")</f>
        <v>https://stopsail.com/</v>
      </c>
      <c r="AE251" s="1" t="str">
        <f>IFERROR(__xludf.DUMMYFUNCTION("""COMPUTED_VALUE"""),"")</f>
        <v/>
      </c>
      <c r="AF251" s="1" t="str">
        <f>IFERROR(__xludf.DUMMYFUNCTION("""COMPUTED_VALUE"""),"")</f>
        <v/>
      </c>
      <c r="AG251" s="1" t="str">
        <f>IFERROR(__xludf.DUMMYFUNCTION("""COMPUTED_VALUE"""),"Project on hold because of moratorium")</f>
        <v>Project on hold because of moratorium</v>
      </c>
      <c r="AH251" s="1" t="str">
        <f>IFERROR(__xludf.DUMMYFUNCTION("""COMPUTED_VALUE"""),"Media Monitoring")</f>
        <v>Media Monitoring</v>
      </c>
      <c r="AI251" s="2" t="str">
        <f>IFERROR(__xludf.DUMMYFUNCTION("""COMPUTED_VALUE"""),"https://www.datacenterdynamics.com/en/news/project-sail-data-center-newnan-atlanta-georgia/")</f>
        <v>https://www.datacenterdynamics.com/en/news/project-sail-data-center-newnan-atlanta-georgia/</v>
      </c>
      <c r="AJ251" s="2" t="str">
        <f>IFERROR(__xludf.DUMMYFUNCTION("""COMPUTED_VALUE"""),"https://www.ajc.com/news/business/project-sail-a-17b-data-center-project-pitched-south-of-atlanta/D33GKROJBJEEPATVVCT3OVZR2Q/")</f>
        <v>https://www.ajc.com/news/business/project-sail-a-17b-data-center-project-pitched-south-of-atlanta/D33GKROJBJEEPATVVCT3OVZR2Q/</v>
      </c>
      <c r="AK251" s="2" t="str">
        <f>IFERROR(__xludf.DUMMYFUNCTION("""COMPUTED_VALUE"""),"https://www.datacenterdynamics.com/en/news/prologis-900mw-project-sail-gets-the-go-ahead-in-coweta-county-georgia/")</f>
        <v>https://www.datacenterdynamics.com/en/news/prologis-900mw-project-sail-gets-the-go-ahead-in-coweta-county-georgia/</v>
      </c>
      <c r="AL251" s="1" t="str">
        <f>IFERROR(__xludf.DUMMYFUNCTION("""COMPUTED_VALUE"""),"")</f>
        <v/>
      </c>
      <c r="AM251" s="1" t="str">
        <f>IFERROR(__xludf.DUMMYFUNCTION("""COMPUTED_VALUE"""),"")</f>
        <v/>
      </c>
      <c r="AN251" s="1" t="str">
        <f>IFERROR(__xludf.DUMMYFUNCTION("""COMPUTED_VALUE"""),"")</f>
        <v/>
      </c>
      <c r="AO251" s="1" t="str">
        <f>IFERROR(__xludf.DUMMYFUNCTION("""COMPUTED_VALUE"""),"")</f>
        <v/>
      </c>
      <c r="AP251" s="1" t="str">
        <f>IFERROR(__xludf.DUMMYFUNCTION("""COMPUTED_VALUE"""),"")</f>
        <v/>
      </c>
      <c r="AQ251" s="1" t="str">
        <f>IFERROR(__xludf.DUMMYFUNCTION("""COMPUTED_VALUE"""),"11/19/2025")</f>
        <v>11/19/2025</v>
      </c>
      <c r="AR251" s="1" t="str">
        <f>IFERROR(__xludf.DUMMYFUNCTION("""COMPUTED_VALUE"""),"04/15/2026")</f>
        <v>04/15/2026</v>
      </c>
    </row>
    <row r="252">
      <c r="A252" s="1" t="str">
        <f>IFERROR(__xludf.DUMMYFUNCTION("""COMPUTED_VALUE"""),"T5 @ Atlanta IV")</f>
        <v>T5 @ Atlanta IV</v>
      </c>
      <c r="B252" s="1" t="str">
        <f>IFERROR(__xludf.DUMMYFUNCTION("""COMPUTED_VALUE"""),"299 Palmetto Tyrone Road")</f>
        <v>299 Palmetto Tyrone Road</v>
      </c>
      <c r="C252" s="1" t="str">
        <f>IFERROR(__xludf.DUMMYFUNCTION("""COMPUTED_VALUE"""),"Newnan")</f>
        <v>Newnan</v>
      </c>
      <c r="D252" s="1" t="str">
        <f>IFERROR(__xludf.DUMMYFUNCTION("""COMPUTED_VALUE"""),"GA")</f>
        <v>GA</v>
      </c>
      <c r="E252" s="1" t="str">
        <f>IFERROR(__xludf.DUMMYFUNCTION("""COMPUTED_VALUE"""),"30265")</f>
        <v>30265</v>
      </c>
      <c r="F252" s="1" t="str">
        <f>IFERROR(__xludf.DUMMYFUNCTION("""COMPUTED_VALUE"""),"Coweta")</f>
        <v>Coweta</v>
      </c>
      <c r="G252" s="1" t="str">
        <f>IFERROR(__xludf.DUMMYFUNCTION("""COMPUTED_VALUE"""),"33.49088")</f>
        <v>33.49088</v>
      </c>
      <c r="H252" s="1" t="str">
        <f>IFERROR(__xludf.DUMMYFUNCTION("""COMPUTED_VALUE"""),"-84.66487")</f>
        <v>-84.66487</v>
      </c>
      <c r="I252" s="1" t="str">
        <f>IFERROR(__xludf.DUMMYFUNCTION("""COMPUTED_VALUE"""),"Operating")</f>
        <v>Operating</v>
      </c>
      <c r="J252" s="1" t="str">
        <f>IFERROR(__xludf.DUMMYFUNCTION("""COMPUTED_VALUE"""),"High")</f>
        <v>High</v>
      </c>
      <c r="K252" s="1" t="str">
        <f>IFERROR(__xludf.DUMMYFUNCTION("""COMPUTED_VALUE"""),"")</f>
        <v/>
      </c>
      <c r="L252" s="1" t="str">
        <f>IFERROR(__xludf.DUMMYFUNCTION("""COMPUTED_VALUE"""),"T5")</f>
        <v>T5</v>
      </c>
      <c r="M252" s="1" t="str">
        <f>IFERROR(__xludf.DUMMYFUNCTION("""COMPUTED_VALUE"""),"")</f>
        <v/>
      </c>
      <c r="N252" s="1" t="str">
        <f>IFERROR(__xludf.DUMMYFUNCTION("""COMPUTED_VALUE"""),"200")</f>
        <v>200</v>
      </c>
      <c r="O252" s="1" t="str">
        <f>IFERROR(__xludf.DUMMYFUNCTION("""COMPUTED_VALUE"""),"Hyperscale (100-999 MW)")</f>
        <v>Hyperscale (100-999 MW)</v>
      </c>
      <c r="P252" s="1" t="str">
        <f>IFERROR(__xludf.DUMMYFUNCTION("""COMPUTED_VALUE"""),"")</f>
        <v/>
      </c>
      <c r="Q252" s="1" t="str">
        <f>IFERROR(__xludf.DUMMYFUNCTION("""COMPUTED_VALUE"""),"")</f>
        <v/>
      </c>
      <c r="R252" s="1" t="str">
        <f>IFERROR(__xludf.DUMMYFUNCTION("""COMPUTED_VALUE"""),"")</f>
        <v/>
      </c>
      <c r="S252" s="1" t="str">
        <f>IFERROR(__xludf.DUMMYFUNCTION("""COMPUTED_VALUE"""),"")</f>
        <v/>
      </c>
      <c r="T252" s="1" t="str">
        <f>IFERROR(__xludf.DUMMYFUNCTION("""COMPUTED_VALUE"""),"")</f>
        <v/>
      </c>
      <c r="U252" s="1" t="str">
        <f>IFERROR(__xludf.DUMMYFUNCTION("""COMPUTED_VALUE"""),"")</f>
        <v/>
      </c>
      <c r="V252" s="1" t="str">
        <f>IFERROR(__xludf.DUMMYFUNCTION("""COMPUTED_VALUE"""),"2,950,000")</f>
        <v>2,950,000</v>
      </c>
      <c r="W252" s="1" t="str">
        <f>IFERROR(__xludf.DUMMYFUNCTION("""COMPUTED_VALUE"""),"")</f>
        <v/>
      </c>
      <c r="X252" s="1" t="str">
        <f>IFERROR(__xludf.DUMMYFUNCTION("""COMPUTED_VALUE"""),"")</f>
        <v/>
      </c>
      <c r="Y252" s="1" t="str">
        <f>IFERROR(__xludf.DUMMYFUNCTION("""COMPUTED_VALUE"""),"")</f>
        <v/>
      </c>
      <c r="Z252" s="1" t="str">
        <f>IFERROR(__xludf.DUMMYFUNCTION("""COMPUTED_VALUE"""),"Unknown")</f>
        <v>Unknown</v>
      </c>
      <c r="AA252" s="1" t="str">
        <f>IFERROR(__xludf.DUMMYFUNCTION("""COMPUTED_VALUE"""),"")</f>
        <v/>
      </c>
      <c r="AB252" s="1" t="str">
        <f>IFERROR(__xludf.DUMMYFUNCTION("""COMPUTED_VALUE"""),"")</f>
        <v/>
      </c>
      <c r="AC252" s="1" t="str">
        <f>IFERROR(__xludf.DUMMYFUNCTION("""COMPUTED_VALUE"""),"")</f>
        <v/>
      </c>
      <c r="AD252" s="1" t="str">
        <f>IFERROR(__xludf.DUMMYFUNCTION("""COMPUTED_VALUE"""),"")</f>
        <v/>
      </c>
      <c r="AE252" s="1" t="str">
        <f>IFERROR(__xludf.DUMMYFUNCTION("""COMPUTED_VALUE"""),"")</f>
        <v/>
      </c>
      <c r="AF252" s="1" t="str">
        <f>IFERROR(__xludf.DUMMYFUNCTION("""COMPUTED_VALUE"""),"")</f>
        <v/>
      </c>
      <c r="AG252" s="1" t="str">
        <f>IFERROR(__xludf.DUMMYFUNCTION("""COMPUTED_VALUE"""),"")</f>
        <v/>
      </c>
      <c r="AH252" s="1" t="str">
        <f>IFERROR(__xludf.DUMMYFUNCTION("""COMPUTED_VALUE"""),"Sci4GA")</f>
        <v>Sci4GA</v>
      </c>
      <c r="AI252" s="2" t="str">
        <f>IFERROR(__xludf.DUMMYFUNCTION("""COMPUTED_VALUE"""),"https://apps.dca.ga.gov/DRI/AppSummary.aspx?driid=4079")</f>
        <v>https://apps.dca.ga.gov/DRI/AppSummary.aspx?driid=4079</v>
      </c>
      <c r="AJ252" s="1" t="str">
        <f>IFERROR(__xludf.DUMMYFUNCTION("""COMPUTED_VALUE"""),"")</f>
        <v/>
      </c>
      <c r="AK252" s="1" t="str">
        <f>IFERROR(__xludf.DUMMYFUNCTION("""COMPUTED_VALUE"""),"")</f>
        <v/>
      </c>
      <c r="AL252" s="1" t="str">
        <f>IFERROR(__xludf.DUMMYFUNCTION("""COMPUTED_VALUE"""),"")</f>
        <v/>
      </c>
      <c r="AM252" s="1" t="str">
        <f>IFERROR(__xludf.DUMMYFUNCTION("""COMPUTED_VALUE"""),"")</f>
        <v/>
      </c>
      <c r="AN252" s="1" t="str">
        <f>IFERROR(__xludf.DUMMYFUNCTION("""COMPUTED_VALUE"""),"")</f>
        <v/>
      </c>
      <c r="AO252" s="1" t="str">
        <f>IFERROR(__xludf.DUMMYFUNCTION("""COMPUTED_VALUE"""),"")</f>
        <v/>
      </c>
      <c r="AP252" s="1" t="str">
        <f>IFERROR(__xludf.DUMMYFUNCTION("""COMPUTED_VALUE"""),"")</f>
        <v/>
      </c>
      <c r="AQ252" s="1" t="str">
        <f>IFERROR(__xludf.DUMMYFUNCTION("""COMPUTED_VALUE"""),"10/16/2025")</f>
        <v>10/16/2025</v>
      </c>
      <c r="AR252" s="1" t="str">
        <f>IFERROR(__xludf.DUMMYFUNCTION("""COMPUTED_VALUE"""),"10/16/2025")</f>
        <v>10/16/2025</v>
      </c>
    </row>
    <row r="253">
      <c r="A253" s="1" t="str">
        <f>IFERROR(__xludf.DUMMYFUNCTION("""COMPUTED_VALUE"""),"Atlanta-Norcross")</f>
        <v>Atlanta-Norcross</v>
      </c>
      <c r="B253" s="1" t="str">
        <f>IFERROR(__xludf.DUMMYFUNCTION("""COMPUTED_VALUE"""),"2775 Northwoods Parkway NW")</f>
        <v>2775 Northwoods Parkway NW</v>
      </c>
      <c r="C253" s="1" t="str">
        <f>IFERROR(__xludf.DUMMYFUNCTION("""COMPUTED_VALUE"""),"Norcross")</f>
        <v>Norcross</v>
      </c>
      <c r="D253" s="1" t="str">
        <f>IFERROR(__xludf.DUMMYFUNCTION("""COMPUTED_VALUE"""),"GA")</f>
        <v>GA</v>
      </c>
      <c r="E253" s="1" t="str">
        <f>IFERROR(__xludf.DUMMYFUNCTION("""COMPUTED_VALUE"""),"30071")</f>
        <v>30071</v>
      </c>
      <c r="F253" s="1" t="str">
        <f>IFERROR(__xludf.DUMMYFUNCTION("""COMPUTED_VALUE"""),"Gwinnett")</f>
        <v>Gwinnett</v>
      </c>
      <c r="G253" s="1" t="str">
        <f>IFERROR(__xludf.DUMMYFUNCTION("""COMPUTED_VALUE"""),"33.95475")</f>
        <v>33.95475</v>
      </c>
      <c r="H253" s="1" t="str">
        <f>IFERROR(__xludf.DUMMYFUNCTION("""COMPUTED_VALUE"""),"-84.198616")</f>
        <v>-84.198616</v>
      </c>
      <c r="I253" s="1" t="str">
        <f>IFERROR(__xludf.DUMMYFUNCTION("""COMPUTED_VALUE"""),"Operating")</f>
        <v>Operating</v>
      </c>
      <c r="J253" s="1" t="str">
        <f>IFERROR(__xludf.DUMMYFUNCTION("""COMPUTED_VALUE"""),"High")</f>
        <v>High</v>
      </c>
      <c r="K253" s="1" t="str">
        <f>IFERROR(__xludf.DUMMYFUNCTION("""COMPUTED_VALUE"""),"")</f>
        <v/>
      </c>
      <c r="L253" s="1" t="str">
        <f>IFERROR(__xludf.DUMMYFUNCTION("""COMPUTED_VALUE"""),"Flexential")</f>
        <v>Flexential</v>
      </c>
      <c r="M253" s="1" t="str">
        <f>IFERROR(__xludf.DUMMYFUNCTION("""COMPUTED_VALUE"""),"")</f>
        <v/>
      </c>
      <c r="N253" s="1" t="str">
        <f>IFERROR(__xludf.DUMMYFUNCTION("""COMPUTED_VALUE"""),"2")</f>
        <v>2</v>
      </c>
      <c r="O253" s="1" t="str">
        <f>IFERROR(__xludf.DUMMYFUNCTION("""COMPUTED_VALUE"""),"Small (0-10 MW)")</f>
        <v>Small (0-10 MW)</v>
      </c>
      <c r="P253" s="1" t="str">
        <f>IFERROR(__xludf.DUMMYFUNCTION("""COMPUTED_VALUE"""),"")</f>
        <v/>
      </c>
      <c r="Q253" s="1" t="str">
        <f>IFERROR(__xludf.DUMMYFUNCTION("""COMPUTED_VALUE"""),"")</f>
        <v/>
      </c>
      <c r="R253" s="1" t="str">
        <f>IFERROR(__xludf.DUMMYFUNCTION("""COMPUTED_VALUE"""),"")</f>
        <v/>
      </c>
      <c r="S253" s="1" t="str">
        <f>IFERROR(__xludf.DUMMYFUNCTION("""COMPUTED_VALUE"""),"")</f>
        <v/>
      </c>
      <c r="T253" s="1" t="str">
        <f>IFERROR(__xludf.DUMMYFUNCTION("""COMPUTED_VALUE"""),"")</f>
        <v/>
      </c>
      <c r="U253" s="1" t="str">
        <f>IFERROR(__xludf.DUMMYFUNCTION("""COMPUTED_VALUE"""),"")</f>
        <v/>
      </c>
      <c r="V253" s="1" t="str">
        <f>IFERROR(__xludf.DUMMYFUNCTION("""COMPUTED_VALUE"""),"32,740")</f>
        <v>32,740</v>
      </c>
      <c r="W253" s="1" t="str">
        <f>IFERROR(__xludf.DUMMYFUNCTION("""COMPUTED_VALUE"""),"")</f>
        <v/>
      </c>
      <c r="X253" s="1" t="str">
        <f>IFERROR(__xludf.DUMMYFUNCTION("""COMPUTED_VALUE"""),"")</f>
        <v/>
      </c>
      <c r="Y253" s="1" t="str">
        <f>IFERROR(__xludf.DUMMYFUNCTION("""COMPUTED_VALUE"""),"")</f>
        <v/>
      </c>
      <c r="Z253" s="1" t="str">
        <f>IFERROR(__xludf.DUMMYFUNCTION("""COMPUTED_VALUE"""),"Unknown")</f>
        <v>Unknown</v>
      </c>
      <c r="AA253" s="1" t="str">
        <f>IFERROR(__xludf.DUMMYFUNCTION("""COMPUTED_VALUE"""),"")</f>
        <v/>
      </c>
      <c r="AB253" s="1" t="str">
        <f>IFERROR(__xludf.DUMMYFUNCTION("""COMPUTED_VALUE"""),"")</f>
        <v/>
      </c>
      <c r="AC253" s="1" t="str">
        <f>IFERROR(__xludf.DUMMYFUNCTION("""COMPUTED_VALUE"""),"")</f>
        <v/>
      </c>
      <c r="AD253" s="1" t="str">
        <f>IFERROR(__xludf.DUMMYFUNCTION("""COMPUTED_VALUE"""),"")</f>
        <v/>
      </c>
      <c r="AE253" s="1" t="str">
        <f>IFERROR(__xludf.DUMMYFUNCTION("""COMPUTED_VALUE"""),"")</f>
        <v/>
      </c>
      <c r="AF253" s="1" t="str">
        <f>IFERROR(__xludf.DUMMYFUNCTION("""COMPUTED_VALUE"""),"")</f>
        <v/>
      </c>
      <c r="AG253" s="1" t="str">
        <f>IFERROR(__xludf.DUMMYFUNCTION("""COMPUTED_VALUE"""),"")</f>
        <v/>
      </c>
      <c r="AH253" s="1" t="str">
        <f>IFERROR(__xludf.DUMMYFUNCTION("""COMPUTED_VALUE"""),"Sci4GA")</f>
        <v>Sci4GA</v>
      </c>
      <c r="AI253" s="2" t="str">
        <f>IFERROR(__xludf.DUMMYFUNCTION("""COMPUTED_VALUE"""),"https://baxtel.com/data-center/flexential-atlanta-norcross")</f>
        <v>https://baxtel.com/data-center/flexential-atlanta-norcross</v>
      </c>
      <c r="AJ253" s="1" t="str">
        <f>IFERROR(__xludf.DUMMYFUNCTION("""COMPUTED_VALUE"""),"")</f>
        <v/>
      </c>
      <c r="AK253" s="1" t="str">
        <f>IFERROR(__xludf.DUMMYFUNCTION("""COMPUTED_VALUE"""),"")</f>
        <v/>
      </c>
      <c r="AL253" s="1" t="str">
        <f>IFERROR(__xludf.DUMMYFUNCTION("""COMPUTED_VALUE"""),"")</f>
        <v/>
      </c>
      <c r="AM253" s="1" t="str">
        <f>IFERROR(__xludf.DUMMYFUNCTION("""COMPUTED_VALUE"""),"")</f>
        <v/>
      </c>
      <c r="AN253" s="1" t="str">
        <f>IFERROR(__xludf.DUMMYFUNCTION("""COMPUTED_VALUE"""),"")</f>
        <v/>
      </c>
      <c r="AO253" s="1" t="str">
        <f>IFERROR(__xludf.DUMMYFUNCTION("""COMPUTED_VALUE"""),"")</f>
        <v/>
      </c>
      <c r="AP253" s="1" t="str">
        <f>IFERROR(__xludf.DUMMYFUNCTION("""COMPUTED_VALUE"""),"")</f>
        <v/>
      </c>
      <c r="AQ253" s="1" t="str">
        <f>IFERROR(__xludf.DUMMYFUNCTION("""COMPUTED_VALUE"""),"10/16/2025")</f>
        <v>10/16/2025</v>
      </c>
      <c r="AR253" s="1" t="str">
        <f>IFERROR(__xludf.DUMMYFUNCTION("""COMPUTED_VALUE"""),"10/16/2025")</f>
        <v>10/16/2025</v>
      </c>
    </row>
    <row r="254">
      <c r="A254" s="1" t="str">
        <f>IFERROR(__xludf.DUMMYFUNCTION("""COMPUTED_VALUE"""),"Equinix Atlanta AT5")</f>
        <v>Equinix Atlanta AT5</v>
      </c>
      <c r="B254" s="1" t="str">
        <f>IFERROR(__xludf.DUMMYFUNCTION("""COMPUTED_VALUE"""),"2836 Peterson Place NW")</f>
        <v>2836 Peterson Place NW</v>
      </c>
      <c r="C254" s="1" t="str">
        <f>IFERROR(__xludf.DUMMYFUNCTION("""COMPUTED_VALUE"""),"Norcross")</f>
        <v>Norcross</v>
      </c>
      <c r="D254" s="1" t="str">
        <f>IFERROR(__xludf.DUMMYFUNCTION("""COMPUTED_VALUE"""),"GA")</f>
        <v>GA</v>
      </c>
      <c r="E254" s="1" t="str">
        <f>IFERROR(__xludf.DUMMYFUNCTION("""COMPUTED_VALUE"""),"30071")</f>
        <v>30071</v>
      </c>
      <c r="F254" s="1" t="str">
        <f>IFERROR(__xludf.DUMMYFUNCTION("""COMPUTED_VALUE"""),"Gwinnett")</f>
        <v>Gwinnett</v>
      </c>
      <c r="G254" s="1" t="str">
        <f>IFERROR(__xludf.DUMMYFUNCTION("""COMPUTED_VALUE"""),"33.938904")</f>
        <v>33.938904</v>
      </c>
      <c r="H254" s="1" t="str">
        <f>IFERROR(__xludf.DUMMYFUNCTION("""COMPUTED_VALUE"""),"-84.2272")</f>
        <v>-84.2272</v>
      </c>
      <c r="I254" s="1" t="str">
        <f>IFERROR(__xludf.DUMMYFUNCTION("""COMPUTED_VALUE"""),"Operating")</f>
        <v>Operating</v>
      </c>
      <c r="J254" s="1" t="str">
        <f>IFERROR(__xludf.DUMMYFUNCTION("""COMPUTED_VALUE"""),"High")</f>
        <v>High</v>
      </c>
      <c r="K254" s="1" t="str">
        <f>IFERROR(__xludf.DUMMYFUNCTION("""COMPUTED_VALUE"""),"")</f>
        <v/>
      </c>
      <c r="L254" s="1" t="str">
        <f>IFERROR(__xludf.DUMMYFUNCTION("""COMPUTED_VALUE"""),"Equinix")</f>
        <v>Equinix</v>
      </c>
      <c r="M254" s="1" t="str">
        <f>IFERROR(__xludf.DUMMYFUNCTION("""COMPUTED_VALUE"""),"")</f>
        <v/>
      </c>
      <c r="N254" s="1" t="str">
        <f>IFERROR(__xludf.DUMMYFUNCTION("""COMPUTED_VALUE"""),"")</f>
        <v/>
      </c>
      <c r="O254" s="1" t="str">
        <f>IFERROR(__xludf.DUMMYFUNCTION("""COMPUTED_VALUE"""),"Unknown")</f>
        <v>Unknown</v>
      </c>
      <c r="P254" s="1" t="str">
        <f>IFERROR(__xludf.DUMMYFUNCTION("""COMPUTED_VALUE"""),"")</f>
        <v/>
      </c>
      <c r="Q254" s="1" t="str">
        <f>IFERROR(__xludf.DUMMYFUNCTION("""COMPUTED_VALUE"""),"")</f>
        <v/>
      </c>
      <c r="R254" s="1" t="str">
        <f>IFERROR(__xludf.DUMMYFUNCTION("""COMPUTED_VALUE"""),"")</f>
        <v/>
      </c>
      <c r="S254" s="1" t="str">
        <f>IFERROR(__xludf.DUMMYFUNCTION("""COMPUTED_VALUE"""),"")</f>
        <v/>
      </c>
      <c r="T254" s="1" t="str">
        <f>IFERROR(__xludf.DUMMYFUNCTION("""COMPUTED_VALUE"""),"")</f>
        <v/>
      </c>
      <c r="U254" s="1" t="str">
        <f>IFERROR(__xludf.DUMMYFUNCTION("""COMPUTED_VALUE"""),"")</f>
        <v/>
      </c>
      <c r="V254" s="1" t="str">
        <f>IFERROR(__xludf.DUMMYFUNCTION("""COMPUTED_VALUE"""),"21,334")</f>
        <v>21,334</v>
      </c>
      <c r="W254" s="1" t="str">
        <f>IFERROR(__xludf.DUMMYFUNCTION("""COMPUTED_VALUE"""),"")</f>
        <v/>
      </c>
      <c r="X254" s="1" t="str">
        <f>IFERROR(__xludf.DUMMYFUNCTION("""COMPUTED_VALUE"""),"")</f>
        <v/>
      </c>
      <c r="Y254" s="1" t="str">
        <f>IFERROR(__xludf.DUMMYFUNCTION("""COMPUTED_VALUE"""),"")</f>
        <v/>
      </c>
      <c r="Z254" s="1" t="str">
        <f>IFERROR(__xludf.DUMMYFUNCTION("""COMPUTED_VALUE"""),"Unknown")</f>
        <v>Unknown</v>
      </c>
      <c r="AA254" s="1" t="str">
        <f>IFERROR(__xludf.DUMMYFUNCTION("""COMPUTED_VALUE"""),"")</f>
        <v/>
      </c>
      <c r="AB254" s="1" t="str">
        <f>IFERROR(__xludf.DUMMYFUNCTION("""COMPUTED_VALUE"""),"")</f>
        <v/>
      </c>
      <c r="AC254" s="1" t="str">
        <f>IFERROR(__xludf.DUMMYFUNCTION("""COMPUTED_VALUE"""),"")</f>
        <v/>
      </c>
      <c r="AD254" s="1" t="str">
        <f>IFERROR(__xludf.DUMMYFUNCTION("""COMPUTED_VALUE"""),"")</f>
        <v/>
      </c>
      <c r="AE254" s="1" t="str">
        <f>IFERROR(__xludf.DUMMYFUNCTION("""COMPUTED_VALUE"""),"")</f>
        <v/>
      </c>
      <c r="AF254" s="1" t="str">
        <f>IFERROR(__xludf.DUMMYFUNCTION("""COMPUTED_VALUE"""),"")</f>
        <v/>
      </c>
      <c r="AG254" s="1" t="str">
        <f>IFERROR(__xludf.DUMMYFUNCTION("""COMPUTED_VALUE"""),"")</f>
        <v/>
      </c>
      <c r="AH254" s="1" t="str">
        <f>IFERROR(__xludf.DUMMYFUNCTION("""COMPUTED_VALUE"""),"Sci4GA")</f>
        <v>Sci4GA</v>
      </c>
      <c r="AI254" s="1" t="str">
        <f>IFERROR(__xludf.DUMMYFUNCTION("""COMPUTED_VALUE"""),"")</f>
        <v/>
      </c>
      <c r="AJ254" s="1" t="str">
        <f>IFERROR(__xludf.DUMMYFUNCTION("""COMPUTED_VALUE"""),"")</f>
        <v/>
      </c>
      <c r="AK254" s="1" t="str">
        <f>IFERROR(__xludf.DUMMYFUNCTION("""COMPUTED_VALUE"""),"")</f>
        <v/>
      </c>
      <c r="AL254" s="1" t="str">
        <f>IFERROR(__xludf.DUMMYFUNCTION("""COMPUTED_VALUE"""),"")</f>
        <v/>
      </c>
      <c r="AM254" s="1" t="str">
        <f>IFERROR(__xludf.DUMMYFUNCTION("""COMPUTED_VALUE"""),"")</f>
        <v/>
      </c>
      <c r="AN254" s="1" t="str">
        <f>IFERROR(__xludf.DUMMYFUNCTION("""COMPUTED_VALUE"""),"")</f>
        <v/>
      </c>
      <c r="AO254" s="1" t="str">
        <f>IFERROR(__xludf.DUMMYFUNCTION("""COMPUTED_VALUE"""),"")</f>
        <v/>
      </c>
      <c r="AP254" s="1" t="str">
        <f>IFERROR(__xludf.DUMMYFUNCTION("""COMPUTED_VALUE"""),"")</f>
        <v/>
      </c>
      <c r="AQ254" s="1" t="str">
        <f>IFERROR(__xludf.DUMMYFUNCTION("""COMPUTED_VALUE"""),"10/16/2025")</f>
        <v>10/16/2025</v>
      </c>
      <c r="AR254" s="1" t="str">
        <f>IFERROR(__xludf.DUMMYFUNCTION("""COMPUTED_VALUE"""),"10/16/2025")</f>
        <v>10/16/2025</v>
      </c>
    </row>
    <row r="255">
      <c r="A255" s="1" t="str">
        <f>IFERROR(__xludf.DUMMYFUNCTION("""COMPUTED_VALUE"""),"Project Arrowhead")</f>
        <v>Project Arrowhead</v>
      </c>
      <c r="B255" s="1" t="str">
        <f>IFERROR(__xludf.DUMMYFUNCTION("""COMPUTED_VALUE"""),"Between Ponderosa and Pinetta Rd")</f>
        <v>Between Ponderosa and Pinetta Rd</v>
      </c>
      <c r="C255" s="1" t="str">
        <f>IFERROR(__xludf.DUMMYFUNCTION("""COMPUTED_VALUE"""),"Ocilla")</f>
        <v>Ocilla</v>
      </c>
      <c r="D255" s="1" t="str">
        <f>IFERROR(__xludf.DUMMYFUNCTION("""COMPUTED_VALUE"""),"GA")</f>
        <v>GA</v>
      </c>
      <c r="E255" s="1" t="str">
        <f>IFERROR(__xludf.DUMMYFUNCTION("""COMPUTED_VALUE"""),"31774")</f>
        <v>31774</v>
      </c>
      <c r="F255" s="1" t="str">
        <f>IFERROR(__xludf.DUMMYFUNCTION("""COMPUTED_VALUE"""),"Irwin")</f>
        <v>Irwin</v>
      </c>
      <c r="G255" s="1" t="str">
        <f>IFERROR(__xludf.DUMMYFUNCTION("""COMPUTED_VALUE"""),"31.59873")</f>
        <v>31.59873</v>
      </c>
      <c r="H255" s="1" t="str">
        <f>IFERROR(__xludf.DUMMYFUNCTION("""COMPUTED_VALUE"""),"-83.37431")</f>
        <v>-83.37431</v>
      </c>
      <c r="I255" s="1" t="str">
        <f>IFERROR(__xludf.DUMMYFUNCTION("""COMPUTED_VALUE"""),"Proposed")</f>
        <v>Proposed</v>
      </c>
      <c r="J255" s="1" t="str">
        <f>IFERROR(__xludf.DUMMYFUNCTION("""COMPUTED_VALUE"""),"High")</f>
        <v>High</v>
      </c>
      <c r="K255" s="1" t="str">
        <f>IFERROR(__xludf.DUMMYFUNCTION("""COMPUTED_VALUE"""),"")</f>
        <v/>
      </c>
      <c r="L255" s="1" t="str">
        <f>IFERROR(__xludf.DUMMYFUNCTION("""COMPUTED_VALUE"""),"")</f>
        <v/>
      </c>
      <c r="M255" s="1" t="str">
        <f>IFERROR(__xludf.DUMMYFUNCTION("""COMPUTED_VALUE"""),"")</f>
        <v/>
      </c>
      <c r="N255" s="1" t="str">
        <f>IFERROR(__xludf.DUMMYFUNCTION("""COMPUTED_VALUE"""),"1250")</f>
        <v>1250</v>
      </c>
      <c r="O255" s="1" t="str">
        <f>IFERROR(__xludf.DUMMYFUNCTION("""COMPUTED_VALUE"""),"Mega campus (&gt;1,000 MW)")</f>
        <v>Mega campus (&gt;1,000 MW)</v>
      </c>
      <c r="P255" s="1" t="str">
        <f>IFERROR(__xludf.DUMMYFUNCTION("""COMPUTED_VALUE"""),"")</f>
        <v/>
      </c>
      <c r="Q255" s="1" t="str">
        <f>IFERROR(__xludf.DUMMYFUNCTION("""COMPUTED_VALUE"""),"")</f>
        <v/>
      </c>
      <c r="R255" s="1" t="str">
        <f>IFERROR(__xludf.DUMMYFUNCTION("""COMPUTED_VALUE"""),"")</f>
        <v/>
      </c>
      <c r="S255" s="1" t="str">
        <f>IFERROR(__xludf.DUMMYFUNCTION("""COMPUTED_VALUE"""),"")</f>
        <v/>
      </c>
      <c r="T255" s="1" t="str">
        <f>IFERROR(__xludf.DUMMYFUNCTION("""COMPUTED_VALUE"""),"")</f>
        <v/>
      </c>
      <c r="U255" s="1" t="str">
        <f>IFERROR(__xludf.DUMMYFUNCTION("""COMPUTED_VALUE"""),"")</f>
        <v/>
      </c>
      <c r="V255" s="1" t="str">
        <f>IFERROR(__xludf.DUMMYFUNCTION("""COMPUTED_VALUE"""),"4,220,000")</f>
        <v>4,220,000</v>
      </c>
      <c r="W255" s="1" t="str">
        <f>IFERROR(__xludf.DUMMYFUNCTION("""COMPUTED_VALUE"""),"1066")</f>
        <v>1066</v>
      </c>
      <c r="X255" s="1" t="str">
        <f>IFERROR(__xludf.DUMMYFUNCTION("""COMPUTED_VALUE"""),"$6 billion")</f>
        <v>$6 billion</v>
      </c>
      <c r="Y255" s="1" t="str">
        <f>IFERROR(__xludf.DUMMYFUNCTION("""COMPUTED_VALUE"""),"2030")</f>
        <v>2030</v>
      </c>
      <c r="Z255" s="1" t="str">
        <f>IFERROR(__xludf.DUMMYFUNCTION("""COMPUTED_VALUE"""),"Unknown")</f>
        <v>Unknown</v>
      </c>
      <c r="AA255" s="1" t="str">
        <f>IFERROR(__xludf.DUMMYFUNCTION("""COMPUTED_VALUE"""),"")</f>
        <v/>
      </c>
      <c r="AB255" s="1" t="str">
        <f>IFERROR(__xludf.DUMMYFUNCTION("""COMPUTED_VALUE"""),"")</f>
        <v/>
      </c>
      <c r="AC255" s="1" t="str">
        <f>IFERROR(__xludf.DUMMYFUNCTION("""COMPUTED_VALUE"""),"")</f>
        <v/>
      </c>
      <c r="AD255" s="1" t="str">
        <f>IFERROR(__xludf.DUMMYFUNCTION("""COMPUTED_VALUE"""),"")</f>
        <v/>
      </c>
      <c r="AE255" s="1" t="str">
        <f>IFERROR(__xludf.DUMMYFUNCTION("""COMPUTED_VALUE"""),"")</f>
        <v/>
      </c>
      <c r="AF255" s="1" t="str">
        <f>IFERROR(__xludf.DUMMYFUNCTION("""COMPUTED_VALUE"""),"")</f>
        <v/>
      </c>
      <c r="AG255" s="1" t="str">
        <f>IFERROR(__xludf.DUMMYFUNCTION("""COMPUTED_VALUE"""),"")</f>
        <v/>
      </c>
      <c r="AH255" s="1" t="str">
        <f>IFERROR(__xludf.DUMMYFUNCTION("""COMPUTED_VALUE"""),"Media Monitoring")</f>
        <v>Media Monitoring</v>
      </c>
      <c r="AI255" s="2" t="str">
        <f>IFERROR(__xludf.DUMMYFUNCTION("""COMPUTED_VALUE"""),"https://www.change.org/p/protect-irwin-county-from-data-centers")</f>
        <v>https://www.change.org/p/protect-irwin-county-from-data-centers</v>
      </c>
      <c r="AJ255" s="2" t="str">
        <f>IFERROR(__xludf.DUMMYFUNCTION("""COMPUTED_VALUE"""),"https://apps.dca.ga.gov/DRI/AppSummary.aspx?driid=4689")</f>
        <v>https://apps.dca.ga.gov/DRI/AppSummary.aspx?driid=4689</v>
      </c>
      <c r="AK255" s="2" t="str">
        <f>IFERROR(__xludf.DUMMYFUNCTION("""COMPUTED_VALUE"""),"https://cleanview.co/public/data-centers/georgia/2231/project-arrowhead")</f>
        <v>https://cleanview.co/public/data-centers/georgia/2231/project-arrowhead</v>
      </c>
      <c r="AL255" s="1" t="str">
        <f>IFERROR(__xludf.DUMMYFUNCTION("""COMPUTED_VALUE"""),"")</f>
        <v/>
      </c>
      <c r="AM255" s="1" t="str">
        <f>IFERROR(__xludf.DUMMYFUNCTION("""COMPUTED_VALUE"""),"")</f>
        <v/>
      </c>
      <c r="AN255" s="1" t="str">
        <f>IFERROR(__xludf.DUMMYFUNCTION("""COMPUTED_VALUE"""),"")</f>
        <v/>
      </c>
      <c r="AO255" s="1" t="str">
        <f>IFERROR(__xludf.DUMMYFUNCTION("""COMPUTED_VALUE"""),"")</f>
        <v/>
      </c>
      <c r="AP255" s="1" t="str">
        <f>IFERROR(__xludf.DUMMYFUNCTION("""COMPUTED_VALUE"""),"")</f>
        <v/>
      </c>
      <c r="AQ255" s="1" t="str">
        <f>IFERROR(__xludf.DUMMYFUNCTION("""COMPUTED_VALUE"""),"04/22/2026")</f>
        <v>04/22/2026</v>
      </c>
      <c r="AR255" s="1" t="str">
        <f>IFERROR(__xludf.DUMMYFUNCTION("""COMPUTED_VALUE"""),"04/22/2026")</f>
        <v>04/22/2026</v>
      </c>
    </row>
    <row r="256">
      <c r="A256" s="1" t="str">
        <f>IFERROR(__xludf.DUMMYFUNCTION("""COMPUTED_VALUE"""),"Gregory Road Data Center")</f>
        <v>Gregory Road Data Center</v>
      </c>
      <c r="B256" s="1" t="str">
        <f>IFERROR(__xludf.DUMMYFUNCTION("""COMPUTED_VALUE"""),"Gregory Rd and Flat Rock Rd")</f>
        <v>Gregory Rd and Flat Rock Rd</v>
      </c>
      <c r="C256" s="1" t="str">
        <f>IFERROR(__xludf.DUMMYFUNCTION("""COMPUTED_VALUE"""),"Oxford")</f>
        <v>Oxford</v>
      </c>
      <c r="D256" s="1" t="str">
        <f>IFERROR(__xludf.DUMMYFUNCTION("""COMPUTED_VALUE"""),"GA")</f>
        <v>GA</v>
      </c>
      <c r="E256" s="1" t="str">
        <f>IFERROR(__xludf.DUMMYFUNCTION("""COMPUTED_VALUE"""),"30054")</f>
        <v>30054</v>
      </c>
      <c r="F256" s="1" t="str">
        <f>IFERROR(__xludf.DUMMYFUNCTION("""COMPUTED_VALUE"""),"Newton")</f>
        <v>Newton</v>
      </c>
      <c r="G256" s="1" t="str">
        <f>IFERROR(__xludf.DUMMYFUNCTION("""COMPUTED_VALUE"""),"33.65342")</f>
        <v>33.65342</v>
      </c>
      <c r="H256" s="1" t="str">
        <f>IFERROR(__xludf.DUMMYFUNCTION("""COMPUTED_VALUE"""),"-83.8231")</f>
        <v>-83.8231</v>
      </c>
      <c r="I256" s="1" t="str">
        <f>IFERROR(__xludf.DUMMYFUNCTION("""COMPUTED_VALUE"""),"Proposed")</f>
        <v>Proposed</v>
      </c>
      <c r="J256" s="1" t="str">
        <f>IFERROR(__xludf.DUMMYFUNCTION("""COMPUTED_VALUE"""),"Medium")</f>
        <v>Medium</v>
      </c>
      <c r="K256" s="1" t="str">
        <f>IFERROR(__xludf.DUMMYFUNCTION("""COMPUTED_VALUE"""),"")</f>
        <v/>
      </c>
      <c r="L256" s="1" t="str">
        <f>IFERROR(__xludf.DUMMYFUNCTION("""COMPUTED_VALUE"""),"")</f>
        <v/>
      </c>
      <c r="M256" s="1" t="str">
        <f>IFERROR(__xludf.DUMMYFUNCTION("""COMPUTED_VALUE"""),"")</f>
        <v/>
      </c>
      <c r="N256" s="1" t="str">
        <f>IFERROR(__xludf.DUMMYFUNCTION("""COMPUTED_VALUE"""),"")</f>
        <v/>
      </c>
      <c r="O256" s="1" t="str">
        <f>IFERROR(__xludf.DUMMYFUNCTION("""COMPUTED_VALUE"""),"Unknown")</f>
        <v>Unknown</v>
      </c>
      <c r="P256" s="1" t="str">
        <f>IFERROR(__xludf.DUMMYFUNCTION("""COMPUTED_VALUE"""),"")</f>
        <v/>
      </c>
      <c r="Q256" s="1" t="str">
        <f>IFERROR(__xludf.DUMMYFUNCTION("""COMPUTED_VALUE"""),"")</f>
        <v/>
      </c>
      <c r="R256" s="1" t="str">
        <f>IFERROR(__xludf.DUMMYFUNCTION("""COMPUTED_VALUE"""),"")</f>
        <v/>
      </c>
      <c r="S256" s="1" t="str">
        <f>IFERROR(__xludf.DUMMYFUNCTION("""COMPUTED_VALUE"""),"")</f>
        <v/>
      </c>
      <c r="T256" s="1" t="str">
        <f>IFERROR(__xludf.DUMMYFUNCTION("""COMPUTED_VALUE"""),"")</f>
        <v/>
      </c>
      <c r="U256" s="1" t="str">
        <f>IFERROR(__xludf.DUMMYFUNCTION("""COMPUTED_VALUE"""),"")</f>
        <v/>
      </c>
      <c r="V256" s="1" t="str">
        <f>IFERROR(__xludf.DUMMYFUNCTION("""COMPUTED_VALUE"""),"1,400,000")</f>
        <v>1,400,000</v>
      </c>
      <c r="W256" s="1" t="str">
        <f>IFERROR(__xludf.DUMMYFUNCTION("""COMPUTED_VALUE"""),"213")</f>
        <v>213</v>
      </c>
      <c r="X256" s="1" t="str">
        <f>IFERROR(__xludf.DUMMYFUNCTION("""COMPUTED_VALUE"""),"")</f>
        <v/>
      </c>
      <c r="Y256" s="1" t="str">
        <f>IFERROR(__xludf.DUMMYFUNCTION("""COMPUTED_VALUE"""),"")</f>
        <v/>
      </c>
      <c r="Z256" s="1" t="str">
        <f>IFERROR(__xludf.DUMMYFUNCTION("""COMPUTED_VALUE"""),"Unknown")</f>
        <v>Unknown</v>
      </c>
      <c r="AA256" s="1" t="str">
        <f>IFERROR(__xludf.DUMMYFUNCTION("""COMPUTED_VALUE"""),"")</f>
        <v/>
      </c>
      <c r="AB256" s="1" t="str">
        <f>IFERROR(__xludf.DUMMYFUNCTION("""COMPUTED_VALUE"""),"")</f>
        <v/>
      </c>
      <c r="AC256" s="1" t="str">
        <f>IFERROR(__xludf.DUMMYFUNCTION("""COMPUTED_VALUE"""),"")</f>
        <v/>
      </c>
      <c r="AD256" s="1" t="str">
        <f>IFERROR(__xludf.DUMMYFUNCTION("""COMPUTED_VALUE"""),"")</f>
        <v/>
      </c>
      <c r="AE256" s="1" t="str">
        <f>IFERROR(__xludf.DUMMYFUNCTION("""COMPUTED_VALUE"""),"")</f>
        <v/>
      </c>
      <c r="AF256" s="1" t="str">
        <f>IFERROR(__xludf.DUMMYFUNCTION("""COMPUTED_VALUE"""),"")</f>
        <v/>
      </c>
      <c r="AG256" s="1" t="str">
        <f>IFERROR(__xludf.DUMMYFUNCTION("""COMPUTED_VALUE"""),"")</f>
        <v/>
      </c>
      <c r="AH256" s="1" t="str">
        <f>IFERROR(__xludf.DUMMYFUNCTION("""COMPUTED_VALUE"""),"Media Monitoring")</f>
        <v>Media Monitoring</v>
      </c>
      <c r="AI256" s="2" t="str">
        <f>IFERROR(__xludf.DUMMYFUNCTION("""COMPUTED_VALUE"""),"https://www.datacenterdynamics.com/en/news/plans-filed-for-14-million-sq-ft-data-center-campus-outside-atlanta-georgia/")</f>
        <v>https://www.datacenterdynamics.com/en/news/plans-filed-for-14-million-sq-ft-data-center-campus-outside-atlanta-georgia/</v>
      </c>
      <c r="AJ256" s="1" t="str">
        <f>IFERROR(__xludf.DUMMYFUNCTION("""COMPUTED_VALUE"""),"")</f>
        <v/>
      </c>
      <c r="AK256" s="1" t="str">
        <f>IFERROR(__xludf.DUMMYFUNCTION("""COMPUTED_VALUE"""),"")</f>
        <v/>
      </c>
      <c r="AL256" s="1" t="str">
        <f>IFERROR(__xludf.DUMMYFUNCTION("""COMPUTED_VALUE"""),"")</f>
        <v/>
      </c>
      <c r="AM256" s="1" t="str">
        <f>IFERROR(__xludf.DUMMYFUNCTION("""COMPUTED_VALUE"""),"")</f>
        <v/>
      </c>
      <c r="AN256" s="1" t="str">
        <f>IFERROR(__xludf.DUMMYFUNCTION("""COMPUTED_VALUE"""),"")</f>
        <v/>
      </c>
      <c r="AO256" s="1" t="str">
        <f>IFERROR(__xludf.DUMMYFUNCTION("""COMPUTED_VALUE"""),"")</f>
        <v/>
      </c>
      <c r="AP256" s="1" t="str">
        <f>IFERROR(__xludf.DUMMYFUNCTION("""COMPUTED_VALUE"""),"")</f>
        <v/>
      </c>
      <c r="AQ256" s="1" t="str">
        <f>IFERROR(__xludf.DUMMYFUNCTION("""COMPUTED_VALUE"""),"06/24/2025")</f>
        <v>06/24/2025</v>
      </c>
      <c r="AR256" s="1" t="str">
        <f>IFERROR(__xludf.DUMMYFUNCTION("""COMPUTED_VALUE"""),"06/24/2025")</f>
        <v>06/24/2025</v>
      </c>
    </row>
    <row r="257">
      <c r="A257" s="1" t="str">
        <f>IFERROR(__xludf.DUMMYFUNCTION("""COMPUTED_VALUE"""),"Palmetto Campus")</f>
        <v>Palmetto Campus</v>
      </c>
      <c r="B257" s="1" t="str">
        <f>IFERROR(__xludf.DUMMYFUNCTION("""COMPUTED_VALUE"""),"8600 Tatum Rd")</f>
        <v>8600 Tatum Rd</v>
      </c>
      <c r="C257" s="1" t="str">
        <f>IFERROR(__xludf.DUMMYFUNCTION("""COMPUTED_VALUE"""),"Palmetto")</f>
        <v>Palmetto</v>
      </c>
      <c r="D257" s="1" t="str">
        <f>IFERROR(__xludf.DUMMYFUNCTION("""COMPUTED_VALUE"""),"GA")</f>
        <v>GA</v>
      </c>
      <c r="E257" s="1" t="str">
        <f>IFERROR(__xludf.DUMMYFUNCTION("""COMPUTED_VALUE"""),"30268")</f>
        <v>30268</v>
      </c>
      <c r="F257" s="1" t="str">
        <f>IFERROR(__xludf.DUMMYFUNCTION("""COMPUTED_VALUE"""),"Fulton")</f>
        <v>Fulton</v>
      </c>
      <c r="G257" s="1" t="str">
        <f>IFERROR(__xludf.DUMMYFUNCTION("""COMPUTED_VALUE"""),"33.52662")</f>
        <v>33.52662</v>
      </c>
      <c r="H257" s="1" t="str">
        <f>IFERROR(__xludf.DUMMYFUNCTION("""COMPUTED_VALUE"""),"-84.636375")</f>
        <v>-84.636375</v>
      </c>
      <c r="I257" s="1" t="str">
        <f>IFERROR(__xludf.DUMMYFUNCTION("""COMPUTED_VALUE"""),"Operating")</f>
        <v>Operating</v>
      </c>
      <c r="J257" s="1" t="str">
        <f>IFERROR(__xludf.DUMMYFUNCTION("""COMPUTED_VALUE"""),"High")</f>
        <v>High</v>
      </c>
      <c r="K257" s="1" t="str">
        <f>IFERROR(__xludf.DUMMYFUNCTION("""COMPUTED_VALUE"""),"")</f>
        <v/>
      </c>
      <c r="L257" s="1" t="str">
        <f>IFERROR(__xludf.DUMMYFUNCTION("""COMPUTED_VALUE"""),"Microsoft")</f>
        <v>Microsoft</v>
      </c>
      <c r="M257" s="1" t="str">
        <f>IFERROR(__xludf.DUMMYFUNCTION("""COMPUTED_VALUE"""),"")</f>
        <v/>
      </c>
      <c r="N257" s="1" t="str">
        <f>IFERROR(__xludf.DUMMYFUNCTION("""COMPUTED_VALUE"""),"38")</f>
        <v>38</v>
      </c>
      <c r="O257" s="1" t="str">
        <f>IFERROR(__xludf.DUMMYFUNCTION("""COMPUTED_VALUE"""),"Medium (11-50 MW)")</f>
        <v>Medium (11-50 MW)</v>
      </c>
      <c r="P257" s="1" t="str">
        <f>IFERROR(__xludf.DUMMYFUNCTION("""COMPUTED_VALUE"""),"")</f>
        <v/>
      </c>
      <c r="Q257" s="1" t="str">
        <f>IFERROR(__xludf.DUMMYFUNCTION("""COMPUTED_VALUE"""),"")</f>
        <v/>
      </c>
      <c r="R257" s="1" t="str">
        <f>IFERROR(__xludf.DUMMYFUNCTION("""COMPUTED_VALUE"""),"")</f>
        <v/>
      </c>
      <c r="S257" s="1" t="str">
        <f>IFERROR(__xludf.DUMMYFUNCTION("""COMPUTED_VALUE"""),"")</f>
        <v/>
      </c>
      <c r="T257" s="1" t="str">
        <f>IFERROR(__xludf.DUMMYFUNCTION("""COMPUTED_VALUE"""),"")</f>
        <v/>
      </c>
      <c r="U257" s="1" t="str">
        <f>IFERROR(__xludf.DUMMYFUNCTION("""COMPUTED_VALUE"""),"")</f>
        <v/>
      </c>
      <c r="V257" s="1" t="str">
        <f>IFERROR(__xludf.DUMMYFUNCTION("""COMPUTED_VALUE"""),"250,000")</f>
        <v>250,000</v>
      </c>
      <c r="W257" s="1" t="str">
        <f>IFERROR(__xludf.DUMMYFUNCTION("""COMPUTED_VALUE"""),"")</f>
        <v/>
      </c>
      <c r="X257" s="1" t="str">
        <f>IFERROR(__xludf.DUMMYFUNCTION("""COMPUTED_VALUE"""),"")</f>
        <v/>
      </c>
      <c r="Y257" s="1" t="str">
        <f>IFERROR(__xludf.DUMMYFUNCTION("""COMPUTED_VALUE"""),"")</f>
        <v/>
      </c>
      <c r="Z257" s="1" t="str">
        <f>IFERROR(__xludf.DUMMYFUNCTION("""COMPUTED_VALUE"""),"Unknown")</f>
        <v>Unknown</v>
      </c>
      <c r="AA257" s="1" t="str">
        <f>IFERROR(__xludf.DUMMYFUNCTION("""COMPUTED_VALUE"""),"")</f>
        <v/>
      </c>
      <c r="AB257" s="1" t="str">
        <f>IFERROR(__xludf.DUMMYFUNCTION("""COMPUTED_VALUE"""),"")</f>
        <v/>
      </c>
      <c r="AC257" s="1" t="str">
        <f>IFERROR(__xludf.DUMMYFUNCTION("""COMPUTED_VALUE"""),"")</f>
        <v/>
      </c>
      <c r="AD257" s="1" t="str">
        <f>IFERROR(__xludf.DUMMYFUNCTION("""COMPUTED_VALUE"""),"")</f>
        <v/>
      </c>
      <c r="AE257" s="1" t="str">
        <f>IFERROR(__xludf.DUMMYFUNCTION("""COMPUTED_VALUE"""),"")</f>
        <v/>
      </c>
      <c r="AF257" s="1" t="str">
        <f>IFERROR(__xludf.DUMMYFUNCTION("""COMPUTED_VALUE"""),"")</f>
        <v/>
      </c>
      <c r="AG257" s="1" t="str">
        <f>IFERROR(__xludf.DUMMYFUNCTION("""COMPUTED_VALUE"""),"")</f>
        <v/>
      </c>
      <c r="AH257" s="1" t="str">
        <f>IFERROR(__xludf.DUMMYFUNCTION("""COMPUTED_VALUE"""),"Sci4GA")</f>
        <v>Sci4GA</v>
      </c>
      <c r="AI257" s="2" t="str">
        <f>IFERROR(__xludf.DUMMYFUNCTION("""COMPUTED_VALUE"""),"https://apps.dca.ga.gov/DRI/AppSummary.aspx?driid=3576")</f>
        <v>https://apps.dca.ga.gov/DRI/AppSummary.aspx?driid=3576</v>
      </c>
      <c r="AJ257" s="1" t="str">
        <f>IFERROR(__xludf.DUMMYFUNCTION("""COMPUTED_VALUE"""),"")</f>
        <v/>
      </c>
      <c r="AK257" s="1" t="str">
        <f>IFERROR(__xludf.DUMMYFUNCTION("""COMPUTED_VALUE"""),"")</f>
        <v/>
      </c>
      <c r="AL257" s="1" t="str">
        <f>IFERROR(__xludf.DUMMYFUNCTION("""COMPUTED_VALUE"""),"")</f>
        <v/>
      </c>
      <c r="AM257" s="1" t="str">
        <f>IFERROR(__xludf.DUMMYFUNCTION("""COMPUTED_VALUE"""),"")</f>
        <v/>
      </c>
      <c r="AN257" s="1" t="str">
        <f>IFERROR(__xludf.DUMMYFUNCTION("""COMPUTED_VALUE"""),"")</f>
        <v/>
      </c>
      <c r="AO257" s="1" t="str">
        <f>IFERROR(__xludf.DUMMYFUNCTION("""COMPUTED_VALUE"""),"")</f>
        <v/>
      </c>
      <c r="AP257" s="1" t="str">
        <f>IFERROR(__xludf.DUMMYFUNCTION("""COMPUTED_VALUE"""),"")</f>
        <v/>
      </c>
      <c r="AQ257" s="1" t="str">
        <f>IFERROR(__xludf.DUMMYFUNCTION("""COMPUTED_VALUE"""),"10/16/2025")</f>
        <v>10/16/2025</v>
      </c>
      <c r="AR257" s="1" t="str">
        <f>IFERROR(__xludf.DUMMYFUNCTION("""COMPUTED_VALUE"""),"10/16/2025")</f>
        <v>10/16/2025</v>
      </c>
    </row>
    <row r="258">
      <c r="A258" s="1" t="str">
        <f>IFERROR(__xludf.DUMMYFUNCTION("""COMPUTED_VALUE"""),"Project Peach")</f>
        <v>Project Peach</v>
      </c>
      <c r="B258" s="1" t="str">
        <f>IFERROR(__xludf.DUMMYFUNCTION("""COMPUTED_VALUE"""),"300 Johnston Circle")</f>
        <v>300 Johnston Circle</v>
      </c>
      <c r="C258" s="1" t="str">
        <f>IFERROR(__xludf.DUMMYFUNCTION("""COMPUTED_VALUE"""),"Palmetto")</f>
        <v>Palmetto</v>
      </c>
      <c r="D258" s="1" t="str">
        <f>IFERROR(__xludf.DUMMYFUNCTION("""COMPUTED_VALUE"""),"GA")</f>
        <v>GA</v>
      </c>
      <c r="E258" s="1" t="str">
        <f>IFERROR(__xludf.DUMMYFUNCTION("""COMPUTED_VALUE"""),"30263")</f>
        <v>30263</v>
      </c>
      <c r="F258" s="1" t="str">
        <f>IFERROR(__xludf.DUMMYFUNCTION("""COMPUTED_VALUE"""),"Coweta")</f>
        <v>Coweta</v>
      </c>
      <c r="G258" s="1" t="str">
        <f>IFERROR(__xludf.DUMMYFUNCTION("""COMPUTED_VALUE"""),"33.50277")</f>
        <v>33.50277</v>
      </c>
      <c r="H258" s="1" t="str">
        <f>IFERROR(__xludf.DUMMYFUNCTION("""COMPUTED_VALUE"""),"-84.6692")</f>
        <v>-84.6692</v>
      </c>
      <c r="I258" s="1" t="str">
        <f>IFERROR(__xludf.DUMMYFUNCTION("""COMPUTED_VALUE"""),"Proposed")</f>
        <v>Proposed</v>
      </c>
      <c r="J258" s="1" t="str">
        <f>IFERROR(__xludf.DUMMYFUNCTION("""COMPUTED_VALUE"""),"High")</f>
        <v>High</v>
      </c>
      <c r="K258" s="1" t="str">
        <f>IFERROR(__xludf.DUMMYFUNCTION("""COMPUTED_VALUE"""),"")</f>
        <v/>
      </c>
      <c r="L258" s="1" t="str">
        <f>IFERROR(__xludf.DUMMYFUNCTION("""COMPUTED_VALUE"""),"North Coweta Investors, LLC")</f>
        <v>North Coweta Investors, LLC</v>
      </c>
      <c r="M258" s="1" t="str">
        <f>IFERROR(__xludf.DUMMYFUNCTION("""COMPUTED_VALUE"""),"")</f>
        <v/>
      </c>
      <c r="N258" s="1" t="str">
        <f>IFERROR(__xludf.DUMMYFUNCTION("""COMPUTED_VALUE"""),"")</f>
        <v/>
      </c>
      <c r="O258" s="1" t="str">
        <f>IFERROR(__xludf.DUMMYFUNCTION("""COMPUTED_VALUE"""),"Unknown")</f>
        <v>Unknown</v>
      </c>
      <c r="P258" s="1" t="str">
        <f>IFERROR(__xludf.DUMMYFUNCTION("""COMPUTED_VALUE"""),"")</f>
        <v/>
      </c>
      <c r="Q258" s="1" t="str">
        <f>IFERROR(__xludf.DUMMYFUNCTION("""COMPUTED_VALUE"""),"")</f>
        <v/>
      </c>
      <c r="R258" s="1" t="str">
        <f>IFERROR(__xludf.DUMMYFUNCTION("""COMPUTED_VALUE"""),"")</f>
        <v/>
      </c>
      <c r="S258" s="1" t="str">
        <f>IFERROR(__xludf.DUMMYFUNCTION("""COMPUTED_VALUE"""),"")</f>
        <v/>
      </c>
      <c r="T258" s="1" t="str">
        <f>IFERROR(__xludf.DUMMYFUNCTION("""COMPUTED_VALUE"""),"")</f>
        <v/>
      </c>
      <c r="U258" s="1" t="str">
        <f>IFERROR(__xludf.DUMMYFUNCTION("""COMPUTED_VALUE"""),"")</f>
        <v/>
      </c>
      <c r="V258" s="1" t="str">
        <f>IFERROR(__xludf.DUMMYFUNCTION("""COMPUTED_VALUE"""),"2,100,000")</f>
        <v>2,100,000</v>
      </c>
      <c r="W258" s="1" t="str">
        <f>IFERROR(__xludf.DUMMYFUNCTION("""COMPUTED_VALUE"""),"")</f>
        <v/>
      </c>
      <c r="X258" s="1" t="str">
        <f>IFERROR(__xludf.DUMMYFUNCTION("""COMPUTED_VALUE"""),"")</f>
        <v/>
      </c>
      <c r="Y258" s="1" t="str">
        <f>IFERROR(__xludf.DUMMYFUNCTION("""COMPUTED_VALUE"""),"")</f>
        <v/>
      </c>
      <c r="Z258" s="1" t="str">
        <f>IFERROR(__xludf.DUMMYFUNCTION("""COMPUTED_VALUE"""),"Unknown")</f>
        <v>Unknown</v>
      </c>
      <c r="AA258" s="1" t="str">
        <f>IFERROR(__xludf.DUMMYFUNCTION("""COMPUTED_VALUE"""),"")</f>
        <v/>
      </c>
      <c r="AB258" s="1" t="str">
        <f>IFERROR(__xludf.DUMMYFUNCTION("""COMPUTED_VALUE"""),"")</f>
        <v/>
      </c>
      <c r="AC258" s="1" t="str">
        <f>IFERROR(__xludf.DUMMYFUNCTION("""COMPUTED_VALUE"""),"")</f>
        <v/>
      </c>
      <c r="AD258" s="1" t="str">
        <f>IFERROR(__xludf.DUMMYFUNCTION("""COMPUTED_VALUE"""),"")</f>
        <v/>
      </c>
      <c r="AE258" s="1" t="str">
        <f>IFERROR(__xludf.DUMMYFUNCTION("""COMPUTED_VALUE"""),"")</f>
        <v/>
      </c>
      <c r="AF258" s="1" t="str">
        <f>IFERROR(__xludf.DUMMYFUNCTION("""COMPUTED_VALUE"""),"")</f>
        <v/>
      </c>
      <c r="AG258" s="1" t="str">
        <f>IFERROR(__xludf.DUMMYFUNCTION("""COMPUTED_VALUE"""),"")</f>
        <v/>
      </c>
      <c r="AH258" s="1" t="str">
        <f>IFERROR(__xludf.DUMMYFUNCTION("""COMPUTED_VALUE"""),"Media Monitoring")</f>
        <v>Media Monitoring</v>
      </c>
      <c r="AI258" s="2" t="str">
        <f>IFERROR(__xludf.DUMMYFUNCTION("""COMPUTED_VALUE"""),"https://www.datacenterdynamics.com/en/news/strategic-files-for-21m-sq-ft-data-center-campus-outside-atlanta-georgia/")</f>
        <v>https://www.datacenterdynamics.com/en/news/strategic-files-for-21m-sq-ft-data-center-campus-outside-atlanta-georgia/</v>
      </c>
      <c r="AJ258" s="2" t="str">
        <f>IFERROR(__xludf.DUMMYFUNCTION("""COMPUTED_VALUE"""),"https://apps.dca.ga.gov/DRI/AppSummary.aspx?driid=4301")</f>
        <v>https://apps.dca.ga.gov/DRI/AppSummary.aspx?driid=4301</v>
      </c>
      <c r="AK258" s="1" t="str">
        <f>IFERROR(__xludf.DUMMYFUNCTION("""COMPUTED_VALUE"""),"")</f>
        <v/>
      </c>
      <c r="AL258" s="1" t="str">
        <f>IFERROR(__xludf.DUMMYFUNCTION("""COMPUTED_VALUE"""),"")</f>
        <v/>
      </c>
      <c r="AM258" s="1" t="str">
        <f>IFERROR(__xludf.DUMMYFUNCTION("""COMPUTED_VALUE"""),"")</f>
        <v/>
      </c>
      <c r="AN258" s="1" t="str">
        <f>IFERROR(__xludf.DUMMYFUNCTION("""COMPUTED_VALUE"""),"")</f>
        <v/>
      </c>
      <c r="AO258" s="1" t="str">
        <f>IFERROR(__xludf.DUMMYFUNCTION("""COMPUTED_VALUE"""),"")</f>
        <v/>
      </c>
      <c r="AP258" s="1" t="str">
        <f>IFERROR(__xludf.DUMMYFUNCTION("""COMPUTED_VALUE"""),"")</f>
        <v/>
      </c>
      <c r="AQ258" s="1" t="str">
        <f>IFERROR(__xludf.DUMMYFUNCTION("""COMPUTED_VALUE"""),"06/25/2025")</f>
        <v>06/25/2025</v>
      </c>
      <c r="AR258" s="1" t="str">
        <f>IFERROR(__xludf.DUMMYFUNCTION("""COMPUTED_VALUE"""),"06/25/2025")</f>
        <v>06/25/2025</v>
      </c>
    </row>
    <row r="259">
      <c r="A259" s="1" t="str">
        <f>IFERROR(__xludf.DUMMYFUNCTION("""COMPUTED_VALUE"""),"T5")</f>
        <v>T5</v>
      </c>
      <c r="B259" s="1" t="str">
        <f>IFERROR(__xludf.DUMMYFUNCTION("""COMPUTED_VALUE"""),"Palmetto Tyrone Rd")</f>
        <v>Palmetto Tyrone Rd</v>
      </c>
      <c r="C259" s="1" t="str">
        <f>IFERROR(__xludf.DUMMYFUNCTION("""COMPUTED_VALUE"""),"Palmetto")</f>
        <v>Palmetto</v>
      </c>
      <c r="D259" s="1" t="str">
        <f>IFERROR(__xludf.DUMMYFUNCTION("""COMPUTED_VALUE"""),"GA")</f>
        <v>GA</v>
      </c>
      <c r="E259" s="1" t="str">
        <f>IFERROR(__xludf.DUMMYFUNCTION("""COMPUTED_VALUE"""),"30122")</f>
        <v>30122</v>
      </c>
      <c r="F259" s="1" t="str">
        <f>IFERROR(__xludf.DUMMYFUNCTION("""COMPUTED_VALUE"""),"Coweta")</f>
        <v>Coweta</v>
      </c>
      <c r="G259" s="1" t="str">
        <f>IFERROR(__xludf.DUMMYFUNCTION("""COMPUTED_VALUE"""),"33.49292")</f>
        <v>33.49292</v>
      </c>
      <c r="H259" s="1" t="str">
        <f>IFERROR(__xludf.DUMMYFUNCTION("""COMPUTED_VALUE"""),"-84.6615")</f>
        <v>-84.6615</v>
      </c>
      <c r="I259" s="1" t="str">
        <f>IFERROR(__xludf.DUMMYFUNCTION("""COMPUTED_VALUE"""),"Proposed")</f>
        <v>Proposed</v>
      </c>
      <c r="J259" s="1" t="str">
        <f>IFERROR(__xludf.DUMMYFUNCTION("""COMPUTED_VALUE"""),"High")</f>
        <v>High</v>
      </c>
      <c r="K259" s="1" t="str">
        <f>IFERROR(__xludf.DUMMYFUNCTION("""COMPUTED_VALUE"""),"")</f>
        <v/>
      </c>
      <c r="L259" s="1" t="str">
        <f>IFERROR(__xludf.DUMMYFUNCTION("""COMPUTED_VALUE"""),"")</f>
        <v/>
      </c>
      <c r="M259" s="1" t="str">
        <f>IFERROR(__xludf.DUMMYFUNCTION("""COMPUTED_VALUE"""),"")</f>
        <v/>
      </c>
      <c r="N259" s="1" t="str">
        <f>IFERROR(__xludf.DUMMYFUNCTION("""COMPUTED_VALUE"""),"")</f>
        <v/>
      </c>
      <c r="O259" s="1" t="str">
        <f>IFERROR(__xludf.DUMMYFUNCTION("""COMPUTED_VALUE"""),"Unknown")</f>
        <v>Unknown</v>
      </c>
      <c r="P259" s="1" t="str">
        <f>IFERROR(__xludf.DUMMYFUNCTION("""COMPUTED_VALUE"""),"")</f>
        <v/>
      </c>
      <c r="Q259" s="1" t="str">
        <f>IFERROR(__xludf.DUMMYFUNCTION("""COMPUTED_VALUE"""),"")</f>
        <v/>
      </c>
      <c r="R259" s="1" t="str">
        <f>IFERROR(__xludf.DUMMYFUNCTION("""COMPUTED_VALUE"""),"")</f>
        <v/>
      </c>
      <c r="S259" s="1" t="str">
        <f>IFERROR(__xludf.DUMMYFUNCTION("""COMPUTED_VALUE"""),"")</f>
        <v/>
      </c>
      <c r="T259" s="1" t="str">
        <f>IFERROR(__xludf.DUMMYFUNCTION("""COMPUTED_VALUE"""),"")</f>
        <v/>
      </c>
      <c r="U259" s="1" t="str">
        <f>IFERROR(__xludf.DUMMYFUNCTION("""COMPUTED_VALUE"""),"")</f>
        <v/>
      </c>
      <c r="V259" s="1" t="str">
        <f>IFERROR(__xludf.DUMMYFUNCTION("""COMPUTED_VALUE"""),"3,000,000")</f>
        <v>3,000,000</v>
      </c>
      <c r="W259" s="1" t="str">
        <f>IFERROR(__xludf.DUMMYFUNCTION("""COMPUTED_VALUE"""),"")</f>
        <v/>
      </c>
      <c r="X259" s="1" t="str">
        <f>IFERROR(__xludf.DUMMYFUNCTION("""COMPUTED_VALUE"""),"")</f>
        <v/>
      </c>
      <c r="Y259" s="1" t="str">
        <f>IFERROR(__xludf.DUMMYFUNCTION("""COMPUTED_VALUE"""),"")</f>
        <v/>
      </c>
      <c r="Z259" s="1" t="str">
        <f>IFERROR(__xludf.DUMMYFUNCTION("""COMPUTED_VALUE"""),"Unknown")</f>
        <v>Unknown</v>
      </c>
      <c r="AA259" s="1" t="str">
        <f>IFERROR(__xludf.DUMMYFUNCTION("""COMPUTED_VALUE"""),"")</f>
        <v/>
      </c>
      <c r="AB259" s="1" t="str">
        <f>IFERROR(__xludf.DUMMYFUNCTION("""COMPUTED_VALUE"""),"")</f>
        <v/>
      </c>
      <c r="AC259" s="1" t="str">
        <f>IFERROR(__xludf.DUMMYFUNCTION("""COMPUTED_VALUE"""),"")</f>
        <v/>
      </c>
      <c r="AD259" s="1" t="str">
        <f>IFERROR(__xludf.DUMMYFUNCTION("""COMPUTED_VALUE"""),"")</f>
        <v/>
      </c>
      <c r="AE259" s="1" t="str">
        <f>IFERROR(__xludf.DUMMYFUNCTION("""COMPUTED_VALUE"""),"")</f>
        <v/>
      </c>
      <c r="AF259" s="1" t="str">
        <f>IFERROR(__xludf.DUMMYFUNCTION("""COMPUTED_VALUE"""),"")</f>
        <v/>
      </c>
      <c r="AG259" s="1" t="str">
        <f>IFERROR(__xludf.DUMMYFUNCTION("""COMPUTED_VALUE"""),"")</f>
        <v/>
      </c>
      <c r="AH259" s="1" t="str">
        <f>IFERROR(__xludf.DUMMYFUNCTION("""COMPUTED_VALUE"""),"Media Monitoring")</f>
        <v>Media Monitoring</v>
      </c>
      <c r="AI259" s="2" t="str">
        <f>IFERROR(__xludf.DUMMYFUNCTION("""COMPUTED_VALUE"""),"https://www.datacenterdynamics.com/en/news/t5-requests-permission-for-3-million-sq-ft-campus-outside-atlanta-georgia/")</f>
        <v>https://www.datacenterdynamics.com/en/news/t5-requests-permission-for-3-million-sq-ft-campus-outside-atlanta-georgia/</v>
      </c>
      <c r="AJ259" s="1" t="str">
        <f>IFERROR(__xludf.DUMMYFUNCTION("""COMPUTED_VALUE"""),"")</f>
        <v/>
      </c>
      <c r="AK259" s="1" t="str">
        <f>IFERROR(__xludf.DUMMYFUNCTION("""COMPUTED_VALUE"""),"")</f>
        <v/>
      </c>
      <c r="AL259" s="1" t="str">
        <f>IFERROR(__xludf.DUMMYFUNCTION("""COMPUTED_VALUE"""),"")</f>
        <v/>
      </c>
      <c r="AM259" s="1" t="str">
        <f>IFERROR(__xludf.DUMMYFUNCTION("""COMPUTED_VALUE"""),"")</f>
        <v/>
      </c>
      <c r="AN259" s="1" t="str">
        <f>IFERROR(__xludf.DUMMYFUNCTION("""COMPUTED_VALUE"""),"")</f>
        <v/>
      </c>
      <c r="AO259" s="1" t="str">
        <f>IFERROR(__xludf.DUMMYFUNCTION("""COMPUTED_VALUE"""),"")</f>
        <v/>
      </c>
      <c r="AP259" s="1" t="str">
        <f>IFERROR(__xludf.DUMMYFUNCTION("""COMPUTED_VALUE"""),"")</f>
        <v/>
      </c>
      <c r="AQ259" s="1" t="str">
        <f>IFERROR(__xludf.DUMMYFUNCTION("""COMPUTED_VALUE"""),"06/24/2025")</f>
        <v>06/24/2025</v>
      </c>
      <c r="AR259" s="1" t="str">
        <f>IFERROR(__xludf.DUMMYFUNCTION("""COMPUTED_VALUE"""),"06/24/2025")</f>
        <v>06/24/2025</v>
      </c>
    </row>
    <row r="260">
      <c r="A260" s="1" t="str">
        <f>IFERROR(__xludf.DUMMYFUNCTION("""COMPUTED_VALUE"""),"Atlas Battey Business Complex")</f>
        <v>Atlas Battey Business Complex</v>
      </c>
      <c r="B260" s="1" t="str">
        <f>IFERROR(__xludf.DUMMYFUNCTION("""COMPUTED_VALUE"""),"Floyd County")</f>
        <v>Floyd County</v>
      </c>
      <c r="C260" s="1" t="str">
        <f>IFERROR(__xludf.DUMMYFUNCTION("""COMPUTED_VALUE"""),"Rome")</f>
        <v>Rome</v>
      </c>
      <c r="D260" s="1" t="str">
        <f>IFERROR(__xludf.DUMMYFUNCTION("""COMPUTED_VALUE"""),"GA")</f>
        <v>GA</v>
      </c>
      <c r="E260" s="1" t="str">
        <f>IFERROR(__xludf.DUMMYFUNCTION("""COMPUTED_VALUE"""),"30161")</f>
        <v>30161</v>
      </c>
      <c r="F260" s="1" t="str">
        <f>IFERROR(__xludf.DUMMYFUNCTION("""COMPUTED_VALUE"""),"Floyd")</f>
        <v>Floyd</v>
      </c>
      <c r="G260" s="1" t="str">
        <f>IFERROR(__xludf.DUMMYFUNCTION("""COMPUTED_VALUE"""),"34.2664")</f>
        <v>34.2664</v>
      </c>
      <c r="H260" s="1" t="str">
        <f>IFERROR(__xludf.DUMMYFUNCTION("""COMPUTED_VALUE"""),"-85.3029")</f>
        <v>-85.3029</v>
      </c>
      <c r="I260" s="1" t="str">
        <f>IFERROR(__xludf.DUMMYFUNCTION("""COMPUTED_VALUE"""),"Proposed")</f>
        <v>Proposed</v>
      </c>
      <c r="J260" s="1" t="str">
        <f>IFERROR(__xludf.DUMMYFUNCTION("""COMPUTED_VALUE"""),"Medium")</f>
        <v>Medium</v>
      </c>
      <c r="K260" s="1" t="str">
        <f>IFERROR(__xludf.DUMMYFUNCTION("""COMPUTED_VALUE"""),"")</f>
        <v/>
      </c>
      <c r="L260" s="1" t="str">
        <f>IFERROR(__xludf.DUMMYFUNCTION("""COMPUTED_VALUE"""),"")</f>
        <v/>
      </c>
      <c r="M260" s="1" t="str">
        <f>IFERROR(__xludf.DUMMYFUNCTION("""COMPUTED_VALUE"""),"")</f>
        <v/>
      </c>
      <c r="N260" s="1" t="str">
        <f>IFERROR(__xludf.DUMMYFUNCTION("""COMPUTED_VALUE"""),"500-900")</f>
        <v>500-900</v>
      </c>
      <c r="O260" s="1" t="str">
        <f>IFERROR(__xludf.DUMMYFUNCTION("""COMPUTED_VALUE"""),"Hyperscale (100-999 MW)")</f>
        <v>Hyperscale (100-999 MW)</v>
      </c>
      <c r="P260" s="1" t="str">
        <f>IFERROR(__xludf.DUMMYFUNCTION("""COMPUTED_VALUE"""),"")</f>
        <v/>
      </c>
      <c r="Q260" s="1" t="str">
        <f>IFERROR(__xludf.DUMMYFUNCTION("""COMPUTED_VALUE"""),"")</f>
        <v/>
      </c>
      <c r="R260" s="1" t="str">
        <f>IFERROR(__xludf.DUMMYFUNCTION("""COMPUTED_VALUE"""),"")</f>
        <v/>
      </c>
      <c r="S260" s="1" t="str">
        <f>IFERROR(__xludf.DUMMYFUNCTION("""COMPUTED_VALUE"""),"")</f>
        <v/>
      </c>
      <c r="T260" s="1" t="str">
        <f>IFERROR(__xludf.DUMMYFUNCTION("""COMPUTED_VALUE"""),"")</f>
        <v/>
      </c>
      <c r="U260" s="1" t="str">
        <f>IFERROR(__xludf.DUMMYFUNCTION("""COMPUTED_VALUE"""),"")</f>
        <v/>
      </c>
      <c r="V260" s="1" t="str">
        <f>IFERROR(__xludf.DUMMYFUNCTION("""COMPUTED_VALUE"""),"")</f>
        <v/>
      </c>
      <c r="W260" s="1" t="str">
        <f>IFERROR(__xludf.DUMMYFUNCTION("""COMPUTED_VALUE"""),"114")</f>
        <v>114</v>
      </c>
      <c r="X260" s="1" t="str">
        <f>IFERROR(__xludf.DUMMYFUNCTION("""COMPUTED_VALUE"""),"5.7 million")</f>
        <v>5.7 million</v>
      </c>
      <c r="Y260" s="1" t="str">
        <f>IFERROR(__xludf.DUMMYFUNCTION("""COMPUTED_VALUE"""),"")</f>
        <v/>
      </c>
      <c r="Z260" s="1" t="str">
        <f>IFERROR(__xludf.DUMMYFUNCTION("""COMPUTED_VALUE"""),"Yes")</f>
        <v>Yes</v>
      </c>
      <c r="AA260" s="1" t="str">
        <f>IFERROR(__xludf.DUMMYFUNCTION("""COMPUTED_VALUE"""),"A citizens' group (""We say NO! to Atlas Development's data center"") has organized against the project, citing concerns over power and water usage, as well as an open meetings complaint filed in November 2025 regarding the sale process.")</f>
        <v>A citizens' group ("We say NO! to Atlas Development's data center") has organized against the project, citing concerns over power and water usage, as well as an open meetings complaint filed in November 2025 regarding the sale process.</v>
      </c>
      <c r="AB260" s="1" t="str">
        <f>IFERROR(__xludf.DUMMYFUNCTION("""COMPUTED_VALUE"""),"Organized Advocacy")</f>
        <v>Organized Advocacy</v>
      </c>
      <c r="AC260" s="1" t="str">
        <f>IFERROR(__xludf.DUMMYFUNCTION("""COMPUTED_VALUE"""),"")</f>
        <v/>
      </c>
      <c r="AD260" s="2" t="str">
        <f>IFERROR(__xludf.DUMMYFUNCTION("""COMPUTED_VALUE"""),"https://www.facebook.com/groups/wesayno/")</f>
        <v>https://www.facebook.com/groups/wesayno/</v>
      </c>
      <c r="AE260" s="1" t="str">
        <f>IFERROR(__xludf.DUMMYFUNCTION("""COMPUTED_VALUE"""),"")</f>
        <v/>
      </c>
      <c r="AF260" s="1" t="str">
        <f>IFERROR(__xludf.DUMMYFUNCTION("""COMPUTED_VALUE"""),"")</f>
        <v/>
      </c>
      <c r="AG260" s="1" t="str">
        <f>IFERROR(__xludf.DUMMYFUNCTION("""COMPUTED_VALUE"""),"")</f>
        <v/>
      </c>
      <c r="AH260" s="1" t="str">
        <f>IFERROR(__xludf.DUMMYFUNCTION("""COMPUTED_VALUE"""),"Media Monitoring")</f>
        <v>Media Monitoring</v>
      </c>
      <c r="AI260" s="2" t="str">
        <f>IFERROR(__xludf.DUMMYFUNCTION("""COMPUTED_VALUE"""),"https://www.datacenterdynamics.com/en/news/data-center-planned-on-114-acre-plot-in-rome-georgia/")</f>
        <v>https://www.datacenterdynamics.com/en/news/data-center-planned-on-114-acre-plot-in-rome-georgia/</v>
      </c>
      <c r="AJ260" s="2" t="str">
        <f>IFERROR(__xludf.DUMMYFUNCTION("""COMPUTED_VALUE"""),"https://www.northwestgeorgianews.com/rome/news/local/battey-business-complex-demolition-to-start-next-summer/article_4916b177-51d6-4d8e-98e4-8e312609878b.html")</f>
        <v>https://www.northwestgeorgianews.com/rome/news/local/battey-business-complex-demolition-to-start-next-summer/article_4916b177-51d6-4d8e-98e4-8e312609878b.html</v>
      </c>
      <c r="AK260" s="2" t="str">
        <f>IFERROR(__xludf.DUMMYFUNCTION("""COMPUTED_VALUE"""),"https://www.facebook.com/bartowcountygeorgiamediagroup/posts/things-are-heating-up-in-floyd-county-over-data-centers-and-open-meeting-complai/871398232192995/")</f>
        <v>https://www.facebook.com/bartowcountygeorgiamediagroup/posts/things-are-heating-up-in-floyd-county-over-data-centers-and-open-meeting-complai/871398232192995/</v>
      </c>
      <c r="AL260" s="1" t="str">
        <f>IFERROR(__xludf.DUMMYFUNCTION("""COMPUTED_VALUE"""),"")</f>
        <v/>
      </c>
      <c r="AM260" s="1" t="str">
        <f>IFERROR(__xludf.DUMMYFUNCTION("""COMPUTED_VALUE"""),"")</f>
        <v/>
      </c>
      <c r="AN260" s="1" t="str">
        <f>IFERROR(__xludf.DUMMYFUNCTION("""COMPUTED_VALUE"""),"")</f>
        <v/>
      </c>
      <c r="AO260" s="1" t="str">
        <f>IFERROR(__xludf.DUMMYFUNCTION("""COMPUTED_VALUE"""),"")</f>
        <v/>
      </c>
      <c r="AP260" s="1" t="str">
        <f>IFERROR(__xludf.DUMMYFUNCTION("""COMPUTED_VALUE"""),"")</f>
        <v/>
      </c>
      <c r="AQ260" s="1" t="str">
        <f>IFERROR(__xludf.DUMMYFUNCTION("""COMPUTED_VALUE"""),"05/25/2025")</f>
        <v>05/25/2025</v>
      </c>
      <c r="AR260" s="1" t="str">
        <f>IFERROR(__xludf.DUMMYFUNCTION("""COMPUTED_VALUE"""),"05/03/2026")</f>
        <v>05/03/2026</v>
      </c>
    </row>
    <row r="261">
      <c r="A261" s="1" t="str">
        <f>IFERROR(__xludf.DUMMYFUNCTION("""COMPUTED_VALUE"""),"Project Firecracker (Microsoft)")</f>
        <v>Project Firecracker (Microsoft)</v>
      </c>
      <c r="B261" s="1" t="str">
        <f>IFERROR(__xludf.DUMMYFUNCTION("""COMPUTED_VALUE"""),"Huffaker Rd")</f>
        <v>Huffaker Rd</v>
      </c>
      <c r="C261" s="1" t="str">
        <f>IFERROR(__xludf.DUMMYFUNCTION("""COMPUTED_VALUE"""),"Rome")</f>
        <v>Rome</v>
      </c>
      <c r="D261" s="1" t="str">
        <f>IFERROR(__xludf.DUMMYFUNCTION("""COMPUTED_VALUE"""),"GA")</f>
        <v>GA</v>
      </c>
      <c r="E261" s="1" t="str">
        <f>IFERROR(__xludf.DUMMYFUNCTION("""COMPUTED_VALUE"""),"30161")</f>
        <v>30161</v>
      </c>
      <c r="F261" s="1" t="str">
        <f>IFERROR(__xludf.DUMMYFUNCTION("""COMPUTED_VALUE"""),"Floyd")</f>
        <v>Floyd</v>
      </c>
      <c r="G261" s="1" t="str">
        <f>IFERROR(__xludf.DUMMYFUNCTION("""COMPUTED_VALUE"""),"34.30175")</f>
        <v>34.30175</v>
      </c>
      <c r="H261" s="1" t="str">
        <f>IFERROR(__xludf.DUMMYFUNCTION("""COMPUTED_VALUE"""),"-85.3087")</f>
        <v>-85.3087</v>
      </c>
      <c r="I261" s="1" t="str">
        <f>IFERROR(__xludf.DUMMYFUNCTION("""COMPUTED_VALUE"""),"Proposed")</f>
        <v>Proposed</v>
      </c>
      <c r="J261" s="1" t="str">
        <f>IFERROR(__xludf.DUMMYFUNCTION("""COMPUTED_VALUE"""),"Medium")</f>
        <v>Medium</v>
      </c>
      <c r="K261" s="1" t="str">
        <f>IFERROR(__xludf.DUMMYFUNCTION("""COMPUTED_VALUE"""),"")</f>
        <v/>
      </c>
      <c r="L261" s="1" t="str">
        <f>IFERROR(__xludf.DUMMYFUNCTION("""COMPUTED_VALUE"""),"Microsoft")</f>
        <v>Microsoft</v>
      </c>
      <c r="M261" s="1" t="str">
        <f>IFERROR(__xludf.DUMMYFUNCTION("""COMPUTED_VALUE"""),"")</f>
        <v/>
      </c>
      <c r="N261" s="1" t="str">
        <f>IFERROR(__xludf.DUMMYFUNCTION("""COMPUTED_VALUE"""),"")</f>
        <v/>
      </c>
      <c r="O261" s="1" t="str">
        <f>IFERROR(__xludf.DUMMYFUNCTION("""COMPUTED_VALUE"""),"Unknown")</f>
        <v>Unknown</v>
      </c>
      <c r="P261" s="1" t="str">
        <f>IFERROR(__xludf.DUMMYFUNCTION("""COMPUTED_VALUE"""),"")</f>
        <v/>
      </c>
      <c r="Q261" s="1" t="str">
        <f>IFERROR(__xludf.DUMMYFUNCTION("""COMPUTED_VALUE"""),"")</f>
        <v/>
      </c>
      <c r="R261" s="1" t="str">
        <f>IFERROR(__xludf.DUMMYFUNCTION("""COMPUTED_VALUE"""),"")</f>
        <v/>
      </c>
      <c r="S261" s="1" t="str">
        <f>IFERROR(__xludf.DUMMYFUNCTION("""COMPUTED_VALUE"""),"")</f>
        <v/>
      </c>
      <c r="T261" s="1" t="str">
        <f>IFERROR(__xludf.DUMMYFUNCTION("""COMPUTED_VALUE"""),"")</f>
        <v/>
      </c>
      <c r="U261" s="1" t="str">
        <f>IFERROR(__xludf.DUMMYFUNCTION("""COMPUTED_VALUE"""),"")</f>
        <v/>
      </c>
      <c r="V261" s="1" t="str">
        <f>IFERROR(__xludf.DUMMYFUNCTION("""COMPUTED_VALUE"""),"")</f>
        <v/>
      </c>
      <c r="W261" s="1" t="str">
        <f>IFERROR(__xludf.DUMMYFUNCTION("""COMPUTED_VALUE"""),"350")</f>
        <v>350</v>
      </c>
      <c r="X261" s="1" t="str">
        <f>IFERROR(__xludf.DUMMYFUNCTION("""COMPUTED_VALUE"""),"$1 billion")</f>
        <v>$1 billion</v>
      </c>
      <c r="Y261" s="1" t="str">
        <f>IFERROR(__xludf.DUMMYFUNCTION("""COMPUTED_VALUE"""),"")</f>
        <v/>
      </c>
      <c r="Z261" s="1" t="str">
        <f>IFERROR(__xludf.DUMMYFUNCTION("""COMPUTED_VALUE"""),"Unknown")</f>
        <v>Unknown</v>
      </c>
      <c r="AA261" s="1" t="str">
        <f>IFERROR(__xludf.DUMMYFUNCTION("""COMPUTED_VALUE"""),"")</f>
        <v/>
      </c>
      <c r="AB261" s="1" t="str">
        <f>IFERROR(__xludf.DUMMYFUNCTION("""COMPUTED_VALUE"""),"")</f>
        <v/>
      </c>
      <c r="AC261" s="1" t="str">
        <f>IFERROR(__xludf.DUMMYFUNCTION("""COMPUTED_VALUE"""),"")</f>
        <v/>
      </c>
      <c r="AD261" s="1" t="str">
        <f>IFERROR(__xludf.DUMMYFUNCTION("""COMPUTED_VALUE"""),"")</f>
        <v/>
      </c>
      <c r="AE261" s="1" t="str">
        <f>IFERROR(__xludf.DUMMYFUNCTION("""COMPUTED_VALUE"""),"")</f>
        <v/>
      </c>
      <c r="AF261" s="1" t="str">
        <f>IFERROR(__xludf.DUMMYFUNCTION("""COMPUTED_VALUE"""),"")</f>
        <v/>
      </c>
      <c r="AG261" s="1" t="str">
        <f>IFERROR(__xludf.DUMMYFUNCTION("""COMPUTED_VALUE"""),"")</f>
        <v/>
      </c>
      <c r="AH261" s="1" t="str">
        <f>IFERROR(__xludf.DUMMYFUNCTION("""COMPUTED_VALUE"""),"Media Monitoring")</f>
        <v>Media Monitoring</v>
      </c>
      <c r="AI261" s="2" t="str">
        <f>IFERROR(__xludf.DUMMYFUNCTION("""COMPUTED_VALUE"""),"https://www.datacenterdynamics.com/en/news/microsoft-to-develop-350-acre-data-center-campus-in-rome-georgia/")</f>
        <v>https://www.datacenterdynamics.com/en/news/microsoft-to-develop-350-acre-data-center-campus-in-rome-georgia/</v>
      </c>
      <c r="AJ261" s="1" t="str">
        <f>IFERROR(__xludf.DUMMYFUNCTION("""COMPUTED_VALUE"""),"")</f>
        <v/>
      </c>
      <c r="AK261" s="1" t="str">
        <f>IFERROR(__xludf.DUMMYFUNCTION("""COMPUTED_VALUE"""),"")</f>
        <v/>
      </c>
      <c r="AL261" s="1" t="str">
        <f>IFERROR(__xludf.DUMMYFUNCTION("""COMPUTED_VALUE"""),"")</f>
        <v/>
      </c>
      <c r="AM261" s="1" t="str">
        <f>IFERROR(__xludf.DUMMYFUNCTION("""COMPUTED_VALUE"""),"")</f>
        <v/>
      </c>
      <c r="AN261" s="1" t="str">
        <f>IFERROR(__xludf.DUMMYFUNCTION("""COMPUTED_VALUE"""),"")</f>
        <v/>
      </c>
      <c r="AO261" s="1" t="str">
        <f>IFERROR(__xludf.DUMMYFUNCTION("""COMPUTED_VALUE"""),"")</f>
        <v/>
      </c>
      <c r="AP261" s="1" t="str">
        <f>IFERROR(__xludf.DUMMYFUNCTION("""COMPUTED_VALUE"""),"")</f>
        <v/>
      </c>
      <c r="AQ261" s="1" t="str">
        <f>IFERROR(__xludf.DUMMYFUNCTION("""COMPUTED_VALUE"""),"05/25/2025")</f>
        <v>05/25/2025</v>
      </c>
      <c r="AR261" s="1" t="str">
        <f>IFERROR(__xludf.DUMMYFUNCTION("""COMPUTED_VALUE"""),"03/11/2026")</f>
        <v>03/11/2026</v>
      </c>
    </row>
    <row r="262">
      <c r="A262" s="1" t="str">
        <f>IFERROR(__xludf.DUMMYFUNCTION("""COMPUTED_VALUE"""),"Project Gracie (Atlas Development)")</f>
        <v>Project Gracie (Atlas Development)</v>
      </c>
      <c r="B262" s="1" t="str">
        <f>IFERROR(__xludf.DUMMYFUNCTION("""COMPUTED_VALUE"""),"Vann Rd NW")</f>
        <v>Vann Rd NW</v>
      </c>
      <c r="C262" s="1" t="str">
        <f>IFERROR(__xludf.DUMMYFUNCTION("""COMPUTED_VALUE"""),"Rome")</f>
        <v>Rome</v>
      </c>
      <c r="D262" s="1" t="str">
        <f>IFERROR(__xludf.DUMMYFUNCTION("""COMPUTED_VALUE"""),"GA")</f>
        <v>GA</v>
      </c>
      <c r="E262" s="1" t="str">
        <f>IFERROR(__xludf.DUMMYFUNCTION("""COMPUTED_VALUE"""),"30161")</f>
        <v>30161</v>
      </c>
      <c r="F262" s="1" t="str">
        <f>IFERROR(__xludf.DUMMYFUNCTION("""COMPUTED_VALUE"""),"Floyd")</f>
        <v>Floyd</v>
      </c>
      <c r="G262" s="1" t="str">
        <f>IFERROR(__xludf.DUMMYFUNCTION("""COMPUTED_VALUE"""),"34.26722")</f>
        <v>34.26722</v>
      </c>
      <c r="H262" s="1" t="str">
        <f>IFERROR(__xludf.DUMMYFUNCTION("""COMPUTED_VALUE"""),"-85.2995")</f>
        <v>-85.2995</v>
      </c>
      <c r="I262" s="1" t="str">
        <f>IFERROR(__xludf.DUMMYFUNCTION("""COMPUTED_VALUE"""),"Proposed")</f>
        <v>Proposed</v>
      </c>
      <c r="J262" s="1" t="str">
        <f>IFERROR(__xludf.DUMMYFUNCTION("""COMPUTED_VALUE"""),"Medium")</f>
        <v>Medium</v>
      </c>
      <c r="K262" s="1" t="str">
        <f>IFERROR(__xludf.DUMMYFUNCTION("""COMPUTED_VALUE"""),"")</f>
        <v/>
      </c>
      <c r="L262" s="1" t="str">
        <f>IFERROR(__xludf.DUMMYFUNCTION("""COMPUTED_VALUE"""),"")</f>
        <v/>
      </c>
      <c r="M262" s="1" t="str">
        <f>IFERROR(__xludf.DUMMYFUNCTION("""COMPUTED_VALUE"""),"")</f>
        <v/>
      </c>
      <c r="N262" s="1" t="str">
        <f>IFERROR(__xludf.DUMMYFUNCTION("""COMPUTED_VALUE"""),"")</f>
        <v/>
      </c>
      <c r="O262" s="1" t="str">
        <f>IFERROR(__xludf.DUMMYFUNCTION("""COMPUTED_VALUE"""),"Unknown")</f>
        <v>Unknown</v>
      </c>
      <c r="P262" s="1" t="str">
        <f>IFERROR(__xludf.DUMMYFUNCTION("""COMPUTED_VALUE"""),"")</f>
        <v/>
      </c>
      <c r="Q262" s="1" t="str">
        <f>IFERROR(__xludf.DUMMYFUNCTION("""COMPUTED_VALUE"""),"")</f>
        <v/>
      </c>
      <c r="R262" s="1" t="str">
        <f>IFERROR(__xludf.DUMMYFUNCTION("""COMPUTED_VALUE"""),"")</f>
        <v/>
      </c>
      <c r="S262" s="1" t="str">
        <f>IFERROR(__xludf.DUMMYFUNCTION("""COMPUTED_VALUE"""),"7")</f>
        <v>7</v>
      </c>
      <c r="T262" s="1" t="str">
        <f>IFERROR(__xludf.DUMMYFUNCTION("""COMPUTED_VALUE"""),"")</f>
        <v/>
      </c>
      <c r="U262" s="1" t="str">
        <f>IFERROR(__xludf.DUMMYFUNCTION("""COMPUTED_VALUE"""),"")</f>
        <v/>
      </c>
      <c r="V262" s="1" t="str">
        <f>IFERROR(__xludf.DUMMYFUNCTION("""COMPUTED_VALUE"""),"2,400,000")</f>
        <v>2,400,000</v>
      </c>
      <c r="W262" s="1" t="str">
        <f>IFERROR(__xludf.DUMMYFUNCTION("""COMPUTED_VALUE"""),"")</f>
        <v/>
      </c>
      <c r="X262" s="1" t="str">
        <f>IFERROR(__xludf.DUMMYFUNCTION("""COMPUTED_VALUE"""),"")</f>
        <v/>
      </c>
      <c r="Y262" s="1" t="str">
        <f>IFERROR(__xludf.DUMMYFUNCTION("""COMPUTED_VALUE"""),"")</f>
        <v/>
      </c>
      <c r="Z262" s="1" t="str">
        <f>IFERROR(__xludf.DUMMYFUNCTION("""COMPUTED_VALUE"""),"Unknown")</f>
        <v>Unknown</v>
      </c>
      <c r="AA262" s="1" t="str">
        <f>IFERROR(__xludf.DUMMYFUNCTION("""COMPUTED_VALUE"""),"")</f>
        <v/>
      </c>
      <c r="AB262" s="1" t="str">
        <f>IFERROR(__xludf.DUMMYFUNCTION("""COMPUTED_VALUE"""),"")</f>
        <v/>
      </c>
      <c r="AC262" s="1" t="str">
        <f>IFERROR(__xludf.DUMMYFUNCTION("""COMPUTED_VALUE"""),"")</f>
        <v/>
      </c>
      <c r="AD262" s="1" t="str">
        <f>IFERROR(__xludf.DUMMYFUNCTION("""COMPUTED_VALUE"""),"")</f>
        <v/>
      </c>
      <c r="AE262" s="1" t="str">
        <f>IFERROR(__xludf.DUMMYFUNCTION("""COMPUTED_VALUE"""),"")</f>
        <v/>
      </c>
      <c r="AF262" s="1" t="str">
        <f>IFERROR(__xludf.DUMMYFUNCTION("""COMPUTED_VALUE"""),"")</f>
        <v/>
      </c>
      <c r="AG262" s="1" t="str">
        <f>IFERROR(__xludf.DUMMYFUNCTION("""COMPUTED_VALUE"""),"")</f>
        <v/>
      </c>
      <c r="AH262" s="1" t="str">
        <f>IFERROR(__xludf.DUMMYFUNCTION("""COMPUTED_VALUE"""),"Media Monitoring")</f>
        <v>Media Monitoring</v>
      </c>
      <c r="AI262" s="2" t="str">
        <f>IFERROR(__xludf.DUMMYFUNCTION("""COMPUTED_VALUE"""),"https://www.datacenterdynamics.com/en/news/atlas-plans-24-million-sq-ft-data-center-campus-outside-rome-georgia/")</f>
        <v>https://www.datacenterdynamics.com/en/news/atlas-plans-24-million-sq-ft-data-center-campus-outside-rome-georgia/</v>
      </c>
      <c r="AJ262" s="1" t="str">
        <f>IFERROR(__xludf.DUMMYFUNCTION("""COMPUTED_VALUE"""),"")</f>
        <v/>
      </c>
      <c r="AK262" s="1" t="str">
        <f>IFERROR(__xludf.DUMMYFUNCTION("""COMPUTED_VALUE"""),"")</f>
        <v/>
      </c>
      <c r="AL262" s="1" t="str">
        <f>IFERROR(__xludf.DUMMYFUNCTION("""COMPUTED_VALUE"""),"")</f>
        <v/>
      </c>
      <c r="AM262" s="1" t="str">
        <f>IFERROR(__xludf.DUMMYFUNCTION("""COMPUTED_VALUE"""),"")</f>
        <v/>
      </c>
      <c r="AN262" s="1" t="str">
        <f>IFERROR(__xludf.DUMMYFUNCTION("""COMPUTED_VALUE"""),"")</f>
        <v/>
      </c>
      <c r="AO262" s="1" t="str">
        <f>IFERROR(__xludf.DUMMYFUNCTION("""COMPUTED_VALUE"""),"")</f>
        <v/>
      </c>
      <c r="AP262" s="1" t="str">
        <f>IFERROR(__xludf.DUMMYFUNCTION("""COMPUTED_VALUE"""),"")</f>
        <v/>
      </c>
      <c r="AQ262" s="1" t="str">
        <f>IFERROR(__xludf.DUMMYFUNCTION("""COMPUTED_VALUE"""),"05/26/2025")</f>
        <v>05/26/2025</v>
      </c>
      <c r="AR262" s="1" t="str">
        <f>IFERROR(__xludf.DUMMYFUNCTION("""COMPUTED_VALUE"""),"03/11/2026")</f>
        <v>03/11/2026</v>
      </c>
    </row>
    <row r="263">
      <c r="A263" s="1" t="str">
        <f>IFERROR(__xludf.DUMMYFUNCTION("""COMPUTED_VALUE"""),"Project Sassy")</f>
        <v>Project Sassy</v>
      </c>
      <c r="B263" s="1" t="str">
        <f>IFERROR(__xludf.DUMMYFUNCTION("""COMPUTED_VALUE"""),"Plainville Rd NE &amp; Hwy 53")</f>
        <v>Plainville Rd NE &amp; Hwy 53</v>
      </c>
      <c r="C263" s="1" t="str">
        <f>IFERROR(__xludf.DUMMYFUNCTION("""COMPUTED_VALUE"""),"Rome")</f>
        <v>Rome</v>
      </c>
      <c r="D263" s="1" t="str">
        <f>IFERROR(__xludf.DUMMYFUNCTION("""COMPUTED_VALUE"""),"GA")</f>
        <v>GA</v>
      </c>
      <c r="E263" s="1" t="str">
        <f>IFERROR(__xludf.DUMMYFUNCTION("""COMPUTED_VALUE"""),"30161")</f>
        <v>30161</v>
      </c>
      <c r="F263" s="1" t="str">
        <f>IFERROR(__xludf.DUMMYFUNCTION("""COMPUTED_VALUE"""),"Floyd")</f>
        <v>Floyd</v>
      </c>
      <c r="G263" s="1" t="str">
        <f>IFERROR(__xludf.DUMMYFUNCTION("""COMPUTED_VALUE"""),"34.36917")</f>
        <v>34.36917</v>
      </c>
      <c r="H263" s="1" t="str">
        <f>IFERROR(__xludf.DUMMYFUNCTION("""COMPUTED_VALUE"""),"-85.0482")</f>
        <v>-85.0482</v>
      </c>
      <c r="I263" s="1" t="str">
        <f>IFERROR(__xludf.DUMMYFUNCTION("""COMPUTED_VALUE"""),"Proposed")</f>
        <v>Proposed</v>
      </c>
      <c r="J263" s="1" t="str">
        <f>IFERROR(__xludf.DUMMYFUNCTION("""COMPUTED_VALUE"""),"High")</f>
        <v>High</v>
      </c>
      <c r="K263" s="1" t="str">
        <f>IFERROR(__xludf.DUMMYFUNCTION("""COMPUTED_VALUE"""),"")</f>
        <v/>
      </c>
      <c r="L263" s="1" t="str">
        <f>IFERROR(__xludf.DUMMYFUNCTION("""COMPUTED_VALUE"""),"")</f>
        <v/>
      </c>
      <c r="M263" s="1" t="str">
        <f>IFERROR(__xludf.DUMMYFUNCTION("""COMPUTED_VALUE"""),"")</f>
        <v/>
      </c>
      <c r="N263" s="1" t="str">
        <f>IFERROR(__xludf.DUMMYFUNCTION("""COMPUTED_VALUE"""),"504")</f>
        <v>504</v>
      </c>
      <c r="O263" s="1" t="str">
        <f>IFERROR(__xludf.DUMMYFUNCTION("""COMPUTED_VALUE"""),"Hyperscale (100-999 MW)")</f>
        <v>Hyperscale (100-999 MW)</v>
      </c>
      <c r="P263" s="1" t="str">
        <f>IFERROR(__xludf.DUMMYFUNCTION("""COMPUTED_VALUE"""),"")</f>
        <v/>
      </c>
      <c r="Q263" s="1" t="str">
        <f>IFERROR(__xludf.DUMMYFUNCTION("""COMPUTED_VALUE"""),"")</f>
        <v/>
      </c>
      <c r="R263" s="1" t="str">
        <f>IFERROR(__xludf.DUMMYFUNCTION("""COMPUTED_VALUE"""),"")</f>
        <v/>
      </c>
      <c r="S263" s="1" t="str">
        <f>IFERROR(__xludf.DUMMYFUNCTION("""COMPUTED_VALUE"""),"")</f>
        <v/>
      </c>
      <c r="T263" s="1" t="str">
        <f>IFERROR(__xludf.DUMMYFUNCTION("""COMPUTED_VALUE"""),"")</f>
        <v/>
      </c>
      <c r="U263" s="1" t="str">
        <f>IFERROR(__xludf.DUMMYFUNCTION("""COMPUTED_VALUE"""),"")</f>
        <v/>
      </c>
      <c r="V263" s="1" t="str">
        <f>IFERROR(__xludf.DUMMYFUNCTION("""COMPUTED_VALUE"""),"2,490,000")</f>
        <v>2,490,000</v>
      </c>
      <c r="W263" s="1" t="str">
        <f>IFERROR(__xludf.DUMMYFUNCTION("""COMPUTED_VALUE"""),"")</f>
        <v/>
      </c>
      <c r="X263" s="1" t="str">
        <f>IFERROR(__xludf.DUMMYFUNCTION("""COMPUTED_VALUE"""),"")</f>
        <v/>
      </c>
      <c r="Y263" s="1" t="str">
        <f>IFERROR(__xludf.DUMMYFUNCTION("""COMPUTED_VALUE"""),"")</f>
        <v/>
      </c>
      <c r="Z263" s="1" t="str">
        <f>IFERROR(__xludf.DUMMYFUNCTION("""COMPUTED_VALUE"""),"Unknown")</f>
        <v>Unknown</v>
      </c>
      <c r="AA263" s="1" t="str">
        <f>IFERROR(__xludf.DUMMYFUNCTION("""COMPUTED_VALUE"""),"")</f>
        <v/>
      </c>
      <c r="AB263" s="1" t="str">
        <f>IFERROR(__xludf.DUMMYFUNCTION("""COMPUTED_VALUE"""),"")</f>
        <v/>
      </c>
      <c r="AC263" s="1" t="str">
        <f>IFERROR(__xludf.DUMMYFUNCTION("""COMPUTED_VALUE"""),"")</f>
        <v/>
      </c>
      <c r="AD263" s="1" t="str">
        <f>IFERROR(__xludf.DUMMYFUNCTION("""COMPUTED_VALUE"""),"")</f>
        <v/>
      </c>
      <c r="AE263" s="1" t="str">
        <f>IFERROR(__xludf.DUMMYFUNCTION("""COMPUTED_VALUE"""),"")</f>
        <v/>
      </c>
      <c r="AF263" s="1" t="str">
        <f>IFERROR(__xludf.DUMMYFUNCTION("""COMPUTED_VALUE"""),"")</f>
        <v/>
      </c>
      <c r="AG263" s="1" t="str">
        <f>IFERROR(__xludf.DUMMYFUNCTION("""COMPUTED_VALUE"""),"")</f>
        <v/>
      </c>
      <c r="AH263" s="1" t="str">
        <f>IFERROR(__xludf.DUMMYFUNCTION("""COMPUTED_VALUE"""),"Media Monitoring")</f>
        <v>Media Monitoring</v>
      </c>
      <c r="AI263" s="2" t="str">
        <f>IFERROR(__xludf.DUMMYFUNCTION("""COMPUTED_VALUE"""),"https://www.datacenterdynamics.com/en/news/atlas-named-as-developer-on-project-sassy-in-rome-georgia/")</f>
        <v>https://www.datacenterdynamics.com/en/news/atlas-named-as-developer-on-project-sassy-in-rome-georgia/</v>
      </c>
      <c r="AJ263" s="1" t="str">
        <f>IFERROR(__xludf.DUMMYFUNCTION("""COMPUTED_VALUE"""),"")</f>
        <v/>
      </c>
      <c r="AK263" s="1" t="str">
        <f>IFERROR(__xludf.DUMMYFUNCTION("""COMPUTED_VALUE"""),"")</f>
        <v/>
      </c>
      <c r="AL263" s="1" t="str">
        <f>IFERROR(__xludf.DUMMYFUNCTION("""COMPUTED_VALUE"""),"")</f>
        <v/>
      </c>
      <c r="AM263" s="1" t="str">
        <f>IFERROR(__xludf.DUMMYFUNCTION("""COMPUTED_VALUE"""),"")</f>
        <v/>
      </c>
      <c r="AN263" s="1" t="str">
        <f>IFERROR(__xludf.DUMMYFUNCTION("""COMPUTED_VALUE"""),"")</f>
        <v/>
      </c>
      <c r="AO263" s="1" t="str">
        <f>IFERROR(__xludf.DUMMYFUNCTION("""COMPUTED_VALUE"""),"")</f>
        <v/>
      </c>
      <c r="AP263" s="1" t="str">
        <f>IFERROR(__xludf.DUMMYFUNCTION("""COMPUTED_VALUE"""),"")</f>
        <v/>
      </c>
      <c r="AQ263" s="1" t="str">
        <f>IFERROR(__xludf.DUMMYFUNCTION("""COMPUTED_VALUE"""),"05/25/2025")</f>
        <v>05/25/2025</v>
      </c>
      <c r="AR263" s="1" t="str">
        <f>IFERROR(__xludf.DUMMYFUNCTION("""COMPUTED_VALUE"""),"03/11/2026")</f>
        <v>03/11/2026</v>
      </c>
    </row>
    <row r="264">
      <c r="A264" s="1" t="str">
        <f>IFERROR(__xludf.DUMMYFUNCTION("""COMPUTED_VALUE"""),"Rome Campus")</f>
        <v>Rome Campus</v>
      </c>
      <c r="B264" s="1" t="str">
        <f>IFERROR(__xludf.DUMMYFUNCTION("""COMPUTED_VALUE"""),"Huffaker Road NW")</f>
        <v>Huffaker Road NW</v>
      </c>
      <c r="C264" s="1" t="str">
        <f>IFERROR(__xludf.DUMMYFUNCTION("""COMPUTED_VALUE"""),"Rome")</f>
        <v>Rome</v>
      </c>
      <c r="D264" s="1" t="str">
        <f>IFERROR(__xludf.DUMMYFUNCTION("""COMPUTED_VALUE"""),"GA")</f>
        <v>GA</v>
      </c>
      <c r="E264" s="1" t="str">
        <f>IFERROR(__xludf.DUMMYFUNCTION("""COMPUTED_VALUE"""),"30165")</f>
        <v>30165</v>
      </c>
      <c r="F264" s="1" t="str">
        <f>IFERROR(__xludf.DUMMYFUNCTION("""COMPUTED_VALUE"""),"Floyd")</f>
        <v>Floyd</v>
      </c>
      <c r="G264" s="1" t="str">
        <f>IFERROR(__xludf.DUMMYFUNCTION("""COMPUTED_VALUE"""),"34.300987")</f>
        <v>34.300987</v>
      </c>
      <c r="H264" s="1" t="str">
        <f>IFERROR(__xludf.DUMMYFUNCTION("""COMPUTED_VALUE"""),"-85.30927")</f>
        <v>-85.30927</v>
      </c>
      <c r="I264" s="1" t="str">
        <f>IFERROR(__xludf.DUMMYFUNCTION("""COMPUTED_VALUE"""),"Proposed")</f>
        <v>Proposed</v>
      </c>
      <c r="J264" s="1" t="str">
        <f>IFERROR(__xludf.DUMMYFUNCTION("""COMPUTED_VALUE"""),"High")</f>
        <v>High</v>
      </c>
      <c r="K264" s="1" t="str">
        <f>IFERROR(__xludf.DUMMYFUNCTION("""COMPUTED_VALUE"""),"")</f>
        <v/>
      </c>
      <c r="L264" s="1" t="str">
        <f>IFERROR(__xludf.DUMMYFUNCTION("""COMPUTED_VALUE"""),"Microsoft")</f>
        <v>Microsoft</v>
      </c>
      <c r="M264" s="1" t="str">
        <f>IFERROR(__xludf.DUMMYFUNCTION("""COMPUTED_VALUE"""),"")</f>
        <v/>
      </c>
      <c r="N264" s="1" t="str">
        <f>IFERROR(__xludf.DUMMYFUNCTION("""COMPUTED_VALUE"""),"")</f>
        <v/>
      </c>
      <c r="O264" s="1" t="str">
        <f>IFERROR(__xludf.DUMMYFUNCTION("""COMPUTED_VALUE"""),"Unknown")</f>
        <v>Unknown</v>
      </c>
      <c r="P264" s="1" t="str">
        <f>IFERROR(__xludf.DUMMYFUNCTION("""COMPUTED_VALUE"""),"")</f>
        <v/>
      </c>
      <c r="Q264" s="1" t="str">
        <f>IFERROR(__xludf.DUMMYFUNCTION("""COMPUTED_VALUE"""),"")</f>
        <v/>
      </c>
      <c r="R264" s="1" t="str">
        <f>IFERROR(__xludf.DUMMYFUNCTION("""COMPUTED_VALUE"""),"")</f>
        <v/>
      </c>
      <c r="S264" s="1" t="str">
        <f>IFERROR(__xludf.DUMMYFUNCTION("""COMPUTED_VALUE"""),"")</f>
        <v/>
      </c>
      <c r="T264" s="1" t="str">
        <f>IFERROR(__xludf.DUMMYFUNCTION("""COMPUTED_VALUE"""),"")</f>
        <v/>
      </c>
      <c r="U264" s="1" t="str">
        <f>IFERROR(__xludf.DUMMYFUNCTION("""COMPUTED_VALUE"""),"")</f>
        <v/>
      </c>
      <c r="V264" s="1" t="str">
        <f>IFERROR(__xludf.DUMMYFUNCTION("""COMPUTED_VALUE"""),"")</f>
        <v/>
      </c>
      <c r="W264" s="1" t="str">
        <f>IFERROR(__xludf.DUMMYFUNCTION("""COMPUTED_VALUE"""),"")</f>
        <v/>
      </c>
      <c r="X264" s="1" t="str">
        <f>IFERROR(__xludf.DUMMYFUNCTION("""COMPUTED_VALUE"""),"")</f>
        <v/>
      </c>
      <c r="Y264" s="1" t="str">
        <f>IFERROR(__xludf.DUMMYFUNCTION("""COMPUTED_VALUE"""),"")</f>
        <v/>
      </c>
      <c r="Z264" s="1" t="str">
        <f>IFERROR(__xludf.DUMMYFUNCTION("""COMPUTED_VALUE"""),"Unknown")</f>
        <v>Unknown</v>
      </c>
      <c r="AA264" s="1" t="str">
        <f>IFERROR(__xludf.DUMMYFUNCTION("""COMPUTED_VALUE"""),"")</f>
        <v/>
      </c>
      <c r="AB264" s="1" t="str">
        <f>IFERROR(__xludf.DUMMYFUNCTION("""COMPUTED_VALUE"""),"")</f>
        <v/>
      </c>
      <c r="AC264" s="1" t="str">
        <f>IFERROR(__xludf.DUMMYFUNCTION("""COMPUTED_VALUE"""),"")</f>
        <v/>
      </c>
      <c r="AD264" s="1" t="str">
        <f>IFERROR(__xludf.DUMMYFUNCTION("""COMPUTED_VALUE"""),"")</f>
        <v/>
      </c>
      <c r="AE264" s="1" t="str">
        <f>IFERROR(__xludf.DUMMYFUNCTION("""COMPUTED_VALUE"""),"")</f>
        <v/>
      </c>
      <c r="AF264" s="1" t="str">
        <f>IFERROR(__xludf.DUMMYFUNCTION("""COMPUTED_VALUE"""),"")</f>
        <v/>
      </c>
      <c r="AG264" s="1" t="str">
        <f>IFERROR(__xludf.DUMMYFUNCTION("""COMPUTED_VALUE"""),"")</f>
        <v/>
      </c>
      <c r="AH264" s="1" t="str">
        <f>IFERROR(__xludf.DUMMYFUNCTION("""COMPUTED_VALUE"""),"Sci4GA")</f>
        <v>Sci4GA</v>
      </c>
      <c r="AI264" s="2" t="str">
        <f>IFERROR(__xludf.DUMMYFUNCTION("""COMPUTED_VALUE"""),"https://www.datacenterdynamics.com/en/news/microsoft-to-develop-350-acre-data-center-campus-in-rome-georgia/")</f>
        <v>https://www.datacenterdynamics.com/en/news/microsoft-to-develop-350-acre-data-center-campus-in-rome-georgia/</v>
      </c>
      <c r="AJ264" s="1" t="str">
        <f>IFERROR(__xludf.DUMMYFUNCTION("""COMPUTED_VALUE"""),"")</f>
        <v/>
      </c>
      <c r="AK264" s="1" t="str">
        <f>IFERROR(__xludf.DUMMYFUNCTION("""COMPUTED_VALUE"""),"")</f>
        <v/>
      </c>
      <c r="AL264" s="1" t="str">
        <f>IFERROR(__xludf.DUMMYFUNCTION("""COMPUTED_VALUE"""),"")</f>
        <v/>
      </c>
      <c r="AM264" s="1" t="str">
        <f>IFERROR(__xludf.DUMMYFUNCTION("""COMPUTED_VALUE"""),"")</f>
        <v/>
      </c>
      <c r="AN264" s="1" t="str">
        <f>IFERROR(__xludf.DUMMYFUNCTION("""COMPUTED_VALUE"""),"")</f>
        <v/>
      </c>
      <c r="AO264" s="1" t="str">
        <f>IFERROR(__xludf.DUMMYFUNCTION("""COMPUTED_VALUE"""),"")</f>
        <v/>
      </c>
      <c r="AP264" s="1" t="str">
        <f>IFERROR(__xludf.DUMMYFUNCTION("""COMPUTED_VALUE"""),"")</f>
        <v/>
      </c>
      <c r="AQ264" s="1" t="str">
        <f>IFERROR(__xludf.DUMMYFUNCTION("""COMPUTED_VALUE"""),"10/16/2025")</f>
        <v>10/16/2025</v>
      </c>
      <c r="AR264" s="1" t="str">
        <f>IFERROR(__xludf.DUMMYFUNCTION("""COMPUTED_VALUE"""),"10/16/2025")</f>
        <v>10/16/2025</v>
      </c>
    </row>
    <row r="265">
      <c r="A265" s="1" t="str">
        <f>IFERROR(__xludf.DUMMYFUNCTION("""COMPUTED_VALUE"""),"Cleanspark Sandersville")</f>
        <v>Cleanspark Sandersville</v>
      </c>
      <c r="B265" s="1" t="str">
        <f>IFERROR(__xludf.DUMMYFUNCTION("""COMPUTED_VALUE"""),"2015 George J Lyons Pkwy")</f>
        <v>2015 George J Lyons Pkwy</v>
      </c>
      <c r="C265" s="1" t="str">
        <f>IFERROR(__xludf.DUMMYFUNCTION("""COMPUTED_VALUE"""),"Sandersville")</f>
        <v>Sandersville</v>
      </c>
      <c r="D265" s="1" t="str">
        <f>IFERROR(__xludf.DUMMYFUNCTION("""COMPUTED_VALUE"""),"GA")</f>
        <v>GA</v>
      </c>
      <c r="E265" s="1" t="str">
        <f>IFERROR(__xludf.DUMMYFUNCTION("""COMPUTED_VALUE"""),"31082")</f>
        <v>31082</v>
      </c>
      <c r="F265" s="1" t="str">
        <f>IFERROR(__xludf.DUMMYFUNCTION("""COMPUTED_VALUE"""),"Washington")</f>
        <v>Washington</v>
      </c>
      <c r="G265" s="1" t="str">
        <f>IFERROR(__xludf.DUMMYFUNCTION("""COMPUTED_VALUE"""),"33.003277")</f>
        <v>33.003277</v>
      </c>
      <c r="H265" s="1" t="str">
        <f>IFERROR(__xludf.DUMMYFUNCTION("""COMPUTED_VALUE"""),"-82.837395")</f>
        <v>-82.837395</v>
      </c>
      <c r="I265" s="1" t="str">
        <f>IFERROR(__xludf.DUMMYFUNCTION("""COMPUTED_VALUE"""),"Operating")</f>
        <v>Operating</v>
      </c>
      <c r="J265" s="1" t="str">
        <f>IFERROR(__xludf.DUMMYFUNCTION("""COMPUTED_VALUE"""),"High")</f>
        <v>High</v>
      </c>
      <c r="K265" s="1" t="str">
        <f>IFERROR(__xludf.DUMMYFUNCTION("""COMPUTED_VALUE"""),"AI")</f>
        <v>AI</v>
      </c>
      <c r="L265" s="1" t="str">
        <f>IFERROR(__xludf.DUMMYFUNCTION("""COMPUTED_VALUE"""),"CleanSpark")</f>
        <v>CleanSpark</v>
      </c>
      <c r="M265" s="1" t="str">
        <f>IFERROR(__xludf.DUMMYFUNCTION("""COMPUTED_VALUE"""),"")</f>
        <v/>
      </c>
      <c r="N265" s="1" t="str">
        <f>IFERROR(__xludf.DUMMYFUNCTION("""COMPUTED_VALUE"""),"175")</f>
        <v>175</v>
      </c>
      <c r="O265" s="1" t="str">
        <f>IFERROR(__xludf.DUMMYFUNCTION("""COMPUTED_VALUE"""),"Hyperscale (100-999 MW)")</f>
        <v>Hyperscale (100-999 MW)</v>
      </c>
      <c r="P265" s="1" t="str">
        <f>IFERROR(__xludf.DUMMYFUNCTION("""COMPUTED_VALUE"""),"")</f>
        <v/>
      </c>
      <c r="Q265" s="1" t="str">
        <f>IFERROR(__xludf.DUMMYFUNCTION("""COMPUTED_VALUE"""),"")</f>
        <v/>
      </c>
      <c r="R265" s="1" t="str">
        <f>IFERROR(__xludf.DUMMYFUNCTION("""COMPUTED_VALUE"""),"")</f>
        <v/>
      </c>
      <c r="S265" s="1" t="str">
        <f>IFERROR(__xludf.DUMMYFUNCTION("""COMPUTED_VALUE"""),"")</f>
        <v/>
      </c>
      <c r="T265" s="1" t="str">
        <f>IFERROR(__xludf.DUMMYFUNCTION("""COMPUTED_VALUE"""),"")</f>
        <v/>
      </c>
      <c r="U265" s="1" t="str">
        <f>IFERROR(__xludf.DUMMYFUNCTION("""COMPUTED_VALUE"""),"")</f>
        <v/>
      </c>
      <c r="V265" s="1" t="str">
        <f>IFERROR(__xludf.DUMMYFUNCTION("""COMPUTED_VALUE"""),"")</f>
        <v/>
      </c>
      <c r="W265" s="1" t="str">
        <f>IFERROR(__xludf.DUMMYFUNCTION("""COMPUTED_VALUE"""),"")</f>
        <v/>
      </c>
      <c r="X265" s="1" t="str">
        <f>IFERROR(__xludf.DUMMYFUNCTION("""COMPUTED_VALUE"""),"")</f>
        <v/>
      </c>
      <c r="Y265" s="1" t="str">
        <f>IFERROR(__xludf.DUMMYFUNCTION("""COMPUTED_VALUE"""),"")</f>
        <v/>
      </c>
      <c r="Z265" s="1" t="str">
        <f>IFERROR(__xludf.DUMMYFUNCTION("""COMPUTED_VALUE"""),"")</f>
        <v/>
      </c>
      <c r="AA265" s="1" t="str">
        <f>IFERROR(__xludf.DUMMYFUNCTION("""COMPUTED_VALUE"""),"")</f>
        <v/>
      </c>
      <c r="AB265" s="1" t="str">
        <f>IFERROR(__xludf.DUMMYFUNCTION("""COMPUTED_VALUE"""),"")</f>
        <v/>
      </c>
      <c r="AC265" s="1" t="str">
        <f>IFERROR(__xludf.DUMMYFUNCTION("""COMPUTED_VALUE"""),"")</f>
        <v/>
      </c>
      <c r="AD265" s="1" t="str">
        <f>IFERROR(__xludf.DUMMYFUNCTION("""COMPUTED_VALUE"""),"")</f>
        <v/>
      </c>
      <c r="AE265" s="1" t="str">
        <f>IFERROR(__xludf.DUMMYFUNCTION("""COMPUTED_VALUE"""),"")</f>
        <v/>
      </c>
      <c r="AF265" s="1" t="str">
        <f>IFERROR(__xludf.DUMMYFUNCTION("""COMPUTED_VALUE"""),"")</f>
        <v/>
      </c>
      <c r="AG265" s="1" t="str">
        <f>IFERROR(__xludf.DUMMYFUNCTION("""COMPUTED_VALUE"""),"Had been crypto")</f>
        <v>Had been crypto</v>
      </c>
      <c r="AH265" s="1" t="str">
        <f>IFERROR(__xludf.DUMMYFUNCTION("""COMPUTED_VALUE"""),"Media Monitoring")</f>
        <v>Media Monitoring</v>
      </c>
      <c r="AI265" s="2" t="str">
        <f>IFERROR(__xludf.DUMMYFUNCTION("""COMPUTED_VALUE"""),"https://www.datacenterdynamics.com/en/news/cleanspark-secures-tenant-with-20-year-lease-for-data-center-in-sandersville-georgia/")</f>
        <v>https://www.datacenterdynamics.com/en/news/cleanspark-secures-tenant-with-20-year-lease-for-data-center-in-sandersville-georgia/</v>
      </c>
      <c r="AJ265" s="1" t="str">
        <f>IFERROR(__xludf.DUMMYFUNCTION("""COMPUTED_VALUE"""),"")</f>
        <v/>
      </c>
      <c r="AK265" s="1" t="str">
        <f>IFERROR(__xludf.DUMMYFUNCTION("""COMPUTED_VALUE"""),"")</f>
        <v/>
      </c>
      <c r="AL265" s="1" t="str">
        <f>IFERROR(__xludf.DUMMYFUNCTION("""COMPUTED_VALUE"""),"")</f>
        <v/>
      </c>
      <c r="AM265" s="1" t="str">
        <f>IFERROR(__xludf.DUMMYFUNCTION("""COMPUTED_VALUE"""),"")</f>
        <v/>
      </c>
      <c r="AN265" s="1" t="str">
        <f>IFERROR(__xludf.DUMMYFUNCTION("""COMPUTED_VALUE"""),"")</f>
        <v/>
      </c>
      <c r="AO265" s="1" t="str">
        <f>IFERROR(__xludf.DUMMYFUNCTION("""COMPUTED_VALUE"""),"")</f>
        <v/>
      </c>
      <c r="AP265" s="1" t="str">
        <f>IFERROR(__xludf.DUMMYFUNCTION("""COMPUTED_VALUE"""),"")</f>
        <v/>
      </c>
      <c r="AQ265" s="1" t="str">
        <f>IFERROR(__xludf.DUMMYFUNCTION("""COMPUTED_VALUE"""),"07/14/2026")</f>
        <v>07/14/2026</v>
      </c>
      <c r="AR265" s="1" t="str">
        <f>IFERROR(__xludf.DUMMYFUNCTION("""COMPUTED_VALUE"""),"07/14/2026")</f>
        <v>07/14/2026</v>
      </c>
    </row>
    <row r="266">
      <c r="A266" s="1" t="str">
        <f>IFERROR(__xludf.DUMMYFUNCTION("""COMPUTED_VALUE"""),"Athens Shoals Crossing Data Center")</f>
        <v>Athens Shoals Crossing Data Center</v>
      </c>
      <c r="B266" s="1" t="str">
        <f>IFERROR(__xludf.DUMMYFUNCTION("""COMPUTED_VALUE"""),"0 Voyles Rd / 105 Old Elberton Rd")</f>
        <v>0 Voyles Rd / 105 Old Elberton Rd</v>
      </c>
      <c r="C266" s="1" t="str">
        <f>IFERROR(__xludf.DUMMYFUNCTION("""COMPUTED_VALUE"""),"Shoals Crossing")</f>
        <v>Shoals Crossing</v>
      </c>
      <c r="D266" s="1" t="str">
        <f>IFERROR(__xludf.DUMMYFUNCTION("""COMPUTED_VALUE"""),"GA")</f>
        <v>GA</v>
      </c>
      <c r="E266" s="1" t="str">
        <f>IFERROR(__xludf.DUMMYFUNCTION("""COMPUTED_VALUE"""),"30601")</f>
        <v>30601</v>
      </c>
      <c r="F266" s="1" t="str">
        <f>IFERROR(__xludf.DUMMYFUNCTION("""COMPUTED_VALUE"""),"Athens-Clark")</f>
        <v>Athens-Clark</v>
      </c>
      <c r="G266" s="1" t="str">
        <f>IFERROR(__xludf.DUMMYFUNCTION("""COMPUTED_VALUE"""),"33.988262")</f>
        <v>33.988262</v>
      </c>
      <c r="H266" s="1" t="str">
        <f>IFERROR(__xludf.DUMMYFUNCTION("""COMPUTED_VALUE"""),"-83.30194")</f>
        <v>-83.30194</v>
      </c>
      <c r="I266" s="1" t="str">
        <f>IFERROR(__xludf.DUMMYFUNCTION("""COMPUTED_VALUE"""),"Proposed")</f>
        <v>Proposed</v>
      </c>
      <c r="J266" s="1" t="str">
        <f>IFERROR(__xludf.DUMMYFUNCTION("""COMPUTED_VALUE"""),"High")</f>
        <v>High</v>
      </c>
      <c r="K266" s="1" t="str">
        <f>IFERROR(__xludf.DUMMYFUNCTION("""COMPUTED_VALUE"""),"")</f>
        <v/>
      </c>
      <c r="L266" s="1" t="str">
        <f>IFERROR(__xludf.DUMMYFUNCTION("""COMPUTED_VALUE"""),"Brasfield &amp; Gorrie")</f>
        <v>Brasfield &amp; Gorrie</v>
      </c>
      <c r="M266" s="1" t="str">
        <f>IFERROR(__xludf.DUMMYFUNCTION("""COMPUTED_VALUE"""),"")</f>
        <v/>
      </c>
      <c r="N266" s="1" t="str">
        <f>IFERROR(__xludf.DUMMYFUNCTION("""COMPUTED_VALUE"""),"")</f>
        <v/>
      </c>
      <c r="O266" s="1" t="str">
        <f>IFERROR(__xludf.DUMMYFUNCTION("""COMPUTED_VALUE"""),"Unknown")</f>
        <v>Unknown</v>
      </c>
      <c r="P266" s="1" t="str">
        <f>IFERROR(__xludf.DUMMYFUNCTION("""COMPUTED_VALUE"""),"")</f>
        <v/>
      </c>
      <c r="Q266" s="1" t="str">
        <f>IFERROR(__xludf.DUMMYFUNCTION("""COMPUTED_VALUE"""),"")</f>
        <v/>
      </c>
      <c r="R266" s="1" t="str">
        <f>IFERROR(__xludf.DUMMYFUNCTION("""COMPUTED_VALUE"""),"")</f>
        <v/>
      </c>
      <c r="S266" s="1" t="str">
        <f>IFERROR(__xludf.DUMMYFUNCTION("""COMPUTED_VALUE"""),"")</f>
        <v/>
      </c>
      <c r="T266" s="1" t="str">
        <f>IFERROR(__xludf.DUMMYFUNCTION("""COMPUTED_VALUE"""),"")</f>
        <v/>
      </c>
      <c r="U266" s="1" t="str">
        <f>IFERROR(__xludf.DUMMYFUNCTION("""COMPUTED_VALUE"""),"")</f>
        <v/>
      </c>
      <c r="V266" s="1" t="str">
        <f>IFERROR(__xludf.DUMMYFUNCTION("""COMPUTED_VALUE"""),"75,000")</f>
        <v>75,000</v>
      </c>
      <c r="W266" s="1" t="str">
        <f>IFERROR(__xludf.DUMMYFUNCTION("""COMPUTED_VALUE"""),"")</f>
        <v/>
      </c>
      <c r="X266" s="1" t="str">
        <f>IFERROR(__xludf.DUMMYFUNCTION("""COMPUTED_VALUE"""),"")</f>
        <v/>
      </c>
      <c r="Y266" s="1" t="str">
        <f>IFERROR(__xludf.DUMMYFUNCTION("""COMPUTED_VALUE"""),"")</f>
        <v/>
      </c>
      <c r="Z266" s="1" t="str">
        <f>IFERROR(__xludf.DUMMYFUNCTION("""COMPUTED_VALUE"""),"Unknown")</f>
        <v>Unknown</v>
      </c>
      <c r="AA266" s="1" t="str">
        <f>IFERROR(__xludf.DUMMYFUNCTION("""COMPUTED_VALUE"""),"")</f>
        <v/>
      </c>
      <c r="AB266" s="1" t="str">
        <f>IFERROR(__xludf.DUMMYFUNCTION("""COMPUTED_VALUE"""),"")</f>
        <v/>
      </c>
      <c r="AC266" s="1" t="str">
        <f>IFERROR(__xludf.DUMMYFUNCTION("""COMPUTED_VALUE"""),"")</f>
        <v/>
      </c>
      <c r="AD266" s="1" t="str">
        <f>IFERROR(__xludf.DUMMYFUNCTION("""COMPUTED_VALUE"""),"")</f>
        <v/>
      </c>
      <c r="AE266" s="1" t="str">
        <f>IFERROR(__xludf.DUMMYFUNCTION("""COMPUTED_VALUE"""),"")</f>
        <v/>
      </c>
      <c r="AF266" s="1" t="str">
        <f>IFERROR(__xludf.DUMMYFUNCTION("""COMPUTED_VALUE"""),"")</f>
        <v/>
      </c>
      <c r="AG266" s="1" t="str">
        <f>IFERROR(__xludf.DUMMYFUNCTION("""COMPUTED_VALUE"""),"")</f>
        <v/>
      </c>
      <c r="AH266" s="1" t="str">
        <f>IFERROR(__xludf.DUMMYFUNCTION("""COMPUTED_VALUE"""),"Sci4GA")</f>
        <v>Sci4GA</v>
      </c>
      <c r="AI266" s="2" t="str">
        <f>IFERROR(__xludf.DUMMYFUNCTION("""COMPUTED_VALUE"""),"https://www.accgov.com/CivicSend/ViewMessage/message/206304")</f>
        <v>https://www.accgov.com/CivicSend/ViewMessage/message/206304</v>
      </c>
      <c r="AJ266" s="1" t="str">
        <f>IFERROR(__xludf.DUMMYFUNCTION("""COMPUTED_VALUE"""),"")</f>
        <v/>
      </c>
      <c r="AK266" s="1" t="str">
        <f>IFERROR(__xludf.DUMMYFUNCTION("""COMPUTED_VALUE"""),"")</f>
        <v/>
      </c>
      <c r="AL266" s="1" t="str">
        <f>IFERROR(__xludf.DUMMYFUNCTION("""COMPUTED_VALUE"""),"")</f>
        <v/>
      </c>
      <c r="AM266" s="1" t="str">
        <f>IFERROR(__xludf.DUMMYFUNCTION("""COMPUTED_VALUE"""),"")</f>
        <v/>
      </c>
      <c r="AN266" s="1" t="str">
        <f>IFERROR(__xludf.DUMMYFUNCTION("""COMPUTED_VALUE"""),"")</f>
        <v/>
      </c>
      <c r="AO266" s="1" t="str">
        <f>IFERROR(__xludf.DUMMYFUNCTION("""COMPUTED_VALUE"""),"")</f>
        <v/>
      </c>
      <c r="AP266" s="1" t="str">
        <f>IFERROR(__xludf.DUMMYFUNCTION("""COMPUTED_VALUE"""),"")</f>
        <v/>
      </c>
      <c r="AQ266" s="1" t="str">
        <f>IFERROR(__xludf.DUMMYFUNCTION("""COMPUTED_VALUE"""),"10/16/2025")</f>
        <v>10/16/2025</v>
      </c>
      <c r="AR266" s="1" t="str">
        <f>IFERROR(__xludf.DUMMYFUNCTION("""COMPUTED_VALUE"""),"10/16/2025")</f>
        <v>10/16/2025</v>
      </c>
    </row>
    <row r="267">
      <c r="A267" s="1" t="str">
        <f>IFERROR(__xludf.DUMMYFUNCTION("""COMPUTED_VALUE"""),"Smyrna GA2")</f>
        <v>Smyrna GA2</v>
      </c>
      <c r="B267" s="1" t="str">
        <f>IFERROR(__xludf.DUMMYFUNCTION("""COMPUTED_VALUE"""),"5600 United Drive")</f>
        <v>5600 United Drive</v>
      </c>
      <c r="C267" s="1" t="str">
        <f>IFERROR(__xludf.DUMMYFUNCTION("""COMPUTED_VALUE"""),"Smyrna")</f>
        <v>Smyrna</v>
      </c>
      <c r="D267" s="1" t="str">
        <f>IFERROR(__xludf.DUMMYFUNCTION("""COMPUTED_VALUE"""),"GA")</f>
        <v>GA</v>
      </c>
      <c r="E267" s="1" t="str">
        <f>IFERROR(__xludf.DUMMYFUNCTION("""COMPUTED_VALUE"""),"30082")</f>
        <v>30082</v>
      </c>
      <c r="F267" s="1" t="str">
        <f>IFERROR(__xludf.DUMMYFUNCTION("""COMPUTED_VALUE"""),"Cobb")</f>
        <v>Cobb</v>
      </c>
      <c r="G267" s="1" t="str">
        <f>IFERROR(__xludf.DUMMYFUNCTION("""COMPUTED_VALUE"""),"33.841206")</f>
        <v>33.841206</v>
      </c>
      <c r="H267" s="1" t="str">
        <f>IFERROR(__xludf.DUMMYFUNCTION("""COMPUTED_VALUE"""),"-84.522415")</f>
        <v>-84.522415</v>
      </c>
      <c r="I267" s="1" t="str">
        <f>IFERROR(__xludf.DUMMYFUNCTION("""COMPUTED_VALUE"""),"Operating")</f>
        <v>Operating</v>
      </c>
      <c r="J267" s="1" t="str">
        <f>IFERROR(__xludf.DUMMYFUNCTION("""COMPUTED_VALUE"""),"High")</f>
        <v>High</v>
      </c>
      <c r="K267" s="1" t="str">
        <f>IFERROR(__xludf.DUMMYFUNCTION("""COMPUTED_VALUE"""),"")</f>
        <v/>
      </c>
      <c r="L267" s="1" t="str">
        <f>IFERROR(__xludf.DUMMYFUNCTION("""COMPUTED_VALUE"""),"365 Data Centers")</f>
        <v>365 Data Centers</v>
      </c>
      <c r="M267" s="1" t="str">
        <f>IFERROR(__xludf.DUMMYFUNCTION("""COMPUTED_VALUE"""),"")</f>
        <v/>
      </c>
      <c r="N267" s="1" t="str">
        <f>IFERROR(__xludf.DUMMYFUNCTION("""COMPUTED_VALUE"""),"4")</f>
        <v>4</v>
      </c>
      <c r="O267" s="1" t="str">
        <f>IFERROR(__xludf.DUMMYFUNCTION("""COMPUTED_VALUE"""),"Small (0-10 MW)")</f>
        <v>Small (0-10 MW)</v>
      </c>
      <c r="P267" s="1" t="str">
        <f>IFERROR(__xludf.DUMMYFUNCTION("""COMPUTED_VALUE"""),"")</f>
        <v/>
      </c>
      <c r="Q267" s="1" t="str">
        <f>IFERROR(__xludf.DUMMYFUNCTION("""COMPUTED_VALUE"""),"")</f>
        <v/>
      </c>
      <c r="R267" s="1" t="str">
        <f>IFERROR(__xludf.DUMMYFUNCTION("""COMPUTED_VALUE"""),"")</f>
        <v/>
      </c>
      <c r="S267" s="1" t="str">
        <f>IFERROR(__xludf.DUMMYFUNCTION("""COMPUTED_VALUE"""),"")</f>
        <v/>
      </c>
      <c r="T267" s="1" t="str">
        <f>IFERROR(__xludf.DUMMYFUNCTION("""COMPUTED_VALUE"""),"")</f>
        <v/>
      </c>
      <c r="U267" s="1" t="str">
        <f>IFERROR(__xludf.DUMMYFUNCTION("""COMPUTED_VALUE"""),"")</f>
        <v/>
      </c>
      <c r="V267" s="1" t="str">
        <f>IFERROR(__xludf.DUMMYFUNCTION("""COMPUTED_VALUE"""),"100,000")</f>
        <v>100,000</v>
      </c>
      <c r="W267" s="1" t="str">
        <f>IFERROR(__xludf.DUMMYFUNCTION("""COMPUTED_VALUE"""),"")</f>
        <v/>
      </c>
      <c r="X267" s="1" t="str">
        <f>IFERROR(__xludf.DUMMYFUNCTION("""COMPUTED_VALUE"""),"")</f>
        <v/>
      </c>
      <c r="Y267" s="1" t="str">
        <f>IFERROR(__xludf.DUMMYFUNCTION("""COMPUTED_VALUE"""),"")</f>
        <v/>
      </c>
      <c r="Z267" s="1" t="str">
        <f>IFERROR(__xludf.DUMMYFUNCTION("""COMPUTED_VALUE"""),"Unknown")</f>
        <v>Unknown</v>
      </c>
      <c r="AA267" s="1" t="str">
        <f>IFERROR(__xludf.DUMMYFUNCTION("""COMPUTED_VALUE"""),"")</f>
        <v/>
      </c>
      <c r="AB267" s="1" t="str">
        <f>IFERROR(__xludf.DUMMYFUNCTION("""COMPUTED_VALUE"""),"")</f>
        <v/>
      </c>
      <c r="AC267" s="1" t="str">
        <f>IFERROR(__xludf.DUMMYFUNCTION("""COMPUTED_VALUE"""),"")</f>
        <v/>
      </c>
      <c r="AD267" s="1" t="str">
        <f>IFERROR(__xludf.DUMMYFUNCTION("""COMPUTED_VALUE"""),"")</f>
        <v/>
      </c>
      <c r="AE267" s="1" t="str">
        <f>IFERROR(__xludf.DUMMYFUNCTION("""COMPUTED_VALUE"""),"")</f>
        <v/>
      </c>
      <c r="AF267" s="1" t="str">
        <f>IFERROR(__xludf.DUMMYFUNCTION("""COMPUTED_VALUE"""),"")</f>
        <v/>
      </c>
      <c r="AG267" s="1" t="str">
        <f>IFERROR(__xludf.DUMMYFUNCTION("""COMPUTED_VALUE"""),"")</f>
        <v/>
      </c>
      <c r="AH267" s="1" t="str">
        <f>IFERROR(__xludf.DUMMYFUNCTION("""COMPUTED_VALUE"""),"Sci4GA")</f>
        <v>Sci4GA</v>
      </c>
      <c r="AI267" s="2" t="str">
        <f>IFERROR(__xludf.DUMMYFUNCTION("""COMPUTED_VALUE"""),"https://365datacenters.com/wp-content/uploads/2023/05/365_CUTSHEET_FINAL_SMYRNA_V3.pdf")</f>
        <v>https://365datacenters.com/wp-content/uploads/2023/05/365_CUTSHEET_FINAL_SMYRNA_V3.pdf</v>
      </c>
      <c r="AJ267" s="1" t="str">
        <f>IFERROR(__xludf.DUMMYFUNCTION("""COMPUTED_VALUE"""),"")</f>
        <v/>
      </c>
      <c r="AK267" s="1" t="str">
        <f>IFERROR(__xludf.DUMMYFUNCTION("""COMPUTED_VALUE"""),"")</f>
        <v/>
      </c>
      <c r="AL267" s="1" t="str">
        <f>IFERROR(__xludf.DUMMYFUNCTION("""COMPUTED_VALUE"""),"")</f>
        <v/>
      </c>
      <c r="AM267" s="1" t="str">
        <f>IFERROR(__xludf.DUMMYFUNCTION("""COMPUTED_VALUE"""),"")</f>
        <v/>
      </c>
      <c r="AN267" s="1" t="str">
        <f>IFERROR(__xludf.DUMMYFUNCTION("""COMPUTED_VALUE"""),"")</f>
        <v/>
      </c>
      <c r="AO267" s="1" t="str">
        <f>IFERROR(__xludf.DUMMYFUNCTION("""COMPUTED_VALUE"""),"")</f>
        <v/>
      </c>
      <c r="AP267" s="1" t="str">
        <f>IFERROR(__xludf.DUMMYFUNCTION("""COMPUTED_VALUE"""),"")</f>
        <v/>
      </c>
      <c r="AQ267" s="1" t="str">
        <f>IFERROR(__xludf.DUMMYFUNCTION("""COMPUTED_VALUE"""),"10/16/2025")</f>
        <v>10/16/2025</v>
      </c>
      <c r="AR267" s="1" t="str">
        <f>IFERROR(__xludf.DUMMYFUNCTION("""COMPUTED_VALUE"""),"10/16/2025")</f>
        <v>10/16/2025</v>
      </c>
    </row>
    <row r="268">
      <c r="A268" s="1" t="str">
        <f>IFERROR(__xludf.DUMMYFUNCTION("""COMPUTED_VALUE"""),"Verizon Atlanta")</f>
        <v>Verizon Atlanta</v>
      </c>
      <c r="B268" s="1" t="str">
        <f>IFERROR(__xludf.DUMMYFUNCTION("""COMPUTED_VALUE"""),"4000 Highland Parkway SE")</f>
        <v>4000 Highland Parkway SE</v>
      </c>
      <c r="C268" s="1" t="str">
        <f>IFERROR(__xludf.DUMMYFUNCTION("""COMPUTED_VALUE"""),"Smyrna")</f>
        <v>Smyrna</v>
      </c>
      <c r="D268" s="1" t="str">
        <f>IFERROR(__xludf.DUMMYFUNCTION("""COMPUTED_VALUE"""),"GA")</f>
        <v>GA</v>
      </c>
      <c r="E268" s="1" t="str">
        <f>IFERROR(__xludf.DUMMYFUNCTION("""COMPUTED_VALUE"""),"30082")</f>
        <v>30082</v>
      </c>
      <c r="F268" s="1" t="str">
        <f>IFERROR(__xludf.DUMMYFUNCTION("""COMPUTED_VALUE"""),"Cobb")</f>
        <v>Cobb</v>
      </c>
      <c r="G268" s="1" t="str">
        <f>IFERROR(__xludf.DUMMYFUNCTION("""COMPUTED_VALUE"""),"33.8291")</f>
        <v>33.8291</v>
      </c>
      <c r="H268" s="1" t="str">
        <f>IFERROR(__xludf.DUMMYFUNCTION("""COMPUTED_VALUE"""),"-84.503174")</f>
        <v>-84.503174</v>
      </c>
      <c r="I268" s="1" t="str">
        <f>IFERROR(__xludf.DUMMYFUNCTION("""COMPUTED_VALUE"""),"Operating")</f>
        <v>Operating</v>
      </c>
      <c r="J268" s="1" t="str">
        <f>IFERROR(__xludf.DUMMYFUNCTION("""COMPUTED_VALUE"""),"High")</f>
        <v>High</v>
      </c>
      <c r="K268" s="1" t="str">
        <f>IFERROR(__xludf.DUMMYFUNCTION("""COMPUTED_VALUE"""),"")</f>
        <v/>
      </c>
      <c r="L268" s="1" t="str">
        <f>IFERROR(__xludf.DUMMYFUNCTION("""COMPUTED_VALUE"""),"Verizon Communications Inc.")</f>
        <v>Verizon Communications Inc.</v>
      </c>
      <c r="M268" s="1" t="str">
        <f>IFERROR(__xludf.DUMMYFUNCTION("""COMPUTED_VALUE"""),"")</f>
        <v/>
      </c>
      <c r="N268" s="1" t="str">
        <f>IFERROR(__xludf.DUMMYFUNCTION("""COMPUTED_VALUE"""),"1")</f>
        <v>1</v>
      </c>
      <c r="O268" s="1" t="str">
        <f>IFERROR(__xludf.DUMMYFUNCTION("""COMPUTED_VALUE"""),"Small (0-10 MW)")</f>
        <v>Small (0-10 MW)</v>
      </c>
      <c r="P268" s="1" t="str">
        <f>IFERROR(__xludf.DUMMYFUNCTION("""COMPUTED_VALUE"""),"")</f>
        <v/>
      </c>
      <c r="Q268" s="1" t="str">
        <f>IFERROR(__xludf.DUMMYFUNCTION("""COMPUTED_VALUE"""),"")</f>
        <v/>
      </c>
      <c r="R268" s="1" t="str">
        <f>IFERROR(__xludf.DUMMYFUNCTION("""COMPUTED_VALUE"""),"")</f>
        <v/>
      </c>
      <c r="S268" s="1" t="str">
        <f>IFERROR(__xludf.DUMMYFUNCTION("""COMPUTED_VALUE"""),"")</f>
        <v/>
      </c>
      <c r="T268" s="1" t="str">
        <f>IFERROR(__xludf.DUMMYFUNCTION("""COMPUTED_VALUE"""),"")</f>
        <v/>
      </c>
      <c r="U268" s="1" t="str">
        <f>IFERROR(__xludf.DUMMYFUNCTION("""COMPUTED_VALUE"""),"")</f>
        <v/>
      </c>
      <c r="V268" s="1" t="str">
        <f>IFERROR(__xludf.DUMMYFUNCTION("""COMPUTED_VALUE"""),"")</f>
        <v/>
      </c>
      <c r="W268" s="1" t="str">
        <f>IFERROR(__xludf.DUMMYFUNCTION("""COMPUTED_VALUE"""),"")</f>
        <v/>
      </c>
      <c r="X268" s="1" t="str">
        <f>IFERROR(__xludf.DUMMYFUNCTION("""COMPUTED_VALUE"""),"")</f>
        <v/>
      </c>
      <c r="Y268" s="1" t="str">
        <f>IFERROR(__xludf.DUMMYFUNCTION("""COMPUTED_VALUE"""),"")</f>
        <v/>
      </c>
      <c r="Z268" s="1" t="str">
        <f>IFERROR(__xludf.DUMMYFUNCTION("""COMPUTED_VALUE"""),"Unknown")</f>
        <v>Unknown</v>
      </c>
      <c r="AA268" s="1" t="str">
        <f>IFERROR(__xludf.DUMMYFUNCTION("""COMPUTED_VALUE"""),"")</f>
        <v/>
      </c>
      <c r="AB268" s="1" t="str">
        <f>IFERROR(__xludf.DUMMYFUNCTION("""COMPUTED_VALUE"""),"")</f>
        <v/>
      </c>
      <c r="AC268" s="1" t="str">
        <f>IFERROR(__xludf.DUMMYFUNCTION("""COMPUTED_VALUE"""),"")</f>
        <v/>
      </c>
      <c r="AD268" s="1" t="str">
        <f>IFERROR(__xludf.DUMMYFUNCTION("""COMPUTED_VALUE"""),"")</f>
        <v/>
      </c>
      <c r="AE268" s="1" t="str">
        <f>IFERROR(__xludf.DUMMYFUNCTION("""COMPUTED_VALUE"""),"")</f>
        <v/>
      </c>
      <c r="AF268" s="1" t="str">
        <f>IFERROR(__xludf.DUMMYFUNCTION("""COMPUTED_VALUE"""),"")</f>
        <v/>
      </c>
      <c r="AG268" s="1" t="str">
        <f>IFERROR(__xludf.DUMMYFUNCTION("""COMPUTED_VALUE"""),"")</f>
        <v/>
      </c>
      <c r="AH268" s="1" t="str">
        <f>IFERROR(__xludf.DUMMYFUNCTION("""COMPUTED_VALUE"""),"Sci4GA")</f>
        <v>Sci4GA</v>
      </c>
      <c r="AI268" s="1" t="str">
        <f>IFERROR(__xludf.DUMMYFUNCTION("""COMPUTED_VALUE"""),"")</f>
        <v/>
      </c>
      <c r="AJ268" s="1" t="str">
        <f>IFERROR(__xludf.DUMMYFUNCTION("""COMPUTED_VALUE"""),"")</f>
        <v/>
      </c>
      <c r="AK268" s="1" t="str">
        <f>IFERROR(__xludf.DUMMYFUNCTION("""COMPUTED_VALUE"""),"")</f>
        <v/>
      </c>
      <c r="AL268" s="1" t="str">
        <f>IFERROR(__xludf.DUMMYFUNCTION("""COMPUTED_VALUE"""),"")</f>
        <v/>
      </c>
      <c r="AM268" s="1" t="str">
        <f>IFERROR(__xludf.DUMMYFUNCTION("""COMPUTED_VALUE"""),"")</f>
        <v/>
      </c>
      <c r="AN268" s="1" t="str">
        <f>IFERROR(__xludf.DUMMYFUNCTION("""COMPUTED_VALUE"""),"")</f>
        <v/>
      </c>
      <c r="AO268" s="1" t="str">
        <f>IFERROR(__xludf.DUMMYFUNCTION("""COMPUTED_VALUE"""),"")</f>
        <v/>
      </c>
      <c r="AP268" s="1" t="str">
        <f>IFERROR(__xludf.DUMMYFUNCTION("""COMPUTED_VALUE"""),"")</f>
        <v/>
      </c>
      <c r="AQ268" s="1" t="str">
        <f>IFERROR(__xludf.DUMMYFUNCTION("""COMPUTED_VALUE"""),"10/16/2025")</f>
        <v>10/16/2025</v>
      </c>
      <c r="AR268" s="1" t="str">
        <f>IFERROR(__xludf.DUMMYFUNCTION("""COMPUTED_VALUE"""),"10/16/2025")</f>
        <v>10/16/2025</v>
      </c>
    </row>
    <row r="269">
      <c r="A269" s="1" t="str">
        <f>IFERROR(__xludf.DUMMYFUNCTION("""COMPUTED_VALUE"""),"0 Social Circle Parkway Data Center")</f>
        <v>0 Social Circle Parkway Data Center</v>
      </c>
      <c r="B269" s="1" t="str">
        <f>IFERROR(__xludf.DUMMYFUNCTION("""COMPUTED_VALUE"""),"0 Social Circle Pkwy")</f>
        <v>0 Social Circle Pkwy</v>
      </c>
      <c r="C269" s="1" t="str">
        <f>IFERROR(__xludf.DUMMYFUNCTION("""COMPUTED_VALUE"""),"Social Circle")</f>
        <v>Social Circle</v>
      </c>
      <c r="D269" s="1" t="str">
        <f>IFERROR(__xludf.DUMMYFUNCTION("""COMPUTED_VALUE"""),"GA")</f>
        <v>GA</v>
      </c>
      <c r="E269" s="1" t="str">
        <f>IFERROR(__xludf.DUMMYFUNCTION("""COMPUTED_VALUE"""),"30025")</f>
        <v>30025</v>
      </c>
      <c r="F269" s="1" t="str">
        <f>IFERROR(__xludf.DUMMYFUNCTION("""COMPUTED_VALUE"""),"Walton")</f>
        <v>Walton</v>
      </c>
      <c r="G269" s="1" t="str">
        <f>IFERROR(__xludf.DUMMYFUNCTION("""COMPUTED_VALUE"""),"33.664944")</f>
        <v>33.664944</v>
      </c>
      <c r="H269" s="1" t="str">
        <f>IFERROR(__xludf.DUMMYFUNCTION("""COMPUTED_VALUE"""),"-83.68987")</f>
        <v>-83.68987</v>
      </c>
      <c r="I269" s="1" t="str">
        <f>IFERROR(__xludf.DUMMYFUNCTION("""COMPUTED_VALUE"""),"Proposed")</f>
        <v>Proposed</v>
      </c>
      <c r="J269" s="1" t="str">
        <f>IFERROR(__xludf.DUMMYFUNCTION("""COMPUTED_VALUE"""),"High")</f>
        <v>High</v>
      </c>
      <c r="K269" s="1" t="str">
        <f>IFERROR(__xludf.DUMMYFUNCTION("""COMPUTED_VALUE"""),"")</f>
        <v/>
      </c>
      <c r="L269" s="1" t="str">
        <f>IFERROR(__xludf.DUMMYFUNCTION("""COMPUTED_VALUE"""),"Sailfish Investors Acquisitions, LLC")</f>
        <v>Sailfish Investors Acquisitions, LLC</v>
      </c>
      <c r="M269" s="1" t="str">
        <f>IFERROR(__xludf.DUMMYFUNCTION("""COMPUTED_VALUE"""),"")</f>
        <v/>
      </c>
      <c r="N269" s="1" t="str">
        <f>IFERROR(__xludf.DUMMYFUNCTION("""COMPUTED_VALUE"""),"")</f>
        <v/>
      </c>
      <c r="O269" s="1" t="str">
        <f>IFERROR(__xludf.DUMMYFUNCTION("""COMPUTED_VALUE"""),"Unknown")</f>
        <v>Unknown</v>
      </c>
      <c r="P269" s="1" t="str">
        <f>IFERROR(__xludf.DUMMYFUNCTION("""COMPUTED_VALUE"""),"")</f>
        <v/>
      </c>
      <c r="Q269" s="1" t="str">
        <f>IFERROR(__xludf.DUMMYFUNCTION("""COMPUTED_VALUE"""),"")</f>
        <v/>
      </c>
      <c r="R269" s="1" t="str">
        <f>IFERROR(__xludf.DUMMYFUNCTION("""COMPUTED_VALUE"""),"")</f>
        <v/>
      </c>
      <c r="S269" s="1" t="str">
        <f>IFERROR(__xludf.DUMMYFUNCTION("""COMPUTED_VALUE"""),"")</f>
        <v/>
      </c>
      <c r="T269" s="1" t="str">
        <f>IFERROR(__xludf.DUMMYFUNCTION("""COMPUTED_VALUE"""),"")</f>
        <v/>
      </c>
      <c r="U269" s="1" t="str">
        <f>IFERROR(__xludf.DUMMYFUNCTION("""COMPUTED_VALUE"""),"")</f>
        <v/>
      </c>
      <c r="V269" s="1" t="str">
        <f>IFERROR(__xludf.DUMMYFUNCTION("""COMPUTED_VALUE"""),"")</f>
        <v/>
      </c>
      <c r="W269" s="1" t="str">
        <f>IFERROR(__xludf.DUMMYFUNCTION("""COMPUTED_VALUE"""),"")</f>
        <v/>
      </c>
      <c r="X269" s="1" t="str">
        <f>IFERROR(__xludf.DUMMYFUNCTION("""COMPUTED_VALUE"""),"")</f>
        <v/>
      </c>
      <c r="Y269" s="1" t="str">
        <f>IFERROR(__xludf.DUMMYFUNCTION("""COMPUTED_VALUE"""),"")</f>
        <v/>
      </c>
      <c r="Z269" s="1" t="str">
        <f>IFERROR(__xludf.DUMMYFUNCTION("""COMPUTED_VALUE"""),"Unknown")</f>
        <v>Unknown</v>
      </c>
      <c r="AA269" s="1" t="str">
        <f>IFERROR(__xludf.DUMMYFUNCTION("""COMPUTED_VALUE"""),"")</f>
        <v/>
      </c>
      <c r="AB269" s="1" t="str">
        <f>IFERROR(__xludf.DUMMYFUNCTION("""COMPUTED_VALUE"""),"")</f>
        <v/>
      </c>
      <c r="AC269" s="1" t="str">
        <f>IFERROR(__xludf.DUMMYFUNCTION("""COMPUTED_VALUE"""),"")</f>
        <v/>
      </c>
      <c r="AD269" s="1" t="str">
        <f>IFERROR(__xludf.DUMMYFUNCTION("""COMPUTED_VALUE"""),"")</f>
        <v/>
      </c>
      <c r="AE269" s="1" t="str">
        <f>IFERROR(__xludf.DUMMYFUNCTION("""COMPUTED_VALUE"""),"")</f>
        <v/>
      </c>
      <c r="AF269" s="1" t="str">
        <f>IFERROR(__xludf.DUMMYFUNCTION("""COMPUTED_VALUE"""),"")</f>
        <v/>
      </c>
      <c r="AG269" s="1" t="str">
        <f>IFERROR(__xludf.DUMMYFUNCTION("""COMPUTED_VALUE"""),"")</f>
        <v/>
      </c>
      <c r="AH269" s="1" t="str">
        <f>IFERROR(__xludf.DUMMYFUNCTION("""COMPUTED_VALUE"""),"Sci4GA")</f>
        <v>Sci4GA</v>
      </c>
      <c r="AI269" s="1" t="str">
        <f>IFERROR(__xludf.DUMMYFUNCTION("""COMPUTED_VALUE"""),"DRI Application Summary")</f>
        <v>DRI Application Summary</v>
      </c>
      <c r="AJ269" s="1" t="str">
        <f>IFERROR(__xludf.DUMMYFUNCTION("""COMPUTED_VALUE"""),"")</f>
        <v/>
      </c>
      <c r="AK269" s="1" t="str">
        <f>IFERROR(__xludf.DUMMYFUNCTION("""COMPUTED_VALUE"""),"")</f>
        <v/>
      </c>
      <c r="AL269" s="1" t="str">
        <f>IFERROR(__xludf.DUMMYFUNCTION("""COMPUTED_VALUE"""),"")</f>
        <v/>
      </c>
      <c r="AM269" s="1" t="str">
        <f>IFERROR(__xludf.DUMMYFUNCTION("""COMPUTED_VALUE"""),"")</f>
        <v/>
      </c>
      <c r="AN269" s="1" t="str">
        <f>IFERROR(__xludf.DUMMYFUNCTION("""COMPUTED_VALUE"""),"")</f>
        <v/>
      </c>
      <c r="AO269" s="1" t="str">
        <f>IFERROR(__xludf.DUMMYFUNCTION("""COMPUTED_VALUE"""),"")</f>
        <v/>
      </c>
      <c r="AP269" s="1" t="str">
        <f>IFERROR(__xludf.DUMMYFUNCTION("""COMPUTED_VALUE"""),"")</f>
        <v/>
      </c>
      <c r="AQ269" s="1" t="str">
        <f>IFERROR(__xludf.DUMMYFUNCTION("""COMPUTED_VALUE"""),"10/16/2025")</f>
        <v>10/16/2025</v>
      </c>
      <c r="AR269" s="1" t="str">
        <f>IFERROR(__xludf.DUMMYFUNCTION("""COMPUTED_VALUE"""),"10/16/2025")</f>
        <v>10/16/2025</v>
      </c>
    </row>
    <row r="270">
      <c r="A270" s="1" t="str">
        <f>IFERROR(__xludf.DUMMYFUNCTION("""COMPUTED_VALUE"""),"Stanton Springs Data Center ")</f>
        <v>Stanton Springs Data Center </v>
      </c>
      <c r="B270" s="1" t="str">
        <f>IFERROR(__xludf.DUMMYFUNCTION("""COMPUTED_VALUE"""),"100 Move Fast Way")</f>
        <v>100 Move Fast Way</v>
      </c>
      <c r="C270" s="1" t="str">
        <f>IFERROR(__xludf.DUMMYFUNCTION("""COMPUTED_VALUE"""),"Social Circle")</f>
        <v>Social Circle</v>
      </c>
      <c r="D270" s="1" t="str">
        <f>IFERROR(__xludf.DUMMYFUNCTION("""COMPUTED_VALUE"""),"GA")</f>
        <v>GA</v>
      </c>
      <c r="E270" s="1" t="str">
        <f>IFERROR(__xludf.DUMMYFUNCTION("""COMPUTED_VALUE"""),"30025")</f>
        <v>30025</v>
      </c>
      <c r="F270" s="1" t="str">
        <f>IFERROR(__xludf.DUMMYFUNCTION("""COMPUTED_VALUE"""),"Newton")</f>
        <v>Newton</v>
      </c>
      <c r="G270" s="1" t="str">
        <f>IFERROR(__xludf.DUMMYFUNCTION("""COMPUTED_VALUE"""),"33.60278")</f>
        <v>33.60278</v>
      </c>
      <c r="H270" s="1" t="str">
        <f>IFERROR(__xludf.DUMMYFUNCTION("""COMPUTED_VALUE"""),"-83.698616")</f>
        <v>-83.698616</v>
      </c>
      <c r="I270" s="1" t="str">
        <f>IFERROR(__xludf.DUMMYFUNCTION("""COMPUTED_VALUE"""),"Expanding")</f>
        <v>Expanding</v>
      </c>
      <c r="J270" s="1" t="str">
        <f>IFERROR(__xludf.DUMMYFUNCTION("""COMPUTED_VALUE"""),"High")</f>
        <v>High</v>
      </c>
      <c r="K270" s="1" t="str">
        <f>IFERROR(__xludf.DUMMYFUNCTION("""COMPUTED_VALUE"""),"")</f>
        <v/>
      </c>
      <c r="L270" s="1" t="str">
        <f>IFERROR(__xludf.DUMMYFUNCTION("""COMPUTED_VALUE"""),"Meta")</f>
        <v>Meta</v>
      </c>
      <c r="M270" s="1" t="str">
        <f>IFERROR(__xludf.DUMMYFUNCTION("""COMPUTED_VALUE"""),"")</f>
        <v/>
      </c>
      <c r="N270" s="1" t="str">
        <f>IFERROR(__xludf.DUMMYFUNCTION("""COMPUTED_VALUE"""),"")</f>
        <v/>
      </c>
      <c r="O270" s="1" t="str">
        <f>IFERROR(__xludf.DUMMYFUNCTION("""COMPUTED_VALUE"""),"Hyperscale (100-999 MW)")</f>
        <v>Hyperscale (100-999 MW)</v>
      </c>
      <c r="P270" s="1" t="str">
        <f>IFERROR(__xludf.DUMMYFUNCTION("""COMPUTED_VALUE"""),"")</f>
        <v/>
      </c>
      <c r="Q270" s="1" t="str">
        <f>IFERROR(__xludf.DUMMYFUNCTION("""COMPUTED_VALUE"""),"")</f>
        <v/>
      </c>
      <c r="R270" s="1" t="str">
        <f>IFERROR(__xludf.DUMMYFUNCTION("""COMPUTED_VALUE"""),"")</f>
        <v/>
      </c>
      <c r="S270" s="1" t="str">
        <f>IFERROR(__xludf.DUMMYFUNCTION("""COMPUTED_VALUE"""),"")</f>
        <v/>
      </c>
      <c r="T270" s="1" t="str">
        <f>IFERROR(__xludf.DUMMYFUNCTION("""COMPUTED_VALUE"""),"Air")</f>
        <v>Air</v>
      </c>
      <c r="U270" s="1" t="str">
        <f>IFERROR(__xludf.DUMMYFUNCTION("""COMPUTED_VALUE"""),"")</f>
        <v/>
      </c>
      <c r="V270" s="1" t="str">
        <f>IFERROR(__xludf.DUMMYFUNCTION("""COMPUTED_VALUE"""),"2,500,000")</f>
        <v>2,500,000</v>
      </c>
      <c r="W270" s="1" t="str">
        <f>IFERROR(__xludf.DUMMYFUNCTION("""COMPUTED_VALUE"""),"285")</f>
        <v>285</v>
      </c>
      <c r="X270" s="1" t="str">
        <f>IFERROR(__xludf.DUMMYFUNCTION("""COMPUTED_VALUE"""),"$1 billion")</f>
        <v>$1 billion</v>
      </c>
      <c r="Y270" s="1" t="str">
        <f>IFERROR(__xludf.DUMMYFUNCTION("""COMPUTED_VALUE"""),"")</f>
        <v/>
      </c>
      <c r="Z270" s="1" t="str">
        <f>IFERROR(__xludf.DUMMYFUNCTION("""COMPUTED_VALUE"""),"Yes")</f>
        <v>Yes</v>
      </c>
      <c r="AA270" s="1" t="str">
        <f>IFERROR(__xludf.DUMMYFUNCTION("""COMPUTED_VALUE"""),"")</f>
        <v/>
      </c>
      <c r="AB270" s="1" t="str">
        <f>IFERROR(__xludf.DUMMYFUNCTION("""COMPUTED_VALUE"""),"")</f>
        <v/>
      </c>
      <c r="AC270" s="1" t="str">
        <f>IFERROR(__xludf.DUMMYFUNCTION("""COMPUTED_VALUE"""),"")</f>
        <v/>
      </c>
      <c r="AD270" s="1" t="str">
        <f>IFERROR(__xludf.DUMMYFUNCTION("""COMPUTED_VALUE"""),"")</f>
        <v/>
      </c>
      <c r="AE270" s="1" t="str">
        <f>IFERROR(__xludf.DUMMYFUNCTION("""COMPUTED_VALUE"""),"")</f>
        <v/>
      </c>
      <c r="AF270" s="1" t="str">
        <f>IFERROR(__xludf.DUMMYFUNCTION("""COMPUTED_VALUE"""),"")</f>
        <v/>
      </c>
      <c r="AG270" s="1" t="str">
        <f>IFERROR(__xludf.DUMMYFUNCTION("""COMPUTED_VALUE"""),"local water supply complaints, 2 campuses")</f>
        <v>local water supply complaints, 2 campuses</v>
      </c>
      <c r="AH270" s="1" t="str">
        <f>IFERROR(__xludf.DUMMYFUNCTION("""COMPUTED_VALUE"""),"Media Monitoring")</f>
        <v>Media Monitoring</v>
      </c>
      <c r="AI270" s="2" t="str">
        <f>IFERROR(__xludf.DUMMYFUNCTION("""COMPUTED_VALUE"""),"https://plateauexcavation.com/projects/newton-data-center/")</f>
        <v>https://plateauexcavation.com/projects/newton-data-center/</v>
      </c>
      <c r="AJ270" s="2" t="str">
        <f>IFERROR(__xludf.DUMMYFUNCTION("""COMPUTED_VALUE"""),"https://www.bgr.com/1990532/meta-new-aid-data-center-size-70-football-fields-residents-scared-water/")</f>
        <v>https://www.bgr.com/1990532/meta-new-aid-data-center-size-70-football-fields-residents-scared-water/</v>
      </c>
      <c r="AK270" s="1" t="str">
        <f>IFERROR(__xludf.DUMMYFUNCTION("""COMPUTED_VALUE"""),"")</f>
        <v/>
      </c>
      <c r="AL270" s="1" t="str">
        <f>IFERROR(__xludf.DUMMYFUNCTION("""COMPUTED_VALUE"""),"")</f>
        <v/>
      </c>
      <c r="AM270" s="1" t="str">
        <f>IFERROR(__xludf.DUMMYFUNCTION("""COMPUTED_VALUE"""),"")</f>
        <v/>
      </c>
      <c r="AN270" s="1" t="str">
        <f>IFERROR(__xludf.DUMMYFUNCTION("""COMPUTED_VALUE"""),"")</f>
        <v/>
      </c>
      <c r="AO270" s="1" t="str">
        <f>IFERROR(__xludf.DUMMYFUNCTION("""COMPUTED_VALUE"""),"")</f>
        <v/>
      </c>
      <c r="AP270" s="1" t="str">
        <f>IFERROR(__xludf.DUMMYFUNCTION("""COMPUTED_VALUE"""),"")</f>
        <v/>
      </c>
      <c r="AQ270" s="1" t="str">
        <f>IFERROR(__xludf.DUMMYFUNCTION("""COMPUTED_VALUE"""),"10/15/2025")</f>
        <v>10/15/2025</v>
      </c>
      <c r="AR270" s="1" t="str">
        <f>IFERROR(__xludf.DUMMYFUNCTION("""COMPUTED_VALUE"""),"10/15/2025")</f>
        <v>10/15/2025</v>
      </c>
    </row>
    <row r="271">
      <c r="A271" s="1" t="str">
        <f>IFERROR(__xludf.DUMMYFUNCTION("""COMPUTED_VALUE"""),"Westlake")</f>
        <v>Westlake</v>
      </c>
      <c r="B271" s="1" t="str">
        <f>IFERROR(__xludf.DUMMYFUNCTION("""COMPUTED_VALUE"""),"Plumber Road SW &amp; Riverside Dr SW")</f>
        <v>Plumber Road SW &amp; Riverside Dr SW</v>
      </c>
      <c r="C271" s="1" t="str">
        <f>IFERROR(__xludf.DUMMYFUNCTION("""COMPUTED_VALUE"""),"South Fulton")</f>
        <v>South Fulton</v>
      </c>
      <c r="D271" s="1" t="str">
        <f>IFERROR(__xludf.DUMMYFUNCTION("""COMPUTED_VALUE"""),"GA")</f>
        <v>GA</v>
      </c>
      <c r="E271" s="1" t="str">
        <f>IFERROR(__xludf.DUMMYFUNCTION("""COMPUTED_VALUE"""),"30331")</f>
        <v>30331</v>
      </c>
      <c r="F271" s="1" t="str">
        <f>IFERROR(__xludf.DUMMYFUNCTION("""COMPUTED_VALUE"""),"Fulton")</f>
        <v>Fulton</v>
      </c>
      <c r="G271" s="1" t="str">
        <f>IFERROR(__xludf.DUMMYFUNCTION("""COMPUTED_VALUE"""),"33.708332")</f>
        <v>33.708332</v>
      </c>
      <c r="H271" s="1" t="str">
        <f>IFERROR(__xludf.DUMMYFUNCTION("""COMPUTED_VALUE"""),"-84.584564")</f>
        <v>-84.584564</v>
      </c>
      <c r="I271" s="1" t="str">
        <f>IFERROR(__xludf.DUMMYFUNCTION("""COMPUTED_VALUE"""),"Operating")</f>
        <v>Operating</v>
      </c>
      <c r="J271" s="1" t="str">
        <f>IFERROR(__xludf.DUMMYFUNCTION("""COMPUTED_VALUE"""),"High")</f>
        <v>High</v>
      </c>
      <c r="K271" s="1" t="str">
        <f>IFERROR(__xludf.DUMMYFUNCTION("""COMPUTED_VALUE"""),"")</f>
        <v/>
      </c>
      <c r="L271" s="1" t="str">
        <f>IFERROR(__xludf.DUMMYFUNCTION("""COMPUTED_VALUE"""),"Vantage Data Centers")</f>
        <v>Vantage Data Centers</v>
      </c>
      <c r="M271" s="1" t="str">
        <f>IFERROR(__xludf.DUMMYFUNCTION("""COMPUTED_VALUE"""),"")</f>
        <v/>
      </c>
      <c r="N271" s="1" t="str">
        <f>IFERROR(__xludf.DUMMYFUNCTION("""COMPUTED_VALUE"""),"113")</f>
        <v>113</v>
      </c>
      <c r="O271" s="1" t="str">
        <f>IFERROR(__xludf.DUMMYFUNCTION("""COMPUTED_VALUE"""),"Hyperscale (100-999 MW)")</f>
        <v>Hyperscale (100-999 MW)</v>
      </c>
      <c r="P271" s="1" t="str">
        <f>IFERROR(__xludf.DUMMYFUNCTION("""COMPUTED_VALUE"""),"")</f>
        <v/>
      </c>
      <c r="Q271" s="1" t="str">
        <f>IFERROR(__xludf.DUMMYFUNCTION("""COMPUTED_VALUE"""),"")</f>
        <v/>
      </c>
      <c r="R271" s="1" t="str">
        <f>IFERROR(__xludf.DUMMYFUNCTION("""COMPUTED_VALUE"""),"")</f>
        <v/>
      </c>
      <c r="S271" s="1" t="str">
        <f>IFERROR(__xludf.DUMMYFUNCTION("""COMPUTED_VALUE"""),"")</f>
        <v/>
      </c>
      <c r="T271" s="1" t="str">
        <f>IFERROR(__xludf.DUMMYFUNCTION("""COMPUTED_VALUE"""),"")</f>
        <v/>
      </c>
      <c r="U271" s="1" t="str">
        <f>IFERROR(__xludf.DUMMYFUNCTION("""COMPUTED_VALUE"""),"")</f>
        <v/>
      </c>
      <c r="V271" s="1" t="str">
        <f>IFERROR(__xludf.DUMMYFUNCTION("""COMPUTED_VALUE"""),"754,221")</f>
        <v>754,221</v>
      </c>
      <c r="W271" s="1" t="str">
        <f>IFERROR(__xludf.DUMMYFUNCTION("""COMPUTED_VALUE"""),"")</f>
        <v/>
      </c>
      <c r="X271" s="1" t="str">
        <f>IFERROR(__xludf.DUMMYFUNCTION("""COMPUTED_VALUE"""),"")</f>
        <v/>
      </c>
      <c r="Y271" s="1" t="str">
        <f>IFERROR(__xludf.DUMMYFUNCTION("""COMPUTED_VALUE"""),"")</f>
        <v/>
      </c>
      <c r="Z271" s="1" t="str">
        <f>IFERROR(__xludf.DUMMYFUNCTION("""COMPUTED_VALUE"""),"Unknown")</f>
        <v>Unknown</v>
      </c>
      <c r="AA271" s="1" t="str">
        <f>IFERROR(__xludf.DUMMYFUNCTION("""COMPUTED_VALUE"""),"")</f>
        <v/>
      </c>
      <c r="AB271" s="1" t="str">
        <f>IFERROR(__xludf.DUMMYFUNCTION("""COMPUTED_VALUE"""),"")</f>
        <v/>
      </c>
      <c r="AC271" s="1" t="str">
        <f>IFERROR(__xludf.DUMMYFUNCTION("""COMPUTED_VALUE"""),"")</f>
        <v/>
      </c>
      <c r="AD271" s="1" t="str">
        <f>IFERROR(__xludf.DUMMYFUNCTION("""COMPUTED_VALUE"""),"")</f>
        <v/>
      </c>
      <c r="AE271" s="1" t="str">
        <f>IFERROR(__xludf.DUMMYFUNCTION("""COMPUTED_VALUE"""),"")</f>
        <v/>
      </c>
      <c r="AF271" s="1" t="str">
        <f>IFERROR(__xludf.DUMMYFUNCTION("""COMPUTED_VALUE"""),"")</f>
        <v/>
      </c>
      <c r="AG271" s="1" t="str">
        <f>IFERROR(__xludf.DUMMYFUNCTION("""COMPUTED_VALUE"""),"")</f>
        <v/>
      </c>
      <c r="AH271" s="1" t="str">
        <f>IFERROR(__xludf.DUMMYFUNCTION("""COMPUTED_VALUE"""),"Sci4GA")</f>
        <v>Sci4GA</v>
      </c>
      <c r="AI271" s="2" t="str">
        <f>IFERROR(__xludf.DUMMYFUNCTION("""COMPUTED_VALUE"""),"https://apps.dca.ga.gov/DRI/AppSummary.aspx?driid=4256")</f>
        <v>https://apps.dca.ga.gov/DRI/AppSummary.aspx?driid=4256</v>
      </c>
      <c r="AJ271" s="1" t="str">
        <f>IFERROR(__xludf.DUMMYFUNCTION("""COMPUTED_VALUE"""),"")</f>
        <v/>
      </c>
      <c r="AK271" s="1" t="str">
        <f>IFERROR(__xludf.DUMMYFUNCTION("""COMPUTED_VALUE"""),"")</f>
        <v/>
      </c>
      <c r="AL271" s="1" t="str">
        <f>IFERROR(__xludf.DUMMYFUNCTION("""COMPUTED_VALUE"""),"")</f>
        <v/>
      </c>
      <c r="AM271" s="1" t="str">
        <f>IFERROR(__xludf.DUMMYFUNCTION("""COMPUTED_VALUE"""),"")</f>
        <v/>
      </c>
      <c r="AN271" s="1" t="str">
        <f>IFERROR(__xludf.DUMMYFUNCTION("""COMPUTED_VALUE"""),"")</f>
        <v/>
      </c>
      <c r="AO271" s="1" t="str">
        <f>IFERROR(__xludf.DUMMYFUNCTION("""COMPUTED_VALUE"""),"")</f>
        <v/>
      </c>
      <c r="AP271" s="1" t="str">
        <f>IFERROR(__xludf.DUMMYFUNCTION("""COMPUTED_VALUE"""),"")</f>
        <v/>
      </c>
      <c r="AQ271" s="1" t="str">
        <f>IFERROR(__xludf.DUMMYFUNCTION("""COMPUTED_VALUE"""),"10/16/2025")</f>
        <v>10/16/2025</v>
      </c>
      <c r="AR271" s="1" t="str">
        <f>IFERROR(__xludf.DUMMYFUNCTION("""COMPUTED_VALUE"""),"10/16/2025")</f>
        <v>10/16/2025</v>
      </c>
    </row>
    <row r="272">
      <c r="A272" s="1" t="str">
        <f>IFERROR(__xludf.DUMMYFUNCTION("""COMPUTED_VALUE"""),"Edge Presence")</f>
        <v>Edge Presence</v>
      </c>
      <c r="B272" s="1" t="str">
        <f>IFERROR(__xludf.DUMMYFUNCTION("""COMPUTED_VALUE"""),"695 Brannen St")</f>
        <v>695 Brannen St</v>
      </c>
      <c r="C272" s="1" t="str">
        <f>IFERROR(__xludf.DUMMYFUNCTION("""COMPUTED_VALUE"""),"Statesboro")</f>
        <v>Statesboro</v>
      </c>
      <c r="D272" s="1" t="str">
        <f>IFERROR(__xludf.DUMMYFUNCTION("""COMPUTED_VALUE"""),"GA")</f>
        <v>GA</v>
      </c>
      <c r="E272" s="1" t="str">
        <f>IFERROR(__xludf.DUMMYFUNCTION("""COMPUTED_VALUE"""),"30461")</f>
        <v>30461</v>
      </c>
      <c r="F272" s="1" t="str">
        <f>IFERROR(__xludf.DUMMYFUNCTION("""COMPUTED_VALUE"""),"Bulloch")</f>
        <v>Bulloch</v>
      </c>
      <c r="G272" s="1" t="str">
        <f>IFERROR(__xludf.DUMMYFUNCTION("""COMPUTED_VALUE"""),"32.43269")</f>
        <v>32.43269</v>
      </c>
      <c r="H272" s="1" t="str">
        <f>IFERROR(__xludf.DUMMYFUNCTION("""COMPUTED_VALUE"""),"-81.76039")</f>
        <v>-81.76039</v>
      </c>
      <c r="I272" s="1" t="str">
        <f>IFERROR(__xludf.DUMMYFUNCTION("""COMPUTED_VALUE"""),"Operating")</f>
        <v>Operating</v>
      </c>
      <c r="J272" s="1" t="str">
        <f>IFERROR(__xludf.DUMMYFUNCTION("""COMPUTED_VALUE"""),"High")</f>
        <v>High</v>
      </c>
      <c r="K272" s="1" t="str">
        <f>IFERROR(__xludf.DUMMYFUNCTION("""COMPUTED_VALUE"""),"")</f>
        <v/>
      </c>
      <c r="L272" s="1" t="str">
        <f>IFERROR(__xludf.DUMMYFUNCTION("""COMPUTED_VALUE"""),"Ubiquity")</f>
        <v>Ubiquity</v>
      </c>
      <c r="M272" s="1" t="str">
        <f>IFERROR(__xludf.DUMMYFUNCTION("""COMPUTED_VALUE"""),"")</f>
        <v/>
      </c>
      <c r="N272" s="1" t="str">
        <f>IFERROR(__xludf.DUMMYFUNCTION("""COMPUTED_VALUE"""),"0.1")</f>
        <v>0.1</v>
      </c>
      <c r="O272" s="1" t="str">
        <f>IFERROR(__xludf.DUMMYFUNCTION("""COMPUTED_VALUE"""),"Small (0-10 MW)")</f>
        <v>Small (0-10 MW)</v>
      </c>
      <c r="P272" s="1" t="str">
        <f>IFERROR(__xludf.DUMMYFUNCTION("""COMPUTED_VALUE"""),"")</f>
        <v/>
      </c>
      <c r="Q272" s="1" t="str">
        <f>IFERROR(__xludf.DUMMYFUNCTION("""COMPUTED_VALUE"""),"")</f>
        <v/>
      </c>
      <c r="R272" s="1" t="str">
        <f>IFERROR(__xludf.DUMMYFUNCTION("""COMPUTED_VALUE"""),"")</f>
        <v/>
      </c>
      <c r="S272" s="1" t="str">
        <f>IFERROR(__xludf.DUMMYFUNCTION("""COMPUTED_VALUE"""),"")</f>
        <v/>
      </c>
      <c r="T272" s="1" t="str">
        <f>IFERROR(__xludf.DUMMYFUNCTION("""COMPUTED_VALUE"""),"")</f>
        <v/>
      </c>
      <c r="U272" s="1" t="str">
        <f>IFERROR(__xludf.DUMMYFUNCTION("""COMPUTED_VALUE"""),"")</f>
        <v/>
      </c>
      <c r="V272" s="1" t="str">
        <f>IFERROR(__xludf.DUMMYFUNCTION("""COMPUTED_VALUE"""),"360")</f>
        <v>360</v>
      </c>
      <c r="W272" s="1" t="str">
        <f>IFERROR(__xludf.DUMMYFUNCTION("""COMPUTED_VALUE"""),"")</f>
        <v/>
      </c>
      <c r="X272" s="1" t="str">
        <f>IFERROR(__xludf.DUMMYFUNCTION("""COMPUTED_VALUE"""),"")</f>
        <v/>
      </c>
      <c r="Y272" s="1" t="str">
        <f>IFERROR(__xludf.DUMMYFUNCTION("""COMPUTED_VALUE"""),"")</f>
        <v/>
      </c>
      <c r="Z272" s="1" t="str">
        <f>IFERROR(__xludf.DUMMYFUNCTION("""COMPUTED_VALUE"""),"Unknown")</f>
        <v>Unknown</v>
      </c>
      <c r="AA272" s="1" t="str">
        <f>IFERROR(__xludf.DUMMYFUNCTION("""COMPUTED_VALUE"""),"")</f>
        <v/>
      </c>
      <c r="AB272" s="1" t="str">
        <f>IFERROR(__xludf.DUMMYFUNCTION("""COMPUTED_VALUE"""),"")</f>
        <v/>
      </c>
      <c r="AC272" s="1" t="str">
        <f>IFERROR(__xludf.DUMMYFUNCTION("""COMPUTED_VALUE"""),"")</f>
        <v/>
      </c>
      <c r="AD272" s="1" t="str">
        <f>IFERROR(__xludf.DUMMYFUNCTION("""COMPUTED_VALUE"""),"")</f>
        <v/>
      </c>
      <c r="AE272" s="1" t="str">
        <f>IFERROR(__xludf.DUMMYFUNCTION("""COMPUTED_VALUE"""),"")</f>
        <v/>
      </c>
      <c r="AF272" s="1" t="str">
        <f>IFERROR(__xludf.DUMMYFUNCTION("""COMPUTED_VALUE"""),"")</f>
        <v/>
      </c>
      <c r="AG272" s="1" t="str">
        <f>IFERROR(__xludf.DUMMYFUNCTION("""COMPUTED_VALUE"""),"")</f>
        <v/>
      </c>
      <c r="AH272" s="1" t="str">
        <f>IFERROR(__xludf.DUMMYFUNCTION("""COMPUTED_VALUE"""),"Sci4GA")</f>
        <v>Sci4GA</v>
      </c>
      <c r="AI272" s="1" t="str">
        <f>IFERROR(__xludf.DUMMYFUNCTION("""COMPUTED_VALUE"""),"")</f>
        <v/>
      </c>
      <c r="AJ272" s="1" t="str">
        <f>IFERROR(__xludf.DUMMYFUNCTION("""COMPUTED_VALUE"""),"")</f>
        <v/>
      </c>
      <c r="AK272" s="1" t="str">
        <f>IFERROR(__xludf.DUMMYFUNCTION("""COMPUTED_VALUE"""),"")</f>
        <v/>
      </c>
      <c r="AL272" s="1" t="str">
        <f>IFERROR(__xludf.DUMMYFUNCTION("""COMPUTED_VALUE"""),"")</f>
        <v/>
      </c>
      <c r="AM272" s="1" t="str">
        <f>IFERROR(__xludf.DUMMYFUNCTION("""COMPUTED_VALUE"""),"")</f>
        <v/>
      </c>
      <c r="AN272" s="1" t="str">
        <f>IFERROR(__xludf.DUMMYFUNCTION("""COMPUTED_VALUE"""),"")</f>
        <v/>
      </c>
      <c r="AO272" s="1" t="str">
        <f>IFERROR(__xludf.DUMMYFUNCTION("""COMPUTED_VALUE"""),"")</f>
        <v/>
      </c>
      <c r="AP272" s="1" t="str">
        <f>IFERROR(__xludf.DUMMYFUNCTION("""COMPUTED_VALUE"""),"")</f>
        <v/>
      </c>
      <c r="AQ272" s="1" t="str">
        <f>IFERROR(__xludf.DUMMYFUNCTION("""COMPUTED_VALUE"""),"10/16/2025")</f>
        <v>10/16/2025</v>
      </c>
      <c r="AR272" s="1" t="str">
        <f>IFERROR(__xludf.DUMMYFUNCTION("""COMPUTED_VALUE"""),"10/16/2025")</f>
        <v>10/16/2025</v>
      </c>
    </row>
    <row r="273">
      <c r="A273" s="1" t="str">
        <f>IFERROR(__xludf.DUMMYFUNCTION("""COMPUTED_VALUE"""),"ATL1 - Atlanta Data Center")</f>
        <v>ATL1 - Atlanta Data Center</v>
      </c>
      <c r="B273" s="1" t="str">
        <f>IFERROR(__xludf.DUMMYFUNCTION("""COMPUTED_VALUE"""),"305 Satellite Blvd")</f>
        <v>305 Satellite Blvd</v>
      </c>
      <c r="C273" s="1" t="str">
        <f>IFERROR(__xludf.DUMMYFUNCTION("""COMPUTED_VALUE"""),"Suwanee")</f>
        <v>Suwanee</v>
      </c>
      <c r="D273" s="1" t="str">
        <f>IFERROR(__xludf.DUMMYFUNCTION("""COMPUTED_VALUE"""),"GA")</f>
        <v>GA</v>
      </c>
      <c r="E273" s="1" t="str">
        <f>IFERROR(__xludf.DUMMYFUNCTION("""COMPUTED_VALUE"""),"30024")</f>
        <v>30024</v>
      </c>
      <c r="F273" s="1" t="str">
        <f>IFERROR(__xludf.DUMMYFUNCTION("""COMPUTED_VALUE"""),"Gwinnett")</f>
        <v>Gwinnett</v>
      </c>
      <c r="G273" s="1" t="str">
        <f>IFERROR(__xludf.DUMMYFUNCTION("""COMPUTED_VALUE"""),"34.03615")</f>
        <v>34.03615</v>
      </c>
      <c r="H273" s="1" t="str">
        <f>IFERROR(__xludf.DUMMYFUNCTION("""COMPUTED_VALUE"""),"-84.06378")</f>
        <v>-84.06378</v>
      </c>
      <c r="I273" s="1" t="str">
        <f>IFERROR(__xludf.DUMMYFUNCTION("""COMPUTED_VALUE"""),"Operating")</f>
        <v>Operating</v>
      </c>
      <c r="J273" s="1" t="str">
        <f>IFERROR(__xludf.DUMMYFUNCTION("""COMPUTED_VALUE"""),"High")</f>
        <v>High</v>
      </c>
      <c r="K273" s="1" t="str">
        <f>IFERROR(__xludf.DUMMYFUNCTION("""COMPUTED_VALUE"""),"")</f>
        <v/>
      </c>
      <c r="L273" s="1" t="str">
        <f>IFERROR(__xludf.DUMMYFUNCTION("""COMPUTED_VALUE"""),"Server Farm Realty")</f>
        <v>Server Farm Realty</v>
      </c>
      <c r="M273" s="1" t="str">
        <f>IFERROR(__xludf.DUMMYFUNCTION("""COMPUTED_VALUE"""),"")</f>
        <v/>
      </c>
      <c r="N273" s="1" t="str">
        <f>IFERROR(__xludf.DUMMYFUNCTION("""COMPUTED_VALUE"""),"12")</f>
        <v>12</v>
      </c>
      <c r="O273" s="1" t="str">
        <f>IFERROR(__xludf.DUMMYFUNCTION("""COMPUTED_VALUE"""),"Medium (11-50 MW)")</f>
        <v>Medium (11-50 MW)</v>
      </c>
      <c r="P273" s="1" t="str">
        <f>IFERROR(__xludf.DUMMYFUNCTION("""COMPUTED_VALUE"""),"")</f>
        <v/>
      </c>
      <c r="Q273" s="1" t="str">
        <f>IFERROR(__xludf.DUMMYFUNCTION("""COMPUTED_VALUE"""),"")</f>
        <v/>
      </c>
      <c r="R273" s="1" t="str">
        <f>IFERROR(__xludf.DUMMYFUNCTION("""COMPUTED_VALUE"""),"")</f>
        <v/>
      </c>
      <c r="S273" s="1" t="str">
        <f>IFERROR(__xludf.DUMMYFUNCTION("""COMPUTED_VALUE"""),"")</f>
        <v/>
      </c>
      <c r="T273" s="1" t="str">
        <f>IFERROR(__xludf.DUMMYFUNCTION("""COMPUTED_VALUE"""),"")</f>
        <v/>
      </c>
      <c r="U273" s="1" t="str">
        <f>IFERROR(__xludf.DUMMYFUNCTION("""COMPUTED_VALUE"""),"")</f>
        <v/>
      </c>
      <c r="V273" s="1" t="str">
        <f>IFERROR(__xludf.DUMMYFUNCTION("""COMPUTED_VALUE"""),"153,000")</f>
        <v>153,000</v>
      </c>
      <c r="W273" s="1" t="str">
        <f>IFERROR(__xludf.DUMMYFUNCTION("""COMPUTED_VALUE"""),"")</f>
        <v/>
      </c>
      <c r="X273" s="1" t="str">
        <f>IFERROR(__xludf.DUMMYFUNCTION("""COMPUTED_VALUE"""),"")</f>
        <v/>
      </c>
      <c r="Y273" s="1" t="str">
        <f>IFERROR(__xludf.DUMMYFUNCTION("""COMPUTED_VALUE"""),"")</f>
        <v/>
      </c>
      <c r="Z273" s="1" t="str">
        <f>IFERROR(__xludf.DUMMYFUNCTION("""COMPUTED_VALUE"""),"Unknown")</f>
        <v>Unknown</v>
      </c>
      <c r="AA273" s="1" t="str">
        <f>IFERROR(__xludf.DUMMYFUNCTION("""COMPUTED_VALUE"""),"")</f>
        <v/>
      </c>
      <c r="AB273" s="1" t="str">
        <f>IFERROR(__xludf.DUMMYFUNCTION("""COMPUTED_VALUE"""),"")</f>
        <v/>
      </c>
      <c r="AC273" s="1" t="str">
        <f>IFERROR(__xludf.DUMMYFUNCTION("""COMPUTED_VALUE"""),"")</f>
        <v/>
      </c>
      <c r="AD273" s="1" t="str">
        <f>IFERROR(__xludf.DUMMYFUNCTION("""COMPUTED_VALUE"""),"")</f>
        <v/>
      </c>
      <c r="AE273" s="1" t="str">
        <f>IFERROR(__xludf.DUMMYFUNCTION("""COMPUTED_VALUE"""),"")</f>
        <v/>
      </c>
      <c r="AF273" s="1" t="str">
        <f>IFERROR(__xludf.DUMMYFUNCTION("""COMPUTED_VALUE"""),"")</f>
        <v/>
      </c>
      <c r="AG273" s="1" t="str">
        <f>IFERROR(__xludf.DUMMYFUNCTION("""COMPUTED_VALUE"""),"")</f>
        <v/>
      </c>
      <c r="AH273" s="1" t="str">
        <f>IFERROR(__xludf.DUMMYFUNCTION("""COMPUTED_VALUE"""),"Sci4GA")</f>
        <v>Sci4GA</v>
      </c>
      <c r="AI273" s="2" t="str">
        <f>IFERROR(__xludf.DUMMYFUNCTION("""COMPUTED_VALUE"""),"https://baxtel.com/data-center/server-farm-atlanta")</f>
        <v>https://baxtel.com/data-center/server-farm-atlanta</v>
      </c>
      <c r="AJ273" s="1" t="str">
        <f>IFERROR(__xludf.DUMMYFUNCTION("""COMPUTED_VALUE"""),"")</f>
        <v/>
      </c>
      <c r="AK273" s="1" t="str">
        <f>IFERROR(__xludf.DUMMYFUNCTION("""COMPUTED_VALUE"""),"")</f>
        <v/>
      </c>
      <c r="AL273" s="1" t="str">
        <f>IFERROR(__xludf.DUMMYFUNCTION("""COMPUTED_VALUE"""),"")</f>
        <v/>
      </c>
      <c r="AM273" s="1" t="str">
        <f>IFERROR(__xludf.DUMMYFUNCTION("""COMPUTED_VALUE"""),"")</f>
        <v/>
      </c>
      <c r="AN273" s="1" t="str">
        <f>IFERROR(__xludf.DUMMYFUNCTION("""COMPUTED_VALUE"""),"")</f>
        <v/>
      </c>
      <c r="AO273" s="1" t="str">
        <f>IFERROR(__xludf.DUMMYFUNCTION("""COMPUTED_VALUE"""),"")</f>
        <v/>
      </c>
      <c r="AP273" s="1" t="str">
        <f>IFERROR(__xludf.DUMMYFUNCTION("""COMPUTED_VALUE"""),"")</f>
        <v/>
      </c>
      <c r="AQ273" s="1" t="str">
        <f>IFERROR(__xludf.DUMMYFUNCTION("""COMPUTED_VALUE"""),"10/16/2025")</f>
        <v>10/16/2025</v>
      </c>
      <c r="AR273" s="1" t="str">
        <f>IFERROR(__xludf.DUMMYFUNCTION("""COMPUTED_VALUE"""),"10/16/2025")</f>
        <v>10/16/2025</v>
      </c>
    </row>
    <row r="274">
      <c r="A274" s="1" t="str">
        <f>IFERROR(__xludf.DUMMYFUNCTION("""COMPUTED_VALUE"""),"Atlanta Suwanee DC1")</f>
        <v>Atlanta Suwanee DC1</v>
      </c>
      <c r="B274" s="1" t="str">
        <f>IFERROR(__xludf.DUMMYFUNCTION("""COMPUTED_VALUE"""),"300 Satellite Boulevard NW")</f>
        <v>300 Satellite Boulevard NW</v>
      </c>
      <c r="C274" s="1" t="str">
        <f>IFERROR(__xludf.DUMMYFUNCTION("""COMPUTED_VALUE"""),"Suwanee")</f>
        <v>Suwanee</v>
      </c>
      <c r="D274" s="1" t="str">
        <f>IFERROR(__xludf.DUMMYFUNCTION("""COMPUTED_VALUE"""),"GA")</f>
        <v>GA</v>
      </c>
      <c r="E274" s="1" t="str">
        <f>IFERROR(__xludf.DUMMYFUNCTION("""COMPUTED_VALUE"""),"30024")</f>
        <v>30024</v>
      </c>
      <c r="F274" s="1" t="str">
        <f>IFERROR(__xludf.DUMMYFUNCTION("""COMPUTED_VALUE"""),"Gwinnett")</f>
        <v>Gwinnett</v>
      </c>
      <c r="G274" s="1" t="str">
        <f>IFERROR(__xludf.DUMMYFUNCTION("""COMPUTED_VALUE"""),"34.035347")</f>
        <v>34.035347</v>
      </c>
      <c r="H274" s="1" t="str">
        <f>IFERROR(__xludf.DUMMYFUNCTION("""COMPUTED_VALUE"""),"-84.06126")</f>
        <v>-84.06126</v>
      </c>
      <c r="I274" s="1" t="str">
        <f>IFERROR(__xludf.DUMMYFUNCTION("""COMPUTED_VALUE"""),"Operating")</f>
        <v>Operating</v>
      </c>
      <c r="J274" s="1" t="str">
        <f>IFERROR(__xludf.DUMMYFUNCTION("""COMPUTED_VALUE"""),"High")</f>
        <v>High</v>
      </c>
      <c r="K274" s="1" t="str">
        <f>IFERROR(__xludf.DUMMYFUNCTION("""COMPUTED_VALUE"""),"")</f>
        <v/>
      </c>
      <c r="L274" s="1" t="str">
        <f>IFERROR(__xludf.DUMMYFUNCTION("""COMPUTED_VALUE"""),"QTS Data Centers")</f>
        <v>QTS Data Centers</v>
      </c>
      <c r="M274" s="1" t="str">
        <f>IFERROR(__xludf.DUMMYFUNCTION("""COMPUTED_VALUE"""),"")</f>
        <v/>
      </c>
      <c r="N274" s="1" t="str">
        <f>IFERROR(__xludf.DUMMYFUNCTION("""COMPUTED_VALUE"""),"26")</f>
        <v>26</v>
      </c>
      <c r="O274" s="1" t="str">
        <f>IFERROR(__xludf.DUMMYFUNCTION("""COMPUTED_VALUE"""),"Medium (11-50 MW)")</f>
        <v>Medium (11-50 MW)</v>
      </c>
      <c r="P274" s="1" t="str">
        <f>IFERROR(__xludf.DUMMYFUNCTION("""COMPUTED_VALUE"""),"")</f>
        <v/>
      </c>
      <c r="Q274" s="1" t="str">
        <f>IFERROR(__xludf.DUMMYFUNCTION("""COMPUTED_VALUE"""),"")</f>
        <v/>
      </c>
      <c r="R274" s="1" t="str">
        <f>IFERROR(__xludf.DUMMYFUNCTION("""COMPUTED_VALUE"""),"")</f>
        <v/>
      </c>
      <c r="S274" s="1" t="str">
        <f>IFERROR(__xludf.DUMMYFUNCTION("""COMPUTED_VALUE"""),"")</f>
        <v/>
      </c>
      <c r="T274" s="1" t="str">
        <f>IFERROR(__xludf.DUMMYFUNCTION("""COMPUTED_VALUE"""),"")</f>
        <v/>
      </c>
      <c r="U274" s="1" t="str">
        <f>IFERROR(__xludf.DUMMYFUNCTION("""COMPUTED_VALUE"""),"")</f>
        <v/>
      </c>
      <c r="V274" s="1" t="str">
        <f>IFERROR(__xludf.DUMMYFUNCTION("""COMPUTED_VALUE"""),"385,000")</f>
        <v>385,000</v>
      </c>
      <c r="W274" s="1" t="str">
        <f>IFERROR(__xludf.DUMMYFUNCTION("""COMPUTED_VALUE"""),"")</f>
        <v/>
      </c>
      <c r="X274" s="1" t="str">
        <f>IFERROR(__xludf.DUMMYFUNCTION("""COMPUTED_VALUE"""),"")</f>
        <v/>
      </c>
      <c r="Y274" s="1" t="str">
        <f>IFERROR(__xludf.DUMMYFUNCTION("""COMPUTED_VALUE"""),"")</f>
        <v/>
      </c>
      <c r="Z274" s="1" t="str">
        <f>IFERROR(__xludf.DUMMYFUNCTION("""COMPUTED_VALUE"""),"Unknown")</f>
        <v>Unknown</v>
      </c>
      <c r="AA274" s="1" t="str">
        <f>IFERROR(__xludf.DUMMYFUNCTION("""COMPUTED_VALUE"""),"")</f>
        <v/>
      </c>
      <c r="AB274" s="1" t="str">
        <f>IFERROR(__xludf.DUMMYFUNCTION("""COMPUTED_VALUE"""),"")</f>
        <v/>
      </c>
      <c r="AC274" s="1" t="str">
        <f>IFERROR(__xludf.DUMMYFUNCTION("""COMPUTED_VALUE"""),"")</f>
        <v/>
      </c>
      <c r="AD274" s="1" t="str">
        <f>IFERROR(__xludf.DUMMYFUNCTION("""COMPUTED_VALUE"""),"")</f>
        <v/>
      </c>
      <c r="AE274" s="1" t="str">
        <f>IFERROR(__xludf.DUMMYFUNCTION("""COMPUTED_VALUE"""),"")</f>
        <v/>
      </c>
      <c r="AF274" s="1" t="str">
        <f>IFERROR(__xludf.DUMMYFUNCTION("""COMPUTED_VALUE"""),"")</f>
        <v/>
      </c>
      <c r="AG274" s="1" t="str">
        <f>IFERROR(__xludf.DUMMYFUNCTION("""COMPUTED_VALUE"""),"")</f>
        <v/>
      </c>
      <c r="AH274" s="1" t="str">
        <f>IFERROR(__xludf.DUMMYFUNCTION("""COMPUTED_VALUE"""),"Sci4GA")</f>
        <v>Sci4GA</v>
      </c>
      <c r="AI274" s="2" t="str">
        <f>IFERROR(__xludf.DUMMYFUNCTION("""COMPUTED_VALUE"""),"https://baxtel.com/data-center/qts-atlanta-suwanee")</f>
        <v>https://baxtel.com/data-center/qts-atlanta-suwanee</v>
      </c>
      <c r="AJ274" s="2" t="str">
        <f>IFERROR(__xludf.DUMMYFUNCTION("""COMPUTED_VALUE"""),"https://qtsdatacenters.com/data-centers/suwanee-1/")</f>
        <v>https://qtsdatacenters.com/data-centers/suwanee-1/</v>
      </c>
      <c r="AK274" s="1" t="str">
        <f>IFERROR(__xludf.DUMMYFUNCTION("""COMPUTED_VALUE"""),"")</f>
        <v/>
      </c>
      <c r="AL274" s="1" t="str">
        <f>IFERROR(__xludf.DUMMYFUNCTION("""COMPUTED_VALUE"""),"")</f>
        <v/>
      </c>
      <c r="AM274" s="1" t="str">
        <f>IFERROR(__xludf.DUMMYFUNCTION("""COMPUTED_VALUE"""),"")</f>
        <v/>
      </c>
      <c r="AN274" s="1" t="str">
        <f>IFERROR(__xludf.DUMMYFUNCTION("""COMPUTED_VALUE"""),"")</f>
        <v/>
      </c>
      <c r="AO274" s="1" t="str">
        <f>IFERROR(__xludf.DUMMYFUNCTION("""COMPUTED_VALUE"""),"")</f>
        <v/>
      </c>
      <c r="AP274" s="1" t="str">
        <f>IFERROR(__xludf.DUMMYFUNCTION("""COMPUTED_VALUE"""),"")</f>
        <v/>
      </c>
      <c r="AQ274" s="1" t="str">
        <f>IFERROR(__xludf.DUMMYFUNCTION("""COMPUTED_VALUE"""),"10/16/2025")</f>
        <v>10/16/2025</v>
      </c>
      <c r="AR274" s="1" t="str">
        <f>IFERROR(__xludf.DUMMYFUNCTION("""COMPUTED_VALUE"""),"10/16/2025")</f>
        <v>10/16/2025</v>
      </c>
    </row>
    <row r="275">
      <c r="A275" s="1" t="str">
        <f>IFERROR(__xludf.DUMMYFUNCTION("""COMPUTED_VALUE"""),"Atlanta Suwanee DC2")</f>
        <v>Atlanta Suwanee DC2</v>
      </c>
      <c r="B275" s="1" t="str">
        <f>IFERROR(__xludf.DUMMYFUNCTION("""COMPUTED_VALUE"""),"120 Satellite Boulevard NW")</f>
        <v>120 Satellite Boulevard NW</v>
      </c>
      <c r="C275" s="1" t="str">
        <f>IFERROR(__xludf.DUMMYFUNCTION("""COMPUTED_VALUE"""),"Suwanee")</f>
        <v>Suwanee</v>
      </c>
      <c r="D275" s="1" t="str">
        <f>IFERROR(__xludf.DUMMYFUNCTION("""COMPUTED_VALUE"""),"GA")</f>
        <v>GA</v>
      </c>
      <c r="E275" s="1" t="str">
        <f>IFERROR(__xludf.DUMMYFUNCTION("""COMPUTED_VALUE"""),"30024")</f>
        <v>30024</v>
      </c>
      <c r="F275" s="1" t="str">
        <f>IFERROR(__xludf.DUMMYFUNCTION("""COMPUTED_VALUE"""),"Gwinnett")</f>
        <v>Gwinnett</v>
      </c>
      <c r="G275" s="1" t="str">
        <f>IFERROR(__xludf.DUMMYFUNCTION("""COMPUTED_VALUE"""),"34.03704")</f>
        <v>34.03704</v>
      </c>
      <c r="H275" s="1" t="str">
        <f>IFERROR(__xludf.DUMMYFUNCTION("""COMPUTED_VALUE"""),"-84.05765")</f>
        <v>-84.05765</v>
      </c>
      <c r="I275" s="1" t="str">
        <f>IFERROR(__xludf.DUMMYFUNCTION("""COMPUTED_VALUE"""),"Operating")</f>
        <v>Operating</v>
      </c>
      <c r="J275" s="1" t="str">
        <f>IFERROR(__xludf.DUMMYFUNCTION("""COMPUTED_VALUE"""),"High")</f>
        <v>High</v>
      </c>
      <c r="K275" s="1" t="str">
        <f>IFERROR(__xludf.DUMMYFUNCTION("""COMPUTED_VALUE"""),"")</f>
        <v/>
      </c>
      <c r="L275" s="1" t="str">
        <f>IFERROR(__xludf.DUMMYFUNCTION("""COMPUTED_VALUE"""),"QTS Data Centers")</f>
        <v>QTS Data Centers</v>
      </c>
      <c r="M275" s="1" t="str">
        <f>IFERROR(__xludf.DUMMYFUNCTION("""COMPUTED_VALUE"""),"")</f>
        <v/>
      </c>
      <c r="N275" s="1" t="str">
        <f>IFERROR(__xludf.DUMMYFUNCTION("""COMPUTED_VALUE"""),"30")</f>
        <v>30</v>
      </c>
      <c r="O275" s="1" t="str">
        <f>IFERROR(__xludf.DUMMYFUNCTION("""COMPUTED_VALUE"""),"Medium (11-50 MW)")</f>
        <v>Medium (11-50 MW)</v>
      </c>
      <c r="P275" s="1" t="str">
        <f>IFERROR(__xludf.DUMMYFUNCTION("""COMPUTED_VALUE"""),"")</f>
        <v/>
      </c>
      <c r="Q275" s="1" t="str">
        <f>IFERROR(__xludf.DUMMYFUNCTION("""COMPUTED_VALUE"""),"")</f>
        <v/>
      </c>
      <c r="R275" s="1" t="str">
        <f>IFERROR(__xludf.DUMMYFUNCTION("""COMPUTED_VALUE"""),"")</f>
        <v/>
      </c>
      <c r="S275" s="1" t="str">
        <f>IFERROR(__xludf.DUMMYFUNCTION("""COMPUTED_VALUE"""),"")</f>
        <v/>
      </c>
      <c r="T275" s="1" t="str">
        <f>IFERROR(__xludf.DUMMYFUNCTION("""COMPUTED_VALUE"""),"")</f>
        <v/>
      </c>
      <c r="U275" s="1" t="str">
        <f>IFERROR(__xludf.DUMMYFUNCTION("""COMPUTED_VALUE"""),"")</f>
        <v/>
      </c>
      <c r="V275" s="1" t="str">
        <f>IFERROR(__xludf.DUMMYFUNCTION("""COMPUTED_VALUE"""),"376,900")</f>
        <v>376,900</v>
      </c>
      <c r="W275" s="1" t="str">
        <f>IFERROR(__xludf.DUMMYFUNCTION("""COMPUTED_VALUE"""),"")</f>
        <v/>
      </c>
      <c r="X275" s="1" t="str">
        <f>IFERROR(__xludf.DUMMYFUNCTION("""COMPUTED_VALUE"""),"")</f>
        <v/>
      </c>
      <c r="Y275" s="1" t="str">
        <f>IFERROR(__xludf.DUMMYFUNCTION("""COMPUTED_VALUE"""),"")</f>
        <v/>
      </c>
      <c r="Z275" s="1" t="str">
        <f>IFERROR(__xludf.DUMMYFUNCTION("""COMPUTED_VALUE"""),"Unknown")</f>
        <v>Unknown</v>
      </c>
      <c r="AA275" s="1" t="str">
        <f>IFERROR(__xludf.DUMMYFUNCTION("""COMPUTED_VALUE"""),"")</f>
        <v/>
      </c>
      <c r="AB275" s="1" t="str">
        <f>IFERROR(__xludf.DUMMYFUNCTION("""COMPUTED_VALUE"""),"")</f>
        <v/>
      </c>
      <c r="AC275" s="1" t="str">
        <f>IFERROR(__xludf.DUMMYFUNCTION("""COMPUTED_VALUE"""),"")</f>
        <v/>
      </c>
      <c r="AD275" s="1" t="str">
        <f>IFERROR(__xludf.DUMMYFUNCTION("""COMPUTED_VALUE"""),"")</f>
        <v/>
      </c>
      <c r="AE275" s="1" t="str">
        <f>IFERROR(__xludf.DUMMYFUNCTION("""COMPUTED_VALUE"""),"")</f>
        <v/>
      </c>
      <c r="AF275" s="1" t="str">
        <f>IFERROR(__xludf.DUMMYFUNCTION("""COMPUTED_VALUE"""),"")</f>
        <v/>
      </c>
      <c r="AG275" s="1" t="str">
        <f>IFERROR(__xludf.DUMMYFUNCTION("""COMPUTED_VALUE"""),"")</f>
        <v/>
      </c>
      <c r="AH275" s="1" t="str">
        <f>IFERROR(__xludf.DUMMYFUNCTION("""COMPUTED_VALUE"""),"Sci4GA")</f>
        <v>Sci4GA</v>
      </c>
      <c r="AI275" s="2" t="str">
        <f>IFERROR(__xludf.DUMMYFUNCTION("""COMPUTED_VALUE"""),"https://qtsdatacenters.com/data-centers/suwanee-1/")</f>
        <v>https://qtsdatacenters.com/data-centers/suwanee-1/</v>
      </c>
      <c r="AJ275" s="2" t="str">
        <f>IFERROR(__xludf.DUMMYFUNCTION("""COMPUTED_VALUE"""),"https://qtsdatacenters.com/data-centers/suwanee-1/")</f>
        <v>https://qtsdatacenters.com/data-centers/suwanee-1/</v>
      </c>
      <c r="AK275" s="1" t="str">
        <f>IFERROR(__xludf.DUMMYFUNCTION("""COMPUTED_VALUE"""),"")</f>
        <v/>
      </c>
      <c r="AL275" s="1" t="str">
        <f>IFERROR(__xludf.DUMMYFUNCTION("""COMPUTED_VALUE"""),"")</f>
        <v/>
      </c>
      <c r="AM275" s="1" t="str">
        <f>IFERROR(__xludf.DUMMYFUNCTION("""COMPUTED_VALUE"""),"")</f>
        <v/>
      </c>
      <c r="AN275" s="1" t="str">
        <f>IFERROR(__xludf.DUMMYFUNCTION("""COMPUTED_VALUE"""),"")</f>
        <v/>
      </c>
      <c r="AO275" s="1" t="str">
        <f>IFERROR(__xludf.DUMMYFUNCTION("""COMPUTED_VALUE"""),"")</f>
        <v/>
      </c>
      <c r="AP275" s="1" t="str">
        <f>IFERROR(__xludf.DUMMYFUNCTION("""COMPUTED_VALUE"""),"")</f>
        <v/>
      </c>
      <c r="AQ275" s="1" t="str">
        <f>IFERROR(__xludf.DUMMYFUNCTION("""COMPUTED_VALUE"""),"10/16/2025")</f>
        <v>10/16/2025</v>
      </c>
      <c r="AR275" s="1" t="str">
        <f>IFERROR(__xludf.DUMMYFUNCTION("""COMPUTED_VALUE"""),"10/16/2025")</f>
        <v>10/16/2025</v>
      </c>
    </row>
    <row r="276">
      <c r="A276" s="1" t="str">
        <f>IFERROR(__xludf.DUMMYFUNCTION("""COMPUTED_VALUE"""),"QTS Suwanee")</f>
        <v>QTS Suwanee</v>
      </c>
      <c r="B276" s="1" t="str">
        <f>IFERROR(__xludf.DUMMYFUNCTION("""COMPUTED_VALUE"""),"120-300 Satellite Blvd NW")</f>
        <v>120-300 Satellite Blvd NW</v>
      </c>
      <c r="C276" s="1" t="str">
        <f>IFERROR(__xludf.DUMMYFUNCTION("""COMPUTED_VALUE"""),"Suwanee")</f>
        <v>Suwanee</v>
      </c>
      <c r="D276" s="1" t="str">
        <f>IFERROR(__xludf.DUMMYFUNCTION("""COMPUTED_VALUE"""),"GA")</f>
        <v>GA</v>
      </c>
      <c r="E276" s="1" t="str">
        <f>IFERROR(__xludf.DUMMYFUNCTION("""COMPUTED_VALUE"""),"30024")</f>
        <v>30024</v>
      </c>
      <c r="F276" s="1" t="str">
        <f>IFERROR(__xludf.DUMMYFUNCTION("""COMPUTED_VALUE"""),"Gwinnett")</f>
        <v>Gwinnett</v>
      </c>
      <c r="G276" s="1" t="str">
        <f>IFERROR(__xludf.DUMMYFUNCTION("""COMPUTED_VALUE"""),"34.03671")</f>
        <v>34.03671</v>
      </c>
      <c r="H276" s="1" t="str">
        <f>IFERROR(__xludf.DUMMYFUNCTION("""COMPUTED_VALUE"""),"-84.06008")</f>
        <v>-84.06008</v>
      </c>
      <c r="I276" s="1" t="str">
        <f>IFERROR(__xludf.DUMMYFUNCTION("""COMPUTED_VALUE"""),"Operating")</f>
        <v>Operating</v>
      </c>
      <c r="J276" s="1" t="str">
        <f>IFERROR(__xludf.DUMMYFUNCTION("""COMPUTED_VALUE"""),"High")</f>
        <v>High</v>
      </c>
      <c r="K276" s="1" t="str">
        <f>IFERROR(__xludf.DUMMYFUNCTION("""COMPUTED_VALUE"""),"")</f>
        <v/>
      </c>
      <c r="L276" s="1" t="str">
        <f>IFERROR(__xludf.DUMMYFUNCTION("""COMPUTED_VALUE"""),"")</f>
        <v/>
      </c>
      <c r="M276" s="1" t="str">
        <f>IFERROR(__xludf.DUMMYFUNCTION("""COMPUTED_VALUE"""),"")</f>
        <v/>
      </c>
      <c r="N276" s="1" t="str">
        <f>IFERROR(__xludf.DUMMYFUNCTION("""COMPUTED_VALUE"""),"")</f>
        <v/>
      </c>
      <c r="O276" s="1" t="str">
        <f>IFERROR(__xludf.DUMMYFUNCTION("""COMPUTED_VALUE"""),"Hyperscale (100-999 MW)")</f>
        <v>Hyperscale (100-999 MW)</v>
      </c>
      <c r="P276" s="1" t="str">
        <f>IFERROR(__xludf.DUMMYFUNCTION("""COMPUTED_VALUE"""),"")</f>
        <v/>
      </c>
      <c r="Q276" s="1" t="str">
        <f>IFERROR(__xludf.DUMMYFUNCTION("""COMPUTED_VALUE"""),"")</f>
        <v/>
      </c>
      <c r="R276" s="1" t="str">
        <f>IFERROR(__xludf.DUMMYFUNCTION("""COMPUTED_VALUE"""),"")</f>
        <v/>
      </c>
      <c r="S276" s="1" t="str">
        <f>IFERROR(__xludf.DUMMYFUNCTION("""COMPUTED_VALUE"""),"2")</f>
        <v>2</v>
      </c>
      <c r="T276" s="1" t="str">
        <f>IFERROR(__xludf.DUMMYFUNCTION("""COMPUTED_VALUE"""),"")</f>
        <v/>
      </c>
      <c r="U276" s="1" t="str">
        <f>IFERROR(__xludf.DUMMYFUNCTION("""COMPUTED_VALUE"""),"")</f>
        <v/>
      </c>
      <c r="V276" s="1" t="str">
        <f>IFERROR(__xludf.DUMMYFUNCTION("""COMPUTED_VALUE"""),"")</f>
        <v/>
      </c>
      <c r="W276" s="1" t="str">
        <f>IFERROR(__xludf.DUMMYFUNCTION("""COMPUTED_VALUE"""),"")</f>
        <v/>
      </c>
      <c r="X276" s="1" t="str">
        <f>IFERROR(__xludf.DUMMYFUNCTION("""COMPUTED_VALUE"""),"")</f>
        <v/>
      </c>
      <c r="Y276" s="1" t="str">
        <f>IFERROR(__xludf.DUMMYFUNCTION("""COMPUTED_VALUE"""),"")</f>
        <v/>
      </c>
      <c r="Z276" s="1" t="str">
        <f>IFERROR(__xludf.DUMMYFUNCTION("""COMPUTED_VALUE"""),"Unknown")</f>
        <v>Unknown</v>
      </c>
      <c r="AA276" s="1" t="str">
        <f>IFERROR(__xludf.DUMMYFUNCTION("""COMPUTED_VALUE"""),"")</f>
        <v/>
      </c>
      <c r="AB276" s="1" t="str">
        <f>IFERROR(__xludf.DUMMYFUNCTION("""COMPUTED_VALUE"""),"")</f>
        <v/>
      </c>
      <c r="AC276" s="1" t="str">
        <f>IFERROR(__xludf.DUMMYFUNCTION("""COMPUTED_VALUE"""),"")</f>
        <v/>
      </c>
      <c r="AD276" s="1" t="str">
        <f>IFERROR(__xludf.DUMMYFUNCTION("""COMPUTED_VALUE"""),"")</f>
        <v/>
      </c>
      <c r="AE276" s="1" t="str">
        <f>IFERROR(__xludf.DUMMYFUNCTION("""COMPUTED_VALUE"""),"")</f>
        <v/>
      </c>
      <c r="AF276" s="1" t="str">
        <f>IFERROR(__xludf.DUMMYFUNCTION("""COMPUTED_VALUE"""),"")</f>
        <v/>
      </c>
      <c r="AG276" s="1" t="str">
        <f>IFERROR(__xludf.DUMMYFUNCTION("""COMPUTED_VALUE"""),"")</f>
        <v/>
      </c>
      <c r="AH276" s="1" t="str">
        <f>IFERROR(__xludf.DUMMYFUNCTION("""COMPUTED_VALUE"""),"Media Monitoring")</f>
        <v>Media Monitoring</v>
      </c>
      <c r="AI276" s="2" t="str">
        <f>IFERROR(__xludf.DUMMYFUNCTION("""COMPUTED_VALUE"""),"https://www.datacenterdynamics.com/en/news/qts-targets-two-data-center-campuses-in-georgia/")</f>
        <v>https://www.datacenterdynamics.com/en/news/qts-targets-two-data-center-campuses-in-georgia/</v>
      </c>
      <c r="AJ276" s="1" t="str">
        <f>IFERROR(__xludf.DUMMYFUNCTION("""COMPUTED_VALUE"""),"")</f>
        <v/>
      </c>
      <c r="AK276" s="1" t="str">
        <f>IFERROR(__xludf.DUMMYFUNCTION("""COMPUTED_VALUE"""),"")</f>
        <v/>
      </c>
      <c r="AL276" s="1" t="str">
        <f>IFERROR(__xludf.DUMMYFUNCTION("""COMPUTED_VALUE"""),"")</f>
        <v/>
      </c>
      <c r="AM276" s="1" t="str">
        <f>IFERROR(__xludf.DUMMYFUNCTION("""COMPUTED_VALUE"""),"")</f>
        <v/>
      </c>
      <c r="AN276" s="1" t="str">
        <f>IFERROR(__xludf.DUMMYFUNCTION("""COMPUTED_VALUE"""),"")</f>
        <v/>
      </c>
      <c r="AO276" s="1" t="str">
        <f>IFERROR(__xludf.DUMMYFUNCTION("""COMPUTED_VALUE"""),"")</f>
        <v/>
      </c>
      <c r="AP276" s="1" t="str">
        <f>IFERROR(__xludf.DUMMYFUNCTION("""COMPUTED_VALUE"""),"")</f>
        <v/>
      </c>
      <c r="AQ276" s="1" t="str">
        <f>IFERROR(__xludf.DUMMYFUNCTION("""COMPUTED_VALUE"""),"03/13/2026")</f>
        <v>03/13/2026</v>
      </c>
      <c r="AR276" s="1" t="str">
        <f>IFERROR(__xludf.DUMMYFUNCTION("""COMPUTED_VALUE"""),"03/13/2026")</f>
        <v>03/13/2026</v>
      </c>
    </row>
    <row r="277">
      <c r="A277" s="1" t="str">
        <f>IFERROR(__xludf.DUMMYFUNCTION("""COMPUTED_VALUE"""),"Project Bus")</f>
        <v>Project Bus</v>
      </c>
      <c r="B277" s="1" t="str">
        <f>IFERROR(__xludf.DUMMYFUNCTION("""COMPUTED_VALUE"""),"near Center Point Rd and Vaughn Rd")</f>
        <v>near Center Point Rd and Vaughn Rd</v>
      </c>
      <c r="C277" s="1" t="str">
        <f>IFERROR(__xludf.DUMMYFUNCTION("""COMPUTED_VALUE"""),"Temple")</f>
        <v>Temple</v>
      </c>
      <c r="D277" s="1" t="str">
        <f>IFERROR(__xludf.DUMMYFUNCTION("""COMPUTED_VALUE"""),"GA")</f>
        <v>GA</v>
      </c>
      <c r="E277" s="1" t="str">
        <f>IFERROR(__xludf.DUMMYFUNCTION("""COMPUTED_VALUE"""),"30179")</f>
        <v>30179</v>
      </c>
      <c r="F277" s="1" t="str">
        <f>IFERROR(__xludf.DUMMYFUNCTION("""COMPUTED_VALUE"""),"Carroll and Haralson")</f>
        <v>Carroll and Haralson</v>
      </c>
      <c r="G277" s="1" t="str">
        <f>IFERROR(__xludf.DUMMYFUNCTION("""COMPUTED_VALUE"""),"33.709145")</f>
        <v>33.709145</v>
      </c>
      <c r="H277" s="1" t="str">
        <f>IFERROR(__xludf.DUMMYFUNCTION("""COMPUTED_VALUE"""),"-85.06483")</f>
        <v>-85.06483</v>
      </c>
      <c r="I277" s="1" t="str">
        <f>IFERROR(__xludf.DUMMYFUNCTION("""COMPUTED_VALUE"""),"Suspended")</f>
        <v>Suspended</v>
      </c>
      <c r="J277" s="1" t="str">
        <f>IFERROR(__xludf.DUMMYFUNCTION("""COMPUTED_VALUE"""),"Medium")</f>
        <v>Medium</v>
      </c>
      <c r="K277" s="1" t="str">
        <f>IFERROR(__xludf.DUMMYFUNCTION("""COMPUTED_VALUE"""),"")</f>
        <v/>
      </c>
      <c r="L277" s="1" t="str">
        <f>IFERROR(__xludf.DUMMYFUNCTION("""COMPUTED_VALUE"""),"Atlas Development")</f>
        <v>Atlas Development</v>
      </c>
      <c r="M277" s="1" t="str">
        <f>IFERROR(__xludf.DUMMYFUNCTION("""COMPUTED_VALUE"""),"")</f>
        <v/>
      </c>
      <c r="N277" s="1" t="str">
        <f>IFERROR(__xludf.DUMMYFUNCTION("""COMPUTED_VALUE"""),"")</f>
        <v/>
      </c>
      <c r="O277" s="1" t="str">
        <f>IFERROR(__xludf.DUMMYFUNCTION("""COMPUTED_VALUE"""),"Hyperscale (100-999 MW)")</f>
        <v>Hyperscale (100-999 MW)</v>
      </c>
      <c r="P277" s="1" t="str">
        <f>IFERROR(__xludf.DUMMYFUNCTION("""COMPUTED_VALUE"""),"")</f>
        <v/>
      </c>
      <c r="Q277" s="1" t="str">
        <f>IFERROR(__xludf.DUMMYFUNCTION("""COMPUTED_VALUE"""),"")</f>
        <v/>
      </c>
      <c r="R277" s="1" t="str">
        <f>IFERROR(__xludf.DUMMYFUNCTION("""COMPUTED_VALUE"""),"")</f>
        <v/>
      </c>
      <c r="S277" s="1" t="str">
        <f>IFERROR(__xludf.DUMMYFUNCTION("""COMPUTED_VALUE"""),"12")</f>
        <v>12</v>
      </c>
      <c r="T277" s="1" t="str">
        <f>IFERROR(__xludf.DUMMYFUNCTION("""COMPUTED_VALUE"""),"")</f>
        <v/>
      </c>
      <c r="U277" s="1" t="str">
        <f>IFERROR(__xludf.DUMMYFUNCTION("""COMPUTED_VALUE"""),"")</f>
        <v/>
      </c>
      <c r="V277" s="1" t="str">
        <f>IFERROR(__xludf.DUMMYFUNCTION("""COMPUTED_VALUE"""),"")</f>
        <v/>
      </c>
      <c r="W277" s="1" t="str">
        <f>IFERROR(__xludf.DUMMYFUNCTION("""COMPUTED_VALUE"""),"350")</f>
        <v>350</v>
      </c>
      <c r="X277" s="1" t="str">
        <f>IFERROR(__xludf.DUMMYFUNCTION("""COMPUTED_VALUE"""),"$11 billion")</f>
        <v>$11 billion</v>
      </c>
      <c r="Y277" s="1" t="str">
        <f>IFERROR(__xludf.DUMMYFUNCTION("""COMPUTED_VALUE"""),"2036")</f>
        <v>2036</v>
      </c>
      <c r="Z277" s="1" t="str">
        <f>IFERROR(__xludf.DUMMYFUNCTION("""COMPUTED_VALUE"""),"Yes")</f>
        <v>Yes</v>
      </c>
      <c r="AA277" s="1" t="str">
        <f>IFERROR(__xludf.DUMMYFUNCTION("""COMPUTED_VALUE"""),"The Carroll County Anti-Data Center Coalition consists of local residents and officials opposing large-scale data center developments. Focused on protecting rural land, they argue these projects strain water/energy resources and threaten farmland preserva"&amp;"tion, with commissioners actively opposing new developments")</f>
        <v>The Carroll County Anti-Data Center Coalition consists of local residents and officials opposing large-scale data center developments. Focused on protecting rural land, they argue these projects strain water/energy resources and threaten farmland preservation, with commissioners actively opposing new developments</v>
      </c>
      <c r="AB277" s="1" t="str">
        <f>IFERROR(__xludf.DUMMYFUNCTION("""COMPUTED_VALUE"""),"")</f>
        <v/>
      </c>
      <c r="AC277" s="1" t="str">
        <f>IFERROR(__xludf.DUMMYFUNCTION("""COMPUTED_VALUE"""),"")</f>
        <v/>
      </c>
      <c r="AD277" s="2" t="str">
        <f>IFERROR(__xludf.DUMMYFUNCTION("""COMPUTED_VALUE"""),"https://www.facebook.com/groups/cclandnlegacy/")</f>
        <v>https://www.facebook.com/groups/cclandnlegacy/</v>
      </c>
      <c r="AE277" s="2" t="str">
        <f>IFERROR(__xludf.DUMMYFUNCTION("""COMPUTED_VALUE"""),"https://www.facebook.com/groups/882581394736535/")</f>
        <v>https://www.facebook.com/groups/882581394736535/</v>
      </c>
      <c r="AF277" s="2" t="str">
        <f>IFERROR(__xludf.DUMMYFUNCTION("""COMPUTED_VALUE"""),"https://www.change.org/p/stop-data-center-from-being-built-in-carroll-county-georgia")</f>
        <v>https://www.change.org/p/stop-data-center-from-being-built-in-carroll-county-georgia</v>
      </c>
      <c r="AG277" s="1" t="str">
        <f>IFERROR(__xludf.DUMMYFUNCTION("""COMPUTED_VALUE"""),"Rezoning application withdrawn Feb 2026")</f>
        <v>Rezoning application withdrawn Feb 2026</v>
      </c>
      <c r="AH277" s="1" t="str">
        <f>IFERROR(__xludf.DUMMYFUNCTION("""COMPUTED_VALUE"""),"Media Monitoring")</f>
        <v>Media Monitoring</v>
      </c>
      <c r="AI277" s="2" t="str">
        <f>IFERROR(__xludf.DUMMYFUNCTION("""COMPUTED_VALUE"""),"https://www.datacenterdynamics.com/en/news/atlas-development-files-for-12-building-data-center-campus-in-temple-georgia/")</f>
        <v>https://www.datacenterdynamics.com/en/news/atlas-development-files-for-12-building-data-center-campus-in-temple-georgia/</v>
      </c>
      <c r="AJ277" s="2" t="str">
        <f>IFERROR(__xludf.DUMMYFUNCTION("""COMPUTED_VALUE"""),"https://apps.dca.ga.gov/DRI/InitialForm.aspx?driid=4606")</f>
        <v>https://apps.dca.ga.gov/DRI/InitialForm.aspx?driid=4606</v>
      </c>
      <c r="AK277" s="2" t="str">
        <f>IFERROR(__xludf.DUMMYFUNCTION("""COMPUTED_VALUE"""),"https://www.paxtonmedia.com/news/the_times_georgian/temple-data-center-proposal-pulled/article_ca408658-2271-5b4e-b2ff-94efbf252d54.html")</f>
        <v>https://www.paxtonmedia.com/news/the_times_georgian/temple-data-center-proposal-pulled/article_ca408658-2271-5b4e-b2ff-94efbf252d54.html</v>
      </c>
      <c r="AL277" s="1" t="str">
        <f>IFERROR(__xludf.DUMMYFUNCTION("""COMPUTED_VALUE"""),"")</f>
        <v/>
      </c>
      <c r="AM277" s="1" t="str">
        <f>IFERROR(__xludf.DUMMYFUNCTION("""COMPUTED_VALUE"""),"")</f>
        <v/>
      </c>
      <c r="AN277" s="1" t="str">
        <f>IFERROR(__xludf.DUMMYFUNCTION("""COMPUTED_VALUE"""),"")</f>
        <v/>
      </c>
      <c r="AO277" s="1" t="str">
        <f>IFERROR(__xludf.DUMMYFUNCTION("""COMPUTED_VALUE"""),"")</f>
        <v/>
      </c>
      <c r="AP277" s="1" t="str">
        <f>IFERROR(__xludf.DUMMYFUNCTION("""COMPUTED_VALUE"""),"")</f>
        <v/>
      </c>
      <c r="AQ277" s="1" t="str">
        <f>IFERROR(__xludf.DUMMYFUNCTION("""COMPUTED_VALUE"""),"02/06/2026")</f>
        <v>02/06/2026</v>
      </c>
      <c r="AR277" s="1" t="str">
        <f>IFERROR(__xludf.DUMMYFUNCTION("""COMPUTED_VALUE"""),"06/08/2026")</f>
        <v>06/08/2026</v>
      </c>
    </row>
    <row r="278">
      <c r="A278" s="1" t="str">
        <f>IFERROR(__xludf.DUMMYFUNCTION("""COMPUTED_VALUE"""),"Upson County Megasite")</f>
        <v>Upson County Megasite</v>
      </c>
      <c r="B278" s="1" t="str">
        <f>IFERROR(__xludf.DUMMYFUNCTION("""COMPUTED_VALUE"""),"795 Windsweep Farm Road")</f>
        <v>795 Windsweep Farm Road</v>
      </c>
      <c r="C278" s="1" t="str">
        <f>IFERROR(__xludf.DUMMYFUNCTION("""COMPUTED_VALUE"""),"Thomaston")</f>
        <v>Thomaston</v>
      </c>
      <c r="D278" s="1" t="str">
        <f>IFERROR(__xludf.DUMMYFUNCTION("""COMPUTED_VALUE"""),"GA")</f>
        <v>GA</v>
      </c>
      <c r="E278" s="1" t="str">
        <f>IFERROR(__xludf.DUMMYFUNCTION("""COMPUTED_VALUE"""),"30286")</f>
        <v>30286</v>
      </c>
      <c r="F278" s="1" t="str">
        <f>IFERROR(__xludf.DUMMYFUNCTION("""COMPUTED_VALUE"""),"Upson")</f>
        <v>Upson</v>
      </c>
      <c r="G278" s="1" t="str">
        <f>IFERROR(__xludf.DUMMYFUNCTION("""COMPUTED_VALUE"""),"32.885147")</f>
        <v>32.885147</v>
      </c>
      <c r="H278" s="1" t="str">
        <f>IFERROR(__xludf.DUMMYFUNCTION("""COMPUTED_VALUE"""),"-84.24026")</f>
        <v>-84.24026</v>
      </c>
      <c r="I278" s="1" t="str">
        <f>IFERROR(__xludf.DUMMYFUNCTION("""COMPUTED_VALUE"""),"Proposed")</f>
        <v>Proposed</v>
      </c>
      <c r="J278" s="1" t="str">
        <f>IFERROR(__xludf.DUMMYFUNCTION("""COMPUTED_VALUE"""),"High")</f>
        <v>High</v>
      </c>
      <c r="K278" s="1" t="str">
        <f>IFERROR(__xludf.DUMMYFUNCTION("""COMPUTED_VALUE"""),"")</f>
        <v/>
      </c>
      <c r="L278" s="1" t="str">
        <f>IFERROR(__xludf.DUMMYFUNCTION("""COMPUTED_VALUE"""),"Dominion Capital")</f>
        <v>Dominion Capital</v>
      </c>
      <c r="M278" s="1" t="str">
        <f>IFERROR(__xludf.DUMMYFUNCTION("""COMPUTED_VALUE"""),"")</f>
        <v/>
      </c>
      <c r="N278" s="1" t="str">
        <f>IFERROR(__xludf.DUMMYFUNCTION("""COMPUTED_VALUE"""),"")</f>
        <v/>
      </c>
      <c r="O278" s="1" t="str">
        <f>IFERROR(__xludf.DUMMYFUNCTION("""COMPUTED_VALUE"""),"Unknown")</f>
        <v>Unknown</v>
      </c>
      <c r="P278" s="1" t="str">
        <f>IFERROR(__xludf.DUMMYFUNCTION("""COMPUTED_VALUE"""),"")</f>
        <v/>
      </c>
      <c r="Q278" s="1" t="str">
        <f>IFERROR(__xludf.DUMMYFUNCTION("""COMPUTED_VALUE"""),"")</f>
        <v/>
      </c>
      <c r="R278" s="1" t="str">
        <f>IFERROR(__xludf.DUMMYFUNCTION("""COMPUTED_VALUE"""),"")</f>
        <v/>
      </c>
      <c r="S278" s="1" t="str">
        <f>IFERROR(__xludf.DUMMYFUNCTION("""COMPUTED_VALUE"""),"")</f>
        <v/>
      </c>
      <c r="T278" s="1" t="str">
        <f>IFERROR(__xludf.DUMMYFUNCTION("""COMPUTED_VALUE"""),"")</f>
        <v/>
      </c>
      <c r="U278" s="1" t="str">
        <f>IFERROR(__xludf.DUMMYFUNCTION("""COMPUTED_VALUE"""),"")</f>
        <v/>
      </c>
      <c r="V278" s="1" t="str">
        <f>IFERROR(__xludf.DUMMYFUNCTION("""COMPUTED_VALUE"""),"3,250,000")</f>
        <v>3,250,000</v>
      </c>
      <c r="W278" s="1" t="str">
        <f>IFERROR(__xludf.DUMMYFUNCTION("""COMPUTED_VALUE"""),"")</f>
        <v/>
      </c>
      <c r="X278" s="1" t="str">
        <f>IFERROR(__xludf.DUMMYFUNCTION("""COMPUTED_VALUE"""),"")</f>
        <v/>
      </c>
      <c r="Y278" s="1" t="str">
        <f>IFERROR(__xludf.DUMMYFUNCTION("""COMPUTED_VALUE"""),"")</f>
        <v/>
      </c>
      <c r="Z278" s="1" t="str">
        <f>IFERROR(__xludf.DUMMYFUNCTION("""COMPUTED_VALUE"""),"Unknown")</f>
        <v>Unknown</v>
      </c>
      <c r="AA278" s="1" t="str">
        <f>IFERROR(__xludf.DUMMYFUNCTION("""COMPUTED_VALUE"""),"")</f>
        <v/>
      </c>
      <c r="AB278" s="1" t="str">
        <f>IFERROR(__xludf.DUMMYFUNCTION("""COMPUTED_VALUE"""),"")</f>
        <v/>
      </c>
      <c r="AC278" s="1" t="str">
        <f>IFERROR(__xludf.DUMMYFUNCTION("""COMPUTED_VALUE"""),"")</f>
        <v/>
      </c>
      <c r="AD278" s="1" t="str">
        <f>IFERROR(__xludf.DUMMYFUNCTION("""COMPUTED_VALUE"""),"")</f>
        <v/>
      </c>
      <c r="AE278" s="1" t="str">
        <f>IFERROR(__xludf.DUMMYFUNCTION("""COMPUTED_VALUE"""),"")</f>
        <v/>
      </c>
      <c r="AF278" s="1" t="str">
        <f>IFERROR(__xludf.DUMMYFUNCTION("""COMPUTED_VALUE"""),"")</f>
        <v/>
      </c>
      <c r="AG278" s="1" t="str">
        <f>IFERROR(__xludf.DUMMYFUNCTION("""COMPUTED_VALUE"""),"")</f>
        <v/>
      </c>
      <c r="AH278" s="1" t="str">
        <f>IFERROR(__xludf.DUMMYFUNCTION("""COMPUTED_VALUE"""),"Sci4GA")</f>
        <v>Sci4GA</v>
      </c>
      <c r="AI278" s="2" t="str">
        <f>IFERROR(__xludf.DUMMYFUNCTION("""COMPUTED_VALUE"""),"https://share.google/8BEoDdGqZgnG90m4o")</f>
        <v>https://share.google/8BEoDdGqZgnG90m4o</v>
      </c>
      <c r="AJ278" s="1" t="str">
        <f>IFERROR(__xludf.DUMMYFUNCTION("""COMPUTED_VALUE"""),"")</f>
        <v/>
      </c>
      <c r="AK278" s="1" t="str">
        <f>IFERROR(__xludf.DUMMYFUNCTION("""COMPUTED_VALUE"""),"")</f>
        <v/>
      </c>
      <c r="AL278" s="1" t="str">
        <f>IFERROR(__xludf.DUMMYFUNCTION("""COMPUTED_VALUE"""),"")</f>
        <v/>
      </c>
      <c r="AM278" s="1" t="str">
        <f>IFERROR(__xludf.DUMMYFUNCTION("""COMPUTED_VALUE"""),"")</f>
        <v/>
      </c>
      <c r="AN278" s="1" t="str">
        <f>IFERROR(__xludf.DUMMYFUNCTION("""COMPUTED_VALUE"""),"")</f>
        <v/>
      </c>
      <c r="AO278" s="1" t="str">
        <f>IFERROR(__xludf.DUMMYFUNCTION("""COMPUTED_VALUE"""),"")</f>
        <v/>
      </c>
      <c r="AP278" s="1" t="str">
        <f>IFERROR(__xludf.DUMMYFUNCTION("""COMPUTED_VALUE"""),"")</f>
        <v/>
      </c>
      <c r="AQ278" s="1" t="str">
        <f>IFERROR(__xludf.DUMMYFUNCTION("""COMPUTED_VALUE"""),"10/16/2025")</f>
        <v>10/16/2025</v>
      </c>
      <c r="AR278" s="1" t="str">
        <f>IFERROR(__xludf.DUMMYFUNCTION("""COMPUTED_VALUE"""),"10/16/2025")</f>
        <v>10/16/2025</v>
      </c>
    </row>
    <row r="279">
      <c r="A279" s="1" t="str">
        <f>IFERROR(__xludf.DUMMYFUNCTION("""COMPUTED_VALUE"""),"Project Azalea")</f>
        <v>Project Azalea</v>
      </c>
      <c r="B279" s="1" t="str">
        <f>IFERROR(__xludf.DUMMYFUNCTION("""COMPUTED_VALUE"""),"2660-2358 Randall Hunt Rd")</f>
        <v>2660-2358 Randall Hunt Rd</v>
      </c>
      <c r="C279" s="1" t="str">
        <f>IFERROR(__xludf.DUMMYFUNCTION("""COMPUTED_VALUE"""),"Thomson")</f>
        <v>Thomson</v>
      </c>
      <c r="D279" s="1" t="str">
        <f>IFERROR(__xludf.DUMMYFUNCTION("""COMPUTED_VALUE"""),"GA")</f>
        <v>GA</v>
      </c>
      <c r="E279" s="1" t="str">
        <f>IFERROR(__xludf.DUMMYFUNCTION("""COMPUTED_VALUE"""),"30824")</f>
        <v>30824</v>
      </c>
      <c r="F279" s="1" t="str">
        <f>IFERROR(__xludf.DUMMYFUNCTION("""COMPUTED_VALUE"""),"McDuffie")</f>
        <v>McDuffie</v>
      </c>
      <c r="G279" s="1" t="str">
        <f>IFERROR(__xludf.DUMMYFUNCTION("""COMPUTED_VALUE"""),"33.453014")</f>
        <v>33.453014</v>
      </c>
      <c r="H279" s="1" t="str">
        <f>IFERROR(__xludf.DUMMYFUNCTION("""COMPUTED_VALUE"""),"-82.39851")</f>
        <v>-82.39851</v>
      </c>
      <c r="I279" s="1" t="str">
        <f>IFERROR(__xludf.DUMMYFUNCTION("""COMPUTED_VALUE"""),"Approved/Permitted/Under construction")</f>
        <v>Approved/Permitted/Under construction</v>
      </c>
      <c r="J279" s="1" t="str">
        <f>IFERROR(__xludf.DUMMYFUNCTION("""COMPUTED_VALUE"""),"High")</f>
        <v>High</v>
      </c>
      <c r="K279" s="1" t="str">
        <f>IFERROR(__xludf.DUMMYFUNCTION("""COMPUTED_VALUE"""),"")</f>
        <v/>
      </c>
      <c r="L279" s="1" t="str">
        <f>IFERROR(__xludf.DUMMYFUNCTION("""COMPUTED_VALUE"""),"")</f>
        <v/>
      </c>
      <c r="M279" s="1" t="str">
        <f>IFERROR(__xludf.DUMMYFUNCTION("""COMPUTED_VALUE"""),"")</f>
        <v/>
      </c>
      <c r="N279" s="1" t="str">
        <f>IFERROR(__xludf.DUMMYFUNCTION("""COMPUTED_VALUE"""),"")</f>
        <v/>
      </c>
      <c r="O279" s="1" t="str">
        <f>IFERROR(__xludf.DUMMYFUNCTION("""COMPUTED_VALUE"""),"Unknown")</f>
        <v>Unknown</v>
      </c>
      <c r="P279" s="1" t="str">
        <f>IFERROR(__xludf.DUMMYFUNCTION("""COMPUTED_VALUE"""),"")</f>
        <v/>
      </c>
      <c r="Q279" s="1" t="str">
        <f>IFERROR(__xludf.DUMMYFUNCTION("""COMPUTED_VALUE"""),"")</f>
        <v/>
      </c>
      <c r="R279" s="1" t="str">
        <f>IFERROR(__xludf.DUMMYFUNCTION("""COMPUTED_VALUE"""),"")</f>
        <v/>
      </c>
      <c r="S279" s="1" t="str">
        <f>IFERROR(__xludf.DUMMYFUNCTION("""COMPUTED_VALUE"""),"6")</f>
        <v>6</v>
      </c>
      <c r="T279" s="1" t="str">
        <f>IFERROR(__xludf.DUMMYFUNCTION("""COMPUTED_VALUE"""),"")</f>
        <v/>
      </c>
      <c r="U279" s="1" t="str">
        <f>IFERROR(__xludf.DUMMYFUNCTION("""COMPUTED_VALUE"""),"")</f>
        <v/>
      </c>
      <c r="V279" s="1" t="str">
        <f>IFERROR(__xludf.DUMMYFUNCTION("""COMPUTED_VALUE"""),"")</f>
        <v/>
      </c>
      <c r="W279" s="1" t="str">
        <f>IFERROR(__xludf.DUMMYFUNCTION("""COMPUTED_VALUE"""),"200")</f>
        <v>200</v>
      </c>
      <c r="X279" s="1" t="str">
        <f>IFERROR(__xludf.DUMMYFUNCTION("""COMPUTED_VALUE"""),"")</f>
        <v/>
      </c>
      <c r="Y279" s="1" t="str">
        <f>IFERROR(__xludf.DUMMYFUNCTION("""COMPUTED_VALUE"""),"2029")</f>
        <v>2029</v>
      </c>
      <c r="Z279" s="1" t="str">
        <f>IFERROR(__xludf.DUMMYFUNCTION("""COMPUTED_VALUE"""),"Unknown")</f>
        <v>Unknown</v>
      </c>
      <c r="AA279" s="1" t="str">
        <f>IFERROR(__xludf.DUMMYFUNCTION("""COMPUTED_VALUE"""),"")</f>
        <v/>
      </c>
      <c r="AB279" s="1" t="str">
        <f>IFERROR(__xludf.DUMMYFUNCTION("""COMPUTED_VALUE"""),"")</f>
        <v/>
      </c>
      <c r="AC279" s="1" t="str">
        <f>IFERROR(__xludf.DUMMYFUNCTION("""COMPUTED_VALUE"""),"")</f>
        <v/>
      </c>
      <c r="AD279" s="1" t="str">
        <f>IFERROR(__xludf.DUMMYFUNCTION("""COMPUTED_VALUE"""),"")</f>
        <v/>
      </c>
      <c r="AE279" s="1" t="str">
        <f>IFERROR(__xludf.DUMMYFUNCTION("""COMPUTED_VALUE"""),"")</f>
        <v/>
      </c>
      <c r="AF279" s="1" t="str">
        <f>IFERROR(__xludf.DUMMYFUNCTION("""COMPUTED_VALUE"""),"")</f>
        <v/>
      </c>
      <c r="AG279" s="1" t="str">
        <f>IFERROR(__xludf.DUMMYFUNCTION("""COMPUTED_VALUE"""),"")</f>
        <v/>
      </c>
      <c r="AH279" s="1" t="str">
        <f>IFERROR(__xludf.DUMMYFUNCTION("""COMPUTED_VALUE"""),"Media Monitoring")</f>
        <v>Media Monitoring</v>
      </c>
      <c r="AI279" s="2" t="str">
        <f>IFERROR(__xludf.DUMMYFUNCTION("""COMPUTED_VALUE"""),"https://www.datacenterdynamics.com/en/news/plans-filed-for-six-building-data-center-campus-outside-augusta-georgia/")</f>
        <v>https://www.datacenterdynamics.com/en/news/plans-filed-for-six-building-data-center-campus-outside-augusta-georgia/</v>
      </c>
      <c r="AJ279" s="2" t="str">
        <f>IFERROR(__xludf.DUMMYFUNCTION("""COMPUTED_VALUE"""),"https://www.datacenterdynamics.com/en/news/200-acre-project-azalea-data-center-approved/")</f>
        <v>https://www.datacenterdynamics.com/en/news/200-acre-project-azalea-data-center-approved/</v>
      </c>
      <c r="AK279" s="1" t="str">
        <f>IFERROR(__xludf.DUMMYFUNCTION("""COMPUTED_VALUE"""),"")</f>
        <v/>
      </c>
      <c r="AL279" s="1" t="str">
        <f>IFERROR(__xludf.DUMMYFUNCTION("""COMPUTED_VALUE"""),"")</f>
        <v/>
      </c>
      <c r="AM279" s="1" t="str">
        <f>IFERROR(__xludf.DUMMYFUNCTION("""COMPUTED_VALUE"""),"")</f>
        <v/>
      </c>
      <c r="AN279" s="1" t="str">
        <f>IFERROR(__xludf.DUMMYFUNCTION("""COMPUTED_VALUE"""),"")</f>
        <v/>
      </c>
      <c r="AO279" s="1" t="str">
        <f>IFERROR(__xludf.DUMMYFUNCTION("""COMPUTED_VALUE"""),"")</f>
        <v/>
      </c>
      <c r="AP279" s="1" t="str">
        <f>IFERROR(__xludf.DUMMYFUNCTION("""COMPUTED_VALUE"""),"")</f>
        <v/>
      </c>
      <c r="AQ279" s="1" t="str">
        <f>IFERROR(__xludf.DUMMYFUNCTION("""COMPUTED_VALUE"""),"01/13/2026")</f>
        <v>01/13/2026</v>
      </c>
      <c r="AR279" s="1" t="str">
        <f>IFERROR(__xludf.DUMMYFUNCTION("""COMPUTED_VALUE"""),"03/19/2026")</f>
        <v>03/19/2026</v>
      </c>
    </row>
    <row r="280">
      <c r="A280" s="1" t="str">
        <f>IFERROR(__xludf.DUMMYFUNCTION("""COMPUTED_VALUE"""),"Microsoft ")</f>
        <v>Microsoft </v>
      </c>
      <c r="B280" s="1" t="str">
        <f>IFERROR(__xludf.DUMMYFUNCTION("""COMPUTED_VALUE"""),"GA-74")</f>
        <v>GA-74</v>
      </c>
      <c r="C280" s="1" t="str">
        <f>IFERROR(__xludf.DUMMYFUNCTION("""COMPUTED_VALUE"""),"Tyrone")</f>
        <v>Tyrone</v>
      </c>
      <c r="D280" s="1" t="str">
        <f>IFERROR(__xludf.DUMMYFUNCTION("""COMPUTED_VALUE"""),"GA")</f>
        <v>GA</v>
      </c>
      <c r="E280" s="1" t="str">
        <f>IFERROR(__xludf.DUMMYFUNCTION("""COMPUTED_VALUE"""),"30290")</f>
        <v>30290</v>
      </c>
      <c r="F280" s="1" t="str">
        <f>IFERROR(__xludf.DUMMYFUNCTION("""COMPUTED_VALUE"""),"Fayette")</f>
        <v>Fayette</v>
      </c>
      <c r="G280" s="1" t="str">
        <f>IFERROR(__xludf.DUMMYFUNCTION("""COMPUTED_VALUE"""),"33.518105")</f>
        <v>33.518105</v>
      </c>
      <c r="H280" s="1" t="str">
        <f>IFERROR(__xludf.DUMMYFUNCTION("""COMPUTED_VALUE"""),"-84.578316")</f>
        <v>-84.578316</v>
      </c>
      <c r="I280" s="1" t="str">
        <f>IFERROR(__xludf.DUMMYFUNCTION("""COMPUTED_VALUE"""),"Proposed")</f>
        <v>Proposed</v>
      </c>
      <c r="J280" s="1" t="str">
        <f>IFERROR(__xludf.DUMMYFUNCTION("""COMPUTED_VALUE"""),"High")</f>
        <v>High</v>
      </c>
      <c r="K280" s="1" t="str">
        <f>IFERROR(__xludf.DUMMYFUNCTION("""COMPUTED_VALUE"""),"")</f>
        <v/>
      </c>
      <c r="L280" s="1" t="str">
        <f>IFERROR(__xludf.DUMMYFUNCTION("""COMPUTED_VALUE"""),"")</f>
        <v/>
      </c>
      <c r="M280" s="1" t="str">
        <f>IFERROR(__xludf.DUMMYFUNCTION("""COMPUTED_VALUE"""),"")</f>
        <v/>
      </c>
      <c r="N280" s="1" t="str">
        <f>IFERROR(__xludf.DUMMYFUNCTION("""COMPUTED_VALUE"""),"")</f>
        <v/>
      </c>
      <c r="O280" s="1" t="str">
        <f>IFERROR(__xludf.DUMMYFUNCTION("""COMPUTED_VALUE"""),"Unknown")</f>
        <v>Unknown</v>
      </c>
      <c r="P280" s="1" t="str">
        <f>IFERROR(__xludf.DUMMYFUNCTION("""COMPUTED_VALUE"""),"")</f>
        <v/>
      </c>
      <c r="Q280" s="1" t="str">
        <f>IFERROR(__xludf.DUMMYFUNCTION("""COMPUTED_VALUE"""),"")</f>
        <v/>
      </c>
      <c r="R280" s="1" t="str">
        <f>IFERROR(__xludf.DUMMYFUNCTION("""COMPUTED_VALUE"""),"")</f>
        <v/>
      </c>
      <c r="S280" s="1" t="str">
        <f>IFERROR(__xludf.DUMMYFUNCTION("""COMPUTED_VALUE"""),"2")</f>
        <v>2</v>
      </c>
      <c r="T280" s="1" t="str">
        <f>IFERROR(__xludf.DUMMYFUNCTION("""COMPUTED_VALUE"""),"")</f>
        <v/>
      </c>
      <c r="U280" s="1" t="str">
        <f>IFERROR(__xludf.DUMMYFUNCTION("""COMPUTED_VALUE"""),"")</f>
        <v/>
      </c>
      <c r="V280" s="1" t="str">
        <f>IFERROR(__xludf.DUMMYFUNCTION("""COMPUTED_VALUE"""),"500,000")</f>
        <v>500,000</v>
      </c>
      <c r="W280" s="1" t="str">
        <f>IFERROR(__xludf.DUMMYFUNCTION("""COMPUTED_VALUE"""),"147")</f>
        <v>147</v>
      </c>
      <c r="X280" s="1" t="str">
        <f>IFERROR(__xludf.DUMMYFUNCTION("""COMPUTED_VALUE"""),"")</f>
        <v/>
      </c>
      <c r="Y280" s="1" t="str">
        <f>IFERROR(__xludf.DUMMYFUNCTION("""COMPUTED_VALUE"""),"")</f>
        <v/>
      </c>
      <c r="Z280" s="1" t="str">
        <f>IFERROR(__xludf.DUMMYFUNCTION("""COMPUTED_VALUE"""),"Unknown")</f>
        <v>Unknown</v>
      </c>
      <c r="AA280" s="1" t="str">
        <f>IFERROR(__xludf.DUMMYFUNCTION("""COMPUTED_VALUE"""),"")</f>
        <v/>
      </c>
      <c r="AB280" s="1" t="str">
        <f>IFERROR(__xludf.DUMMYFUNCTION("""COMPUTED_VALUE"""),"")</f>
        <v/>
      </c>
      <c r="AC280" s="1" t="str">
        <f>IFERROR(__xludf.DUMMYFUNCTION("""COMPUTED_VALUE"""),"")</f>
        <v/>
      </c>
      <c r="AD280" s="1" t="str">
        <f>IFERROR(__xludf.DUMMYFUNCTION("""COMPUTED_VALUE"""),"")</f>
        <v/>
      </c>
      <c r="AE280" s="1" t="str">
        <f>IFERROR(__xludf.DUMMYFUNCTION("""COMPUTED_VALUE"""),"")</f>
        <v/>
      </c>
      <c r="AF280" s="1" t="str">
        <f>IFERROR(__xludf.DUMMYFUNCTION("""COMPUTED_VALUE"""),"")</f>
        <v/>
      </c>
      <c r="AG280" s="1" t="str">
        <f>IFERROR(__xludf.DUMMYFUNCTION("""COMPUTED_VALUE"""),"Project includes substation on site")</f>
        <v>Project includes substation on site</v>
      </c>
      <c r="AH280" s="1" t="str">
        <f>IFERROR(__xludf.DUMMYFUNCTION("""COMPUTED_VALUE"""),"Media Monitoring")</f>
        <v>Media Monitoring</v>
      </c>
      <c r="AI280" s="2" t="str">
        <f>IFERROR(__xludf.DUMMYFUNCTION("""COMPUTED_VALUE"""),"https://www.datacenterdynamics.com/en/news/microsoft-confirms-plans-for-data-center-in-tyrone-georgia/")</f>
        <v>https://www.datacenterdynamics.com/en/news/microsoft-confirms-plans-for-data-center-in-tyrone-georgia/</v>
      </c>
      <c r="AJ280" s="1" t="str">
        <f>IFERROR(__xludf.DUMMYFUNCTION("""COMPUTED_VALUE"""),"")</f>
        <v/>
      </c>
      <c r="AK280" s="1" t="str">
        <f>IFERROR(__xludf.DUMMYFUNCTION("""COMPUTED_VALUE"""),"")</f>
        <v/>
      </c>
      <c r="AL280" s="1" t="str">
        <f>IFERROR(__xludf.DUMMYFUNCTION("""COMPUTED_VALUE"""),"")</f>
        <v/>
      </c>
      <c r="AM280" s="1" t="str">
        <f>IFERROR(__xludf.DUMMYFUNCTION("""COMPUTED_VALUE"""),"")</f>
        <v/>
      </c>
      <c r="AN280" s="1" t="str">
        <f>IFERROR(__xludf.DUMMYFUNCTION("""COMPUTED_VALUE"""),"")</f>
        <v/>
      </c>
      <c r="AO280" s="1" t="str">
        <f>IFERROR(__xludf.DUMMYFUNCTION("""COMPUTED_VALUE"""),"")</f>
        <v/>
      </c>
      <c r="AP280" s="1" t="str">
        <f>IFERROR(__xludf.DUMMYFUNCTION("""COMPUTED_VALUE"""),"")</f>
        <v/>
      </c>
      <c r="AQ280" s="1" t="str">
        <f>IFERROR(__xludf.DUMMYFUNCTION("""COMPUTED_VALUE"""),"05/05/2026")</f>
        <v>05/05/2026</v>
      </c>
      <c r="AR280" s="1" t="str">
        <f>IFERROR(__xludf.DUMMYFUNCTION("""COMPUTED_VALUE"""),"05/05/2026")</f>
        <v>05/05/2026</v>
      </c>
    </row>
    <row r="281">
      <c r="A281" s="1" t="str">
        <f>IFERROR(__xludf.DUMMYFUNCTION("""COMPUTED_VALUE"""),"Project Rita Campus")</f>
        <v>Project Rita Campus</v>
      </c>
      <c r="B281" s="1" t="str">
        <f>IFERROR(__xludf.DUMMYFUNCTION("""COMPUTED_VALUE"""),"2008 Joel Cowan Parkway")</f>
        <v>2008 Joel Cowan Parkway</v>
      </c>
      <c r="C281" s="1" t="str">
        <f>IFERROR(__xludf.DUMMYFUNCTION("""COMPUTED_VALUE"""),"Tyrone")</f>
        <v>Tyrone</v>
      </c>
      <c r="D281" s="1" t="str">
        <f>IFERROR(__xludf.DUMMYFUNCTION("""COMPUTED_VALUE"""),"GA")</f>
        <v>GA</v>
      </c>
      <c r="E281" s="1" t="str">
        <f>IFERROR(__xludf.DUMMYFUNCTION("""COMPUTED_VALUE"""),"30290")</f>
        <v>30290</v>
      </c>
      <c r="F281" s="1" t="str">
        <f>IFERROR(__xludf.DUMMYFUNCTION("""COMPUTED_VALUE"""),"Fayette")</f>
        <v>Fayette</v>
      </c>
      <c r="G281" s="1" t="str">
        <f>IFERROR(__xludf.DUMMYFUNCTION("""COMPUTED_VALUE"""),"33.517883")</f>
        <v>33.517883</v>
      </c>
      <c r="H281" s="1" t="str">
        <f>IFERROR(__xludf.DUMMYFUNCTION("""COMPUTED_VALUE"""),"-84.57948")</f>
        <v>-84.57948</v>
      </c>
      <c r="I281" s="1" t="str">
        <f>IFERROR(__xludf.DUMMYFUNCTION("""COMPUTED_VALUE"""),"Operating")</f>
        <v>Operating</v>
      </c>
      <c r="J281" s="1" t="str">
        <f>IFERROR(__xludf.DUMMYFUNCTION("""COMPUTED_VALUE"""),"High")</f>
        <v>High</v>
      </c>
      <c r="K281" s="1" t="str">
        <f>IFERROR(__xludf.DUMMYFUNCTION("""COMPUTED_VALUE"""),"")</f>
        <v/>
      </c>
      <c r="L281" s="1" t="str">
        <f>IFERROR(__xludf.DUMMYFUNCTION("""COMPUTED_VALUE"""),"Fayette County Development Authority")</f>
        <v>Fayette County Development Authority</v>
      </c>
      <c r="M281" s="1" t="str">
        <f>IFERROR(__xludf.DUMMYFUNCTION("""COMPUTED_VALUE"""),"")</f>
        <v/>
      </c>
      <c r="N281" s="1" t="str">
        <f>IFERROR(__xludf.DUMMYFUNCTION("""COMPUTED_VALUE"""),"96")</f>
        <v>96</v>
      </c>
      <c r="O281" s="1" t="str">
        <f>IFERROR(__xludf.DUMMYFUNCTION("""COMPUTED_VALUE"""),"Large (51-99 MW)")</f>
        <v>Large (51-99 MW)</v>
      </c>
      <c r="P281" s="1" t="str">
        <f>IFERROR(__xludf.DUMMYFUNCTION("""COMPUTED_VALUE"""),"")</f>
        <v/>
      </c>
      <c r="Q281" s="1" t="str">
        <f>IFERROR(__xludf.DUMMYFUNCTION("""COMPUTED_VALUE"""),"")</f>
        <v/>
      </c>
      <c r="R281" s="1" t="str">
        <f>IFERROR(__xludf.DUMMYFUNCTION("""COMPUTED_VALUE"""),"")</f>
        <v/>
      </c>
      <c r="S281" s="1" t="str">
        <f>IFERROR(__xludf.DUMMYFUNCTION("""COMPUTED_VALUE"""),"")</f>
        <v/>
      </c>
      <c r="T281" s="1" t="str">
        <f>IFERROR(__xludf.DUMMYFUNCTION("""COMPUTED_VALUE"""),"")</f>
        <v/>
      </c>
      <c r="U281" s="1" t="str">
        <f>IFERROR(__xludf.DUMMYFUNCTION("""COMPUTED_VALUE"""),"")</f>
        <v/>
      </c>
      <c r="V281" s="1" t="str">
        <f>IFERROR(__xludf.DUMMYFUNCTION("""COMPUTED_VALUE"""),"1,000,000")</f>
        <v>1,000,000</v>
      </c>
      <c r="W281" s="1" t="str">
        <f>IFERROR(__xludf.DUMMYFUNCTION("""COMPUTED_VALUE"""),"")</f>
        <v/>
      </c>
      <c r="X281" s="1" t="str">
        <f>IFERROR(__xludf.DUMMYFUNCTION("""COMPUTED_VALUE"""),"")</f>
        <v/>
      </c>
      <c r="Y281" s="1" t="str">
        <f>IFERROR(__xludf.DUMMYFUNCTION("""COMPUTED_VALUE"""),"")</f>
        <v/>
      </c>
      <c r="Z281" s="1" t="str">
        <f>IFERROR(__xludf.DUMMYFUNCTION("""COMPUTED_VALUE"""),"Unknown")</f>
        <v>Unknown</v>
      </c>
      <c r="AA281" s="1" t="str">
        <f>IFERROR(__xludf.DUMMYFUNCTION("""COMPUTED_VALUE"""),"")</f>
        <v/>
      </c>
      <c r="AB281" s="1" t="str">
        <f>IFERROR(__xludf.DUMMYFUNCTION("""COMPUTED_VALUE"""),"")</f>
        <v/>
      </c>
      <c r="AC281" s="1" t="str">
        <f>IFERROR(__xludf.DUMMYFUNCTION("""COMPUTED_VALUE"""),"")</f>
        <v/>
      </c>
      <c r="AD281" s="1" t="str">
        <f>IFERROR(__xludf.DUMMYFUNCTION("""COMPUTED_VALUE"""),"")</f>
        <v/>
      </c>
      <c r="AE281" s="1" t="str">
        <f>IFERROR(__xludf.DUMMYFUNCTION("""COMPUTED_VALUE"""),"")</f>
        <v/>
      </c>
      <c r="AF281" s="1" t="str">
        <f>IFERROR(__xludf.DUMMYFUNCTION("""COMPUTED_VALUE"""),"")</f>
        <v/>
      </c>
      <c r="AG281" s="1" t="str">
        <f>IFERROR(__xludf.DUMMYFUNCTION("""COMPUTED_VALUE"""),"")</f>
        <v/>
      </c>
      <c r="AH281" s="1" t="str">
        <f>IFERROR(__xludf.DUMMYFUNCTION("""COMPUTED_VALUE"""),"Sci4GA")</f>
        <v>Sci4GA</v>
      </c>
      <c r="AI281" s="2" t="str">
        <f>IFERROR(__xludf.DUMMYFUNCTION("""COMPUTED_VALUE"""),"https://apps.dca.ga.gov/DRI/AppSummary.aspx?driid=4094")</f>
        <v>https://apps.dca.ga.gov/DRI/AppSummary.aspx?driid=4094</v>
      </c>
      <c r="AJ281" s="1" t="str">
        <f>IFERROR(__xludf.DUMMYFUNCTION("""COMPUTED_VALUE"""),"")</f>
        <v/>
      </c>
      <c r="AK281" s="1" t="str">
        <f>IFERROR(__xludf.DUMMYFUNCTION("""COMPUTED_VALUE"""),"")</f>
        <v/>
      </c>
      <c r="AL281" s="1" t="str">
        <f>IFERROR(__xludf.DUMMYFUNCTION("""COMPUTED_VALUE"""),"")</f>
        <v/>
      </c>
      <c r="AM281" s="1" t="str">
        <f>IFERROR(__xludf.DUMMYFUNCTION("""COMPUTED_VALUE"""),"")</f>
        <v/>
      </c>
      <c r="AN281" s="1" t="str">
        <f>IFERROR(__xludf.DUMMYFUNCTION("""COMPUTED_VALUE"""),"")</f>
        <v/>
      </c>
      <c r="AO281" s="1" t="str">
        <f>IFERROR(__xludf.DUMMYFUNCTION("""COMPUTED_VALUE"""),"")</f>
        <v/>
      </c>
      <c r="AP281" s="1" t="str">
        <f>IFERROR(__xludf.DUMMYFUNCTION("""COMPUTED_VALUE"""),"")</f>
        <v/>
      </c>
      <c r="AQ281" s="1" t="str">
        <f>IFERROR(__xludf.DUMMYFUNCTION("""COMPUTED_VALUE"""),"10/16/2025")</f>
        <v>10/16/2025</v>
      </c>
      <c r="AR281" s="1" t="str">
        <f>IFERROR(__xludf.DUMMYFUNCTION("""COMPUTED_VALUE"""),"10/16/2025")</f>
        <v>10/16/2025</v>
      </c>
    </row>
    <row r="282">
      <c r="A282" s="1" t="str">
        <f>IFERROR(__xludf.DUMMYFUNCTION("""COMPUTED_VALUE"""),"ATL03/Red Oak")</f>
        <v>ATL03/Red Oak</v>
      </c>
      <c r="B282" s="1" t="str">
        <f>IFERROR(__xludf.DUMMYFUNCTION("""COMPUTED_VALUE"""),"7170 Red Oak Rd")</f>
        <v>7170 Red Oak Rd</v>
      </c>
      <c r="C282" s="1" t="str">
        <f>IFERROR(__xludf.DUMMYFUNCTION("""COMPUTED_VALUE"""),"Union City")</f>
        <v>Union City</v>
      </c>
      <c r="D282" s="1" t="str">
        <f>IFERROR(__xludf.DUMMYFUNCTION("""COMPUTED_VALUE"""),"GA")</f>
        <v>GA</v>
      </c>
      <c r="E282" s="1" t="str">
        <f>IFERROR(__xludf.DUMMYFUNCTION("""COMPUTED_VALUE"""),"30291")</f>
        <v>30291</v>
      </c>
      <c r="F282" s="1" t="str">
        <f>IFERROR(__xludf.DUMMYFUNCTION("""COMPUTED_VALUE"""),"Fulton")</f>
        <v>Fulton</v>
      </c>
      <c r="G282" s="1" t="str">
        <f>IFERROR(__xludf.DUMMYFUNCTION("""COMPUTED_VALUE"""),"33.56321")</f>
        <v>33.56321</v>
      </c>
      <c r="H282" s="1" t="str">
        <f>IFERROR(__xludf.DUMMYFUNCTION("""COMPUTED_VALUE"""),"-84.5129")</f>
        <v>-84.5129</v>
      </c>
      <c r="I282" s="1" t="str">
        <f>IFERROR(__xludf.DUMMYFUNCTION("""COMPUTED_VALUE"""),"Proposed")</f>
        <v>Proposed</v>
      </c>
      <c r="J282" s="1" t="str">
        <f>IFERROR(__xludf.DUMMYFUNCTION("""COMPUTED_VALUE"""),"High")</f>
        <v>High</v>
      </c>
      <c r="K282" s="1" t="str">
        <f>IFERROR(__xludf.DUMMYFUNCTION("""COMPUTED_VALUE"""),"")</f>
        <v/>
      </c>
      <c r="L282" s="1" t="str">
        <f>IFERROR(__xludf.DUMMYFUNCTION("""COMPUTED_VALUE"""),"TA Realty LLC, Brightstar Commercial Properties LLC")</f>
        <v>TA Realty LLC, Brightstar Commercial Properties LLC</v>
      </c>
      <c r="M282" s="1" t="str">
        <f>IFERROR(__xludf.DUMMYFUNCTION("""COMPUTED_VALUE"""),"")</f>
        <v/>
      </c>
      <c r="N282" s="1" t="str">
        <f>IFERROR(__xludf.DUMMYFUNCTION("""COMPUTED_VALUE"""),"150")</f>
        <v>150</v>
      </c>
      <c r="O282" s="1" t="str">
        <f>IFERROR(__xludf.DUMMYFUNCTION("""COMPUTED_VALUE"""),"Hyperscale (100-999 MW)")</f>
        <v>Hyperscale (100-999 MW)</v>
      </c>
      <c r="P282" s="1" t="str">
        <f>IFERROR(__xludf.DUMMYFUNCTION("""COMPUTED_VALUE"""),"")</f>
        <v/>
      </c>
      <c r="Q282" s="1" t="str">
        <f>IFERROR(__xludf.DUMMYFUNCTION("""COMPUTED_VALUE"""),"")</f>
        <v/>
      </c>
      <c r="R282" s="1" t="str">
        <f>IFERROR(__xludf.DUMMYFUNCTION("""COMPUTED_VALUE"""),"")</f>
        <v/>
      </c>
      <c r="S282" s="1" t="str">
        <f>IFERROR(__xludf.DUMMYFUNCTION("""COMPUTED_VALUE"""),"")</f>
        <v/>
      </c>
      <c r="T282" s="1" t="str">
        <f>IFERROR(__xludf.DUMMYFUNCTION("""COMPUTED_VALUE"""),"")</f>
        <v/>
      </c>
      <c r="U282" s="1" t="str">
        <f>IFERROR(__xludf.DUMMYFUNCTION("""COMPUTED_VALUE"""),"")</f>
        <v/>
      </c>
      <c r="V282" s="1" t="str">
        <f>IFERROR(__xludf.DUMMYFUNCTION("""COMPUTED_VALUE"""),"1,000,000")</f>
        <v>1,000,000</v>
      </c>
      <c r="W282" s="1" t="str">
        <f>IFERROR(__xludf.DUMMYFUNCTION("""COMPUTED_VALUE"""),"")</f>
        <v/>
      </c>
      <c r="X282" s="1" t="str">
        <f>IFERROR(__xludf.DUMMYFUNCTION("""COMPUTED_VALUE"""),"")</f>
        <v/>
      </c>
      <c r="Y282" s="1" t="str">
        <f>IFERROR(__xludf.DUMMYFUNCTION("""COMPUTED_VALUE"""),"")</f>
        <v/>
      </c>
      <c r="Z282" s="1" t="str">
        <f>IFERROR(__xludf.DUMMYFUNCTION("""COMPUTED_VALUE"""),"Unknown")</f>
        <v>Unknown</v>
      </c>
      <c r="AA282" s="1" t="str">
        <f>IFERROR(__xludf.DUMMYFUNCTION("""COMPUTED_VALUE"""),"")</f>
        <v/>
      </c>
      <c r="AB282" s="1" t="str">
        <f>IFERROR(__xludf.DUMMYFUNCTION("""COMPUTED_VALUE"""),"")</f>
        <v/>
      </c>
      <c r="AC282" s="1" t="str">
        <f>IFERROR(__xludf.DUMMYFUNCTION("""COMPUTED_VALUE"""),"")</f>
        <v/>
      </c>
      <c r="AD282" s="1" t="str">
        <f>IFERROR(__xludf.DUMMYFUNCTION("""COMPUTED_VALUE"""),"")</f>
        <v/>
      </c>
      <c r="AE282" s="1" t="str">
        <f>IFERROR(__xludf.DUMMYFUNCTION("""COMPUTED_VALUE"""),"")</f>
        <v/>
      </c>
      <c r="AF282" s="1" t="str">
        <f>IFERROR(__xludf.DUMMYFUNCTION("""COMPUTED_VALUE"""),"")</f>
        <v/>
      </c>
      <c r="AG282" s="1" t="str">
        <f>IFERROR(__xludf.DUMMYFUNCTION("""COMPUTED_VALUE"""),"")</f>
        <v/>
      </c>
      <c r="AH282" s="1" t="str">
        <f>IFERROR(__xludf.DUMMYFUNCTION("""COMPUTED_VALUE"""),"Media Monitoring")</f>
        <v>Media Monitoring</v>
      </c>
      <c r="AI282" s="2" t="str">
        <f>IFERROR(__xludf.DUMMYFUNCTION("""COMPUTED_VALUE"""),"https://www.datacenterdynamics.com/en/news/ta-realty-files-for-1-million-sq-ft-data-center-campus-outside-atlanta-georgia/")</f>
        <v>https://www.datacenterdynamics.com/en/news/ta-realty-files-for-1-million-sq-ft-data-center-campus-outside-atlanta-georgia/</v>
      </c>
      <c r="AJ282" s="2" t="str">
        <f>IFERROR(__xludf.DUMMYFUNCTION("""COMPUTED_VALUE"""),"https://apps.dca.ga.gov/DRI/AppSummary.aspx?driid=4315")</f>
        <v>https://apps.dca.ga.gov/DRI/AppSummary.aspx?driid=4315</v>
      </c>
      <c r="AK282" s="1" t="str">
        <f>IFERROR(__xludf.DUMMYFUNCTION("""COMPUTED_VALUE"""),"")</f>
        <v/>
      </c>
      <c r="AL282" s="1" t="str">
        <f>IFERROR(__xludf.DUMMYFUNCTION("""COMPUTED_VALUE"""),"")</f>
        <v/>
      </c>
      <c r="AM282" s="1" t="str">
        <f>IFERROR(__xludf.DUMMYFUNCTION("""COMPUTED_VALUE"""),"")</f>
        <v/>
      </c>
      <c r="AN282" s="1" t="str">
        <f>IFERROR(__xludf.DUMMYFUNCTION("""COMPUTED_VALUE"""),"")</f>
        <v/>
      </c>
      <c r="AO282" s="1" t="str">
        <f>IFERROR(__xludf.DUMMYFUNCTION("""COMPUTED_VALUE"""),"")</f>
        <v/>
      </c>
      <c r="AP282" s="1" t="str">
        <f>IFERROR(__xludf.DUMMYFUNCTION("""COMPUTED_VALUE"""),"")</f>
        <v/>
      </c>
      <c r="AQ282" s="1" t="str">
        <f>IFERROR(__xludf.DUMMYFUNCTION("""COMPUTED_VALUE"""),"06/24/2025")</f>
        <v>06/24/2025</v>
      </c>
      <c r="AR282" s="1" t="str">
        <f>IFERROR(__xludf.DUMMYFUNCTION("""COMPUTED_VALUE"""),"06/24/2025")</f>
        <v>06/24/2025</v>
      </c>
    </row>
    <row r="283">
      <c r="A283" s="1" t="str">
        <f>IFERROR(__xludf.DUMMYFUNCTION("""COMPUTED_VALUE"""),"Union City Data Center")</f>
        <v>Union City Data Center</v>
      </c>
      <c r="B283" s="1" t="str">
        <f>IFERROR(__xludf.DUMMYFUNCTION("""COMPUTED_VALUE"""),"State Route 138 and Buffington Road")</f>
        <v>State Route 138 and Buffington Road</v>
      </c>
      <c r="C283" s="1" t="str">
        <f>IFERROR(__xludf.DUMMYFUNCTION("""COMPUTED_VALUE"""),"Union City")</f>
        <v>Union City</v>
      </c>
      <c r="D283" s="1" t="str">
        <f>IFERROR(__xludf.DUMMYFUNCTION("""COMPUTED_VALUE"""),"GA")</f>
        <v>GA</v>
      </c>
      <c r="E283" s="1" t="str">
        <f>IFERROR(__xludf.DUMMYFUNCTION("""COMPUTED_VALUE"""),"30291")</f>
        <v>30291</v>
      </c>
      <c r="F283" s="1" t="str">
        <f>IFERROR(__xludf.DUMMYFUNCTION("""COMPUTED_VALUE"""),"Fulton")</f>
        <v>Fulton</v>
      </c>
      <c r="G283" s="1" t="str">
        <f>IFERROR(__xludf.DUMMYFUNCTION("""COMPUTED_VALUE"""),"33.562943")</f>
        <v>33.562943</v>
      </c>
      <c r="H283" s="1" t="str">
        <f>IFERROR(__xludf.DUMMYFUNCTION("""COMPUTED_VALUE"""),"-84.5134")</f>
        <v>-84.5134</v>
      </c>
      <c r="I283" s="1" t="str">
        <f>IFERROR(__xludf.DUMMYFUNCTION("""COMPUTED_VALUE"""),"Proposed")</f>
        <v>Proposed</v>
      </c>
      <c r="J283" s="1" t="str">
        <f>IFERROR(__xludf.DUMMYFUNCTION("""COMPUTED_VALUE"""),"High")</f>
        <v>High</v>
      </c>
      <c r="K283" s="1" t="str">
        <f>IFERROR(__xludf.DUMMYFUNCTION("""COMPUTED_VALUE"""),"")</f>
        <v/>
      </c>
      <c r="L283" s="1" t="str">
        <f>IFERROR(__xludf.DUMMYFUNCTION("""COMPUTED_VALUE"""),"")</f>
        <v/>
      </c>
      <c r="M283" s="1" t="str">
        <f>IFERROR(__xludf.DUMMYFUNCTION("""COMPUTED_VALUE"""),"")</f>
        <v/>
      </c>
      <c r="N283" s="1" t="str">
        <f>IFERROR(__xludf.DUMMYFUNCTION("""COMPUTED_VALUE"""),"")</f>
        <v/>
      </c>
      <c r="O283" s="1" t="str">
        <f>IFERROR(__xludf.DUMMYFUNCTION("""COMPUTED_VALUE"""),"Unknown")</f>
        <v>Unknown</v>
      </c>
      <c r="P283" s="1" t="str">
        <f>IFERROR(__xludf.DUMMYFUNCTION("""COMPUTED_VALUE"""),"")</f>
        <v/>
      </c>
      <c r="Q283" s="1" t="str">
        <f>IFERROR(__xludf.DUMMYFUNCTION("""COMPUTED_VALUE"""),"")</f>
        <v/>
      </c>
      <c r="R283" s="1" t="str">
        <f>IFERROR(__xludf.DUMMYFUNCTION("""COMPUTED_VALUE"""),"")</f>
        <v/>
      </c>
      <c r="S283" s="1" t="str">
        <f>IFERROR(__xludf.DUMMYFUNCTION("""COMPUTED_VALUE"""),"")</f>
        <v/>
      </c>
      <c r="T283" s="1" t="str">
        <f>IFERROR(__xludf.DUMMYFUNCTION("""COMPUTED_VALUE"""),"")</f>
        <v/>
      </c>
      <c r="U283" s="1" t="str">
        <f>IFERROR(__xludf.DUMMYFUNCTION("""COMPUTED_VALUE"""),"")</f>
        <v/>
      </c>
      <c r="V283" s="1" t="str">
        <f>IFERROR(__xludf.DUMMYFUNCTION("""COMPUTED_VALUE"""),"")</f>
        <v/>
      </c>
      <c r="W283" s="1" t="str">
        <f>IFERROR(__xludf.DUMMYFUNCTION("""COMPUTED_VALUE"""),"")</f>
        <v/>
      </c>
      <c r="X283" s="1" t="str">
        <f>IFERROR(__xludf.DUMMYFUNCTION("""COMPUTED_VALUE"""),"")</f>
        <v/>
      </c>
      <c r="Y283" s="1" t="str">
        <f>IFERROR(__xludf.DUMMYFUNCTION("""COMPUTED_VALUE"""),"")</f>
        <v/>
      </c>
      <c r="Z283" s="1" t="str">
        <f>IFERROR(__xludf.DUMMYFUNCTION("""COMPUTED_VALUE"""),"Unknown")</f>
        <v>Unknown</v>
      </c>
      <c r="AA283" s="1" t="str">
        <f>IFERROR(__xludf.DUMMYFUNCTION("""COMPUTED_VALUE"""),"")</f>
        <v/>
      </c>
      <c r="AB283" s="1" t="str">
        <f>IFERROR(__xludf.DUMMYFUNCTION("""COMPUTED_VALUE"""),"")</f>
        <v/>
      </c>
      <c r="AC283" s="1" t="str">
        <f>IFERROR(__xludf.DUMMYFUNCTION("""COMPUTED_VALUE"""),"")</f>
        <v/>
      </c>
      <c r="AD283" s="1" t="str">
        <f>IFERROR(__xludf.DUMMYFUNCTION("""COMPUTED_VALUE"""),"")</f>
        <v/>
      </c>
      <c r="AE283" s="1" t="str">
        <f>IFERROR(__xludf.DUMMYFUNCTION("""COMPUTED_VALUE"""),"")</f>
        <v/>
      </c>
      <c r="AF283" s="1" t="str">
        <f>IFERROR(__xludf.DUMMYFUNCTION("""COMPUTED_VALUE"""),"")</f>
        <v/>
      </c>
      <c r="AG283" s="1" t="str">
        <f>IFERROR(__xludf.DUMMYFUNCTION("""COMPUTED_VALUE"""),"")</f>
        <v/>
      </c>
      <c r="AH283" s="1" t="str">
        <f>IFERROR(__xludf.DUMMYFUNCTION("""COMPUTED_VALUE"""),"Sci4GA")</f>
        <v>Sci4GA</v>
      </c>
      <c r="AI283" s="2" t="str">
        <f>IFERROR(__xludf.DUMMYFUNCTION("""COMPUTED_VALUE"""),"https://share.newsbreak.com/f5k7f69n?s=i3")</f>
        <v>https://share.newsbreak.com/f5k7f69n?s=i3</v>
      </c>
      <c r="AJ283" s="1" t="str">
        <f>IFERROR(__xludf.DUMMYFUNCTION("""COMPUTED_VALUE"""),"")</f>
        <v/>
      </c>
      <c r="AK283" s="1" t="str">
        <f>IFERROR(__xludf.DUMMYFUNCTION("""COMPUTED_VALUE"""),"")</f>
        <v/>
      </c>
      <c r="AL283" s="1" t="str">
        <f>IFERROR(__xludf.DUMMYFUNCTION("""COMPUTED_VALUE"""),"")</f>
        <v/>
      </c>
      <c r="AM283" s="1" t="str">
        <f>IFERROR(__xludf.DUMMYFUNCTION("""COMPUTED_VALUE"""),"")</f>
        <v/>
      </c>
      <c r="AN283" s="1" t="str">
        <f>IFERROR(__xludf.DUMMYFUNCTION("""COMPUTED_VALUE"""),"")</f>
        <v/>
      </c>
      <c r="AO283" s="1" t="str">
        <f>IFERROR(__xludf.DUMMYFUNCTION("""COMPUTED_VALUE"""),"")</f>
        <v/>
      </c>
      <c r="AP283" s="1" t="str">
        <f>IFERROR(__xludf.DUMMYFUNCTION("""COMPUTED_VALUE"""),"")</f>
        <v/>
      </c>
      <c r="AQ283" s="1" t="str">
        <f>IFERROR(__xludf.DUMMYFUNCTION("""COMPUTED_VALUE"""),"10/16/2025")</f>
        <v>10/16/2025</v>
      </c>
      <c r="AR283" s="1" t="str">
        <f>IFERROR(__xludf.DUMMYFUNCTION("""COMPUTED_VALUE"""),"10/16/2025")</f>
        <v>10/16/2025</v>
      </c>
    </row>
    <row r="284">
      <c r="A284" s="1" t="str">
        <f>IFERROR(__xludf.DUMMYFUNCTION("""COMPUTED_VALUE"""),"Valdosta Data Center")</f>
        <v>Valdosta Data Center</v>
      </c>
      <c r="B284" s="1" t="str">
        <f>IFERROR(__xludf.DUMMYFUNCTION("""COMPUTED_VALUE"""),"Near 4107 Quail Hollow cir")</f>
        <v>Near 4107 Quail Hollow cir</v>
      </c>
      <c r="C284" s="1" t="str">
        <f>IFERROR(__xludf.DUMMYFUNCTION("""COMPUTED_VALUE"""),"Valdosta")</f>
        <v>Valdosta</v>
      </c>
      <c r="D284" s="1" t="str">
        <f>IFERROR(__xludf.DUMMYFUNCTION("""COMPUTED_VALUE"""),"GA")</f>
        <v>GA</v>
      </c>
      <c r="E284" s="1" t="str">
        <f>IFERROR(__xludf.DUMMYFUNCTION("""COMPUTED_VALUE"""),"31602")</f>
        <v>31602</v>
      </c>
      <c r="F284" s="1" t="str">
        <f>IFERROR(__xludf.DUMMYFUNCTION("""COMPUTED_VALUE"""),"Lowndes")</f>
        <v>Lowndes</v>
      </c>
      <c r="G284" s="1" t="str">
        <f>IFERROR(__xludf.DUMMYFUNCTION("""COMPUTED_VALUE"""),"30.885855")</f>
        <v>30.885855</v>
      </c>
      <c r="H284" s="1" t="str">
        <f>IFERROR(__xludf.DUMMYFUNCTION("""COMPUTED_VALUE"""),"-83.32822")</f>
        <v>-83.32822</v>
      </c>
      <c r="I284" s="1" t="str">
        <f>IFERROR(__xludf.DUMMYFUNCTION("""COMPUTED_VALUE"""),"Proposed")</f>
        <v>Proposed</v>
      </c>
      <c r="J284" s="1" t="str">
        <f>IFERROR(__xludf.DUMMYFUNCTION("""COMPUTED_VALUE"""),"High")</f>
        <v>High</v>
      </c>
      <c r="K284" s="1" t="str">
        <f>IFERROR(__xludf.DUMMYFUNCTION("""COMPUTED_VALUE"""),"")</f>
        <v/>
      </c>
      <c r="L284" s="1" t="str">
        <f>IFERROR(__xludf.DUMMYFUNCTION("""COMPUTED_VALUE"""),"Langdale Capital Assets")</f>
        <v>Langdale Capital Assets</v>
      </c>
      <c r="M284" s="1" t="str">
        <f>IFERROR(__xludf.DUMMYFUNCTION("""COMPUTED_VALUE"""),"")</f>
        <v/>
      </c>
      <c r="N284" s="1" t="str">
        <f>IFERROR(__xludf.DUMMYFUNCTION("""COMPUTED_VALUE"""),"")</f>
        <v/>
      </c>
      <c r="O284" s="1" t="str">
        <f>IFERROR(__xludf.DUMMYFUNCTION("""COMPUTED_VALUE"""),"Unknown")</f>
        <v>Unknown</v>
      </c>
      <c r="P284" s="1" t="str">
        <f>IFERROR(__xludf.DUMMYFUNCTION("""COMPUTED_VALUE"""),"")</f>
        <v/>
      </c>
      <c r="Q284" s="1" t="str">
        <f>IFERROR(__xludf.DUMMYFUNCTION("""COMPUTED_VALUE"""),"")</f>
        <v/>
      </c>
      <c r="R284" s="1" t="str">
        <f>IFERROR(__xludf.DUMMYFUNCTION("""COMPUTED_VALUE"""),"")</f>
        <v/>
      </c>
      <c r="S284" s="1" t="str">
        <f>IFERROR(__xludf.DUMMYFUNCTION("""COMPUTED_VALUE"""),"")</f>
        <v/>
      </c>
      <c r="T284" s="1" t="str">
        <f>IFERROR(__xludf.DUMMYFUNCTION("""COMPUTED_VALUE"""),"")</f>
        <v/>
      </c>
      <c r="U284" s="1" t="str">
        <f>IFERROR(__xludf.DUMMYFUNCTION("""COMPUTED_VALUE"""),"")</f>
        <v/>
      </c>
      <c r="V284" s="1" t="str">
        <f>IFERROR(__xludf.DUMMYFUNCTION("""COMPUTED_VALUE"""),"")</f>
        <v/>
      </c>
      <c r="W284" s="1" t="str">
        <f>IFERROR(__xludf.DUMMYFUNCTION("""COMPUTED_VALUE"""),"")</f>
        <v/>
      </c>
      <c r="X284" s="1" t="str">
        <f>IFERROR(__xludf.DUMMYFUNCTION("""COMPUTED_VALUE"""),"")</f>
        <v/>
      </c>
      <c r="Y284" s="1" t="str">
        <f>IFERROR(__xludf.DUMMYFUNCTION("""COMPUTED_VALUE"""),"")</f>
        <v/>
      </c>
      <c r="Z284" s="1" t="str">
        <f>IFERROR(__xludf.DUMMYFUNCTION("""COMPUTED_VALUE"""),"Unknown")</f>
        <v>Unknown</v>
      </c>
      <c r="AA284" s="1" t="str">
        <f>IFERROR(__xludf.DUMMYFUNCTION("""COMPUTED_VALUE"""),"")</f>
        <v/>
      </c>
      <c r="AB284" s="1" t="str">
        <f>IFERROR(__xludf.DUMMYFUNCTION("""COMPUTED_VALUE"""),"")</f>
        <v/>
      </c>
      <c r="AC284" s="1" t="str">
        <f>IFERROR(__xludf.DUMMYFUNCTION("""COMPUTED_VALUE"""),"")</f>
        <v/>
      </c>
      <c r="AD284" s="1" t="str">
        <f>IFERROR(__xludf.DUMMYFUNCTION("""COMPUTED_VALUE"""),"")</f>
        <v/>
      </c>
      <c r="AE284" s="1" t="str">
        <f>IFERROR(__xludf.DUMMYFUNCTION("""COMPUTED_VALUE"""),"")</f>
        <v/>
      </c>
      <c r="AF284" s="1" t="str">
        <f>IFERROR(__xludf.DUMMYFUNCTION("""COMPUTED_VALUE"""),"")</f>
        <v/>
      </c>
      <c r="AG284" s="1" t="str">
        <f>IFERROR(__xludf.DUMMYFUNCTION("""COMPUTED_VALUE"""),"")</f>
        <v/>
      </c>
      <c r="AH284" s="1" t="str">
        <f>IFERROR(__xludf.DUMMYFUNCTION("""COMPUTED_VALUE"""),"Sci4GA")</f>
        <v>Sci4GA</v>
      </c>
      <c r="AI284" s="1" t="str">
        <f>IFERROR(__xludf.DUMMYFUNCTION("""COMPUTED_VALUE"""),"")</f>
        <v/>
      </c>
      <c r="AJ284" s="1" t="str">
        <f>IFERROR(__xludf.DUMMYFUNCTION("""COMPUTED_VALUE"""),"")</f>
        <v/>
      </c>
      <c r="AK284" s="1" t="str">
        <f>IFERROR(__xludf.DUMMYFUNCTION("""COMPUTED_VALUE"""),"")</f>
        <v/>
      </c>
      <c r="AL284" s="1" t="str">
        <f>IFERROR(__xludf.DUMMYFUNCTION("""COMPUTED_VALUE"""),"")</f>
        <v/>
      </c>
      <c r="AM284" s="1" t="str">
        <f>IFERROR(__xludf.DUMMYFUNCTION("""COMPUTED_VALUE"""),"")</f>
        <v/>
      </c>
      <c r="AN284" s="1" t="str">
        <f>IFERROR(__xludf.DUMMYFUNCTION("""COMPUTED_VALUE"""),"")</f>
        <v/>
      </c>
      <c r="AO284" s="1" t="str">
        <f>IFERROR(__xludf.DUMMYFUNCTION("""COMPUTED_VALUE"""),"")</f>
        <v/>
      </c>
      <c r="AP284" s="1" t="str">
        <f>IFERROR(__xludf.DUMMYFUNCTION("""COMPUTED_VALUE"""),"")</f>
        <v/>
      </c>
      <c r="AQ284" s="1" t="str">
        <f>IFERROR(__xludf.DUMMYFUNCTION("""COMPUTED_VALUE"""),"10/16/2025")</f>
        <v>10/16/2025</v>
      </c>
      <c r="AR284" s="1" t="str">
        <f>IFERROR(__xludf.DUMMYFUNCTION("""COMPUTED_VALUE"""),"10/16/2025")</f>
        <v>10/16/2025</v>
      </c>
    </row>
    <row r="285">
      <c r="A285" s="1" t="str">
        <f>IFERROR(__xludf.DUMMYFUNCTION("""COMPUTED_VALUE"""),"Atlas ")</f>
        <v>Atlas </v>
      </c>
      <c r="B285" s="1" t="str">
        <f>IFERROR(__xludf.DUMMYFUNCTION("""COMPUTED_VALUE"""),"S. Van Wert Rd and NE Hickory Level Rd")</f>
        <v>S. Van Wert Rd and NE Hickory Level Rd</v>
      </c>
      <c r="C285" s="1" t="str">
        <f>IFERROR(__xludf.DUMMYFUNCTION("""COMPUTED_VALUE"""),"Villa Rica")</f>
        <v>Villa Rica</v>
      </c>
      <c r="D285" s="1" t="str">
        <f>IFERROR(__xludf.DUMMYFUNCTION("""COMPUTED_VALUE"""),"GA")</f>
        <v>GA</v>
      </c>
      <c r="E285" s="1" t="str">
        <f>IFERROR(__xludf.DUMMYFUNCTION("""COMPUTED_VALUE"""),"30180")</f>
        <v>30180</v>
      </c>
      <c r="F285" s="1" t="str">
        <f>IFERROR(__xludf.DUMMYFUNCTION("""COMPUTED_VALUE"""),"Carroll")</f>
        <v>Carroll</v>
      </c>
      <c r="G285" s="1" t="str">
        <f>IFERROR(__xludf.DUMMYFUNCTION("""COMPUTED_VALUE"""),"33.70841")</f>
        <v>33.70841</v>
      </c>
      <c r="H285" s="1" t="str">
        <f>IFERROR(__xludf.DUMMYFUNCTION("""COMPUTED_VALUE"""),"-84.9497")</f>
        <v>-84.9497</v>
      </c>
      <c r="I285" s="1" t="str">
        <f>IFERROR(__xludf.DUMMYFUNCTION("""COMPUTED_VALUE"""),"Proposed")</f>
        <v>Proposed</v>
      </c>
      <c r="J285" s="1" t="str">
        <f>IFERROR(__xludf.DUMMYFUNCTION("""COMPUTED_VALUE"""),"Medium")</f>
        <v>Medium</v>
      </c>
      <c r="K285" s="1" t="str">
        <f>IFERROR(__xludf.DUMMYFUNCTION("""COMPUTED_VALUE"""),"")</f>
        <v/>
      </c>
      <c r="L285" s="1" t="str">
        <f>IFERROR(__xludf.DUMMYFUNCTION("""COMPUTED_VALUE"""),"")</f>
        <v/>
      </c>
      <c r="M285" s="1" t="str">
        <f>IFERROR(__xludf.DUMMYFUNCTION("""COMPUTED_VALUE"""),"")</f>
        <v/>
      </c>
      <c r="N285" s="1" t="str">
        <f>IFERROR(__xludf.DUMMYFUNCTION("""COMPUTED_VALUE"""),"")</f>
        <v/>
      </c>
      <c r="O285" s="1" t="str">
        <f>IFERROR(__xludf.DUMMYFUNCTION("""COMPUTED_VALUE"""),"Unknown")</f>
        <v>Unknown</v>
      </c>
      <c r="P285" s="1" t="str">
        <f>IFERROR(__xludf.DUMMYFUNCTION("""COMPUTED_VALUE"""),"")</f>
        <v/>
      </c>
      <c r="Q285" s="1" t="str">
        <f>IFERROR(__xludf.DUMMYFUNCTION("""COMPUTED_VALUE"""),"")</f>
        <v/>
      </c>
      <c r="R285" s="1" t="str">
        <f>IFERROR(__xludf.DUMMYFUNCTION("""COMPUTED_VALUE"""),"")</f>
        <v/>
      </c>
      <c r="S285" s="1" t="str">
        <f>IFERROR(__xludf.DUMMYFUNCTION("""COMPUTED_VALUE"""),"")</f>
        <v/>
      </c>
      <c r="T285" s="1" t="str">
        <f>IFERROR(__xludf.DUMMYFUNCTION("""COMPUTED_VALUE"""),"")</f>
        <v/>
      </c>
      <c r="U285" s="1" t="str">
        <f>IFERROR(__xludf.DUMMYFUNCTION("""COMPUTED_VALUE"""),"")</f>
        <v/>
      </c>
      <c r="V285" s="1" t="str">
        <f>IFERROR(__xludf.DUMMYFUNCTION("""COMPUTED_VALUE"""),"")</f>
        <v/>
      </c>
      <c r="W285" s="1" t="str">
        <f>IFERROR(__xludf.DUMMYFUNCTION("""COMPUTED_VALUE"""),"")</f>
        <v/>
      </c>
      <c r="X285" s="1" t="str">
        <f>IFERROR(__xludf.DUMMYFUNCTION("""COMPUTED_VALUE"""),"")</f>
        <v/>
      </c>
      <c r="Y285" s="1" t="str">
        <f>IFERROR(__xludf.DUMMYFUNCTION("""COMPUTED_VALUE"""),"")</f>
        <v/>
      </c>
      <c r="Z285" s="1" t="str">
        <f>IFERROR(__xludf.DUMMYFUNCTION("""COMPUTED_VALUE"""),"Unknown")</f>
        <v>Unknown</v>
      </c>
      <c r="AA285" s="1" t="str">
        <f>IFERROR(__xludf.DUMMYFUNCTION("""COMPUTED_VALUE"""),"")</f>
        <v/>
      </c>
      <c r="AB285" s="1" t="str">
        <f>IFERROR(__xludf.DUMMYFUNCTION("""COMPUTED_VALUE"""),"")</f>
        <v/>
      </c>
      <c r="AC285" s="1" t="str">
        <f>IFERROR(__xludf.DUMMYFUNCTION("""COMPUTED_VALUE"""),"")</f>
        <v/>
      </c>
      <c r="AD285" s="1" t="str">
        <f>IFERROR(__xludf.DUMMYFUNCTION("""COMPUTED_VALUE"""),"")</f>
        <v/>
      </c>
      <c r="AE285" s="1" t="str">
        <f>IFERROR(__xludf.DUMMYFUNCTION("""COMPUTED_VALUE"""),"")</f>
        <v/>
      </c>
      <c r="AF285" s="1" t="str">
        <f>IFERROR(__xludf.DUMMYFUNCTION("""COMPUTED_VALUE"""),"")</f>
        <v/>
      </c>
      <c r="AG285" s="1" t="str">
        <f>IFERROR(__xludf.DUMMYFUNCTION("""COMPUTED_VALUE"""),"")</f>
        <v/>
      </c>
      <c r="AH285" s="1" t="str">
        <f>IFERROR(__xludf.DUMMYFUNCTION("""COMPUTED_VALUE"""),"Media Monitoring")</f>
        <v>Media Monitoring</v>
      </c>
      <c r="AI285" s="2" t="str">
        <f>IFERROR(__xludf.DUMMYFUNCTION("""COMPUTED_VALUE"""),"https://www.datacenterdynamics.com/en/news/atlas-files-for-428-acre-technology-and-data-park-outside-atlanta-georgia/")</f>
        <v>https://www.datacenterdynamics.com/en/news/atlas-files-for-428-acre-technology-and-data-park-outside-atlanta-georgia/</v>
      </c>
      <c r="AJ285" s="1" t="str">
        <f>IFERROR(__xludf.DUMMYFUNCTION("""COMPUTED_VALUE"""),"")</f>
        <v/>
      </c>
      <c r="AK285" s="1" t="str">
        <f>IFERROR(__xludf.DUMMYFUNCTION("""COMPUTED_VALUE"""),"")</f>
        <v/>
      </c>
      <c r="AL285" s="1" t="str">
        <f>IFERROR(__xludf.DUMMYFUNCTION("""COMPUTED_VALUE"""),"")</f>
        <v/>
      </c>
      <c r="AM285" s="1" t="str">
        <f>IFERROR(__xludf.DUMMYFUNCTION("""COMPUTED_VALUE"""),"")</f>
        <v/>
      </c>
      <c r="AN285" s="1" t="str">
        <f>IFERROR(__xludf.DUMMYFUNCTION("""COMPUTED_VALUE"""),"")</f>
        <v/>
      </c>
      <c r="AO285" s="1" t="str">
        <f>IFERROR(__xludf.DUMMYFUNCTION("""COMPUTED_VALUE"""),"")</f>
        <v/>
      </c>
      <c r="AP285" s="1" t="str">
        <f>IFERROR(__xludf.DUMMYFUNCTION("""COMPUTED_VALUE"""),"")</f>
        <v/>
      </c>
      <c r="AQ285" s="1" t="str">
        <f>IFERROR(__xludf.DUMMYFUNCTION("""COMPUTED_VALUE"""),"05/26/2025")</f>
        <v>05/26/2025</v>
      </c>
      <c r="AR285" s="1" t="str">
        <f>IFERROR(__xludf.DUMMYFUNCTION("""COMPUTED_VALUE"""),"03/11/2026")</f>
        <v>03/11/2026</v>
      </c>
    </row>
    <row r="286">
      <c r="A286" s="1" t="str">
        <f>IFERROR(__xludf.DUMMYFUNCTION("""COMPUTED_VALUE"""),"Avemore GA LLC Data Center")</f>
        <v>Avemore GA LLC Data Center</v>
      </c>
      <c r="B286" s="1" t="str">
        <f>IFERROR(__xludf.DUMMYFUNCTION("""COMPUTED_VALUE"""),"55 Goldworth Rd")</f>
        <v>55 Goldworth Rd</v>
      </c>
      <c r="C286" s="1" t="str">
        <f>IFERROR(__xludf.DUMMYFUNCTION("""COMPUTED_VALUE"""),"Villa Rica")</f>
        <v>Villa Rica</v>
      </c>
      <c r="D286" s="1" t="str">
        <f>IFERROR(__xludf.DUMMYFUNCTION("""COMPUTED_VALUE"""),"GA")</f>
        <v>GA</v>
      </c>
      <c r="E286" s="1" t="str">
        <f>IFERROR(__xludf.DUMMYFUNCTION("""COMPUTED_VALUE"""),"30180")</f>
        <v>30180</v>
      </c>
      <c r="F286" s="1" t="str">
        <f>IFERROR(__xludf.DUMMYFUNCTION("""COMPUTED_VALUE"""),"Carroll")</f>
        <v>Carroll</v>
      </c>
      <c r="G286" s="1" t="str">
        <f>IFERROR(__xludf.DUMMYFUNCTION("""COMPUTED_VALUE"""),"33.70459")</f>
        <v>33.70459</v>
      </c>
      <c r="H286" s="1" t="str">
        <f>IFERROR(__xludf.DUMMYFUNCTION("""COMPUTED_VALUE"""),"-84.94")</f>
        <v>-84.94</v>
      </c>
      <c r="I286" s="1" t="str">
        <f>IFERROR(__xludf.DUMMYFUNCTION("""COMPUTED_VALUE"""),"Proposed")</f>
        <v>Proposed</v>
      </c>
      <c r="J286" s="1" t="str">
        <f>IFERROR(__xludf.DUMMYFUNCTION("""COMPUTED_VALUE"""),"High")</f>
        <v>High</v>
      </c>
      <c r="K286" s="1" t="str">
        <f>IFERROR(__xludf.DUMMYFUNCTION("""COMPUTED_VALUE"""),"")</f>
        <v/>
      </c>
      <c r="L286" s="1" t="str">
        <f>IFERROR(__xludf.DUMMYFUNCTION("""COMPUTED_VALUE"""),"Atlanta Development")</f>
        <v>Atlanta Development</v>
      </c>
      <c r="M286" s="1" t="str">
        <f>IFERROR(__xludf.DUMMYFUNCTION("""COMPUTED_VALUE"""),"")</f>
        <v/>
      </c>
      <c r="N286" s="1" t="str">
        <f>IFERROR(__xludf.DUMMYFUNCTION("""COMPUTED_VALUE"""),"")</f>
        <v/>
      </c>
      <c r="O286" s="1" t="str">
        <f>IFERROR(__xludf.DUMMYFUNCTION("""COMPUTED_VALUE"""),"Unknown")</f>
        <v>Unknown</v>
      </c>
      <c r="P286" s="1" t="str">
        <f>IFERROR(__xludf.DUMMYFUNCTION("""COMPUTED_VALUE"""),"")</f>
        <v/>
      </c>
      <c r="Q286" s="1" t="str">
        <f>IFERROR(__xludf.DUMMYFUNCTION("""COMPUTED_VALUE"""),"")</f>
        <v/>
      </c>
      <c r="R286" s="1" t="str">
        <f>IFERROR(__xludf.DUMMYFUNCTION("""COMPUTED_VALUE"""),"")</f>
        <v/>
      </c>
      <c r="S286" s="1" t="str">
        <f>IFERROR(__xludf.DUMMYFUNCTION("""COMPUTED_VALUE"""),"")</f>
        <v/>
      </c>
      <c r="T286" s="1" t="str">
        <f>IFERROR(__xludf.DUMMYFUNCTION("""COMPUTED_VALUE"""),"")</f>
        <v/>
      </c>
      <c r="U286" s="1" t="str">
        <f>IFERROR(__xludf.DUMMYFUNCTION("""COMPUTED_VALUE"""),"")</f>
        <v/>
      </c>
      <c r="V286" s="1" t="str">
        <f>IFERROR(__xludf.DUMMYFUNCTION("""COMPUTED_VALUE"""),"350,000")</f>
        <v>350,000</v>
      </c>
      <c r="W286" s="1" t="str">
        <f>IFERROR(__xludf.DUMMYFUNCTION("""COMPUTED_VALUE"""),"428")</f>
        <v>428</v>
      </c>
      <c r="X286" s="1" t="str">
        <f>IFERROR(__xludf.DUMMYFUNCTION("""COMPUTED_VALUE"""),"$5-7 billion")</f>
        <v>$5-7 billion</v>
      </c>
      <c r="Y286" s="1" t="str">
        <f>IFERROR(__xludf.DUMMYFUNCTION("""COMPUTED_VALUE"""),"")</f>
        <v/>
      </c>
      <c r="Z286" s="1" t="str">
        <f>IFERROR(__xludf.DUMMYFUNCTION("""COMPUTED_VALUE"""),"Unknown")</f>
        <v>Unknown</v>
      </c>
      <c r="AA286" s="1" t="str">
        <f>IFERROR(__xludf.DUMMYFUNCTION("""COMPUTED_VALUE"""),"")</f>
        <v/>
      </c>
      <c r="AB286" s="1" t="str">
        <f>IFERROR(__xludf.DUMMYFUNCTION("""COMPUTED_VALUE"""),"")</f>
        <v/>
      </c>
      <c r="AC286" s="1" t="str">
        <f>IFERROR(__xludf.DUMMYFUNCTION("""COMPUTED_VALUE"""),"")</f>
        <v/>
      </c>
      <c r="AD286" s="1" t="str">
        <f>IFERROR(__xludf.DUMMYFUNCTION("""COMPUTED_VALUE"""),"")</f>
        <v/>
      </c>
      <c r="AE286" s="1" t="str">
        <f>IFERROR(__xludf.DUMMYFUNCTION("""COMPUTED_VALUE"""),"")</f>
        <v/>
      </c>
      <c r="AF286" s="1" t="str">
        <f>IFERROR(__xludf.DUMMYFUNCTION("""COMPUTED_VALUE"""),"")</f>
        <v/>
      </c>
      <c r="AG286" s="1" t="str">
        <f>IFERROR(__xludf.DUMMYFUNCTION("""COMPUTED_VALUE"""),"")</f>
        <v/>
      </c>
      <c r="AH286" s="1" t="str">
        <f>IFERROR(__xludf.DUMMYFUNCTION("""COMPUTED_VALUE"""),"Media Monitoring")</f>
        <v>Media Monitoring</v>
      </c>
      <c r="AI286" s="2" t="str">
        <f>IFERROR(__xludf.DUMMYFUNCTION("""COMPUTED_VALUE"""),"https://cms2.revize.com/revize/villaricaga/Documents/Government/Boards%20and%20Committees/Planning%20and%20Zoning/2024/Agenda/PlanningandZoningCommissionPacket08-20-24031218092024PM1371.pdf")</f>
        <v>https://cms2.revize.com/revize/villaricaga/Documents/Government/Boards%20and%20Committees/Planning%20and%20Zoning/2024/Agenda/PlanningandZoningCommissionPacket08-20-24031218092024PM1371.pdf</v>
      </c>
      <c r="AJ286" s="2" t="str">
        <f>IFERROR(__xludf.DUMMYFUNCTION("""COMPUTED_VALUE"""),"https://www.datacenterdynamics.com/en/news/atlas-files-for-428-acre-technology-and-data-park-outside-atlanta-georgia/")</f>
        <v>https://www.datacenterdynamics.com/en/news/atlas-files-for-428-acre-technology-and-data-park-outside-atlanta-georgia/</v>
      </c>
      <c r="AK286" s="1" t="str">
        <f>IFERROR(__xludf.DUMMYFUNCTION("""COMPUTED_VALUE"""),"")</f>
        <v/>
      </c>
      <c r="AL286" s="1" t="str">
        <f>IFERROR(__xludf.DUMMYFUNCTION("""COMPUTED_VALUE"""),"")</f>
        <v/>
      </c>
      <c r="AM286" s="1" t="str">
        <f>IFERROR(__xludf.DUMMYFUNCTION("""COMPUTED_VALUE"""),"")</f>
        <v/>
      </c>
      <c r="AN286" s="1" t="str">
        <f>IFERROR(__xludf.DUMMYFUNCTION("""COMPUTED_VALUE"""),"")</f>
        <v/>
      </c>
      <c r="AO286" s="1" t="str">
        <f>IFERROR(__xludf.DUMMYFUNCTION("""COMPUTED_VALUE"""),"")</f>
        <v/>
      </c>
      <c r="AP286" s="1" t="str">
        <f>IFERROR(__xludf.DUMMYFUNCTION("""COMPUTED_VALUE"""),"")</f>
        <v/>
      </c>
      <c r="AQ286" s="1" t="str">
        <f>IFERROR(__xludf.DUMMYFUNCTION("""COMPUTED_VALUE"""),"05/26/2025")</f>
        <v>05/26/2025</v>
      </c>
      <c r="AR286" s="1" t="str">
        <f>IFERROR(__xludf.DUMMYFUNCTION("""COMPUTED_VALUE"""),"03/11/2026")</f>
        <v>03/11/2026</v>
      </c>
    </row>
    <row r="287">
      <c r="A287" s="1" t="str">
        <f>IFERROR(__xludf.DUMMYFUNCTION("""COMPUTED_VALUE"""),"EdgeConneX Data Center/ Hickman Property")</f>
        <v>EdgeConneX Data Center/ Hickman Property</v>
      </c>
      <c r="B287" s="1" t="str">
        <f>IFERROR(__xludf.DUMMYFUNCTION("""COMPUTED_VALUE"""),"I-20 and Clinton Rd")</f>
        <v>I-20 and Clinton Rd</v>
      </c>
      <c r="C287" s="1" t="str">
        <f>IFERROR(__xludf.DUMMYFUNCTION("""COMPUTED_VALUE"""),"Villa Rica")</f>
        <v>Villa Rica</v>
      </c>
      <c r="D287" s="1" t="str">
        <f>IFERROR(__xludf.DUMMYFUNCTION("""COMPUTED_VALUE"""),"GA")</f>
        <v>GA</v>
      </c>
      <c r="E287" s="1" t="str">
        <f>IFERROR(__xludf.DUMMYFUNCTION("""COMPUTED_VALUE"""),"30180")</f>
        <v>30180</v>
      </c>
      <c r="F287" s="1" t="str">
        <f>IFERROR(__xludf.DUMMYFUNCTION("""COMPUTED_VALUE"""),"Douglas")</f>
        <v>Douglas</v>
      </c>
      <c r="G287" s="1" t="str">
        <f>IFERROR(__xludf.DUMMYFUNCTION("""COMPUTED_VALUE"""),"33.707703")</f>
        <v>33.707703</v>
      </c>
      <c r="H287" s="1" t="str">
        <f>IFERROR(__xludf.DUMMYFUNCTION("""COMPUTED_VALUE"""),"-84.86278")</f>
        <v>-84.86278</v>
      </c>
      <c r="I287" s="1" t="str">
        <f>IFERROR(__xludf.DUMMYFUNCTION("""COMPUTED_VALUE"""),"Suspended")</f>
        <v>Suspended</v>
      </c>
      <c r="J287" s="1" t="str">
        <f>IFERROR(__xludf.DUMMYFUNCTION("""COMPUTED_VALUE"""),"High")</f>
        <v>High</v>
      </c>
      <c r="K287" s="1" t="str">
        <f>IFERROR(__xludf.DUMMYFUNCTION("""COMPUTED_VALUE"""),"")</f>
        <v/>
      </c>
      <c r="L287" s="1" t="str">
        <f>IFERROR(__xludf.DUMMYFUNCTION("""COMPUTED_VALUE"""),"East Village Donthan LLC")</f>
        <v>East Village Donthan LLC</v>
      </c>
      <c r="M287" s="1" t="str">
        <f>IFERROR(__xludf.DUMMYFUNCTION("""COMPUTED_VALUE"""),"")</f>
        <v/>
      </c>
      <c r="N287" s="1" t="str">
        <f>IFERROR(__xludf.DUMMYFUNCTION("""COMPUTED_VALUE"""),"")</f>
        <v/>
      </c>
      <c r="O287" s="1" t="str">
        <f>IFERROR(__xludf.DUMMYFUNCTION("""COMPUTED_VALUE"""),"Hyperscale (100-999 MW)")</f>
        <v>Hyperscale (100-999 MW)</v>
      </c>
      <c r="P287" s="1" t="str">
        <f>IFERROR(__xludf.DUMMYFUNCTION("""COMPUTED_VALUE"""),"")</f>
        <v/>
      </c>
      <c r="Q287" s="1" t="str">
        <f>IFERROR(__xludf.DUMMYFUNCTION("""COMPUTED_VALUE"""),"")</f>
        <v/>
      </c>
      <c r="R287" s="1" t="str">
        <f>IFERROR(__xludf.DUMMYFUNCTION("""COMPUTED_VALUE"""),"")</f>
        <v/>
      </c>
      <c r="S287" s="1" t="str">
        <f>IFERROR(__xludf.DUMMYFUNCTION("""COMPUTED_VALUE"""),"5")</f>
        <v>5</v>
      </c>
      <c r="T287" s="1" t="str">
        <f>IFERROR(__xludf.DUMMYFUNCTION("""COMPUTED_VALUE"""),"")</f>
        <v/>
      </c>
      <c r="U287" s="1" t="str">
        <f>IFERROR(__xludf.DUMMYFUNCTION("""COMPUTED_VALUE"""),"")</f>
        <v/>
      </c>
      <c r="V287" s="1" t="str">
        <f>IFERROR(__xludf.DUMMYFUNCTION("""COMPUTED_VALUE"""),"4,400,000")</f>
        <v>4,400,000</v>
      </c>
      <c r="W287" s="1" t="str">
        <f>IFERROR(__xludf.DUMMYFUNCTION("""COMPUTED_VALUE"""),"700")</f>
        <v>700</v>
      </c>
      <c r="X287" s="1" t="str">
        <f>IFERROR(__xludf.DUMMYFUNCTION("""COMPUTED_VALUE"""),"")</f>
        <v/>
      </c>
      <c r="Y287" s="1" t="str">
        <f>IFERROR(__xludf.DUMMYFUNCTION("""COMPUTED_VALUE"""),"")</f>
        <v/>
      </c>
      <c r="Z287" s="1" t="str">
        <f>IFERROR(__xludf.DUMMYFUNCTION("""COMPUTED_VALUE"""),"Unknown")</f>
        <v>Unknown</v>
      </c>
      <c r="AA287" s="1" t="str">
        <f>IFERROR(__xludf.DUMMYFUNCTION("""COMPUTED_VALUE"""),"")</f>
        <v/>
      </c>
      <c r="AB287" s="1" t="str">
        <f>IFERROR(__xludf.DUMMYFUNCTION("""COMPUTED_VALUE"""),"")</f>
        <v/>
      </c>
      <c r="AC287" s="1" t="str">
        <f>IFERROR(__xludf.DUMMYFUNCTION("""COMPUTED_VALUE"""),"")</f>
        <v/>
      </c>
      <c r="AD287" s="1" t="str">
        <f>IFERROR(__xludf.DUMMYFUNCTION("""COMPUTED_VALUE"""),"")</f>
        <v/>
      </c>
      <c r="AE287" s="1" t="str">
        <f>IFERROR(__xludf.DUMMYFUNCTION("""COMPUTED_VALUE"""),"")</f>
        <v/>
      </c>
      <c r="AF287" s="1" t="str">
        <f>IFERROR(__xludf.DUMMYFUNCTION("""COMPUTED_VALUE"""),"")</f>
        <v/>
      </c>
      <c r="AG287" s="1" t="str">
        <f>IFERROR(__xludf.DUMMYFUNCTION("""COMPUTED_VALUE"""),"Application denied, July 2026")</f>
        <v>Application denied, July 2026</v>
      </c>
      <c r="AH287" s="1" t="str">
        <f>IFERROR(__xludf.DUMMYFUNCTION("""COMPUTED_VALUE"""),"Sci4GA")</f>
        <v>Sci4GA</v>
      </c>
      <c r="AI287" s="2" t="str">
        <f>IFERROR(__xludf.DUMMYFUNCTION("""COMPUTED_VALUE"""),"https://www.govtech.com/artificial-intelligence/atlanta-data-center-would-be-larger-than-mall-of-georgia")</f>
        <v>https://www.govtech.com/artificial-intelligence/atlanta-data-center-would-be-larger-than-mall-of-georgia</v>
      </c>
      <c r="AJ287" s="2" t="str">
        <f>IFERROR(__xludf.DUMMYFUNCTION("""COMPUTED_VALUE"""),"https://www.datacenterdynamics.com/en/news/county-officials-deny-data-center-zoning-request-in-georgia/")</f>
        <v>https://www.datacenterdynamics.com/en/news/county-officials-deny-data-center-zoning-request-in-georgia/</v>
      </c>
      <c r="AK287" s="1" t="str">
        <f>IFERROR(__xludf.DUMMYFUNCTION("""COMPUTED_VALUE"""),"")</f>
        <v/>
      </c>
      <c r="AL287" s="1" t="str">
        <f>IFERROR(__xludf.DUMMYFUNCTION("""COMPUTED_VALUE"""),"")</f>
        <v/>
      </c>
      <c r="AM287" s="1" t="str">
        <f>IFERROR(__xludf.DUMMYFUNCTION("""COMPUTED_VALUE"""),"")</f>
        <v/>
      </c>
      <c r="AN287" s="1" t="str">
        <f>IFERROR(__xludf.DUMMYFUNCTION("""COMPUTED_VALUE"""),"")</f>
        <v/>
      </c>
      <c r="AO287" s="1" t="str">
        <f>IFERROR(__xludf.DUMMYFUNCTION("""COMPUTED_VALUE"""),"")</f>
        <v/>
      </c>
      <c r="AP287" s="1" t="str">
        <f>IFERROR(__xludf.DUMMYFUNCTION("""COMPUTED_VALUE"""),"")</f>
        <v/>
      </c>
      <c r="AQ287" s="1" t="str">
        <f>IFERROR(__xludf.DUMMYFUNCTION("""COMPUTED_VALUE"""),"10/16/2025")</f>
        <v>10/16/2025</v>
      </c>
      <c r="AR287" s="1" t="str">
        <f>IFERROR(__xludf.DUMMYFUNCTION("""COMPUTED_VALUE"""),"07/11/2026")</f>
        <v>07/11/2026</v>
      </c>
    </row>
    <row r="288">
      <c r="A288" s="1" t="str">
        <f>IFERROR(__xludf.DUMMYFUNCTION("""COMPUTED_VALUE"""),"Robins Air Force Base Data Center")</f>
        <v>Robins Air Force Base Data Center</v>
      </c>
      <c r="B288" s="1" t="str">
        <f>IFERROR(__xludf.DUMMYFUNCTION("""COMPUTED_VALUE"""),"")</f>
        <v/>
      </c>
      <c r="C288" s="1" t="str">
        <f>IFERROR(__xludf.DUMMYFUNCTION("""COMPUTED_VALUE"""),"Warner Robins")</f>
        <v>Warner Robins</v>
      </c>
      <c r="D288" s="1" t="str">
        <f>IFERROR(__xludf.DUMMYFUNCTION("""COMPUTED_VALUE"""),"GA")</f>
        <v>GA</v>
      </c>
      <c r="E288" s="1" t="str">
        <f>IFERROR(__xludf.DUMMYFUNCTION("""COMPUTED_VALUE"""),"31098")</f>
        <v>31098</v>
      </c>
      <c r="F288" s="1" t="str">
        <f>IFERROR(__xludf.DUMMYFUNCTION("""COMPUTED_VALUE"""),"Houston")</f>
        <v>Houston</v>
      </c>
      <c r="G288" s="1" t="str">
        <f>IFERROR(__xludf.DUMMYFUNCTION("""COMPUTED_VALUE"""),"32.6389")</f>
        <v>32.6389</v>
      </c>
      <c r="H288" s="1" t="str">
        <f>IFERROR(__xludf.DUMMYFUNCTION("""COMPUTED_VALUE"""),"-83.592094")</f>
        <v>-83.592094</v>
      </c>
      <c r="I288" s="1" t="str">
        <f>IFERROR(__xludf.DUMMYFUNCTION("""COMPUTED_VALUE"""),"Proposed")</f>
        <v>Proposed</v>
      </c>
      <c r="J288" s="1" t="str">
        <f>IFERROR(__xludf.DUMMYFUNCTION("""COMPUTED_VALUE"""),"Medium")</f>
        <v>Medium</v>
      </c>
      <c r="K288" s="1" t="str">
        <f>IFERROR(__xludf.DUMMYFUNCTION("""COMPUTED_VALUE"""),"")</f>
        <v/>
      </c>
      <c r="L288" s="1" t="str">
        <f>IFERROR(__xludf.DUMMYFUNCTION("""COMPUTED_VALUE"""),"")</f>
        <v/>
      </c>
      <c r="M288" s="1" t="str">
        <f>IFERROR(__xludf.DUMMYFUNCTION("""COMPUTED_VALUE"""),"")</f>
        <v/>
      </c>
      <c r="N288" s="1" t="str">
        <f>IFERROR(__xludf.DUMMYFUNCTION("""COMPUTED_VALUE"""),"")</f>
        <v/>
      </c>
      <c r="O288" s="1" t="str">
        <f>IFERROR(__xludf.DUMMYFUNCTION("""COMPUTED_VALUE"""),"Unknown")</f>
        <v>Unknown</v>
      </c>
      <c r="P288" s="1" t="str">
        <f>IFERROR(__xludf.DUMMYFUNCTION("""COMPUTED_VALUE"""),"")</f>
        <v/>
      </c>
      <c r="Q288" s="1" t="str">
        <f>IFERROR(__xludf.DUMMYFUNCTION("""COMPUTED_VALUE"""),"")</f>
        <v/>
      </c>
      <c r="R288" s="1" t="str">
        <f>IFERROR(__xludf.DUMMYFUNCTION("""COMPUTED_VALUE"""),"")</f>
        <v/>
      </c>
      <c r="S288" s="1" t="str">
        <f>IFERROR(__xludf.DUMMYFUNCTION("""COMPUTED_VALUE"""),"")</f>
        <v/>
      </c>
      <c r="T288" s="1" t="str">
        <f>IFERROR(__xludf.DUMMYFUNCTION("""COMPUTED_VALUE"""),"")</f>
        <v/>
      </c>
      <c r="U288" s="1" t="str">
        <f>IFERROR(__xludf.DUMMYFUNCTION("""COMPUTED_VALUE"""),"")</f>
        <v/>
      </c>
      <c r="V288" s="1" t="str">
        <f>IFERROR(__xludf.DUMMYFUNCTION("""COMPUTED_VALUE"""),"")</f>
        <v/>
      </c>
      <c r="W288" s="1" t="str">
        <f>IFERROR(__xludf.DUMMYFUNCTION("""COMPUTED_VALUE"""),"")</f>
        <v/>
      </c>
      <c r="X288" s="1" t="str">
        <f>IFERROR(__xludf.DUMMYFUNCTION("""COMPUTED_VALUE"""),"")</f>
        <v/>
      </c>
      <c r="Y288" s="1" t="str">
        <f>IFERROR(__xludf.DUMMYFUNCTION("""COMPUTED_VALUE"""),"")</f>
        <v/>
      </c>
      <c r="Z288" s="1" t="str">
        <f>IFERROR(__xludf.DUMMYFUNCTION("""COMPUTED_VALUE"""),"Unknown")</f>
        <v>Unknown</v>
      </c>
      <c r="AA288" s="1" t="str">
        <f>IFERROR(__xludf.DUMMYFUNCTION("""COMPUTED_VALUE"""),"")</f>
        <v/>
      </c>
      <c r="AB288" s="1" t="str">
        <f>IFERROR(__xludf.DUMMYFUNCTION("""COMPUTED_VALUE"""),"")</f>
        <v/>
      </c>
      <c r="AC288" s="1" t="str">
        <f>IFERROR(__xludf.DUMMYFUNCTION("""COMPUTED_VALUE"""),"")</f>
        <v/>
      </c>
      <c r="AD288" s="1" t="str">
        <f>IFERROR(__xludf.DUMMYFUNCTION("""COMPUTED_VALUE"""),"")</f>
        <v/>
      </c>
      <c r="AE288" s="1" t="str">
        <f>IFERROR(__xludf.DUMMYFUNCTION("""COMPUTED_VALUE"""),"")</f>
        <v/>
      </c>
      <c r="AF288" s="1" t="str">
        <f>IFERROR(__xludf.DUMMYFUNCTION("""COMPUTED_VALUE"""),"")</f>
        <v/>
      </c>
      <c r="AG288" s="1" t="str">
        <f>IFERROR(__xludf.DUMMYFUNCTION("""COMPUTED_VALUE"""),"")</f>
        <v/>
      </c>
      <c r="AH288" s="1" t="str">
        <f>IFERROR(__xludf.DUMMYFUNCTION("""COMPUTED_VALUE"""),"Media Monitoring")</f>
        <v>Media Monitoring</v>
      </c>
      <c r="AI288" s="2" t="str">
        <f>IFERROR(__xludf.DUMMYFUNCTION("""COMPUTED_VALUE"""),"https://www.datacenterdynamics.com/en/news/us-department-of-the-air-force-accepting-proposals-for-ai-data-centers-in-military-bases/")</f>
        <v>https://www.datacenterdynamics.com/en/news/us-department-of-the-air-force-accepting-proposals-for-ai-data-centers-in-military-bases/</v>
      </c>
      <c r="AJ288" s="1" t="str">
        <f>IFERROR(__xludf.DUMMYFUNCTION("""COMPUTED_VALUE"""),"")</f>
        <v/>
      </c>
      <c r="AK288" s="1" t="str">
        <f>IFERROR(__xludf.DUMMYFUNCTION("""COMPUTED_VALUE"""),"")</f>
        <v/>
      </c>
      <c r="AL288" s="1" t="str">
        <f>IFERROR(__xludf.DUMMYFUNCTION("""COMPUTED_VALUE"""),"")</f>
        <v/>
      </c>
      <c r="AM288" s="1" t="str">
        <f>IFERROR(__xludf.DUMMYFUNCTION("""COMPUTED_VALUE"""),"")</f>
        <v/>
      </c>
      <c r="AN288" s="1" t="str">
        <f>IFERROR(__xludf.DUMMYFUNCTION("""COMPUTED_VALUE"""),"")</f>
        <v/>
      </c>
      <c r="AO288" s="1" t="str">
        <f>IFERROR(__xludf.DUMMYFUNCTION("""COMPUTED_VALUE"""),"")</f>
        <v/>
      </c>
      <c r="AP288" s="1" t="str">
        <f>IFERROR(__xludf.DUMMYFUNCTION("""COMPUTED_VALUE"""),"")</f>
        <v/>
      </c>
      <c r="AQ288" s="1" t="str">
        <f>IFERROR(__xludf.DUMMYFUNCTION("""COMPUTED_VALUE"""),"10/21/2025")</f>
        <v>10/21/2025</v>
      </c>
      <c r="AR288" s="1" t="str">
        <f>IFERROR(__xludf.DUMMYFUNCTION("""COMPUTED_VALUE"""),"10/21/2025")</f>
        <v>10/21/2025</v>
      </c>
    </row>
    <row r="289">
      <c r="A289" s="1" t="str">
        <f>IFERROR(__xludf.DUMMYFUNCTION("""COMPUTED_VALUE"""),"Stream Atlanta West Data Center")</f>
        <v>Stream Atlanta West Data Center</v>
      </c>
      <c r="B289" s="1" t="str">
        <f>IFERROR(__xludf.DUMMYFUNCTION("""COMPUTED_VALUE"""),"Jason Industrial Parkway and N Baggett Road")</f>
        <v>Jason Industrial Parkway and N Baggett Road</v>
      </c>
      <c r="C289" s="1" t="str">
        <f>IFERROR(__xludf.DUMMYFUNCTION("""COMPUTED_VALUE"""),"Winston")</f>
        <v>Winston</v>
      </c>
      <c r="D289" s="1" t="str">
        <f>IFERROR(__xludf.DUMMYFUNCTION("""COMPUTED_VALUE"""),"GA")</f>
        <v>GA</v>
      </c>
      <c r="E289" s="1" t="str">
        <f>IFERROR(__xludf.DUMMYFUNCTION("""COMPUTED_VALUE"""),"30187")</f>
        <v>30187</v>
      </c>
      <c r="F289" s="1" t="str">
        <f>IFERROR(__xludf.DUMMYFUNCTION("""COMPUTED_VALUE"""),"Douglas")</f>
        <v>Douglas</v>
      </c>
      <c r="G289" s="1" t="str">
        <f>IFERROR(__xludf.DUMMYFUNCTION("""COMPUTED_VALUE"""),"33.739944")</f>
        <v>33.739944</v>
      </c>
      <c r="H289" s="1" t="str">
        <f>IFERROR(__xludf.DUMMYFUNCTION("""COMPUTED_VALUE"""),"-84.80678")</f>
        <v>-84.80678</v>
      </c>
      <c r="I289" s="1" t="str">
        <f>IFERROR(__xludf.DUMMYFUNCTION("""COMPUTED_VALUE"""),"Operating")</f>
        <v>Operating</v>
      </c>
      <c r="J289" s="1" t="str">
        <f>IFERROR(__xludf.DUMMYFUNCTION("""COMPUTED_VALUE"""),"High")</f>
        <v>High</v>
      </c>
      <c r="K289" s="1" t="str">
        <f>IFERROR(__xludf.DUMMYFUNCTION("""COMPUTED_VALUE"""),"")</f>
        <v/>
      </c>
      <c r="L289" s="1" t="str">
        <f>IFERROR(__xludf.DUMMYFUNCTION("""COMPUTED_VALUE"""),"Stream Data Centers")</f>
        <v>Stream Data Centers</v>
      </c>
      <c r="M289" s="1" t="str">
        <f>IFERROR(__xludf.DUMMYFUNCTION("""COMPUTED_VALUE"""),"")</f>
        <v/>
      </c>
      <c r="N289" s="1" t="str">
        <f>IFERROR(__xludf.DUMMYFUNCTION("""COMPUTED_VALUE"""),"240")</f>
        <v>240</v>
      </c>
      <c r="O289" s="1" t="str">
        <f>IFERROR(__xludf.DUMMYFUNCTION("""COMPUTED_VALUE"""),"Hyperscale (100-999 MW)")</f>
        <v>Hyperscale (100-999 MW)</v>
      </c>
      <c r="P289" s="1" t="str">
        <f>IFERROR(__xludf.DUMMYFUNCTION("""COMPUTED_VALUE"""),"")</f>
        <v/>
      </c>
      <c r="Q289" s="1" t="str">
        <f>IFERROR(__xludf.DUMMYFUNCTION("""COMPUTED_VALUE"""),"")</f>
        <v/>
      </c>
      <c r="R289" s="1" t="str">
        <f>IFERROR(__xludf.DUMMYFUNCTION("""COMPUTED_VALUE"""),"")</f>
        <v/>
      </c>
      <c r="S289" s="1" t="str">
        <f>IFERROR(__xludf.DUMMYFUNCTION("""COMPUTED_VALUE"""),"")</f>
        <v/>
      </c>
      <c r="T289" s="1" t="str">
        <f>IFERROR(__xludf.DUMMYFUNCTION("""COMPUTED_VALUE"""),"")</f>
        <v/>
      </c>
      <c r="U289" s="1" t="str">
        <f>IFERROR(__xludf.DUMMYFUNCTION("""COMPUTED_VALUE"""),"")</f>
        <v/>
      </c>
      <c r="V289" s="1" t="str">
        <f>IFERROR(__xludf.DUMMYFUNCTION("""COMPUTED_VALUE"""),"1,343,700")</f>
        <v>1,343,700</v>
      </c>
      <c r="W289" s="1" t="str">
        <f>IFERROR(__xludf.DUMMYFUNCTION("""COMPUTED_VALUE"""),"")</f>
        <v/>
      </c>
      <c r="X289" s="1" t="str">
        <f>IFERROR(__xludf.DUMMYFUNCTION("""COMPUTED_VALUE"""),"")</f>
        <v/>
      </c>
      <c r="Y289" s="1" t="str">
        <f>IFERROR(__xludf.DUMMYFUNCTION("""COMPUTED_VALUE"""),"")</f>
        <v/>
      </c>
      <c r="Z289" s="1" t="str">
        <f>IFERROR(__xludf.DUMMYFUNCTION("""COMPUTED_VALUE"""),"Unknown")</f>
        <v>Unknown</v>
      </c>
      <c r="AA289" s="1" t="str">
        <f>IFERROR(__xludf.DUMMYFUNCTION("""COMPUTED_VALUE"""),"")</f>
        <v/>
      </c>
      <c r="AB289" s="1" t="str">
        <f>IFERROR(__xludf.DUMMYFUNCTION("""COMPUTED_VALUE"""),"")</f>
        <v/>
      </c>
      <c r="AC289" s="1" t="str">
        <f>IFERROR(__xludf.DUMMYFUNCTION("""COMPUTED_VALUE"""),"")</f>
        <v/>
      </c>
      <c r="AD289" s="1" t="str">
        <f>IFERROR(__xludf.DUMMYFUNCTION("""COMPUTED_VALUE"""),"")</f>
        <v/>
      </c>
      <c r="AE289" s="1" t="str">
        <f>IFERROR(__xludf.DUMMYFUNCTION("""COMPUTED_VALUE"""),"")</f>
        <v/>
      </c>
      <c r="AF289" s="1" t="str">
        <f>IFERROR(__xludf.DUMMYFUNCTION("""COMPUTED_VALUE"""),"")</f>
        <v/>
      </c>
      <c r="AG289" s="1" t="str">
        <f>IFERROR(__xludf.DUMMYFUNCTION("""COMPUTED_VALUE"""),"")</f>
        <v/>
      </c>
      <c r="AH289" s="1" t="str">
        <f>IFERROR(__xludf.DUMMYFUNCTION("""COMPUTED_VALUE"""),"Sci4GA")</f>
        <v>Sci4GA</v>
      </c>
      <c r="AI289" s="2" t="str">
        <f>IFERROR(__xludf.DUMMYFUNCTION("""COMPUTED_VALUE"""),"https://apps.dca.ga.gov/DRI/AppSummary.aspx?driid=4334")</f>
        <v>https://apps.dca.ga.gov/DRI/AppSummary.aspx?driid=4334</v>
      </c>
      <c r="AJ289" s="1" t="str">
        <f>IFERROR(__xludf.DUMMYFUNCTION("""COMPUTED_VALUE"""),"")</f>
        <v/>
      </c>
      <c r="AK289" s="1" t="str">
        <f>IFERROR(__xludf.DUMMYFUNCTION("""COMPUTED_VALUE"""),"")</f>
        <v/>
      </c>
      <c r="AL289" s="1" t="str">
        <f>IFERROR(__xludf.DUMMYFUNCTION("""COMPUTED_VALUE"""),"")</f>
        <v/>
      </c>
      <c r="AM289" s="1" t="str">
        <f>IFERROR(__xludf.DUMMYFUNCTION("""COMPUTED_VALUE"""),"")</f>
        <v/>
      </c>
      <c r="AN289" s="1" t="str">
        <f>IFERROR(__xludf.DUMMYFUNCTION("""COMPUTED_VALUE"""),"")</f>
        <v/>
      </c>
      <c r="AO289" s="1" t="str">
        <f>IFERROR(__xludf.DUMMYFUNCTION("""COMPUTED_VALUE"""),"")</f>
        <v/>
      </c>
      <c r="AP289" s="1" t="str">
        <f>IFERROR(__xludf.DUMMYFUNCTION("""COMPUTED_VALUE"""),"")</f>
        <v/>
      </c>
      <c r="AQ289" s="1" t="str">
        <f>IFERROR(__xludf.DUMMYFUNCTION("""COMPUTED_VALUE"""),"10/16/2025")</f>
        <v>10/16/2025</v>
      </c>
      <c r="AR289" s="1" t="str">
        <f>IFERROR(__xludf.DUMMYFUNCTION("""COMPUTED_VALUE"""),"10/16/2025")</f>
        <v>10/16/2025</v>
      </c>
    </row>
    <row r="290">
      <c r="A290" s="1" t="str">
        <f>IFERROR(__xludf.DUMMYFUNCTION("""COMPUTED_VALUE"""),"Stream Data Center")</f>
        <v>Stream Data Center</v>
      </c>
      <c r="B290" s="1" t="str">
        <f>IFERROR(__xludf.DUMMYFUNCTION("""COMPUTED_VALUE"""),"Between N. Baggett Rd and Jason Industrial Pkwy")</f>
        <v>Between N. Baggett Rd and Jason Industrial Pkwy</v>
      </c>
      <c r="C290" s="1" t="str">
        <f>IFERROR(__xludf.DUMMYFUNCTION("""COMPUTED_VALUE"""),"Winston")</f>
        <v>Winston</v>
      </c>
      <c r="D290" s="1" t="str">
        <f>IFERROR(__xludf.DUMMYFUNCTION("""COMPUTED_VALUE"""),"GA")</f>
        <v>GA</v>
      </c>
      <c r="E290" s="1" t="str">
        <f>IFERROR(__xludf.DUMMYFUNCTION("""COMPUTED_VALUE"""),"30187")</f>
        <v>30187</v>
      </c>
      <c r="F290" s="1" t="str">
        <f>IFERROR(__xludf.DUMMYFUNCTION("""COMPUTED_VALUE"""),"Douglas")</f>
        <v>Douglas</v>
      </c>
      <c r="G290" s="1" t="str">
        <f>IFERROR(__xludf.DUMMYFUNCTION("""COMPUTED_VALUE"""),"33.73446")</f>
        <v>33.73446</v>
      </c>
      <c r="H290" s="1" t="str">
        <f>IFERROR(__xludf.DUMMYFUNCTION("""COMPUTED_VALUE"""),"-84.8097")</f>
        <v>-84.8097</v>
      </c>
      <c r="I290" s="1" t="str">
        <f>IFERROR(__xludf.DUMMYFUNCTION("""COMPUTED_VALUE"""),"Proposed")</f>
        <v>Proposed</v>
      </c>
      <c r="J290" s="1" t="str">
        <f>IFERROR(__xludf.DUMMYFUNCTION("""COMPUTED_VALUE"""),"Medium")</f>
        <v>Medium</v>
      </c>
      <c r="K290" s="1" t="str">
        <f>IFERROR(__xludf.DUMMYFUNCTION("""COMPUTED_VALUE"""),"")</f>
        <v/>
      </c>
      <c r="L290" s="1" t="str">
        <f>IFERROR(__xludf.DUMMYFUNCTION("""COMPUTED_VALUE"""),"")</f>
        <v/>
      </c>
      <c r="M290" s="1" t="str">
        <f>IFERROR(__xludf.DUMMYFUNCTION("""COMPUTED_VALUE"""),"")</f>
        <v/>
      </c>
      <c r="N290" s="1" t="str">
        <f>IFERROR(__xludf.DUMMYFUNCTION("""COMPUTED_VALUE"""),"240")</f>
        <v>240</v>
      </c>
      <c r="O290" s="1" t="str">
        <f>IFERROR(__xludf.DUMMYFUNCTION("""COMPUTED_VALUE"""),"Hyperscale (100-999 MW)")</f>
        <v>Hyperscale (100-999 MW)</v>
      </c>
      <c r="P290" s="1" t="str">
        <f>IFERROR(__xludf.DUMMYFUNCTION("""COMPUTED_VALUE"""),"")</f>
        <v/>
      </c>
      <c r="Q290" s="1" t="str">
        <f>IFERROR(__xludf.DUMMYFUNCTION("""COMPUTED_VALUE"""),"")</f>
        <v/>
      </c>
      <c r="R290" s="1" t="str">
        <f>IFERROR(__xludf.DUMMYFUNCTION("""COMPUTED_VALUE"""),"")</f>
        <v/>
      </c>
      <c r="S290" s="1" t="str">
        <f>IFERROR(__xludf.DUMMYFUNCTION("""COMPUTED_VALUE"""),"9")</f>
        <v>9</v>
      </c>
      <c r="T290" s="1" t="str">
        <f>IFERROR(__xludf.DUMMYFUNCTION("""COMPUTED_VALUE"""),"")</f>
        <v/>
      </c>
      <c r="U290" s="1" t="str">
        <f>IFERROR(__xludf.DUMMYFUNCTION("""COMPUTED_VALUE"""),"")</f>
        <v/>
      </c>
      <c r="V290" s="1" t="str">
        <f>IFERROR(__xludf.DUMMYFUNCTION("""COMPUTED_VALUE"""),"1,300,000")</f>
        <v>1,300,000</v>
      </c>
      <c r="W290" s="1" t="str">
        <f>IFERROR(__xludf.DUMMYFUNCTION("""COMPUTED_VALUE"""),"")</f>
        <v/>
      </c>
      <c r="X290" s="1" t="str">
        <f>IFERROR(__xludf.DUMMYFUNCTION("""COMPUTED_VALUE"""),"")</f>
        <v/>
      </c>
      <c r="Y290" s="1" t="str">
        <f>IFERROR(__xludf.DUMMYFUNCTION("""COMPUTED_VALUE"""),"")</f>
        <v/>
      </c>
      <c r="Z290" s="1" t="str">
        <f>IFERROR(__xludf.DUMMYFUNCTION("""COMPUTED_VALUE"""),"Unknown")</f>
        <v>Unknown</v>
      </c>
      <c r="AA290" s="1" t="str">
        <f>IFERROR(__xludf.DUMMYFUNCTION("""COMPUTED_VALUE"""),"")</f>
        <v/>
      </c>
      <c r="AB290" s="1" t="str">
        <f>IFERROR(__xludf.DUMMYFUNCTION("""COMPUTED_VALUE"""),"")</f>
        <v/>
      </c>
      <c r="AC290" s="1" t="str">
        <f>IFERROR(__xludf.DUMMYFUNCTION("""COMPUTED_VALUE"""),"")</f>
        <v/>
      </c>
      <c r="AD290" s="1" t="str">
        <f>IFERROR(__xludf.DUMMYFUNCTION("""COMPUTED_VALUE"""),"")</f>
        <v/>
      </c>
      <c r="AE290" s="1" t="str">
        <f>IFERROR(__xludf.DUMMYFUNCTION("""COMPUTED_VALUE"""),"")</f>
        <v/>
      </c>
      <c r="AF290" s="1" t="str">
        <f>IFERROR(__xludf.DUMMYFUNCTION("""COMPUTED_VALUE"""),"")</f>
        <v/>
      </c>
      <c r="AG290" s="1" t="str">
        <f>IFERROR(__xludf.DUMMYFUNCTION("""COMPUTED_VALUE"""),"2 substations")</f>
        <v>2 substations</v>
      </c>
      <c r="AH290" s="1" t="str">
        <f>IFERROR(__xludf.DUMMYFUNCTION("""COMPUTED_VALUE"""),"Media Monitoring")</f>
        <v>Media Monitoring</v>
      </c>
      <c r="AI290" s="2" t="str">
        <f>IFERROR(__xludf.DUMMYFUNCTION("""COMPUTED_VALUE"""),"https://www.datacenterdynamics.com/en/news/stream-files-for-13-million-sq-ft-data-center-campus-outside-atlanta-georgia/")</f>
        <v>https://www.datacenterdynamics.com/en/news/stream-files-for-13-million-sq-ft-data-center-campus-outside-atlanta-georgia/</v>
      </c>
      <c r="AJ290" s="2" t="str">
        <f>IFERROR(__xludf.DUMMYFUNCTION("""COMPUTED_VALUE"""),"https://www.datacenterdynamics.com/en/news/dc-blox-secures-115bn-green-loan-for-atlanta-data-center-development/")</f>
        <v>https://www.datacenterdynamics.com/en/news/dc-blox-secures-115bn-green-loan-for-atlanta-data-center-development/</v>
      </c>
      <c r="AK290" s="1" t="str">
        <f>IFERROR(__xludf.DUMMYFUNCTION("""COMPUTED_VALUE"""),"")</f>
        <v/>
      </c>
      <c r="AL290" s="1" t="str">
        <f>IFERROR(__xludf.DUMMYFUNCTION("""COMPUTED_VALUE"""),"")</f>
        <v/>
      </c>
      <c r="AM290" s="1" t="str">
        <f>IFERROR(__xludf.DUMMYFUNCTION("""COMPUTED_VALUE"""),"")</f>
        <v/>
      </c>
      <c r="AN290" s="1" t="str">
        <f>IFERROR(__xludf.DUMMYFUNCTION("""COMPUTED_VALUE"""),"")</f>
        <v/>
      </c>
      <c r="AO290" s="1" t="str">
        <f>IFERROR(__xludf.DUMMYFUNCTION("""COMPUTED_VALUE"""),"")</f>
        <v/>
      </c>
      <c r="AP290" s="1" t="str">
        <f>IFERROR(__xludf.DUMMYFUNCTION("""COMPUTED_VALUE"""),"")</f>
        <v/>
      </c>
      <c r="AQ290" s="1" t="str">
        <f>IFERROR(__xludf.DUMMYFUNCTION("""COMPUTED_VALUE"""),"08/25/2025")</f>
        <v>08/25/2025</v>
      </c>
      <c r="AR290" s="1" t="str">
        <f>IFERROR(__xludf.DUMMYFUNCTION("""COMPUTED_VALUE"""),"08/25/2025")</f>
        <v>08/25/2025</v>
      </c>
    </row>
    <row r="291">
      <c r="A291" s="1" t="str">
        <f>IFERROR(__xludf.DUMMYFUNCTION("""COMPUTED_VALUE"""),"Mililani Technology Park")</f>
        <v>Mililani Technology Park</v>
      </c>
      <c r="B291" s="1" t="str">
        <f>IFERROR(__xludf.DUMMYFUNCTION("""COMPUTED_VALUE"""),"100 Kahelu Ave")</f>
        <v>100 Kahelu Ave</v>
      </c>
      <c r="C291" s="1" t="str">
        <f>IFERROR(__xludf.DUMMYFUNCTION("""COMPUTED_VALUE"""),"Mililani")</f>
        <v>Mililani</v>
      </c>
      <c r="D291" s="1" t="str">
        <f>IFERROR(__xludf.DUMMYFUNCTION("""COMPUTED_VALUE"""),"HI")</f>
        <v>HI</v>
      </c>
      <c r="E291" s="1" t="str">
        <f>IFERROR(__xludf.DUMMYFUNCTION("""COMPUTED_VALUE"""),"96789")</f>
        <v>96789</v>
      </c>
      <c r="F291" s="1" t="str">
        <f>IFERROR(__xludf.DUMMYFUNCTION("""COMPUTED_VALUE"""),"Honolulu")</f>
        <v>Honolulu</v>
      </c>
      <c r="G291" s="1" t="str">
        <f>IFERROR(__xludf.DUMMYFUNCTION("""COMPUTED_VALUE"""),"21.480452")</f>
        <v>21.480452</v>
      </c>
      <c r="H291" s="1" t="str">
        <f>IFERROR(__xludf.DUMMYFUNCTION("""COMPUTED_VALUE"""),"-158.02138")</f>
        <v>-158.02138</v>
      </c>
      <c r="I291" s="1" t="str">
        <f>IFERROR(__xludf.DUMMYFUNCTION("""COMPUTED_VALUE"""),"Expanding")</f>
        <v>Expanding</v>
      </c>
      <c r="J291" s="1" t="str">
        <f>IFERROR(__xludf.DUMMYFUNCTION("""COMPUTED_VALUE"""),"Medium")</f>
        <v>Medium</v>
      </c>
      <c r="K291" s="1" t="str">
        <f>IFERROR(__xludf.DUMMYFUNCTION("""COMPUTED_VALUE"""),"")</f>
        <v/>
      </c>
      <c r="L291" s="1" t="str">
        <f>IFERROR(__xludf.DUMMYFUNCTION("""COMPUTED_VALUE"""),"")</f>
        <v/>
      </c>
      <c r="M291" s="1" t="str">
        <f>IFERROR(__xludf.DUMMYFUNCTION("""COMPUTED_VALUE"""),"")</f>
        <v/>
      </c>
      <c r="N291" s="1" t="str">
        <f>IFERROR(__xludf.DUMMYFUNCTION("""COMPUTED_VALUE"""),"")</f>
        <v/>
      </c>
      <c r="O291" s="1" t="str">
        <f>IFERROR(__xludf.DUMMYFUNCTION("""COMPUTED_VALUE"""),"Unknown")</f>
        <v>Unknown</v>
      </c>
      <c r="P291" s="1" t="str">
        <f>IFERROR(__xludf.DUMMYFUNCTION("""COMPUTED_VALUE"""),"Hybrid (onsite and grid)")</f>
        <v>Hybrid (onsite and grid)</v>
      </c>
      <c r="Q291" s="1" t="str">
        <f>IFERROR(__xludf.DUMMYFUNCTION("""COMPUTED_VALUE"""),"")</f>
        <v/>
      </c>
      <c r="R291" s="1" t="str">
        <f>IFERROR(__xludf.DUMMYFUNCTION("""COMPUTED_VALUE"""),"")</f>
        <v/>
      </c>
      <c r="S291" s="1" t="str">
        <f>IFERROR(__xludf.DUMMYFUNCTION("""COMPUTED_VALUE"""),"")</f>
        <v/>
      </c>
      <c r="T291" s="1" t="str">
        <f>IFERROR(__xludf.DUMMYFUNCTION("""COMPUTED_VALUE"""),"")</f>
        <v/>
      </c>
      <c r="U291" s="1" t="str">
        <f>IFERROR(__xludf.DUMMYFUNCTION("""COMPUTED_VALUE"""),"")</f>
        <v/>
      </c>
      <c r="V291" s="1" t="str">
        <f>IFERROR(__xludf.DUMMYFUNCTION("""COMPUTED_VALUE"""),"30,000")</f>
        <v>30,000</v>
      </c>
      <c r="W291" s="1" t="str">
        <f>IFERROR(__xludf.DUMMYFUNCTION("""COMPUTED_VALUE"""),"")</f>
        <v/>
      </c>
      <c r="X291" s="1" t="str">
        <f>IFERROR(__xludf.DUMMYFUNCTION("""COMPUTED_VALUE"""),"")</f>
        <v/>
      </c>
      <c r="Y291" s="1" t="str">
        <f>IFERROR(__xludf.DUMMYFUNCTION("""COMPUTED_VALUE"""),"")</f>
        <v/>
      </c>
      <c r="Z291" s="1" t="str">
        <f>IFERROR(__xludf.DUMMYFUNCTION("""COMPUTED_VALUE"""),"Unknown")</f>
        <v>Unknown</v>
      </c>
      <c r="AA291" s="1" t="str">
        <f>IFERROR(__xludf.DUMMYFUNCTION("""COMPUTED_VALUE"""),"")</f>
        <v/>
      </c>
      <c r="AB291" s="1" t="str">
        <f>IFERROR(__xludf.DUMMYFUNCTION("""COMPUTED_VALUE"""),"")</f>
        <v/>
      </c>
      <c r="AC291" s="1" t="str">
        <f>IFERROR(__xludf.DUMMYFUNCTION("""COMPUTED_VALUE"""),"")</f>
        <v/>
      </c>
      <c r="AD291" s="1" t="str">
        <f>IFERROR(__xludf.DUMMYFUNCTION("""COMPUTED_VALUE"""),"")</f>
        <v/>
      </c>
      <c r="AE291" s="1" t="str">
        <f>IFERROR(__xludf.DUMMYFUNCTION("""COMPUTED_VALUE"""),"")</f>
        <v/>
      </c>
      <c r="AF291" s="1" t="str">
        <f>IFERROR(__xludf.DUMMYFUNCTION("""COMPUTED_VALUE"""),"")</f>
        <v/>
      </c>
      <c r="AG291" s="1" t="str">
        <f>IFERROR(__xludf.DUMMYFUNCTION("""COMPUTED_VALUE"""),"")</f>
        <v/>
      </c>
      <c r="AH291" s="1" t="str">
        <f>IFERROR(__xludf.DUMMYFUNCTION("""COMPUTED_VALUE"""),"Media Monitoring")</f>
        <v>Media Monitoring</v>
      </c>
      <c r="AI291" s="2" t="str">
        <f>IFERROR(__xludf.DUMMYFUNCTION("""COMPUTED_VALUE"""),"https://www.datacenterdynamics.com/en/news/hawaii-based-cloud-provider-servpac-expands-data-center/")</f>
        <v>https://www.datacenterdynamics.com/en/news/hawaii-based-cloud-provider-servpac-expands-data-center/</v>
      </c>
      <c r="AJ291" s="1" t="str">
        <f>IFERROR(__xludf.DUMMYFUNCTION("""COMPUTED_VALUE"""),"")</f>
        <v/>
      </c>
      <c r="AK291" s="1" t="str">
        <f>IFERROR(__xludf.DUMMYFUNCTION("""COMPUTED_VALUE"""),"")</f>
        <v/>
      </c>
      <c r="AL291" s="1" t="str">
        <f>IFERROR(__xludf.DUMMYFUNCTION("""COMPUTED_VALUE"""),"")</f>
        <v/>
      </c>
      <c r="AM291" s="1" t="str">
        <f>IFERROR(__xludf.DUMMYFUNCTION("""COMPUTED_VALUE"""),"")</f>
        <v/>
      </c>
      <c r="AN291" s="1" t="str">
        <f>IFERROR(__xludf.DUMMYFUNCTION("""COMPUTED_VALUE"""),"")</f>
        <v/>
      </c>
      <c r="AO291" s="1" t="str">
        <f>IFERROR(__xludf.DUMMYFUNCTION("""COMPUTED_VALUE"""),"")</f>
        <v/>
      </c>
      <c r="AP291" s="1" t="str">
        <f>IFERROR(__xludf.DUMMYFUNCTION("""COMPUTED_VALUE"""),"")</f>
        <v/>
      </c>
      <c r="AQ291" s="1" t="str">
        <f>IFERROR(__xludf.DUMMYFUNCTION("""COMPUTED_VALUE"""),"02/20/2026")</f>
        <v>02/20/2026</v>
      </c>
      <c r="AR291" s="1" t="str">
        <f>IFERROR(__xludf.DUMMYFUNCTION("""COMPUTED_VALUE"""),"02/20/2026")</f>
        <v>02/20/2026</v>
      </c>
    </row>
    <row r="292">
      <c r="A292" s="1" t="str">
        <f>IFERROR(__xludf.DUMMYFUNCTION("""COMPUTED_VALUE"""),"Applied Digital")</f>
        <v>Applied Digital</v>
      </c>
      <c r="B292" s="1" t="str">
        <f>IFERROR(__xludf.DUMMYFUNCTION("""COMPUTED_VALUE"""),"~1260 Fallow Ave")</f>
        <v>~1260 Fallow Ave</v>
      </c>
      <c r="C292" s="1" t="str">
        <f>IFERROR(__xludf.DUMMYFUNCTION("""COMPUTED_VALUE"""),"Adair")</f>
        <v>Adair</v>
      </c>
      <c r="D292" s="1" t="str">
        <f>IFERROR(__xludf.DUMMYFUNCTION("""COMPUTED_VALUE"""),"IA")</f>
        <v>IA</v>
      </c>
      <c r="E292" s="1" t="str">
        <f>IFERROR(__xludf.DUMMYFUNCTION("""COMPUTED_VALUE"""),"50002")</f>
        <v>50002</v>
      </c>
      <c r="F292" s="1" t="str">
        <f>IFERROR(__xludf.DUMMYFUNCTION("""COMPUTED_VALUE"""),"Adair")</f>
        <v>Adair</v>
      </c>
      <c r="G292" s="1" t="str">
        <f>IFERROR(__xludf.DUMMYFUNCTION("""COMPUTED_VALUE"""),"41.46419")</f>
        <v>41.46419</v>
      </c>
      <c r="H292" s="1" t="str">
        <f>IFERROR(__xludf.DUMMYFUNCTION("""COMPUTED_VALUE"""),"-94.6051")</f>
        <v>-94.6051</v>
      </c>
      <c r="I292" s="1" t="str">
        <f>IFERROR(__xludf.DUMMYFUNCTION("""COMPUTED_VALUE"""),"Proposed")</f>
        <v>Proposed</v>
      </c>
      <c r="J292" s="1" t="str">
        <f>IFERROR(__xludf.DUMMYFUNCTION("""COMPUTED_VALUE"""),"High")</f>
        <v>High</v>
      </c>
      <c r="K292" s="1" t="str">
        <f>IFERROR(__xludf.DUMMYFUNCTION("""COMPUTED_VALUE"""),"")</f>
        <v/>
      </c>
      <c r="L292" s="1" t="str">
        <f>IFERROR(__xludf.DUMMYFUNCTION("""COMPUTED_VALUE"""),"")</f>
        <v/>
      </c>
      <c r="M292" s="1" t="str">
        <f>IFERROR(__xludf.DUMMYFUNCTION("""COMPUTED_VALUE"""),"")</f>
        <v/>
      </c>
      <c r="N292" s="1" t="str">
        <f>IFERROR(__xludf.DUMMYFUNCTION("""COMPUTED_VALUE"""),"200")</f>
        <v>200</v>
      </c>
      <c r="O292" s="1" t="str">
        <f>IFERROR(__xludf.DUMMYFUNCTION("""COMPUTED_VALUE"""),"Hyperscale (100-999 MW)")</f>
        <v>Hyperscale (100-999 MW)</v>
      </c>
      <c r="P292" s="1" t="str">
        <f>IFERROR(__xludf.DUMMYFUNCTION("""COMPUTED_VALUE"""),"")</f>
        <v/>
      </c>
      <c r="Q292" s="1" t="str">
        <f>IFERROR(__xludf.DUMMYFUNCTION("""COMPUTED_VALUE"""),"")</f>
        <v/>
      </c>
      <c r="R292" s="1" t="str">
        <f>IFERROR(__xludf.DUMMYFUNCTION("""COMPUTED_VALUE"""),"")</f>
        <v/>
      </c>
      <c r="S292" s="1" t="str">
        <f>IFERROR(__xludf.DUMMYFUNCTION("""COMPUTED_VALUE"""),"")</f>
        <v/>
      </c>
      <c r="T292" s="1" t="str">
        <f>IFERROR(__xludf.DUMMYFUNCTION("""COMPUTED_VALUE"""),"")</f>
        <v/>
      </c>
      <c r="U292" s="1" t="str">
        <f>IFERROR(__xludf.DUMMYFUNCTION("""COMPUTED_VALUE"""),"")</f>
        <v/>
      </c>
      <c r="V292" s="1" t="str">
        <f>IFERROR(__xludf.DUMMYFUNCTION("""COMPUTED_VALUE"""),"")</f>
        <v/>
      </c>
      <c r="W292" s="1" t="str">
        <f>IFERROR(__xludf.DUMMYFUNCTION("""COMPUTED_VALUE"""),"")</f>
        <v/>
      </c>
      <c r="X292" s="1" t="str">
        <f>IFERROR(__xludf.DUMMYFUNCTION("""COMPUTED_VALUE"""),"")</f>
        <v/>
      </c>
      <c r="Y292" s="1" t="str">
        <f>IFERROR(__xludf.DUMMYFUNCTION("""COMPUTED_VALUE"""),"")</f>
        <v/>
      </c>
      <c r="Z292" s="1" t="str">
        <f>IFERROR(__xludf.DUMMYFUNCTION("""COMPUTED_VALUE"""),"Unknown")</f>
        <v>Unknown</v>
      </c>
      <c r="AA292" s="1" t="str">
        <f>IFERROR(__xludf.DUMMYFUNCTION("""COMPUTED_VALUE"""),"")</f>
        <v/>
      </c>
      <c r="AB292" s="1" t="str">
        <f>IFERROR(__xludf.DUMMYFUNCTION("""COMPUTED_VALUE"""),"")</f>
        <v/>
      </c>
      <c r="AC292" s="1" t="str">
        <f>IFERROR(__xludf.DUMMYFUNCTION("""COMPUTED_VALUE"""),"")</f>
        <v/>
      </c>
      <c r="AD292" s="1" t="str">
        <f>IFERROR(__xludf.DUMMYFUNCTION("""COMPUTED_VALUE"""),"")</f>
        <v/>
      </c>
      <c r="AE292" s="1" t="str">
        <f>IFERROR(__xludf.DUMMYFUNCTION("""COMPUTED_VALUE"""),"")</f>
        <v/>
      </c>
      <c r="AF292" s="1" t="str">
        <f>IFERROR(__xludf.DUMMYFUNCTION("""COMPUTED_VALUE"""),"")</f>
        <v/>
      </c>
      <c r="AG292" s="1" t="str">
        <f>IFERROR(__xludf.DUMMYFUNCTION("""COMPUTED_VALUE"""),"")</f>
        <v/>
      </c>
      <c r="AH292" s="1" t="str">
        <f>IFERROR(__xludf.DUMMYFUNCTION("""COMPUTED_VALUE"""),"Media Monitoring")</f>
        <v>Media Monitoring</v>
      </c>
      <c r="AI292" s="2" t="str">
        <f>IFERROR(__xludf.DUMMYFUNCTION("""COMPUTED_VALUE"""),"https://www.datacenterdynamics.com/en/news/applied-digital-faces-opposition-to-planned-data-center-in-adair-county-iowa/")</f>
        <v>https://www.datacenterdynamics.com/en/news/applied-digital-faces-opposition-to-planned-data-center-in-adair-county-iowa/</v>
      </c>
      <c r="AJ292" s="1" t="str">
        <f>IFERROR(__xludf.DUMMYFUNCTION("""COMPUTED_VALUE"""),"")</f>
        <v/>
      </c>
      <c r="AK292" s="1" t="str">
        <f>IFERROR(__xludf.DUMMYFUNCTION("""COMPUTED_VALUE"""),"")</f>
        <v/>
      </c>
      <c r="AL292" s="1" t="str">
        <f>IFERROR(__xludf.DUMMYFUNCTION("""COMPUTED_VALUE"""),"")</f>
        <v/>
      </c>
      <c r="AM292" s="1" t="str">
        <f>IFERROR(__xludf.DUMMYFUNCTION("""COMPUTED_VALUE"""),"")</f>
        <v/>
      </c>
      <c r="AN292" s="1" t="str">
        <f>IFERROR(__xludf.DUMMYFUNCTION("""COMPUTED_VALUE"""),"")</f>
        <v/>
      </c>
      <c r="AO292" s="1" t="str">
        <f>IFERROR(__xludf.DUMMYFUNCTION("""COMPUTED_VALUE"""),"")</f>
        <v/>
      </c>
      <c r="AP292" s="1" t="str">
        <f>IFERROR(__xludf.DUMMYFUNCTION("""COMPUTED_VALUE"""),"")</f>
        <v/>
      </c>
      <c r="AQ292" s="1" t="str">
        <f>IFERROR(__xludf.DUMMYFUNCTION("""COMPUTED_VALUE"""),"06/09/2025")</f>
        <v>06/09/2025</v>
      </c>
      <c r="AR292" s="1" t="str">
        <f>IFERROR(__xludf.DUMMYFUNCTION("""COMPUTED_VALUE"""),"06/09/2025")</f>
        <v>06/09/2025</v>
      </c>
    </row>
    <row r="293">
      <c r="A293" s="1" t="str">
        <f>IFERROR(__xludf.DUMMYFUNCTION("""COMPUTED_VALUE"""),"Edged DSM01-1 Data Center")</f>
        <v>Edged DSM01-1 Data Center</v>
      </c>
      <c r="B293" s="1" t="str">
        <f>IFERROR(__xludf.DUMMYFUNCTION("""COMPUTED_VALUE"""),"9100 SE Four Mile Dr")</f>
        <v>9100 SE Four Mile Dr</v>
      </c>
      <c r="C293" s="1" t="str">
        <f>IFERROR(__xludf.DUMMYFUNCTION("""COMPUTED_VALUE"""),"Ankeny")</f>
        <v>Ankeny</v>
      </c>
      <c r="D293" s="1" t="str">
        <f>IFERROR(__xludf.DUMMYFUNCTION("""COMPUTED_VALUE"""),"IA")</f>
        <v>IA</v>
      </c>
      <c r="E293" s="1" t="str">
        <f>IFERROR(__xludf.DUMMYFUNCTION("""COMPUTED_VALUE"""),"50021")</f>
        <v>50021</v>
      </c>
      <c r="F293" s="1" t="str">
        <f>IFERROR(__xludf.DUMMYFUNCTION("""COMPUTED_VALUE"""),"Polk")</f>
        <v>Polk</v>
      </c>
      <c r="G293" s="1" t="str">
        <f>IFERROR(__xludf.DUMMYFUNCTION("""COMPUTED_VALUE"""),"41.65646")</f>
        <v>41.65646</v>
      </c>
      <c r="H293" s="1" t="str">
        <f>IFERROR(__xludf.DUMMYFUNCTION("""COMPUTED_VALUE"""),"-93.5616")</f>
        <v>-93.5616</v>
      </c>
      <c r="I293" s="1" t="str">
        <f>IFERROR(__xludf.DUMMYFUNCTION("""COMPUTED_VALUE"""),"Approved/Permitted/Under construction")</f>
        <v>Approved/Permitted/Under construction</v>
      </c>
      <c r="J293" s="1" t="str">
        <f>IFERROR(__xludf.DUMMYFUNCTION("""COMPUTED_VALUE"""),"High")</f>
        <v>High</v>
      </c>
      <c r="K293" s="1" t="str">
        <f>IFERROR(__xludf.DUMMYFUNCTION("""COMPUTED_VALUE"""),"")</f>
        <v/>
      </c>
      <c r="L293" s="1" t="str">
        <f>IFERROR(__xludf.DUMMYFUNCTION("""COMPUTED_VALUE"""),"")</f>
        <v/>
      </c>
      <c r="M293" s="1" t="str">
        <f>IFERROR(__xludf.DUMMYFUNCTION("""COMPUTED_VALUE"""),"")</f>
        <v/>
      </c>
      <c r="N293" s="1" t="str">
        <f>IFERROR(__xludf.DUMMYFUNCTION("""COMPUTED_VALUE"""),"13")</f>
        <v>13</v>
      </c>
      <c r="O293" s="1" t="str">
        <f>IFERROR(__xludf.DUMMYFUNCTION("""COMPUTED_VALUE"""),"Medium (11-50 MW)")</f>
        <v>Medium (11-50 MW)</v>
      </c>
      <c r="P293" s="1" t="str">
        <f>IFERROR(__xludf.DUMMYFUNCTION("""COMPUTED_VALUE"""),"")</f>
        <v/>
      </c>
      <c r="Q293" s="1" t="str">
        <f>IFERROR(__xludf.DUMMYFUNCTION("""COMPUTED_VALUE"""),"")</f>
        <v/>
      </c>
      <c r="R293" s="1" t="str">
        <f>IFERROR(__xludf.DUMMYFUNCTION("""COMPUTED_VALUE"""),"")</f>
        <v/>
      </c>
      <c r="S293" s="1" t="str">
        <f>IFERROR(__xludf.DUMMYFUNCTION("""COMPUTED_VALUE"""),"")</f>
        <v/>
      </c>
      <c r="T293" s="1" t="str">
        <f>IFERROR(__xludf.DUMMYFUNCTION("""COMPUTED_VALUE"""),"")</f>
        <v/>
      </c>
      <c r="U293" s="1" t="str">
        <f>IFERROR(__xludf.DUMMYFUNCTION("""COMPUTED_VALUE"""),"")</f>
        <v/>
      </c>
      <c r="V293" s="1" t="str">
        <f>IFERROR(__xludf.DUMMYFUNCTION("""COMPUTED_VALUE"""),"100,000")</f>
        <v>100,000</v>
      </c>
      <c r="W293" s="1" t="str">
        <f>IFERROR(__xludf.DUMMYFUNCTION("""COMPUTED_VALUE"""),"17")</f>
        <v>17</v>
      </c>
      <c r="X293" s="1" t="str">
        <f>IFERROR(__xludf.DUMMYFUNCTION("""COMPUTED_VALUE"""),"$187 million")</f>
        <v>$187 million</v>
      </c>
      <c r="Y293" s="1" t="str">
        <f>IFERROR(__xludf.DUMMYFUNCTION("""COMPUTED_VALUE"""),"")</f>
        <v/>
      </c>
      <c r="Z293" s="1" t="str">
        <f>IFERROR(__xludf.DUMMYFUNCTION("""COMPUTED_VALUE"""),"Unknown")</f>
        <v>Unknown</v>
      </c>
      <c r="AA293" s="1" t="str">
        <f>IFERROR(__xludf.DUMMYFUNCTION("""COMPUTED_VALUE"""),"")</f>
        <v/>
      </c>
      <c r="AB293" s="1" t="str">
        <f>IFERROR(__xludf.DUMMYFUNCTION("""COMPUTED_VALUE"""),"")</f>
        <v/>
      </c>
      <c r="AC293" s="1" t="str">
        <f>IFERROR(__xludf.DUMMYFUNCTION("""COMPUTED_VALUE"""),"")</f>
        <v/>
      </c>
      <c r="AD293" s="1" t="str">
        <f>IFERROR(__xludf.DUMMYFUNCTION("""COMPUTED_VALUE"""),"")</f>
        <v/>
      </c>
      <c r="AE293" s="1" t="str">
        <f>IFERROR(__xludf.DUMMYFUNCTION("""COMPUTED_VALUE"""),"")</f>
        <v/>
      </c>
      <c r="AF293" s="1" t="str">
        <f>IFERROR(__xludf.DUMMYFUNCTION("""COMPUTED_VALUE"""),"")</f>
        <v/>
      </c>
      <c r="AG293" s="1" t="str">
        <f>IFERROR(__xludf.DUMMYFUNCTION("""COMPUTED_VALUE"""),"")</f>
        <v/>
      </c>
      <c r="AH293" s="1" t="str">
        <f>IFERROR(__xludf.DUMMYFUNCTION("""COMPUTED_VALUE"""),"Media Monitoring")</f>
        <v>Media Monitoring</v>
      </c>
      <c r="AI293" s="2" t="str">
        <f>IFERROR(__xludf.DUMMYFUNCTION("""COMPUTED_VALUE"""),"https://www.datacenterdynamics.com/en/news/edged-announces-13mw-data-center-outside-des-moines-iowa/")</f>
        <v>https://www.datacenterdynamics.com/en/news/edged-announces-13mw-data-center-outside-des-moines-iowa/</v>
      </c>
      <c r="AJ293" s="2" t="str">
        <f>IFERROR(__xludf.DUMMYFUNCTION("""COMPUTED_VALUE"""),"https://www.edged.us/des-moines")</f>
        <v>https://www.edged.us/des-moines</v>
      </c>
      <c r="AK293" s="1" t="str">
        <f>IFERROR(__xludf.DUMMYFUNCTION("""COMPUTED_VALUE"""),"")</f>
        <v/>
      </c>
      <c r="AL293" s="1" t="str">
        <f>IFERROR(__xludf.DUMMYFUNCTION("""COMPUTED_VALUE"""),"")</f>
        <v/>
      </c>
      <c r="AM293" s="1" t="str">
        <f>IFERROR(__xludf.DUMMYFUNCTION("""COMPUTED_VALUE"""),"")</f>
        <v/>
      </c>
      <c r="AN293" s="1" t="str">
        <f>IFERROR(__xludf.DUMMYFUNCTION("""COMPUTED_VALUE"""),"")</f>
        <v/>
      </c>
      <c r="AO293" s="1" t="str">
        <f>IFERROR(__xludf.DUMMYFUNCTION("""COMPUTED_VALUE"""),"")</f>
        <v/>
      </c>
      <c r="AP293" s="1" t="str">
        <f>IFERROR(__xludf.DUMMYFUNCTION("""COMPUTED_VALUE"""),"")</f>
        <v/>
      </c>
      <c r="AQ293" s="1" t="str">
        <f>IFERROR(__xludf.DUMMYFUNCTION("""COMPUTED_VALUE"""),"06/14/2025")</f>
        <v>06/14/2025</v>
      </c>
      <c r="AR293" s="1" t="str">
        <f>IFERROR(__xludf.DUMMYFUNCTION("""COMPUTED_VALUE"""),"11/30/2025")</f>
        <v>11/30/2025</v>
      </c>
    </row>
    <row r="294">
      <c r="A294" s="1" t="str">
        <f>IFERROR(__xludf.DUMMYFUNCTION("""COMPUTED_VALUE"""),"Simple Mining")</f>
        <v>Simple Mining</v>
      </c>
      <c r="B294" s="1" t="str">
        <f>IFERROR(__xludf.DUMMYFUNCTION("""COMPUTED_VALUE"""),"Cascade Industrial Park")</f>
        <v>Cascade Industrial Park</v>
      </c>
      <c r="C294" s="1" t="str">
        <f>IFERROR(__xludf.DUMMYFUNCTION("""COMPUTED_VALUE"""),"Cascade")</f>
        <v>Cascade</v>
      </c>
      <c r="D294" s="1" t="str">
        <f>IFERROR(__xludf.DUMMYFUNCTION("""COMPUTED_VALUE"""),"IA")</f>
        <v>IA</v>
      </c>
      <c r="E294" s="1" t="str">
        <f>IFERROR(__xludf.DUMMYFUNCTION("""COMPUTED_VALUE"""),"")</f>
        <v/>
      </c>
      <c r="F294" s="1" t="str">
        <f>IFERROR(__xludf.DUMMYFUNCTION("""COMPUTED_VALUE"""),"Dubuque")</f>
        <v>Dubuque</v>
      </c>
      <c r="G294" s="1" t="str">
        <f>IFERROR(__xludf.DUMMYFUNCTION("""COMPUTED_VALUE"""),"42.2922")</f>
        <v>42.2922</v>
      </c>
      <c r="H294" s="1" t="str">
        <f>IFERROR(__xludf.DUMMYFUNCTION("""COMPUTED_VALUE"""),"-91.0185")</f>
        <v>-91.0185</v>
      </c>
      <c r="I294" s="1" t="str">
        <f>IFERROR(__xludf.DUMMYFUNCTION("""COMPUTED_VALUE"""),"Proposed")</f>
        <v>Proposed</v>
      </c>
      <c r="J294" s="1" t="str">
        <f>IFERROR(__xludf.DUMMYFUNCTION("""COMPUTED_VALUE"""),"Medium")</f>
        <v>Medium</v>
      </c>
      <c r="K294" s="1" t="str">
        <f>IFERROR(__xludf.DUMMYFUNCTION("""COMPUTED_VALUE"""),"Bitcoin")</f>
        <v>Bitcoin</v>
      </c>
      <c r="L294" s="1" t="str">
        <f>IFERROR(__xludf.DUMMYFUNCTION("""COMPUTED_VALUE"""),"")</f>
        <v/>
      </c>
      <c r="M294" s="1" t="str">
        <f>IFERROR(__xludf.DUMMYFUNCTION("""COMPUTED_VALUE"""),"")</f>
        <v/>
      </c>
      <c r="N294" s="1" t="str">
        <f>IFERROR(__xludf.DUMMYFUNCTION("""COMPUTED_VALUE"""),"")</f>
        <v/>
      </c>
      <c r="O294" s="1" t="str">
        <f>IFERROR(__xludf.DUMMYFUNCTION("""COMPUTED_VALUE"""),"Unknown")</f>
        <v>Unknown</v>
      </c>
      <c r="P294" s="1" t="str">
        <f>IFERROR(__xludf.DUMMYFUNCTION("""COMPUTED_VALUE"""),"")</f>
        <v/>
      </c>
      <c r="Q294" s="1" t="str">
        <f>IFERROR(__xludf.DUMMYFUNCTION("""COMPUTED_VALUE"""),"")</f>
        <v/>
      </c>
      <c r="R294" s="1" t="str">
        <f>IFERROR(__xludf.DUMMYFUNCTION("""COMPUTED_VALUE"""),"")</f>
        <v/>
      </c>
      <c r="S294" s="1" t="str">
        <f>IFERROR(__xludf.DUMMYFUNCTION("""COMPUTED_VALUE"""),"40")</f>
        <v>40</v>
      </c>
      <c r="T294" s="1" t="str">
        <f>IFERROR(__xludf.DUMMYFUNCTION("""COMPUTED_VALUE"""),"")</f>
        <v/>
      </c>
      <c r="U294" s="1" t="str">
        <f>IFERROR(__xludf.DUMMYFUNCTION("""COMPUTED_VALUE"""),"")</f>
        <v/>
      </c>
      <c r="V294" s="1" t="str">
        <f>IFERROR(__xludf.DUMMYFUNCTION("""COMPUTED_VALUE"""),"6,400")</f>
        <v>6,400</v>
      </c>
      <c r="W294" s="1" t="str">
        <f>IFERROR(__xludf.DUMMYFUNCTION("""COMPUTED_VALUE"""),"")</f>
        <v/>
      </c>
      <c r="X294" s="1" t="str">
        <f>IFERROR(__xludf.DUMMYFUNCTION("""COMPUTED_VALUE"""),"")</f>
        <v/>
      </c>
      <c r="Y294" s="1" t="str">
        <f>IFERROR(__xludf.DUMMYFUNCTION("""COMPUTED_VALUE"""),"")</f>
        <v/>
      </c>
      <c r="Z294" s="1" t="str">
        <f>IFERROR(__xludf.DUMMYFUNCTION("""COMPUTED_VALUE"""),"Unknown")</f>
        <v>Unknown</v>
      </c>
      <c r="AA294" s="1" t="str">
        <f>IFERROR(__xludf.DUMMYFUNCTION("""COMPUTED_VALUE"""),"")</f>
        <v/>
      </c>
      <c r="AB294" s="1" t="str">
        <f>IFERROR(__xludf.DUMMYFUNCTION("""COMPUTED_VALUE"""),"")</f>
        <v/>
      </c>
      <c r="AC294" s="1" t="str">
        <f>IFERROR(__xludf.DUMMYFUNCTION("""COMPUTED_VALUE"""),"")</f>
        <v/>
      </c>
      <c r="AD294" s="1" t="str">
        <f>IFERROR(__xludf.DUMMYFUNCTION("""COMPUTED_VALUE"""),"")</f>
        <v/>
      </c>
      <c r="AE294" s="1" t="str">
        <f>IFERROR(__xludf.DUMMYFUNCTION("""COMPUTED_VALUE"""),"")</f>
        <v/>
      </c>
      <c r="AF294" s="1" t="str">
        <f>IFERROR(__xludf.DUMMYFUNCTION("""COMPUTED_VALUE"""),"")</f>
        <v/>
      </c>
      <c r="AG294" s="1" t="str">
        <f>IFERROR(__xludf.DUMMYFUNCTION("""COMPUTED_VALUE"""),"Separate mining containers, each 160 sq ft")</f>
        <v>Separate mining containers, each 160 sq ft</v>
      </c>
      <c r="AH294" s="1" t="str">
        <f>IFERROR(__xludf.DUMMYFUNCTION("""COMPUTED_VALUE"""),"Media Monitoring")</f>
        <v>Media Monitoring</v>
      </c>
      <c r="AI294" s="2" t="str">
        <f>IFERROR(__xludf.DUMMYFUNCTION("""COMPUTED_VALUE"""),"https://www.datacenterdynamics.com/en/news/simple-mining-plans-bitcoin-mining-expansion-in-dubuque-county-iowa/")</f>
        <v>https://www.datacenterdynamics.com/en/news/simple-mining-plans-bitcoin-mining-expansion-in-dubuque-county-iowa/</v>
      </c>
      <c r="AJ294" s="1" t="str">
        <f>IFERROR(__xludf.DUMMYFUNCTION("""COMPUTED_VALUE"""),"")</f>
        <v/>
      </c>
      <c r="AK294" s="1" t="str">
        <f>IFERROR(__xludf.DUMMYFUNCTION("""COMPUTED_VALUE"""),"")</f>
        <v/>
      </c>
      <c r="AL294" s="1" t="str">
        <f>IFERROR(__xludf.DUMMYFUNCTION("""COMPUTED_VALUE"""),"")</f>
        <v/>
      </c>
      <c r="AM294" s="1" t="str">
        <f>IFERROR(__xludf.DUMMYFUNCTION("""COMPUTED_VALUE"""),"")</f>
        <v/>
      </c>
      <c r="AN294" s="1" t="str">
        <f>IFERROR(__xludf.DUMMYFUNCTION("""COMPUTED_VALUE"""),"")</f>
        <v/>
      </c>
      <c r="AO294" s="1" t="str">
        <f>IFERROR(__xludf.DUMMYFUNCTION("""COMPUTED_VALUE"""),"")</f>
        <v/>
      </c>
      <c r="AP294" s="1" t="str">
        <f>IFERROR(__xludf.DUMMYFUNCTION("""COMPUTED_VALUE"""),"")</f>
        <v/>
      </c>
      <c r="AQ294" s="1" t="str">
        <f>IFERROR(__xludf.DUMMYFUNCTION("""COMPUTED_VALUE"""),"04/02/2026")</f>
        <v>04/02/2026</v>
      </c>
      <c r="AR294" s="1" t="str">
        <f>IFERROR(__xludf.DUMMYFUNCTION("""COMPUTED_VALUE"""),"04/02/2026")</f>
        <v>04/02/2026</v>
      </c>
    </row>
    <row r="295">
      <c r="A295" s="1" t="str">
        <f>IFERROR(__xludf.DUMMYFUNCTION("""COMPUTED_VALUE"""),"Simple Mining")</f>
        <v>Simple Mining</v>
      </c>
      <c r="B295" s="1" t="str">
        <f>IFERROR(__xludf.DUMMYFUNCTION("""COMPUTED_VALUE"""),"Viking Rd and S. Union Rd")</f>
        <v>Viking Rd and S. Union Rd</v>
      </c>
      <c r="C295" s="1" t="str">
        <f>IFERROR(__xludf.DUMMYFUNCTION("""COMPUTED_VALUE"""),"Cedar Falls")</f>
        <v>Cedar Falls</v>
      </c>
      <c r="D295" s="1" t="str">
        <f>IFERROR(__xludf.DUMMYFUNCTION("""COMPUTED_VALUE"""),"IA")</f>
        <v>IA</v>
      </c>
      <c r="E295" s="1" t="str">
        <f>IFERROR(__xludf.DUMMYFUNCTION("""COMPUTED_VALUE"""),"50613")</f>
        <v>50613</v>
      </c>
      <c r="F295" s="1" t="str">
        <f>IFERROR(__xludf.DUMMYFUNCTION("""COMPUTED_VALUE"""),"Black Hawk")</f>
        <v>Black Hawk</v>
      </c>
      <c r="G295" s="1" t="str">
        <f>IFERROR(__xludf.DUMMYFUNCTION("""COMPUTED_VALUE"""),"42.480602")</f>
        <v>42.480602</v>
      </c>
      <c r="H295" s="1" t="str">
        <f>IFERROR(__xludf.DUMMYFUNCTION("""COMPUTED_VALUE"""),"-92.48979")</f>
        <v>-92.48979</v>
      </c>
      <c r="I295" s="1" t="str">
        <f>IFERROR(__xludf.DUMMYFUNCTION("""COMPUTED_VALUE"""),"Proposed")</f>
        <v>Proposed</v>
      </c>
      <c r="J295" s="1" t="str">
        <f>IFERROR(__xludf.DUMMYFUNCTION("""COMPUTED_VALUE"""),"Medium")</f>
        <v>Medium</v>
      </c>
      <c r="K295" s="1" t="str">
        <f>IFERROR(__xludf.DUMMYFUNCTION("""COMPUTED_VALUE"""),"Bitcoin")</f>
        <v>Bitcoin</v>
      </c>
      <c r="L295" s="1" t="str">
        <f>IFERROR(__xludf.DUMMYFUNCTION("""COMPUTED_VALUE"""),"")</f>
        <v/>
      </c>
      <c r="M295" s="1" t="str">
        <f>IFERROR(__xludf.DUMMYFUNCTION("""COMPUTED_VALUE"""),"")</f>
        <v/>
      </c>
      <c r="N295" s="1" t="str">
        <f>IFERROR(__xludf.DUMMYFUNCTION("""COMPUTED_VALUE"""),"")</f>
        <v/>
      </c>
      <c r="O295" s="1" t="str">
        <f>IFERROR(__xludf.DUMMYFUNCTION("""COMPUTED_VALUE"""),"Unknown")</f>
        <v>Unknown</v>
      </c>
      <c r="P295" s="1" t="str">
        <f>IFERROR(__xludf.DUMMYFUNCTION("""COMPUTED_VALUE"""),"")</f>
        <v/>
      </c>
      <c r="Q295" s="1" t="str">
        <f>IFERROR(__xludf.DUMMYFUNCTION("""COMPUTED_VALUE"""),"")</f>
        <v/>
      </c>
      <c r="R295" s="1" t="str">
        <f>IFERROR(__xludf.DUMMYFUNCTION("""COMPUTED_VALUE"""),"")</f>
        <v/>
      </c>
      <c r="S295" s="1" t="str">
        <f>IFERROR(__xludf.DUMMYFUNCTION("""COMPUTED_VALUE"""),"")</f>
        <v/>
      </c>
      <c r="T295" s="1" t="str">
        <f>IFERROR(__xludf.DUMMYFUNCTION("""COMPUTED_VALUE"""),"")</f>
        <v/>
      </c>
      <c r="U295" s="1" t="str">
        <f>IFERROR(__xludf.DUMMYFUNCTION("""COMPUTED_VALUE"""),"")</f>
        <v/>
      </c>
      <c r="V295" s="1" t="str">
        <f>IFERROR(__xludf.DUMMYFUNCTION("""COMPUTED_VALUE"""),"")</f>
        <v/>
      </c>
      <c r="W295" s="1" t="str">
        <f>IFERROR(__xludf.DUMMYFUNCTION("""COMPUTED_VALUE"""),"38")</f>
        <v>38</v>
      </c>
      <c r="X295" s="1" t="str">
        <f>IFERROR(__xludf.DUMMYFUNCTION("""COMPUTED_VALUE"""),"")</f>
        <v/>
      </c>
      <c r="Y295" s="1" t="str">
        <f>IFERROR(__xludf.DUMMYFUNCTION("""COMPUTED_VALUE"""),"")</f>
        <v/>
      </c>
      <c r="Z295" s="1" t="str">
        <f>IFERROR(__xludf.DUMMYFUNCTION("""COMPUTED_VALUE"""),"Yes")</f>
        <v>Yes</v>
      </c>
      <c r="AA295" s="1" t="str">
        <f>IFERROR(__xludf.DUMMYFUNCTION("""COMPUTED_VALUE"""),"")</f>
        <v/>
      </c>
      <c r="AB295" s="1" t="str">
        <f>IFERROR(__xludf.DUMMYFUNCTION("""COMPUTED_VALUE"""),"")</f>
        <v/>
      </c>
      <c r="AC295" s="1" t="str">
        <f>IFERROR(__xludf.DUMMYFUNCTION("""COMPUTED_VALUE"""),"")</f>
        <v/>
      </c>
      <c r="AD295" s="1" t="str">
        <f>IFERROR(__xludf.DUMMYFUNCTION("""COMPUTED_VALUE"""),"")</f>
        <v/>
      </c>
      <c r="AE295" s="1" t="str">
        <f>IFERROR(__xludf.DUMMYFUNCTION("""COMPUTED_VALUE"""),"")</f>
        <v/>
      </c>
      <c r="AF295" s="1" t="str">
        <f>IFERROR(__xludf.DUMMYFUNCTION("""COMPUTED_VALUE"""),"")</f>
        <v/>
      </c>
      <c r="AG295" s="1" t="str">
        <f>IFERROR(__xludf.DUMMYFUNCTION("""COMPUTED_VALUE"""),"")</f>
        <v/>
      </c>
      <c r="AH295" s="1" t="str">
        <f>IFERROR(__xludf.DUMMYFUNCTION("""COMPUTED_VALUE"""),"Media Monitoring")</f>
        <v>Media Monitoring</v>
      </c>
      <c r="AI295" s="2" t="str">
        <f>IFERROR(__xludf.DUMMYFUNCTION("""COMPUTED_VALUE"""),"https://www.datacenterdynamics.com/en/news/officials-in-cedar-falls-iowa-delay-hearing-on-simple-minings-cryptomine-rezoning/")</f>
        <v>https://www.datacenterdynamics.com/en/news/officials-in-cedar-falls-iowa-delay-hearing-on-simple-minings-cryptomine-rezoning/</v>
      </c>
      <c r="AJ295" s="1" t="str">
        <f>IFERROR(__xludf.DUMMYFUNCTION("""COMPUTED_VALUE"""),"")</f>
        <v/>
      </c>
      <c r="AK295" s="1" t="str">
        <f>IFERROR(__xludf.DUMMYFUNCTION("""COMPUTED_VALUE"""),"")</f>
        <v/>
      </c>
      <c r="AL295" s="1" t="str">
        <f>IFERROR(__xludf.DUMMYFUNCTION("""COMPUTED_VALUE"""),"")</f>
        <v/>
      </c>
      <c r="AM295" s="1" t="str">
        <f>IFERROR(__xludf.DUMMYFUNCTION("""COMPUTED_VALUE"""),"")</f>
        <v/>
      </c>
      <c r="AN295" s="1" t="str">
        <f>IFERROR(__xludf.DUMMYFUNCTION("""COMPUTED_VALUE"""),"")</f>
        <v/>
      </c>
      <c r="AO295" s="1" t="str">
        <f>IFERROR(__xludf.DUMMYFUNCTION("""COMPUTED_VALUE"""),"")</f>
        <v/>
      </c>
      <c r="AP295" s="1" t="str">
        <f>IFERROR(__xludf.DUMMYFUNCTION("""COMPUTED_VALUE"""),"")</f>
        <v/>
      </c>
      <c r="AQ295" s="1" t="str">
        <f>IFERROR(__xludf.DUMMYFUNCTION("""COMPUTED_VALUE"""),"04/02/2026")</f>
        <v>04/02/2026</v>
      </c>
      <c r="AR295" s="1" t="str">
        <f>IFERROR(__xludf.DUMMYFUNCTION("""COMPUTED_VALUE"""),"04/02/2026")</f>
        <v>04/02/2026</v>
      </c>
    </row>
    <row r="296">
      <c r="A296" s="1" t="str">
        <f>IFERROR(__xludf.DUMMYFUNCTION("""COMPUTED_VALUE"""),"Cedar Rapids Google Data Center")</f>
        <v>Cedar Rapids Google Data Center</v>
      </c>
      <c r="B296" s="1" t="str">
        <f>IFERROR(__xludf.DUMMYFUNCTION("""COMPUTED_VALUE"""),"5420 Edgewood Rd SW")</f>
        <v>5420 Edgewood Rd SW</v>
      </c>
      <c r="C296" s="1" t="str">
        <f>IFERROR(__xludf.DUMMYFUNCTION("""COMPUTED_VALUE"""),"Cedar Rapids")</f>
        <v>Cedar Rapids</v>
      </c>
      <c r="D296" s="1" t="str">
        <f>IFERROR(__xludf.DUMMYFUNCTION("""COMPUTED_VALUE"""),"IA")</f>
        <v>IA</v>
      </c>
      <c r="E296" s="1" t="str">
        <f>IFERROR(__xludf.DUMMYFUNCTION("""COMPUTED_VALUE"""),"52404")</f>
        <v>52404</v>
      </c>
      <c r="F296" s="1" t="str">
        <f>IFERROR(__xludf.DUMMYFUNCTION("""COMPUTED_VALUE"""),"Linn")</f>
        <v>Linn</v>
      </c>
      <c r="G296" s="1" t="str">
        <f>IFERROR(__xludf.DUMMYFUNCTION("""COMPUTED_VALUE"""),"41.90651")</f>
        <v>41.90651</v>
      </c>
      <c r="H296" s="1" t="str">
        <f>IFERROR(__xludf.DUMMYFUNCTION("""COMPUTED_VALUE"""),"-91.7155")</f>
        <v>-91.7155</v>
      </c>
      <c r="I296" s="1" t="str">
        <f>IFERROR(__xludf.DUMMYFUNCTION("""COMPUTED_VALUE"""),"Proposed")</f>
        <v>Proposed</v>
      </c>
      <c r="J296" s="1" t="str">
        <f>IFERROR(__xludf.DUMMYFUNCTION("""COMPUTED_VALUE"""),"High")</f>
        <v>High</v>
      </c>
      <c r="K296" s="1" t="str">
        <f>IFERROR(__xludf.DUMMYFUNCTION("""COMPUTED_VALUE"""),"AI")</f>
        <v>AI</v>
      </c>
      <c r="L296" s="1" t="str">
        <f>IFERROR(__xludf.DUMMYFUNCTION("""COMPUTED_VALUE"""),"Google")</f>
        <v>Google</v>
      </c>
      <c r="M296" s="1" t="str">
        <f>IFERROR(__xludf.DUMMYFUNCTION("""COMPUTED_VALUE"""),"")</f>
        <v/>
      </c>
      <c r="N296" s="1" t="str">
        <f>IFERROR(__xludf.DUMMYFUNCTION("""COMPUTED_VALUE"""),"")</f>
        <v/>
      </c>
      <c r="O296" s="1" t="str">
        <f>IFERROR(__xludf.DUMMYFUNCTION("""COMPUTED_VALUE"""),"Unknown")</f>
        <v>Unknown</v>
      </c>
      <c r="P296" s="1" t="str">
        <f>IFERROR(__xludf.DUMMYFUNCTION("""COMPUTED_VALUE"""),"")</f>
        <v/>
      </c>
      <c r="Q296" s="1" t="str">
        <f>IFERROR(__xludf.DUMMYFUNCTION("""COMPUTED_VALUE"""),"")</f>
        <v/>
      </c>
      <c r="R296" s="1" t="str">
        <f>IFERROR(__xludf.DUMMYFUNCTION("""COMPUTED_VALUE"""),"")</f>
        <v/>
      </c>
      <c r="S296" s="1" t="str">
        <f>IFERROR(__xludf.DUMMYFUNCTION("""COMPUTED_VALUE"""),"")</f>
        <v/>
      </c>
      <c r="T296" s="1" t="str">
        <f>IFERROR(__xludf.DUMMYFUNCTION("""COMPUTED_VALUE"""),"")</f>
        <v/>
      </c>
      <c r="U296" s="1" t="str">
        <f>IFERROR(__xludf.DUMMYFUNCTION("""COMPUTED_VALUE"""),"")</f>
        <v/>
      </c>
      <c r="V296" s="1" t="str">
        <f>IFERROR(__xludf.DUMMYFUNCTION("""COMPUTED_VALUE"""),"")</f>
        <v/>
      </c>
      <c r="W296" s="1" t="str">
        <f>IFERROR(__xludf.DUMMYFUNCTION("""COMPUTED_VALUE"""),"")</f>
        <v/>
      </c>
      <c r="X296" s="1" t="str">
        <f>IFERROR(__xludf.DUMMYFUNCTION("""COMPUTED_VALUE"""),"$576 million")</f>
        <v>$576 million</v>
      </c>
      <c r="Y296" s="1" t="str">
        <f>IFERROR(__xludf.DUMMYFUNCTION("""COMPUTED_VALUE"""),"")</f>
        <v/>
      </c>
      <c r="Z296" s="1" t="str">
        <f>IFERROR(__xludf.DUMMYFUNCTION("""COMPUTED_VALUE"""),"Unknown")</f>
        <v>Unknown</v>
      </c>
      <c r="AA296" s="1" t="str">
        <f>IFERROR(__xludf.DUMMYFUNCTION("""COMPUTED_VALUE"""),"")</f>
        <v/>
      </c>
      <c r="AB296" s="1" t="str">
        <f>IFERROR(__xludf.DUMMYFUNCTION("""COMPUTED_VALUE"""),"")</f>
        <v/>
      </c>
      <c r="AC296" s="1" t="str">
        <f>IFERROR(__xludf.DUMMYFUNCTION("""COMPUTED_VALUE"""),"")</f>
        <v/>
      </c>
      <c r="AD296" s="1" t="str">
        <f>IFERROR(__xludf.DUMMYFUNCTION("""COMPUTED_VALUE"""),"")</f>
        <v/>
      </c>
      <c r="AE296" s="1" t="str">
        <f>IFERROR(__xludf.DUMMYFUNCTION("""COMPUTED_VALUE"""),"")</f>
        <v/>
      </c>
      <c r="AF296" s="1" t="str">
        <f>IFERROR(__xludf.DUMMYFUNCTION("""COMPUTED_VALUE"""),"")</f>
        <v/>
      </c>
      <c r="AG296" s="1" t="str">
        <f>IFERROR(__xludf.DUMMYFUNCTION("""COMPUTED_VALUE"""),"")</f>
        <v/>
      </c>
      <c r="AH296" s="1" t="str">
        <f>IFERROR(__xludf.DUMMYFUNCTION("""COMPUTED_VALUE"""),"Media Monitoring")</f>
        <v>Media Monitoring</v>
      </c>
      <c r="AI296" s="2" t="str">
        <f>IFERROR(__xludf.DUMMYFUNCTION("""COMPUTED_VALUE"""),"https://corridorbusiness.com/google-plans-special-investment-announcement-in-cedar-rapids-may-30/")</f>
        <v>https://corridorbusiness.com/google-plans-special-investment-announcement-in-cedar-rapids-may-30/</v>
      </c>
      <c r="AJ296" s="2" t="str">
        <f>IFERROR(__xludf.DUMMYFUNCTION("""COMPUTED_VALUE"""),"https://www.datacenterdynamics.com/en/news/560-acre-data-center-campus-proposed-in-cedar-rapids-iowa/")</f>
        <v>https://www.datacenterdynamics.com/en/news/560-acre-data-center-campus-proposed-in-cedar-rapids-iowa/</v>
      </c>
      <c r="AK296" s="1" t="str">
        <f>IFERROR(__xludf.DUMMYFUNCTION("""COMPUTED_VALUE"""),"")</f>
        <v/>
      </c>
      <c r="AL296" s="1" t="str">
        <f>IFERROR(__xludf.DUMMYFUNCTION("""COMPUTED_VALUE"""),"")</f>
        <v/>
      </c>
      <c r="AM296" s="1" t="str">
        <f>IFERROR(__xludf.DUMMYFUNCTION("""COMPUTED_VALUE"""),"")</f>
        <v/>
      </c>
      <c r="AN296" s="1" t="str">
        <f>IFERROR(__xludf.DUMMYFUNCTION("""COMPUTED_VALUE"""),"")</f>
        <v/>
      </c>
      <c r="AO296" s="1" t="str">
        <f>IFERROR(__xludf.DUMMYFUNCTION("""COMPUTED_VALUE"""),"")</f>
        <v/>
      </c>
      <c r="AP296" s="1" t="str">
        <f>IFERROR(__xludf.DUMMYFUNCTION("""COMPUTED_VALUE"""),"")</f>
        <v/>
      </c>
      <c r="AQ296" s="1" t="str">
        <f>IFERROR(__xludf.DUMMYFUNCTION("""COMPUTED_VALUE"""),"05/24/2025")</f>
        <v>05/24/2025</v>
      </c>
      <c r="AR296" s="1" t="str">
        <f>IFERROR(__xludf.DUMMYFUNCTION("""COMPUTED_VALUE"""),"05/24/2025")</f>
        <v>05/24/2025</v>
      </c>
    </row>
    <row r="297">
      <c r="A297" s="1" t="str">
        <f>IFERROR(__xludf.DUMMYFUNCTION("""COMPUTED_VALUE"""),"Council Bluffs Google Data Center")</f>
        <v>Council Bluffs Google Data Center</v>
      </c>
      <c r="B297" s="1" t="str">
        <f>IFERROR(__xludf.DUMMYFUNCTION("""COMPUTED_VALUE"""),"1430 Veterans Memorial Hwy")</f>
        <v>1430 Veterans Memorial Hwy</v>
      </c>
      <c r="C297" s="1" t="str">
        <f>IFERROR(__xludf.DUMMYFUNCTION("""COMPUTED_VALUE"""),"Council Bluffs")</f>
        <v>Council Bluffs</v>
      </c>
      <c r="D297" s="1" t="str">
        <f>IFERROR(__xludf.DUMMYFUNCTION("""COMPUTED_VALUE"""),"IA")</f>
        <v>IA</v>
      </c>
      <c r="E297" s="1" t="str">
        <f>IFERROR(__xludf.DUMMYFUNCTION("""COMPUTED_VALUE"""),"51501")</f>
        <v>51501</v>
      </c>
      <c r="F297" s="1" t="str">
        <f>IFERROR(__xludf.DUMMYFUNCTION("""COMPUTED_VALUE"""),"Pottawattamie")</f>
        <v>Pottawattamie</v>
      </c>
      <c r="G297" s="1" t="str">
        <f>IFERROR(__xludf.DUMMYFUNCTION("""COMPUTED_VALUE"""),"41.22147")</f>
        <v>41.22147</v>
      </c>
      <c r="H297" s="1" t="str">
        <f>IFERROR(__xludf.DUMMYFUNCTION("""COMPUTED_VALUE"""),"-95.864914")</f>
        <v>-95.864914</v>
      </c>
      <c r="I297" s="1" t="str">
        <f>IFERROR(__xludf.DUMMYFUNCTION("""COMPUTED_VALUE"""),"Operating")</f>
        <v>Operating</v>
      </c>
      <c r="J297" s="1" t="str">
        <f>IFERROR(__xludf.DUMMYFUNCTION("""COMPUTED_VALUE"""),"High")</f>
        <v>High</v>
      </c>
      <c r="K297" s="1" t="str">
        <f>IFERROR(__xludf.DUMMYFUNCTION("""COMPUTED_VALUE"""),"")</f>
        <v/>
      </c>
      <c r="L297" s="1" t="str">
        <f>IFERROR(__xludf.DUMMYFUNCTION("""COMPUTED_VALUE"""),"Google")</f>
        <v>Google</v>
      </c>
      <c r="M297" s="1" t="str">
        <f>IFERROR(__xludf.DUMMYFUNCTION("""COMPUTED_VALUE"""),"")</f>
        <v/>
      </c>
      <c r="N297" s="1" t="str">
        <f>IFERROR(__xludf.DUMMYFUNCTION("""COMPUTED_VALUE"""),"")</f>
        <v/>
      </c>
      <c r="O297" s="1" t="str">
        <f>IFERROR(__xludf.DUMMYFUNCTION("""COMPUTED_VALUE"""),"Unknown")</f>
        <v>Unknown</v>
      </c>
      <c r="P297" s="1" t="str">
        <f>IFERROR(__xludf.DUMMYFUNCTION("""COMPUTED_VALUE"""),"")</f>
        <v/>
      </c>
      <c r="Q297" s="1" t="str">
        <f>IFERROR(__xludf.DUMMYFUNCTION("""COMPUTED_VALUE"""),"")</f>
        <v/>
      </c>
      <c r="R297" s="1" t="str">
        <f>IFERROR(__xludf.DUMMYFUNCTION("""COMPUTED_VALUE"""),"")</f>
        <v/>
      </c>
      <c r="S297" s="1" t="str">
        <f>IFERROR(__xludf.DUMMYFUNCTION("""COMPUTED_VALUE"""),"")</f>
        <v/>
      </c>
      <c r="T297" s="1" t="str">
        <f>IFERROR(__xludf.DUMMYFUNCTION("""COMPUTED_VALUE"""),"")</f>
        <v/>
      </c>
      <c r="U297" s="1" t="str">
        <f>IFERROR(__xludf.DUMMYFUNCTION("""COMPUTED_VALUE"""),"")</f>
        <v/>
      </c>
      <c r="V297" s="1" t="str">
        <f>IFERROR(__xludf.DUMMYFUNCTION("""COMPUTED_VALUE"""),"2,890,000")</f>
        <v>2,890,000</v>
      </c>
      <c r="W297" s="1" t="str">
        <f>IFERROR(__xludf.DUMMYFUNCTION("""COMPUTED_VALUE"""),"")</f>
        <v/>
      </c>
      <c r="X297" s="1" t="str">
        <f>IFERROR(__xludf.DUMMYFUNCTION("""COMPUTED_VALUE"""),"")</f>
        <v/>
      </c>
      <c r="Y297" s="1" t="str">
        <f>IFERROR(__xludf.DUMMYFUNCTION("""COMPUTED_VALUE"""),"")</f>
        <v/>
      </c>
      <c r="Z297" s="1" t="str">
        <f>IFERROR(__xludf.DUMMYFUNCTION("""COMPUTED_VALUE"""),"Unknown")</f>
        <v>Unknown</v>
      </c>
      <c r="AA297" s="1" t="str">
        <f>IFERROR(__xludf.DUMMYFUNCTION("""COMPUTED_VALUE"""),"")</f>
        <v/>
      </c>
      <c r="AB297" s="1" t="str">
        <f>IFERROR(__xludf.DUMMYFUNCTION("""COMPUTED_VALUE"""),"")</f>
        <v/>
      </c>
      <c r="AC297" s="1" t="str">
        <f>IFERROR(__xludf.DUMMYFUNCTION("""COMPUTED_VALUE"""),"")</f>
        <v/>
      </c>
      <c r="AD297" s="1" t="str">
        <f>IFERROR(__xludf.DUMMYFUNCTION("""COMPUTED_VALUE"""),"")</f>
        <v/>
      </c>
      <c r="AE297" s="1" t="str">
        <f>IFERROR(__xludf.DUMMYFUNCTION("""COMPUTED_VALUE"""),"")</f>
        <v/>
      </c>
      <c r="AF297" s="1" t="str">
        <f>IFERROR(__xludf.DUMMYFUNCTION("""COMPUTED_VALUE"""),"")</f>
        <v/>
      </c>
      <c r="AG297" s="1" t="str">
        <f>IFERROR(__xludf.DUMMYFUNCTION("""COMPUTED_VALUE"""),"")</f>
        <v/>
      </c>
      <c r="AH297" s="1" t="str">
        <f>IFERROR(__xludf.DUMMYFUNCTION("""COMPUTED_VALUE"""),"Media Monitoring")</f>
        <v>Media Monitoring</v>
      </c>
      <c r="AI297" s="2" t="str">
        <f>IFERROR(__xludf.DUMMYFUNCTION("""COMPUTED_VALUE"""),"https://datacenters.google/locations/iowa/")</f>
        <v>https://datacenters.google/locations/iowa/</v>
      </c>
      <c r="AJ297" s="1" t="str">
        <f>IFERROR(__xludf.DUMMYFUNCTION("""COMPUTED_VALUE"""),"")</f>
        <v/>
      </c>
      <c r="AK297" s="1" t="str">
        <f>IFERROR(__xludf.DUMMYFUNCTION("""COMPUTED_VALUE"""),"")</f>
        <v/>
      </c>
      <c r="AL297" s="1" t="str">
        <f>IFERROR(__xludf.DUMMYFUNCTION("""COMPUTED_VALUE"""),"")</f>
        <v/>
      </c>
      <c r="AM297" s="1" t="str">
        <f>IFERROR(__xludf.DUMMYFUNCTION("""COMPUTED_VALUE"""),"")</f>
        <v/>
      </c>
      <c r="AN297" s="1" t="str">
        <f>IFERROR(__xludf.DUMMYFUNCTION("""COMPUTED_VALUE"""),"")</f>
        <v/>
      </c>
      <c r="AO297" s="1" t="str">
        <f>IFERROR(__xludf.DUMMYFUNCTION("""COMPUTED_VALUE"""),"")</f>
        <v/>
      </c>
      <c r="AP297" s="1" t="str">
        <f>IFERROR(__xludf.DUMMYFUNCTION("""COMPUTED_VALUE"""),"")</f>
        <v/>
      </c>
      <c r="AQ297" s="1" t="str">
        <f>IFERROR(__xludf.DUMMYFUNCTION("""COMPUTED_VALUE"""),"11/30/2025")</f>
        <v>11/30/2025</v>
      </c>
      <c r="AR297" s="1" t="str">
        <f>IFERROR(__xludf.DUMMYFUNCTION("""COMPUTED_VALUE"""),"11/30/2025")</f>
        <v>11/30/2025</v>
      </c>
    </row>
    <row r="298">
      <c r="A298" s="1" t="str">
        <f>IFERROR(__xludf.DUMMYFUNCTION("""COMPUTED_VALUE"""),"Edged Data Center")</f>
        <v>Edged Data Center</v>
      </c>
      <c r="B298" s="1" t="str">
        <f>IFERROR(__xludf.DUMMYFUNCTION("""COMPUTED_VALUE"""),"2130 E Kanesville Blvd")</f>
        <v>2130 E Kanesville Blvd</v>
      </c>
      <c r="C298" s="1" t="str">
        <f>IFERROR(__xludf.DUMMYFUNCTION("""COMPUTED_VALUE"""),"Council Bluffs")</f>
        <v>Council Bluffs</v>
      </c>
      <c r="D298" s="1" t="str">
        <f>IFERROR(__xludf.DUMMYFUNCTION("""COMPUTED_VALUE"""),"IA")</f>
        <v>IA</v>
      </c>
      <c r="E298" s="1" t="str">
        <f>IFERROR(__xludf.DUMMYFUNCTION("""COMPUTED_VALUE"""),"51503")</f>
        <v>51503</v>
      </c>
      <c r="F298" s="1" t="str">
        <f>IFERROR(__xludf.DUMMYFUNCTION("""COMPUTED_VALUE"""),"Pottawattamie")</f>
        <v>Pottawattamie</v>
      </c>
      <c r="G298" s="1" t="str">
        <f>IFERROR(__xludf.DUMMYFUNCTION("""COMPUTED_VALUE"""),"41.27521")</f>
        <v>41.27521</v>
      </c>
      <c r="H298" s="1" t="str">
        <f>IFERROR(__xludf.DUMMYFUNCTION("""COMPUTED_VALUE"""),"-95.8246")</f>
        <v>-95.8246</v>
      </c>
      <c r="I298" s="1" t="str">
        <f>IFERROR(__xludf.DUMMYFUNCTION("""COMPUTED_VALUE"""),"Proposed")</f>
        <v>Proposed</v>
      </c>
      <c r="J298" s="1" t="str">
        <f>IFERROR(__xludf.DUMMYFUNCTION("""COMPUTED_VALUE"""),"High")</f>
        <v>High</v>
      </c>
      <c r="K298" s="1" t="str">
        <f>IFERROR(__xludf.DUMMYFUNCTION("""COMPUTED_VALUE"""),"")</f>
        <v/>
      </c>
      <c r="L298" s="1" t="str">
        <f>IFERROR(__xludf.DUMMYFUNCTION("""COMPUTED_VALUE"""),"")</f>
        <v/>
      </c>
      <c r="M298" s="1" t="str">
        <f>IFERROR(__xludf.DUMMYFUNCTION("""COMPUTED_VALUE"""),"")</f>
        <v/>
      </c>
      <c r="N298" s="1" t="str">
        <f>IFERROR(__xludf.DUMMYFUNCTION("""COMPUTED_VALUE"""),"200")</f>
        <v>200</v>
      </c>
      <c r="O298" s="1" t="str">
        <f>IFERROR(__xludf.DUMMYFUNCTION("""COMPUTED_VALUE"""),"Hyperscale (100-999 MW)")</f>
        <v>Hyperscale (100-999 MW)</v>
      </c>
      <c r="P298" s="1" t="str">
        <f>IFERROR(__xludf.DUMMYFUNCTION("""COMPUTED_VALUE"""),"")</f>
        <v/>
      </c>
      <c r="Q298" s="1" t="str">
        <f>IFERROR(__xludf.DUMMYFUNCTION("""COMPUTED_VALUE"""),"")</f>
        <v/>
      </c>
      <c r="R298" s="1" t="str">
        <f>IFERROR(__xludf.DUMMYFUNCTION("""COMPUTED_VALUE"""),"")</f>
        <v/>
      </c>
      <c r="S298" s="1" t="str">
        <f>IFERROR(__xludf.DUMMYFUNCTION("""COMPUTED_VALUE"""),"2")</f>
        <v>2</v>
      </c>
      <c r="T298" s="1" t="str">
        <f>IFERROR(__xludf.DUMMYFUNCTION("""COMPUTED_VALUE"""),"")</f>
        <v/>
      </c>
      <c r="U298" s="1" t="str">
        <f>IFERROR(__xludf.DUMMYFUNCTION("""COMPUTED_VALUE"""),"")</f>
        <v/>
      </c>
      <c r="V298" s="1" t="str">
        <f>IFERROR(__xludf.DUMMYFUNCTION("""COMPUTED_VALUE"""),"570,000")</f>
        <v>570,000</v>
      </c>
      <c r="W298" s="1" t="str">
        <f>IFERROR(__xludf.DUMMYFUNCTION("""COMPUTED_VALUE"""),"")</f>
        <v/>
      </c>
      <c r="X298" s="1" t="str">
        <f>IFERROR(__xludf.DUMMYFUNCTION("""COMPUTED_VALUE"""),"")</f>
        <v/>
      </c>
      <c r="Y298" s="1" t="str">
        <f>IFERROR(__xludf.DUMMYFUNCTION("""COMPUTED_VALUE"""),"")</f>
        <v/>
      </c>
      <c r="Z298" s="1" t="str">
        <f>IFERROR(__xludf.DUMMYFUNCTION("""COMPUTED_VALUE"""),"Unknown")</f>
        <v>Unknown</v>
      </c>
      <c r="AA298" s="1" t="str">
        <f>IFERROR(__xludf.DUMMYFUNCTION("""COMPUTED_VALUE"""),"")</f>
        <v/>
      </c>
      <c r="AB298" s="1" t="str">
        <f>IFERROR(__xludf.DUMMYFUNCTION("""COMPUTED_VALUE"""),"")</f>
        <v/>
      </c>
      <c r="AC298" s="1" t="str">
        <f>IFERROR(__xludf.DUMMYFUNCTION("""COMPUTED_VALUE"""),"")</f>
        <v/>
      </c>
      <c r="AD298" s="1" t="str">
        <f>IFERROR(__xludf.DUMMYFUNCTION("""COMPUTED_VALUE"""),"")</f>
        <v/>
      </c>
      <c r="AE298" s="1" t="str">
        <f>IFERROR(__xludf.DUMMYFUNCTION("""COMPUTED_VALUE"""),"")</f>
        <v/>
      </c>
      <c r="AF298" s="1" t="str">
        <f>IFERROR(__xludf.DUMMYFUNCTION("""COMPUTED_VALUE"""),"")</f>
        <v/>
      </c>
      <c r="AG298" s="1" t="str">
        <f>IFERROR(__xludf.DUMMYFUNCTION("""COMPUTED_VALUE"""),"")</f>
        <v/>
      </c>
      <c r="AH298" s="1" t="str">
        <f>IFERROR(__xludf.DUMMYFUNCTION("""COMPUTED_VALUE"""),"Media Monitoring")</f>
        <v>Media Monitoring</v>
      </c>
      <c r="AI298" s="2" t="str">
        <f>IFERROR(__xludf.DUMMYFUNCTION("""COMPUTED_VALUE"""),"https://www.datacenterdynamics.com/en/news/edged-reduces-scope-of-planned-data-center-campus-in-council-bluffs-iowa/")</f>
        <v>https://www.datacenterdynamics.com/en/news/edged-reduces-scope-of-planned-data-center-campus-in-council-bluffs-iowa/</v>
      </c>
      <c r="AJ298" s="1" t="str">
        <f>IFERROR(__xludf.DUMMYFUNCTION("""COMPUTED_VALUE"""),"")</f>
        <v/>
      </c>
      <c r="AK298" s="1" t="str">
        <f>IFERROR(__xludf.DUMMYFUNCTION("""COMPUTED_VALUE"""),"")</f>
        <v/>
      </c>
      <c r="AL298" s="1" t="str">
        <f>IFERROR(__xludf.DUMMYFUNCTION("""COMPUTED_VALUE"""),"")</f>
        <v/>
      </c>
      <c r="AM298" s="1" t="str">
        <f>IFERROR(__xludf.DUMMYFUNCTION("""COMPUTED_VALUE"""),"")</f>
        <v/>
      </c>
      <c r="AN298" s="1" t="str">
        <f>IFERROR(__xludf.DUMMYFUNCTION("""COMPUTED_VALUE"""),"")</f>
        <v/>
      </c>
      <c r="AO298" s="1" t="str">
        <f>IFERROR(__xludf.DUMMYFUNCTION("""COMPUTED_VALUE"""),"")</f>
        <v/>
      </c>
      <c r="AP298" s="1" t="str">
        <f>IFERROR(__xludf.DUMMYFUNCTION("""COMPUTED_VALUE"""),"")</f>
        <v/>
      </c>
      <c r="AQ298" s="1" t="str">
        <f>IFERROR(__xludf.DUMMYFUNCTION("""COMPUTED_VALUE"""),"06/09/2025")</f>
        <v>06/09/2025</v>
      </c>
      <c r="AR298" s="1" t="str">
        <f>IFERROR(__xludf.DUMMYFUNCTION("""COMPUTED_VALUE"""),"11/30/2025")</f>
        <v>11/30/2025</v>
      </c>
    </row>
    <row r="299">
      <c r="A299" s="1" t="str">
        <f>IFERROR(__xludf.DUMMYFUNCTION("""COMPUTED_VALUE"""),"Project Osmium")</f>
        <v>Project Osmium</v>
      </c>
      <c r="B299" s="1" t="str">
        <f>IFERROR(__xludf.DUMMYFUNCTION("""COMPUTED_VALUE"""),"5855 SW Kerry St")</f>
        <v>5855 SW Kerry St</v>
      </c>
      <c r="C299" s="1" t="str">
        <f>IFERROR(__xludf.DUMMYFUNCTION("""COMPUTED_VALUE"""),"Cumming")</f>
        <v>Cumming</v>
      </c>
      <c r="D299" s="1" t="str">
        <f>IFERROR(__xludf.DUMMYFUNCTION("""COMPUTED_VALUE"""),"IA")</f>
        <v>IA</v>
      </c>
      <c r="E299" s="1" t="str">
        <f>IFERROR(__xludf.DUMMYFUNCTION("""COMPUTED_VALUE"""),"50061")</f>
        <v>50061</v>
      </c>
      <c r="F299" s="1" t="str">
        <f>IFERROR(__xludf.DUMMYFUNCTION("""COMPUTED_VALUE"""),"Warren")</f>
        <v>Warren</v>
      </c>
      <c r="G299" s="1" t="str">
        <f>IFERROR(__xludf.DUMMYFUNCTION("""COMPUTED_VALUE"""),"41.49686")</f>
        <v>41.49686</v>
      </c>
      <c r="H299" s="1" t="str">
        <f>IFERROR(__xludf.DUMMYFUNCTION("""COMPUTED_VALUE"""),"-93.7887")</f>
        <v>-93.7887</v>
      </c>
      <c r="I299" s="1" t="str">
        <f>IFERROR(__xludf.DUMMYFUNCTION("""COMPUTED_VALUE"""),"Operating")</f>
        <v>Operating</v>
      </c>
      <c r="J299" s="1" t="str">
        <f>IFERROR(__xludf.DUMMYFUNCTION("""COMPUTED_VALUE"""),"High")</f>
        <v>High</v>
      </c>
      <c r="K299" s="1" t="str">
        <f>IFERROR(__xludf.DUMMYFUNCTION("""COMPUTED_VALUE"""),"")</f>
        <v/>
      </c>
      <c r="L299" s="1" t="str">
        <f>IFERROR(__xludf.DUMMYFUNCTION("""COMPUTED_VALUE"""),"Microsoft")</f>
        <v>Microsoft</v>
      </c>
      <c r="M299" s="1" t="str">
        <f>IFERROR(__xludf.DUMMYFUNCTION("""COMPUTED_VALUE"""),"")</f>
        <v/>
      </c>
      <c r="N299" s="1" t="str">
        <f>IFERROR(__xludf.DUMMYFUNCTION("""COMPUTED_VALUE"""),"")</f>
        <v/>
      </c>
      <c r="O299" s="1" t="str">
        <f>IFERROR(__xludf.DUMMYFUNCTION("""COMPUTED_VALUE"""),"Unknown")</f>
        <v>Unknown</v>
      </c>
      <c r="P299" s="1" t="str">
        <f>IFERROR(__xludf.DUMMYFUNCTION("""COMPUTED_VALUE"""),"")</f>
        <v/>
      </c>
      <c r="Q299" s="1" t="str">
        <f>IFERROR(__xludf.DUMMYFUNCTION("""COMPUTED_VALUE"""),"")</f>
        <v/>
      </c>
      <c r="R299" s="1" t="str">
        <f>IFERROR(__xludf.DUMMYFUNCTION("""COMPUTED_VALUE"""),"")</f>
        <v/>
      </c>
      <c r="S299" s="1" t="str">
        <f>IFERROR(__xludf.DUMMYFUNCTION("""COMPUTED_VALUE"""),"")</f>
        <v/>
      </c>
      <c r="T299" s="1" t="str">
        <f>IFERROR(__xludf.DUMMYFUNCTION("""COMPUTED_VALUE"""),"")</f>
        <v/>
      </c>
      <c r="U299" s="1" t="str">
        <f>IFERROR(__xludf.DUMMYFUNCTION("""COMPUTED_VALUE"""),"")</f>
        <v/>
      </c>
      <c r="V299" s="1" t="str">
        <f>IFERROR(__xludf.DUMMYFUNCTION("""COMPUTED_VALUE"""),"1,700,000")</f>
        <v>1,700,000</v>
      </c>
      <c r="W299" s="1" t="str">
        <f>IFERROR(__xludf.DUMMYFUNCTION("""COMPUTED_VALUE"""),"")</f>
        <v/>
      </c>
      <c r="X299" s="1" t="str">
        <f>IFERROR(__xludf.DUMMYFUNCTION("""COMPUTED_VALUE"""),"")</f>
        <v/>
      </c>
      <c r="Y299" s="1" t="str">
        <f>IFERROR(__xludf.DUMMYFUNCTION("""COMPUTED_VALUE"""),"")</f>
        <v/>
      </c>
      <c r="Z299" s="1" t="str">
        <f>IFERROR(__xludf.DUMMYFUNCTION("""COMPUTED_VALUE"""),"Unknown")</f>
        <v>Unknown</v>
      </c>
      <c r="AA299" s="1" t="str">
        <f>IFERROR(__xludf.DUMMYFUNCTION("""COMPUTED_VALUE"""),"")</f>
        <v/>
      </c>
      <c r="AB299" s="1" t="str">
        <f>IFERROR(__xludf.DUMMYFUNCTION("""COMPUTED_VALUE"""),"")</f>
        <v/>
      </c>
      <c r="AC299" s="1" t="str">
        <f>IFERROR(__xludf.DUMMYFUNCTION("""COMPUTED_VALUE"""),"")</f>
        <v/>
      </c>
      <c r="AD299" s="1" t="str">
        <f>IFERROR(__xludf.DUMMYFUNCTION("""COMPUTED_VALUE"""),"")</f>
        <v/>
      </c>
      <c r="AE299" s="1" t="str">
        <f>IFERROR(__xludf.DUMMYFUNCTION("""COMPUTED_VALUE"""),"")</f>
        <v/>
      </c>
      <c r="AF299" s="1" t="str">
        <f>IFERROR(__xludf.DUMMYFUNCTION("""COMPUTED_VALUE"""),"")</f>
        <v/>
      </c>
      <c r="AG299" s="1" t="str">
        <f>IFERROR(__xludf.DUMMYFUNCTION("""COMPUTED_VALUE"""),"")</f>
        <v/>
      </c>
      <c r="AH299" s="1" t="str">
        <f>IFERROR(__xludf.DUMMYFUNCTION("""COMPUTED_VALUE"""),"Media Monitoring")</f>
        <v>Media Monitoring</v>
      </c>
      <c r="AI299" s="1" t="str">
        <f>IFERROR(__xludf.DUMMYFUNCTION("""COMPUTED_VALUE"""),"")</f>
        <v/>
      </c>
      <c r="AJ299" s="1" t="str">
        <f>IFERROR(__xludf.DUMMYFUNCTION("""COMPUTED_VALUE"""),"")</f>
        <v/>
      </c>
      <c r="AK299" s="1" t="str">
        <f>IFERROR(__xludf.DUMMYFUNCTION("""COMPUTED_VALUE"""),"")</f>
        <v/>
      </c>
      <c r="AL299" s="1" t="str">
        <f>IFERROR(__xludf.DUMMYFUNCTION("""COMPUTED_VALUE"""),"")</f>
        <v/>
      </c>
      <c r="AM299" s="1" t="str">
        <f>IFERROR(__xludf.DUMMYFUNCTION("""COMPUTED_VALUE"""),"")</f>
        <v/>
      </c>
      <c r="AN299" s="1" t="str">
        <f>IFERROR(__xludf.DUMMYFUNCTION("""COMPUTED_VALUE"""),"")</f>
        <v/>
      </c>
      <c r="AO299" s="1" t="str">
        <f>IFERROR(__xludf.DUMMYFUNCTION("""COMPUTED_VALUE"""),"")</f>
        <v/>
      </c>
      <c r="AP299" s="1" t="str">
        <f>IFERROR(__xludf.DUMMYFUNCTION("""COMPUTED_VALUE"""),"")</f>
        <v/>
      </c>
      <c r="AQ299" s="1" t="str">
        <f>IFERROR(__xludf.DUMMYFUNCTION("""COMPUTED_VALUE"""),"08/13/2025")</f>
        <v>08/13/2025</v>
      </c>
      <c r="AR299" s="1" t="str">
        <f>IFERROR(__xludf.DUMMYFUNCTION("""COMPUTED_VALUE"""),"08/13/2025")</f>
        <v>08/13/2025</v>
      </c>
    </row>
    <row r="300">
      <c r="A300" s="1" t="str">
        <f>IFERROR(__xludf.DUMMYFUNCTION("""COMPUTED_VALUE"""),"Project Ruthenium ")</f>
        <v>Project Ruthenium </v>
      </c>
      <c r="B300" s="1" t="str">
        <f>IFERROR(__xludf.DUMMYFUNCTION("""COMPUTED_VALUE"""),"near 3320 110th St")</f>
        <v>near 3320 110th St</v>
      </c>
      <c r="C300" s="1" t="str">
        <f>IFERROR(__xludf.DUMMYFUNCTION("""COMPUTED_VALUE"""),"Cumming")</f>
        <v>Cumming</v>
      </c>
      <c r="D300" s="1" t="str">
        <f>IFERROR(__xludf.DUMMYFUNCTION("""COMPUTED_VALUE"""),"IA")</f>
        <v>IA</v>
      </c>
      <c r="E300" s="1" t="str">
        <f>IFERROR(__xludf.DUMMYFUNCTION("""COMPUTED_VALUE"""),"50062")</f>
        <v>50062</v>
      </c>
      <c r="F300" s="1" t="str">
        <f>IFERROR(__xludf.DUMMYFUNCTION("""COMPUTED_VALUE"""),"Madison")</f>
        <v>Madison</v>
      </c>
      <c r="G300" s="1" t="str">
        <f>IFERROR(__xludf.DUMMYFUNCTION("""COMPUTED_VALUE"""),"41.49467")</f>
        <v>41.49467</v>
      </c>
      <c r="H300" s="1" t="str">
        <f>IFERROR(__xludf.DUMMYFUNCTION("""COMPUTED_VALUE"""),"-93.8046")</f>
        <v>-93.8046</v>
      </c>
      <c r="I300" s="1" t="str">
        <f>IFERROR(__xludf.DUMMYFUNCTION("""COMPUTED_VALUE"""),"Proposed")</f>
        <v>Proposed</v>
      </c>
      <c r="J300" s="1" t="str">
        <f>IFERROR(__xludf.DUMMYFUNCTION("""COMPUTED_VALUE"""),"Medium")</f>
        <v>Medium</v>
      </c>
      <c r="K300" s="1" t="str">
        <f>IFERROR(__xludf.DUMMYFUNCTION("""COMPUTED_VALUE"""),"")</f>
        <v/>
      </c>
      <c r="L300" s="1" t="str">
        <f>IFERROR(__xludf.DUMMYFUNCTION("""COMPUTED_VALUE"""),"Microsoft")</f>
        <v>Microsoft</v>
      </c>
      <c r="M300" s="1" t="str">
        <f>IFERROR(__xludf.DUMMYFUNCTION("""COMPUTED_VALUE"""),"")</f>
        <v/>
      </c>
      <c r="N300" s="1" t="str">
        <f>IFERROR(__xludf.DUMMYFUNCTION("""COMPUTED_VALUE"""),"100-200")</f>
        <v>100-200</v>
      </c>
      <c r="O300" s="1" t="str">
        <f>IFERROR(__xludf.DUMMYFUNCTION("""COMPUTED_VALUE"""),"Hyperscale (100-999 MW)")</f>
        <v>Hyperscale (100-999 MW)</v>
      </c>
      <c r="P300" s="1" t="str">
        <f>IFERROR(__xludf.DUMMYFUNCTION("""COMPUTED_VALUE"""),"")</f>
        <v/>
      </c>
      <c r="Q300" s="1" t="str">
        <f>IFERROR(__xludf.DUMMYFUNCTION("""COMPUTED_VALUE"""),"")</f>
        <v/>
      </c>
      <c r="R300" s="1" t="str">
        <f>IFERROR(__xludf.DUMMYFUNCTION("""COMPUTED_VALUE"""),"")</f>
        <v/>
      </c>
      <c r="S300" s="1" t="str">
        <f>IFERROR(__xludf.DUMMYFUNCTION("""COMPUTED_VALUE"""),"")</f>
        <v/>
      </c>
      <c r="T300" s="1" t="str">
        <f>IFERROR(__xludf.DUMMYFUNCTION("""COMPUTED_VALUE"""),"")</f>
        <v/>
      </c>
      <c r="U300" s="1" t="str">
        <f>IFERROR(__xludf.DUMMYFUNCTION("""COMPUTED_VALUE"""),"")</f>
        <v/>
      </c>
      <c r="V300" s="1" t="str">
        <f>IFERROR(__xludf.DUMMYFUNCTION("""COMPUTED_VALUE"""),"245,000")</f>
        <v>245,000</v>
      </c>
      <c r="W300" s="1" t="str">
        <f>IFERROR(__xludf.DUMMYFUNCTION("""COMPUTED_VALUE"""),"103")</f>
        <v>103</v>
      </c>
      <c r="X300" s="1" t="str">
        <f>IFERROR(__xludf.DUMMYFUNCTION("""COMPUTED_VALUE"""),"$210 million")</f>
        <v>$210 million</v>
      </c>
      <c r="Y300" s="1" t="str">
        <f>IFERROR(__xludf.DUMMYFUNCTION("""COMPUTED_VALUE"""),"")</f>
        <v/>
      </c>
      <c r="Z300" s="1" t="str">
        <f>IFERROR(__xludf.DUMMYFUNCTION("""COMPUTED_VALUE"""),"Unknown")</f>
        <v>Unknown</v>
      </c>
      <c r="AA300" s="1" t="str">
        <f>IFERROR(__xludf.DUMMYFUNCTION("""COMPUTED_VALUE"""),"")</f>
        <v/>
      </c>
      <c r="AB300" s="1" t="str">
        <f>IFERROR(__xludf.DUMMYFUNCTION("""COMPUTED_VALUE"""),"")</f>
        <v/>
      </c>
      <c r="AC300" s="1" t="str">
        <f>IFERROR(__xludf.DUMMYFUNCTION("""COMPUTED_VALUE"""),"")</f>
        <v/>
      </c>
      <c r="AD300" s="1" t="str">
        <f>IFERROR(__xludf.DUMMYFUNCTION("""COMPUTED_VALUE"""),"")</f>
        <v/>
      </c>
      <c r="AE300" s="1" t="str">
        <f>IFERROR(__xludf.DUMMYFUNCTION("""COMPUTED_VALUE"""),"")</f>
        <v/>
      </c>
      <c r="AF300" s="1" t="str">
        <f>IFERROR(__xludf.DUMMYFUNCTION("""COMPUTED_VALUE"""),"")</f>
        <v/>
      </c>
      <c r="AG300" s="1" t="str">
        <f>IFERROR(__xludf.DUMMYFUNCTION("""COMPUTED_VALUE"""),"")</f>
        <v/>
      </c>
      <c r="AH300" s="1" t="str">
        <f>IFERROR(__xludf.DUMMYFUNCTION("""COMPUTED_VALUE"""),"Media Monitoring")</f>
        <v>Media Monitoring</v>
      </c>
      <c r="AI300" s="2" t="str">
        <f>IFERROR(__xludf.DUMMYFUNCTION("""COMPUTED_VALUE"""),"https://www.datacenterdynamics.com/en/news/microsoft-files-for-new-data-center-campus-in-des-moines-iowa/")</f>
        <v>https://www.datacenterdynamics.com/en/news/microsoft-files-for-new-data-center-campus-in-des-moines-iowa/</v>
      </c>
      <c r="AJ300" s="2" t="str">
        <f>IFERROR(__xludf.DUMMYFUNCTION("""COMPUTED_VALUE"""),"https://rbnenergy.com/i-know-places-tech-giants-may-be-the-surest-bets-for-data-center-power-demand")</f>
        <v>https://rbnenergy.com/i-know-places-tech-giants-may-be-the-surest-bets-for-data-center-power-demand</v>
      </c>
      <c r="AK300" s="1" t="str">
        <f>IFERROR(__xludf.DUMMYFUNCTION("""COMPUTED_VALUE"""),"")</f>
        <v/>
      </c>
      <c r="AL300" s="1" t="str">
        <f>IFERROR(__xludf.DUMMYFUNCTION("""COMPUTED_VALUE"""),"")</f>
        <v/>
      </c>
      <c r="AM300" s="1" t="str">
        <f>IFERROR(__xludf.DUMMYFUNCTION("""COMPUTED_VALUE"""),"")</f>
        <v/>
      </c>
      <c r="AN300" s="1" t="str">
        <f>IFERROR(__xludf.DUMMYFUNCTION("""COMPUTED_VALUE"""),"")</f>
        <v/>
      </c>
      <c r="AO300" s="1" t="str">
        <f>IFERROR(__xludf.DUMMYFUNCTION("""COMPUTED_VALUE"""),"")</f>
        <v/>
      </c>
      <c r="AP300" s="1" t="str">
        <f>IFERROR(__xludf.DUMMYFUNCTION("""COMPUTED_VALUE"""),"")</f>
        <v/>
      </c>
      <c r="AQ300" s="1" t="str">
        <f>IFERROR(__xludf.DUMMYFUNCTION("""COMPUTED_VALUE"""),"08/13/2025")</f>
        <v>08/13/2025</v>
      </c>
      <c r="AR300" s="1" t="str">
        <f>IFERROR(__xludf.DUMMYFUNCTION("""COMPUTED_VALUE"""),"08/13/2025")</f>
        <v>08/13/2025</v>
      </c>
    </row>
    <row r="301">
      <c r="A301" s="1" t="str">
        <f>IFERROR(__xludf.DUMMYFUNCTION("""COMPUTED_VALUE"""),"Data Center")</f>
        <v>Data Center</v>
      </c>
      <c r="B301" s="1" t="str">
        <f>IFERROR(__xludf.DUMMYFUNCTION("""COMPUTED_VALUE"""),"off Hwy 61")</f>
        <v>off Hwy 61</v>
      </c>
      <c r="C301" s="1" t="str">
        <f>IFERROR(__xludf.DUMMYFUNCTION("""COMPUTED_VALUE"""),"Delmar")</f>
        <v>Delmar</v>
      </c>
      <c r="D301" s="1" t="str">
        <f>IFERROR(__xludf.DUMMYFUNCTION("""COMPUTED_VALUE"""),"IA")</f>
        <v>IA</v>
      </c>
      <c r="E301" s="1" t="str">
        <f>IFERROR(__xludf.DUMMYFUNCTION("""COMPUTED_VALUE"""),"52037")</f>
        <v>52037</v>
      </c>
      <c r="F301" s="1" t="str">
        <f>IFERROR(__xludf.DUMMYFUNCTION("""COMPUTED_VALUE"""),"Jackson")</f>
        <v>Jackson</v>
      </c>
      <c r="G301" s="1" t="str">
        <f>IFERROR(__xludf.DUMMYFUNCTION("""COMPUTED_VALUE"""),"42.02969")</f>
        <v>42.02969</v>
      </c>
      <c r="H301" s="1" t="str">
        <f>IFERROR(__xludf.DUMMYFUNCTION("""COMPUTED_VALUE"""),"-90.659424")</f>
        <v>-90.659424</v>
      </c>
      <c r="I301" s="1" t="str">
        <f>IFERROR(__xludf.DUMMYFUNCTION("""COMPUTED_VALUE"""),"Proposed")</f>
        <v>Proposed</v>
      </c>
      <c r="J301" s="1" t="str">
        <f>IFERROR(__xludf.DUMMYFUNCTION("""COMPUTED_VALUE"""),"Medium")</f>
        <v>Medium</v>
      </c>
      <c r="K301" s="1" t="str">
        <f>IFERROR(__xludf.DUMMYFUNCTION("""COMPUTED_VALUE"""),"")</f>
        <v/>
      </c>
      <c r="L301" s="1" t="str">
        <f>IFERROR(__xludf.DUMMYFUNCTION("""COMPUTED_VALUE"""),"")</f>
        <v/>
      </c>
      <c r="M301" s="1" t="str">
        <f>IFERROR(__xludf.DUMMYFUNCTION("""COMPUTED_VALUE"""),"")</f>
        <v/>
      </c>
      <c r="N301" s="1" t="str">
        <f>IFERROR(__xludf.DUMMYFUNCTION("""COMPUTED_VALUE"""),"")</f>
        <v/>
      </c>
      <c r="O301" s="1" t="str">
        <f>IFERROR(__xludf.DUMMYFUNCTION("""COMPUTED_VALUE"""),"Unknown")</f>
        <v>Unknown</v>
      </c>
      <c r="P301" s="1" t="str">
        <f>IFERROR(__xludf.DUMMYFUNCTION("""COMPUTED_VALUE"""),"")</f>
        <v/>
      </c>
      <c r="Q301" s="1" t="str">
        <f>IFERROR(__xludf.DUMMYFUNCTION("""COMPUTED_VALUE"""),"")</f>
        <v/>
      </c>
      <c r="R301" s="1" t="str">
        <f>IFERROR(__xludf.DUMMYFUNCTION("""COMPUTED_VALUE"""),"")</f>
        <v/>
      </c>
      <c r="S301" s="1" t="str">
        <f>IFERROR(__xludf.DUMMYFUNCTION("""COMPUTED_VALUE"""),"")</f>
        <v/>
      </c>
      <c r="T301" s="1" t="str">
        <f>IFERROR(__xludf.DUMMYFUNCTION("""COMPUTED_VALUE"""),"")</f>
        <v/>
      </c>
      <c r="U301" s="1" t="str">
        <f>IFERROR(__xludf.DUMMYFUNCTION("""COMPUTED_VALUE"""),"")</f>
        <v/>
      </c>
      <c r="V301" s="1" t="str">
        <f>IFERROR(__xludf.DUMMYFUNCTION("""COMPUTED_VALUE"""),"")</f>
        <v/>
      </c>
      <c r="W301" s="1" t="str">
        <f>IFERROR(__xludf.DUMMYFUNCTION("""COMPUTED_VALUE"""),"46")</f>
        <v>46</v>
      </c>
      <c r="X301" s="1" t="str">
        <f>IFERROR(__xludf.DUMMYFUNCTION("""COMPUTED_VALUE"""),"")</f>
        <v/>
      </c>
      <c r="Y301" s="1" t="str">
        <f>IFERROR(__xludf.DUMMYFUNCTION("""COMPUTED_VALUE"""),"")</f>
        <v/>
      </c>
      <c r="Z301" s="1" t="str">
        <f>IFERROR(__xludf.DUMMYFUNCTION("""COMPUTED_VALUE"""),"Yes")</f>
        <v>Yes</v>
      </c>
      <c r="AA301" s="1" t="str">
        <f>IFERROR(__xludf.DUMMYFUNCTION("""COMPUTED_VALUE"""),"")</f>
        <v/>
      </c>
      <c r="AB301" s="1" t="str">
        <f>IFERROR(__xludf.DUMMYFUNCTION("""COMPUTED_VALUE"""),"Emerging Concern")</f>
        <v>Emerging Concern</v>
      </c>
      <c r="AC301" s="1" t="str">
        <f>IFERROR(__xludf.DUMMYFUNCTION("""COMPUTED_VALUE"""),"")</f>
        <v/>
      </c>
      <c r="AD301" s="1" t="str">
        <f>IFERROR(__xludf.DUMMYFUNCTION("""COMPUTED_VALUE"""),"")</f>
        <v/>
      </c>
      <c r="AE301" s="1" t="str">
        <f>IFERROR(__xludf.DUMMYFUNCTION("""COMPUTED_VALUE"""),"")</f>
        <v/>
      </c>
      <c r="AF301" s="1" t="str">
        <f>IFERROR(__xludf.DUMMYFUNCTION("""COMPUTED_VALUE"""),"")</f>
        <v/>
      </c>
      <c r="AG301" s="1" t="str">
        <f>IFERROR(__xludf.DUMMYFUNCTION("""COMPUTED_VALUE"""),"")</f>
        <v/>
      </c>
      <c r="AH301" s="1" t="str">
        <f>IFERROR(__xludf.DUMMYFUNCTION("""COMPUTED_VALUE"""),"Media Monitoring")</f>
        <v>Media Monitoring</v>
      </c>
      <c r="AI301" s="2" t="str">
        <f>IFERROR(__xludf.DUMMYFUNCTION("""COMPUTED_VALUE"""),"https://www.datacenterdynamics.com/en/news/data-center-campus-eyed-for-46-acre-site-in-maquoketa-iowa/")</f>
        <v>https://www.datacenterdynamics.com/en/news/data-center-campus-eyed-for-46-acre-site-in-maquoketa-iowa/</v>
      </c>
      <c r="AJ301" s="2" t="str">
        <f>IFERROR(__xludf.DUMMYFUNCTION("""COMPUTED_VALUE"""),"https://www.yahoo.com/news/us/articles/small-data-center-proposed-industrial-024543749.html?guccounter=1")</f>
        <v>https://www.yahoo.com/news/us/articles/small-data-center-proposed-industrial-024543749.html?guccounter=1</v>
      </c>
      <c r="AK301" s="1" t="str">
        <f>IFERROR(__xludf.DUMMYFUNCTION("""COMPUTED_VALUE"""),"")</f>
        <v/>
      </c>
      <c r="AL301" s="1" t="str">
        <f>IFERROR(__xludf.DUMMYFUNCTION("""COMPUTED_VALUE"""),"")</f>
        <v/>
      </c>
      <c r="AM301" s="1" t="str">
        <f>IFERROR(__xludf.DUMMYFUNCTION("""COMPUTED_VALUE"""),"")</f>
        <v/>
      </c>
      <c r="AN301" s="1" t="str">
        <f>IFERROR(__xludf.DUMMYFUNCTION("""COMPUTED_VALUE"""),"")</f>
        <v/>
      </c>
      <c r="AO301" s="1" t="str">
        <f>IFERROR(__xludf.DUMMYFUNCTION("""COMPUTED_VALUE"""),"")</f>
        <v/>
      </c>
      <c r="AP301" s="1" t="str">
        <f>IFERROR(__xludf.DUMMYFUNCTION("""COMPUTED_VALUE"""),"")</f>
        <v/>
      </c>
      <c r="AQ301" s="1" t="str">
        <f>IFERROR(__xludf.DUMMYFUNCTION("""COMPUTED_VALUE"""),"07/11/2026")</f>
        <v>07/11/2026</v>
      </c>
      <c r="AR301" s="1" t="str">
        <f>IFERROR(__xludf.DUMMYFUNCTION("""COMPUTED_VALUE"""),"07/11/2026")</f>
        <v>07/11/2026</v>
      </c>
    </row>
    <row r="302">
      <c r="A302" s="1" t="str">
        <f>IFERROR(__xludf.DUMMYFUNCTION("""COMPUTED_VALUE"""),"Cielo Digital Infrastructure")</f>
        <v>Cielo Digital Infrastructure</v>
      </c>
      <c r="B302" s="1" t="str">
        <f>IFERROR(__xludf.DUMMYFUNCTION("""COMPUTED_VALUE"""),"")</f>
        <v/>
      </c>
      <c r="C302" s="1" t="str">
        <f>IFERROR(__xludf.DUMMYFUNCTION("""COMPUTED_VALUE"""),"Des Moines")</f>
        <v>Des Moines</v>
      </c>
      <c r="D302" s="1" t="str">
        <f>IFERROR(__xludf.DUMMYFUNCTION("""COMPUTED_VALUE"""),"IA")</f>
        <v>IA</v>
      </c>
      <c r="E302" s="1" t="str">
        <f>IFERROR(__xludf.DUMMYFUNCTION("""COMPUTED_VALUE"""),"")</f>
        <v/>
      </c>
      <c r="F302" s="1" t="str">
        <f>IFERROR(__xludf.DUMMYFUNCTION("""COMPUTED_VALUE"""),"Polk")</f>
        <v>Polk</v>
      </c>
      <c r="G302" s="1" t="str">
        <f>IFERROR(__xludf.DUMMYFUNCTION("""COMPUTED_VALUE"""),"41.57011")</f>
        <v>41.57011</v>
      </c>
      <c r="H302" s="1" t="str">
        <f>IFERROR(__xludf.DUMMYFUNCTION("""COMPUTED_VALUE"""),"-93.5839")</f>
        <v>-93.5839</v>
      </c>
      <c r="I302" s="1" t="str">
        <f>IFERROR(__xludf.DUMMYFUNCTION("""COMPUTED_VALUE"""),"Proposed")</f>
        <v>Proposed</v>
      </c>
      <c r="J302" s="1" t="str">
        <f>IFERROR(__xludf.DUMMYFUNCTION("""COMPUTED_VALUE"""),"Low")</f>
        <v>Low</v>
      </c>
      <c r="K302" s="1" t="str">
        <f>IFERROR(__xludf.DUMMYFUNCTION("""COMPUTED_VALUE"""),"")</f>
        <v/>
      </c>
      <c r="L302" s="1" t="str">
        <f>IFERROR(__xludf.DUMMYFUNCTION("""COMPUTED_VALUE"""),"")</f>
        <v/>
      </c>
      <c r="M302" s="1" t="str">
        <f>IFERROR(__xludf.DUMMYFUNCTION("""COMPUTED_VALUE"""),"")</f>
        <v/>
      </c>
      <c r="N302" s="1" t="str">
        <f>IFERROR(__xludf.DUMMYFUNCTION("""COMPUTED_VALUE"""),"150")</f>
        <v>150</v>
      </c>
      <c r="O302" s="1" t="str">
        <f>IFERROR(__xludf.DUMMYFUNCTION("""COMPUTED_VALUE"""),"Hyperscale (100-999 MW)")</f>
        <v>Hyperscale (100-999 MW)</v>
      </c>
      <c r="P302" s="1" t="str">
        <f>IFERROR(__xludf.DUMMYFUNCTION("""COMPUTED_VALUE"""),"")</f>
        <v/>
      </c>
      <c r="Q302" s="1" t="str">
        <f>IFERROR(__xludf.DUMMYFUNCTION("""COMPUTED_VALUE"""),"")</f>
        <v/>
      </c>
      <c r="R302" s="1" t="str">
        <f>IFERROR(__xludf.DUMMYFUNCTION("""COMPUTED_VALUE"""),"")</f>
        <v/>
      </c>
      <c r="S302" s="1" t="str">
        <f>IFERROR(__xludf.DUMMYFUNCTION("""COMPUTED_VALUE"""),"")</f>
        <v/>
      </c>
      <c r="T302" s="1" t="str">
        <f>IFERROR(__xludf.DUMMYFUNCTION("""COMPUTED_VALUE"""),"")</f>
        <v/>
      </c>
      <c r="U302" s="1" t="str">
        <f>IFERROR(__xludf.DUMMYFUNCTION("""COMPUTED_VALUE"""),"")</f>
        <v/>
      </c>
      <c r="V302" s="1" t="str">
        <f>IFERROR(__xludf.DUMMYFUNCTION("""COMPUTED_VALUE"""),"")</f>
        <v/>
      </c>
      <c r="W302" s="1" t="str">
        <f>IFERROR(__xludf.DUMMYFUNCTION("""COMPUTED_VALUE"""),"166")</f>
        <v>166</v>
      </c>
      <c r="X302" s="1" t="str">
        <f>IFERROR(__xludf.DUMMYFUNCTION("""COMPUTED_VALUE"""),"")</f>
        <v/>
      </c>
      <c r="Y302" s="1" t="str">
        <f>IFERROR(__xludf.DUMMYFUNCTION("""COMPUTED_VALUE"""),"")</f>
        <v/>
      </c>
      <c r="Z302" s="1" t="str">
        <f>IFERROR(__xludf.DUMMYFUNCTION("""COMPUTED_VALUE"""),"Unknown")</f>
        <v>Unknown</v>
      </c>
      <c r="AA302" s="1" t="str">
        <f>IFERROR(__xludf.DUMMYFUNCTION("""COMPUTED_VALUE"""),"")</f>
        <v/>
      </c>
      <c r="AB302" s="1" t="str">
        <f>IFERROR(__xludf.DUMMYFUNCTION("""COMPUTED_VALUE"""),"")</f>
        <v/>
      </c>
      <c r="AC302" s="1" t="str">
        <f>IFERROR(__xludf.DUMMYFUNCTION("""COMPUTED_VALUE"""),"")</f>
        <v/>
      </c>
      <c r="AD302" s="1" t="str">
        <f>IFERROR(__xludf.DUMMYFUNCTION("""COMPUTED_VALUE"""),"")</f>
        <v/>
      </c>
      <c r="AE302" s="1" t="str">
        <f>IFERROR(__xludf.DUMMYFUNCTION("""COMPUTED_VALUE"""),"")</f>
        <v/>
      </c>
      <c r="AF302" s="1" t="str">
        <f>IFERROR(__xludf.DUMMYFUNCTION("""COMPUTED_VALUE"""),"")</f>
        <v/>
      </c>
      <c r="AG302" s="1" t="str">
        <f>IFERROR(__xludf.DUMMYFUNCTION("""COMPUTED_VALUE"""),"")</f>
        <v/>
      </c>
      <c r="AH302" s="1" t="str">
        <f>IFERROR(__xludf.DUMMYFUNCTION("""COMPUTED_VALUE"""),"Media Monitoring")</f>
        <v>Media Monitoring</v>
      </c>
      <c r="AI302" s="2" t="str">
        <f>IFERROR(__xludf.DUMMYFUNCTION("""COMPUTED_VALUE"""),"https://www.datacenterdynamics.com/en/news/cielo-digital-infrastructure-plans-300mw-data-center-campus-in-south-carolina/")</f>
        <v>https://www.datacenterdynamics.com/en/news/cielo-digital-infrastructure-plans-300mw-data-center-campus-in-south-carolina/</v>
      </c>
      <c r="AJ302" s="1" t="str">
        <f>IFERROR(__xludf.DUMMYFUNCTION("""COMPUTED_VALUE"""),"")</f>
        <v/>
      </c>
      <c r="AK302" s="1" t="str">
        <f>IFERROR(__xludf.DUMMYFUNCTION("""COMPUTED_VALUE"""),"")</f>
        <v/>
      </c>
      <c r="AL302" s="1" t="str">
        <f>IFERROR(__xludf.DUMMYFUNCTION("""COMPUTED_VALUE"""),"")</f>
        <v/>
      </c>
      <c r="AM302" s="1" t="str">
        <f>IFERROR(__xludf.DUMMYFUNCTION("""COMPUTED_VALUE"""),"")</f>
        <v/>
      </c>
      <c r="AN302" s="1" t="str">
        <f>IFERROR(__xludf.DUMMYFUNCTION("""COMPUTED_VALUE"""),"")</f>
        <v/>
      </c>
      <c r="AO302" s="1" t="str">
        <f>IFERROR(__xludf.DUMMYFUNCTION("""COMPUTED_VALUE"""),"")</f>
        <v/>
      </c>
      <c r="AP302" s="1" t="str">
        <f>IFERROR(__xludf.DUMMYFUNCTION("""COMPUTED_VALUE"""),"")</f>
        <v/>
      </c>
      <c r="AQ302" s="1" t="str">
        <f>IFERROR(__xludf.DUMMYFUNCTION("""COMPUTED_VALUE"""),"06/24/2025")</f>
        <v>06/24/2025</v>
      </c>
      <c r="AR302" s="1" t="str">
        <f>IFERROR(__xludf.DUMMYFUNCTION("""COMPUTED_VALUE"""),"06/24/2025")</f>
        <v>06/24/2025</v>
      </c>
    </row>
    <row r="303">
      <c r="A303" s="1" t="str">
        <f>IFERROR(__xludf.DUMMYFUNCTION("""COMPUTED_VALUE"""),"Dubuque Data Center")</f>
        <v>Dubuque Data Center</v>
      </c>
      <c r="B303" s="1" t="str">
        <f>IFERROR(__xludf.DUMMYFUNCTION("""COMPUTED_VALUE"""),"3501 Digital Dr")</f>
        <v>3501 Digital Dr</v>
      </c>
      <c r="C303" s="1" t="str">
        <f>IFERROR(__xludf.DUMMYFUNCTION("""COMPUTED_VALUE"""),"Dubuque")</f>
        <v>Dubuque</v>
      </c>
      <c r="D303" s="1" t="str">
        <f>IFERROR(__xludf.DUMMYFUNCTION("""COMPUTED_VALUE"""),"IA")</f>
        <v>IA</v>
      </c>
      <c r="E303" s="1" t="str">
        <f>IFERROR(__xludf.DUMMYFUNCTION("""COMPUTED_VALUE"""),"52003")</f>
        <v>52003</v>
      </c>
      <c r="F303" s="1" t="str">
        <f>IFERROR(__xludf.DUMMYFUNCTION("""COMPUTED_VALUE"""),"Dubuque")</f>
        <v>Dubuque</v>
      </c>
      <c r="G303" s="1" t="str">
        <f>IFERROR(__xludf.DUMMYFUNCTION("""COMPUTED_VALUE"""),"42.44434")</f>
        <v>42.44434</v>
      </c>
      <c r="H303" s="1" t="str">
        <f>IFERROR(__xludf.DUMMYFUNCTION("""COMPUTED_VALUE"""),"-90.679")</f>
        <v>-90.679</v>
      </c>
      <c r="I303" s="1" t="str">
        <f>IFERROR(__xludf.DUMMYFUNCTION("""COMPUTED_VALUE"""),"Operating")</f>
        <v>Operating</v>
      </c>
      <c r="J303" s="1" t="str">
        <f>IFERROR(__xludf.DUMMYFUNCTION("""COMPUTED_VALUE"""),"High")</f>
        <v>High</v>
      </c>
      <c r="K303" s="1" t="str">
        <f>IFERROR(__xludf.DUMMYFUNCTION("""COMPUTED_VALUE"""),"Telecommunication routing")</f>
        <v>Telecommunication routing</v>
      </c>
      <c r="L303" s="1" t="str">
        <f>IFERROR(__xludf.DUMMYFUNCTION("""COMPUTED_VALUE"""),"Windstream")</f>
        <v>Windstream</v>
      </c>
      <c r="M303" s="1" t="str">
        <f>IFERROR(__xludf.DUMMYFUNCTION("""COMPUTED_VALUE"""),"")</f>
        <v/>
      </c>
      <c r="N303" s="1" t="str">
        <f>IFERROR(__xludf.DUMMYFUNCTION("""COMPUTED_VALUE"""),"")</f>
        <v/>
      </c>
      <c r="O303" s="1" t="str">
        <f>IFERROR(__xludf.DUMMYFUNCTION("""COMPUTED_VALUE"""),"Small (0-10 MW)")</f>
        <v>Small (0-10 MW)</v>
      </c>
      <c r="P303" s="1" t="str">
        <f>IFERROR(__xludf.DUMMYFUNCTION("""COMPUTED_VALUE"""),"")</f>
        <v/>
      </c>
      <c r="Q303" s="1" t="str">
        <f>IFERROR(__xludf.DUMMYFUNCTION("""COMPUTED_VALUE"""),"")</f>
        <v/>
      </c>
      <c r="R303" s="1" t="str">
        <f>IFERROR(__xludf.DUMMYFUNCTION("""COMPUTED_VALUE"""),"")</f>
        <v/>
      </c>
      <c r="S303" s="1" t="str">
        <f>IFERROR(__xludf.DUMMYFUNCTION("""COMPUTED_VALUE"""),"")</f>
        <v/>
      </c>
      <c r="T303" s="1" t="str">
        <f>IFERROR(__xludf.DUMMYFUNCTION("""COMPUTED_VALUE"""),"")</f>
        <v/>
      </c>
      <c r="U303" s="1" t="str">
        <f>IFERROR(__xludf.DUMMYFUNCTION("""COMPUTED_VALUE"""),"")</f>
        <v/>
      </c>
      <c r="V303" s="1" t="str">
        <f>IFERROR(__xludf.DUMMYFUNCTION("""COMPUTED_VALUE"""),"14,612")</f>
        <v>14,612</v>
      </c>
      <c r="W303" s="1" t="str">
        <f>IFERROR(__xludf.DUMMYFUNCTION("""COMPUTED_VALUE"""),"")</f>
        <v/>
      </c>
      <c r="X303" s="1" t="str">
        <f>IFERROR(__xludf.DUMMYFUNCTION("""COMPUTED_VALUE"""),"")</f>
        <v/>
      </c>
      <c r="Y303" s="1" t="str">
        <f>IFERROR(__xludf.DUMMYFUNCTION("""COMPUTED_VALUE"""),"")</f>
        <v/>
      </c>
      <c r="Z303" s="1" t="str">
        <f>IFERROR(__xludf.DUMMYFUNCTION("""COMPUTED_VALUE"""),"Unknown")</f>
        <v>Unknown</v>
      </c>
      <c r="AA303" s="1" t="str">
        <f>IFERROR(__xludf.DUMMYFUNCTION("""COMPUTED_VALUE"""),"")</f>
        <v/>
      </c>
      <c r="AB303" s="1" t="str">
        <f>IFERROR(__xludf.DUMMYFUNCTION("""COMPUTED_VALUE"""),"")</f>
        <v/>
      </c>
      <c r="AC303" s="1" t="str">
        <f>IFERROR(__xludf.DUMMYFUNCTION("""COMPUTED_VALUE"""),"")</f>
        <v/>
      </c>
      <c r="AD303" s="1" t="str">
        <f>IFERROR(__xludf.DUMMYFUNCTION("""COMPUTED_VALUE"""),"")</f>
        <v/>
      </c>
      <c r="AE303" s="1" t="str">
        <f>IFERROR(__xludf.DUMMYFUNCTION("""COMPUTED_VALUE"""),"")</f>
        <v/>
      </c>
      <c r="AF303" s="1" t="str">
        <f>IFERROR(__xludf.DUMMYFUNCTION("""COMPUTED_VALUE"""),"")</f>
        <v/>
      </c>
      <c r="AG303" s="1" t="str">
        <f>IFERROR(__xludf.DUMMYFUNCTION("""COMPUTED_VALUE"""),"")</f>
        <v/>
      </c>
      <c r="AH303" s="1" t="str">
        <f>IFERROR(__xludf.DUMMYFUNCTION("""COMPUTED_VALUE"""),"Media Monitoring")</f>
        <v>Media Monitoring</v>
      </c>
      <c r="AI303" s="2" t="str">
        <f>IFERROR(__xludf.DUMMYFUNCTION("""COMPUTED_VALUE"""),"https://www.datacenters.com/windstream-dubuque-ia")</f>
        <v>https://www.datacenters.com/windstream-dubuque-ia</v>
      </c>
      <c r="AJ303" s="1" t="str">
        <f>IFERROR(__xludf.DUMMYFUNCTION("""COMPUTED_VALUE"""),"")</f>
        <v/>
      </c>
      <c r="AK303" s="1" t="str">
        <f>IFERROR(__xludf.DUMMYFUNCTION("""COMPUTED_VALUE"""),"")</f>
        <v/>
      </c>
      <c r="AL303" s="1" t="str">
        <f>IFERROR(__xludf.DUMMYFUNCTION("""COMPUTED_VALUE"""),"")</f>
        <v/>
      </c>
      <c r="AM303" s="1" t="str">
        <f>IFERROR(__xludf.DUMMYFUNCTION("""COMPUTED_VALUE"""),"")</f>
        <v/>
      </c>
      <c r="AN303" s="1" t="str">
        <f>IFERROR(__xludf.DUMMYFUNCTION("""COMPUTED_VALUE"""),"")</f>
        <v/>
      </c>
      <c r="AO303" s="1" t="str">
        <f>IFERROR(__xludf.DUMMYFUNCTION("""COMPUTED_VALUE"""),"")</f>
        <v/>
      </c>
      <c r="AP303" s="1" t="str">
        <f>IFERROR(__xludf.DUMMYFUNCTION("""COMPUTED_VALUE"""),"")</f>
        <v/>
      </c>
      <c r="AQ303" s="1" t="str">
        <f>IFERROR(__xludf.DUMMYFUNCTION("""COMPUTED_VALUE"""),"05/27/2025")</f>
        <v>05/27/2025</v>
      </c>
      <c r="AR303" s="1" t="str">
        <f>IFERROR(__xludf.DUMMYFUNCTION("""COMPUTED_VALUE"""),"03/11/2026")</f>
        <v>03/11/2026</v>
      </c>
    </row>
    <row r="304">
      <c r="A304" s="1" t="str">
        <f>IFERROR(__xludf.DUMMYFUNCTION("""COMPUTED_VALUE"""),"Karis Data Center")</f>
        <v>Karis Data Center</v>
      </c>
      <c r="B304" s="1" t="str">
        <f>IFERROR(__xludf.DUMMYFUNCTION("""COMPUTED_VALUE"""),"Near Dubuque Regional Airport")</f>
        <v>Near Dubuque Regional Airport</v>
      </c>
      <c r="C304" s="1" t="str">
        <f>IFERROR(__xludf.DUMMYFUNCTION("""COMPUTED_VALUE"""),"Dubuque")</f>
        <v>Dubuque</v>
      </c>
      <c r="D304" s="1" t="str">
        <f>IFERROR(__xludf.DUMMYFUNCTION("""COMPUTED_VALUE"""),"IA")</f>
        <v>IA</v>
      </c>
      <c r="E304" s="1" t="str">
        <f>IFERROR(__xludf.DUMMYFUNCTION("""COMPUTED_VALUE"""),"52003")</f>
        <v>52003</v>
      </c>
      <c r="F304" s="1" t="str">
        <f>IFERROR(__xludf.DUMMYFUNCTION("""COMPUTED_VALUE"""),"Dubuque")</f>
        <v>Dubuque</v>
      </c>
      <c r="G304" s="1" t="str">
        <f>IFERROR(__xludf.DUMMYFUNCTION("""COMPUTED_VALUE"""),"42.401558")</f>
        <v>42.401558</v>
      </c>
      <c r="H304" s="1" t="str">
        <f>IFERROR(__xludf.DUMMYFUNCTION("""COMPUTED_VALUE"""),"-90.72211")</f>
        <v>-90.72211</v>
      </c>
      <c r="I304" s="1" t="str">
        <f>IFERROR(__xludf.DUMMYFUNCTION("""COMPUTED_VALUE"""),"Proposed")</f>
        <v>Proposed</v>
      </c>
      <c r="J304" s="1" t="str">
        <f>IFERROR(__xludf.DUMMYFUNCTION("""COMPUTED_VALUE"""),"Medium")</f>
        <v>Medium</v>
      </c>
      <c r="K304" s="1" t="str">
        <f>IFERROR(__xludf.DUMMYFUNCTION("""COMPUTED_VALUE"""),"")</f>
        <v/>
      </c>
      <c r="L304" s="1" t="str">
        <f>IFERROR(__xludf.DUMMYFUNCTION("""COMPUTED_VALUE"""),"Karis")</f>
        <v>Karis</v>
      </c>
      <c r="M304" s="1" t="str">
        <f>IFERROR(__xludf.DUMMYFUNCTION("""COMPUTED_VALUE"""),"")</f>
        <v/>
      </c>
      <c r="N304" s="1" t="str">
        <f>IFERROR(__xludf.DUMMYFUNCTION("""COMPUTED_VALUE"""),"")</f>
        <v/>
      </c>
      <c r="O304" s="1" t="str">
        <f>IFERROR(__xludf.DUMMYFUNCTION("""COMPUTED_VALUE"""),"Unknown")</f>
        <v>Unknown</v>
      </c>
      <c r="P304" s="1" t="str">
        <f>IFERROR(__xludf.DUMMYFUNCTION("""COMPUTED_VALUE"""),"")</f>
        <v/>
      </c>
      <c r="Q304" s="1" t="str">
        <f>IFERROR(__xludf.DUMMYFUNCTION("""COMPUTED_VALUE"""),"")</f>
        <v/>
      </c>
      <c r="R304" s="1" t="str">
        <f>IFERROR(__xludf.DUMMYFUNCTION("""COMPUTED_VALUE"""),"")</f>
        <v/>
      </c>
      <c r="S304" s="1" t="str">
        <f>IFERROR(__xludf.DUMMYFUNCTION("""COMPUTED_VALUE"""),"")</f>
        <v/>
      </c>
      <c r="T304" s="1" t="str">
        <f>IFERROR(__xludf.DUMMYFUNCTION("""COMPUTED_VALUE"""),"")</f>
        <v/>
      </c>
      <c r="U304" s="1" t="str">
        <f>IFERROR(__xludf.DUMMYFUNCTION("""COMPUTED_VALUE"""),"")</f>
        <v/>
      </c>
      <c r="V304" s="1" t="str">
        <f>IFERROR(__xludf.DUMMYFUNCTION("""COMPUTED_VALUE"""),"")</f>
        <v/>
      </c>
      <c r="W304" s="1" t="str">
        <f>IFERROR(__xludf.DUMMYFUNCTION("""COMPUTED_VALUE"""),"")</f>
        <v/>
      </c>
      <c r="X304" s="1" t="str">
        <f>IFERROR(__xludf.DUMMYFUNCTION("""COMPUTED_VALUE"""),"")</f>
        <v/>
      </c>
      <c r="Y304" s="1" t="str">
        <f>IFERROR(__xludf.DUMMYFUNCTION("""COMPUTED_VALUE"""),"")</f>
        <v/>
      </c>
      <c r="Z304" s="1" t="str">
        <f>IFERROR(__xludf.DUMMYFUNCTION("""COMPUTED_VALUE"""),"Yes")</f>
        <v>Yes</v>
      </c>
      <c r="AA304" s="1" t="str">
        <f>IFERROR(__xludf.DUMMYFUNCTION("""COMPUTED_VALUE"""),"")</f>
        <v/>
      </c>
      <c r="AB304" s="1" t="str">
        <f>IFERROR(__xludf.DUMMYFUNCTION("""COMPUTED_VALUE"""),"Organized Advocacy")</f>
        <v>Organized Advocacy</v>
      </c>
      <c r="AC304" s="1" t="str">
        <f>IFERROR(__xludf.DUMMYFUNCTION("""COMPUTED_VALUE"""),"")</f>
        <v/>
      </c>
      <c r="AD304" s="1" t="str">
        <f>IFERROR(__xludf.DUMMYFUNCTION("""COMPUTED_VALUE"""),"")</f>
        <v/>
      </c>
      <c r="AE304" s="1" t="str">
        <f>IFERROR(__xludf.DUMMYFUNCTION("""COMPUTED_VALUE"""),"")</f>
        <v/>
      </c>
      <c r="AF304" s="1" t="str">
        <f>IFERROR(__xludf.DUMMYFUNCTION("""COMPUTED_VALUE"""),"")</f>
        <v/>
      </c>
      <c r="AG304" s="1" t="str">
        <f>IFERROR(__xludf.DUMMYFUNCTION("""COMPUTED_VALUE"""),"")</f>
        <v/>
      </c>
      <c r="AH304" s="1" t="str">
        <f>IFERROR(__xludf.DUMMYFUNCTION("""COMPUTED_VALUE"""),"Media Monitoring")</f>
        <v>Media Monitoring</v>
      </c>
      <c r="AI304" s="2" t="str">
        <f>IFERROR(__xludf.DUMMYFUNCTION("""COMPUTED_VALUE"""),"https://www.datacenterdynamics.com/en/news/karis-named-as-firm-behind-proposed-data-center-project-in-dubuque-county-iowa/")</f>
        <v>https://www.datacenterdynamics.com/en/news/karis-named-as-firm-behind-proposed-data-center-project-in-dubuque-county-iowa/</v>
      </c>
      <c r="AJ304" s="2" t="str">
        <f>IFERROR(__xludf.DUMMYFUNCTION("""COMPUTED_VALUE"""),"https://www.kcrg.com/2026/06/24/data-center-concerns-draw-hundreds-dubuque-county-town-hall/")</f>
        <v>https://www.kcrg.com/2026/06/24/data-center-concerns-draw-hundreds-dubuque-county-town-hall/</v>
      </c>
      <c r="AK304" s="1" t="str">
        <f>IFERROR(__xludf.DUMMYFUNCTION("""COMPUTED_VALUE"""),"")</f>
        <v/>
      </c>
      <c r="AL304" s="1" t="str">
        <f>IFERROR(__xludf.DUMMYFUNCTION("""COMPUTED_VALUE"""),"")</f>
        <v/>
      </c>
      <c r="AM304" s="1" t="str">
        <f>IFERROR(__xludf.DUMMYFUNCTION("""COMPUTED_VALUE"""),"")</f>
        <v/>
      </c>
      <c r="AN304" s="1" t="str">
        <f>IFERROR(__xludf.DUMMYFUNCTION("""COMPUTED_VALUE"""),"")</f>
        <v/>
      </c>
      <c r="AO304" s="1" t="str">
        <f>IFERROR(__xludf.DUMMYFUNCTION("""COMPUTED_VALUE"""),"")</f>
        <v/>
      </c>
      <c r="AP304" s="1" t="str">
        <f>IFERROR(__xludf.DUMMYFUNCTION("""COMPUTED_VALUE"""),"")</f>
        <v/>
      </c>
      <c r="AQ304" s="1" t="str">
        <f>IFERROR(__xludf.DUMMYFUNCTION("""COMPUTED_VALUE"""),"06/29/2026")</f>
        <v>06/29/2026</v>
      </c>
      <c r="AR304" s="1" t="str">
        <f>IFERROR(__xludf.DUMMYFUNCTION("""COMPUTED_VALUE"""),"06/29/2026")</f>
        <v>06/29/2026</v>
      </c>
    </row>
    <row r="305">
      <c r="A305" s="1" t="str">
        <f>IFERROR(__xludf.DUMMYFUNCTION("""COMPUTED_VALUE"""),"QTS Fairfax Data Center")</f>
        <v>QTS Fairfax Data Center</v>
      </c>
      <c r="B305" s="1" t="str">
        <f>IFERROR(__xludf.DUMMYFUNCTION("""COMPUTED_VALUE"""),"~3400 76th Ave SW")</f>
        <v>~3400 76th Ave SW</v>
      </c>
      <c r="C305" s="1" t="str">
        <f>IFERROR(__xludf.DUMMYFUNCTION("""COMPUTED_VALUE"""),"Fairfax")</f>
        <v>Fairfax</v>
      </c>
      <c r="D305" s="1" t="str">
        <f>IFERROR(__xludf.DUMMYFUNCTION("""COMPUTED_VALUE"""),"IA")</f>
        <v>IA</v>
      </c>
      <c r="E305" s="1" t="str">
        <f>IFERROR(__xludf.DUMMYFUNCTION("""COMPUTED_VALUE"""),"52228")</f>
        <v>52228</v>
      </c>
      <c r="F305" s="1" t="str">
        <f>IFERROR(__xludf.DUMMYFUNCTION("""COMPUTED_VALUE"""),"Linn")</f>
        <v>Linn</v>
      </c>
      <c r="G305" s="1" t="str">
        <f>IFERROR(__xludf.DUMMYFUNCTION("""COMPUTED_VALUE"""),"41.89881")</f>
        <v>41.89881</v>
      </c>
      <c r="H305" s="1" t="str">
        <f>IFERROR(__xludf.DUMMYFUNCTION("""COMPUTED_VALUE"""),"-91.7211")</f>
        <v>-91.7211</v>
      </c>
      <c r="I305" s="1" t="str">
        <f>IFERROR(__xludf.DUMMYFUNCTION("""COMPUTED_VALUE"""),"Approved/Permitted/Under construction")</f>
        <v>Approved/Permitted/Under construction</v>
      </c>
      <c r="J305" s="1" t="str">
        <f>IFERROR(__xludf.DUMMYFUNCTION("""COMPUTED_VALUE"""),"Medium")</f>
        <v>Medium</v>
      </c>
      <c r="K305" s="1" t="str">
        <f>IFERROR(__xludf.DUMMYFUNCTION("""COMPUTED_VALUE"""),"")</f>
        <v/>
      </c>
      <c r="L305" s="1" t="str">
        <f>IFERROR(__xludf.DUMMYFUNCTION("""COMPUTED_VALUE"""),"")</f>
        <v/>
      </c>
      <c r="M305" s="1" t="str">
        <f>IFERROR(__xludf.DUMMYFUNCTION("""COMPUTED_VALUE"""),"")</f>
        <v/>
      </c>
      <c r="N305" s="1" t="str">
        <f>IFERROR(__xludf.DUMMYFUNCTION("""COMPUTED_VALUE"""),"")</f>
        <v/>
      </c>
      <c r="O305" s="1" t="str">
        <f>IFERROR(__xludf.DUMMYFUNCTION("""COMPUTED_VALUE"""),"Unknown")</f>
        <v>Unknown</v>
      </c>
      <c r="P305" s="1" t="str">
        <f>IFERROR(__xludf.DUMMYFUNCTION("""COMPUTED_VALUE"""),"")</f>
        <v/>
      </c>
      <c r="Q305" s="1" t="str">
        <f>IFERROR(__xludf.DUMMYFUNCTION("""COMPUTED_VALUE"""),"")</f>
        <v/>
      </c>
      <c r="R305" s="1" t="str">
        <f>IFERROR(__xludf.DUMMYFUNCTION("""COMPUTED_VALUE"""),"")</f>
        <v/>
      </c>
      <c r="S305" s="1" t="str">
        <f>IFERROR(__xludf.DUMMYFUNCTION("""COMPUTED_VALUE"""),"")</f>
        <v/>
      </c>
      <c r="T305" s="1" t="str">
        <f>IFERROR(__xludf.DUMMYFUNCTION("""COMPUTED_VALUE"""),"")</f>
        <v/>
      </c>
      <c r="U305" s="1" t="str">
        <f>IFERROR(__xludf.DUMMYFUNCTION("""COMPUTED_VALUE"""),"")</f>
        <v/>
      </c>
      <c r="V305" s="1" t="str">
        <f>IFERROR(__xludf.DUMMYFUNCTION("""COMPUTED_VALUE"""),"300000")</f>
        <v>300000</v>
      </c>
      <c r="W305" s="1" t="str">
        <f>IFERROR(__xludf.DUMMYFUNCTION("""COMPUTED_VALUE"""),"612")</f>
        <v>612</v>
      </c>
      <c r="X305" s="1" t="str">
        <f>IFERROR(__xludf.DUMMYFUNCTION("""COMPUTED_VALUE"""),"$750 million")</f>
        <v>$750 million</v>
      </c>
      <c r="Y305" s="1" t="str">
        <f>IFERROR(__xludf.DUMMYFUNCTION("""COMPUTED_VALUE"""),"")</f>
        <v/>
      </c>
      <c r="Z305" s="1" t="str">
        <f>IFERROR(__xludf.DUMMYFUNCTION("""COMPUTED_VALUE"""),"Unknown")</f>
        <v>Unknown</v>
      </c>
      <c r="AA305" s="1" t="str">
        <f>IFERROR(__xludf.DUMMYFUNCTION("""COMPUTED_VALUE"""),"")</f>
        <v/>
      </c>
      <c r="AB305" s="1" t="str">
        <f>IFERROR(__xludf.DUMMYFUNCTION("""COMPUTED_VALUE"""),"")</f>
        <v/>
      </c>
      <c r="AC305" s="1" t="str">
        <f>IFERROR(__xludf.DUMMYFUNCTION("""COMPUTED_VALUE"""),"")</f>
        <v/>
      </c>
      <c r="AD305" s="1" t="str">
        <f>IFERROR(__xludf.DUMMYFUNCTION("""COMPUTED_VALUE"""),"")</f>
        <v/>
      </c>
      <c r="AE305" s="1" t="str">
        <f>IFERROR(__xludf.DUMMYFUNCTION("""COMPUTED_VALUE"""),"")</f>
        <v/>
      </c>
      <c r="AF305" s="1" t="str">
        <f>IFERROR(__xludf.DUMMYFUNCTION("""COMPUTED_VALUE"""),"")</f>
        <v/>
      </c>
      <c r="AG305" s="1" t="str">
        <f>IFERROR(__xludf.DUMMYFUNCTION("""COMPUTED_VALUE"""),"")</f>
        <v/>
      </c>
      <c r="AH305" s="1" t="str">
        <f>IFERROR(__xludf.DUMMYFUNCTION("""COMPUTED_VALUE"""),"Media Monitoring")</f>
        <v>Media Monitoring</v>
      </c>
      <c r="AI305" s="2" t="str">
        <f>IFERROR(__xludf.DUMMYFUNCTION("""COMPUTED_VALUE"""),"https://www.datacenterdynamics.com/en/news/city-of-cedar-rapids-officially-confirms-qts-behind-iowa-data-center-campus/")</f>
        <v>https://www.datacenterdynamics.com/en/news/city-of-cedar-rapids-officially-confirms-qts-behind-iowa-data-center-campus/</v>
      </c>
      <c r="AJ305" s="2" t="str">
        <f>IFERROR(__xludf.DUMMYFUNCTION("""COMPUTED_VALUE"""),"https://www.thegazette.com/local-government/unnamed-company-looks-to-build-576-million-data-center-in-cedar-rapids/")</f>
        <v>https://www.thegazette.com/local-government/unnamed-company-looks-to-build-576-million-data-center-in-cedar-rapids/</v>
      </c>
      <c r="AK305" s="2" t="str">
        <f>IFERROR(__xludf.DUMMYFUNCTION("""COMPUTED_VALUE"""),"https://www.kcrg.com/2025/07/29/officials-cancel-groundbreaking-ceremony-cedar-rapids-data-center/")</f>
        <v>https://www.kcrg.com/2025/07/29/officials-cancel-groundbreaking-ceremony-cedar-rapids-data-center/</v>
      </c>
      <c r="AL305" s="1" t="str">
        <f>IFERROR(__xludf.DUMMYFUNCTION("""COMPUTED_VALUE"""),"")</f>
        <v/>
      </c>
      <c r="AM305" s="1" t="str">
        <f>IFERROR(__xludf.DUMMYFUNCTION("""COMPUTED_VALUE"""),"")</f>
        <v/>
      </c>
      <c r="AN305" s="1" t="str">
        <f>IFERROR(__xludf.DUMMYFUNCTION("""COMPUTED_VALUE"""),"")</f>
        <v/>
      </c>
      <c r="AO305" s="1" t="str">
        <f>IFERROR(__xludf.DUMMYFUNCTION("""COMPUTED_VALUE"""),"")</f>
        <v/>
      </c>
      <c r="AP305" s="1" t="str">
        <f>IFERROR(__xludf.DUMMYFUNCTION("""COMPUTED_VALUE"""),"")</f>
        <v/>
      </c>
      <c r="AQ305" s="1" t="str">
        <f>IFERROR(__xludf.DUMMYFUNCTION("""COMPUTED_VALUE"""),"07/30/2025")</f>
        <v>07/30/2025</v>
      </c>
      <c r="AR305" s="1" t="str">
        <f>IFERROR(__xludf.DUMMYFUNCTION("""COMPUTED_VALUE"""),"07/30/2025")</f>
        <v>07/30/2025</v>
      </c>
    </row>
    <row r="306">
      <c r="A306" s="1" t="str">
        <f>IFERROR(__xludf.DUMMYFUNCTION("""COMPUTED_VALUE"""),"Project West ")</f>
        <v>Project West </v>
      </c>
      <c r="B306" s="1" t="str">
        <f>IFERROR(__xludf.DUMMYFUNCTION("""COMPUTED_VALUE"""),"South of Delaware St, west of Rt 28")</f>
        <v>South of Delaware St, west of Rt 28</v>
      </c>
      <c r="C306" s="1" t="str">
        <f>IFERROR(__xludf.DUMMYFUNCTION("""COMPUTED_VALUE"""),"Norwalk")</f>
        <v>Norwalk</v>
      </c>
      <c r="D306" s="1" t="str">
        <f>IFERROR(__xludf.DUMMYFUNCTION("""COMPUTED_VALUE"""),"IA")</f>
        <v>IA</v>
      </c>
      <c r="E306" s="1" t="str">
        <f>IFERROR(__xludf.DUMMYFUNCTION("""COMPUTED_VALUE"""),"50211")</f>
        <v>50211</v>
      </c>
      <c r="F306" s="1" t="str">
        <f>IFERROR(__xludf.DUMMYFUNCTION("""COMPUTED_VALUE"""),"Warren")</f>
        <v>Warren</v>
      </c>
      <c r="G306" s="1" t="str">
        <f>IFERROR(__xludf.DUMMYFUNCTION("""COMPUTED_VALUE"""),"41.458225")</f>
        <v>41.458225</v>
      </c>
      <c r="H306" s="1" t="str">
        <f>IFERROR(__xludf.DUMMYFUNCTION("""COMPUTED_VALUE"""),"-93.70044")</f>
        <v>-93.70044</v>
      </c>
      <c r="I306" s="1" t="str">
        <f>IFERROR(__xludf.DUMMYFUNCTION("""COMPUTED_VALUE"""),"Proposed")</f>
        <v>Proposed</v>
      </c>
      <c r="J306" s="1" t="str">
        <f>IFERROR(__xludf.DUMMYFUNCTION("""COMPUTED_VALUE"""),"High")</f>
        <v>High</v>
      </c>
      <c r="K306" s="1" t="str">
        <f>IFERROR(__xludf.DUMMYFUNCTION("""COMPUTED_VALUE"""),"")</f>
        <v/>
      </c>
      <c r="L306" s="1" t="str">
        <f>IFERROR(__xludf.DUMMYFUNCTION("""COMPUTED_VALUE"""),"Tract Data Centers")</f>
        <v>Tract Data Centers</v>
      </c>
      <c r="M306" s="1" t="str">
        <f>IFERROR(__xludf.DUMMYFUNCTION("""COMPUTED_VALUE"""),"")</f>
        <v/>
      </c>
      <c r="N306" s="1" t="str">
        <f>IFERROR(__xludf.DUMMYFUNCTION("""COMPUTED_VALUE"""),"")</f>
        <v/>
      </c>
      <c r="O306" s="1" t="str">
        <f>IFERROR(__xludf.DUMMYFUNCTION("""COMPUTED_VALUE"""),"Unknown")</f>
        <v>Unknown</v>
      </c>
      <c r="P306" s="1" t="str">
        <f>IFERROR(__xludf.DUMMYFUNCTION("""COMPUTED_VALUE"""),"")</f>
        <v/>
      </c>
      <c r="Q306" s="1" t="str">
        <f>IFERROR(__xludf.DUMMYFUNCTION("""COMPUTED_VALUE"""),"")</f>
        <v/>
      </c>
      <c r="R306" s="1" t="str">
        <f>IFERROR(__xludf.DUMMYFUNCTION("""COMPUTED_VALUE"""),"")</f>
        <v/>
      </c>
      <c r="S306" s="1" t="str">
        <f>IFERROR(__xludf.DUMMYFUNCTION("""COMPUTED_VALUE"""),"")</f>
        <v/>
      </c>
      <c r="T306" s="1" t="str">
        <f>IFERROR(__xludf.DUMMYFUNCTION("""COMPUTED_VALUE"""),"")</f>
        <v/>
      </c>
      <c r="U306" s="1" t="str">
        <f>IFERROR(__xludf.DUMMYFUNCTION("""COMPUTED_VALUE"""),"")</f>
        <v/>
      </c>
      <c r="V306" s="1" t="str">
        <f>IFERROR(__xludf.DUMMYFUNCTION("""COMPUTED_VALUE"""),"")</f>
        <v/>
      </c>
      <c r="W306" s="1" t="str">
        <f>IFERROR(__xludf.DUMMYFUNCTION("""COMPUTED_VALUE"""),"282")</f>
        <v>282</v>
      </c>
      <c r="X306" s="1" t="str">
        <f>IFERROR(__xludf.DUMMYFUNCTION("""COMPUTED_VALUE"""),"$12 billion")</f>
        <v>$12 billion</v>
      </c>
      <c r="Y306" s="1" t="str">
        <f>IFERROR(__xludf.DUMMYFUNCTION("""COMPUTED_VALUE"""),"")</f>
        <v/>
      </c>
      <c r="Z306" s="1" t="str">
        <f>IFERROR(__xludf.DUMMYFUNCTION("""COMPUTED_VALUE"""),"Yes")</f>
        <v>Yes</v>
      </c>
      <c r="AA306" s="1" t="str">
        <f>IFERROR(__xludf.DUMMYFUNCTION("""COMPUTED_VALUE"""),"")</f>
        <v/>
      </c>
      <c r="AB306" s="1" t="str">
        <f>IFERROR(__xludf.DUMMYFUNCTION("""COMPUTED_VALUE"""),"")</f>
        <v/>
      </c>
      <c r="AC306" s="1" t="str">
        <f>IFERROR(__xludf.DUMMYFUNCTION("""COMPUTED_VALUE"""),"")</f>
        <v/>
      </c>
      <c r="AD306" s="1" t="str">
        <f>IFERROR(__xludf.DUMMYFUNCTION("""COMPUTED_VALUE"""),"")</f>
        <v/>
      </c>
      <c r="AE306" s="1" t="str">
        <f>IFERROR(__xludf.DUMMYFUNCTION("""COMPUTED_VALUE"""),"")</f>
        <v/>
      </c>
      <c r="AF306" s="1" t="str">
        <f>IFERROR(__xludf.DUMMYFUNCTION("""COMPUTED_VALUE"""),"")</f>
        <v/>
      </c>
      <c r="AG306" s="1" t="str">
        <f>IFERROR(__xludf.DUMMYFUNCTION("""COMPUTED_VALUE"""),"")</f>
        <v/>
      </c>
      <c r="AH306" s="1" t="str">
        <f>IFERROR(__xludf.DUMMYFUNCTION("""COMPUTED_VALUE"""),"Media Monitoring")</f>
        <v>Media Monitoring</v>
      </c>
      <c r="AI306" s="2" t="str">
        <f>IFERROR(__xludf.DUMMYFUNCTION("""COMPUTED_VALUE"""),"https://www.datacenterdynamics.com/en/news/city-council-in-norwalk-iowa-approves-potential-data-center-development-agreement-despite-public-concerns/")</f>
        <v>https://www.datacenterdynamics.com/en/news/city-council-in-norwalk-iowa-approves-potential-data-center-development-agreement-despite-public-concerns/</v>
      </c>
      <c r="AJ306" s="2" t="str">
        <f>IFERROR(__xludf.DUMMYFUNCTION("""COMPUTED_VALUE"""),"https://norwalkiaswdevelopment.com/projectwest")</f>
        <v>https://norwalkiaswdevelopment.com/projectwest</v>
      </c>
      <c r="AK306" s="1" t="str">
        <f>IFERROR(__xludf.DUMMYFUNCTION("""COMPUTED_VALUE"""),"")</f>
        <v/>
      </c>
      <c r="AL306" s="1" t="str">
        <f>IFERROR(__xludf.DUMMYFUNCTION("""COMPUTED_VALUE"""),"")</f>
        <v/>
      </c>
      <c r="AM306" s="1" t="str">
        <f>IFERROR(__xludf.DUMMYFUNCTION("""COMPUTED_VALUE"""),"")</f>
        <v/>
      </c>
      <c r="AN306" s="1" t="str">
        <f>IFERROR(__xludf.DUMMYFUNCTION("""COMPUTED_VALUE"""),"")</f>
        <v/>
      </c>
      <c r="AO306" s="1" t="str">
        <f>IFERROR(__xludf.DUMMYFUNCTION("""COMPUTED_VALUE"""),"")</f>
        <v/>
      </c>
      <c r="AP306" s="1" t="str">
        <f>IFERROR(__xludf.DUMMYFUNCTION("""COMPUTED_VALUE"""),"")</f>
        <v/>
      </c>
      <c r="AQ306" s="1" t="str">
        <f>IFERROR(__xludf.DUMMYFUNCTION("""COMPUTED_VALUE"""),"03/20/2026")</f>
        <v>03/20/2026</v>
      </c>
      <c r="AR306" s="1" t="str">
        <f>IFERROR(__xludf.DUMMYFUNCTION("""COMPUTED_VALUE"""),"03/20/2026")</f>
        <v>03/20/2026</v>
      </c>
    </row>
    <row r="307">
      <c r="A307" s="1" t="str">
        <f>IFERROR(__xludf.DUMMYFUNCTION("""COMPUTED_VALUE"""),"MidAmerican Data Center")</f>
        <v>MidAmerican Data Center</v>
      </c>
      <c r="B307" s="1" t="str">
        <f>IFERROR(__xludf.DUMMYFUNCTION("""COMPUTED_VALUE"""),"260th Street, between Charles Ave and Old Highway 75")</f>
        <v>260th Street, between Charles Ave and Old Highway 75</v>
      </c>
      <c r="C307" s="1" t="str">
        <f>IFERROR(__xludf.DUMMYFUNCTION("""COMPUTED_VALUE"""),"Salix")</f>
        <v>Salix</v>
      </c>
      <c r="D307" s="1" t="str">
        <f>IFERROR(__xludf.DUMMYFUNCTION("""COMPUTED_VALUE"""),"IA")</f>
        <v>IA</v>
      </c>
      <c r="E307" s="1" t="str">
        <f>IFERROR(__xludf.DUMMYFUNCTION("""COMPUTED_VALUE"""),"51052")</f>
        <v>51052</v>
      </c>
      <c r="F307" s="1" t="str">
        <f>IFERROR(__xludf.DUMMYFUNCTION("""COMPUTED_VALUE"""),"Woodbury")</f>
        <v>Woodbury</v>
      </c>
      <c r="G307" s="1" t="str">
        <f>IFERROR(__xludf.DUMMYFUNCTION("""COMPUTED_VALUE"""),"42.330082")</f>
        <v>42.330082</v>
      </c>
      <c r="H307" s="1" t="str">
        <f>IFERROR(__xludf.DUMMYFUNCTION("""COMPUTED_VALUE"""),"-96.272316")</f>
        <v>-96.272316</v>
      </c>
      <c r="I307" s="1" t="str">
        <f>IFERROR(__xludf.DUMMYFUNCTION("""COMPUTED_VALUE"""),"Proposed")</f>
        <v>Proposed</v>
      </c>
      <c r="J307" s="1" t="str">
        <f>IFERROR(__xludf.DUMMYFUNCTION("""COMPUTED_VALUE"""),"Medium")</f>
        <v>Medium</v>
      </c>
      <c r="K307" s="1" t="str">
        <f>IFERROR(__xludf.DUMMYFUNCTION("""COMPUTED_VALUE"""),"")</f>
        <v/>
      </c>
      <c r="L307" s="1" t="str">
        <f>IFERROR(__xludf.DUMMYFUNCTION("""COMPUTED_VALUE"""),"")</f>
        <v/>
      </c>
      <c r="M307" s="1" t="str">
        <f>IFERROR(__xludf.DUMMYFUNCTION("""COMPUTED_VALUE"""),"")</f>
        <v/>
      </c>
      <c r="N307" s="1" t="str">
        <f>IFERROR(__xludf.DUMMYFUNCTION("""COMPUTED_VALUE"""),"")</f>
        <v/>
      </c>
      <c r="O307" s="1" t="str">
        <f>IFERROR(__xludf.DUMMYFUNCTION("""COMPUTED_VALUE"""),"Unknown")</f>
        <v>Unknown</v>
      </c>
      <c r="P307" s="1" t="str">
        <f>IFERROR(__xludf.DUMMYFUNCTION("""COMPUTED_VALUE"""),"")</f>
        <v/>
      </c>
      <c r="Q307" s="1" t="str">
        <f>IFERROR(__xludf.DUMMYFUNCTION("""COMPUTED_VALUE"""),"")</f>
        <v/>
      </c>
      <c r="R307" s="1" t="str">
        <f>IFERROR(__xludf.DUMMYFUNCTION("""COMPUTED_VALUE"""),"")</f>
        <v/>
      </c>
      <c r="S307" s="1" t="str">
        <f>IFERROR(__xludf.DUMMYFUNCTION("""COMPUTED_VALUE"""),"")</f>
        <v/>
      </c>
      <c r="T307" s="1" t="str">
        <f>IFERROR(__xludf.DUMMYFUNCTION("""COMPUTED_VALUE"""),"")</f>
        <v/>
      </c>
      <c r="U307" s="1" t="str">
        <f>IFERROR(__xludf.DUMMYFUNCTION("""COMPUTED_VALUE"""),"")</f>
        <v/>
      </c>
      <c r="V307" s="1" t="str">
        <f>IFERROR(__xludf.DUMMYFUNCTION("""COMPUTED_VALUE"""),"")</f>
        <v/>
      </c>
      <c r="W307" s="1" t="str">
        <f>IFERROR(__xludf.DUMMYFUNCTION("""COMPUTED_VALUE"""),"900")</f>
        <v>900</v>
      </c>
      <c r="X307" s="1" t="str">
        <f>IFERROR(__xludf.DUMMYFUNCTION("""COMPUTED_VALUE"""),"")</f>
        <v/>
      </c>
      <c r="Y307" s="1" t="str">
        <f>IFERROR(__xludf.DUMMYFUNCTION("""COMPUTED_VALUE"""),"")</f>
        <v/>
      </c>
      <c r="Z307" s="1" t="str">
        <f>IFERROR(__xludf.DUMMYFUNCTION("""COMPUTED_VALUE"""),"Yes")</f>
        <v>Yes</v>
      </c>
      <c r="AA307" s="1" t="str">
        <f>IFERROR(__xludf.DUMMYFUNCTION("""COMPUTED_VALUE"""),"")</f>
        <v/>
      </c>
      <c r="AB307" s="1" t="str">
        <f>IFERROR(__xludf.DUMMYFUNCTION("""COMPUTED_VALUE"""),"Organized Advocacy")</f>
        <v>Organized Advocacy</v>
      </c>
      <c r="AC307" s="1" t="str">
        <f>IFERROR(__xludf.DUMMYFUNCTION("""COMPUTED_VALUE"""),"")</f>
        <v/>
      </c>
      <c r="AD307" s="1" t="str">
        <f>IFERROR(__xludf.DUMMYFUNCTION("""COMPUTED_VALUE"""),"")</f>
        <v/>
      </c>
      <c r="AE307" s="1" t="str">
        <f>IFERROR(__xludf.DUMMYFUNCTION("""COMPUTED_VALUE"""),"")</f>
        <v/>
      </c>
      <c r="AF307" s="2" t="str">
        <f>IFERROR(__xludf.DUMMYFUNCTION("""COMPUTED_VALUE"""),"https://www.change.org/p/stop-proposed-hyper-data-center-in-salix-iowa")</f>
        <v>https://www.change.org/p/stop-proposed-hyper-data-center-in-salix-iowa</v>
      </c>
      <c r="AG307" s="1" t="str">
        <f>IFERROR(__xludf.DUMMYFUNCTION("""COMPUTED_VALUE"""),"")</f>
        <v/>
      </c>
      <c r="AH307" s="1" t="str">
        <f>IFERROR(__xludf.DUMMYFUNCTION("""COMPUTED_VALUE"""),"Media Monitoring")</f>
        <v>Media Monitoring</v>
      </c>
      <c r="AI307" s="2" t="str">
        <f>IFERROR(__xludf.DUMMYFUNCTION("""COMPUTED_VALUE"""),"https://www.datacenterdynamics.com/en/news/900-acre-data-center-could-be-built-in-salix-iowa/")</f>
        <v>https://www.datacenterdynamics.com/en/news/900-acre-data-center-could-be-built-in-salix-iowa/</v>
      </c>
      <c r="AJ307" s="1" t="str">
        <f>IFERROR(__xludf.DUMMYFUNCTION("""COMPUTED_VALUE"""),"")</f>
        <v/>
      </c>
      <c r="AK307" s="1" t="str">
        <f>IFERROR(__xludf.DUMMYFUNCTION("""COMPUTED_VALUE"""),"")</f>
        <v/>
      </c>
      <c r="AL307" s="1" t="str">
        <f>IFERROR(__xludf.DUMMYFUNCTION("""COMPUTED_VALUE"""),"")</f>
        <v/>
      </c>
      <c r="AM307" s="1" t="str">
        <f>IFERROR(__xludf.DUMMYFUNCTION("""COMPUTED_VALUE"""),"")</f>
        <v/>
      </c>
      <c r="AN307" s="1" t="str">
        <f>IFERROR(__xludf.DUMMYFUNCTION("""COMPUTED_VALUE"""),"")</f>
        <v/>
      </c>
      <c r="AO307" s="1" t="str">
        <f>IFERROR(__xludf.DUMMYFUNCTION("""COMPUTED_VALUE"""),"")</f>
        <v/>
      </c>
      <c r="AP307" s="1" t="str">
        <f>IFERROR(__xludf.DUMMYFUNCTION("""COMPUTED_VALUE"""),"")</f>
        <v/>
      </c>
      <c r="AQ307" s="1" t="str">
        <f>IFERROR(__xludf.DUMMYFUNCTION("""COMPUTED_VALUE"""),"06/29/2026")</f>
        <v>06/29/2026</v>
      </c>
      <c r="AR307" s="1" t="str">
        <f>IFERROR(__xludf.DUMMYFUNCTION("""COMPUTED_VALUE"""),"06/29/2026")</f>
        <v>06/29/2026</v>
      </c>
    </row>
    <row r="308">
      <c r="A308" s="1" t="str">
        <f>IFERROR(__xludf.DUMMYFUNCTION("""COMPUTED_VALUE"""),"IA01 Data Center")</f>
        <v>IA01 Data Center</v>
      </c>
      <c r="B308" s="1" t="str">
        <f>IFERROR(__xludf.DUMMYFUNCTION("""COMPUTED_VALUE"""),"390 N Alice's Road")</f>
        <v>390 N Alice's Road</v>
      </c>
      <c r="C308" s="1" t="str">
        <f>IFERROR(__xludf.DUMMYFUNCTION("""COMPUTED_VALUE"""),"Waukee")</f>
        <v>Waukee</v>
      </c>
      <c r="D308" s="1" t="str">
        <f>IFERROR(__xludf.DUMMYFUNCTION("""COMPUTED_VALUE"""),"IA")</f>
        <v>IA</v>
      </c>
      <c r="E308" s="1" t="str">
        <f>IFERROR(__xludf.DUMMYFUNCTION("""COMPUTED_VALUE"""),"50263")</f>
        <v>50263</v>
      </c>
      <c r="F308" s="1" t="str">
        <f>IFERROR(__xludf.DUMMYFUNCTION("""COMPUTED_VALUE"""),"Dallas")</f>
        <v>Dallas</v>
      </c>
      <c r="G308" s="1" t="str">
        <f>IFERROR(__xludf.DUMMYFUNCTION("""COMPUTED_VALUE"""),"41.6204")</f>
        <v>41.6204</v>
      </c>
      <c r="H308" s="1" t="str">
        <f>IFERROR(__xludf.DUMMYFUNCTION("""COMPUTED_VALUE"""),"-93.854")</f>
        <v>-93.854</v>
      </c>
      <c r="I308" s="1" t="str">
        <f>IFERROR(__xludf.DUMMYFUNCTION("""COMPUTED_VALUE"""),"Expanding")</f>
        <v>Expanding</v>
      </c>
      <c r="J308" s="1" t="str">
        <f>IFERROR(__xludf.DUMMYFUNCTION("""COMPUTED_VALUE"""),"High")</f>
        <v>High</v>
      </c>
      <c r="K308" s="1" t="str">
        <f>IFERROR(__xludf.DUMMYFUNCTION("""COMPUTED_VALUE"""),"")</f>
        <v/>
      </c>
      <c r="L308" s="1" t="str">
        <f>IFERROR(__xludf.DUMMYFUNCTION("""COMPUTED_VALUE"""),"US Signal")</f>
        <v>US Signal</v>
      </c>
      <c r="M308" s="1" t="str">
        <f>IFERROR(__xludf.DUMMYFUNCTION("""COMPUTED_VALUE"""),"")</f>
        <v/>
      </c>
      <c r="N308" s="1" t="str">
        <f>IFERROR(__xludf.DUMMYFUNCTION("""COMPUTED_VALUE"""),"2")</f>
        <v>2</v>
      </c>
      <c r="O308" s="1" t="str">
        <f>IFERROR(__xludf.DUMMYFUNCTION("""COMPUTED_VALUE"""),"Small (0-10 MW)")</f>
        <v>Small (0-10 MW)</v>
      </c>
      <c r="P308" s="1" t="str">
        <f>IFERROR(__xludf.DUMMYFUNCTION("""COMPUTED_VALUE"""),"")</f>
        <v/>
      </c>
      <c r="Q308" s="1" t="str">
        <f>IFERROR(__xludf.DUMMYFUNCTION("""COMPUTED_VALUE"""),"")</f>
        <v/>
      </c>
      <c r="R308" s="1" t="str">
        <f>IFERROR(__xludf.DUMMYFUNCTION("""COMPUTED_VALUE"""),"")</f>
        <v/>
      </c>
      <c r="S308" s="1" t="str">
        <f>IFERROR(__xludf.DUMMYFUNCTION("""COMPUTED_VALUE"""),"")</f>
        <v/>
      </c>
      <c r="T308" s="1" t="str">
        <f>IFERROR(__xludf.DUMMYFUNCTION("""COMPUTED_VALUE"""),"")</f>
        <v/>
      </c>
      <c r="U308" s="1" t="str">
        <f>IFERROR(__xludf.DUMMYFUNCTION("""COMPUTED_VALUE"""),"")</f>
        <v/>
      </c>
      <c r="V308" s="1" t="str">
        <f>IFERROR(__xludf.DUMMYFUNCTION("""COMPUTED_VALUE"""),"20,000")</f>
        <v>20,000</v>
      </c>
      <c r="W308" s="1" t="str">
        <f>IFERROR(__xludf.DUMMYFUNCTION("""COMPUTED_VALUE"""),"")</f>
        <v/>
      </c>
      <c r="X308" s="1" t="str">
        <f>IFERROR(__xludf.DUMMYFUNCTION("""COMPUTED_VALUE"""),"")</f>
        <v/>
      </c>
      <c r="Y308" s="1" t="str">
        <f>IFERROR(__xludf.DUMMYFUNCTION("""COMPUTED_VALUE"""),"")</f>
        <v/>
      </c>
      <c r="Z308" s="1" t="str">
        <f>IFERROR(__xludf.DUMMYFUNCTION("""COMPUTED_VALUE"""),"Unknown")</f>
        <v>Unknown</v>
      </c>
      <c r="AA308" s="1" t="str">
        <f>IFERROR(__xludf.DUMMYFUNCTION("""COMPUTED_VALUE"""),"")</f>
        <v/>
      </c>
      <c r="AB308" s="1" t="str">
        <f>IFERROR(__xludf.DUMMYFUNCTION("""COMPUTED_VALUE"""),"")</f>
        <v/>
      </c>
      <c r="AC308" s="1" t="str">
        <f>IFERROR(__xludf.DUMMYFUNCTION("""COMPUTED_VALUE"""),"")</f>
        <v/>
      </c>
      <c r="AD308" s="1" t="str">
        <f>IFERROR(__xludf.DUMMYFUNCTION("""COMPUTED_VALUE"""),"")</f>
        <v/>
      </c>
      <c r="AE308" s="1" t="str">
        <f>IFERROR(__xludf.DUMMYFUNCTION("""COMPUTED_VALUE"""),"")</f>
        <v/>
      </c>
      <c r="AF308" s="1" t="str">
        <f>IFERROR(__xludf.DUMMYFUNCTION("""COMPUTED_VALUE"""),"")</f>
        <v/>
      </c>
      <c r="AG308" s="1" t="str">
        <f>IFERROR(__xludf.DUMMYFUNCTION("""COMPUTED_VALUE"""),"")</f>
        <v/>
      </c>
      <c r="AH308" s="1" t="str">
        <f>IFERROR(__xludf.DUMMYFUNCTION("""COMPUTED_VALUE"""),"Media Monitoring")</f>
        <v>Media Monitoring</v>
      </c>
      <c r="AI308" s="2" t="str">
        <f>IFERROR(__xludf.DUMMYFUNCTION("""COMPUTED_VALUE"""),"https://www.datacenterdynamics.com/en/news/us-signal-to-expand-capacity-at-data-centers-in-michigan-detroit/")</f>
        <v>https://www.datacenterdynamics.com/en/news/us-signal-to-expand-capacity-at-data-centers-in-michigan-detroit/</v>
      </c>
      <c r="AJ308" s="2" t="str">
        <f>IFERROR(__xludf.DUMMYFUNCTION("""COMPUTED_VALUE"""),"https://www.dbusiness.com/daily-news/us-signal-adding-3mw-of-commercial-computing-power-to-belleville-data-center/")</f>
        <v>https://www.dbusiness.com/daily-news/us-signal-adding-3mw-of-commercial-computing-power-to-belleville-data-center/</v>
      </c>
      <c r="AK308" s="2" t="str">
        <f>IFERROR(__xludf.DUMMYFUNCTION("""COMPUTED_VALUE"""),"https://ground.news/article/us-signal-expands-national-infrastructure-footprint-with-major-data-center-and-fiber-investments?utm_source=chatgpt.com")</f>
        <v>https://ground.news/article/us-signal-expands-national-infrastructure-footprint-with-major-data-center-and-fiber-investments?utm_source=chatgpt.com</v>
      </c>
      <c r="AL308" s="1" t="str">
        <f>IFERROR(__xludf.DUMMYFUNCTION("""COMPUTED_VALUE"""),"")</f>
        <v/>
      </c>
      <c r="AM308" s="1" t="str">
        <f>IFERROR(__xludf.DUMMYFUNCTION("""COMPUTED_VALUE"""),"")</f>
        <v/>
      </c>
      <c r="AN308" s="1" t="str">
        <f>IFERROR(__xludf.DUMMYFUNCTION("""COMPUTED_VALUE"""),"")</f>
        <v/>
      </c>
      <c r="AO308" s="1" t="str">
        <f>IFERROR(__xludf.DUMMYFUNCTION("""COMPUTED_VALUE"""),"")</f>
        <v/>
      </c>
      <c r="AP308" s="1" t="str">
        <f>IFERROR(__xludf.DUMMYFUNCTION("""COMPUTED_VALUE"""),"")</f>
        <v/>
      </c>
      <c r="AQ308" s="1" t="str">
        <f>IFERROR(__xludf.DUMMYFUNCTION("""COMPUTED_VALUE"""),"06/09/2025")</f>
        <v>06/09/2025</v>
      </c>
      <c r="AR308" s="1" t="str">
        <f>IFERROR(__xludf.DUMMYFUNCTION("""COMPUTED_VALUE"""),"03/11/2026")</f>
        <v>03/11/2026</v>
      </c>
    </row>
    <row r="309">
      <c r="A309" s="1" t="str">
        <f>IFERROR(__xludf.DUMMYFUNCTION("""COMPUTED_VALUE"""),"DSM14 ")</f>
        <v>DSM14 </v>
      </c>
      <c r="B309" s="1" t="str">
        <f>IFERROR(__xludf.DUMMYFUNCTION("""COMPUTED_VALUE"""),"3655 SE Soteria Ave")</f>
        <v>3655 SE Soteria Ave</v>
      </c>
      <c r="C309" s="1" t="str">
        <f>IFERROR(__xludf.DUMMYFUNCTION("""COMPUTED_VALUE"""),"West Des Moines")</f>
        <v>West Des Moines</v>
      </c>
      <c r="D309" s="1" t="str">
        <f>IFERROR(__xludf.DUMMYFUNCTION("""COMPUTED_VALUE"""),"IA")</f>
        <v>IA</v>
      </c>
      <c r="E309" s="1" t="str">
        <f>IFERROR(__xludf.DUMMYFUNCTION("""COMPUTED_VALUE"""),"50265")</f>
        <v>50265</v>
      </c>
      <c r="F309" s="1" t="str">
        <f>IFERROR(__xludf.DUMMYFUNCTION("""COMPUTED_VALUE"""),"Polk")</f>
        <v>Polk</v>
      </c>
      <c r="G309" s="1" t="str">
        <f>IFERROR(__xludf.DUMMYFUNCTION("""COMPUTED_VALUE"""),"41.51406")</f>
        <v>41.51406</v>
      </c>
      <c r="H309" s="1" t="str">
        <f>IFERROR(__xludf.DUMMYFUNCTION("""COMPUTED_VALUE"""),"-93.7142")</f>
        <v>-93.7142</v>
      </c>
      <c r="I309" s="1" t="str">
        <f>IFERROR(__xludf.DUMMYFUNCTION("""COMPUTED_VALUE"""),"Approved/Permitted/Under construction")</f>
        <v>Approved/Permitted/Under construction</v>
      </c>
      <c r="J309" s="1" t="str">
        <f>IFERROR(__xludf.DUMMYFUNCTION("""COMPUTED_VALUE"""),"High")</f>
        <v>High</v>
      </c>
      <c r="K309" s="1" t="str">
        <f>IFERROR(__xludf.DUMMYFUNCTION("""COMPUTED_VALUE"""),"")</f>
        <v/>
      </c>
      <c r="L309" s="1" t="str">
        <f>IFERROR(__xludf.DUMMYFUNCTION("""COMPUTED_VALUE"""),"Microsoft")</f>
        <v>Microsoft</v>
      </c>
      <c r="M309" s="1" t="str">
        <f>IFERROR(__xludf.DUMMYFUNCTION("""COMPUTED_VALUE"""),"")</f>
        <v/>
      </c>
      <c r="N309" s="1" t="str">
        <f>IFERROR(__xludf.DUMMYFUNCTION("""COMPUTED_VALUE"""),"")</f>
        <v/>
      </c>
      <c r="O309" s="1" t="str">
        <f>IFERROR(__xludf.DUMMYFUNCTION("""COMPUTED_VALUE"""),"Unknown")</f>
        <v>Unknown</v>
      </c>
      <c r="P309" s="1" t="str">
        <f>IFERROR(__xludf.DUMMYFUNCTION("""COMPUTED_VALUE"""),"")</f>
        <v/>
      </c>
      <c r="Q309" s="1" t="str">
        <f>IFERROR(__xludf.DUMMYFUNCTION("""COMPUTED_VALUE"""),"")</f>
        <v/>
      </c>
      <c r="R309" s="1" t="str">
        <f>IFERROR(__xludf.DUMMYFUNCTION("""COMPUTED_VALUE"""),"")</f>
        <v/>
      </c>
      <c r="S309" s="1" t="str">
        <f>IFERROR(__xludf.DUMMYFUNCTION("""COMPUTED_VALUE"""),"")</f>
        <v/>
      </c>
      <c r="T309" s="1" t="str">
        <f>IFERROR(__xludf.DUMMYFUNCTION("""COMPUTED_VALUE"""),"")</f>
        <v/>
      </c>
      <c r="U309" s="1" t="str">
        <f>IFERROR(__xludf.DUMMYFUNCTION("""COMPUTED_VALUE"""),"")</f>
        <v/>
      </c>
      <c r="V309" s="1" t="str">
        <f>IFERROR(__xludf.DUMMYFUNCTION("""COMPUTED_VALUE"""),"184,600")</f>
        <v>184,600</v>
      </c>
      <c r="W309" s="1" t="str">
        <f>IFERROR(__xludf.DUMMYFUNCTION("""COMPUTED_VALUE"""),"")</f>
        <v/>
      </c>
      <c r="X309" s="1" t="str">
        <f>IFERROR(__xludf.DUMMYFUNCTION("""COMPUTED_VALUE"""),"")</f>
        <v/>
      </c>
      <c r="Y309" s="1" t="str">
        <f>IFERROR(__xludf.DUMMYFUNCTION("""COMPUTED_VALUE"""),"")</f>
        <v/>
      </c>
      <c r="Z309" s="1" t="str">
        <f>IFERROR(__xludf.DUMMYFUNCTION("""COMPUTED_VALUE"""),"Unknown")</f>
        <v>Unknown</v>
      </c>
      <c r="AA309" s="1" t="str">
        <f>IFERROR(__xludf.DUMMYFUNCTION("""COMPUTED_VALUE"""),"")</f>
        <v/>
      </c>
      <c r="AB309" s="1" t="str">
        <f>IFERROR(__xludf.DUMMYFUNCTION("""COMPUTED_VALUE"""),"")</f>
        <v/>
      </c>
      <c r="AC309" s="1" t="str">
        <f>IFERROR(__xludf.DUMMYFUNCTION("""COMPUTED_VALUE"""),"")</f>
        <v/>
      </c>
      <c r="AD309" s="1" t="str">
        <f>IFERROR(__xludf.DUMMYFUNCTION("""COMPUTED_VALUE"""),"")</f>
        <v/>
      </c>
      <c r="AE309" s="1" t="str">
        <f>IFERROR(__xludf.DUMMYFUNCTION("""COMPUTED_VALUE"""),"")</f>
        <v/>
      </c>
      <c r="AF309" s="1" t="str">
        <f>IFERROR(__xludf.DUMMYFUNCTION("""COMPUTED_VALUE"""),"")</f>
        <v/>
      </c>
      <c r="AG309" s="1" t="str">
        <f>IFERROR(__xludf.DUMMYFUNCTION("""COMPUTED_VALUE"""),"")</f>
        <v/>
      </c>
      <c r="AH309" s="1" t="str">
        <f>IFERROR(__xludf.DUMMYFUNCTION("""COMPUTED_VALUE"""),"Media Monitoring")</f>
        <v>Media Monitoring</v>
      </c>
      <c r="AI309" s="2" t="str">
        <f>IFERROR(__xludf.DUMMYFUNCTION("""COMPUTED_VALUE"""),"https://www.datacenterdynamics.com/en/news/microsoft-files-for-new-data-center-campus-in-des-moines-iowa/")</f>
        <v>https://www.datacenterdynamics.com/en/news/microsoft-files-for-new-data-center-campus-in-des-moines-iowa/</v>
      </c>
      <c r="AJ309" s="2" t="str">
        <f>IFERROR(__xludf.DUMMYFUNCTION("""COMPUTED_VALUE"""),"https://www.datacenterdynamics.com/en/news/microsoft-granted-permit-for-new-data-center-in-des-moines-iowa/")</f>
        <v>https://www.datacenterdynamics.com/en/news/microsoft-granted-permit-for-new-data-center-in-des-moines-iowa/</v>
      </c>
      <c r="AK309" s="1" t="str">
        <f>IFERROR(__xludf.DUMMYFUNCTION("""COMPUTED_VALUE"""),"")</f>
        <v/>
      </c>
      <c r="AL309" s="1" t="str">
        <f>IFERROR(__xludf.DUMMYFUNCTION("""COMPUTED_VALUE"""),"")</f>
        <v/>
      </c>
      <c r="AM309" s="1" t="str">
        <f>IFERROR(__xludf.DUMMYFUNCTION("""COMPUTED_VALUE"""),"")</f>
        <v/>
      </c>
      <c r="AN309" s="1" t="str">
        <f>IFERROR(__xludf.DUMMYFUNCTION("""COMPUTED_VALUE"""),"")</f>
        <v/>
      </c>
      <c r="AO309" s="1" t="str">
        <f>IFERROR(__xludf.DUMMYFUNCTION("""COMPUTED_VALUE"""),"")</f>
        <v/>
      </c>
      <c r="AP309" s="1" t="str">
        <f>IFERROR(__xludf.DUMMYFUNCTION("""COMPUTED_VALUE"""),"")</f>
        <v/>
      </c>
      <c r="AQ309" s="1" t="str">
        <f>IFERROR(__xludf.DUMMYFUNCTION("""COMPUTED_VALUE"""),"08/13/2025")</f>
        <v>08/13/2025</v>
      </c>
      <c r="AR309" s="1" t="str">
        <f>IFERROR(__xludf.DUMMYFUNCTION("""COMPUTED_VALUE"""),"11/30/2025")</f>
        <v>11/30/2025</v>
      </c>
    </row>
    <row r="310">
      <c r="A310" s="1" t="str">
        <f>IFERROR(__xludf.DUMMYFUNCTION("""COMPUTED_VALUE"""),"Project Alluvion ")</f>
        <v>Project Alluvion </v>
      </c>
      <c r="B310" s="1" t="str">
        <f>IFERROR(__xludf.DUMMYFUNCTION("""COMPUTED_VALUE"""),"550 White Crane Rd")</f>
        <v>550 White Crane Rd</v>
      </c>
      <c r="C310" s="1" t="str">
        <f>IFERROR(__xludf.DUMMYFUNCTION("""COMPUTED_VALUE"""),"West Des Moines")</f>
        <v>West Des Moines</v>
      </c>
      <c r="D310" s="1" t="str">
        <f>IFERROR(__xludf.DUMMYFUNCTION("""COMPUTED_VALUE"""),"IA")</f>
        <v>IA</v>
      </c>
      <c r="E310" s="1" t="str">
        <f>IFERROR(__xludf.DUMMYFUNCTION("""COMPUTED_VALUE"""),"50265")</f>
        <v>50265</v>
      </c>
      <c r="F310" s="1" t="str">
        <f>IFERROR(__xludf.DUMMYFUNCTION("""COMPUTED_VALUE"""),"Polk")</f>
        <v>Polk</v>
      </c>
      <c r="G310" s="1" t="str">
        <f>IFERROR(__xludf.DUMMYFUNCTION("""COMPUTED_VALUE"""),"41.51533")</f>
        <v>41.51533</v>
      </c>
      <c r="H310" s="1" t="str">
        <f>IFERROR(__xludf.DUMMYFUNCTION("""COMPUTED_VALUE"""),"-93.7107")</f>
        <v>-93.7107</v>
      </c>
      <c r="I310" s="1" t="str">
        <f>IFERROR(__xludf.DUMMYFUNCTION("""COMPUTED_VALUE"""),"Operating")</f>
        <v>Operating</v>
      </c>
      <c r="J310" s="1" t="str">
        <f>IFERROR(__xludf.DUMMYFUNCTION("""COMPUTED_VALUE"""),"High")</f>
        <v>High</v>
      </c>
      <c r="K310" s="1" t="str">
        <f>IFERROR(__xludf.DUMMYFUNCTION("""COMPUTED_VALUE"""),"")</f>
        <v/>
      </c>
      <c r="L310" s="1" t="str">
        <f>IFERROR(__xludf.DUMMYFUNCTION("""COMPUTED_VALUE"""),"Microsoft")</f>
        <v>Microsoft</v>
      </c>
      <c r="M310" s="1" t="str">
        <f>IFERROR(__xludf.DUMMYFUNCTION("""COMPUTED_VALUE"""),"")</f>
        <v/>
      </c>
      <c r="N310" s="1" t="str">
        <f>IFERROR(__xludf.DUMMYFUNCTION("""COMPUTED_VALUE"""),"")</f>
        <v/>
      </c>
      <c r="O310" s="1" t="str">
        <f>IFERROR(__xludf.DUMMYFUNCTION("""COMPUTED_VALUE"""),"Unknown")</f>
        <v>Unknown</v>
      </c>
      <c r="P310" s="1" t="str">
        <f>IFERROR(__xludf.DUMMYFUNCTION("""COMPUTED_VALUE"""),"")</f>
        <v/>
      </c>
      <c r="Q310" s="1" t="str">
        <f>IFERROR(__xludf.DUMMYFUNCTION("""COMPUTED_VALUE"""),"")</f>
        <v/>
      </c>
      <c r="R310" s="1" t="str">
        <f>IFERROR(__xludf.DUMMYFUNCTION("""COMPUTED_VALUE"""),"")</f>
        <v/>
      </c>
      <c r="S310" s="1" t="str">
        <f>IFERROR(__xludf.DUMMYFUNCTION("""COMPUTED_VALUE"""),"")</f>
        <v/>
      </c>
      <c r="T310" s="1" t="str">
        <f>IFERROR(__xludf.DUMMYFUNCTION("""COMPUTED_VALUE"""),"")</f>
        <v/>
      </c>
      <c r="U310" s="1" t="str">
        <f>IFERROR(__xludf.DUMMYFUNCTION("""COMPUTED_VALUE"""),"")</f>
        <v/>
      </c>
      <c r="V310" s="1" t="str">
        <f>IFERROR(__xludf.DUMMYFUNCTION("""COMPUTED_VALUE"""),"1,000,000")</f>
        <v>1,000,000</v>
      </c>
      <c r="W310" s="1" t="str">
        <f>IFERROR(__xludf.DUMMYFUNCTION("""COMPUTED_VALUE"""),"")</f>
        <v/>
      </c>
      <c r="X310" s="1" t="str">
        <f>IFERROR(__xludf.DUMMYFUNCTION("""COMPUTED_VALUE"""),"")</f>
        <v/>
      </c>
      <c r="Y310" s="1" t="str">
        <f>IFERROR(__xludf.DUMMYFUNCTION("""COMPUTED_VALUE"""),"")</f>
        <v/>
      </c>
      <c r="Z310" s="1" t="str">
        <f>IFERROR(__xludf.DUMMYFUNCTION("""COMPUTED_VALUE"""),"Unknown")</f>
        <v>Unknown</v>
      </c>
      <c r="AA310" s="1" t="str">
        <f>IFERROR(__xludf.DUMMYFUNCTION("""COMPUTED_VALUE"""),"")</f>
        <v/>
      </c>
      <c r="AB310" s="1" t="str">
        <f>IFERROR(__xludf.DUMMYFUNCTION("""COMPUTED_VALUE"""),"")</f>
        <v/>
      </c>
      <c r="AC310" s="1" t="str">
        <f>IFERROR(__xludf.DUMMYFUNCTION("""COMPUTED_VALUE"""),"")</f>
        <v/>
      </c>
      <c r="AD310" s="1" t="str">
        <f>IFERROR(__xludf.DUMMYFUNCTION("""COMPUTED_VALUE"""),"")</f>
        <v/>
      </c>
      <c r="AE310" s="1" t="str">
        <f>IFERROR(__xludf.DUMMYFUNCTION("""COMPUTED_VALUE"""),"")</f>
        <v/>
      </c>
      <c r="AF310" s="1" t="str">
        <f>IFERROR(__xludf.DUMMYFUNCTION("""COMPUTED_VALUE"""),"")</f>
        <v/>
      </c>
      <c r="AG310" s="1" t="str">
        <f>IFERROR(__xludf.DUMMYFUNCTION("""COMPUTED_VALUE"""),"")</f>
        <v/>
      </c>
      <c r="AH310" s="1" t="str">
        <f>IFERROR(__xludf.DUMMYFUNCTION("""COMPUTED_VALUE"""),"Media Monitoring")</f>
        <v>Media Monitoring</v>
      </c>
      <c r="AI310" s="2" t="str">
        <f>IFERROR(__xludf.DUMMYFUNCTION("""COMPUTED_VALUE"""),"https://www.datacenterdynamics.com/en/news/microsoft-files-for-new-data-center-campus-in-des-moines-iowa/")</f>
        <v>https://www.datacenterdynamics.com/en/news/microsoft-files-for-new-data-center-campus-in-des-moines-iowa/</v>
      </c>
      <c r="AJ310" s="1" t="str">
        <f>IFERROR(__xludf.DUMMYFUNCTION("""COMPUTED_VALUE"""),"")</f>
        <v/>
      </c>
      <c r="AK310" s="1" t="str">
        <f>IFERROR(__xludf.DUMMYFUNCTION("""COMPUTED_VALUE"""),"")</f>
        <v/>
      </c>
      <c r="AL310" s="1" t="str">
        <f>IFERROR(__xludf.DUMMYFUNCTION("""COMPUTED_VALUE"""),"")</f>
        <v/>
      </c>
      <c r="AM310" s="1" t="str">
        <f>IFERROR(__xludf.DUMMYFUNCTION("""COMPUTED_VALUE"""),"")</f>
        <v/>
      </c>
      <c r="AN310" s="1" t="str">
        <f>IFERROR(__xludf.DUMMYFUNCTION("""COMPUTED_VALUE"""),"")</f>
        <v/>
      </c>
      <c r="AO310" s="1" t="str">
        <f>IFERROR(__xludf.DUMMYFUNCTION("""COMPUTED_VALUE"""),"")</f>
        <v/>
      </c>
      <c r="AP310" s="1" t="str">
        <f>IFERROR(__xludf.DUMMYFUNCTION("""COMPUTED_VALUE"""),"")</f>
        <v/>
      </c>
      <c r="AQ310" s="1" t="str">
        <f>IFERROR(__xludf.DUMMYFUNCTION("""COMPUTED_VALUE"""),"08/13/2025")</f>
        <v>08/13/2025</v>
      </c>
      <c r="AR310" s="1" t="str">
        <f>IFERROR(__xludf.DUMMYFUNCTION("""COMPUTED_VALUE"""),"08/13/2025")</f>
        <v>08/13/2025</v>
      </c>
    </row>
    <row r="311">
      <c r="A311" s="1" t="str">
        <f>IFERROR(__xludf.DUMMYFUNCTION("""COMPUTED_VALUE"""),"Project Ginger East (Microsoft)")</f>
        <v>Project Ginger East (Microsoft)</v>
      </c>
      <c r="B311" s="1" t="str">
        <f>IFERROR(__xludf.DUMMYFUNCTION("""COMPUTED_VALUE"""),"near 1475 Maffitt Lake Rd")</f>
        <v>near 1475 Maffitt Lake Rd</v>
      </c>
      <c r="C311" s="1" t="str">
        <f>IFERROR(__xludf.DUMMYFUNCTION("""COMPUTED_VALUE"""),"West Des Moines")</f>
        <v>West Des Moines</v>
      </c>
      <c r="D311" s="1" t="str">
        <f>IFERROR(__xludf.DUMMYFUNCTION("""COMPUTED_VALUE"""),"IA")</f>
        <v>IA</v>
      </c>
      <c r="E311" s="1" t="str">
        <f>IFERROR(__xludf.DUMMYFUNCTION("""COMPUTED_VALUE"""),"50265")</f>
        <v>50265</v>
      </c>
      <c r="F311" s="1" t="str">
        <f>IFERROR(__xludf.DUMMYFUNCTION("""COMPUTED_VALUE"""),"Polk")</f>
        <v>Polk</v>
      </c>
      <c r="G311" s="1" t="str">
        <f>IFERROR(__xludf.DUMMYFUNCTION("""COMPUTED_VALUE"""),"41.51475")</f>
        <v>41.51475</v>
      </c>
      <c r="H311" s="1" t="str">
        <f>IFERROR(__xludf.DUMMYFUNCTION("""COMPUTED_VALUE"""),"-93.7212")</f>
        <v>-93.7212</v>
      </c>
      <c r="I311" s="1" t="str">
        <f>IFERROR(__xludf.DUMMYFUNCTION("""COMPUTED_VALUE"""),"Proposed")</f>
        <v>Proposed</v>
      </c>
      <c r="J311" s="1" t="str">
        <f>IFERROR(__xludf.DUMMYFUNCTION("""COMPUTED_VALUE"""),"Medium")</f>
        <v>Medium</v>
      </c>
      <c r="K311" s="1" t="str">
        <f>IFERROR(__xludf.DUMMYFUNCTION("""COMPUTED_VALUE"""),"")</f>
        <v/>
      </c>
      <c r="L311" s="1" t="str">
        <f>IFERROR(__xludf.DUMMYFUNCTION("""COMPUTED_VALUE"""),"Microsoft")</f>
        <v>Microsoft</v>
      </c>
      <c r="M311" s="1" t="str">
        <f>IFERROR(__xludf.DUMMYFUNCTION("""COMPUTED_VALUE"""),"")</f>
        <v/>
      </c>
      <c r="N311" s="1" t="str">
        <f>IFERROR(__xludf.DUMMYFUNCTION("""COMPUTED_VALUE"""),"200")</f>
        <v>200</v>
      </c>
      <c r="O311" s="1" t="str">
        <f>IFERROR(__xludf.DUMMYFUNCTION("""COMPUTED_VALUE"""),"Hyperscale (100-999 MW)")</f>
        <v>Hyperscale (100-999 MW)</v>
      </c>
      <c r="P311" s="1" t="str">
        <f>IFERROR(__xludf.DUMMYFUNCTION("""COMPUTED_VALUE"""),"")</f>
        <v/>
      </c>
      <c r="Q311" s="1" t="str">
        <f>IFERROR(__xludf.DUMMYFUNCTION("""COMPUTED_VALUE"""),"")</f>
        <v/>
      </c>
      <c r="R311" s="1" t="str">
        <f>IFERROR(__xludf.DUMMYFUNCTION("""COMPUTED_VALUE"""),"")</f>
        <v/>
      </c>
      <c r="S311" s="1" t="str">
        <f>IFERROR(__xludf.DUMMYFUNCTION("""COMPUTED_VALUE"""),"")</f>
        <v/>
      </c>
      <c r="T311" s="1" t="str">
        <f>IFERROR(__xludf.DUMMYFUNCTION("""COMPUTED_VALUE"""),"")</f>
        <v/>
      </c>
      <c r="U311" s="1" t="str">
        <f>IFERROR(__xludf.DUMMYFUNCTION("""COMPUTED_VALUE"""),"")</f>
        <v/>
      </c>
      <c r="V311" s="1" t="str">
        <f>IFERROR(__xludf.DUMMYFUNCTION("""COMPUTED_VALUE"""),"1,800,000")</f>
        <v>1,800,000</v>
      </c>
      <c r="W311" s="1" t="str">
        <f>IFERROR(__xludf.DUMMYFUNCTION("""COMPUTED_VALUE"""),"130")</f>
        <v>130</v>
      </c>
      <c r="X311" s="1" t="str">
        <f>IFERROR(__xludf.DUMMYFUNCTION("""COMPUTED_VALUE"""),"$1 billion")</f>
        <v>$1 billion</v>
      </c>
      <c r="Y311" s="1" t="str">
        <f>IFERROR(__xludf.DUMMYFUNCTION("""COMPUTED_VALUE"""),"")</f>
        <v/>
      </c>
      <c r="Z311" s="1" t="str">
        <f>IFERROR(__xludf.DUMMYFUNCTION("""COMPUTED_VALUE"""),"Unknown")</f>
        <v>Unknown</v>
      </c>
      <c r="AA311" s="1" t="str">
        <f>IFERROR(__xludf.DUMMYFUNCTION("""COMPUTED_VALUE"""),"")</f>
        <v/>
      </c>
      <c r="AB311" s="1" t="str">
        <f>IFERROR(__xludf.DUMMYFUNCTION("""COMPUTED_VALUE"""),"")</f>
        <v/>
      </c>
      <c r="AC311" s="1" t="str">
        <f>IFERROR(__xludf.DUMMYFUNCTION("""COMPUTED_VALUE"""),"")</f>
        <v/>
      </c>
      <c r="AD311" s="1" t="str">
        <f>IFERROR(__xludf.DUMMYFUNCTION("""COMPUTED_VALUE"""),"")</f>
        <v/>
      </c>
      <c r="AE311" s="1" t="str">
        <f>IFERROR(__xludf.DUMMYFUNCTION("""COMPUTED_VALUE"""),"")</f>
        <v/>
      </c>
      <c r="AF311" s="1" t="str">
        <f>IFERROR(__xludf.DUMMYFUNCTION("""COMPUTED_VALUE"""),"")</f>
        <v/>
      </c>
      <c r="AG311" s="1" t="str">
        <f>IFERROR(__xludf.DUMMYFUNCTION("""COMPUTED_VALUE"""),"")</f>
        <v/>
      </c>
      <c r="AH311" s="1" t="str">
        <f>IFERROR(__xludf.DUMMYFUNCTION("""COMPUTED_VALUE"""),"Media Monitoring")</f>
        <v>Media Monitoring</v>
      </c>
      <c r="AI311" s="2" t="str">
        <f>IFERROR(__xludf.DUMMYFUNCTION("""COMPUTED_VALUE"""),"https://www.datacenterdynamics.com/en/news/microsoft-files-for-new-data-center-campus-in-des-moines-iowa/")</f>
        <v>https://www.datacenterdynamics.com/en/news/microsoft-files-for-new-data-center-campus-in-des-moines-iowa/</v>
      </c>
      <c r="AJ311" s="2" t="str">
        <f>IFERROR(__xludf.DUMMYFUNCTION("""COMPUTED_VALUE"""),"https://rbnenergy.com/i-know-places-tech-giants-may-be-the-surest-bets-for-data-center-power-demand")</f>
        <v>https://rbnenergy.com/i-know-places-tech-giants-may-be-the-surest-bets-for-data-center-power-demand</v>
      </c>
      <c r="AK311" s="1" t="str">
        <f>IFERROR(__xludf.DUMMYFUNCTION("""COMPUTED_VALUE"""),"")</f>
        <v/>
      </c>
      <c r="AL311" s="1" t="str">
        <f>IFERROR(__xludf.DUMMYFUNCTION("""COMPUTED_VALUE"""),"")</f>
        <v/>
      </c>
      <c r="AM311" s="1" t="str">
        <f>IFERROR(__xludf.DUMMYFUNCTION("""COMPUTED_VALUE"""),"")</f>
        <v/>
      </c>
      <c r="AN311" s="1" t="str">
        <f>IFERROR(__xludf.DUMMYFUNCTION("""COMPUTED_VALUE"""),"")</f>
        <v/>
      </c>
      <c r="AO311" s="1" t="str">
        <f>IFERROR(__xludf.DUMMYFUNCTION("""COMPUTED_VALUE"""),"")</f>
        <v/>
      </c>
      <c r="AP311" s="1" t="str">
        <f>IFERROR(__xludf.DUMMYFUNCTION("""COMPUTED_VALUE"""),"")</f>
        <v/>
      </c>
      <c r="AQ311" s="1" t="str">
        <f>IFERROR(__xludf.DUMMYFUNCTION("""COMPUTED_VALUE"""),"08/13/2025")</f>
        <v>08/13/2025</v>
      </c>
      <c r="AR311" s="1" t="str">
        <f>IFERROR(__xludf.DUMMYFUNCTION("""COMPUTED_VALUE"""),"08/13/2025")</f>
        <v>08/13/2025</v>
      </c>
    </row>
    <row r="312">
      <c r="A312" s="1" t="str">
        <f>IFERROR(__xludf.DUMMYFUNCTION("""COMPUTED_VALUE"""),"Project Ginger West")</f>
        <v>Project Ginger West</v>
      </c>
      <c r="B312" s="1" t="str">
        <f>IFERROR(__xludf.DUMMYFUNCTION("""COMPUTED_VALUE"""),"11100 Booneville Rd")</f>
        <v>11100 Booneville Rd</v>
      </c>
      <c r="C312" s="1" t="str">
        <f>IFERROR(__xludf.DUMMYFUNCTION("""COMPUTED_VALUE"""),"West Des Moines")</f>
        <v>West Des Moines</v>
      </c>
      <c r="D312" s="1" t="str">
        <f>IFERROR(__xludf.DUMMYFUNCTION("""COMPUTED_VALUE"""),"IA")</f>
        <v>IA</v>
      </c>
      <c r="E312" s="1" t="str">
        <f>IFERROR(__xludf.DUMMYFUNCTION("""COMPUTED_VALUE"""),"50266")</f>
        <v>50266</v>
      </c>
      <c r="F312" s="1" t="str">
        <f>IFERROR(__xludf.DUMMYFUNCTION("""COMPUTED_VALUE"""),"Dallas")</f>
        <v>Dallas</v>
      </c>
      <c r="G312" s="1" t="str">
        <f>IFERROR(__xludf.DUMMYFUNCTION("""COMPUTED_VALUE"""),"41.5346")</f>
        <v>41.5346</v>
      </c>
      <c r="H312" s="1" t="str">
        <f>IFERROR(__xludf.DUMMYFUNCTION("""COMPUTED_VALUE"""),"-93.8656")</f>
        <v>-93.8656</v>
      </c>
      <c r="I312" s="1" t="str">
        <f>IFERROR(__xludf.DUMMYFUNCTION("""COMPUTED_VALUE"""),"Approved/Permitted/Under construction")</f>
        <v>Approved/Permitted/Under construction</v>
      </c>
      <c r="J312" s="1" t="str">
        <f>IFERROR(__xludf.DUMMYFUNCTION("""COMPUTED_VALUE"""),"High")</f>
        <v>High</v>
      </c>
      <c r="K312" s="1" t="str">
        <f>IFERROR(__xludf.DUMMYFUNCTION("""COMPUTED_VALUE"""),"")</f>
        <v/>
      </c>
      <c r="L312" s="1" t="str">
        <f>IFERROR(__xludf.DUMMYFUNCTION("""COMPUTED_VALUE"""),"Microsoft")</f>
        <v>Microsoft</v>
      </c>
      <c r="M312" s="1" t="str">
        <f>IFERROR(__xludf.DUMMYFUNCTION("""COMPUTED_VALUE"""),"")</f>
        <v/>
      </c>
      <c r="N312" s="1" t="str">
        <f>IFERROR(__xludf.DUMMYFUNCTION("""COMPUTED_VALUE"""),"200")</f>
        <v>200</v>
      </c>
      <c r="O312" s="1" t="str">
        <f>IFERROR(__xludf.DUMMYFUNCTION("""COMPUTED_VALUE"""),"Hyperscale (100-999 MW)")</f>
        <v>Hyperscale (100-999 MW)</v>
      </c>
      <c r="P312" s="1" t="str">
        <f>IFERROR(__xludf.DUMMYFUNCTION("""COMPUTED_VALUE"""),"")</f>
        <v/>
      </c>
      <c r="Q312" s="1" t="str">
        <f>IFERROR(__xludf.DUMMYFUNCTION("""COMPUTED_VALUE"""),"")</f>
        <v/>
      </c>
      <c r="R312" s="1" t="str">
        <f>IFERROR(__xludf.DUMMYFUNCTION("""COMPUTED_VALUE"""),"")</f>
        <v/>
      </c>
      <c r="S312" s="1" t="str">
        <f>IFERROR(__xludf.DUMMYFUNCTION("""COMPUTED_VALUE"""),"2")</f>
        <v>2</v>
      </c>
      <c r="T312" s="1" t="str">
        <f>IFERROR(__xludf.DUMMYFUNCTION("""COMPUTED_VALUE"""),"")</f>
        <v/>
      </c>
      <c r="U312" s="1" t="str">
        <f>IFERROR(__xludf.DUMMYFUNCTION("""COMPUTED_VALUE"""),"")</f>
        <v/>
      </c>
      <c r="V312" s="1" t="str">
        <f>IFERROR(__xludf.DUMMYFUNCTION("""COMPUTED_VALUE"""),"1,800,000")</f>
        <v>1,800,000</v>
      </c>
      <c r="W312" s="1" t="str">
        <f>IFERROR(__xludf.DUMMYFUNCTION("""COMPUTED_VALUE"""),"180")</f>
        <v>180</v>
      </c>
      <c r="X312" s="1" t="str">
        <f>IFERROR(__xludf.DUMMYFUNCTION("""COMPUTED_VALUE"""),"$1 billion")</f>
        <v>$1 billion</v>
      </c>
      <c r="Y312" s="1" t="str">
        <f>IFERROR(__xludf.DUMMYFUNCTION("""COMPUTED_VALUE"""),"")</f>
        <v/>
      </c>
      <c r="Z312" s="1" t="str">
        <f>IFERROR(__xludf.DUMMYFUNCTION("""COMPUTED_VALUE"""),"Unknown")</f>
        <v>Unknown</v>
      </c>
      <c r="AA312" s="1" t="str">
        <f>IFERROR(__xludf.DUMMYFUNCTION("""COMPUTED_VALUE"""),"")</f>
        <v/>
      </c>
      <c r="AB312" s="1" t="str">
        <f>IFERROR(__xludf.DUMMYFUNCTION("""COMPUTED_VALUE"""),"")</f>
        <v/>
      </c>
      <c r="AC312" s="1" t="str">
        <f>IFERROR(__xludf.DUMMYFUNCTION("""COMPUTED_VALUE"""),"")</f>
        <v/>
      </c>
      <c r="AD312" s="1" t="str">
        <f>IFERROR(__xludf.DUMMYFUNCTION("""COMPUTED_VALUE"""),"")</f>
        <v/>
      </c>
      <c r="AE312" s="1" t="str">
        <f>IFERROR(__xludf.DUMMYFUNCTION("""COMPUTED_VALUE"""),"")</f>
        <v/>
      </c>
      <c r="AF312" s="1" t="str">
        <f>IFERROR(__xludf.DUMMYFUNCTION("""COMPUTED_VALUE"""),"")</f>
        <v/>
      </c>
      <c r="AG312" s="1" t="str">
        <f>IFERROR(__xludf.DUMMYFUNCTION("""COMPUTED_VALUE"""),"")</f>
        <v/>
      </c>
      <c r="AH312" s="1" t="str">
        <f>IFERROR(__xludf.DUMMYFUNCTION("""COMPUTED_VALUE"""),"Media Monitoring")</f>
        <v>Media Monitoring</v>
      </c>
      <c r="AI312" s="2" t="str">
        <f>IFERROR(__xludf.DUMMYFUNCTION("""COMPUTED_VALUE"""),"https://www.datacenterdynamics.com/en/news/microsoft-files-for-new-data-center-campus-in-des-moines-iowa/")</f>
        <v>https://www.datacenterdynamics.com/en/news/microsoft-files-for-new-data-center-campus-in-des-moines-iowa/</v>
      </c>
      <c r="AJ312" s="2" t="str">
        <f>IFERROR(__xludf.DUMMYFUNCTION("""COMPUTED_VALUE"""),"https://rbnenergy.com/i-know-places-tech-giants-may-be-the-surest-bets-for-data-center-power-demand")</f>
        <v>https://rbnenergy.com/i-know-places-tech-giants-may-be-the-surest-bets-for-data-center-power-demand</v>
      </c>
      <c r="AK312" s="1" t="str">
        <f>IFERROR(__xludf.DUMMYFUNCTION("""COMPUTED_VALUE"""),"")</f>
        <v/>
      </c>
      <c r="AL312" s="1" t="str">
        <f>IFERROR(__xludf.DUMMYFUNCTION("""COMPUTED_VALUE"""),"")</f>
        <v/>
      </c>
      <c r="AM312" s="1" t="str">
        <f>IFERROR(__xludf.DUMMYFUNCTION("""COMPUTED_VALUE"""),"")</f>
        <v/>
      </c>
      <c r="AN312" s="1" t="str">
        <f>IFERROR(__xludf.DUMMYFUNCTION("""COMPUTED_VALUE"""),"")</f>
        <v/>
      </c>
      <c r="AO312" s="1" t="str">
        <f>IFERROR(__xludf.DUMMYFUNCTION("""COMPUTED_VALUE"""),"")</f>
        <v/>
      </c>
      <c r="AP312" s="1" t="str">
        <f>IFERROR(__xludf.DUMMYFUNCTION("""COMPUTED_VALUE"""),"")</f>
        <v/>
      </c>
      <c r="AQ312" s="1" t="str">
        <f>IFERROR(__xludf.DUMMYFUNCTION("""COMPUTED_VALUE"""),"08/13/2025")</f>
        <v>08/13/2025</v>
      </c>
      <c r="AR312" s="1" t="str">
        <f>IFERROR(__xludf.DUMMYFUNCTION("""COMPUTED_VALUE"""),"08/13/2025")</f>
        <v>08/13/2025</v>
      </c>
    </row>
    <row r="313">
      <c r="A313" s="1" t="str">
        <f>IFERROR(__xludf.DUMMYFUNCTION("""COMPUTED_VALUE"""),"Project Mountain")</f>
        <v>Project Mountain</v>
      </c>
      <c r="B313" s="1" t="str">
        <f>IFERROR(__xludf.DUMMYFUNCTION("""COMPUTED_VALUE"""),"8855 Grand Ave")</f>
        <v>8855 Grand Ave</v>
      </c>
      <c r="C313" s="1" t="str">
        <f>IFERROR(__xludf.DUMMYFUNCTION("""COMPUTED_VALUE"""),"West Des Moines")</f>
        <v>West Des Moines</v>
      </c>
      <c r="D313" s="1" t="str">
        <f>IFERROR(__xludf.DUMMYFUNCTION("""COMPUTED_VALUE"""),"IA")</f>
        <v>IA</v>
      </c>
      <c r="E313" s="1" t="str">
        <f>IFERROR(__xludf.DUMMYFUNCTION("""COMPUTED_VALUE"""),"50266")</f>
        <v>50266</v>
      </c>
      <c r="F313" s="1" t="str">
        <f>IFERROR(__xludf.DUMMYFUNCTION("""COMPUTED_VALUE"""),"Dallas")</f>
        <v>Dallas</v>
      </c>
      <c r="G313" s="1" t="str">
        <f>IFERROR(__xludf.DUMMYFUNCTION("""COMPUTED_VALUE"""),"41.53982")</f>
        <v>41.53982</v>
      </c>
      <c r="H313" s="1" t="str">
        <f>IFERROR(__xludf.DUMMYFUNCTION("""COMPUTED_VALUE"""),"-93.8242")</f>
        <v>-93.8242</v>
      </c>
      <c r="I313" s="1" t="str">
        <f>IFERROR(__xludf.DUMMYFUNCTION("""COMPUTED_VALUE"""),"Operating")</f>
        <v>Operating</v>
      </c>
      <c r="J313" s="1" t="str">
        <f>IFERROR(__xludf.DUMMYFUNCTION("""COMPUTED_VALUE"""),"High")</f>
        <v>High</v>
      </c>
      <c r="K313" s="1" t="str">
        <f>IFERROR(__xludf.DUMMYFUNCTION("""COMPUTED_VALUE"""),"")</f>
        <v/>
      </c>
      <c r="L313" s="1" t="str">
        <f>IFERROR(__xludf.DUMMYFUNCTION("""COMPUTED_VALUE"""),"Microsoft")</f>
        <v>Microsoft</v>
      </c>
      <c r="M313" s="1" t="str">
        <f>IFERROR(__xludf.DUMMYFUNCTION("""COMPUTED_VALUE"""),"")</f>
        <v/>
      </c>
      <c r="N313" s="1" t="str">
        <f>IFERROR(__xludf.DUMMYFUNCTION("""COMPUTED_VALUE"""),"")</f>
        <v/>
      </c>
      <c r="O313" s="1" t="str">
        <f>IFERROR(__xludf.DUMMYFUNCTION("""COMPUTED_VALUE"""),"Unknown")</f>
        <v>Unknown</v>
      </c>
      <c r="P313" s="1" t="str">
        <f>IFERROR(__xludf.DUMMYFUNCTION("""COMPUTED_VALUE"""),"")</f>
        <v/>
      </c>
      <c r="Q313" s="1" t="str">
        <f>IFERROR(__xludf.DUMMYFUNCTION("""COMPUTED_VALUE"""),"")</f>
        <v/>
      </c>
      <c r="R313" s="1" t="str">
        <f>IFERROR(__xludf.DUMMYFUNCTION("""COMPUTED_VALUE"""),"")</f>
        <v/>
      </c>
      <c r="S313" s="1" t="str">
        <f>IFERROR(__xludf.DUMMYFUNCTION("""COMPUTED_VALUE"""),"")</f>
        <v/>
      </c>
      <c r="T313" s="1" t="str">
        <f>IFERROR(__xludf.DUMMYFUNCTION("""COMPUTED_VALUE"""),"")</f>
        <v/>
      </c>
      <c r="U313" s="1" t="str">
        <f>IFERROR(__xludf.DUMMYFUNCTION("""COMPUTED_VALUE"""),"")</f>
        <v/>
      </c>
      <c r="V313" s="1" t="str">
        <f>IFERROR(__xludf.DUMMYFUNCTION("""COMPUTED_VALUE"""),"")</f>
        <v/>
      </c>
      <c r="W313" s="1" t="str">
        <f>IFERROR(__xludf.DUMMYFUNCTION("""COMPUTED_VALUE"""),"")</f>
        <v/>
      </c>
      <c r="X313" s="1" t="str">
        <f>IFERROR(__xludf.DUMMYFUNCTION("""COMPUTED_VALUE"""),"")</f>
        <v/>
      </c>
      <c r="Y313" s="1" t="str">
        <f>IFERROR(__xludf.DUMMYFUNCTION("""COMPUTED_VALUE"""),"")</f>
        <v/>
      </c>
      <c r="Z313" s="1" t="str">
        <f>IFERROR(__xludf.DUMMYFUNCTION("""COMPUTED_VALUE"""),"Unknown")</f>
        <v>Unknown</v>
      </c>
      <c r="AA313" s="1" t="str">
        <f>IFERROR(__xludf.DUMMYFUNCTION("""COMPUTED_VALUE"""),"")</f>
        <v/>
      </c>
      <c r="AB313" s="1" t="str">
        <f>IFERROR(__xludf.DUMMYFUNCTION("""COMPUTED_VALUE"""),"")</f>
        <v/>
      </c>
      <c r="AC313" s="1" t="str">
        <f>IFERROR(__xludf.DUMMYFUNCTION("""COMPUTED_VALUE"""),"")</f>
        <v/>
      </c>
      <c r="AD313" s="1" t="str">
        <f>IFERROR(__xludf.DUMMYFUNCTION("""COMPUTED_VALUE"""),"")</f>
        <v/>
      </c>
      <c r="AE313" s="1" t="str">
        <f>IFERROR(__xludf.DUMMYFUNCTION("""COMPUTED_VALUE"""),"")</f>
        <v/>
      </c>
      <c r="AF313" s="1" t="str">
        <f>IFERROR(__xludf.DUMMYFUNCTION("""COMPUTED_VALUE"""),"")</f>
        <v/>
      </c>
      <c r="AG313" s="1" t="str">
        <f>IFERROR(__xludf.DUMMYFUNCTION("""COMPUTED_VALUE"""),"")</f>
        <v/>
      </c>
      <c r="AH313" s="1" t="str">
        <f>IFERROR(__xludf.DUMMYFUNCTION("""COMPUTED_VALUE"""),"Media Monitoring")</f>
        <v>Media Monitoring</v>
      </c>
      <c r="AI313" s="2" t="str">
        <f>IFERROR(__xludf.DUMMYFUNCTION("""COMPUTED_VALUE"""),"https://www.datacenterdynamics.com/en/news/microsoft-files-for-new-data-center-campus-in-des-moines-iowa/")</f>
        <v>https://www.datacenterdynamics.com/en/news/microsoft-files-for-new-data-center-campus-in-des-moines-iowa/</v>
      </c>
      <c r="AJ313" s="1" t="str">
        <f>IFERROR(__xludf.DUMMYFUNCTION("""COMPUTED_VALUE"""),"")</f>
        <v/>
      </c>
      <c r="AK313" s="1" t="str">
        <f>IFERROR(__xludf.DUMMYFUNCTION("""COMPUTED_VALUE"""),"")</f>
        <v/>
      </c>
      <c r="AL313" s="1" t="str">
        <f>IFERROR(__xludf.DUMMYFUNCTION("""COMPUTED_VALUE"""),"")</f>
        <v/>
      </c>
      <c r="AM313" s="1" t="str">
        <f>IFERROR(__xludf.DUMMYFUNCTION("""COMPUTED_VALUE"""),"")</f>
        <v/>
      </c>
      <c r="AN313" s="1" t="str">
        <f>IFERROR(__xludf.DUMMYFUNCTION("""COMPUTED_VALUE"""),"")</f>
        <v/>
      </c>
      <c r="AO313" s="1" t="str">
        <f>IFERROR(__xludf.DUMMYFUNCTION("""COMPUTED_VALUE"""),"")</f>
        <v/>
      </c>
      <c r="AP313" s="1" t="str">
        <f>IFERROR(__xludf.DUMMYFUNCTION("""COMPUTED_VALUE"""),"")</f>
        <v/>
      </c>
      <c r="AQ313" s="1" t="str">
        <f>IFERROR(__xludf.DUMMYFUNCTION("""COMPUTED_VALUE"""),"08/13/2025")</f>
        <v>08/13/2025</v>
      </c>
      <c r="AR313" s="1" t="str">
        <f>IFERROR(__xludf.DUMMYFUNCTION("""COMPUTED_VALUE"""),"08/13/2025")</f>
        <v>08/13/2025</v>
      </c>
    </row>
    <row r="314">
      <c r="A314" s="1" t="str">
        <f>IFERROR(__xludf.DUMMYFUNCTION("""COMPUTED_VALUE"""),"Deep Atomic Data Center")</f>
        <v>Deep Atomic Data Center</v>
      </c>
      <c r="B314" s="1" t="str">
        <f>IFERROR(__xludf.DUMMYFUNCTION("""COMPUTED_VALUE"""),"Idaho National Laboratory")</f>
        <v>Idaho National Laboratory</v>
      </c>
      <c r="C314" s="1" t="str">
        <f>IFERROR(__xludf.DUMMYFUNCTION("""COMPUTED_VALUE"""),"Idaho Falls")</f>
        <v>Idaho Falls</v>
      </c>
      <c r="D314" s="1" t="str">
        <f>IFERROR(__xludf.DUMMYFUNCTION("""COMPUTED_VALUE"""),"ID")</f>
        <v>ID</v>
      </c>
      <c r="E314" s="1" t="str">
        <f>IFERROR(__xludf.DUMMYFUNCTION("""COMPUTED_VALUE"""),"83415")</f>
        <v>83415</v>
      </c>
      <c r="F314" s="1" t="str">
        <f>IFERROR(__xludf.DUMMYFUNCTION("""COMPUTED_VALUE"""),"Bonneville")</f>
        <v>Bonneville</v>
      </c>
      <c r="G314" s="1" t="str">
        <f>IFERROR(__xludf.DUMMYFUNCTION("""COMPUTED_VALUE"""),"43.51967")</f>
        <v>43.51967</v>
      </c>
      <c r="H314" s="1" t="str">
        <f>IFERROR(__xludf.DUMMYFUNCTION("""COMPUTED_VALUE"""),"-112.04594")</f>
        <v>-112.04594</v>
      </c>
      <c r="I314" s="1" t="str">
        <f>IFERROR(__xludf.DUMMYFUNCTION("""COMPUTED_VALUE"""),"Proposed")</f>
        <v>Proposed</v>
      </c>
      <c r="J314" s="1" t="str">
        <f>IFERROR(__xludf.DUMMYFUNCTION("""COMPUTED_VALUE"""),"Medium")</f>
        <v>Medium</v>
      </c>
      <c r="K314" s="1" t="str">
        <f>IFERROR(__xludf.DUMMYFUNCTION("""COMPUTED_VALUE"""),"")</f>
        <v/>
      </c>
      <c r="L314" s="1" t="str">
        <f>IFERROR(__xludf.DUMMYFUNCTION("""COMPUTED_VALUE"""),"")</f>
        <v/>
      </c>
      <c r="M314" s="1" t="str">
        <f>IFERROR(__xludf.DUMMYFUNCTION("""COMPUTED_VALUE"""),"")</f>
        <v/>
      </c>
      <c r="N314" s="1" t="str">
        <f>IFERROR(__xludf.DUMMYFUNCTION("""COMPUTED_VALUE"""),"60")</f>
        <v>60</v>
      </c>
      <c r="O314" s="1" t="str">
        <f>IFERROR(__xludf.DUMMYFUNCTION("""COMPUTED_VALUE"""),"Large (51-99 MW)")</f>
        <v>Large (51-99 MW)</v>
      </c>
      <c r="P314" s="1" t="str">
        <f>IFERROR(__xludf.DUMMYFUNCTION("""COMPUTED_VALUE"""),"Nuclear")</f>
        <v>Nuclear</v>
      </c>
      <c r="Q314" s="1" t="str">
        <f>IFERROR(__xludf.DUMMYFUNCTION("""COMPUTED_VALUE"""),"")</f>
        <v/>
      </c>
      <c r="R314" s="1" t="str">
        <f>IFERROR(__xludf.DUMMYFUNCTION("""COMPUTED_VALUE"""),"")</f>
        <v/>
      </c>
      <c r="S314" s="1" t="str">
        <f>IFERROR(__xludf.DUMMYFUNCTION("""COMPUTED_VALUE"""),"")</f>
        <v/>
      </c>
      <c r="T314" s="1" t="str">
        <f>IFERROR(__xludf.DUMMYFUNCTION("""COMPUTED_VALUE"""),"")</f>
        <v/>
      </c>
      <c r="U314" s="1" t="str">
        <f>IFERROR(__xludf.DUMMYFUNCTION("""COMPUTED_VALUE"""),"")</f>
        <v/>
      </c>
      <c r="V314" s="1" t="str">
        <f>IFERROR(__xludf.DUMMYFUNCTION("""COMPUTED_VALUE"""),"")</f>
        <v/>
      </c>
      <c r="W314" s="1" t="str">
        <f>IFERROR(__xludf.DUMMYFUNCTION("""COMPUTED_VALUE"""),"")</f>
        <v/>
      </c>
      <c r="X314" s="1" t="str">
        <f>IFERROR(__xludf.DUMMYFUNCTION("""COMPUTED_VALUE"""),"")</f>
        <v/>
      </c>
      <c r="Y314" s="1" t="str">
        <f>IFERROR(__xludf.DUMMYFUNCTION("""COMPUTED_VALUE"""),"")</f>
        <v/>
      </c>
      <c r="Z314" s="1" t="str">
        <f>IFERROR(__xludf.DUMMYFUNCTION("""COMPUTED_VALUE"""),"Yes")</f>
        <v>Yes</v>
      </c>
      <c r="AA314" s="1" t="str">
        <f>IFERROR(__xludf.DUMMYFUNCTION("""COMPUTED_VALUE"""),"")</f>
        <v/>
      </c>
      <c r="AB314" s="1" t="str">
        <f>IFERROR(__xludf.DUMMYFUNCTION("""COMPUTED_VALUE"""),"")</f>
        <v/>
      </c>
      <c r="AC314" s="1" t="str">
        <f>IFERROR(__xludf.DUMMYFUNCTION("""COMPUTED_VALUE"""),"")</f>
        <v/>
      </c>
      <c r="AD314" s="1" t="str">
        <f>IFERROR(__xludf.DUMMYFUNCTION("""COMPUTED_VALUE"""),"")</f>
        <v/>
      </c>
      <c r="AE314" s="1" t="str">
        <f>IFERROR(__xludf.DUMMYFUNCTION("""COMPUTED_VALUE"""),"")</f>
        <v/>
      </c>
      <c r="AF314" s="2" t="str">
        <f>IFERROR(__xludf.DUMMYFUNCTION("""COMPUTED_VALUE"""),"https://www.change.org/p/say-no-to-nuclear-powered-ai-in-idaho-without-strong-climate-and-safety-protections")</f>
        <v>https://www.change.org/p/say-no-to-nuclear-powered-ai-in-idaho-without-strong-climate-and-safety-protections</v>
      </c>
      <c r="AG314" s="1" t="str">
        <f>IFERROR(__xludf.DUMMYFUNCTION("""COMPUTED_VALUE"""),"")</f>
        <v/>
      </c>
      <c r="AH314" s="1" t="str">
        <f>IFERROR(__xludf.DUMMYFUNCTION("""COMPUTED_VALUE"""),"Media Monitoring")</f>
        <v>Media Monitoring</v>
      </c>
      <c r="AI314" s="2" t="str">
        <f>IFERROR(__xludf.DUMMYFUNCTION("""COMPUTED_VALUE"""),"https://www.datacenterdynamics.com/en/news/smr-developer-deep-atomic-proposes-nuclear-powered-ai-data-center-at-idaho-national-lab/")</f>
        <v>https://www.datacenterdynamics.com/en/news/smr-developer-deep-atomic-proposes-nuclear-powered-ai-data-center-at-idaho-national-lab/</v>
      </c>
      <c r="AJ314" s="1" t="str">
        <f>IFERROR(__xludf.DUMMYFUNCTION("""COMPUTED_VALUE"""),"")</f>
        <v/>
      </c>
      <c r="AK314" s="1" t="str">
        <f>IFERROR(__xludf.DUMMYFUNCTION("""COMPUTED_VALUE"""),"")</f>
        <v/>
      </c>
      <c r="AL314" s="1" t="str">
        <f>IFERROR(__xludf.DUMMYFUNCTION("""COMPUTED_VALUE"""),"")</f>
        <v/>
      </c>
      <c r="AM314" s="1" t="str">
        <f>IFERROR(__xludf.DUMMYFUNCTION("""COMPUTED_VALUE"""),"")</f>
        <v/>
      </c>
      <c r="AN314" s="1" t="str">
        <f>IFERROR(__xludf.DUMMYFUNCTION("""COMPUTED_VALUE"""),"")</f>
        <v/>
      </c>
      <c r="AO314" s="1" t="str">
        <f>IFERROR(__xludf.DUMMYFUNCTION("""COMPUTED_VALUE"""),"")</f>
        <v/>
      </c>
      <c r="AP314" s="1" t="str">
        <f>IFERROR(__xludf.DUMMYFUNCTION("""COMPUTED_VALUE"""),"")</f>
        <v/>
      </c>
      <c r="AQ314" s="1" t="str">
        <f>IFERROR(__xludf.DUMMYFUNCTION("""COMPUTED_VALUE"""),"12/08/2025")</f>
        <v>12/08/2025</v>
      </c>
      <c r="AR314" s="1" t="str">
        <f>IFERROR(__xludf.DUMMYFUNCTION("""COMPUTED_VALUE"""),"02/27/2026")</f>
        <v>02/27/2026</v>
      </c>
    </row>
    <row r="315">
      <c r="A315" s="1" t="str">
        <f>IFERROR(__xludf.DUMMYFUNCTION("""COMPUTED_VALUE"""),"Lex Developments Data Center")</f>
        <v>Lex Developments Data Center</v>
      </c>
      <c r="B315" s="1" t="str">
        <f>IFERROR(__xludf.DUMMYFUNCTION("""COMPUTED_VALUE"""),"Hoku Way")</f>
        <v>Hoku Way</v>
      </c>
      <c r="C315" s="1" t="str">
        <f>IFERROR(__xludf.DUMMYFUNCTION("""COMPUTED_VALUE"""),"Pocatello")</f>
        <v>Pocatello</v>
      </c>
      <c r="D315" s="1" t="str">
        <f>IFERROR(__xludf.DUMMYFUNCTION("""COMPUTED_VALUE"""),"ID")</f>
        <v>ID</v>
      </c>
      <c r="E315" s="1" t="str">
        <f>IFERROR(__xludf.DUMMYFUNCTION("""COMPUTED_VALUE"""),"83204")</f>
        <v>83204</v>
      </c>
      <c r="F315" s="1" t="str">
        <f>IFERROR(__xludf.DUMMYFUNCTION("""COMPUTED_VALUE"""),"Bannock")</f>
        <v>Bannock</v>
      </c>
      <c r="G315" s="1" t="str">
        <f>IFERROR(__xludf.DUMMYFUNCTION("""COMPUTED_VALUE"""),"42.89649")</f>
        <v>42.89649</v>
      </c>
      <c r="H315" s="1" t="str">
        <f>IFERROR(__xludf.DUMMYFUNCTION("""COMPUTED_VALUE"""),"-112.49562")</f>
        <v>-112.49562</v>
      </c>
      <c r="I315" s="1" t="str">
        <f>IFERROR(__xludf.DUMMYFUNCTION("""COMPUTED_VALUE"""),"Proposed")</f>
        <v>Proposed</v>
      </c>
      <c r="J315" s="1" t="str">
        <f>IFERROR(__xludf.DUMMYFUNCTION("""COMPUTED_VALUE"""),"High")</f>
        <v>High</v>
      </c>
      <c r="K315" s="1" t="str">
        <f>IFERROR(__xludf.DUMMYFUNCTION("""COMPUTED_VALUE"""),"")</f>
        <v/>
      </c>
      <c r="L315" s="1" t="str">
        <f>IFERROR(__xludf.DUMMYFUNCTION("""COMPUTED_VALUE"""),"")</f>
        <v/>
      </c>
      <c r="M315" s="1" t="str">
        <f>IFERROR(__xludf.DUMMYFUNCTION("""COMPUTED_VALUE"""),"")</f>
        <v/>
      </c>
      <c r="N315" s="1" t="str">
        <f>IFERROR(__xludf.DUMMYFUNCTION("""COMPUTED_VALUE"""),"100")</f>
        <v>100</v>
      </c>
      <c r="O315" s="1" t="str">
        <f>IFERROR(__xludf.DUMMYFUNCTION("""COMPUTED_VALUE"""),"Hyperscale (100-999 MW)")</f>
        <v>Hyperscale (100-999 MW)</v>
      </c>
      <c r="P315" s="1" t="str">
        <f>IFERROR(__xludf.DUMMYFUNCTION("""COMPUTED_VALUE"""),"")</f>
        <v/>
      </c>
      <c r="Q315" s="1" t="str">
        <f>IFERROR(__xludf.DUMMYFUNCTION("""COMPUTED_VALUE"""),"")</f>
        <v/>
      </c>
      <c r="R315" s="1" t="str">
        <f>IFERROR(__xludf.DUMMYFUNCTION("""COMPUTED_VALUE"""),"")</f>
        <v/>
      </c>
      <c r="S315" s="1" t="str">
        <f>IFERROR(__xludf.DUMMYFUNCTION("""COMPUTED_VALUE"""),"7")</f>
        <v>7</v>
      </c>
      <c r="T315" s="1" t="str">
        <f>IFERROR(__xludf.DUMMYFUNCTION("""COMPUTED_VALUE"""),"")</f>
        <v/>
      </c>
      <c r="U315" s="1" t="str">
        <f>IFERROR(__xludf.DUMMYFUNCTION("""COMPUTED_VALUE"""),"")</f>
        <v/>
      </c>
      <c r="V315" s="1" t="str">
        <f>IFERROR(__xludf.DUMMYFUNCTION("""COMPUTED_VALUE"""),"700,000")</f>
        <v>700,000</v>
      </c>
      <c r="W315" s="1" t="str">
        <f>IFERROR(__xludf.DUMMYFUNCTION("""COMPUTED_VALUE"""),"")</f>
        <v/>
      </c>
      <c r="X315" s="1" t="str">
        <f>IFERROR(__xludf.DUMMYFUNCTION("""COMPUTED_VALUE"""),"")</f>
        <v/>
      </c>
      <c r="Y315" s="1" t="str">
        <f>IFERROR(__xludf.DUMMYFUNCTION("""COMPUTED_VALUE"""),"")</f>
        <v/>
      </c>
      <c r="Z315" s="1" t="str">
        <f>IFERROR(__xludf.DUMMYFUNCTION("""COMPUTED_VALUE"""),"Yes")</f>
        <v>Yes</v>
      </c>
      <c r="AA315" s="1" t="str">
        <f>IFERROR(__xludf.DUMMYFUNCTION("""COMPUTED_VALUE"""),"")</f>
        <v/>
      </c>
      <c r="AB315" s="1" t="str">
        <f>IFERROR(__xludf.DUMMYFUNCTION("""COMPUTED_VALUE"""),"Organized Advocacy")</f>
        <v>Organized Advocacy</v>
      </c>
      <c r="AC315" s="1" t="str">
        <f>IFERROR(__xludf.DUMMYFUNCTION("""COMPUTED_VALUE"""),"")</f>
        <v/>
      </c>
      <c r="AD315" s="1" t="str">
        <f>IFERROR(__xludf.DUMMYFUNCTION("""COMPUTED_VALUE"""),"")</f>
        <v/>
      </c>
      <c r="AE315" s="1" t="str">
        <f>IFERROR(__xludf.DUMMYFUNCTION("""COMPUTED_VALUE"""),"")</f>
        <v/>
      </c>
      <c r="AF315" s="1" t="str">
        <f>IFERROR(__xludf.DUMMYFUNCTION("""COMPUTED_VALUE"""),"")</f>
        <v/>
      </c>
      <c r="AG315" s="1" t="str">
        <f>IFERROR(__xludf.DUMMYFUNCTION("""COMPUTED_VALUE"""),"Opposition by Shoshone-Bannock First Nations")</f>
        <v>Opposition by Shoshone-Bannock First Nations</v>
      </c>
      <c r="AH315" s="1" t="str">
        <f>IFERROR(__xludf.DUMMYFUNCTION("""COMPUTED_VALUE"""),"Media Monitoring")</f>
        <v>Media Monitoring</v>
      </c>
      <c r="AI315" s="2" t="str">
        <f>IFERROR(__xludf.DUMMYFUNCTION("""COMPUTED_VALUE"""),"https://www.datacenterdynamics.com/en/news/first-nation-opposes-plan-for-ai-data-center-in-pocatello-idaho/")</f>
        <v>https://www.datacenterdynamics.com/en/news/first-nation-opposes-plan-for-ai-data-center-in-pocatello-idaho/</v>
      </c>
      <c r="AJ315" s="1" t="str">
        <f>IFERROR(__xludf.DUMMYFUNCTION("""COMPUTED_VALUE"""),"")</f>
        <v/>
      </c>
      <c r="AK315" s="1" t="str">
        <f>IFERROR(__xludf.DUMMYFUNCTION("""COMPUTED_VALUE"""),"")</f>
        <v/>
      </c>
      <c r="AL315" s="1" t="str">
        <f>IFERROR(__xludf.DUMMYFUNCTION("""COMPUTED_VALUE"""),"")</f>
        <v/>
      </c>
      <c r="AM315" s="1" t="str">
        <f>IFERROR(__xludf.DUMMYFUNCTION("""COMPUTED_VALUE"""),"")</f>
        <v/>
      </c>
      <c r="AN315" s="1" t="str">
        <f>IFERROR(__xludf.DUMMYFUNCTION("""COMPUTED_VALUE"""),"")</f>
        <v/>
      </c>
      <c r="AO315" s="1" t="str">
        <f>IFERROR(__xludf.DUMMYFUNCTION("""COMPUTED_VALUE"""),"")</f>
        <v/>
      </c>
      <c r="AP315" s="1" t="str">
        <f>IFERROR(__xludf.DUMMYFUNCTION("""COMPUTED_VALUE"""),"")</f>
        <v/>
      </c>
      <c r="AQ315" s="1" t="str">
        <f>IFERROR(__xludf.DUMMYFUNCTION("""COMPUTED_VALUE"""),"07/14/2026")</f>
        <v>07/14/2026</v>
      </c>
      <c r="AR315" s="1" t="str">
        <f>IFERROR(__xludf.DUMMYFUNCTION("""COMPUTED_VALUE"""),"07/14/2026")</f>
        <v>07/14/2026</v>
      </c>
    </row>
    <row r="316">
      <c r="A316" s="1" t="str">
        <f>IFERROR(__xludf.DUMMYFUNCTION("""COMPUTED_VALUE"""),"Edged Data Center")</f>
        <v>Edged Data Center</v>
      </c>
      <c r="B316" s="1" t="str">
        <f>IFERROR(__xludf.DUMMYFUNCTION("""COMPUTED_VALUE"""),"2835 Bilter Road")</f>
        <v>2835 Bilter Road</v>
      </c>
      <c r="C316" s="1" t="str">
        <f>IFERROR(__xludf.DUMMYFUNCTION("""COMPUTED_VALUE"""),"Aurora")</f>
        <v>Aurora</v>
      </c>
      <c r="D316" s="1" t="str">
        <f>IFERROR(__xludf.DUMMYFUNCTION("""COMPUTED_VALUE"""),"IL")</f>
        <v>IL</v>
      </c>
      <c r="E316" s="1" t="str">
        <f>IFERROR(__xludf.DUMMYFUNCTION("""COMPUTED_VALUE"""),"60502")</f>
        <v>60502</v>
      </c>
      <c r="F316" s="1" t="str">
        <f>IFERROR(__xludf.DUMMYFUNCTION("""COMPUTED_VALUE"""),"DuPage")</f>
        <v>DuPage</v>
      </c>
      <c r="G316" s="1" t="str">
        <f>IFERROR(__xludf.DUMMYFUNCTION("""COMPUTED_VALUE"""),"41.80707")</f>
        <v>41.80707</v>
      </c>
      <c r="H316" s="1" t="str">
        <f>IFERROR(__xludf.DUMMYFUNCTION("""COMPUTED_VALUE"""),"-88.24102")</f>
        <v>-88.24102</v>
      </c>
      <c r="I316" s="1" t="str">
        <f>IFERROR(__xludf.DUMMYFUNCTION("""COMPUTED_VALUE"""),"Approved/Permitted/Under construction")</f>
        <v>Approved/Permitted/Under construction</v>
      </c>
      <c r="J316" s="1" t="str">
        <f>IFERROR(__xludf.DUMMYFUNCTION("""COMPUTED_VALUE"""),"High")</f>
        <v>High</v>
      </c>
      <c r="K316" s="1" t="str">
        <f>IFERROR(__xludf.DUMMYFUNCTION("""COMPUTED_VALUE"""),"AI")</f>
        <v>AI</v>
      </c>
      <c r="L316" s="1" t="str">
        <f>IFERROR(__xludf.DUMMYFUNCTION("""COMPUTED_VALUE"""),"Edged")</f>
        <v>Edged</v>
      </c>
      <c r="M316" s="1" t="str">
        <f>IFERROR(__xludf.DUMMYFUNCTION("""COMPUTED_VALUE"""),"")</f>
        <v/>
      </c>
      <c r="N316" s="1" t="str">
        <f>IFERROR(__xludf.DUMMYFUNCTION("""COMPUTED_VALUE"""),"72")</f>
        <v>72</v>
      </c>
      <c r="O316" s="1" t="str">
        <f>IFERROR(__xludf.DUMMYFUNCTION("""COMPUTED_VALUE"""),"Large (51-99 MW)")</f>
        <v>Large (51-99 MW)</v>
      </c>
      <c r="P316" s="1" t="str">
        <f>IFERROR(__xludf.DUMMYFUNCTION("""COMPUTED_VALUE"""),"")</f>
        <v/>
      </c>
      <c r="Q316" s="1" t="str">
        <f>IFERROR(__xludf.DUMMYFUNCTION("""COMPUTED_VALUE"""),"")</f>
        <v/>
      </c>
      <c r="R316" s="1" t="str">
        <f>IFERROR(__xludf.DUMMYFUNCTION("""COMPUTED_VALUE"""),"")</f>
        <v/>
      </c>
      <c r="S316" s="1" t="str">
        <f>IFERROR(__xludf.DUMMYFUNCTION("""COMPUTED_VALUE"""),"")</f>
        <v/>
      </c>
      <c r="T316" s="1" t="str">
        <f>IFERROR(__xludf.DUMMYFUNCTION("""COMPUTED_VALUE"""),"Air")</f>
        <v>Air</v>
      </c>
      <c r="U316" s="1" t="str">
        <f>IFERROR(__xludf.DUMMYFUNCTION("""COMPUTED_VALUE"""),"Closed loop")</f>
        <v>Closed loop</v>
      </c>
      <c r="V316" s="1" t="str">
        <f>IFERROR(__xludf.DUMMYFUNCTION("""COMPUTED_VALUE"""),"")</f>
        <v/>
      </c>
      <c r="W316" s="1" t="str">
        <f>IFERROR(__xludf.DUMMYFUNCTION("""COMPUTED_VALUE"""),"")</f>
        <v/>
      </c>
      <c r="X316" s="1" t="str">
        <f>IFERROR(__xludf.DUMMYFUNCTION("""COMPUTED_VALUE"""),"")</f>
        <v/>
      </c>
      <c r="Y316" s="1" t="str">
        <f>IFERROR(__xludf.DUMMYFUNCTION("""COMPUTED_VALUE"""),"2027")</f>
        <v>2027</v>
      </c>
      <c r="Z316" s="1" t="str">
        <f>IFERROR(__xludf.DUMMYFUNCTION("""COMPUTED_VALUE"""),"Unknown")</f>
        <v>Unknown</v>
      </c>
      <c r="AA316" s="1" t="str">
        <f>IFERROR(__xludf.DUMMYFUNCTION("""COMPUTED_VALUE"""),"")</f>
        <v/>
      </c>
      <c r="AB316" s="1" t="str">
        <f>IFERROR(__xludf.DUMMYFUNCTION("""COMPUTED_VALUE"""),"")</f>
        <v/>
      </c>
      <c r="AC316" s="1" t="str">
        <f>IFERROR(__xludf.DUMMYFUNCTION("""COMPUTED_VALUE"""),"")</f>
        <v/>
      </c>
      <c r="AD316" s="1" t="str">
        <f>IFERROR(__xludf.DUMMYFUNCTION("""COMPUTED_VALUE"""),"")</f>
        <v/>
      </c>
      <c r="AE316" s="1" t="str">
        <f>IFERROR(__xludf.DUMMYFUNCTION("""COMPUTED_VALUE"""),"")</f>
        <v/>
      </c>
      <c r="AF316" s="1" t="str">
        <f>IFERROR(__xludf.DUMMYFUNCTION("""COMPUTED_VALUE"""),"")</f>
        <v/>
      </c>
      <c r="AG316" s="1" t="str">
        <f>IFERROR(__xludf.DUMMYFUNCTION("""COMPUTED_VALUE"""),"Will employ ThermalWorks closed-loop, waterless cooling technologies and aims to deliver liquid-to-chip cooling")</f>
        <v>Will employ ThermalWorks closed-loop, waterless cooling technologies and aims to deliver liquid-to-chip cooling</v>
      </c>
      <c r="AH316" s="1" t="str">
        <f>IFERROR(__xludf.DUMMYFUNCTION("""COMPUTED_VALUE"""),"Media Monitoring")</f>
        <v>Media Monitoring</v>
      </c>
      <c r="AI316" s="2" t="str">
        <f>IFERROR(__xludf.DUMMYFUNCTION("""COMPUTED_VALUE"""),"https://datacenter.news/story/edged-expands-aurora-campus-with-waterless-ai-data-centre")</f>
        <v>https://datacenter.news/story/edged-expands-aurora-campus-with-waterless-ai-data-centre</v>
      </c>
      <c r="AJ316" s="1" t="str">
        <f>IFERROR(__xludf.DUMMYFUNCTION("""COMPUTED_VALUE"""),"")</f>
        <v/>
      </c>
      <c r="AK316" s="1" t="str">
        <f>IFERROR(__xludf.DUMMYFUNCTION("""COMPUTED_VALUE"""),"")</f>
        <v/>
      </c>
      <c r="AL316" s="1" t="str">
        <f>IFERROR(__xludf.DUMMYFUNCTION("""COMPUTED_VALUE"""),"")</f>
        <v/>
      </c>
      <c r="AM316" s="1" t="str">
        <f>IFERROR(__xludf.DUMMYFUNCTION("""COMPUTED_VALUE"""),"")</f>
        <v/>
      </c>
      <c r="AN316" s="1" t="str">
        <f>IFERROR(__xludf.DUMMYFUNCTION("""COMPUTED_VALUE"""),"")</f>
        <v/>
      </c>
      <c r="AO316" s="1" t="str">
        <f>IFERROR(__xludf.DUMMYFUNCTION("""COMPUTED_VALUE"""),"")</f>
        <v/>
      </c>
      <c r="AP316" s="1" t="str">
        <f>IFERROR(__xludf.DUMMYFUNCTION("""COMPUTED_VALUE"""),"")</f>
        <v/>
      </c>
      <c r="AQ316" s="1" t="str">
        <f>IFERROR(__xludf.DUMMYFUNCTION("""COMPUTED_VALUE"""),"11/26/2025")</f>
        <v>11/26/2025</v>
      </c>
      <c r="AR316" s="1" t="str">
        <f>IFERROR(__xludf.DUMMYFUNCTION("""COMPUTED_VALUE"""),"11/26/2025")</f>
        <v>11/26/2025</v>
      </c>
    </row>
    <row r="317">
      <c r="A317" s="1" t="str">
        <f>IFERROR(__xludf.DUMMYFUNCTION("""COMPUTED_VALUE"""),"US Signal Data Center")</f>
        <v>US Signal Data Center</v>
      </c>
      <c r="B317" s="1" t="str">
        <f>IFERROR(__xludf.DUMMYFUNCTION("""COMPUTED_VALUE"""),"4267 Meridian Pkwy")</f>
        <v>4267 Meridian Pkwy</v>
      </c>
      <c r="C317" s="1" t="str">
        <f>IFERROR(__xludf.DUMMYFUNCTION("""COMPUTED_VALUE"""),"Aurora")</f>
        <v>Aurora</v>
      </c>
      <c r="D317" s="1" t="str">
        <f>IFERROR(__xludf.DUMMYFUNCTION("""COMPUTED_VALUE"""),"IL")</f>
        <v>IL</v>
      </c>
      <c r="E317" s="1" t="str">
        <f>IFERROR(__xludf.DUMMYFUNCTION("""COMPUTED_VALUE"""),"60504")</f>
        <v>60504</v>
      </c>
      <c r="F317" s="1" t="str">
        <f>IFERROR(__xludf.DUMMYFUNCTION("""COMPUTED_VALUE"""),"Kane")</f>
        <v>Kane</v>
      </c>
      <c r="G317" s="1" t="str">
        <f>IFERROR(__xludf.DUMMYFUNCTION("""COMPUTED_VALUE"""),"41.772236")</f>
        <v>41.772236</v>
      </c>
      <c r="H317" s="1" t="str">
        <f>IFERROR(__xludf.DUMMYFUNCTION("""COMPUTED_VALUE"""),"-88.21706")</f>
        <v>-88.21706</v>
      </c>
      <c r="I317" s="1" t="str">
        <f>IFERROR(__xludf.DUMMYFUNCTION("""COMPUTED_VALUE"""),"Operating")</f>
        <v>Operating</v>
      </c>
      <c r="J317" s="1" t="str">
        <f>IFERROR(__xludf.DUMMYFUNCTION("""COMPUTED_VALUE"""),"High")</f>
        <v>High</v>
      </c>
      <c r="K317" s="1" t="str">
        <f>IFERROR(__xludf.DUMMYFUNCTION("""COMPUTED_VALUE"""),"")</f>
        <v/>
      </c>
      <c r="L317" s="1" t="str">
        <f>IFERROR(__xludf.DUMMYFUNCTION("""COMPUTED_VALUE"""),"")</f>
        <v/>
      </c>
      <c r="M317" s="1" t="str">
        <f>IFERROR(__xludf.DUMMYFUNCTION("""COMPUTED_VALUE"""),"")</f>
        <v/>
      </c>
      <c r="N317" s="1" t="str">
        <f>IFERROR(__xludf.DUMMYFUNCTION("""COMPUTED_VALUE"""),"1.35-6")</f>
        <v>1.35-6</v>
      </c>
      <c r="O317" s="1" t="str">
        <f>IFERROR(__xludf.DUMMYFUNCTION("""COMPUTED_VALUE"""),"Small (0-10 MW)")</f>
        <v>Small (0-10 MW)</v>
      </c>
      <c r="P317" s="1" t="str">
        <f>IFERROR(__xludf.DUMMYFUNCTION("""COMPUTED_VALUE"""),"")</f>
        <v/>
      </c>
      <c r="Q317" s="1" t="str">
        <f>IFERROR(__xludf.DUMMYFUNCTION("""COMPUTED_VALUE"""),"")</f>
        <v/>
      </c>
      <c r="R317" s="1" t="str">
        <f>IFERROR(__xludf.DUMMYFUNCTION("""COMPUTED_VALUE"""),"")</f>
        <v/>
      </c>
      <c r="S317" s="1" t="str">
        <f>IFERROR(__xludf.DUMMYFUNCTION("""COMPUTED_VALUE"""),"")</f>
        <v/>
      </c>
      <c r="T317" s="1" t="str">
        <f>IFERROR(__xludf.DUMMYFUNCTION("""COMPUTED_VALUE"""),"")</f>
        <v/>
      </c>
      <c r="U317" s="1" t="str">
        <f>IFERROR(__xludf.DUMMYFUNCTION("""COMPUTED_VALUE"""),"")</f>
        <v/>
      </c>
      <c r="V317" s="1" t="str">
        <f>IFERROR(__xludf.DUMMYFUNCTION("""COMPUTED_VALUE"""),"33,000")</f>
        <v>33,000</v>
      </c>
      <c r="W317" s="1" t="str">
        <f>IFERROR(__xludf.DUMMYFUNCTION("""COMPUTED_VALUE"""),"")</f>
        <v/>
      </c>
      <c r="X317" s="1" t="str">
        <f>IFERROR(__xludf.DUMMYFUNCTION("""COMPUTED_VALUE"""),"")</f>
        <v/>
      </c>
      <c r="Y317" s="1" t="str">
        <f>IFERROR(__xludf.DUMMYFUNCTION("""COMPUTED_VALUE"""),"")</f>
        <v/>
      </c>
      <c r="Z317" s="1" t="str">
        <f>IFERROR(__xludf.DUMMYFUNCTION("""COMPUTED_VALUE"""),"Unknown")</f>
        <v>Unknown</v>
      </c>
      <c r="AA317" s="1" t="str">
        <f>IFERROR(__xludf.DUMMYFUNCTION("""COMPUTED_VALUE"""),"")</f>
        <v/>
      </c>
      <c r="AB317" s="1" t="str">
        <f>IFERROR(__xludf.DUMMYFUNCTION("""COMPUTED_VALUE"""),"")</f>
        <v/>
      </c>
      <c r="AC317" s="1" t="str">
        <f>IFERROR(__xludf.DUMMYFUNCTION("""COMPUTED_VALUE"""),"")</f>
        <v/>
      </c>
      <c r="AD317" s="1" t="str">
        <f>IFERROR(__xludf.DUMMYFUNCTION("""COMPUTED_VALUE"""),"")</f>
        <v/>
      </c>
      <c r="AE317" s="1" t="str">
        <f>IFERROR(__xludf.DUMMYFUNCTION("""COMPUTED_VALUE"""),"")</f>
        <v/>
      </c>
      <c r="AF317" s="1" t="str">
        <f>IFERROR(__xludf.DUMMYFUNCTION("""COMPUTED_VALUE"""),"")</f>
        <v/>
      </c>
      <c r="AG317" s="1" t="str">
        <f>IFERROR(__xludf.DUMMYFUNCTION("""COMPUTED_VALUE"""),"")</f>
        <v/>
      </c>
      <c r="AH317" s="1" t="str">
        <f>IFERROR(__xludf.DUMMYFUNCTION("""COMPUTED_VALUE"""),"Media Monitoring")</f>
        <v>Media Monitoring</v>
      </c>
      <c r="AI317" s="2" t="str">
        <f>IFERROR(__xludf.DUMMYFUNCTION("""COMPUTED_VALUE"""),"https://www.datacenterdynamics.com/en/news/us-signal-acquires-data-center-in-aurora-illinois/")</f>
        <v>https://www.datacenterdynamics.com/en/news/us-signal-acquires-data-center-in-aurora-illinois/</v>
      </c>
      <c r="AJ317" s="1" t="str">
        <f>IFERROR(__xludf.DUMMYFUNCTION("""COMPUTED_VALUE"""),"")</f>
        <v/>
      </c>
      <c r="AK317" s="1" t="str">
        <f>IFERROR(__xludf.DUMMYFUNCTION("""COMPUTED_VALUE"""),"")</f>
        <v/>
      </c>
      <c r="AL317" s="1" t="str">
        <f>IFERROR(__xludf.DUMMYFUNCTION("""COMPUTED_VALUE"""),"")</f>
        <v/>
      </c>
      <c r="AM317" s="1" t="str">
        <f>IFERROR(__xludf.DUMMYFUNCTION("""COMPUTED_VALUE"""),"")</f>
        <v/>
      </c>
      <c r="AN317" s="1" t="str">
        <f>IFERROR(__xludf.DUMMYFUNCTION("""COMPUTED_VALUE"""),"")</f>
        <v/>
      </c>
      <c r="AO317" s="1" t="str">
        <f>IFERROR(__xludf.DUMMYFUNCTION("""COMPUTED_VALUE"""),"")</f>
        <v/>
      </c>
      <c r="AP317" s="1" t="str">
        <f>IFERROR(__xludf.DUMMYFUNCTION("""COMPUTED_VALUE"""),"")</f>
        <v/>
      </c>
      <c r="AQ317" s="1" t="str">
        <f>IFERROR(__xludf.DUMMYFUNCTION("""COMPUTED_VALUE"""),"03/04/2026")</f>
        <v>03/04/2026</v>
      </c>
      <c r="AR317" s="1" t="str">
        <f>IFERROR(__xludf.DUMMYFUNCTION("""COMPUTED_VALUE"""),"04/27/2026")</f>
        <v>04/27/2026</v>
      </c>
    </row>
    <row r="318">
      <c r="A318" s="1" t="str">
        <f>IFERROR(__xludf.DUMMYFUNCTION("""COMPUTED_VALUE"""),"Barrington Hills Data Center")</f>
        <v>Barrington Hills Data Center</v>
      </c>
      <c r="B318" s="1" t="str">
        <f>IFERROR(__xludf.DUMMYFUNCTION("""COMPUTED_VALUE"""),"Pond Gate Dr &amp; Penny Rd")</f>
        <v>Pond Gate Dr &amp; Penny Rd</v>
      </c>
      <c r="C318" s="1" t="str">
        <f>IFERROR(__xludf.DUMMYFUNCTION("""COMPUTED_VALUE"""),"Barrington Hills")</f>
        <v>Barrington Hills</v>
      </c>
      <c r="D318" s="1" t="str">
        <f>IFERROR(__xludf.DUMMYFUNCTION("""COMPUTED_VALUE"""),"IL")</f>
        <v>IL</v>
      </c>
      <c r="E318" s="1" t="str">
        <f>IFERROR(__xludf.DUMMYFUNCTION("""COMPUTED_VALUE"""),"60010")</f>
        <v>60010</v>
      </c>
      <c r="F318" s="1" t="str">
        <f>IFERROR(__xludf.DUMMYFUNCTION("""COMPUTED_VALUE"""),"Cook")</f>
        <v>Cook</v>
      </c>
      <c r="G318" s="1" t="str">
        <f>IFERROR(__xludf.DUMMYFUNCTION("""COMPUTED_VALUE"""),"42.102898")</f>
        <v>42.102898</v>
      </c>
      <c r="H318" s="1" t="str">
        <f>IFERROR(__xludf.DUMMYFUNCTION("""COMPUTED_VALUE"""),"-88.228096")</f>
        <v>-88.228096</v>
      </c>
      <c r="I318" s="1" t="str">
        <f>IFERROR(__xludf.DUMMYFUNCTION("""COMPUTED_VALUE"""),"Cancelled")</f>
        <v>Cancelled</v>
      </c>
      <c r="J318" s="1" t="str">
        <f>IFERROR(__xludf.DUMMYFUNCTION("""COMPUTED_VALUE"""),"High")</f>
        <v>High</v>
      </c>
      <c r="K318" s="1" t="str">
        <f>IFERROR(__xludf.DUMMYFUNCTION("""COMPUTED_VALUE"""),"")</f>
        <v/>
      </c>
      <c r="L318" s="1" t="str">
        <f>IFERROR(__xludf.DUMMYFUNCTION("""COMPUTED_VALUE"""),"")</f>
        <v/>
      </c>
      <c r="M318" s="1" t="str">
        <f>IFERROR(__xludf.DUMMYFUNCTION("""COMPUTED_VALUE"""),"")</f>
        <v/>
      </c>
      <c r="N318" s="1" t="str">
        <f>IFERROR(__xludf.DUMMYFUNCTION("""COMPUTED_VALUE"""),"")</f>
        <v/>
      </c>
      <c r="O318" s="1" t="str">
        <f>IFERROR(__xludf.DUMMYFUNCTION("""COMPUTED_VALUE"""),"Unknown")</f>
        <v>Unknown</v>
      </c>
      <c r="P318" s="1" t="str">
        <f>IFERROR(__xludf.DUMMYFUNCTION("""COMPUTED_VALUE"""),"")</f>
        <v/>
      </c>
      <c r="Q318" s="1" t="str">
        <f>IFERROR(__xludf.DUMMYFUNCTION("""COMPUTED_VALUE"""),"")</f>
        <v/>
      </c>
      <c r="R318" s="1" t="str">
        <f>IFERROR(__xludf.DUMMYFUNCTION("""COMPUTED_VALUE"""),"")</f>
        <v/>
      </c>
      <c r="S318" s="1" t="str">
        <f>IFERROR(__xludf.DUMMYFUNCTION("""COMPUTED_VALUE"""),"")</f>
        <v/>
      </c>
      <c r="T318" s="1" t="str">
        <f>IFERROR(__xludf.DUMMYFUNCTION("""COMPUTED_VALUE"""),"")</f>
        <v/>
      </c>
      <c r="U318" s="1" t="str">
        <f>IFERROR(__xludf.DUMMYFUNCTION("""COMPUTED_VALUE"""),"")</f>
        <v/>
      </c>
      <c r="V318" s="1" t="str">
        <f>IFERROR(__xludf.DUMMYFUNCTION("""COMPUTED_VALUE"""),"")</f>
        <v/>
      </c>
      <c r="W318" s="1" t="str">
        <f>IFERROR(__xludf.DUMMYFUNCTION("""COMPUTED_VALUE"""),"")</f>
        <v/>
      </c>
      <c r="X318" s="1" t="str">
        <f>IFERROR(__xludf.DUMMYFUNCTION("""COMPUTED_VALUE"""),"$2 billion")</f>
        <v>$2 billion</v>
      </c>
      <c r="Y318" s="1" t="str">
        <f>IFERROR(__xludf.DUMMYFUNCTION("""COMPUTED_VALUE"""),"")</f>
        <v/>
      </c>
      <c r="Z318" s="1" t="str">
        <f>IFERROR(__xludf.DUMMYFUNCTION("""COMPUTED_VALUE"""),"Yes")</f>
        <v>Yes</v>
      </c>
      <c r="AA318" s="1" t="str">
        <f>IFERROR(__xludf.DUMMYFUNCTION("""COMPUTED_VALUE"""),"Current advocacy regarding the Brennan Investment Group data center proposal in Barrington Hills focuses on maintaining a permanent rejection of the project, even after its formal withdrawal in late January 2026. While village officials consider the matte"&amp;"r ""closed,"" local advocates remain active to ensure the developer does not attempt to revive the plan or bypass local authority through annexation.")</f>
        <v>Current advocacy regarding the Brennan Investment Group data center proposal in Barrington Hills focuses on maintaining a permanent rejection of the project, even after its formal withdrawal in late January 2026. While village officials consider the matter "closed," local advocates remain active to ensure the developer does not attempt to revive the plan or bypass local authority through annexation.</v>
      </c>
      <c r="AB318" s="1" t="str">
        <f>IFERROR(__xludf.DUMMYFUNCTION("""COMPUTED_VALUE"""),"")</f>
        <v/>
      </c>
      <c r="AC318" s="1" t="str">
        <f>IFERROR(__xludf.DUMMYFUNCTION("""COMPUTED_VALUE"""),"")</f>
        <v/>
      </c>
      <c r="AD318" s="2" t="str">
        <f>IFERROR(__xludf.DUMMYFUNCTION("""COMPUTED_VALUE"""),"https://barringtonhills-il.gov/special-plan-commission-meeting-to-welcome-resident-input/")</f>
        <v>https://barringtonhills-il.gov/special-plan-commission-meeting-to-welcome-resident-input/</v>
      </c>
      <c r="AE318" s="1" t="str">
        <f>IFERROR(__xludf.DUMMYFUNCTION("""COMPUTED_VALUE"""),"")</f>
        <v/>
      </c>
      <c r="AF318" s="2" t="str">
        <f>IFERROR(__xludf.DUMMYFUNCTION("""COMPUTED_VALUE"""),"https://www.change.org/p/deny-data-centers-in-barrington-hills")</f>
        <v>https://www.change.org/p/deny-data-centers-in-barrington-hills</v>
      </c>
      <c r="AG318" s="1" t="str">
        <f>IFERROR(__xludf.DUMMYFUNCTION("""COMPUTED_VALUE"""),"")</f>
        <v/>
      </c>
      <c r="AH318" s="1" t="str">
        <f>IFERROR(__xludf.DUMMYFUNCTION("""COMPUTED_VALUE"""),"Media Monitoring")</f>
        <v>Media Monitoring</v>
      </c>
      <c r="AI318" s="2" t="str">
        <f>IFERROR(__xludf.DUMMYFUNCTION("""COMPUTED_VALUE"""),"https://www.shawlocal.com/northwest-herald/news/2026/01/29/2-billion-data-center-proposal-in-barrington-hills-withdrawn/")</f>
        <v>https://www.shawlocal.com/northwest-herald/news/2026/01/29/2-billion-data-center-proposal-in-barrington-hills-withdrawn/</v>
      </c>
      <c r="AJ318" s="2" t="str">
        <f>IFERROR(__xludf.DUMMYFUNCTION("""COMPUTED_VALUE"""),"https://www.datacenterdynamics.com/en/news/brennan-investment-group-withdraws-plans-for-2bn-data-center-outside-chicago-illinois/")</f>
        <v>https://www.datacenterdynamics.com/en/news/brennan-investment-group-withdraws-plans-for-2bn-data-center-outside-chicago-illinois/</v>
      </c>
      <c r="AK318" s="1" t="str">
        <f>IFERROR(__xludf.DUMMYFUNCTION("""COMPUTED_VALUE"""),"")</f>
        <v/>
      </c>
      <c r="AL318" s="1" t="str">
        <f>IFERROR(__xludf.DUMMYFUNCTION("""COMPUTED_VALUE"""),"")</f>
        <v/>
      </c>
      <c r="AM318" s="1" t="str">
        <f>IFERROR(__xludf.DUMMYFUNCTION("""COMPUTED_VALUE"""),"")</f>
        <v/>
      </c>
      <c r="AN318" s="1" t="str">
        <f>IFERROR(__xludf.DUMMYFUNCTION("""COMPUTED_VALUE"""),"")</f>
        <v/>
      </c>
      <c r="AO318" s="1" t="str">
        <f>IFERROR(__xludf.DUMMYFUNCTION("""COMPUTED_VALUE"""),"")</f>
        <v/>
      </c>
      <c r="AP318" s="1" t="str">
        <f>IFERROR(__xludf.DUMMYFUNCTION("""COMPUTED_VALUE"""),"")</f>
        <v/>
      </c>
      <c r="AQ318" s="1" t="str">
        <f>IFERROR(__xludf.DUMMYFUNCTION("""COMPUTED_VALUE"""),"02/16/2026")</f>
        <v>02/16/2026</v>
      </c>
      <c r="AR318" s="1" t="str">
        <f>IFERROR(__xludf.DUMMYFUNCTION("""COMPUTED_VALUE"""),"02/26/2026")</f>
        <v>02/26/2026</v>
      </c>
    </row>
    <row r="319">
      <c r="A319" s="1" t="str">
        <f>IFERROR(__xludf.DUMMYFUNCTION("""COMPUTED_VALUE"""),"Western Hospitality Partners Data Center")</f>
        <v>Western Hospitality Partners Data Center</v>
      </c>
      <c r="B319" s="1" t="str">
        <f>IFERROR(__xludf.DUMMYFUNCTION("""COMPUTED_VALUE"""),"near Interstate 55 and Reed Rd")</f>
        <v>near Interstate 55 and Reed Rd</v>
      </c>
      <c r="C319" s="1" t="str">
        <f>IFERROR(__xludf.DUMMYFUNCTION("""COMPUTED_VALUE"""),"Braidwood/ Braceville")</f>
        <v>Braidwood/ Braceville</v>
      </c>
      <c r="D319" s="1" t="str">
        <f>IFERROR(__xludf.DUMMYFUNCTION("""COMPUTED_VALUE"""),"IL")</f>
        <v>IL</v>
      </c>
      <c r="E319" s="1" t="str">
        <f>IFERROR(__xludf.DUMMYFUNCTION("""COMPUTED_VALUE"""),"60407")</f>
        <v>60407</v>
      </c>
      <c r="F319" s="1" t="str">
        <f>IFERROR(__xludf.DUMMYFUNCTION("""COMPUTED_VALUE"""),"Will")</f>
        <v>Will</v>
      </c>
      <c r="G319" s="1" t="str">
        <f>IFERROR(__xludf.DUMMYFUNCTION("""COMPUTED_VALUE"""),"41.256397")</f>
        <v>41.256397</v>
      </c>
      <c r="H319" s="1" t="str">
        <f>IFERROR(__xludf.DUMMYFUNCTION("""COMPUTED_VALUE"""),"-88.2417")</f>
        <v>-88.2417</v>
      </c>
      <c r="I319" s="1" t="str">
        <f>IFERROR(__xludf.DUMMYFUNCTION("""COMPUTED_VALUE"""),"Suspended")</f>
        <v>Suspended</v>
      </c>
      <c r="J319" s="1" t="str">
        <f>IFERROR(__xludf.DUMMYFUNCTION("""COMPUTED_VALUE"""),"High")</f>
        <v>High</v>
      </c>
      <c r="K319" s="1" t="str">
        <f>IFERROR(__xludf.DUMMYFUNCTION("""COMPUTED_VALUE"""),"")</f>
        <v/>
      </c>
      <c r="L319" s="1" t="str">
        <f>IFERROR(__xludf.DUMMYFUNCTION("""COMPUTED_VALUE"""),"")</f>
        <v/>
      </c>
      <c r="M319" s="1" t="str">
        <f>IFERROR(__xludf.DUMMYFUNCTION("""COMPUTED_VALUE"""),"")</f>
        <v/>
      </c>
      <c r="N319" s="1" t="str">
        <f>IFERROR(__xludf.DUMMYFUNCTION("""COMPUTED_VALUE"""),"")</f>
        <v/>
      </c>
      <c r="O319" s="1" t="str">
        <f>IFERROR(__xludf.DUMMYFUNCTION("""COMPUTED_VALUE"""),"Unknown")</f>
        <v>Unknown</v>
      </c>
      <c r="P319" s="1" t="str">
        <f>IFERROR(__xludf.DUMMYFUNCTION("""COMPUTED_VALUE"""),"")</f>
        <v/>
      </c>
      <c r="Q319" s="1" t="str">
        <f>IFERROR(__xludf.DUMMYFUNCTION("""COMPUTED_VALUE"""),"")</f>
        <v/>
      </c>
      <c r="R319" s="1" t="str">
        <f>IFERROR(__xludf.DUMMYFUNCTION("""COMPUTED_VALUE"""),"")</f>
        <v/>
      </c>
      <c r="S319" s="1" t="str">
        <f>IFERROR(__xludf.DUMMYFUNCTION("""COMPUTED_VALUE"""),"8")</f>
        <v>8</v>
      </c>
      <c r="T319" s="1" t="str">
        <f>IFERROR(__xludf.DUMMYFUNCTION("""COMPUTED_VALUE"""),"")</f>
        <v/>
      </c>
      <c r="U319" s="1" t="str">
        <f>IFERROR(__xludf.DUMMYFUNCTION("""COMPUTED_VALUE"""),"")</f>
        <v/>
      </c>
      <c r="V319" s="1" t="str">
        <f>IFERROR(__xludf.DUMMYFUNCTION("""COMPUTED_VALUE"""),"")</f>
        <v/>
      </c>
      <c r="W319" s="1" t="str">
        <f>IFERROR(__xludf.DUMMYFUNCTION("""COMPUTED_VALUE"""),"")</f>
        <v/>
      </c>
      <c r="X319" s="1" t="str">
        <f>IFERROR(__xludf.DUMMYFUNCTION("""COMPUTED_VALUE"""),"")</f>
        <v/>
      </c>
      <c r="Y319" s="1" t="str">
        <f>IFERROR(__xludf.DUMMYFUNCTION("""COMPUTED_VALUE"""),"")</f>
        <v/>
      </c>
      <c r="Z319" s="1" t="str">
        <f>IFERROR(__xludf.DUMMYFUNCTION("""COMPUTED_VALUE"""),"Unknown")</f>
        <v>Unknown</v>
      </c>
      <c r="AA319" s="1" t="str">
        <f>IFERROR(__xludf.DUMMYFUNCTION("""COMPUTED_VALUE"""),"")</f>
        <v/>
      </c>
      <c r="AB319" s="1" t="str">
        <f>IFERROR(__xludf.DUMMYFUNCTION("""COMPUTED_VALUE"""),"")</f>
        <v/>
      </c>
      <c r="AC319" s="1" t="str">
        <f>IFERROR(__xludf.DUMMYFUNCTION("""COMPUTED_VALUE"""),"")</f>
        <v/>
      </c>
      <c r="AD319" s="1" t="str">
        <f>IFERROR(__xludf.DUMMYFUNCTION("""COMPUTED_VALUE"""),"")</f>
        <v/>
      </c>
      <c r="AE319" s="1" t="str">
        <f>IFERROR(__xludf.DUMMYFUNCTION("""COMPUTED_VALUE"""),"")</f>
        <v/>
      </c>
      <c r="AF319" s="1" t="str">
        <f>IFERROR(__xludf.DUMMYFUNCTION("""COMPUTED_VALUE"""),"")</f>
        <v/>
      </c>
      <c r="AG319" s="1" t="str">
        <f>IFERROR(__xludf.DUMMYFUNCTION("""COMPUTED_VALUE"""),"Includes on-site substation")</f>
        <v>Includes on-site substation</v>
      </c>
      <c r="AH319" s="1" t="str">
        <f>IFERROR(__xludf.DUMMYFUNCTION("""COMPUTED_VALUE"""),"Media Monitoring")</f>
        <v>Media Monitoring</v>
      </c>
      <c r="AI319" s="2" t="str">
        <f>IFERROR(__xludf.DUMMYFUNCTION("""COMPUTED_VALUE"""),"https://www.datacenterdynamics.com/en/news/planned-data-center-project-outside-chicago-illinois-paused-due-to-energy-infrastructure/")</f>
        <v>https://www.datacenterdynamics.com/en/news/planned-data-center-project-outside-chicago-illinois-paused-due-to-energy-infrastructure/</v>
      </c>
      <c r="AJ319" s="1" t="str">
        <f>IFERROR(__xludf.DUMMYFUNCTION("""COMPUTED_VALUE"""),"")</f>
        <v/>
      </c>
      <c r="AK319" s="1" t="str">
        <f>IFERROR(__xludf.DUMMYFUNCTION("""COMPUTED_VALUE"""),"")</f>
        <v/>
      </c>
      <c r="AL319" s="1" t="str">
        <f>IFERROR(__xludf.DUMMYFUNCTION("""COMPUTED_VALUE"""),"")</f>
        <v/>
      </c>
      <c r="AM319" s="1" t="str">
        <f>IFERROR(__xludf.DUMMYFUNCTION("""COMPUTED_VALUE"""),"")</f>
        <v/>
      </c>
      <c r="AN319" s="1" t="str">
        <f>IFERROR(__xludf.DUMMYFUNCTION("""COMPUTED_VALUE"""),"")</f>
        <v/>
      </c>
      <c r="AO319" s="1" t="str">
        <f>IFERROR(__xludf.DUMMYFUNCTION("""COMPUTED_VALUE"""),"")</f>
        <v/>
      </c>
      <c r="AP319" s="1" t="str">
        <f>IFERROR(__xludf.DUMMYFUNCTION("""COMPUTED_VALUE"""),"")</f>
        <v/>
      </c>
      <c r="AQ319" s="1" t="str">
        <f>IFERROR(__xludf.DUMMYFUNCTION("""COMPUTED_VALUE"""),"01/26/2026")</f>
        <v>01/26/2026</v>
      </c>
      <c r="AR319" s="1" t="str">
        <f>IFERROR(__xludf.DUMMYFUNCTION("""COMPUTED_VALUE"""),"01/26/2026")</f>
        <v>01/26/2026</v>
      </c>
    </row>
    <row r="320">
      <c r="A320" s="1" t="str">
        <f>IFERROR(__xludf.DUMMYFUNCTION("""COMPUTED_VALUE"""),"HydraVault Data Center")</f>
        <v>HydraVault Data Center</v>
      </c>
      <c r="B320" s="1" t="str">
        <f>IFERROR(__xludf.DUMMYFUNCTION("""COMPUTED_VALUE"""),"2538 S Wabash Ave")</f>
        <v>2538 S Wabash Ave</v>
      </c>
      <c r="C320" s="1" t="str">
        <f>IFERROR(__xludf.DUMMYFUNCTION("""COMPUTED_VALUE"""),"Chicago")</f>
        <v>Chicago</v>
      </c>
      <c r="D320" s="1" t="str">
        <f>IFERROR(__xludf.DUMMYFUNCTION("""COMPUTED_VALUE"""),"IL")</f>
        <v>IL</v>
      </c>
      <c r="E320" s="1" t="str">
        <f>IFERROR(__xludf.DUMMYFUNCTION("""COMPUTED_VALUE"""),"60616")</f>
        <v>60616</v>
      </c>
      <c r="F320" s="1" t="str">
        <f>IFERROR(__xludf.DUMMYFUNCTION("""COMPUTED_VALUE"""),"Cook")</f>
        <v>Cook</v>
      </c>
      <c r="G320" s="1" t="str">
        <f>IFERROR(__xludf.DUMMYFUNCTION("""COMPUTED_VALUE"""),"41.84624")</f>
        <v>41.84624</v>
      </c>
      <c r="H320" s="1" t="str">
        <f>IFERROR(__xludf.DUMMYFUNCTION("""COMPUTED_VALUE"""),"-87.6257")</f>
        <v>-87.6257</v>
      </c>
      <c r="I320" s="1" t="str">
        <f>IFERROR(__xludf.DUMMYFUNCTION("""COMPUTED_VALUE"""),"Approved/Permitted/Under construction")</f>
        <v>Approved/Permitted/Under construction</v>
      </c>
      <c r="J320" s="1" t="str">
        <f>IFERROR(__xludf.DUMMYFUNCTION("""COMPUTED_VALUE"""),"High")</f>
        <v>High</v>
      </c>
      <c r="K320" s="1" t="str">
        <f>IFERROR(__xludf.DUMMYFUNCTION("""COMPUTED_VALUE"""),"")</f>
        <v/>
      </c>
      <c r="L320" s="1" t="str">
        <f>IFERROR(__xludf.DUMMYFUNCTION("""COMPUTED_VALUE"""),"")</f>
        <v/>
      </c>
      <c r="M320" s="1" t="str">
        <f>IFERROR(__xludf.DUMMYFUNCTION("""COMPUTED_VALUE"""),"")</f>
        <v/>
      </c>
      <c r="N320" s="1" t="str">
        <f>IFERROR(__xludf.DUMMYFUNCTION("""COMPUTED_VALUE"""),"20")</f>
        <v>20</v>
      </c>
      <c r="O320" s="1" t="str">
        <f>IFERROR(__xludf.DUMMYFUNCTION("""COMPUTED_VALUE"""),"Medium (11-50 MW)")</f>
        <v>Medium (11-50 MW)</v>
      </c>
      <c r="P320" s="1" t="str">
        <f>IFERROR(__xludf.DUMMYFUNCTION("""COMPUTED_VALUE"""),"")</f>
        <v/>
      </c>
      <c r="Q320" s="1" t="str">
        <f>IFERROR(__xludf.DUMMYFUNCTION("""COMPUTED_VALUE"""),"")</f>
        <v/>
      </c>
      <c r="R320" s="1" t="str">
        <f>IFERROR(__xludf.DUMMYFUNCTION("""COMPUTED_VALUE"""),"")</f>
        <v/>
      </c>
      <c r="S320" s="1" t="str">
        <f>IFERROR(__xludf.DUMMYFUNCTION("""COMPUTED_VALUE"""),"")</f>
        <v/>
      </c>
      <c r="T320" s="1" t="str">
        <f>IFERROR(__xludf.DUMMYFUNCTION("""COMPUTED_VALUE"""),"Air")</f>
        <v>Air</v>
      </c>
      <c r="U320" s="1" t="str">
        <f>IFERROR(__xludf.DUMMYFUNCTION("""COMPUTED_VALUE"""),"Closed loop")</f>
        <v>Closed loop</v>
      </c>
      <c r="V320" s="1" t="str">
        <f>IFERROR(__xludf.DUMMYFUNCTION("""COMPUTED_VALUE"""),"")</f>
        <v/>
      </c>
      <c r="W320" s="1" t="str">
        <f>IFERROR(__xludf.DUMMYFUNCTION("""COMPUTED_VALUE"""),"")</f>
        <v/>
      </c>
      <c r="X320" s="1" t="str">
        <f>IFERROR(__xludf.DUMMYFUNCTION("""COMPUTED_VALUE"""),"")</f>
        <v/>
      </c>
      <c r="Y320" s="1" t="str">
        <f>IFERROR(__xludf.DUMMYFUNCTION("""COMPUTED_VALUE"""),"")</f>
        <v/>
      </c>
      <c r="Z320" s="1" t="str">
        <f>IFERROR(__xludf.DUMMYFUNCTION("""COMPUTED_VALUE"""),"Yes")</f>
        <v>Yes</v>
      </c>
      <c r="AA320" s="1" t="str">
        <f>IFERROR(__xludf.DUMMYFUNCTION("""COMPUTED_VALUE"""),"Advocacy surrounding data centers in Illinois has intensified in early 2026, shifting from isolated local protests to a coordinated statewide legislative push.")</f>
        <v>Advocacy surrounding data centers in Illinois has intensified in early 2026, shifting from isolated local protests to a coordinated statewide legislative push.</v>
      </c>
      <c r="AB320" s="1" t="str">
        <f>IFERROR(__xludf.DUMMYFUNCTION("""COMPUTED_VALUE"""),"")</f>
        <v/>
      </c>
      <c r="AC320" s="1" t="str">
        <f>IFERROR(__xludf.DUMMYFUNCTION("""COMPUTED_VALUE"""),"")</f>
        <v/>
      </c>
      <c r="AD320" s="1" t="str">
        <f>IFERROR(__xludf.DUMMYFUNCTION("""COMPUTED_VALUE"""),"")</f>
        <v/>
      </c>
      <c r="AE320" s="1" t="str">
        <f>IFERROR(__xludf.DUMMYFUNCTION("""COMPUTED_VALUE"""),"")</f>
        <v/>
      </c>
      <c r="AF320" s="2" t="str">
        <f>IFERROR(__xludf.DUMMYFUNCTION("""COMPUTED_VALUE"""),"https://www.change.org/p/regulate-ai-data-centers-in-chicago")</f>
        <v>https://www.change.org/p/regulate-ai-data-centers-in-chicago</v>
      </c>
      <c r="AG320" s="1" t="str">
        <f>IFERROR(__xludf.DUMMYFUNCTION("""COMPUTED_VALUE"""),"liquid cooled chip technology")</f>
        <v>liquid cooled chip technology</v>
      </c>
      <c r="AH320" s="1" t="str">
        <f>IFERROR(__xludf.DUMMYFUNCTION("""COMPUTED_VALUE"""),"Media Monitoring")</f>
        <v>Media Monitoring</v>
      </c>
      <c r="AI320" s="2" t="str">
        <f>IFERROR(__xludf.DUMMYFUNCTION("""COMPUTED_VALUE"""),"https://www.datacenterdynamics.com/en/news/new-firm-announces-plans-for-20mw-liquid-cooled-data-center-in-chicago/")</f>
        <v>https://www.datacenterdynamics.com/en/news/new-firm-announces-plans-for-20mw-liquid-cooled-data-center-in-chicago/</v>
      </c>
      <c r="AJ320" s="1" t="str">
        <f>IFERROR(__xludf.DUMMYFUNCTION("""COMPUTED_VALUE"""),"")</f>
        <v/>
      </c>
      <c r="AK320" s="1" t="str">
        <f>IFERROR(__xludf.DUMMYFUNCTION("""COMPUTED_VALUE"""),"")</f>
        <v/>
      </c>
      <c r="AL320" s="1" t="str">
        <f>IFERROR(__xludf.DUMMYFUNCTION("""COMPUTED_VALUE"""),"")</f>
        <v/>
      </c>
      <c r="AM320" s="1" t="str">
        <f>IFERROR(__xludf.DUMMYFUNCTION("""COMPUTED_VALUE"""),"")</f>
        <v/>
      </c>
      <c r="AN320" s="1" t="str">
        <f>IFERROR(__xludf.DUMMYFUNCTION("""COMPUTED_VALUE"""),"")</f>
        <v/>
      </c>
      <c r="AO320" s="1" t="str">
        <f>IFERROR(__xludf.DUMMYFUNCTION("""COMPUTED_VALUE"""),"")</f>
        <v/>
      </c>
      <c r="AP320" s="1" t="str">
        <f>IFERROR(__xludf.DUMMYFUNCTION("""COMPUTED_VALUE"""),"")</f>
        <v/>
      </c>
      <c r="AQ320" s="1" t="str">
        <f>IFERROR(__xludf.DUMMYFUNCTION("""COMPUTED_VALUE"""),"09/17/2025")</f>
        <v>09/17/2025</v>
      </c>
      <c r="AR320" s="1" t="str">
        <f>IFERROR(__xludf.DUMMYFUNCTION("""COMPUTED_VALUE"""),"02/11/2026")</f>
        <v>02/11/2026</v>
      </c>
    </row>
    <row r="321">
      <c r="A321" s="1" t="str">
        <f>IFERROR(__xludf.DUMMYFUNCTION("""COMPUTED_VALUE"""),"Karis Critical Data Center")</f>
        <v>Karis Critical Data Center</v>
      </c>
      <c r="B321" s="1" t="str">
        <f>IFERROR(__xludf.DUMMYFUNCTION("""COMPUTED_VALUE"""),"E Gurler and S Peace Rds")</f>
        <v>E Gurler and S Peace Rds</v>
      </c>
      <c r="C321" s="1" t="str">
        <f>IFERROR(__xludf.DUMMYFUNCTION("""COMPUTED_VALUE"""),"Dekalb")</f>
        <v>Dekalb</v>
      </c>
      <c r="D321" s="1" t="str">
        <f>IFERROR(__xludf.DUMMYFUNCTION("""COMPUTED_VALUE"""),"IL")</f>
        <v>IL</v>
      </c>
      <c r="E321" s="1" t="str">
        <f>IFERROR(__xludf.DUMMYFUNCTION("""COMPUTED_VALUE"""),"60115")</f>
        <v>60115</v>
      </c>
      <c r="F321" s="1" t="str">
        <f>IFERROR(__xludf.DUMMYFUNCTION("""COMPUTED_VALUE"""),"DeKalb")</f>
        <v>DeKalb</v>
      </c>
      <c r="G321" s="1" t="str">
        <f>IFERROR(__xludf.DUMMYFUNCTION("""COMPUTED_VALUE"""),"41.894")</f>
        <v>41.894</v>
      </c>
      <c r="H321" s="1" t="str">
        <f>IFERROR(__xludf.DUMMYFUNCTION("""COMPUTED_VALUE"""),"-88.7222")</f>
        <v>-88.7222</v>
      </c>
      <c r="I321" s="1" t="str">
        <f>IFERROR(__xludf.DUMMYFUNCTION("""COMPUTED_VALUE"""),"Proposed")</f>
        <v>Proposed</v>
      </c>
      <c r="J321" s="1" t="str">
        <f>IFERROR(__xludf.DUMMYFUNCTION("""COMPUTED_VALUE"""),"Medium")</f>
        <v>Medium</v>
      </c>
      <c r="K321" s="1" t="str">
        <f>IFERROR(__xludf.DUMMYFUNCTION("""COMPUTED_VALUE"""),"")</f>
        <v/>
      </c>
      <c r="L321" s="1" t="str">
        <f>IFERROR(__xludf.DUMMYFUNCTION("""COMPUTED_VALUE"""),"")</f>
        <v/>
      </c>
      <c r="M321" s="1" t="str">
        <f>IFERROR(__xludf.DUMMYFUNCTION("""COMPUTED_VALUE"""),"")</f>
        <v/>
      </c>
      <c r="N321" s="1" t="str">
        <f>IFERROR(__xludf.DUMMYFUNCTION("""COMPUTED_VALUE"""),"")</f>
        <v/>
      </c>
      <c r="O321" s="1" t="str">
        <f>IFERROR(__xludf.DUMMYFUNCTION("""COMPUTED_VALUE"""),"Unknown")</f>
        <v>Unknown</v>
      </c>
      <c r="P321" s="1" t="str">
        <f>IFERROR(__xludf.DUMMYFUNCTION("""COMPUTED_VALUE"""),"")</f>
        <v/>
      </c>
      <c r="Q321" s="1" t="str">
        <f>IFERROR(__xludf.DUMMYFUNCTION("""COMPUTED_VALUE"""),"")</f>
        <v/>
      </c>
      <c r="R321" s="1" t="str">
        <f>IFERROR(__xludf.DUMMYFUNCTION("""COMPUTED_VALUE"""),"")</f>
        <v/>
      </c>
      <c r="S321" s="1" t="str">
        <f>IFERROR(__xludf.DUMMYFUNCTION("""COMPUTED_VALUE"""),"7")</f>
        <v>7</v>
      </c>
      <c r="T321" s="1" t="str">
        <f>IFERROR(__xludf.DUMMYFUNCTION("""COMPUTED_VALUE"""),"")</f>
        <v/>
      </c>
      <c r="U321" s="1" t="str">
        <f>IFERROR(__xludf.DUMMYFUNCTION("""COMPUTED_VALUE"""),"")</f>
        <v/>
      </c>
      <c r="V321" s="1" t="str">
        <f>IFERROR(__xludf.DUMMYFUNCTION("""COMPUTED_VALUE"""),"1,750,000")</f>
        <v>1,750,000</v>
      </c>
      <c r="W321" s="1" t="str">
        <f>IFERROR(__xludf.DUMMYFUNCTION("""COMPUTED_VALUE"""),"132")</f>
        <v>132</v>
      </c>
      <c r="X321" s="1" t="str">
        <f>IFERROR(__xludf.DUMMYFUNCTION("""COMPUTED_VALUE"""),"")</f>
        <v/>
      </c>
      <c r="Y321" s="1" t="str">
        <f>IFERROR(__xludf.DUMMYFUNCTION("""COMPUTED_VALUE"""),"")</f>
        <v/>
      </c>
      <c r="Z321" s="1" t="str">
        <f>IFERROR(__xludf.DUMMYFUNCTION("""COMPUTED_VALUE"""),"Unknown")</f>
        <v>Unknown</v>
      </c>
      <c r="AA321" s="1" t="str">
        <f>IFERROR(__xludf.DUMMYFUNCTION("""COMPUTED_VALUE"""),"")</f>
        <v/>
      </c>
      <c r="AB321" s="1" t="str">
        <f>IFERROR(__xludf.DUMMYFUNCTION("""COMPUTED_VALUE"""),"")</f>
        <v/>
      </c>
      <c r="AC321" s="1" t="str">
        <f>IFERROR(__xludf.DUMMYFUNCTION("""COMPUTED_VALUE"""),"")</f>
        <v/>
      </c>
      <c r="AD321" s="1" t="str">
        <f>IFERROR(__xludf.DUMMYFUNCTION("""COMPUTED_VALUE"""),"")</f>
        <v/>
      </c>
      <c r="AE321" s="1" t="str">
        <f>IFERROR(__xludf.DUMMYFUNCTION("""COMPUTED_VALUE"""),"")</f>
        <v/>
      </c>
      <c r="AF321" s="1" t="str">
        <f>IFERROR(__xludf.DUMMYFUNCTION("""COMPUTED_VALUE"""),"")</f>
        <v/>
      </c>
      <c r="AG321" s="1" t="str">
        <f>IFERROR(__xludf.DUMMYFUNCTION("""COMPUTED_VALUE"""),"20-acre substation possibly being constructed on site")</f>
        <v>20-acre substation possibly being constructed on site</v>
      </c>
      <c r="AH321" s="1" t="str">
        <f>IFERROR(__xludf.DUMMYFUNCTION("""COMPUTED_VALUE"""),"Media Monitoring")</f>
        <v>Media Monitoring</v>
      </c>
      <c r="AI321" s="2" t="str">
        <f>IFERROR(__xludf.DUMMYFUNCTION("""COMPUTED_VALUE"""),"https://www.datacenterdynamics.com/en/news/seven-building-data-center-campus-gets-preliminary-ok-from-illinois-planning-commission/")</f>
        <v>https://www.datacenterdynamics.com/en/news/seven-building-data-center-campus-gets-preliminary-ok-from-illinois-planning-commission/</v>
      </c>
      <c r="AJ321" s="1" t="str">
        <f>IFERROR(__xludf.DUMMYFUNCTION("""COMPUTED_VALUE"""),"")</f>
        <v/>
      </c>
      <c r="AK321" s="1" t="str">
        <f>IFERROR(__xludf.DUMMYFUNCTION("""COMPUTED_VALUE"""),"")</f>
        <v/>
      </c>
      <c r="AL321" s="1" t="str">
        <f>IFERROR(__xludf.DUMMYFUNCTION("""COMPUTED_VALUE"""),"")</f>
        <v/>
      </c>
      <c r="AM321" s="1" t="str">
        <f>IFERROR(__xludf.DUMMYFUNCTION("""COMPUTED_VALUE"""),"")</f>
        <v/>
      </c>
      <c r="AN321" s="1" t="str">
        <f>IFERROR(__xludf.DUMMYFUNCTION("""COMPUTED_VALUE"""),"")</f>
        <v/>
      </c>
      <c r="AO321" s="1" t="str">
        <f>IFERROR(__xludf.DUMMYFUNCTION("""COMPUTED_VALUE"""),"")</f>
        <v/>
      </c>
      <c r="AP321" s="1" t="str">
        <f>IFERROR(__xludf.DUMMYFUNCTION("""COMPUTED_VALUE"""),"")</f>
        <v/>
      </c>
      <c r="AQ321" s="1" t="str">
        <f>IFERROR(__xludf.DUMMYFUNCTION("""COMPUTED_VALUE"""),"09/03/2025")</f>
        <v>09/03/2025</v>
      </c>
      <c r="AR321" s="1" t="str">
        <f>IFERROR(__xludf.DUMMYFUNCTION("""COMPUTED_VALUE"""),"09/03/2025")</f>
        <v>09/03/2025</v>
      </c>
    </row>
    <row r="322">
      <c r="A322" s="1" t="str">
        <f>IFERROR(__xludf.DUMMYFUNCTION("""COMPUTED_VALUE"""),"DKL Meta Data Center")</f>
        <v>DKL Meta Data Center</v>
      </c>
      <c r="B322" s="1" t="str">
        <f>IFERROR(__xludf.DUMMYFUNCTION("""COMPUTED_VALUE"""),"2002 E Gurler Rd")</f>
        <v>2002 E Gurler Rd</v>
      </c>
      <c r="C322" s="1" t="str">
        <f>IFERROR(__xludf.DUMMYFUNCTION("""COMPUTED_VALUE"""),"DeKalb")</f>
        <v>DeKalb</v>
      </c>
      <c r="D322" s="1" t="str">
        <f>IFERROR(__xludf.DUMMYFUNCTION("""COMPUTED_VALUE"""),"IL")</f>
        <v>IL</v>
      </c>
      <c r="E322" s="1" t="str">
        <f>IFERROR(__xludf.DUMMYFUNCTION("""COMPUTED_VALUE"""),"60115")</f>
        <v>60115</v>
      </c>
      <c r="F322" s="1" t="str">
        <f>IFERROR(__xludf.DUMMYFUNCTION("""COMPUTED_VALUE"""),"DeKalb")</f>
        <v>DeKalb</v>
      </c>
      <c r="G322" s="1" t="str">
        <f>IFERROR(__xludf.DUMMYFUNCTION("""COMPUTED_VALUE"""),"41.89183")</f>
        <v>41.89183</v>
      </c>
      <c r="H322" s="1" t="str">
        <f>IFERROR(__xludf.DUMMYFUNCTION("""COMPUTED_VALUE"""),"-88.7238")</f>
        <v>-88.7238</v>
      </c>
      <c r="I322" s="1" t="str">
        <f>IFERROR(__xludf.DUMMYFUNCTION("""COMPUTED_VALUE"""),"Operating")</f>
        <v>Operating</v>
      </c>
      <c r="J322" s="1" t="str">
        <f>IFERROR(__xludf.DUMMYFUNCTION("""COMPUTED_VALUE"""),"High")</f>
        <v>High</v>
      </c>
      <c r="K322" s="1" t="str">
        <f>IFERROR(__xludf.DUMMYFUNCTION("""COMPUTED_VALUE"""),"")</f>
        <v/>
      </c>
      <c r="L322" s="1" t="str">
        <f>IFERROR(__xludf.DUMMYFUNCTION("""COMPUTED_VALUE"""),"Meta")</f>
        <v>Meta</v>
      </c>
      <c r="M322" s="1" t="str">
        <f>IFERROR(__xludf.DUMMYFUNCTION("""COMPUTED_VALUE"""),"")</f>
        <v/>
      </c>
      <c r="N322" s="1" t="str">
        <f>IFERROR(__xludf.DUMMYFUNCTION("""COMPUTED_VALUE"""),"")</f>
        <v/>
      </c>
      <c r="O322" s="1" t="str">
        <f>IFERROR(__xludf.DUMMYFUNCTION("""COMPUTED_VALUE"""),"Hyperscale (100-999 MW)")</f>
        <v>Hyperscale (100-999 MW)</v>
      </c>
      <c r="P322" s="1" t="str">
        <f>IFERROR(__xludf.DUMMYFUNCTION("""COMPUTED_VALUE"""),"")</f>
        <v/>
      </c>
      <c r="Q322" s="1" t="str">
        <f>IFERROR(__xludf.DUMMYFUNCTION("""COMPUTED_VALUE"""),"")</f>
        <v/>
      </c>
      <c r="R322" s="1" t="str">
        <f>IFERROR(__xludf.DUMMYFUNCTION("""COMPUTED_VALUE"""),"")</f>
        <v/>
      </c>
      <c r="S322" s="1" t="str">
        <f>IFERROR(__xludf.DUMMYFUNCTION("""COMPUTED_VALUE"""),"5")</f>
        <v>5</v>
      </c>
      <c r="T322" s="1" t="str">
        <f>IFERROR(__xludf.DUMMYFUNCTION("""COMPUTED_VALUE"""),"")</f>
        <v/>
      </c>
      <c r="U322" s="1" t="str">
        <f>IFERROR(__xludf.DUMMYFUNCTION("""COMPUTED_VALUE"""),"")</f>
        <v/>
      </c>
      <c r="V322" s="1" t="str">
        <f>IFERROR(__xludf.DUMMYFUNCTION("""COMPUTED_VALUE"""),"")</f>
        <v/>
      </c>
      <c r="W322" s="1" t="str">
        <f>IFERROR(__xludf.DUMMYFUNCTION("""COMPUTED_VALUE"""),"")</f>
        <v/>
      </c>
      <c r="X322" s="1" t="str">
        <f>IFERROR(__xludf.DUMMYFUNCTION("""COMPUTED_VALUE"""),"$1 billion")</f>
        <v>$1 billion</v>
      </c>
      <c r="Y322" s="1" t="str">
        <f>IFERROR(__xludf.DUMMYFUNCTION("""COMPUTED_VALUE"""),"")</f>
        <v/>
      </c>
      <c r="Z322" s="1" t="str">
        <f>IFERROR(__xludf.DUMMYFUNCTION("""COMPUTED_VALUE"""),"Unknown")</f>
        <v>Unknown</v>
      </c>
      <c r="AA322" s="1" t="str">
        <f>IFERROR(__xludf.DUMMYFUNCTION("""COMPUTED_VALUE"""),"")</f>
        <v/>
      </c>
      <c r="AB322" s="1" t="str">
        <f>IFERROR(__xludf.DUMMYFUNCTION("""COMPUTED_VALUE"""),"")</f>
        <v/>
      </c>
      <c r="AC322" s="1" t="str">
        <f>IFERROR(__xludf.DUMMYFUNCTION("""COMPUTED_VALUE"""),"")</f>
        <v/>
      </c>
      <c r="AD322" s="1" t="str">
        <f>IFERROR(__xludf.DUMMYFUNCTION("""COMPUTED_VALUE"""),"")</f>
        <v/>
      </c>
      <c r="AE322" s="1" t="str">
        <f>IFERROR(__xludf.DUMMYFUNCTION("""COMPUTED_VALUE"""),"")</f>
        <v/>
      </c>
      <c r="AF322" s="1" t="str">
        <f>IFERROR(__xludf.DUMMYFUNCTION("""COMPUTED_VALUE"""),"")</f>
        <v/>
      </c>
      <c r="AG322" s="1" t="str">
        <f>IFERROR(__xludf.DUMMYFUNCTION("""COMPUTED_VALUE"""),"")</f>
        <v/>
      </c>
      <c r="AH322" s="1" t="str">
        <f>IFERROR(__xludf.DUMMYFUNCTION("""COMPUTED_VALUE"""),"Crowdsourced")</f>
        <v>Crowdsourced</v>
      </c>
      <c r="AI322" s="2" t="str">
        <f>IFERROR(__xludf.DUMMYFUNCTION("""COMPUTED_VALUE"""),"https://datacenters.atmeta.com/2023/11/dekalb-we-are-online/")</f>
        <v>https://datacenters.atmeta.com/2023/11/dekalb-we-are-online/</v>
      </c>
      <c r="AJ322" s="1" t="str">
        <f>IFERROR(__xludf.DUMMYFUNCTION("""COMPUTED_VALUE"""),"")</f>
        <v/>
      </c>
      <c r="AK322" s="1" t="str">
        <f>IFERROR(__xludf.DUMMYFUNCTION("""COMPUTED_VALUE"""),"")</f>
        <v/>
      </c>
      <c r="AL322" s="1" t="str">
        <f>IFERROR(__xludf.DUMMYFUNCTION("""COMPUTED_VALUE"""),"")</f>
        <v/>
      </c>
      <c r="AM322" s="1" t="str">
        <f>IFERROR(__xludf.DUMMYFUNCTION("""COMPUTED_VALUE"""),"")</f>
        <v/>
      </c>
      <c r="AN322" s="1" t="str">
        <f>IFERROR(__xludf.DUMMYFUNCTION("""COMPUTED_VALUE"""),"")</f>
        <v/>
      </c>
      <c r="AO322" s="1" t="str">
        <f>IFERROR(__xludf.DUMMYFUNCTION("""COMPUTED_VALUE"""),"")</f>
        <v/>
      </c>
      <c r="AP322" s="1" t="str">
        <f>IFERROR(__xludf.DUMMYFUNCTION("""COMPUTED_VALUE"""),"")</f>
        <v/>
      </c>
      <c r="AQ322" s="1" t="str">
        <f>IFERROR(__xludf.DUMMYFUNCTION("""COMPUTED_VALUE"""),"06/15/2026")</f>
        <v>06/15/2026</v>
      </c>
      <c r="AR322" s="1" t="str">
        <f>IFERROR(__xludf.DUMMYFUNCTION("""COMPUTED_VALUE"""),"06/15/2026")</f>
        <v>06/15/2026</v>
      </c>
    </row>
    <row r="323">
      <c r="A323" s="1" t="str">
        <f>IFERROR(__xludf.DUMMYFUNCTION("""COMPUTED_VALUE"""),"Meta DeKalb Data Center")</f>
        <v>Meta DeKalb Data Center</v>
      </c>
      <c r="B323" s="1" t="str">
        <f>IFERROR(__xludf.DUMMYFUNCTION("""COMPUTED_VALUE"""),"near Devonaire Pkwy and S. Malta Rd")</f>
        <v>near Devonaire Pkwy and S. Malta Rd</v>
      </c>
      <c r="C323" s="1" t="str">
        <f>IFERROR(__xludf.DUMMYFUNCTION("""COMPUTED_VALUE"""),"DeKalb")</f>
        <v>DeKalb</v>
      </c>
      <c r="D323" s="1" t="str">
        <f>IFERROR(__xludf.DUMMYFUNCTION("""COMPUTED_VALUE"""),"IL")</f>
        <v>IL</v>
      </c>
      <c r="E323" s="1" t="str">
        <f>IFERROR(__xludf.DUMMYFUNCTION("""COMPUTED_VALUE"""),"60115")</f>
        <v>60115</v>
      </c>
      <c r="F323" s="1" t="str">
        <f>IFERROR(__xludf.DUMMYFUNCTION("""COMPUTED_VALUE"""),"DeKalb")</f>
        <v>DeKalb</v>
      </c>
      <c r="G323" s="1" t="str">
        <f>IFERROR(__xludf.DUMMYFUNCTION("""COMPUTED_VALUE"""),"41.92591")</f>
        <v>41.92591</v>
      </c>
      <c r="H323" s="1" t="str">
        <f>IFERROR(__xludf.DUMMYFUNCTION("""COMPUTED_VALUE"""),"-88.79564")</f>
        <v>-88.79564</v>
      </c>
      <c r="I323" s="1" t="str">
        <f>IFERROR(__xludf.DUMMYFUNCTION("""COMPUTED_VALUE"""),"Approved/Permitted/Under construction")</f>
        <v>Approved/Permitted/Under construction</v>
      </c>
      <c r="J323" s="1" t="str">
        <f>IFERROR(__xludf.DUMMYFUNCTION("""COMPUTED_VALUE"""),"Medium")</f>
        <v>Medium</v>
      </c>
      <c r="K323" s="1" t="str">
        <f>IFERROR(__xludf.DUMMYFUNCTION("""COMPUTED_VALUE"""),"")</f>
        <v/>
      </c>
      <c r="L323" s="1" t="str">
        <f>IFERROR(__xludf.DUMMYFUNCTION("""COMPUTED_VALUE"""),"Meta")</f>
        <v>Meta</v>
      </c>
      <c r="M323" s="1" t="str">
        <f>IFERROR(__xludf.DUMMYFUNCTION("""COMPUTED_VALUE"""),"")</f>
        <v/>
      </c>
      <c r="N323" s="1" t="str">
        <f>IFERROR(__xludf.DUMMYFUNCTION("""COMPUTED_VALUE"""),"250")</f>
        <v>250</v>
      </c>
      <c r="O323" s="1" t="str">
        <f>IFERROR(__xludf.DUMMYFUNCTION("""COMPUTED_VALUE"""),"Hyperscale (100-999 MW)")</f>
        <v>Hyperscale (100-999 MW)</v>
      </c>
      <c r="P323" s="1" t="str">
        <f>IFERROR(__xludf.DUMMYFUNCTION("""COMPUTED_VALUE"""),"")</f>
        <v/>
      </c>
      <c r="Q323" s="1" t="str">
        <f>IFERROR(__xludf.DUMMYFUNCTION("""COMPUTED_VALUE"""),"")</f>
        <v/>
      </c>
      <c r="R323" s="1" t="str">
        <f>IFERROR(__xludf.DUMMYFUNCTION("""COMPUTED_VALUE"""),"")</f>
        <v/>
      </c>
      <c r="S323" s="1" t="str">
        <f>IFERROR(__xludf.DUMMYFUNCTION("""COMPUTED_VALUE"""),"")</f>
        <v/>
      </c>
      <c r="T323" s="1" t="str">
        <f>IFERROR(__xludf.DUMMYFUNCTION("""COMPUTED_VALUE"""),"")</f>
        <v/>
      </c>
      <c r="U323" s="1" t="str">
        <f>IFERROR(__xludf.DUMMYFUNCTION("""COMPUTED_VALUE"""),"")</f>
        <v/>
      </c>
      <c r="V323" s="1" t="str">
        <f>IFERROR(__xludf.DUMMYFUNCTION("""COMPUTED_VALUE"""),"")</f>
        <v/>
      </c>
      <c r="W323" s="1" t="str">
        <f>IFERROR(__xludf.DUMMYFUNCTION("""COMPUTED_VALUE"""),"")</f>
        <v/>
      </c>
      <c r="X323" s="1" t="str">
        <f>IFERROR(__xludf.DUMMYFUNCTION("""COMPUTED_VALUE"""),"")</f>
        <v/>
      </c>
      <c r="Y323" s="1" t="str">
        <f>IFERROR(__xludf.DUMMYFUNCTION("""COMPUTED_VALUE"""),"2028")</f>
        <v>2028</v>
      </c>
      <c r="Z323" s="1" t="str">
        <f>IFERROR(__xludf.DUMMYFUNCTION("""COMPUTED_VALUE"""),"Unknown")</f>
        <v>Unknown</v>
      </c>
      <c r="AA323" s="1" t="str">
        <f>IFERROR(__xludf.DUMMYFUNCTION("""COMPUTED_VALUE"""),"")</f>
        <v/>
      </c>
      <c r="AB323" s="1" t="str">
        <f>IFERROR(__xludf.DUMMYFUNCTION("""COMPUTED_VALUE"""),"")</f>
        <v/>
      </c>
      <c r="AC323" s="1" t="str">
        <f>IFERROR(__xludf.DUMMYFUNCTION("""COMPUTED_VALUE"""),"")</f>
        <v/>
      </c>
      <c r="AD323" s="1" t="str">
        <f>IFERROR(__xludf.DUMMYFUNCTION("""COMPUTED_VALUE"""),"")</f>
        <v/>
      </c>
      <c r="AE323" s="1" t="str">
        <f>IFERROR(__xludf.DUMMYFUNCTION("""COMPUTED_VALUE"""),"")</f>
        <v/>
      </c>
      <c r="AF323" s="1" t="str">
        <f>IFERROR(__xludf.DUMMYFUNCTION("""COMPUTED_VALUE"""),"")</f>
        <v/>
      </c>
      <c r="AG323" s="1" t="str">
        <f>IFERROR(__xludf.DUMMYFUNCTION("""COMPUTED_VALUE"""),"")</f>
        <v/>
      </c>
      <c r="AH323" s="1" t="str">
        <f>IFERROR(__xludf.DUMMYFUNCTION("""COMPUTED_VALUE"""),"Media Monitoring")</f>
        <v>Media Monitoring</v>
      </c>
      <c r="AI323" s="2" t="str">
        <f>IFERROR(__xludf.DUMMYFUNCTION("""COMPUTED_VALUE"""),"https://poweredbywho.com/projects/meta-dekalb-data-center-fc313cee")</f>
        <v>https://poweredbywho.com/projects/meta-dekalb-data-center-fc313cee</v>
      </c>
      <c r="AJ323" s="2" t="str">
        <f>IFERROR(__xludf.DUMMYFUNCTION("""COMPUTED_VALUE"""),"https://usdatamap.com/facility/meta-dekalb-il-il-meta-8")</f>
        <v>https://usdatamap.com/facility/meta-dekalb-il-il-meta-8</v>
      </c>
      <c r="AK323" s="1" t="str">
        <f>IFERROR(__xludf.DUMMYFUNCTION("""COMPUTED_VALUE"""),"")</f>
        <v/>
      </c>
      <c r="AL323" s="1" t="str">
        <f>IFERROR(__xludf.DUMMYFUNCTION("""COMPUTED_VALUE"""),"")</f>
        <v/>
      </c>
      <c r="AM323" s="1" t="str">
        <f>IFERROR(__xludf.DUMMYFUNCTION("""COMPUTED_VALUE"""),"")</f>
        <v/>
      </c>
      <c r="AN323" s="1" t="str">
        <f>IFERROR(__xludf.DUMMYFUNCTION("""COMPUTED_VALUE"""),"")</f>
        <v/>
      </c>
      <c r="AO323" s="1" t="str">
        <f>IFERROR(__xludf.DUMMYFUNCTION("""COMPUTED_VALUE"""),"")</f>
        <v/>
      </c>
      <c r="AP323" s="1" t="str">
        <f>IFERROR(__xludf.DUMMYFUNCTION("""COMPUTED_VALUE"""),"")</f>
        <v/>
      </c>
      <c r="AQ323" s="1" t="str">
        <f>IFERROR(__xludf.DUMMYFUNCTION("""COMPUTED_VALUE"""),"06/15/2026")</f>
        <v>06/15/2026</v>
      </c>
      <c r="AR323" s="1" t="str">
        <f>IFERROR(__xludf.DUMMYFUNCTION("""COMPUTED_VALUE"""),"06/15/2026")</f>
        <v>06/15/2026</v>
      </c>
    </row>
    <row r="324">
      <c r="A324" s="1" t="str">
        <f>IFERROR(__xludf.DUMMYFUNCTION("""COMPUTED_VALUE"""),"Karis Data Center")</f>
        <v>Karis Data Center</v>
      </c>
      <c r="B324" s="1" t="str">
        <f>IFERROR(__xludf.DUMMYFUNCTION("""COMPUTED_VALUE"""),"4800 W Higgins Rd")</f>
        <v>4800 W Higgins Rd</v>
      </c>
      <c r="C324" s="1" t="str">
        <f>IFERROR(__xludf.DUMMYFUNCTION("""COMPUTED_VALUE"""),"Dundee")</f>
        <v>Dundee</v>
      </c>
      <c r="D324" s="1" t="str">
        <f>IFERROR(__xludf.DUMMYFUNCTION("""COMPUTED_VALUE"""),"IL")</f>
        <v>IL</v>
      </c>
      <c r="E324" s="1" t="str">
        <f>IFERROR(__xludf.DUMMYFUNCTION("""COMPUTED_VALUE"""),"60118")</f>
        <v>60118</v>
      </c>
      <c r="F324" s="1" t="str">
        <f>IFERROR(__xludf.DUMMYFUNCTION("""COMPUTED_VALUE"""),"Cook")</f>
        <v>Cook</v>
      </c>
      <c r="G324" s="1" t="str">
        <f>IFERROR(__xludf.DUMMYFUNCTION("""COMPUTED_VALUE"""),"42.07725")</f>
        <v>42.07725</v>
      </c>
      <c r="H324" s="1" t="str">
        <f>IFERROR(__xludf.DUMMYFUNCTION("""COMPUTED_VALUE"""),"-88.19533")</f>
        <v>-88.19533</v>
      </c>
      <c r="I324" s="1" t="str">
        <f>IFERROR(__xludf.DUMMYFUNCTION("""COMPUTED_VALUE"""),"Cancelled")</f>
        <v>Cancelled</v>
      </c>
      <c r="J324" s="1" t="str">
        <f>IFERROR(__xludf.DUMMYFUNCTION("""COMPUTED_VALUE"""),"High")</f>
        <v>High</v>
      </c>
      <c r="K324" s="1" t="str">
        <f>IFERROR(__xludf.DUMMYFUNCTION("""COMPUTED_VALUE"""),"")</f>
        <v/>
      </c>
      <c r="L324" s="1" t="str">
        <f>IFERROR(__xludf.DUMMYFUNCTION("""COMPUTED_VALUE"""),"Karis")</f>
        <v>Karis</v>
      </c>
      <c r="M324" s="1" t="str">
        <f>IFERROR(__xludf.DUMMYFUNCTION("""COMPUTED_VALUE"""),"")</f>
        <v/>
      </c>
      <c r="N324" s="1" t="str">
        <f>IFERROR(__xludf.DUMMYFUNCTION("""COMPUTED_VALUE"""),"")</f>
        <v/>
      </c>
      <c r="O324" s="1" t="str">
        <f>IFERROR(__xludf.DUMMYFUNCTION("""COMPUTED_VALUE"""),"Unknown")</f>
        <v>Unknown</v>
      </c>
      <c r="P324" s="1" t="str">
        <f>IFERROR(__xludf.DUMMYFUNCTION("""COMPUTED_VALUE"""),"")</f>
        <v/>
      </c>
      <c r="Q324" s="1" t="str">
        <f>IFERROR(__xludf.DUMMYFUNCTION("""COMPUTED_VALUE"""),"")</f>
        <v/>
      </c>
      <c r="R324" s="1" t="str">
        <f>IFERROR(__xludf.DUMMYFUNCTION("""COMPUTED_VALUE"""),"")</f>
        <v/>
      </c>
      <c r="S324" s="1" t="str">
        <f>IFERROR(__xludf.DUMMYFUNCTION("""COMPUTED_VALUE"""),"")</f>
        <v/>
      </c>
      <c r="T324" s="1" t="str">
        <f>IFERROR(__xludf.DUMMYFUNCTION("""COMPUTED_VALUE"""),"")</f>
        <v/>
      </c>
      <c r="U324" s="1" t="str">
        <f>IFERROR(__xludf.DUMMYFUNCTION("""COMPUTED_VALUE"""),"")</f>
        <v/>
      </c>
      <c r="V324" s="1" t="str">
        <f>IFERROR(__xludf.DUMMYFUNCTION("""COMPUTED_VALUE"""),"")</f>
        <v/>
      </c>
      <c r="W324" s="1" t="str">
        <f>IFERROR(__xludf.DUMMYFUNCTION("""COMPUTED_VALUE"""),"186")</f>
        <v>186</v>
      </c>
      <c r="X324" s="1" t="str">
        <f>IFERROR(__xludf.DUMMYFUNCTION("""COMPUTED_VALUE"""),"")</f>
        <v/>
      </c>
      <c r="Y324" s="1" t="str">
        <f>IFERROR(__xludf.DUMMYFUNCTION("""COMPUTED_VALUE"""),"")</f>
        <v/>
      </c>
      <c r="Z324" s="1" t="str">
        <f>IFERROR(__xludf.DUMMYFUNCTION("""COMPUTED_VALUE"""),"Yes")</f>
        <v>Yes</v>
      </c>
      <c r="AA324" s="1" t="str">
        <f>IFERROR(__xludf.DUMMYFUNCTION("""COMPUTED_VALUE"""),"")</f>
        <v/>
      </c>
      <c r="AB324" s="1" t="str">
        <f>IFERROR(__xludf.DUMMYFUNCTION("""COMPUTED_VALUE"""),"")</f>
        <v/>
      </c>
      <c r="AC324" s="1" t="str">
        <f>IFERROR(__xludf.DUMMYFUNCTION("""COMPUTED_VALUE"""),"")</f>
        <v/>
      </c>
      <c r="AD324" s="1" t="str">
        <f>IFERROR(__xludf.DUMMYFUNCTION("""COMPUTED_VALUE"""),"")</f>
        <v/>
      </c>
      <c r="AE324" s="1" t="str">
        <f>IFERROR(__xludf.DUMMYFUNCTION("""COMPUTED_VALUE"""),"")</f>
        <v/>
      </c>
      <c r="AF324" s="1" t="str">
        <f>IFERROR(__xludf.DUMMYFUNCTION("""COMPUTED_VALUE"""),"")</f>
        <v/>
      </c>
      <c r="AG324" s="1" t="str">
        <f>IFERROR(__xludf.DUMMYFUNCTION("""COMPUTED_VALUE""")," 3,250 signatures on petition")</f>
        <v> 3,250 signatures on petition</v>
      </c>
      <c r="AH324" s="1" t="str">
        <f>IFERROR(__xludf.DUMMYFUNCTION("""COMPUTED_VALUE"""),"Media Monitoring")</f>
        <v>Media Monitoring</v>
      </c>
      <c r="AI324" s="2" t="str">
        <f>IFERROR(__xludf.DUMMYFUNCTION("""COMPUTED_VALUE"""),"https://www.datacenterdynamics.com/en/news/karis-withdraws-rezoning-request-for-data-center-in-hoffman-estates-illinois/")</f>
        <v>https://www.datacenterdynamics.com/en/news/karis-withdraws-rezoning-request-for-data-center-in-hoffman-estates-illinois/</v>
      </c>
      <c r="AJ324" s="1" t="str">
        <f>IFERROR(__xludf.DUMMYFUNCTION("""COMPUTED_VALUE"""),"")</f>
        <v/>
      </c>
      <c r="AK324" s="1" t="str">
        <f>IFERROR(__xludf.DUMMYFUNCTION("""COMPUTED_VALUE"""),"")</f>
        <v/>
      </c>
      <c r="AL324" s="1" t="str">
        <f>IFERROR(__xludf.DUMMYFUNCTION("""COMPUTED_VALUE"""),"")</f>
        <v/>
      </c>
      <c r="AM324" s="1" t="str">
        <f>IFERROR(__xludf.DUMMYFUNCTION("""COMPUTED_VALUE"""),"")</f>
        <v/>
      </c>
      <c r="AN324" s="1" t="str">
        <f>IFERROR(__xludf.DUMMYFUNCTION("""COMPUTED_VALUE"""),"")</f>
        <v/>
      </c>
      <c r="AO324" s="1" t="str">
        <f>IFERROR(__xludf.DUMMYFUNCTION("""COMPUTED_VALUE"""),"")</f>
        <v/>
      </c>
      <c r="AP324" s="1" t="str">
        <f>IFERROR(__xludf.DUMMYFUNCTION("""COMPUTED_VALUE"""),"")</f>
        <v/>
      </c>
      <c r="AQ324" s="1" t="str">
        <f>IFERROR(__xludf.DUMMYFUNCTION("""COMPUTED_VALUE"""),"07/06/2026")</f>
        <v>07/06/2026</v>
      </c>
      <c r="AR324" s="1" t="str">
        <f>IFERROR(__xludf.DUMMYFUNCTION("""COMPUTED_VALUE"""),"07/06/2026")</f>
        <v>07/06/2026</v>
      </c>
    </row>
    <row r="325">
      <c r="A325" s="1" t="str">
        <f>IFERROR(__xludf.DUMMYFUNCTION("""COMPUTED_VALUE"""),"Gail Technology Data Center")</f>
        <v>Gail Technology Data Center</v>
      </c>
      <c r="B325" s="1" t="str">
        <f>IFERROR(__xludf.DUMMYFUNCTION("""COMPUTED_VALUE"""),"15244 E. 1700th Avenue")</f>
        <v>15244 E. 1700th Avenue</v>
      </c>
      <c r="C325" s="1" t="str">
        <f>IFERROR(__xludf.DUMMYFUNCTION("""COMPUTED_VALUE"""),"Effingham")</f>
        <v>Effingham</v>
      </c>
      <c r="D325" s="1" t="str">
        <f>IFERROR(__xludf.DUMMYFUNCTION("""COMPUTED_VALUE"""),"IL")</f>
        <v>IL</v>
      </c>
      <c r="E325" s="1" t="str">
        <f>IFERROR(__xludf.DUMMYFUNCTION("""COMPUTED_VALUE"""),"62401")</f>
        <v>62401</v>
      </c>
      <c r="F325" s="1" t="str">
        <f>IFERROR(__xludf.DUMMYFUNCTION("""COMPUTED_VALUE"""),"Effingham")</f>
        <v>Effingham</v>
      </c>
      <c r="G325" s="1" t="str">
        <f>IFERROR(__xludf.DUMMYFUNCTION("""COMPUTED_VALUE"""),"39.16273")</f>
        <v>39.16273</v>
      </c>
      <c r="H325" s="1" t="str">
        <f>IFERROR(__xludf.DUMMYFUNCTION("""COMPUTED_VALUE"""),"-88.518654")</f>
        <v>-88.518654</v>
      </c>
      <c r="I325" s="1" t="str">
        <f>IFERROR(__xludf.DUMMYFUNCTION("""COMPUTED_VALUE"""),"Proposed")</f>
        <v>Proposed</v>
      </c>
      <c r="J325" s="1" t="str">
        <f>IFERROR(__xludf.DUMMYFUNCTION("""COMPUTED_VALUE"""),"High")</f>
        <v>High</v>
      </c>
      <c r="K325" s="1" t="str">
        <f>IFERROR(__xludf.DUMMYFUNCTION("""COMPUTED_VALUE"""),"")</f>
        <v/>
      </c>
      <c r="L325" s="1" t="str">
        <f>IFERROR(__xludf.DUMMYFUNCTION("""COMPUTED_VALUE"""),"Gail Technology")</f>
        <v>Gail Technology</v>
      </c>
      <c r="M325" s="1" t="str">
        <f>IFERROR(__xludf.DUMMYFUNCTION("""COMPUTED_VALUE"""),"")</f>
        <v/>
      </c>
      <c r="N325" s="1" t="str">
        <f>IFERROR(__xludf.DUMMYFUNCTION("""COMPUTED_VALUE"""),"")</f>
        <v/>
      </c>
      <c r="O325" s="1" t="str">
        <f>IFERROR(__xludf.DUMMYFUNCTION("""COMPUTED_VALUE"""),"Unknown")</f>
        <v>Unknown</v>
      </c>
      <c r="P325" s="1" t="str">
        <f>IFERROR(__xludf.DUMMYFUNCTION("""COMPUTED_VALUE"""),"Solar")</f>
        <v>Solar</v>
      </c>
      <c r="Q325" s="1" t="str">
        <f>IFERROR(__xludf.DUMMYFUNCTION("""COMPUTED_VALUE"""),"")</f>
        <v/>
      </c>
      <c r="R325" s="1" t="str">
        <f>IFERROR(__xludf.DUMMYFUNCTION("""COMPUTED_VALUE"""),"")</f>
        <v/>
      </c>
      <c r="S325" s="1" t="str">
        <f>IFERROR(__xludf.DUMMYFUNCTION("""COMPUTED_VALUE"""),"")</f>
        <v/>
      </c>
      <c r="T325" s="1" t="str">
        <f>IFERROR(__xludf.DUMMYFUNCTION("""COMPUTED_VALUE"""),"")</f>
        <v/>
      </c>
      <c r="U325" s="1" t="str">
        <f>IFERROR(__xludf.DUMMYFUNCTION("""COMPUTED_VALUE"""),"")</f>
        <v/>
      </c>
      <c r="V325" s="1" t="str">
        <f>IFERROR(__xludf.DUMMYFUNCTION("""COMPUTED_VALUE"""),"")</f>
        <v/>
      </c>
      <c r="W325" s="1" t="str">
        <f>IFERROR(__xludf.DUMMYFUNCTION("""COMPUTED_VALUE"""),"")</f>
        <v/>
      </c>
      <c r="X325" s="1" t="str">
        <f>IFERROR(__xludf.DUMMYFUNCTION("""COMPUTED_VALUE"""),"")</f>
        <v/>
      </c>
      <c r="Y325" s="1" t="str">
        <f>IFERROR(__xludf.DUMMYFUNCTION("""COMPUTED_VALUE"""),"2027")</f>
        <v>2027</v>
      </c>
      <c r="Z325" s="1" t="str">
        <f>IFERROR(__xludf.DUMMYFUNCTION("""COMPUTED_VALUE"""),"Unknown")</f>
        <v>Unknown</v>
      </c>
      <c r="AA325" s="1" t="str">
        <f>IFERROR(__xludf.DUMMYFUNCTION("""COMPUTED_VALUE"""),"")</f>
        <v/>
      </c>
      <c r="AB325" s="1" t="str">
        <f>IFERROR(__xludf.DUMMYFUNCTION("""COMPUTED_VALUE"""),"")</f>
        <v/>
      </c>
      <c r="AC325" s="1" t="str">
        <f>IFERROR(__xludf.DUMMYFUNCTION("""COMPUTED_VALUE"""),"")</f>
        <v/>
      </c>
      <c r="AD325" s="1" t="str">
        <f>IFERROR(__xludf.DUMMYFUNCTION("""COMPUTED_VALUE"""),"")</f>
        <v/>
      </c>
      <c r="AE325" s="1" t="str">
        <f>IFERROR(__xludf.DUMMYFUNCTION("""COMPUTED_VALUE"""),"")</f>
        <v/>
      </c>
      <c r="AF325" s="1" t="str">
        <f>IFERROR(__xludf.DUMMYFUNCTION("""COMPUTED_VALUE"""),"")</f>
        <v/>
      </c>
      <c r="AG325" s="1" t="str">
        <f>IFERROR(__xludf.DUMMYFUNCTION("""COMPUTED_VALUE"""),"""environmentally friendly"" solar powered")</f>
        <v>"environmentally friendly" solar powered</v>
      </c>
      <c r="AH325" s="1" t="str">
        <f>IFERROR(__xludf.DUMMYFUNCTION("""COMPUTED_VALUE"""),"Media Monitoring")</f>
        <v>Media Monitoring</v>
      </c>
      <c r="AI325" s="2" t="str">
        <f>IFERROR(__xludf.DUMMYFUNCTION("""COMPUTED_VALUE"""),"https://www.effinghamdailynews.com/news/environmentally-friendly-data-center-coming-to-effingham/article_7f38e269-f40d-49d8-b607-55f26c7d4bf3.html")</f>
        <v>https://www.effinghamdailynews.com/news/environmentally-friendly-data-center-coming-to-effingham/article_7f38e269-f40d-49d8-b607-55f26c7d4bf3.html</v>
      </c>
      <c r="AJ325" s="2" t="str">
        <f>IFERROR(__xludf.DUMMYFUNCTION("""COMPUTED_VALUE"""),"https://www.idcnova.com/html/1/59/153/4755.html")</f>
        <v>https://www.idcnova.com/html/1/59/153/4755.html</v>
      </c>
      <c r="AK325" s="2" t="str">
        <f>IFERROR(__xludf.DUMMYFUNCTION("""COMPUTED_VALUE"""),"https://www.yahoo.com/news/articles/environmentally-friendly-data-center-coming-045900554.html")</f>
        <v>https://www.yahoo.com/news/articles/environmentally-friendly-data-center-coming-045900554.html</v>
      </c>
      <c r="AL325" s="1" t="str">
        <f>IFERROR(__xludf.DUMMYFUNCTION("""COMPUTED_VALUE"""),"")</f>
        <v/>
      </c>
      <c r="AM325" s="1" t="str">
        <f>IFERROR(__xludf.DUMMYFUNCTION("""COMPUTED_VALUE"""),"")</f>
        <v/>
      </c>
      <c r="AN325" s="1" t="str">
        <f>IFERROR(__xludf.DUMMYFUNCTION("""COMPUTED_VALUE"""),"")</f>
        <v/>
      </c>
      <c r="AO325" s="1" t="str">
        <f>IFERROR(__xludf.DUMMYFUNCTION("""COMPUTED_VALUE"""),"")</f>
        <v/>
      </c>
      <c r="AP325" s="1" t="str">
        <f>IFERROR(__xludf.DUMMYFUNCTION("""COMPUTED_VALUE"""),"")</f>
        <v/>
      </c>
      <c r="AQ325" s="1" t="str">
        <f>IFERROR(__xludf.DUMMYFUNCTION("""COMPUTED_VALUE"""),"01/01/2026")</f>
        <v>01/01/2026</v>
      </c>
      <c r="AR325" s="1" t="str">
        <f>IFERROR(__xludf.DUMMYFUNCTION("""COMPUTED_VALUE"""),"01/01/2026")</f>
        <v>01/01/2026</v>
      </c>
    </row>
    <row r="326">
      <c r="A326" s="1" t="str">
        <f>IFERROR(__xludf.DUMMYFUNCTION("""COMPUTED_VALUE"""),"Aligned")</f>
        <v>Aligned</v>
      </c>
      <c r="B326" s="1" t="str">
        <f>IFERROR(__xludf.DUMMYFUNCTION("""COMPUTED_VALUE"""),"101 Northwest Point Blvd")</f>
        <v>101 Northwest Point Blvd</v>
      </c>
      <c r="C326" s="1" t="str">
        <f>IFERROR(__xludf.DUMMYFUNCTION("""COMPUTED_VALUE"""),"Elk Grove Village")</f>
        <v>Elk Grove Village</v>
      </c>
      <c r="D326" s="1" t="str">
        <f>IFERROR(__xludf.DUMMYFUNCTION("""COMPUTED_VALUE"""),"IL")</f>
        <v>IL</v>
      </c>
      <c r="E326" s="1" t="str">
        <f>IFERROR(__xludf.DUMMYFUNCTION("""COMPUTED_VALUE"""),"60007")</f>
        <v>60007</v>
      </c>
      <c r="F326" s="1" t="str">
        <f>IFERROR(__xludf.DUMMYFUNCTION("""COMPUTED_VALUE"""),"Cook")</f>
        <v>Cook</v>
      </c>
      <c r="G326" s="1" t="str">
        <f>IFERROR(__xludf.DUMMYFUNCTION("""COMPUTED_VALUE"""),"42.03573")</f>
        <v>42.03573</v>
      </c>
      <c r="H326" s="1" t="str">
        <f>IFERROR(__xludf.DUMMYFUNCTION("""COMPUTED_VALUE"""),"-87.9766")</f>
        <v>-87.9766</v>
      </c>
      <c r="I326" s="1" t="str">
        <f>IFERROR(__xludf.DUMMYFUNCTION("""COMPUTED_VALUE"""),"Proposed")</f>
        <v>Proposed</v>
      </c>
      <c r="J326" s="1" t="str">
        <f>IFERROR(__xludf.DUMMYFUNCTION("""COMPUTED_VALUE"""),"High")</f>
        <v>High</v>
      </c>
      <c r="K326" s="1" t="str">
        <f>IFERROR(__xludf.DUMMYFUNCTION("""COMPUTED_VALUE"""),"")</f>
        <v/>
      </c>
      <c r="L326" s="1" t="str">
        <f>IFERROR(__xludf.DUMMYFUNCTION("""COMPUTED_VALUE"""),"")</f>
        <v/>
      </c>
      <c r="M326" s="1" t="str">
        <f>IFERROR(__xludf.DUMMYFUNCTION("""COMPUTED_VALUE"""),"")</f>
        <v/>
      </c>
      <c r="N326" s="1" t="str">
        <f>IFERROR(__xludf.DUMMYFUNCTION("""COMPUTED_VALUE"""),"")</f>
        <v/>
      </c>
      <c r="O326" s="1" t="str">
        <f>IFERROR(__xludf.DUMMYFUNCTION("""COMPUTED_VALUE"""),"Unknown")</f>
        <v>Unknown</v>
      </c>
      <c r="P326" s="1" t="str">
        <f>IFERROR(__xludf.DUMMYFUNCTION("""COMPUTED_VALUE"""),"")</f>
        <v/>
      </c>
      <c r="Q326" s="1" t="str">
        <f>IFERROR(__xludf.DUMMYFUNCTION("""COMPUTED_VALUE"""),"")</f>
        <v/>
      </c>
      <c r="R326" s="1" t="str">
        <f>IFERROR(__xludf.DUMMYFUNCTION("""COMPUTED_VALUE"""),"")</f>
        <v/>
      </c>
      <c r="S326" s="1" t="str">
        <f>IFERROR(__xludf.DUMMYFUNCTION("""COMPUTED_VALUE"""),"")</f>
        <v/>
      </c>
      <c r="T326" s="1" t="str">
        <f>IFERROR(__xludf.DUMMYFUNCTION("""COMPUTED_VALUE"""),"")</f>
        <v/>
      </c>
      <c r="U326" s="1" t="str">
        <f>IFERROR(__xludf.DUMMYFUNCTION("""COMPUTED_VALUE"""),"")</f>
        <v/>
      </c>
      <c r="V326" s="1" t="str">
        <f>IFERROR(__xludf.DUMMYFUNCTION("""COMPUTED_VALUE"""),"50,000")</f>
        <v>50,000</v>
      </c>
      <c r="W326" s="1" t="str">
        <f>IFERROR(__xludf.DUMMYFUNCTION("""COMPUTED_VALUE"""),"")</f>
        <v/>
      </c>
      <c r="X326" s="1" t="str">
        <f>IFERROR(__xludf.DUMMYFUNCTION("""COMPUTED_VALUE"""),"")</f>
        <v/>
      </c>
      <c r="Y326" s="1" t="str">
        <f>IFERROR(__xludf.DUMMYFUNCTION("""COMPUTED_VALUE"""),"")</f>
        <v/>
      </c>
      <c r="Z326" s="1" t="str">
        <f>IFERROR(__xludf.DUMMYFUNCTION("""COMPUTED_VALUE"""),"Unknown")</f>
        <v>Unknown</v>
      </c>
      <c r="AA326" s="1" t="str">
        <f>IFERROR(__xludf.DUMMYFUNCTION("""COMPUTED_VALUE"""),"")</f>
        <v/>
      </c>
      <c r="AB326" s="1" t="str">
        <f>IFERROR(__xludf.DUMMYFUNCTION("""COMPUTED_VALUE"""),"")</f>
        <v/>
      </c>
      <c r="AC326" s="1" t="str">
        <f>IFERROR(__xludf.DUMMYFUNCTION("""COMPUTED_VALUE"""),"")</f>
        <v/>
      </c>
      <c r="AD326" s="1" t="str">
        <f>IFERROR(__xludf.DUMMYFUNCTION("""COMPUTED_VALUE"""),"")</f>
        <v/>
      </c>
      <c r="AE326" s="1" t="str">
        <f>IFERROR(__xludf.DUMMYFUNCTION("""COMPUTED_VALUE"""),"")</f>
        <v/>
      </c>
      <c r="AF326" s="1" t="str">
        <f>IFERROR(__xludf.DUMMYFUNCTION("""COMPUTED_VALUE"""),"")</f>
        <v/>
      </c>
      <c r="AG326" s="1" t="str">
        <f>IFERROR(__xludf.DUMMYFUNCTION("""COMPUTED_VALUE"""),"")</f>
        <v/>
      </c>
      <c r="AH326" s="1" t="str">
        <f>IFERROR(__xludf.DUMMYFUNCTION("""COMPUTED_VALUE"""),"Media Monitoring")</f>
        <v>Media Monitoring</v>
      </c>
      <c r="AI326" s="2" t="str">
        <f>IFERROR(__xludf.DUMMYFUNCTION("""COMPUTED_VALUE"""),"https://www.datacenterdynamics.com/en/news/aligned-stream-and-nexstar-planning-data-center-campuses-in-elk-grove-area-of-chicago/")</f>
        <v>https://www.datacenterdynamics.com/en/news/aligned-stream-and-nexstar-planning-data-center-campuses-in-elk-grove-area-of-chicago/</v>
      </c>
      <c r="AJ326" s="2" t="str">
        <f>IFERROR(__xludf.DUMMYFUNCTION("""COMPUTED_VALUE"""),"https://therealdeal.com/chicago/2023/05/09/data-center-developer-aligned-assembles-26-acres-near-ohare/")</f>
        <v>https://therealdeal.com/chicago/2023/05/09/data-center-developer-aligned-assembles-26-acres-near-ohare/</v>
      </c>
      <c r="AK326" s="1" t="str">
        <f>IFERROR(__xludf.DUMMYFUNCTION("""COMPUTED_VALUE"""),"")</f>
        <v/>
      </c>
      <c r="AL326" s="1" t="str">
        <f>IFERROR(__xludf.DUMMYFUNCTION("""COMPUTED_VALUE"""),"")</f>
        <v/>
      </c>
      <c r="AM326" s="1" t="str">
        <f>IFERROR(__xludf.DUMMYFUNCTION("""COMPUTED_VALUE"""),"")</f>
        <v/>
      </c>
      <c r="AN326" s="1" t="str">
        <f>IFERROR(__xludf.DUMMYFUNCTION("""COMPUTED_VALUE"""),"")</f>
        <v/>
      </c>
      <c r="AO326" s="1" t="str">
        <f>IFERROR(__xludf.DUMMYFUNCTION("""COMPUTED_VALUE"""),"")</f>
        <v/>
      </c>
      <c r="AP326" s="1" t="str">
        <f>IFERROR(__xludf.DUMMYFUNCTION("""COMPUTED_VALUE"""),"")</f>
        <v/>
      </c>
      <c r="AQ326" s="1" t="str">
        <f>IFERROR(__xludf.DUMMYFUNCTION("""COMPUTED_VALUE"""),"06/19/2025")</f>
        <v>06/19/2025</v>
      </c>
      <c r="AR326" s="1" t="str">
        <f>IFERROR(__xludf.DUMMYFUNCTION("""COMPUTED_VALUE"""),"06/19/2025")</f>
        <v>06/19/2025</v>
      </c>
    </row>
    <row r="327">
      <c r="A327" s="1" t="str">
        <f>IFERROR(__xludf.DUMMYFUNCTION("""COMPUTED_VALUE"""),"Aligned")</f>
        <v>Aligned</v>
      </c>
      <c r="B327" s="1" t="str">
        <f>IFERROR(__xludf.DUMMYFUNCTION("""COMPUTED_VALUE"""),"50 Northwest Point Blvd")</f>
        <v>50 Northwest Point Blvd</v>
      </c>
      <c r="C327" s="1" t="str">
        <f>IFERROR(__xludf.DUMMYFUNCTION("""COMPUTED_VALUE"""),"Elk Grove Village")</f>
        <v>Elk Grove Village</v>
      </c>
      <c r="D327" s="1" t="str">
        <f>IFERROR(__xludf.DUMMYFUNCTION("""COMPUTED_VALUE"""),"IL")</f>
        <v>IL</v>
      </c>
      <c r="E327" s="1" t="str">
        <f>IFERROR(__xludf.DUMMYFUNCTION("""COMPUTED_VALUE"""),"60007")</f>
        <v>60007</v>
      </c>
      <c r="F327" s="1" t="str">
        <f>IFERROR(__xludf.DUMMYFUNCTION("""COMPUTED_VALUE"""),"Cook")</f>
        <v>Cook</v>
      </c>
      <c r="G327" s="1" t="str">
        <f>IFERROR(__xludf.DUMMYFUNCTION("""COMPUTED_VALUE"""),"42.03374")</f>
        <v>42.03374</v>
      </c>
      <c r="H327" s="1" t="str">
        <f>IFERROR(__xludf.DUMMYFUNCTION("""COMPUTED_VALUE"""),"-87.9824")</f>
        <v>-87.9824</v>
      </c>
      <c r="I327" s="1" t="str">
        <f>IFERROR(__xludf.DUMMYFUNCTION("""COMPUTED_VALUE"""),"Proposed")</f>
        <v>Proposed</v>
      </c>
      <c r="J327" s="1" t="str">
        <f>IFERROR(__xludf.DUMMYFUNCTION("""COMPUTED_VALUE"""),"High")</f>
        <v>High</v>
      </c>
      <c r="K327" s="1" t="str">
        <f>IFERROR(__xludf.DUMMYFUNCTION("""COMPUTED_VALUE"""),"")</f>
        <v/>
      </c>
      <c r="L327" s="1" t="str">
        <f>IFERROR(__xludf.DUMMYFUNCTION("""COMPUTED_VALUE"""),"")</f>
        <v/>
      </c>
      <c r="M327" s="1" t="str">
        <f>IFERROR(__xludf.DUMMYFUNCTION("""COMPUTED_VALUE"""),"")</f>
        <v/>
      </c>
      <c r="N327" s="1" t="str">
        <f>IFERROR(__xludf.DUMMYFUNCTION("""COMPUTED_VALUE"""),"")</f>
        <v/>
      </c>
      <c r="O327" s="1" t="str">
        <f>IFERROR(__xludf.DUMMYFUNCTION("""COMPUTED_VALUE"""),"Unknown")</f>
        <v>Unknown</v>
      </c>
      <c r="P327" s="1" t="str">
        <f>IFERROR(__xludf.DUMMYFUNCTION("""COMPUTED_VALUE"""),"")</f>
        <v/>
      </c>
      <c r="Q327" s="1" t="str">
        <f>IFERROR(__xludf.DUMMYFUNCTION("""COMPUTED_VALUE"""),"")</f>
        <v/>
      </c>
      <c r="R327" s="1" t="str">
        <f>IFERROR(__xludf.DUMMYFUNCTION("""COMPUTED_VALUE"""),"")</f>
        <v/>
      </c>
      <c r="S327" s="1" t="str">
        <f>IFERROR(__xludf.DUMMYFUNCTION("""COMPUTED_VALUE"""),"")</f>
        <v/>
      </c>
      <c r="T327" s="1" t="str">
        <f>IFERROR(__xludf.DUMMYFUNCTION("""COMPUTED_VALUE"""),"")</f>
        <v/>
      </c>
      <c r="U327" s="1" t="str">
        <f>IFERROR(__xludf.DUMMYFUNCTION("""COMPUTED_VALUE"""),"")</f>
        <v/>
      </c>
      <c r="V327" s="1" t="str">
        <f>IFERROR(__xludf.DUMMYFUNCTION("""COMPUTED_VALUE"""),"177,000")</f>
        <v>177,000</v>
      </c>
      <c r="W327" s="1" t="str">
        <f>IFERROR(__xludf.DUMMYFUNCTION("""COMPUTED_VALUE"""),"")</f>
        <v/>
      </c>
      <c r="X327" s="1" t="str">
        <f>IFERROR(__xludf.DUMMYFUNCTION("""COMPUTED_VALUE"""),"")</f>
        <v/>
      </c>
      <c r="Y327" s="1" t="str">
        <f>IFERROR(__xludf.DUMMYFUNCTION("""COMPUTED_VALUE"""),"")</f>
        <v/>
      </c>
      <c r="Z327" s="1" t="str">
        <f>IFERROR(__xludf.DUMMYFUNCTION("""COMPUTED_VALUE"""),"Unknown")</f>
        <v>Unknown</v>
      </c>
      <c r="AA327" s="1" t="str">
        <f>IFERROR(__xludf.DUMMYFUNCTION("""COMPUTED_VALUE"""),"")</f>
        <v/>
      </c>
      <c r="AB327" s="1" t="str">
        <f>IFERROR(__xludf.DUMMYFUNCTION("""COMPUTED_VALUE"""),"")</f>
        <v/>
      </c>
      <c r="AC327" s="1" t="str">
        <f>IFERROR(__xludf.DUMMYFUNCTION("""COMPUTED_VALUE"""),"")</f>
        <v/>
      </c>
      <c r="AD327" s="1" t="str">
        <f>IFERROR(__xludf.DUMMYFUNCTION("""COMPUTED_VALUE"""),"")</f>
        <v/>
      </c>
      <c r="AE327" s="1" t="str">
        <f>IFERROR(__xludf.DUMMYFUNCTION("""COMPUTED_VALUE"""),"")</f>
        <v/>
      </c>
      <c r="AF327" s="1" t="str">
        <f>IFERROR(__xludf.DUMMYFUNCTION("""COMPUTED_VALUE"""),"")</f>
        <v/>
      </c>
      <c r="AG327" s="1" t="str">
        <f>IFERROR(__xludf.DUMMYFUNCTION("""COMPUTED_VALUE"""),"")</f>
        <v/>
      </c>
      <c r="AH327" s="1" t="str">
        <f>IFERROR(__xludf.DUMMYFUNCTION("""COMPUTED_VALUE"""),"Media Monitoring")</f>
        <v>Media Monitoring</v>
      </c>
      <c r="AI327" s="2" t="str">
        <f>IFERROR(__xludf.DUMMYFUNCTION("""COMPUTED_VALUE"""),"https://www.datacenterdynamics.com/en/news/aligned-stream-and-nexstar-planning-data-center-campuses-in-elk-grove-area-of-chicago/")</f>
        <v>https://www.datacenterdynamics.com/en/news/aligned-stream-and-nexstar-planning-data-center-campuses-in-elk-grove-area-of-chicago/</v>
      </c>
      <c r="AJ327" s="1" t="str">
        <f>IFERROR(__xludf.DUMMYFUNCTION("""COMPUTED_VALUE"""),"")</f>
        <v/>
      </c>
      <c r="AK327" s="1" t="str">
        <f>IFERROR(__xludf.DUMMYFUNCTION("""COMPUTED_VALUE"""),"")</f>
        <v/>
      </c>
      <c r="AL327" s="1" t="str">
        <f>IFERROR(__xludf.DUMMYFUNCTION("""COMPUTED_VALUE"""),"")</f>
        <v/>
      </c>
      <c r="AM327" s="1" t="str">
        <f>IFERROR(__xludf.DUMMYFUNCTION("""COMPUTED_VALUE"""),"")</f>
        <v/>
      </c>
      <c r="AN327" s="1" t="str">
        <f>IFERROR(__xludf.DUMMYFUNCTION("""COMPUTED_VALUE"""),"")</f>
        <v/>
      </c>
      <c r="AO327" s="1" t="str">
        <f>IFERROR(__xludf.DUMMYFUNCTION("""COMPUTED_VALUE"""),"")</f>
        <v/>
      </c>
      <c r="AP327" s="1" t="str">
        <f>IFERROR(__xludf.DUMMYFUNCTION("""COMPUTED_VALUE"""),"")</f>
        <v/>
      </c>
      <c r="AQ327" s="1" t="str">
        <f>IFERROR(__xludf.DUMMYFUNCTION("""COMPUTED_VALUE"""),"06/19/2025")</f>
        <v>06/19/2025</v>
      </c>
      <c r="AR327" s="1" t="str">
        <f>IFERROR(__xludf.DUMMYFUNCTION("""COMPUTED_VALUE"""),"06/19/2025")</f>
        <v>06/19/2025</v>
      </c>
    </row>
    <row r="328">
      <c r="A328" s="1" t="str">
        <f>IFERROR(__xludf.DUMMYFUNCTION("""COMPUTED_VALUE"""),"Aligned")</f>
        <v>Aligned</v>
      </c>
      <c r="B328" s="1" t="str">
        <f>IFERROR(__xludf.DUMMYFUNCTION("""COMPUTED_VALUE"""),"141 Northwest Point Blvd")</f>
        <v>141 Northwest Point Blvd</v>
      </c>
      <c r="C328" s="1" t="str">
        <f>IFERROR(__xludf.DUMMYFUNCTION("""COMPUTED_VALUE"""),"Elk Grove Village")</f>
        <v>Elk Grove Village</v>
      </c>
      <c r="D328" s="1" t="str">
        <f>IFERROR(__xludf.DUMMYFUNCTION("""COMPUTED_VALUE"""),"IL")</f>
        <v>IL</v>
      </c>
      <c r="E328" s="1" t="str">
        <f>IFERROR(__xludf.DUMMYFUNCTION("""COMPUTED_VALUE"""),"60007")</f>
        <v>60007</v>
      </c>
      <c r="F328" s="1" t="str">
        <f>IFERROR(__xludf.DUMMYFUNCTION("""COMPUTED_VALUE"""),"Cook")</f>
        <v>Cook</v>
      </c>
      <c r="G328" s="1" t="str">
        <f>IFERROR(__xludf.DUMMYFUNCTION("""COMPUTED_VALUE"""),"42.03674")</f>
        <v>42.03674</v>
      </c>
      <c r="H328" s="1" t="str">
        <f>IFERROR(__xludf.DUMMYFUNCTION("""COMPUTED_VALUE"""),"-87.9827")</f>
        <v>-87.9827</v>
      </c>
      <c r="I328" s="1" t="str">
        <f>IFERROR(__xludf.DUMMYFUNCTION("""COMPUTED_VALUE"""),"Proposed")</f>
        <v>Proposed</v>
      </c>
      <c r="J328" s="1" t="str">
        <f>IFERROR(__xludf.DUMMYFUNCTION("""COMPUTED_VALUE"""),"High")</f>
        <v>High</v>
      </c>
      <c r="K328" s="1" t="str">
        <f>IFERROR(__xludf.DUMMYFUNCTION("""COMPUTED_VALUE"""),"")</f>
        <v/>
      </c>
      <c r="L328" s="1" t="str">
        <f>IFERROR(__xludf.DUMMYFUNCTION("""COMPUTED_VALUE"""),"")</f>
        <v/>
      </c>
      <c r="M328" s="1" t="str">
        <f>IFERROR(__xludf.DUMMYFUNCTION("""COMPUTED_VALUE"""),"")</f>
        <v/>
      </c>
      <c r="N328" s="1" t="str">
        <f>IFERROR(__xludf.DUMMYFUNCTION("""COMPUTED_VALUE"""),"")</f>
        <v/>
      </c>
      <c r="O328" s="1" t="str">
        <f>IFERROR(__xludf.DUMMYFUNCTION("""COMPUTED_VALUE"""),"Unknown")</f>
        <v>Unknown</v>
      </c>
      <c r="P328" s="1" t="str">
        <f>IFERROR(__xludf.DUMMYFUNCTION("""COMPUTED_VALUE"""),"")</f>
        <v/>
      </c>
      <c r="Q328" s="1" t="str">
        <f>IFERROR(__xludf.DUMMYFUNCTION("""COMPUTED_VALUE"""),"")</f>
        <v/>
      </c>
      <c r="R328" s="1" t="str">
        <f>IFERROR(__xludf.DUMMYFUNCTION("""COMPUTED_VALUE"""),"")</f>
        <v/>
      </c>
      <c r="S328" s="1" t="str">
        <f>IFERROR(__xludf.DUMMYFUNCTION("""COMPUTED_VALUE"""),"")</f>
        <v/>
      </c>
      <c r="T328" s="1" t="str">
        <f>IFERROR(__xludf.DUMMYFUNCTION("""COMPUTED_VALUE"""),"")</f>
        <v/>
      </c>
      <c r="U328" s="1" t="str">
        <f>IFERROR(__xludf.DUMMYFUNCTION("""COMPUTED_VALUE"""),"")</f>
        <v/>
      </c>
      <c r="V328" s="1" t="str">
        <f>IFERROR(__xludf.DUMMYFUNCTION("""COMPUTED_VALUE"""),"115,000")</f>
        <v>115,000</v>
      </c>
      <c r="W328" s="1" t="str">
        <f>IFERROR(__xludf.DUMMYFUNCTION("""COMPUTED_VALUE"""),"")</f>
        <v/>
      </c>
      <c r="X328" s="1" t="str">
        <f>IFERROR(__xludf.DUMMYFUNCTION("""COMPUTED_VALUE"""),"")</f>
        <v/>
      </c>
      <c r="Y328" s="1" t="str">
        <f>IFERROR(__xludf.DUMMYFUNCTION("""COMPUTED_VALUE"""),"")</f>
        <v/>
      </c>
      <c r="Z328" s="1" t="str">
        <f>IFERROR(__xludf.DUMMYFUNCTION("""COMPUTED_VALUE"""),"Unknown")</f>
        <v>Unknown</v>
      </c>
      <c r="AA328" s="1" t="str">
        <f>IFERROR(__xludf.DUMMYFUNCTION("""COMPUTED_VALUE"""),"")</f>
        <v/>
      </c>
      <c r="AB328" s="1" t="str">
        <f>IFERROR(__xludf.DUMMYFUNCTION("""COMPUTED_VALUE"""),"")</f>
        <v/>
      </c>
      <c r="AC328" s="1" t="str">
        <f>IFERROR(__xludf.DUMMYFUNCTION("""COMPUTED_VALUE"""),"")</f>
        <v/>
      </c>
      <c r="AD328" s="1" t="str">
        <f>IFERROR(__xludf.DUMMYFUNCTION("""COMPUTED_VALUE"""),"")</f>
        <v/>
      </c>
      <c r="AE328" s="1" t="str">
        <f>IFERROR(__xludf.DUMMYFUNCTION("""COMPUTED_VALUE"""),"")</f>
        <v/>
      </c>
      <c r="AF328" s="1" t="str">
        <f>IFERROR(__xludf.DUMMYFUNCTION("""COMPUTED_VALUE"""),"")</f>
        <v/>
      </c>
      <c r="AG328" s="1" t="str">
        <f>IFERROR(__xludf.DUMMYFUNCTION("""COMPUTED_VALUE"""),"")</f>
        <v/>
      </c>
      <c r="AH328" s="1" t="str">
        <f>IFERROR(__xludf.DUMMYFUNCTION("""COMPUTED_VALUE"""),"Media Monitoring")</f>
        <v>Media Monitoring</v>
      </c>
      <c r="AI328" s="2" t="str">
        <f>IFERROR(__xludf.DUMMYFUNCTION("""COMPUTED_VALUE"""),"https://www.datacenterdynamics.com/en/news/aligned-stream-and-nexstar-planning-data-center-campuses-in-elk-grove-area-of-chicago/")</f>
        <v>https://www.datacenterdynamics.com/en/news/aligned-stream-and-nexstar-planning-data-center-campuses-in-elk-grove-area-of-chicago/</v>
      </c>
      <c r="AJ328" s="1" t="str">
        <f>IFERROR(__xludf.DUMMYFUNCTION("""COMPUTED_VALUE"""),"")</f>
        <v/>
      </c>
      <c r="AK328" s="1" t="str">
        <f>IFERROR(__xludf.DUMMYFUNCTION("""COMPUTED_VALUE"""),"")</f>
        <v/>
      </c>
      <c r="AL328" s="1" t="str">
        <f>IFERROR(__xludf.DUMMYFUNCTION("""COMPUTED_VALUE"""),"")</f>
        <v/>
      </c>
      <c r="AM328" s="1" t="str">
        <f>IFERROR(__xludf.DUMMYFUNCTION("""COMPUTED_VALUE"""),"")</f>
        <v/>
      </c>
      <c r="AN328" s="1" t="str">
        <f>IFERROR(__xludf.DUMMYFUNCTION("""COMPUTED_VALUE"""),"")</f>
        <v/>
      </c>
      <c r="AO328" s="1" t="str">
        <f>IFERROR(__xludf.DUMMYFUNCTION("""COMPUTED_VALUE"""),"")</f>
        <v/>
      </c>
      <c r="AP328" s="1" t="str">
        <f>IFERROR(__xludf.DUMMYFUNCTION("""COMPUTED_VALUE"""),"")</f>
        <v/>
      </c>
      <c r="AQ328" s="1" t="str">
        <f>IFERROR(__xludf.DUMMYFUNCTION("""COMPUTED_VALUE"""),"06/19/2025")</f>
        <v>06/19/2025</v>
      </c>
      <c r="AR328" s="1" t="str">
        <f>IFERROR(__xludf.DUMMYFUNCTION("""COMPUTED_VALUE"""),"06/19/2025")</f>
        <v>06/19/2025</v>
      </c>
    </row>
    <row r="329">
      <c r="A329" s="1" t="str">
        <f>IFERROR(__xludf.DUMMYFUNCTION("""COMPUTED_VALUE"""),"Nexstar Media Group Data Center")</f>
        <v>Nexstar Media Group Data Center</v>
      </c>
      <c r="B329" s="1" t="str">
        <f>IFERROR(__xludf.DUMMYFUNCTION("""COMPUTED_VALUE"""),"720 Rohlwing Rd")</f>
        <v>720 Rohlwing Rd</v>
      </c>
      <c r="C329" s="1" t="str">
        <f>IFERROR(__xludf.DUMMYFUNCTION("""COMPUTED_VALUE"""),"Elk Grove Village")</f>
        <v>Elk Grove Village</v>
      </c>
      <c r="D329" s="1" t="str">
        <f>IFERROR(__xludf.DUMMYFUNCTION("""COMPUTED_VALUE"""),"IL")</f>
        <v>IL</v>
      </c>
      <c r="E329" s="1" t="str">
        <f>IFERROR(__xludf.DUMMYFUNCTION("""COMPUTED_VALUE"""),"60007")</f>
        <v>60007</v>
      </c>
      <c r="F329" s="1" t="str">
        <f>IFERROR(__xludf.DUMMYFUNCTION("""COMPUTED_VALUE"""),"Cook")</f>
        <v>Cook</v>
      </c>
      <c r="G329" s="1" t="str">
        <f>IFERROR(__xludf.DUMMYFUNCTION("""COMPUTED_VALUE"""),"42.01142")</f>
        <v>42.01142</v>
      </c>
      <c r="H329" s="1" t="str">
        <f>IFERROR(__xludf.DUMMYFUNCTION("""COMPUTED_VALUE"""),"-88.0317")</f>
        <v>-88.0317</v>
      </c>
      <c r="I329" s="1" t="str">
        <f>IFERROR(__xludf.DUMMYFUNCTION("""COMPUTED_VALUE"""),"Proposed")</f>
        <v>Proposed</v>
      </c>
      <c r="J329" s="1" t="str">
        <f>IFERROR(__xludf.DUMMYFUNCTION("""COMPUTED_VALUE"""),"High")</f>
        <v>High</v>
      </c>
      <c r="K329" s="1" t="str">
        <f>IFERROR(__xludf.DUMMYFUNCTION("""COMPUTED_VALUE"""),"")</f>
        <v/>
      </c>
      <c r="L329" s="1" t="str">
        <f>IFERROR(__xludf.DUMMYFUNCTION("""COMPUTED_VALUE"""),"")</f>
        <v/>
      </c>
      <c r="M329" s="1" t="str">
        <f>IFERROR(__xludf.DUMMYFUNCTION("""COMPUTED_VALUE"""),"")</f>
        <v/>
      </c>
      <c r="N329" s="1" t="str">
        <f>IFERROR(__xludf.DUMMYFUNCTION("""COMPUTED_VALUE"""),"")</f>
        <v/>
      </c>
      <c r="O329" s="1" t="str">
        <f>IFERROR(__xludf.DUMMYFUNCTION("""COMPUTED_VALUE"""),"Unknown")</f>
        <v>Unknown</v>
      </c>
      <c r="P329" s="1" t="str">
        <f>IFERROR(__xludf.DUMMYFUNCTION("""COMPUTED_VALUE"""),"")</f>
        <v/>
      </c>
      <c r="Q329" s="1" t="str">
        <f>IFERROR(__xludf.DUMMYFUNCTION("""COMPUTED_VALUE"""),"")</f>
        <v/>
      </c>
      <c r="R329" s="1" t="str">
        <f>IFERROR(__xludf.DUMMYFUNCTION("""COMPUTED_VALUE"""),"")</f>
        <v/>
      </c>
      <c r="S329" s="1" t="str">
        <f>IFERROR(__xludf.DUMMYFUNCTION("""COMPUTED_VALUE"""),"")</f>
        <v/>
      </c>
      <c r="T329" s="1" t="str">
        <f>IFERROR(__xludf.DUMMYFUNCTION("""COMPUTED_VALUE"""),"")</f>
        <v/>
      </c>
      <c r="U329" s="1" t="str">
        <f>IFERROR(__xludf.DUMMYFUNCTION("""COMPUTED_VALUE"""),"")</f>
        <v/>
      </c>
      <c r="V329" s="1" t="str">
        <f>IFERROR(__xludf.DUMMYFUNCTION("""COMPUTED_VALUE"""),"700,000")</f>
        <v>700,000</v>
      </c>
      <c r="W329" s="1" t="str">
        <f>IFERROR(__xludf.DUMMYFUNCTION("""COMPUTED_VALUE"""),"")</f>
        <v/>
      </c>
      <c r="X329" s="1" t="str">
        <f>IFERROR(__xludf.DUMMYFUNCTION("""COMPUTED_VALUE"""),"")</f>
        <v/>
      </c>
      <c r="Y329" s="1" t="str">
        <f>IFERROR(__xludf.DUMMYFUNCTION("""COMPUTED_VALUE"""),"")</f>
        <v/>
      </c>
      <c r="Z329" s="1" t="str">
        <f>IFERROR(__xludf.DUMMYFUNCTION("""COMPUTED_VALUE"""),"Unknown")</f>
        <v>Unknown</v>
      </c>
      <c r="AA329" s="1" t="str">
        <f>IFERROR(__xludf.DUMMYFUNCTION("""COMPUTED_VALUE"""),"")</f>
        <v/>
      </c>
      <c r="AB329" s="1" t="str">
        <f>IFERROR(__xludf.DUMMYFUNCTION("""COMPUTED_VALUE"""),"")</f>
        <v/>
      </c>
      <c r="AC329" s="1" t="str">
        <f>IFERROR(__xludf.DUMMYFUNCTION("""COMPUTED_VALUE"""),"")</f>
        <v/>
      </c>
      <c r="AD329" s="1" t="str">
        <f>IFERROR(__xludf.DUMMYFUNCTION("""COMPUTED_VALUE"""),"")</f>
        <v/>
      </c>
      <c r="AE329" s="1" t="str">
        <f>IFERROR(__xludf.DUMMYFUNCTION("""COMPUTED_VALUE"""),"")</f>
        <v/>
      </c>
      <c r="AF329" s="1" t="str">
        <f>IFERROR(__xludf.DUMMYFUNCTION("""COMPUTED_VALUE"""),"")</f>
        <v/>
      </c>
      <c r="AG329" s="1" t="str">
        <f>IFERROR(__xludf.DUMMYFUNCTION("""COMPUTED_VALUE"""),"")</f>
        <v/>
      </c>
      <c r="AH329" s="1" t="str">
        <f>IFERROR(__xludf.DUMMYFUNCTION("""COMPUTED_VALUE"""),"Media Monitoring")</f>
        <v>Media Monitoring</v>
      </c>
      <c r="AI329" s="2" t="str">
        <f>IFERROR(__xludf.DUMMYFUNCTION("""COMPUTED_VALUE"""),"https://www.datacenterdynamics.com/en/news/aligned-stream-and-nexstar-planning-data-center-campuses-in-elk-grove-area-of-chicago/")</f>
        <v>https://www.datacenterdynamics.com/en/news/aligned-stream-and-nexstar-planning-data-center-campuses-in-elk-grove-area-of-chicago/</v>
      </c>
      <c r="AJ329" s="1" t="str">
        <f>IFERROR(__xludf.DUMMYFUNCTION("""COMPUTED_VALUE"""),"")</f>
        <v/>
      </c>
      <c r="AK329" s="1" t="str">
        <f>IFERROR(__xludf.DUMMYFUNCTION("""COMPUTED_VALUE"""),"")</f>
        <v/>
      </c>
      <c r="AL329" s="1" t="str">
        <f>IFERROR(__xludf.DUMMYFUNCTION("""COMPUTED_VALUE"""),"")</f>
        <v/>
      </c>
      <c r="AM329" s="1" t="str">
        <f>IFERROR(__xludf.DUMMYFUNCTION("""COMPUTED_VALUE"""),"")</f>
        <v/>
      </c>
      <c r="AN329" s="1" t="str">
        <f>IFERROR(__xludf.DUMMYFUNCTION("""COMPUTED_VALUE"""),"")</f>
        <v/>
      </c>
      <c r="AO329" s="1" t="str">
        <f>IFERROR(__xludf.DUMMYFUNCTION("""COMPUTED_VALUE"""),"")</f>
        <v/>
      </c>
      <c r="AP329" s="1" t="str">
        <f>IFERROR(__xludf.DUMMYFUNCTION("""COMPUTED_VALUE"""),"")</f>
        <v/>
      </c>
      <c r="AQ329" s="1" t="str">
        <f>IFERROR(__xludf.DUMMYFUNCTION("""COMPUTED_VALUE"""),"06/19/2025")</f>
        <v>06/19/2025</v>
      </c>
      <c r="AR329" s="1" t="str">
        <f>IFERROR(__xludf.DUMMYFUNCTION("""COMPUTED_VALUE"""),"06/19/2025")</f>
        <v>06/19/2025</v>
      </c>
    </row>
    <row r="330">
      <c r="A330" s="1" t="str">
        <f>IFERROR(__xludf.DUMMYFUNCTION("""COMPUTED_VALUE"""),"Stream Data Center")</f>
        <v>Stream Data Center</v>
      </c>
      <c r="B330" s="1" t="str">
        <f>IFERROR(__xludf.DUMMYFUNCTION("""COMPUTED_VALUE"""),"700 Roppolo Dr")</f>
        <v>700 Roppolo Dr</v>
      </c>
      <c r="C330" s="1" t="str">
        <f>IFERROR(__xludf.DUMMYFUNCTION("""COMPUTED_VALUE"""),"Elk Grove Village")</f>
        <v>Elk Grove Village</v>
      </c>
      <c r="D330" s="1" t="str">
        <f>IFERROR(__xludf.DUMMYFUNCTION("""COMPUTED_VALUE"""),"IL")</f>
        <v>IL</v>
      </c>
      <c r="E330" s="1" t="str">
        <f>IFERROR(__xludf.DUMMYFUNCTION("""COMPUTED_VALUE"""),"60007")</f>
        <v>60007</v>
      </c>
      <c r="F330" s="1" t="str">
        <f>IFERROR(__xludf.DUMMYFUNCTION("""COMPUTED_VALUE"""),"Cook")</f>
        <v>Cook</v>
      </c>
      <c r="G330" s="1" t="str">
        <f>IFERROR(__xludf.DUMMYFUNCTION("""COMPUTED_VALUE"""),"42.01401")</f>
        <v>42.01401</v>
      </c>
      <c r="H330" s="1" t="str">
        <f>IFERROR(__xludf.DUMMYFUNCTION("""COMPUTED_VALUE"""),"-87.95375")</f>
        <v>-87.95375</v>
      </c>
      <c r="I330" s="1" t="str">
        <f>IFERROR(__xludf.DUMMYFUNCTION("""COMPUTED_VALUE"""),"Proposed")</f>
        <v>Proposed</v>
      </c>
      <c r="J330" s="1" t="str">
        <f>IFERROR(__xludf.DUMMYFUNCTION("""COMPUTED_VALUE"""),"High")</f>
        <v>High</v>
      </c>
      <c r="K330" s="1" t="str">
        <f>IFERROR(__xludf.DUMMYFUNCTION("""COMPUTED_VALUE"""),"")</f>
        <v/>
      </c>
      <c r="L330" s="1" t="str">
        <f>IFERROR(__xludf.DUMMYFUNCTION("""COMPUTED_VALUE"""),"")</f>
        <v/>
      </c>
      <c r="M330" s="1" t="str">
        <f>IFERROR(__xludf.DUMMYFUNCTION("""COMPUTED_VALUE"""),"")</f>
        <v/>
      </c>
      <c r="N330" s="1" t="str">
        <f>IFERROR(__xludf.DUMMYFUNCTION("""COMPUTED_VALUE"""),"")</f>
        <v/>
      </c>
      <c r="O330" s="1" t="str">
        <f>IFERROR(__xludf.DUMMYFUNCTION("""COMPUTED_VALUE"""),"Unknown")</f>
        <v>Unknown</v>
      </c>
      <c r="P330" s="1" t="str">
        <f>IFERROR(__xludf.DUMMYFUNCTION("""COMPUTED_VALUE"""),"")</f>
        <v/>
      </c>
      <c r="Q330" s="1" t="str">
        <f>IFERROR(__xludf.DUMMYFUNCTION("""COMPUTED_VALUE"""),"")</f>
        <v/>
      </c>
      <c r="R330" s="1" t="str">
        <f>IFERROR(__xludf.DUMMYFUNCTION("""COMPUTED_VALUE"""),"")</f>
        <v/>
      </c>
      <c r="S330" s="1" t="str">
        <f>IFERROR(__xludf.DUMMYFUNCTION("""COMPUTED_VALUE"""),"")</f>
        <v/>
      </c>
      <c r="T330" s="1" t="str">
        <f>IFERROR(__xludf.DUMMYFUNCTION("""COMPUTED_VALUE"""),"")</f>
        <v/>
      </c>
      <c r="U330" s="1" t="str">
        <f>IFERROR(__xludf.DUMMYFUNCTION("""COMPUTED_VALUE"""),"")</f>
        <v/>
      </c>
      <c r="V330" s="1" t="str">
        <f>IFERROR(__xludf.DUMMYFUNCTION("""COMPUTED_VALUE"""),"")</f>
        <v/>
      </c>
      <c r="W330" s="1" t="str">
        <f>IFERROR(__xludf.DUMMYFUNCTION("""COMPUTED_VALUE"""),"")</f>
        <v/>
      </c>
      <c r="X330" s="1" t="str">
        <f>IFERROR(__xludf.DUMMYFUNCTION("""COMPUTED_VALUE"""),"")</f>
        <v/>
      </c>
      <c r="Y330" s="1" t="str">
        <f>IFERROR(__xludf.DUMMYFUNCTION("""COMPUTED_VALUE"""),"")</f>
        <v/>
      </c>
      <c r="Z330" s="1" t="str">
        <f>IFERROR(__xludf.DUMMYFUNCTION("""COMPUTED_VALUE"""),"Unknown")</f>
        <v>Unknown</v>
      </c>
      <c r="AA330" s="1" t="str">
        <f>IFERROR(__xludf.DUMMYFUNCTION("""COMPUTED_VALUE"""),"")</f>
        <v/>
      </c>
      <c r="AB330" s="1" t="str">
        <f>IFERROR(__xludf.DUMMYFUNCTION("""COMPUTED_VALUE"""),"")</f>
        <v/>
      </c>
      <c r="AC330" s="1" t="str">
        <f>IFERROR(__xludf.DUMMYFUNCTION("""COMPUTED_VALUE"""),"")</f>
        <v/>
      </c>
      <c r="AD330" s="1" t="str">
        <f>IFERROR(__xludf.DUMMYFUNCTION("""COMPUTED_VALUE"""),"")</f>
        <v/>
      </c>
      <c r="AE330" s="1" t="str">
        <f>IFERROR(__xludf.DUMMYFUNCTION("""COMPUTED_VALUE"""),"")</f>
        <v/>
      </c>
      <c r="AF330" s="1" t="str">
        <f>IFERROR(__xludf.DUMMYFUNCTION("""COMPUTED_VALUE"""),"")</f>
        <v/>
      </c>
      <c r="AG330" s="1" t="str">
        <f>IFERROR(__xludf.DUMMYFUNCTION("""COMPUTED_VALUE"""),"Demolition of 57 residential properties")</f>
        <v>Demolition of 57 residential properties</v>
      </c>
      <c r="AH330" s="1" t="str">
        <f>IFERROR(__xludf.DUMMYFUNCTION("""COMPUTED_VALUE"""),"Media Monitoring")</f>
        <v>Media Monitoring</v>
      </c>
      <c r="AI330" s="2" t="str">
        <f>IFERROR(__xludf.DUMMYFUNCTION("""COMPUTED_VALUE"""),"https://www.datacenterdynamics.com/en/news/aligned-stream-and-nexstar-planning-data-center-campuses-in-elk-grove-area-of-chicago/")</f>
        <v>https://www.datacenterdynamics.com/en/news/aligned-stream-and-nexstar-planning-data-center-campuses-in-elk-grove-area-of-chicago/</v>
      </c>
      <c r="AJ330" s="1" t="str">
        <f>IFERROR(__xludf.DUMMYFUNCTION("""COMPUTED_VALUE"""),"")</f>
        <v/>
      </c>
      <c r="AK330" s="1" t="str">
        <f>IFERROR(__xludf.DUMMYFUNCTION("""COMPUTED_VALUE"""),"")</f>
        <v/>
      </c>
      <c r="AL330" s="1" t="str">
        <f>IFERROR(__xludf.DUMMYFUNCTION("""COMPUTED_VALUE"""),"")</f>
        <v/>
      </c>
      <c r="AM330" s="1" t="str">
        <f>IFERROR(__xludf.DUMMYFUNCTION("""COMPUTED_VALUE"""),"")</f>
        <v/>
      </c>
      <c r="AN330" s="1" t="str">
        <f>IFERROR(__xludf.DUMMYFUNCTION("""COMPUTED_VALUE"""),"")</f>
        <v/>
      </c>
      <c r="AO330" s="1" t="str">
        <f>IFERROR(__xludf.DUMMYFUNCTION("""COMPUTED_VALUE"""),"")</f>
        <v/>
      </c>
      <c r="AP330" s="1" t="str">
        <f>IFERROR(__xludf.DUMMYFUNCTION("""COMPUTED_VALUE"""),"")</f>
        <v/>
      </c>
      <c r="AQ330" s="1" t="str">
        <f>IFERROR(__xludf.DUMMYFUNCTION("""COMPUTED_VALUE"""),"06/19/2025")</f>
        <v>06/19/2025</v>
      </c>
      <c r="AR330" s="1" t="str">
        <f>IFERROR(__xludf.DUMMYFUNCTION("""COMPUTED_VALUE"""),"06/19/2025")</f>
        <v>06/19/2025</v>
      </c>
    </row>
    <row r="331">
      <c r="A331" s="1" t="str">
        <f>IFERROR(__xludf.DUMMYFUNCTION("""COMPUTED_VALUE"""),"Stream Data Center: Chicago 1")</f>
        <v>Stream Data Center: Chicago 1</v>
      </c>
      <c r="B331" s="1" t="str">
        <f>IFERROR(__xludf.DUMMYFUNCTION("""COMPUTED_VALUE"""),"2080 Lunt Ave")</f>
        <v>2080 Lunt Ave</v>
      </c>
      <c r="C331" s="1" t="str">
        <f>IFERROR(__xludf.DUMMYFUNCTION("""COMPUTED_VALUE"""),"Elk Grove Village")</f>
        <v>Elk Grove Village</v>
      </c>
      <c r="D331" s="1" t="str">
        <f>IFERROR(__xludf.DUMMYFUNCTION("""COMPUTED_VALUE"""),"IL")</f>
        <v>IL</v>
      </c>
      <c r="E331" s="1" t="str">
        <f>IFERROR(__xludf.DUMMYFUNCTION("""COMPUTED_VALUE"""),"60007")</f>
        <v>60007</v>
      </c>
      <c r="F331" s="1" t="str">
        <f>IFERROR(__xludf.DUMMYFUNCTION("""COMPUTED_VALUE"""),"Cook")</f>
        <v>Cook</v>
      </c>
      <c r="G331" s="1" t="str">
        <f>IFERROR(__xludf.DUMMYFUNCTION("""COMPUTED_VALUE"""),"42.00269")</f>
        <v>42.00269</v>
      </c>
      <c r="H331" s="1" t="str">
        <f>IFERROR(__xludf.DUMMYFUNCTION("""COMPUTED_VALUE"""),"-87.9518")</f>
        <v>-87.9518</v>
      </c>
      <c r="I331" s="1" t="str">
        <f>IFERROR(__xludf.DUMMYFUNCTION("""COMPUTED_VALUE"""),"Operating")</f>
        <v>Operating</v>
      </c>
      <c r="J331" s="1" t="str">
        <f>IFERROR(__xludf.DUMMYFUNCTION("""COMPUTED_VALUE"""),"High")</f>
        <v>High</v>
      </c>
      <c r="K331" s="1" t="str">
        <f>IFERROR(__xludf.DUMMYFUNCTION("""COMPUTED_VALUE"""),"")</f>
        <v/>
      </c>
      <c r="L331" s="1" t="str">
        <f>IFERROR(__xludf.DUMMYFUNCTION("""COMPUTED_VALUE"""),"")</f>
        <v/>
      </c>
      <c r="M331" s="1" t="str">
        <f>IFERROR(__xludf.DUMMYFUNCTION("""COMPUTED_VALUE"""),"")</f>
        <v/>
      </c>
      <c r="N331" s="1" t="str">
        <f>IFERROR(__xludf.DUMMYFUNCTION("""COMPUTED_VALUE"""),"15")</f>
        <v>15</v>
      </c>
      <c r="O331" s="1" t="str">
        <f>IFERROR(__xludf.DUMMYFUNCTION("""COMPUTED_VALUE"""),"Medium (11-50 MW)")</f>
        <v>Medium (11-50 MW)</v>
      </c>
      <c r="P331" s="1" t="str">
        <f>IFERROR(__xludf.DUMMYFUNCTION("""COMPUTED_VALUE"""),"")</f>
        <v/>
      </c>
      <c r="Q331" s="1" t="str">
        <f>IFERROR(__xludf.DUMMYFUNCTION("""COMPUTED_VALUE"""),"")</f>
        <v/>
      </c>
      <c r="R331" s="1" t="str">
        <f>IFERROR(__xludf.DUMMYFUNCTION("""COMPUTED_VALUE"""),"")</f>
        <v/>
      </c>
      <c r="S331" s="1" t="str">
        <f>IFERROR(__xludf.DUMMYFUNCTION("""COMPUTED_VALUE"""),"")</f>
        <v/>
      </c>
      <c r="T331" s="1" t="str">
        <f>IFERROR(__xludf.DUMMYFUNCTION("""COMPUTED_VALUE"""),"")</f>
        <v/>
      </c>
      <c r="U331" s="1" t="str">
        <f>IFERROR(__xludf.DUMMYFUNCTION("""COMPUTED_VALUE"""),"")</f>
        <v/>
      </c>
      <c r="V331" s="1" t="str">
        <f>IFERROR(__xludf.DUMMYFUNCTION("""COMPUTED_VALUE"""),"126,689")</f>
        <v>126,689</v>
      </c>
      <c r="W331" s="1" t="str">
        <f>IFERROR(__xludf.DUMMYFUNCTION("""COMPUTED_VALUE"""),"")</f>
        <v/>
      </c>
      <c r="X331" s="1" t="str">
        <f>IFERROR(__xludf.DUMMYFUNCTION("""COMPUTED_VALUE"""),"")</f>
        <v/>
      </c>
      <c r="Y331" s="1" t="str">
        <f>IFERROR(__xludf.DUMMYFUNCTION("""COMPUTED_VALUE"""),"")</f>
        <v/>
      </c>
      <c r="Z331" s="1" t="str">
        <f>IFERROR(__xludf.DUMMYFUNCTION("""COMPUTED_VALUE"""),"Unknown")</f>
        <v>Unknown</v>
      </c>
      <c r="AA331" s="1" t="str">
        <f>IFERROR(__xludf.DUMMYFUNCTION("""COMPUTED_VALUE"""),"")</f>
        <v/>
      </c>
      <c r="AB331" s="1" t="str">
        <f>IFERROR(__xludf.DUMMYFUNCTION("""COMPUTED_VALUE"""),"")</f>
        <v/>
      </c>
      <c r="AC331" s="1" t="str">
        <f>IFERROR(__xludf.DUMMYFUNCTION("""COMPUTED_VALUE"""),"")</f>
        <v/>
      </c>
      <c r="AD331" s="1" t="str">
        <f>IFERROR(__xludf.DUMMYFUNCTION("""COMPUTED_VALUE"""),"")</f>
        <v/>
      </c>
      <c r="AE331" s="1" t="str">
        <f>IFERROR(__xludf.DUMMYFUNCTION("""COMPUTED_VALUE"""),"")</f>
        <v/>
      </c>
      <c r="AF331" s="1" t="str">
        <f>IFERROR(__xludf.DUMMYFUNCTION("""COMPUTED_VALUE"""),"")</f>
        <v/>
      </c>
      <c r="AG331" s="1" t="str">
        <f>IFERROR(__xludf.DUMMYFUNCTION("""COMPUTED_VALUE"""),"")</f>
        <v/>
      </c>
      <c r="AH331" s="1" t="str">
        <f>IFERROR(__xludf.DUMMYFUNCTION("""COMPUTED_VALUE"""),"Media Monitoring")</f>
        <v>Media Monitoring</v>
      </c>
      <c r="AI331" s="2" t="str">
        <f>IFERROR(__xludf.DUMMYFUNCTION("""COMPUTED_VALUE"""),"https://www.datacenterdynamics.com/en/news/aligned-stream-and-nexstar-planning-data-center-campuses-in-elk-grove-area-of-chicago/")</f>
        <v>https://www.datacenterdynamics.com/en/news/aligned-stream-and-nexstar-planning-data-center-campuses-in-elk-grove-area-of-chicago/</v>
      </c>
      <c r="AJ331" s="1" t="str">
        <f>IFERROR(__xludf.DUMMYFUNCTION("""COMPUTED_VALUE"""),"")</f>
        <v/>
      </c>
      <c r="AK331" s="1" t="str">
        <f>IFERROR(__xludf.DUMMYFUNCTION("""COMPUTED_VALUE"""),"")</f>
        <v/>
      </c>
      <c r="AL331" s="1" t="str">
        <f>IFERROR(__xludf.DUMMYFUNCTION("""COMPUTED_VALUE"""),"")</f>
        <v/>
      </c>
      <c r="AM331" s="1" t="str">
        <f>IFERROR(__xludf.DUMMYFUNCTION("""COMPUTED_VALUE"""),"")</f>
        <v/>
      </c>
      <c r="AN331" s="1" t="str">
        <f>IFERROR(__xludf.DUMMYFUNCTION("""COMPUTED_VALUE"""),"")</f>
        <v/>
      </c>
      <c r="AO331" s="1" t="str">
        <f>IFERROR(__xludf.DUMMYFUNCTION("""COMPUTED_VALUE"""),"")</f>
        <v/>
      </c>
      <c r="AP331" s="1" t="str">
        <f>IFERROR(__xludf.DUMMYFUNCTION("""COMPUTED_VALUE"""),"")</f>
        <v/>
      </c>
      <c r="AQ331" s="1" t="str">
        <f>IFERROR(__xludf.DUMMYFUNCTION("""COMPUTED_VALUE"""),"06/19/2025")</f>
        <v>06/19/2025</v>
      </c>
      <c r="AR331" s="1" t="str">
        <f>IFERROR(__xludf.DUMMYFUNCTION("""COMPUTED_VALUE"""),"03/11/2026")</f>
        <v>03/11/2026</v>
      </c>
    </row>
    <row r="332">
      <c r="A332" s="1" t="str">
        <f>IFERROR(__xludf.DUMMYFUNCTION("""COMPUTED_VALUE"""),"Stream Data Center: Chicago 2")</f>
        <v>Stream Data Center: Chicago 2</v>
      </c>
      <c r="B332" s="1" t="str">
        <f>IFERROR(__xludf.DUMMYFUNCTION("""COMPUTED_VALUE"""),"1925 Busse Road")</f>
        <v>1925 Busse Road</v>
      </c>
      <c r="C332" s="1" t="str">
        <f>IFERROR(__xludf.DUMMYFUNCTION("""COMPUTED_VALUE"""),"Elk Grove Village")</f>
        <v>Elk Grove Village</v>
      </c>
      <c r="D332" s="1" t="str">
        <f>IFERROR(__xludf.DUMMYFUNCTION("""COMPUTED_VALUE"""),"IL")</f>
        <v>IL</v>
      </c>
      <c r="E332" s="1" t="str">
        <f>IFERROR(__xludf.DUMMYFUNCTION("""COMPUTED_VALUE"""),"60007")</f>
        <v>60007</v>
      </c>
      <c r="F332" s="1" t="str">
        <f>IFERROR(__xludf.DUMMYFUNCTION("""COMPUTED_VALUE"""),"Cook")</f>
        <v>Cook</v>
      </c>
      <c r="G332" s="1" t="str">
        <f>IFERROR(__xludf.DUMMYFUNCTION("""COMPUTED_VALUE"""),"41.99923")</f>
        <v>41.99923</v>
      </c>
      <c r="H332" s="1" t="str">
        <f>IFERROR(__xludf.DUMMYFUNCTION("""COMPUTED_VALUE"""),"-87.9578")</f>
        <v>-87.9578</v>
      </c>
      <c r="I332" s="1" t="str">
        <f>IFERROR(__xludf.DUMMYFUNCTION("""COMPUTED_VALUE"""),"Operating")</f>
        <v>Operating</v>
      </c>
      <c r="J332" s="1" t="str">
        <f>IFERROR(__xludf.DUMMYFUNCTION("""COMPUTED_VALUE"""),"High")</f>
        <v>High</v>
      </c>
      <c r="K332" s="1" t="str">
        <f>IFERROR(__xludf.DUMMYFUNCTION("""COMPUTED_VALUE"""),"")</f>
        <v/>
      </c>
      <c r="L332" s="1" t="str">
        <f>IFERROR(__xludf.DUMMYFUNCTION("""COMPUTED_VALUE"""),"")</f>
        <v/>
      </c>
      <c r="M332" s="1" t="str">
        <f>IFERROR(__xludf.DUMMYFUNCTION("""COMPUTED_VALUE"""),"")</f>
        <v/>
      </c>
      <c r="N332" s="1" t="str">
        <f>IFERROR(__xludf.DUMMYFUNCTION("""COMPUTED_VALUE"""),"32")</f>
        <v>32</v>
      </c>
      <c r="O332" s="1" t="str">
        <f>IFERROR(__xludf.DUMMYFUNCTION("""COMPUTED_VALUE"""),"Medium (11-50 MW)")</f>
        <v>Medium (11-50 MW)</v>
      </c>
      <c r="P332" s="1" t="str">
        <f>IFERROR(__xludf.DUMMYFUNCTION("""COMPUTED_VALUE"""),"")</f>
        <v/>
      </c>
      <c r="Q332" s="1" t="str">
        <f>IFERROR(__xludf.DUMMYFUNCTION("""COMPUTED_VALUE"""),"")</f>
        <v/>
      </c>
      <c r="R332" s="1" t="str">
        <f>IFERROR(__xludf.DUMMYFUNCTION("""COMPUTED_VALUE"""),"")</f>
        <v/>
      </c>
      <c r="S332" s="1" t="str">
        <f>IFERROR(__xludf.DUMMYFUNCTION("""COMPUTED_VALUE"""),"")</f>
        <v/>
      </c>
      <c r="T332" s="1" t="str">
        <f>IFERROR(__xludf.DUMMYFUNCTION("""COMPUTED_VALUE"""),"")</f>
        <v/>
      </c>
      <c r="U332" s="1" t="str">
        <f>IFERROR(__xludf.DUMMYFUNCTION("""COMPUTED_VALUE"""),"")</f>
        <v/>
      </c>
      <c r="V332" s="1" t="str">
        <f>IFERROR(__xludf.DUMMYFUNCTION("""COMPUTED_VALUE"""),"226,000")</f>
        <v>226,000</v>
      </c>
      <c r="W332" s="1" t="str">
        <f>IFERROR(__xludf.DUMMYFUNCTION("""COMPUTED_VALUE"""),"")</f>
        <v/>
      </c>
      <c r="X332" s="1" t="str">
        <f>IFERROR(__xludf.DUMMYFUNCTION("""COMPUTED_VALUE"""),"")</f>
        <v/>
      </c>
      <c r="Y332" s="1" t="str">
        <f>IFERROR(__xludf.DUMMYFUNCTION("""COMPUTED_VALUE"""),"")</f>
        <v/>
      </c>
      <c r="Z332" s="1" t="str">
        <f>IFERROR(__xludf.DUMMYFUNCTION("""COMPUTED_VALUE"""),"Unknown")</f>
        <v>Unknown</v>
      </c>
      <c r="AA332" s="1" t="str">
        <f>IFERROR(__xludf.DUMMYFUNCTION("""COMPUTED_VALUE"""),"")</f>
        <v/>
      </c>
      <c r="AB332" s="1" t="str">
        <f>IFERROR(__xludf.DUMMYFUNCTION("""COMPUTED_VALUE"""),"")</f>
        <v/>
      </c>
      <c r="AC332" s="1" t="str">
        <f>IFERROR(__xludf.DUMMYFUNCTION("""COMPUTED_VALUE"""),"")</f>
        <v/>
      </c>
      <c r="AD332" s="1" t="str">
        <f>IFERROR(__xludf.DUMMYFUNCTION("""COMPUTED_VALUE"""),"")</f>
        <v/>
      </c>
      <c r="AE332" s="1" t="str">
        <f>IFERROR(__xludf.DUMMYFUNCTION("""COMPUTED_VALUE"""),"")</f>
        <v/>
      </c>
      <c r="AF332" s="1" t="str">
        <f>IFERROR(__xludf.DUMMYFUNCTION("""COMPUTED_VALUE"""),"")</f>
        <v/>
      </c>
      <c r="AG332" s="1" t="str">
        <f>IFERROR(__xludf.DUMMYFUNCTION("""COMPUTED_VALUE"""),"")</f>
        <v/>
      </c>
      <c r="AH332" s="1" t="str">
        <f>IFERROR(__xludf.DUMMYFUNCTION("""COMPUTED_VALUE"""),"Media Monitoring")</f>
        <v>Media Monitoring</v>
      </c>
      <c r="AI332" s="2" t="str">
        <f>IFERROR(__xludf.DUMMYFUNCTION("""COMPUTED_VALUE"""),"https://www.datacenterdynamics.com/en/news/aligned-stream-and-nexstar-planning-data-center-campuses-in-elk-grove-area-of-chicago/")</f>
        <v>https://www.datacenterdynamics.com/en/news/aligned-stream-and-nexstar-planning-data-center-campuses-in-elk-grove-area-of-chicago/</v>
      </c>
      <c r="AJ332" s="1" t="str">
        <f>IFERROR(__xludf.DUMMYFUNCTION("""COMPUTED_VALUE"""),"")</f>
        <v/>
      </c>
      <c r="AK332" s="1" t="str">
        <f>IFERROR(__xludf.DUMMYFUNCTION("""COMPUTED_VALUE"""),"")</f>
        <v/>
      </c>
      <c r="AL332" s="1" t="str">
        <f>IFERROR(__xludf.DUMMYFUNCTION("""COMPUTED_VALUE"""),"")</f>
        <v/>
      </c>
      <c r="AM332" s="1" t="str">
        <f>IFERROR(__xludf.DUMMYFUNCTION("""COMPUTED_VALUE"""),"")</f>
        <v/>
      </c>
      <c r="AN332" s="1" t="str">
        <f>IFERROR(__xludf.DUMMYFUNCTION("""COMPUTED_VALUE"""),"")</f>
        <v/>
      </c>
      <c r="AO332" s="1" t="str">
        <f>IFERROR(__xludf.DUMMYFUNCTION("""COMPUTED_VALUE"""),"")</f>
        <v/>
      </c>
      <c r="AP332" s="1" t="str">
        <f>IFERROR(__xludf.DUMMYFUNCTION("""COMPUTED_VALUE"""),"")</f>
        <v/>
      </c>
      <c r="AQ332" s="1" t="str">
        <f>IFERROR(__xludf.DUMMYFUNCTION("""COMPUTED_VALUE"""),"06/19/2025")</f>
        <v>06/19/2025</v>
      </c>
      <c r="AR332" s="1" t="str">
        <f>IFERROR(__xludf.DUMMYFUNCTION("""COMPUTED_VALUE"""),"03/11/2026")</f>
        <v>03/11/2026</v>
      </c>
    </row>
    <row r="333">
      <c r="A333" s="1" t="str">
        <f>IFERROR(__xludf.DUMMYFUNCTION("""COMPUTED_VALUE"""),"T5 Data Center")</f>
        <v>T5 Data Center</v>
      </c>
      <c r="B333" s="1" t="str">
        <f>IFERROR(__xludf.DUMMYFUNCTION("""COMPUTED_VALUE"""),"200 Innovation Dr")</f>
        <v>200 Innovation Dr</v>
      </c>
      <c r="C333" s="1" t="str">
        <f>IFERROR(__xludf.DUMMYFUNCTION("""COMPUTED_VALUE"""),"Elk Grove Village")</f>
        <v>Elk Grove Village</v>
      </c>
      <c r="D333" s="1" t="str">
        <f>IFERROR(__xludf.DUMMYFUNCTION("""COMPUTED_VALUE"""),"IL")</f>
        <v>IL</v>
      </c>
      <c r="E333" s="1" t="str">
        <f>IFERROR(__xludf.DUMMYFUNCTION("""COMPUTED_VALUE"""),"60007")</f>
        <v>60007</v>
      </c>
      <c r="F333" s="1" t="str">
        <f>IFERROR(__xludf.DUMMYFUNCTION("""COMPUTED_VALUE"""),"Cook")</f>
        <v>Cook</v>
      </c>
      <c r="G333" s="1" t="str">
        <f>IFERROR(__xludf.DUMMYFUNCTION("""COMPUTED_VALUE"""),"42.02308")</f>
        <v>42.02308</v>
      </c>
      <c r="H333" s="1" t="str">
        <f>IFERROR(__xludf.DUMMYFUNCTION("""COMPUTED_VALUE"""),"-87.9757")</f>
        <v>-87.9757</v>
      </c>
      <c r="I333" s="1" t="str">
        <f>IFERROR(__xludf.DUMMYFUNCTION("""COMPUTED_VALUE"""),"Approved/Permitted/Under construction")</f>
        <v>Approved/Permitted/Under construction</v>
      </c>
      <c r="J333" s="1" t="str">
        <f>IFERROR(__xludf.DUMMYFUNCTION("""COMPUTED_VALUE"""),"High")</f>
        <v>High</v>
      </c>
      <c r="K333" s="1" t="str">
        <f>IFERROR(__xludf.DUMMYFUNCTION("""COMPUTED_VALUE"""),"")</f>
        <v/>
      </c>
      <c r="L333" s="1" t="str">
        <f>IFERROR(__xludf.DUMMYFUNCTION("""COMPUTED_VALUE"""),"")</f>
        <v/>
      </c>
      <c r="M333" s="1" t="str">
        <f>IFERROR(__xludf.DUMMYFUNCTION("""COMPUTED_VALUE"""),"")</f>
        <v/>
      </c>
      <c r="N333" s="1" t="str">
        <f>IFERROR(__xludf.DUMMYFUNCTION("""COMPUTED_VALUE"""),"36")</f>
        <v>36</v>
      </c>
      <c r="O333" s="1" t="str">
        <f>IFERROR(__xludf.DUMMYFUNCTION("""COMPUTED_VALUE"""),"Medium (11-50 MW)")</f>
        <v>Medium (11-50 MW)</v>
      </c>
      <c r="P333" s="1" t="str">
        <f>IFERROR(__xludf.DUMMYFUNCTION("""COMPUTED_VALUE"""),"")</f>
        <v/>
      </c>
      <c r="Q333" s="1" t="str">
        <f>IFERROR(__xludf.DUMMYFUNCTION("""COMPUTED_VALUE"""),"")</f>
        <v/>
      </c>
      <c r="R333" s="1" t="str">
        <f>IFERROR(__xludf.DUMMYFUNCTION("""COMPUTED_VALUE"""),"")</f>
        <v/>
      </c>
      <c r="S333" s="1" t="str">
        <f>IFERROR(__xludf.DUMMYFUNCTION("""COMPUTED_VALUE"""),"")</f>
        <v/>
      </c>
      <c r="T333" s="1" t="str">
        <f>IFERROR(__xludf.DUMMYFUNCTION("""COMPUTED_VALUE"""),"")</f>
        <v/>
      </c>
      <c r="U333" s="1" t="str">
        <f>IFERROR(__xludf.DUMMYFUNCTION("""COMPUTED_VALUE"""),"")</f>
        <v/>
      </c>
      <c r="V333" s="1" t="str">
        <f>IFERROR(__xludf.DUMMYFUNCTION("""COMPUTED_VALUE"""),"250,000")</f>
        <v>250,000</v>
      </c>
      <c r="W333" s="1" t="str">
        <f>IFERROR(__xludf.DUMMYFUNCTION("""COMPUTED_VALUE"""),"")</f>
        <v/>
      </c>
      <c r="X333" s="1" t="str">
        <f>IFERROR(__xludf.DUMMYFUNCTION("""COMPUTED_VALUE"""),"")</f>
        <v/>
      </c>
      <c r="Y333" s="1" t="str">
        <f>IFERROR(__xludf.DUMMYFUNCTION("""COMPUTED_VALUE"""),"")</f>
        <v/>
      </c>
      <c r="Z333" s="1" t="str">
        <f>IFERROR(__xludf.DUMMYFUNCTION("""COMPUTED_VALUE"""),"Unknown")</f>
        <v>Unknown</v>
      </c>
      <c r="AA333" s="1" t="str">
        <f>IFERROR(__xludf.DUMMYFUNCTION("""COMPUTED_VALUE"""),"")</f>
        <v/>
      </c>
      <c r="AB333" s="1" t="str">
        <f>IFERROR(__xludf.DUMMYFUNCTION("""COMPUTED_VALUE"""),"")</f>
        <v/>
      </c>
      <c r="AC333" s="1" t="str">
        <f>IFERROR(__xludf.DUMMYFUNCTION("""COMPUTED_VALUE"""),"")</f>
        <v/>
      </c>
      <c r="AD333" s="1" t="str">
        <f>IFERROR(__xludf.DUMMYFUNCTION("""COMPUTED_VALUE"""),"")</f>
        <v/>
      </c>
      <c r="AE333" s="1" t="str">
        <f>IFERROR(__xludf.DUMMYFUNCTION("""COMPUTED_VALUE"""),"")</f>
        <v/>
      </c>
      <c r="AF333" s="1" t="str">
        <f>IFERROR(__xludf.DUMMYFUNCTION("""COMPUTED_VALUE"""),"")</f>
        <v/>
      </c>
      <c r="AG333" s="1" t="str">
        <f>IFERROR(__xludf.DUMMYFUNCTION("""COMPUTED_VALUE"""),"")</f>
        <v/>
      </c>
      <c r="AH333" s="1" t="str">
        <f>IFERROR(__xludf.DUMMYFUNCTION("""COMPUTED_VALUE"""),"Media Monitoring")</f>
        <v>Media Monitoring</v>
      </c>
      <c r="AI333" s="2" t="str">
        <f>IFERROR(__xludf.DUMMYFUNCTION("""COMPUTED_VALUE"""),"https://www.datacenterdynamics.com/en/news/t5-data-center-in-illinois-topped-out/")</f>
        <v>https://www.datacenterdynamics.com/en/news/t5-data-center-in-illinois-topped-out/</v>
      </c>
      <c r="AJ333" s="1" t="str">
        <f>IFERROR(__xludf.DUMMYFUNCTION("""COMPUTED_VALUE"""),"")</f>
        <v/>
      </c>
      <c r="AK333" s="1" t="str">
        <f>IFERROR(__xludf.DUMMYFUNCTION("""COMPUTED_VALUE"""),"")</f>
        <v/>
      </c>
      <c r="AL333" s="1" t="str">
        <f>IFERROR(__xludf.DUMMYFUNCTION("""COMPUTED_VALUE"""),"")</f>
        <v/>
      </c>
      <c r="AM333" s="1" t="str">
        <f>IFERROR(__xludf.DUMMYFUNCTION("""COMPUTED_VALUE"""),"")</f>
        <v/>
      </c>
      <c r="AN333" s="1" t="str">
        <f>IFERROR(__xludf.DUMMYFUNCTION("""COMPUTED_VALUE"""),"")</f>
        <v/>
      </c>
      <c r="AO333" s="1" t="str">
        <f>IFERROR(__xludf.DUMMYFUNCTION("""COMPUTED_VALUE"""),"")</f>
        <v/>
      </c>
      <c r="AP333" s="1" t="str">
        <f>IFERROR(__xludf.DUMMYFUNCTION("""COMPUTED_VALUE"""),"")</f>
        <v/>
      </c>
      <c r="AQ333" s="1" t="str">
        <f>IFERROR(__xludf.DUMMYFUNCTION("""COMPUTED_VALUE"""),"05/27/2025")</f>
        <v>05/27/2025</v>
      </c>
      <c r="AR333" s="1" t="str">
        <f>IFERROR(__xludf.DUMMYFUNCTION("""COMPUTED_VALUE"""),"03/11/2026")</f>
        <v>03/11/2026</v>
      </c>
    </row>
    <row r="334">
      <c r="A334" s="1" t="str">
        <f>IFERROR(__xludf.DUMMYFUNCTION("""COMPUTED_VALUE"""),"Western Hospitality Partners Data Center")</f>
        <v>Western Hospitality Partners Data Center</v>
      </c>
      <c r="B334" s="1" t="str">
        <f>IFERROR(__xludf.DUMMYFUNCTION("""COMPUTED_VALUE"""),"Lutticken Farm,  between IL Hwy 98 and Sheridan Rd")</f>
        <v>Lutticken Farm,  between IL Hwy 98 and Sheridan Rd</v>
      </c>
      <c r="C334" s="1" t="str">
        <f>IFERROR(__xludf.DUMMYFUNCTION("""COMPUTED_VALUE"""),"Groveland Twp")</f>
        <v>Groveland Twp</v>
      </c>
      <c r="D334" s="1" t="str">
        <f>IFERROR(__xludf.DUMMYFUNCTION("""COMPUTED_VALUE"""),"IL")</f>
        <v>IL</v>
      </c>
      <c r="E334" s="1" t="str">
        <f>IFERROR(__xludf.DUMMYFUNCTION("""COMPUTED_VALUE"""),"61554")</f>
        <v>61554</v>
      </c>
      <c r="F334" s="1" t="str">
        <f>IFERROR(__xludf.DUMMYFUNCTION("""COMPUTED_VALUE"""),"Tazewell")</f>
        <v>Tazewell</v>
      </c>
      <c r="G334" s="1" t="str">
        <f>IFERROR(__xludf.DUMMYFUNCTION("""COMPUTED_VALUE"""),"40.59457")</f>
        <v>40.59457</v>
      </c>
      <c r="H334" s="1" t="str">
        <f>IFERROR(__xludf.DUMMYFUNCTION("""COMPUTED_VALUE"""),"-89.590225")</f>
        <v>-89.590225</v>
      </c>
      <c r="I334" s="1" t="str">
        <f>IFERROR(__xludf.DUMMYFUNCTION("""COMPUTED_VALUE"""),"Cancelled")</f>
        <v>Cancelled</v>
      </c>
      <c r="J334" s="1" t="str">
        <f>IFERROR(__xludf.DUMMYFUNCTION("""COMPUTED_VALUE"""),"High")</f>
        <v>High</v>
      </c>
      <c r="K334" s="1" t="str">
        <f>IFERROR(__xludf.DUMMYFUNCTION("""COMPUTED_VALUE"""),"")</f>
        <v/>
      </c>
      <c r="L334" s="1" t="str">
        <f>IFERROR(__xludf.DUMMYFUNCTION("""COMPUTED_VALUE"""),"")</f>
        <v/>
      </c>
      <c r="M334" s="1" t="str">
        <f>IFERROR(__xludf.DUMMYFUNCTION("""COMPUTED_VALUE"""),"")</f>
        <v/>
      </c>
      <c r="N334" s="1" t="str">
        <f>IFERROR(__xludf.DUMMYFUNCTION("""COMPUTED_VALUE"""),"")</f>
        <v/>
      </c>
      <c r="O334" s="1" t="str">
        <f>IFERROR(__xludf.DUMMYFUNCTION("""COMPUTED_VALUE"""),"Unknown")</f>
        <v>Unknown</v>
      </c>
      <c r="P334" s="1" t="str">
        <f>IFERROR(__xludf.DUMMYFUNCTION("""COMPUTED_VALUE"""),"")</f>
        <v/>
      </c>
      <c r="Q334" s="1" t="str">
        <f>IFERROR(__xludf.DUMMYFUNCTION("""COMPUTED_VALUE"""),"")</f>
        <v/>
      </c>
      <c r="R334" s="1" t="str">
        <f>IFERROR(__xludf.DUMMYFUNCTION("""COMPUTED_VALUE"""),"")</f>
        <v/>
      </c>
      <c r="S334" s="1" t="str">
        <f>IFERROR(__xludf.DUMMYFUNCTION("""COMPUTED_VALUE"""),"")</f>
        <v/>
      </c>
      <c r="T334" s="1" t="str">
        <f>IFERROR(__xludf.DUMMYFUNCTION("""COMPUTED_VALUE"""),"")</f>
        <v/>
      </c>
      <c r="U334" s="1" t="str">
        <f>IFERROR(__xludf.DUMMYFUNCTION("""COMPUTED_VALUE"""),"")</f>
        <v/>
      </c>
      <c r="V334" s="1" t="str">
        <f>IFERROR(__xludf.DUMMYFUNCTION("""COMPUTED_VALUE"""),"")</f>
        <v/>
      </c>
      <c r="W334" s="1" t="str">
        <f>IFERROR(__xludf.DUMMYFUNCTION("""COMPUTED_VALUE"""),"320")</f>
        <v>320</v>
      </c>
      <c r="X334" s="1" t="str">
        <f>IFERROR(__xludf.DUMMYFUNCTION("""COMPUTED_VALUE"""),"")</f>
        <v/>
      </c>
      <c r="Y334" s="1" t="str">
        <f>IFERROR(__xludf.DUMMYFUNCTION("""COMPUTED_VALUE"""),"")</f>
        <v/>
      </c>
      <c r="Z334" s="1" t="str">
        <f>IFERROR(__xludf.DUMMYFUNCTION("""COMPUTED_VALUE"""),"Unknown")</f>
        <v>Unknown</v>
      </c>
      <c r="AA334" s="1" t="str">
        <f>IFERROR(__xludf.DUMMYFUNCTION("""COMPUTED_VALUE"""),"")</f>
        <v/>
      </c>
      <c r="AB334" s="1" t="str">
        <f>IFERROR(__xludf.DUMMYFUNCTION("""COMPUTED_VALUE"""),"")</f>
        <v/>
      </c>
      <c r="AC334" s="1" t="str">
        <f>IFERROR(__xludf.DUMMYFUNCTION("""COMPUTED_VALUE"""),"")</f>
        <v/>
      </c>
      <c r="AD334" s="1" t="str">
        <f>IFERROR(__xludf.DUMMYFUNCTION("""COMPUTED_VALUE"""),"")</f>
        <v/>
      </c>
      <c r="AE334" s="1" t="str">
        <f>IFERROR(__xludf.DUMMYFUNCTION("""COMPUTED_VALUE"""),"")</f>
        <v/>
      </c>
      <c r="AF334" s="1" t="str">
        <f>IFERROR(__xludf.DUMMYFUNCTION("""COMPUTED_VALUE"""),"")</f>
        <v/>
      </c>
      <c r="AG334" s="1" t="str">
        <f>IFERROR(__xludf.DUMMYFUNCTION("""COMPUTED_VALUE"""),"")</f>
        <v/>
      </c>
      <c r="AH334" s="1" t="str">
        <f>IFERROR(__xludf.DUMMYFUNCTION("""COMPUTED_VALUE"""),"Media Monitoring")</f>
        <v>Media Monitoring</v>
      </c>
      <c r="AI334" s="2" t="str">
        <f>IFERROR(__xludf.DUMMYFUNCTION("""COMPUTED_VALUE"""),"https://www.datacenterdynamics.com/en/news/western-hospitality-partners-eyes-320-acre-data-center-campus-outside-peoria-illinois/")</f>
        <v>https://www.datacenterdynamics.com/en/news/western-hospitality-partners-eyes-320-acre-data-center-campus-outside-peoria-illinois/</v>
      </c>
      <c r="AJ334" s="2" t="str">
        <f>IFERROR(__xludf.DUMMYFUNCTION("""COMPUTED_VALUE"""),"https://www.datacenterdynamics.com/en/news/data-center-proposal-rejected-in-pekin-illinois/")</f>
        <v>https://www.datacenterdynamics.com/en/news/data-center-proposal-rejected-in-pekin-illinois/</v>
      </c>
      <c r="AK334" s="2" t="str">
        <f>IFERROR(__xludf.DUMMYFUNCTION("""COMPUTED_VALUE"""),"https://www.datacenterdynamics.com/en/news/developer-withdraws-data-center-proposal-in-pekin-illinois/")</f>
        <v>https://www.datacenterdynamics.com/en/news/developer-withdraws-data-center-proposal-in-pekin-illinois/</v>
      </c>
      <c r="AL334" s="1" t="str">
        <f>IFERROR(__xludf.DUMMYFUNCTION("""COMPUTED_VALUE"""),"")</f>
        <v/>
      </c>
      <c r="AM334" s="1" t="str">
        <f>IFERROR(__xludf.DUMMYFUNCTION("""COMPUTED_VALUE"""),"")</f>
        <v/>
      </c>
      <c r="AN334" s="1" t="str">
        <f>IFERROR(__xludf.DUMMYFUNCTION("""COMPUTED_VALUE"""),"")</f>
        <v/>
      </c>
      <c r="AO334" s="1" t="str">
        <f>IFERROR(__xludf.DUMMYFUNCTION("""COMPUTED_VALUE"""),"")</f>
        <v/>
      </c>
      <c r="AP334" s="1" t="str">
        <f>IFERROR(__xludf.DUMMYFUNCTION("""COMPUTED_VALUE"""),"")</f>
        <v/>
      </c>
      <c r="AQ334" s="1" t="str">
        <f>IFERROR(__xludf.DUMMYFUNCTION("""COMPUTED_VALUE"""),"01/26/2026")</f>
        <v>01/26/2026</v>
      </c>
      <c r="AR334" s="1" t="str">
        <f>IFERROR(__xludf.DUMMYFUNCTION("""COMPUTED_VALUE"""),"05/17/2026")</f>
        <v>05/17/2026</v>
      </c>
    </row>
    <row r="335">
      <c r="A335" s="1" t="str">
        <f>IFERROR(__xludf.DUMMYFUNCTION("""COMPUTED_VALUE"""),"PowerHouse Data Centers")</f>
        <v>PowerHouse Data Centers</v>
      </c>
      <c r="B335" s="1" t="str">
        <f>IFERROR(__xludf.DUMMYFUNCTION("""COMPUTED_VALUE"""),"S Rowell Rd &amp; W Bernhard Rd")</f>
        <v>S Rowell Rd &amp; W Bernhard Rd</v>
      </c>
      <c r="C335" s="1" t="str">
        <f>IFERROR(__xludf.DUMMYFUNCTION("""COMPUTED_VALUE"""),"Jackson Twp/ Joliet")</f>
        <v>Jackson Twp/ Joliet</v>
      </c>
      <c r="D335" s="1" t="str">
        <f>IFERROR(__xludf.DUMMYFUNCTION("""COMPUTED_VALUE"""),"IL")</f>
        <v>IL</v>
      </c>
      <c r="E335" s="1" t="str">
        <f>IFERROR(__xludf.DUMMYFUNCTION("""COMPUTED_VALUE"""),"60421")</f>
        <v>60421</v>
      </c>
      <c r="F335" s="1" t="str">
        <f>IFERROR(__xludf.DUMMYFUNCTION("""COMPUTED_VALUE"""),"Will")</f>
        <v>Will</v>
      </c>
      <c r="G335" s="1" t="str">
        <f>IFERROR(__xludf.DUMMYFUNCTION("""COMPUTED_VALUE"""),"41.465225")</f>
        <v>41.465225</v>
      </c>
      <c r="H335" s="1" t="str">
        <f>IFERROR(__xludf.DUMMYFUNCTION("""COMPUTED_VALUE"""),"-88.06284")</f>
        <v>-88.06284</v>
      </c>
      <c r="I335" s="1" t="str">
        <f>IFERROR(__xludf.DUMMYFUNCTION("""COMPUTED_VALUE"""),"Proposed")</f>
        <v>Proposed</v>
      </c>
      <c r="J335" s="1" t="str">
        <f>IFERROR(__xludf.DUMMYFUNCTION("""COMPUTED_VALUE"""),"High")</f>
        <v>High</v>
      </c>
      <c r="K335" s="1" t="str">
        <f>IFERROR(__xludf.DUMMYFUNCTION("""COMPUTED_VALUE"""),"")</f>
        <v/>
      </c>
      <c r="L335" s="1" t="str">
        <f>IFERROR(__xludf.DUMMYFUNCTION("""COMPUTED_VALUE"""),"")</f>
        <v/>
      </c>
      <c r="M335" s="1" t="str">
        <f>IFERROR(__xludf.DUMMYFUNCTION("""COMPUTED_VALUE"""),"")</f>
        <v/>
      </c>
      <c r="N335" s="1" t="str">
        <f>IFERROR(__xludf.DUMMYFUNCTION("""COMPUTED_VALUE"""),"1800")</f>
        <v>1800</v>
      </c>
      <c r="O335" s="1" t="str">
        <f>IFERROR(__xludf.DUMMYFUNCTION("""COMPUTED_VALUE"""),"Mega campus (&gt;1,000 MW)")</f>
        <v>Mega campus (&gt;1,000 MW)</v>
      </c>
      <c r="P335" s="1" t="str">
        <f>IFERROR(__xludf.DUMMYFUNCTION("""COMPUTED_VALUE"""),"")</f>
        <v/>
      </c>
      <c r="Q335" s="1" t="str">
        <f>IFERROR(__xludf.DUMMYFUNCTION("""COMPUTED_VALUE"""),"")</f>
        <v/>
      </c>
      <c r="R335" s="1" t="str">
        <f>IFERROR(__xludf.DUMMYFUNCTION("""COMPUTED_VALUE"""),"")</f>
        <v/>
      </c>
      <c r="S335" s="1" t="str">
        <f>IFERROR(__xludf.DUMMYFUNCTION("""COMPUTED_VALUE"""),"24")</f>
        <v>24</v>
      </c>
      <c r="T335" s="1" t="str">
        <f>IFERROR(__xludf.DUMMYFUNCTION("""COMPUTED_VALUE"""),"")</f>
        <v/>
      </c>
      <c r="U335" s="1" t="str">
        <f>IFERROR(__xludf.DUMMYFUNCTION("""COMPUTED_VALUE"""),"")</f>
        <v/>
      </c>
      <c r="V335" s="1" t="str">
        <f>IFERROR(__xludf.DUMMYFUNCTION("""COMPUTED_VALUE"""),"3,468,000")</f>
        <v>3,468,000</v>
      </c>
      <c r="W335" s="1" t="str">
        <f>IFERROR(__xludf.DUMMYFUNCTION("""COMPUTED_VALUE"""),"795")</f>
        <v>795</v>
      </c>
      <c r="X335" s="1" t="str">
        <f>IFERROR(__xludf.DUMMYFUNCTION("""COMPUTED_VALUE"""),"$20 billion")</f>
        <v>$20 billion</v>
      </c>
      <c r="Y335" s="1" t="str">
        <f>IFERROR(__xludf.DUMMYFUNCTION("""COMPUTED_VALUE"""),"")</f>
        <v/>
      </c>
      <c r="Z335" s="1" t="str">
        <f>IFERROR(__xludf.DUMMYFUNCTION("""COMPUTED_VALUE"""),"Yes")</f>
        <v>Yes</v>
      </c>
      <c r="AA335" s="1" t="str">
        <f>IFERROR(__xludf.DUMMYFUNCTION("""COMPUTED_VALUE"""),"")</f>
        <v/>
      </c>
      <c r="AB335" s="1" t="str">
        <f>IFERROR(__xludf.DUMMYFUNCTION("""COMPUTED_VALUE"""),"")</f>
        <v/>
      </c>
      <c r="AC335" s="1" t="str">
        <f>IFERROR(__xludf.DUMMYFUNCTION("""COMPUTED_VALUE"""),"")</f>
        <v/>
      </c>
      <c r="AD335" s="1" t="str">
        <f>IFERROR(__xludf.DUMMYFUNCTION("""COMPUTED_VALUE"""),"")</f>
        <v/>
      </c>
      <c r="AE335" s="1" t="str">
        <f>IFERROR(__xludf.DUMMYFUNCTION("""COMPUTED_VALUE"""),"")</f>
        <v/>
      </c>
      <c r="AF335" s="1" t="str">
        <f>IFERROR(__xludf.DUMMYFUNCTION("""COMPUTED_VALUE"""),"")</f>
        <v/>
      </c>
      <c r="AG335" s="1" t="str">
        <f>IFERROR(__xludf.DUMMYFUNCTION("""COMPUTED_VALUE"""),"")</f>
        <v/>
      </c>
      <c r="AH335" s="1" t="str">
        <f>IFERROR(__xludf.DUMMYFUNCTION("""COMPUTED_VALUE"""),"Media Monitoring")</f>
        <v>Media Monitoring</v>
      </c>
      <c r="AI335" s="2" t="str">
        <f>IFERROR(__xludf.DUMMYFUNCTION("""COMPUTED_VALUE"""),"https://www.datacenterdynamics.com/en/news/proposal-for-20bn-data-center-outside-chicago-recommended-for-approval-by-local-planning-commission/")</f>
        <v>https://www.datacenterdynamics.com/en/news/proposal-for-20bn-data-center-outside-chicago-recommended-for-approval-by-local-planning-commission/</v>
      </c>
      <c r="AJ335" s="1" t="str">
        <f>IFERROR(__xludf.DUMMYFUNCTION("""COMPUTED_VALUE"""),"")</f>
        <v/>
      </c>
      <c r="AK335" s="1" t="str">
        <f>IFERROR(__xludf.DUMMYFUNCTION("""COMPUTED_VALUE"""),"")</f>
        <v/>
      </c>
      <c r="AL335" s="1" t="str">
        <f>IFERROR(__xludf.DUMMYFUNCTION("""COMPUTED_VALUE"""),"")</f>
        <v/>
      </c>
      <c r="AM335" s="1" t="str">
        <f>IFERROR(__xludf.DUMMYFUNCTION("""COMPUTED_VALUE"""),"")</f>
        <v/>
      </c>
      <c r="AN335" s="1" t="str">
        <f>IFERROR(__xludf.DUMMYFUNCTION("""COMPUTED_VALUE"""),"")</f>
        <v/>
      </c>
      <c r="AO335" s="1" t="str">
        <f>IFERROR(__xludf.DUMMYFUNCTION("""COMPUTED_VALUE"""),"")</f>
        <v/>
      </c>
      <c r="AP335" s="1" t="str">
        <f>IFERROR(__xludf.DUMMYFUNCTION("""COMPUTED_VALUE"""),"")</f>
        <v/>
      </c>
      <c r="AQ335" s="1" t="str">
        <f>IFERROR(__xludf.DUMMYFUNCTION("""COMPUTED_VALUE"""),"03/13/2026")</f>
        <v>03/13/2026</v>
      </c>
      <c r="AR335" s="1" t="str">
        <f>IFERROR(__xludf.DUMMYFUNCTION("""COMPUTED_VALUE"""),"03/13/2026")</f>
        <v>03/13/2026</v>
      </c>
    </row>
    <row r="336">
      <c r="A336" s="1" t="str">
        <f>IFERROR(__xludf.DUMMYFUNCTION("""COMPUTED_VALUE"""),"PowerHouse Hillwood Holding ")</f>
        <v>PowerHouse Hillwood Holding </v>
      </c>
      <c r="B336" s="1" t="str">
        <f>IFERROR(__xludf.DUMMYFUNCTION("""COMPUTED_VALUE"""),"Schweitzer Rd and S Ridge Rd")</f>
        <v>Schweitzer Rd and S Ridge Rd</v>
      </c>
      <c r="C336" s="1" t="str">
        <f>IFERROR(__xludf.DUMMYFUNCTION("""COMPUTED_VALUE"""),"Joliet")</f>
        <v>Joliet</v>
      </c>
      <c r="D336" s="1" t="str">
        <f>IFERROR(__xludf.DUMMYFUNCTION("""COMPUTED_VALUE"""),"IL")</f>
        <v>IL</v>
      </c>
      <c r="E336" s="1" t="str">
        <f>IFERROR(__xludf.DUMMYFUNCTION("""COMPUTED_VALUE"""),"60421")</f>
        <v>60421</v>
      </c>
      <c r="F336" s="1" t="str">
        <f>IFERROR(__xludf.DUMMYFUNCTION("""COMPUTED_VALUE"""),"Will")</f>
        <v>Will</v>
      </c>
      <c r="G336" s="1" t="str">
        <f>IFERROR(__xludf.DUMMYFUNCTION("""COMPUTED_VALUE"""),"41.46266")</f>
        <v>41.46266</v>
      </c>
      <c r="H336" s="1" t="str">
        <f>IFERROR(__xludf.DUMMYFUNCTION("""COMPUTED_VALUE"""),"-88.05086")</f>
        <v>-88.05086</v>
      </c>
      <c r="I336" s="1" t="str">
        <f>IFERROR(__xludf.DUMMYFUNCTION("""COMPUTED_VALUE"""),"Approved/Permitted/Under construction")</f>
        <v>Approved/Permitted/Under construction</v>
      </c>
      <c r="J336" s="1" t="str">
        <f>IFERROR(__xludf.DUMMYFUNCTION("""COMPUTED_VALUE"""),"High")</f>
        <v>High</v>
      </c>
      <c r="K336" s="1" t="str">
        <f>IFERROR(__xludf.DUMMYFUNCTION("""COMPUTED_VALUE"""),"")</f>
        <v/>
      </c>
      <c r="L336" s="1" t="str">
        <f>IFERROR(__xludf.DUMMYFUNCTION("""COMPUTED_VALUE"""),"PowerHouse Hillwood Holding")</f>
        <v>PowerHouse Hillwood Holding</v>
      </c>
      <c r="M336" s="1" t="str">
        <f>IFERROR(__xludf.DUMMYFUNCTION("""COMPUTED_VALUE"""),"")</f>
        <v/>
      </c>
      <c r="N336" s="1" t="str">
        <f>IFERROR(__xludf.DUMMYFUNCTION("""COMPUTED_VALUE"""),"1800")</f>
        <v>1800</v>
      </c>
      <c r="O336" s="1" t="str">
        <f>IFERROR(__xludf.DUMMYFUNCTION("""COMPUTED_VALUE"""),"Mega campus (&gt;1,000 MW)")</f>
        <v>Mega campus (&gt;1,000 MW)</v>
      </c>
      <c r="P336" s="1" t="str">
        <f>IFERROR(__xludf.DUMMYFUNCTION("""COMPUTED_VALUE"""),"")</f>
        <v/>
      </c>
      <c r="Q336" s="1" t="str">
        <f>IFERROR(__xludf.DUMMYFUNCTION("""COMPUTED_VALUE"""),"")</f>
        <v/>
      </c>
      <c r="R336" s="1" t="str">
        <f>IFERROR(__xludf.DUMMYFUNCTION("""COMPUTED_VALUE"""),"")</f>
        <v/>
      </c>
      <c r="S336" s="1" t="str">
        <f>IFERROR(__xludf.DUMMYFUNCTION("""COMPUTED_VALUE"""),"24")</f>
        <v>24</v>
      </c>
      <c r="T336" s="1" t="str">
        <f>IFERROR(__xludf.DUMMYFUNCTION("""COMPUTED_VALUE"""),"")</f>
        <v/>
      </c>
      <c r="U336" s="1" t="str">
        <f>IFERROR(__xludf.DUMMYFUNCTION("""COMPUTED_VALUE"""),"")</f>
        <v/>
      </c>
      <c r="V336" s="1" t="str">
        <f>IFERROR(__xludf.DUMMYFUNCTION("""COMPUTED_VALUE"""),"3,468,000")</f>
        <v>3,468,000</v>
      </c>
      <c r="W336" s="1" t="str">
        <f>IFERROR(__xludf.DUMMYFUNCTION("""COMPUTED_VALUE"""),"795")</f>
        <v>795</v>
      </c>
      <c r="X336" s="1" t="str">
        <f>IFERROR(__xludf.DUMMYFUNCTION("""COMPUTED_VALUE"""),"$20 billion")</f>
        <v>$20 billion</v>
      </c>
      <c r="Y336" s="1" t="str">
        <f>IFERROR(__xludf.DUMMYFUNCTION("""COMPUTED_VALUE"""),"")</f>
        <v/>
      </c>
      <c r="Z336" s="1" t="str">
        <f>IFERROR(__xludf.DUMMYFUNCTION("""COMPUTED_VALUE"""),"Unknown")</f>
        <v>Unknown</v>
      </c>
      <c r="AA336" s="1" t="str">
        <f>IFERROR(__xludf.DUMMYFUNCTION("""COMPUTED_VALUE"""),"")</f>
        <v/>
      </c>
      <c r="AB336" s="1" t="str">
        <f>IFERROR(__xludf.DUMMYFUNCTION("""COMPUTED_VALUE"""),"")</f>
        <v/>
      </c>
      <c r="AC336" s="1" t="str">
        <f>IFERROR(__xludf.DUMMYFUNCTION("""COMPUTED_VALUE"""),"")</f>
        <v/>
      </c>
      <c r="AD336" s="1" t="str">
        <f>IFERROR(__xludf.DUMMYFUNCTION("""COMPUTED_VALUE"""),"")</f>
        <v/>
      </c>
      <c r="AE336" s="1" t="str">
        <f>IFERROR(__xludf.DUMMYFUNCTION("""COMPUTED_VALUE"""),"")</f>
        <v/>
      </c>
      <c r="AF336" s="1" t="str">
        <f>IFERROR(__xludf.DUMMYFUNCTION("""COMPUTED_VALUE"""),"")</f>
        <v/>
      </c>
      <c r="AG336" s="1" t="str">
        <f>IFERROR(__xludf.DUMMYFUNCTION("""COMPUTED_VALUE"""),"")</f>
        <v/>
      </c>
      <c r="AH336" s="1" t="str">
        <f>IFERROR(__xludf.DUMMYFUNCTION("""COMPUTED_VALUE"""),"Media Monitoring")</f>
        <v>Media Monitoring</v>
      </c>
      <c r="AI336" s="2" t="str">
        <f>IFERROR(__xludf.DUMMYFUNCTION("""COMPUTED_VALUE"""),"https://www.datacenterdynamics.com/en/news/approval-given-to-20bn-data-center-near-chicago-illinois/")</f>
        <v>https://www.datacenterdynamics.com/en/news/approval-given-to-20bn-data-center-near-chicago-illinois/</v>
      </c>
      <c r="AJ336" s="1" t="str">
        <f>IFERROR(__xludf.DUMMYFUNCTION("""COMPUTED_VALUE"""),"")</f>
        <v/>
      </c>
      <c r="AK336" s="1" t="str">
        <f>IFERROR(__xludf.DUMMYFUNCTION("""COMPUTED_VALUE"""),"")</f>
        <v/>
      </c>
      <c r="AL336" s="1" t="str">
        <f>IFERROR(__xludf.DUMMYFUNCTION("""COMPUTED_VALUE"""),"")</f>
        <v/>
      </c>
      <c r="AM336" s="1" t="str">
        <f>IFERROR(__xludf.DUMMYFUNCTION("""COMPUTED_VALUE"""),"")</f>
        <v/>
      </c>
      <c r="AN336" s="1" t="str">
        <f>IFERROR(__xludf.DUMMYFUNCTION("""COMPUTED_VALUE"""),"")</f>
        <v/>
      </c>
      <c r="AO336" s="1" t="str">
        <f>IFERROR(__xludf.DUMMYFUNCTION("""COMPUTED_VALUE"""),"")</f>
        <v/>
      </c>
      <c r="AP336" s="1" t="str">
        <f>IFERROR(__xludf.DUMMYFUNCTION("""COMPUTED_VALUE"""),"")</f>
        <v/>
      </c>
      <c r="AQ336" s="1" t="str">
        <f>IFERROR(__xludf.DUMMYFUNCTION("""COMPUTED_VALUE"""),"04/02/2026")</f>
        <v>04/02/2026</v>
      </c>
      <c r="AR336" s="1" t="str">
        <f>IFERROR(__xludf.DUMMYFUNCTION("""COMPUTED_VALUE"""),"04/02/2026")</f>
        <v>04/02/2026</v>
      </c>
    </row>
    <row r="337">
      <c r="A337" s="1" t="str">
        <f>IFERROR(__xludf.DUMMYFUNCTION("""COMPUTED_VALUE"""),"Hut8 Data Center")</f>
        <v>Hut8 Data Center</v>
      </c>
      <c r="B337" s="1" t="str">
        <f>IFERROR(__xludf.DUMMYFUNCTION("""COMPUTED_VALUE"""),"Hwy 121")</f>
        <v>Hwy 121</v>
      </c>
      <c r="C337" s="1" t="str">
        <f>IFERROR(__xludf.DUMMYFUNCTION("""COMPUTED_VALUE"""),"Latham/ Laenna Twp")</f>
        <v>Latham/ Laenna Twp</v>
      </c>
      <c r="D337" s="1" t="str">
        <f>IFERROR(__xludf.DUMMYFUNCTION("""COMPUTED_VALUE"""),"IL")</f>
        <v>IL</v>
      </c>
      <c r="E337" s="1" t="str">
        <f>IFERROR(__xludf.DUMMYFUNCTION("""COMPUTED_VALUE"""),"62548")</f>
        <v>62548</v>
      </c>
      <c r="F337" s="1" t="str">
        <f>IFERROR(__xludf.DUMMYFUNCTION("""COMPUTED_VALUE"""),"Logan")</f>
        <v>Logan</v>
      </c>
      <c r="G337" s="1" t="str">
        <f>IFERROR(__xludf.DUMMYFUNCTION("""COMPUTED_VALUE"""),"39.97475")</f>
        <v>39.97475</v>
      </c>
      <c r="H337" s="1" t="str">
        <f>IFERROR(__xludf.DUMMYFUNCTION("""COMPUTED_VALUE"""),"-89.19171")</f>
        <v>-89.19171</v>
      </c>
      <c r="I337" s="1" t="str">
        <f>IFERROR(__xludf.DUMMYFUNCTION("""COMPUTED_VALUE"""),"Proposed")</f>
        <v>Proposed</v>
      </c>
      <c r="J337" s="1" t="str">
        <f>IFERROR(__xludf.DUMMYFUNCTION("""COMPUTED_VALUE"""),"Medium")</f>
        <v>Medium</v>
      </c>
      <c r="K337" s="1" t="str">
        <f>IFERROR(__xludf.DUMMYFUNCTION("""COMPUTED_VALUE"""),"")</f>
        <v/>
      </c>
      <c r="L337" s="1" t="str">
        <f>IFERROR(__xludf.DUMMYFUNCTION("""COMPUTED_VALUE"""),"Hut 8 ")</f>
        <v>Hut 8 </v>
      </c>
      <c r="M337" s="1" t="str">
        <f>IFERROR(__xludf.DUMMYFUNCTION("""COMPUTED_VALUE"""),"")</f>
        <v/>
      </c>
      <c r="N337" s="1" t="str">
        <f>IFERROR(__xludf.DUMMYFUNCTION("""COMPUTED_VALUE"""),"500")</f>
        <v>500</v>
      </c>
      <c r="O337" s="1" t="str">
        <f>IFERROR(__xludf.DUMMYFUNCTION("""COMPUTED_VALUE"""),"Hyperscale (100-999 MW)")</f>
        <v>Hyperscale (100-999 MW)</v>
      </c>
      <c r="P337" s="1" t="str">
        <f>IFERROR(__xludf.DUMMYFUNCTION("""COMPUTED_VALUE"""),"Grid (unspecified mix)")</f>
        <v>Grid (unspecified mix)</v>
      </c>
      <c r="Q337" s="1" t="str">
        <f>IFERROR(__xludf.DUMMYFUNCTION("""COMPUTED_VALUE"""),"")</f>
        <v/>
      </c>
      <c r="R337" s="1" t="str">
        <f>IFERROR(__xludf.DUMMYFUNCTION("""COMPUTED_VALUE"""),"")</f>
        <v/>
      </c>
      <c r="S337" s="1" t="str">
        <f>IFERROR(__xludf.DUMMYFUNCTION("""COMPUTED_VALUE"""),"1-3")</f>
        <v>1-3</v>
      </c>
      <c r="T337" s="1" t="str">
        <f>IFERROR(__xludf.DUMMYFUNCTION("""COMPUTED_VALUE"""),"Water")</f>
        <v>Water</v>
      </c>
      <c r="U337" s="1" t="str">
        <f>IFERROR(__xludf.DUMMYFUNCTION("""COMPUTED_VALUE"""),"Closed loop")</f>
        <v>Closed loop</v>
      </c>
      <c r="V337" s="1" t="str">
        <f>IFERROR(__xludf.DUMMYFUNCTION("""COMPUTED_VALUE"""),"1,000,000")</f>
        <v>1,000,000</v>
      </c>
      <c r="W337" s="1" t="str">
        <f>IFERROR(__xludf.DUMMYFUNCTION("""COMPUTED_VALUE"""),"250")</f>
        <v>250</v>
      </c>
      <c r="X337" s="1" t="str">
        <f>IFERROR(__xludf.DUMMYFUNCTION("""COMPUTED_VALUE"""),"$5 billion")</f>
        <v>$5 billion</v>
      </c>
      <c r="Y337" s="1" t="str">
        <f>IFERROR(__xludf.DUMMYFUNCTION("""COMPUTED_VALUE"""),"2029")</f>
        <v>2029</v>
      </c>
      <c r="Z337" s="1" t="str">
        <f>IFERROR(__xludf.DUMMYFUNCTION("""COMPUTED_VALUE"""),"Yes")</f>
        <v>Yes</v>
      </c>
      <c r="AA337" s="1" t="str">
        <f>IFERROR(__xludf.DUMMYFUNCTION("""COMPUTED_VALUE"""),"")</f>
        <v/>
      </c>
      <c r="AB337" s="1" t="str">
        <f>IFERROR(__xludf.DUMMYFUNCTION("""COMPUTED_VALUE"""),"")</f>
        <v/>
      </c>
      <c r="AC337" s="1" t="str">
        <f>IFERROR(__xludf.DUMMYFUNCTION("""COMPUTED_VALUE"""),"")</f>
        <v/>
      </c>
      <c r="AD337" s="1" t="str">
        <f>IFERROR(__xludf.DUMMYFUNCTION("""COMPUTED_VALUE"""),"")</f>
        <v/>
      </c>
      <c r="AE337" s="1" t="str">
        <f>IFERROR(__xludf.DUMMYFUNCTION("""COMPUTED_VALUE"""),"")</f>
        <v/>
      </c>
      <c r="AF337" s="1" t="str">
        <f>IFERROR(__xludf.DUMMYFUNCTION("""COMPUTED_VALUE"""),"")</f>
        <v/>
      </c>
      <c r="AG337" s="1" t="str">
        <f>IFERROR(__xludf.DUMMYFUNCTION("""COMPUTED_VALUE"""),"")</f>
        <v/>
      </c>
      <c r="AH337" s="1" t="str">
        <f>IFERROR(__xludf.DUMMYFUNCTION("""COMPUTED_VALUE"""),"Media Monitoring")</f>
        <v>Media Monitoring</v>
      </c>
      <c r="AI337" s="2" t="str">
        <f>IFERROR(__xludf.DUMMYFUNCTION("""COMPUTED_VALUE"""),"https://www.wandtv.com/news/logan-co-residents-question-risks-of-proposed-hut-8-data-center-in-latham/article_5c7e3cb4-111d-4dcd-9c21-a261825314e4.html")</f>
        <v>https://www.wandtv.com/news/logan-co-residents-question-risks-of-proposed-hut-8-data-center-in-latham/article_5c7e3cb4-111d-4dcd-9c21-a261825314e4.html</v>
      </c>
      <c r="AJ337" s="2" t="str">
        <f>IFERROR(__xludf.DUMMYFUNCTION("""COMPUTED_VALUE"""),"https://www.illinoistimes.com/news/logan-county-data-center-plans-delayed/")</f>
        <v>https://www.illinoistimes.com/news/logan-county-data-center-plans-delayed/</v>
      </c>
      <c r="AK337" s="2" t="str">
        <f>IFERROR(__xludf.DUMMYFUNCTION("""COMPUTED_VALUE"""),"https://www.illinoistimes.com/news/data-center-opposition/")</f>
        <v>https://www.illinoistimes.com/news/data-center-opposition/</v>
      </c>
      <c r="AL337" s="1" t="str">
        <f>IFERROR(__xludf.DUMMYFUNCTION("""COMPUTED_VALUE"""),"")</f>
        <v/>
      </c>
      <c r="AM337" s="1" t="str">
        <f>IFERROR(__xludf.DUMMYFUNCTION("""COMPUTED_VALUE"""),"")</f>
        <v/>
      </c>
      <c r="AN337" s="1" t="str">
        <f>IFERROR(__xludf.DUMMYFUNCTION("""COMPUTED_VALUE"""),"")</f>
        <v/>
      </c>
      <c r="AO337" s="1" t="str">
        <f>IFERROR(__xludf.DUMMYFUNCTION("""COMPUTED_VALUE"""),"")</f>
        <v/>
      </c>
      <c r="AP337" s="1" t="str">
        <f>IFERROR(__xludf.DUMMYFUNCTION("""COMPUTED_VALUE"""),"")</f>
        <v/>
      </c>
      <c r="AQ337" s="1" t="str">
        <f>IFERROR(__xludf.DUMMYFUNCTION("""COMPUTED_VALUE"""),"02/03/2026")</f>
        <v>02/03/2026</v>
      </c>
      <c r="AR337" s="1" t="str">
        <f>IFERROR(__xludf.DUMMYFUNCTION("""COMPUTED_VALUE"""),"02/03/2026")</f>
        <v>02/03/2026</v>
      </c>
    </row>
    <row r="338">
      <c r="A338" s="1" t="str">
        <f>IFERROR(__xludf.DUMMYFUNCTION("""COMPUTED_VALUE"""),"Cloud Centers Data Center")</f>
        <v>Cloud Centers Data Center</v>
      </c>
      <c r="B338" s="1" t="str">
        <f>IFERROR(__xludf.DUMMYFUNCTION("""COMPUTED_VALUE"""),"711 Ogden Avenue")</f>
        <v>711 Ogden Avenue</v>
      </c>
      <c r="C338" s="1" t="str">
        <f>IFERROR(__xludf.DUMMYFUNCTION("""COMPUTED_VALUE"""),"Lisle")</f>
        <v>Lisle</v>
      </c>
      <c r="D338" s="1" t="str">
        <f>IFERROR(__xludf.DUMMYFUNCTION("""COMPUTED_VALUE"""),"IL")</f>
        <v>IL</v>
      </c>
      <c r="E338" s="1" t="str">
        <f>IFERROR(__xludf.DUMMYFUNCTION("""COMPUTED_VALUE"""),"60532")</f>
        <v>60532</v>
      </c>
      <c r="F338" s="1" t="str">
        <f>IFERROR(__xludf.DUMMYFUNCTION("""COMPUTED_VALUE"""),"DuPage")</f>
        <v>DuPage</v>
      </c>
      <c r="G338" s="1" t="str">
        <f>IFERROR(__xludf.DUMMYFUNCTION("""COMPUTED_VALUE"""),"41.801693")</f>
        <v>41.801693</v>
      </c>
      <c r="H338" s="1" t="str">
        <f>IFERROR(__xludf.DUMMYFUNCTION("""COMPUTED_VALUE"""),"-88.06276")</f>
        <v>-88.06276</v>
      </c>
      <c r="I338" s="1" t="str">
        <f>IFERROR(__xludf.DUMMYFUNCTION("""COMPUTED_VALUE"""),"Proposed")</f>
        <v>Proposed</v>
      </c>
      <c r="J338" s="1" t="str">
        <f>IFERROR(__xludf.DUMMYFUNCTION("""COMPUTED_VALUE"""),"High")</f>
        <v>High</v>
      </c>
      <c r="K338" s="1" t="str">
        <f>IFERROR(__xludf.DUMMYFUNCTION("""COMPUTED_VALUE"""),"")</f>
        <v/>
      </c>
      <c r="L338" s="1" t="str">
        <f>IFERROR(__xludf.DUMMYFUNCTION("""COMPUTED_VALUE"""),"Cloud Centers")</f>
        <v>Cloud Centers</v>
      </c>
      <c r="M338" s="1" t="str">
        <f>IFERROR(__xludf.DUMMYFUNCTION("""COMPUTED_VALUE"""),"")</f>
        <v/>
      </c>
      <c r="N338" s="1" t="str">
        <f>IFERROR(__xludf.DUMMYFUNCTION("""COMPUTED_VALUE"""),"50")</f>
        <v>50</v>
      </c>
      <c r="O338" s="1" t="str">
        <f>IFERROR(__xludf.DUMMYFUNCTION("""COMPUTED_VALUE"""),"Medium (11-50 MW)")</f>
        <v>Medium (11-50 MW)</v>
      </c>
      <c r="P338" s="1" t="str">
        <f>IFERROR(__xludf.DUMMYFUNCTION("""COMPUTED_VALUE"""),"")</f>
        <v/>
      </c>
      <c r="Q338" s="1" t="str">
        <f>IFERROR(__xludf.DUMMYFUNCTION("""COMPUTED_VALUE"""),"")</f>
        <v/>
      </c>
      <c r="R338" s="1" t="str">
        <f>IFERROR(__xludf.DUMMYFUNCTION("""COMPUTED_VALUE"""),"")</f>
        <v/>
      </c>
      <c r="S338" s="1" t="str">
        <f>IFERROR(__xludf.DUMMYFUNCTION("""COMPUTED_VALUE"""),"")</f>
        <v/>
      </c>
      <c r="T338" s="1" t="str">
        <f>IFERROR(__xludf.DUMMYFUNCTION("""COMPUTED_VALUE"""),"")</f>
        <v/>
      </c>
      <c r="U338" s="1" t="str">
        <f>IFERROR(__xludf.DUMMYFUNCTION("""COMPUTED_VALUE"""),"")</f>
        <v/>
      </c>
      <c r="V338" s="1" t="str">
        <f>IFERROR(__xludf.DUMMYFUNCTION("""COMPUTED_VALUE"""),"256,000")</f>
        <v>256,000</v>
      </c>
      <c r="W338" s="1" t="str">
        <f>IFERROR(__xludf.DUMMYFUNCTION("""COMPUTED_VALUE"""),"")</f>
        <v/>
      </c>
      <c r="X338" s="1" t="str">
        <f>IFERROR(__xludf.DUMMYFUNCTION("""COMPUTED_VALUE"""),"")</f>
        <v/>
      </c>
      <c r="Y338" s="1" t="str">
        <f>IFERROR(__xludf.DUMMYFUNCTION("""COMPUTED_VALUE"""),"2027")</f>
        <v>2027</v>
      </c>
      <c r="Z338" s="1" t="str">
        <f>IFERROR(__xludf.DUMMYFUNCTION("""COMPUTED_VALUE"""),"Yes")</f>
        <v>Yes</v>
      </c>
      <c r="AA338" s="1" t="str">
        <f>IFERROR(__xludf.DUMMYFUNCTION("""COMPUTED_VALUE"""),"")</f>
        <v/>
      </c>
      <c r="AB338" s="1" t="str">
        <f>IFERROR(__xludf.DUMMYFUNCTION("""COMPUTED_VALUE"""),"")</f>
        <v/>
      </c>
      <c r="AC338" s="1" t="str">
        <f>IFERROR(__xludf.DUMMYFUNCTION("""COMPUTED_VALUE"""),"")</f>
        <v/>
      </c>
      <c r="AD338" s="1" t="str">
        <f>IFERROR(__xludf.DUMMYFUNCTION("""COMPUTED_VALUE"""),"")</f>
        <v/>
      </c>
      <c r="AE338" s="1" t="str">
        <f>IFERROR(__xludf.DUMMYFUNCTION("""COMPUTED_VALUE"""),"")</f>
        <v/>
      </c>
      <c r="AF338" s="1" t="str">
        <f>IFERROR(__xludf.DUMMYFUNCTION("""COMPUTED_VALUE"""),"")</f>
        <v/>
      </c>
      <c r="AG338" s="1" t="str">
        <f>IFERROR(__xludf.DUMMYFUNCTION("""COMPUTED_VALUE"""),"")</f>
        <v/>
      </c>
      <c r="AH338" s="1" t="str">
        <f>IFERROR(__xludf.DUMMYFUNCTION("""COMPUTED_VALUE"""),"Media Monitoring")</f>
        <v>Media Monitoring</v>
      </c>
      <c r="AI338" s="2" t="str">
        <f>IFERROR(__xludf.DUMMYFUNCTION("""COMPUTED_VALUE"""),"https://www.datacenterdynamics.com/en/news/public-meeting-over-planned-data-center-project-in-lisle-illinois-postponed-due-to-large-number-of-attendees/")</f>
        <v>https://www.datacenterdynamics.com/en/news/public-meeting-over-planned-data-center-project-in-lisle-illinois-postponed-due-to-large-number-of-attendees/</v>
      </c>
      <c r="AJ338" s="2" t="str">
        <f>IFERROR(__xludf.DUMMYFUNCTION("""COMPUTED_VALUE"""),"https://villageoflisle.civicweb.net/document/220244/25-1801.pdf?handle=E0E9A4C503DD44D3B92E78DB4DBED085")</f>
        <v>https://villageoflisle.civicweb.net/document/220244/25-1801.pdf?handle=E0E9A4C503DD44D3B92E78DB4DBED085</v>
      </c>
      <c r="AK338" s="1" t="str">
        <f>IFERROR(__xludf.DUMMYFUNCTION("""COMPUTED_VALUE"""),"")</f>
        <v/>
      </c>
      <c r="AL338" s="1" t="str">
        <f>IFERROR(__xludf.DUMMYFUNCTION("""COMPUTED_VALUE"""),"")</f>
        <v/>
      </c>
      <c r="AM338" s="1" t="str">
        <f>IFERROR(__xludf.DUMMYFUNCTION("""COMPUTED_VALUE"""),"")</f>
        <v/>
      </c>
      <c r="AN338" s="1" t="str">
        <f>IFERROR(__xludf.DUMMYFUNCTION("""COMPUTED_VALUE"""),"")</f>
        <v/>
      </c>
      <c r="AO338" s="1" t="str">
        <f>IFERROR(__xludf.DUMMYFUNCTION("""COMPUTED_VALUE"""),"")</f>
        <v/>
      </c>
      <c r="AP338" s="1" t="str">
        <f>IFERROR(__xludf.DUMMYFUNCTION("""COMPUTED_VALUE"""),"")</f>
        <v/>
      </c>
      <c r="AQ338" s="1" t="str">
        <f>IFERROR(__xludf.DUMMYFUNCTION("""COMPUTED_VALUE"""),"01/23/2026")</f>
        <v>01/23/2026</v>
      </c>
      <c r="AR338" s="1" t="str">
        <f>IFERROR(__xludf.DUMMYFUNCTION("""COMPUTED_VALUE"""),"01/23/2026")</f>
        <v>01/23/2026</v>
      </c>
    </row>
    <row r="339">
      <c r="A339" s="1" t="str">
        <f>IFERROR(__xludf.DUMMYFUNCTION("""COMPUTED_VALUE"""),"CyrusOne Data Center")</f>
        <v>CyrusOne Data Center</v>
      </c>
      <c r="B339" s="1" t="str">
        <f>IFERROR(__xludf.DUMMYFUNCTION("""COMPUTED_VALUE"""),"1850 Springer Dr")</f>
        <v>1850 Springer Dr</v>
      </c>
      <c r="C339" s="1" t="str">
        <f>IFERROR(__xludf.DUMMYFUNCTION("""COMPUTED_VALUE"""),"Lombard")</f>
        <v>Lombard</v>
      </c>
      <c r="D339" s="1" t="str">
        <f>IFERROR(__xludf.DUMMYFUNCTION("""COMPUTED_VALUE"""),"IL")</f>
        <v>IL</v>
      </c>
      <c r="E339" s="1" t="str">
        <f>IFERROR(__xludf.DUMMYFUNCTION("""COMPUTED_VALUE"""),"60148")</f>
        <v>60148</v>
      </c>
      <c r="F339" s="1" t="str">
        <f>IFERROR(__xludf.DUMMYFUNCTION("""COMPUTED_VALUE"""),"DuPage")</f>
        <v>DuPage</v>
      </c>
      <c r="G339" s="1" t="str">
        <f>IFERROR(__xludf.DUMMYFUNCTION("""COMPUTED_VALUE"""),"41.84915")</f>
        <v>41.84915</v>
      </c>
      <c r="H339" s="1" t="str">
        <f>IFERROR(__xludf.DUMMYFUNCTION("""COMPUTED_VALUE"""),"-88.0291")</f>
        <v>-88.0291</v>
      </c>
      <c r="I339" s="1" t="str">
        <f>IFERROR(__xludf.DUMMYFUNCTION("""COMPUTED_VALUE"""),"Approved/Permitted/Under construction")</f>
        <v>Approved/Permitted/Under construction</v>
      </c>
      <c r="J339" s="1" t="str">
        <f>IFERROR(__xludf.DUMMYFUNCTION("""COMPUTED_VALUE"""),"High")</f>
        <v>High</v>
      </c>
      <c r="K339" s="1" t="str">
        <f>IFERROR(__xludf.DUMMYFUNCTION("""COMPUTED_VALUE"""),"")</f>
        <v/>
      </c>
      <c r="L339" s="1" t="str">
        <f>IFERROR(__xludf.DUMMYFUNCTION("""COMPUTED_VALUE"""),"")</f>
        <v/>
      </c>
      <c r="M339" s="1" t="str">
        <f>IFERROR(__xludf.DUMMYFUNCTION("""COMPUTED_VALUE"""),"")</f>
        <v/>
      </c>
      <c r="N339" s="1" t="str">
        <f>IFERROR(__xludf.DUMMYFUNCTION("""COMPUTED_VALUE"""),"18")</f>
        <v>18</v>
      </c>
      <c r="O339" s="1" t="str">
        <f>IFERROR(__xludf.DUMMYFUNCTION("""COMPUTED_VALUE"""),"Medium (11-50 MW)")</f>
        <v>Medium (11-50 MW)</v>
      </c>
      <c r="P339" s="1" t="str">
        <f>IFERROR(__xludf.DUMMYFUNCTION("""COMPUTED_VALUE"""),"")</f>
        <v/>
      </c>
      <c r="Q339" s="1" t="str">
        <f>IFERROR(__xludf.DUMMYFUNCTION("""COMPUTED_VALUE"""),"")</f>
        <v/>
      </c>
      <c r="R339" s="1" t="str">
        <f>IFERROR(__xludf.DUMMYFUNCTION("""COMPUTED_VALUE"""),"")</f>
        <v/>
      </c>
      <c r="S339" s="1" t="str">
        <f>IFERROR(__xludf.DUMMYFUNCTION("""COMPUTED_VALUE"""),"")</f>
        <v/>
      </c>
      <c r="T339" s="1" t="str">
        <f>IFERROR(__xludf.DUMMYFUNCTION("""COMPUTED_VALUE"""),"")</f>
        <v/>
      </c>
      <c r="U339" s="1" t="str">
        <f>IFERROR(__xludf.DUMMYFUNCTION("""COMPUTED_VALUE"""),"")</f>
        <v/>
      </c>
      <c r="V339" s="1" t="str">
        <f>IFERROR(__xludf.DUMMYFUNCTION("""COMPUTED_VALUE"""),"500,000")</f>
        <v>500,000</v>
      </c>
      <c r="W339" s="1" t="str">
        <f>IFERROR(__xludf.DUMMYFUNCTION("""COMPUTED_VALUE"""),"")</f>
        <v/>
      </c>
      <c r="X339" s="1" t="str">
        <f>IFERROR(__xludf.DUMMYFUNCTION("""COMPUTED_VALUE"""),"")</f>
        <v/>
      </c>
      <c r="Y339" s="1" t="str">
        <f>IFERROR(__xludf.DUMMYFUNCTION("""COMPUTED_VALUE"""),"")</f>
        <v/>
      </c>
      <c r="Z339" s="1" t="str">
        <f>IFERROR(__xludf.DUMMYFUNCTION("""COMPUTED_VALUE"""),"Unknown")</f>
        <v>Unknown</v>
      </c>
      <c r="AA339" s="1" t="str">
        <f>IFERROR(__xludf.DUMMYFUNCTION("""COMPUTED_VALUE"""),"")</f>
        <v/>
      </c>
      <c r="AB339" s="1" t="str">
        <f>IFERROR(__xludf.DUMMYFUNCTION("""COMPUTED_VALUE"""),"")</f>
        <v/>
      </c>
      <c r="AC339" s="1" t="str">
        <f>IFERROR(__xludf.DUMMYFUNCTION("""COMPUTED_VALUE"""),"")</f>
        <v/>
      </c>
      <c r="AD339" s="1" t="str">
        <f>IFERROR(__xludf.DUMMYFUNCTION("""COMPUTED_VALUE"""),"")</f>
        <v/>
      </c>
      <c r="AE339" s="1" t="str">
        <f>IFERROR(__xludf.DUMMYFUNCTION("""COMPUTED_VALUE"""),"")</f>
        <v/>
      </c>
      <c r="AF339" s="1" t="str">
        <f>IFERROR(__xludf.DUMMYFUNCTION("""COMPUTED_VALUE"""),"")</f>
        <v/>
      </c>
      <c r="AG339" s="1" t="str">
        <f>IFERROR(__xludf.DUMMYFUNCTION("""COMPUTED_VALUE"""),"")</f>
        <v/>
      </c>
      <c r="AH339" s="1" t="str">
        <f>IFERROR(__xludf.DUMMYFUNCTION("""COMPUTED_VALUE"""),"Media Monitoring")</f>
        <v>Media Monitoring</v>
      </c>
      <c r="AI339" s="2" t="str">
        <f>IFERROR(__xludf.DUMMYFUNCTION("""COMPUTED_VALUE"""),"https://www.datacenterdynamics.com/en/news/t5-data-center-in-illinois-topped-out/")</f>
        <v>https://www.datacenterdynamics.com/en/news/t5-data-center-in-illinois-topped-out/</v>
      </c>
      <c r="AJ339" s="1" t="str">
        <f>IFERROR(__xludf.DUMMYFUNCTION("""COMPUTED_VALUE"""),"")</f>
        <v/>
      </c>
      <c r="AK339" s="1" t="str">
        <f>IFERROR(__xludf.DUMMYFUNCTION("""COMPUTED_VALUE"""),"")</f>
        <v/>
      </c>
      <c r="AL339" s="1" t="str">
        <f>IFERROR(__xludf.DUMMYFUNCTION("""COMPUTED_VALUE"""),"")</f>
        <v/>
      </c>
      <c r="AM339" s="1" t="str">
        <f>IFERROR(__xludf.DUMMYFUNCTION("""COMPUTED_VALUE"""),"")</f>
        <v/>
      </c>
      <c r="AN339" s="1" t="str">
        <f>IFERROR(__xludf.DUMMYFUNCTION("""COMPUTED_VALUE"""),"")</f>
        <v/>
      </c>
      <c r="AO339" s="1" t="str">
        <f>IFERROR(__xludf.DUMMYFUNCTION("""COMPUTED_VALUE"""),"")</f>
        <v/>
      </c>
      <c r="AP339" s="1" t="str">
        <f>IFERROR(__xludf.DUMMYFUNCTION("""COMPUTED_VALUE"""),"")</f>
        <v/>
      </c>
      <c r="AQ339" s="1" t="str">
        <f>IFERROR(__xludf.DUMMYFUNCTION("""COMPUTED_VALUE"""),"05/27/2025")</f>
        <v>05/27/2025</v>
      </c>
      <c r="AR339" s="1" t="str">
        <f>IFERROR(__xludf.DUMMYFUNCTION("""COMPUTED_VALUE"""),"03/24/2026")</f>
        <v>03/24/2026</v>
      </c>
    </row>
    <row r="340">
      <c r="A340" s="1" t="str">
        <f>IFERROR(__xludf.DUMMYFUNCTION("""COMPUTED_VALUE"""),"Cielo Digital Infrastructure")</f>
        <v>Cielo Digital Infrastructure</v>
      </c>
      <c r="B340" s="1" t="str">
        <f>IFERROR(__xludf.DUMMYFUNCTION("""COMPUTED_VALUE"""),"")</f>
        <v/>
      </c>
      <c r="C340" s="1" t="str">
        <f>IFERROR(__xludf.DUMMYFUNCTION("""COMPUTED_VALUE"""),"Minooka")</f>
        <v>Minooka</v>
      </c>
      <c r="D340" s="1" t="str">
        <f>IFERROR(__xludf.DUMMYFUNCTION("""COMPUTED_VALUE"""),"IL")</f>
        <v>IL</v>
      </c>
      <c r="E340" s="1" t="str">
        <f>IFERROR(__xludf.DUMMYFUNCTION("""COMPUTED_VALUE"""),"60447")</f>
        <v>60447</v>
      </c>
      <c r="F340" s="1" t="str">
        <f>IFERROR(__xludf.DUMMYFUNCTION("""COMPUTED_VALUE"""),"Grundy")</f>
        <v>Grundy</v>
      </c>
      <c r="G340" s="1" t="str">
        <f>IFERROR(__xludf.DUMMYFUNCTION("""COMPUTED_VALUE"""),"41.45592")</f>
        <v>41.45592</v>
      </c>
      <c r="H340" s="1" t="str">
        <f>IFERROR(__xludf.DUMMYFUNCTION("""COMPUTED_VALUE"""),"-88.2842")</f>
        <v>-88.2842</v>
      </c>
      <c r="I340" s="1" t="str">
        <f>IFERROR(__xludf.DUMMYFUNCTION("""COMPUTED_VALUE"""),"Proposed")</f>
        <v>Proposed</v>
      </c>
      <c r="J340" s="1" t="str">
        <f>IFERROR(__xludf.DUMMYFUNCTION("""COMPUTED_VALUE"""),"Low")</f>
        <v>Low</v>
      </c>
      <c r="K340" s="1" t="str">
        <f>IFERROR(__xludf.DUMMYFUNCTION("""COMPUTED_VALUE"""),"")</f>
        <v/>
      </c>
      <c r="L340" s="1" t="str">
        <f>IFERROR(__xludf.DUMMYFUNCTION("""COMPUTED_VALUE"""),"")</f>
        <v/>
      </c>
      <c r="M340" s="1" t="str">
        <f>IFERROR(__xludf.DUMMYFUNCTION("""COMPUTED_VALUE"""),"")</f>
        <v/>
      </c>
      <c r="N340" s="1" t="str">
        <f>IFERROR(__xludf.DUMMYFUNCTION("""COMPUTED_VALUE"""),"500")</f>
        <v>500</v>
      </c>
      <c r="O340" s="1" t="str">
        <f>IFERROR(__xludf.DUMMYFUNCTION("""COMPUTED_VALUE"""),"Hyperscale (100-999 MW)")</f>
        <v>Hyperscale (100-999 MW)</v>
      </c>
      <c r="P340" s="1" t="str">
        <f>IFERROR(__xludf.DUMMYFUNCTION("""COMPUTED_VALUE"""),"")</f>
        <v/>
      </c>
      <c r="Q340" s="1" t="str">
        <f>IFERROR(__xludf.DUMMYFUNCTION("""COMPUTED_VALUE"""),"")</f>
        <v/>
      </c>
      <c r="R340" s="1" t="str">
        <f>IFERROR(__xludf.DUMMYFUNCTION("""COMPUTED_VALUE"""),"")</f>
        <v/>
      </c>
      <c r="S340" s="1" t="str">
        <f>IFERROR(__xludf.DUMMYFUNCTION("""COMPUTED_VALUE"""),"")</f>
        <v/>
      </c>
      <c r="T340" s="1" t="str">
        <f>IFERROR(__xludf.DUMMYFUNCTION("""COMPUTED_VALUE"""),"")</f>
        <v/>
      </c>
      <c r="U340" s="1" t="str">
        <f>IFERROR(__xludf.DUMMYFUNCTION("""COMPUTED_VALUE"""),"")</f>
        <v/>
      </c>
      <c r="V340" s="1" t="str">
        <f>IFERROR(__xludf.DUMMYFUNCTION("""COMPUTED_VALUE"""),"")</f>
        <v/>
      </c>
      <c r="W340" s="1" t="str">
        <f>IFERROR(__xludf.DUMMYFUNCTION("""COMPUTED_VALUE"""),"159")</f>
        <v>159</v>
      </c>
      <c r="X340" s="1" t="str">
        <f>IFERROR(__xludf.DUMMYFUNCTION("""COMPUTED_VALUE"""),"")</f>
        <v/>
      </c>
      <c r="Y340" s="1" t="str">
        <f>IFERROR(__xludf.DUMMYFUNCTION("""COMPUTED_VALUE"""),"")</f>
        <v/>
      </c>
      <c r="Z340" s="1" t="str">
        <f>IFERROR(__xludf.DUMMYFUNCTION("""COMPUTED_VALUE"""),"Unknown")</f>
        <v>Unknown</v>
      </c>
      <c r="AA340" s="1" t="str">
        <f>IFERROR(__xludf.DUMMYFUNCTION("""COMPUTED_VALUE"""),"")</f>
        <v/>
      </c>
      <c r="AB340" s="1" t="str">
        <f>IFERROR(__xludf.DUMMYFUNCTION("""COMPUTED_VALUE"""),"")</f>
        <v/>
      </c>
      <c r="AC340" s="1" t="str">
        <f>IFERROR(__xludf.DUMMYFUNCTION("""COMPUTED_VALUE"""),"")</f>
        <v/>
      </c>
      <c r="AD340" s="1" t="str">
        <f>IFERROR(__xludf.DUMMYFUNCTION("""COMPUTED_VALUE"""),"")</f>
        <v/>
      </c>
      <c r="AE340" s="1" t="str">
        <f>IFERROR(__xludf.DUMMYFUNCTION("""COMPUTED_VALUE"""),"")</f>
        <v/>
      </c>
      <c r="AF340" s="1" t="str">
        <f>IFERROR(__xludf.DUMMYFUNCTION("""COMPUTED_VALUE"""),"")</f>
        <v/>
      </c>
      <c r="AG340" s="1" t="str">
        <f>IFERROR(__xludf.DUMMYFUNCTION("""COMPUTED_VALUE"""),"")</f>
        <v/>
      </c>
      <c r="AH340" s="1" t="str">
        <f>IFERROR(__xludf.DUMMYFUNCTION("""COMPUTED_VALUE"""),"Media Monitoring")</f>
        <v>Media Monitoring</v>
      </c>
      <c r="AI340" s="2" t="str">
        <f>IFERROR(__xludf.DUMMYFUNCTION("""COMPUTED_VALUE"""),"https://www.datacenterdynamics.com/en/news/cielo-digital-infrastructure-plans-300mw-data-center-campus-in-south-carolina/")</f>
        <v>https://www.datacenterdynamics.com/en/news/cielo-digital-infrastructure-plans-300mw-data-center-campus-in-south-carolina/</v>
      </c>
      <c r="AJ340" s="1" t="str">
        <f>IFERROR(__xludf.DUMMYFUNCTION("""COMPUTED_VALUE"""),"")</f>
        <v/>
      </c>
      <c r="AK340" s="1" t="str">
        <f>IFERROR(__xludf.DUMMYFUNCTION("""COMPUTED_VALUE"""),"")</f>
        <v/>
      </c>
      <c r="AL340" s="1" t="str">
        <f>IFERROR(__xludf.DUMMYFUNCTION("""COMPUTED_VALUE"""),"")</f>
        <v/>
      </c>
      <c r="AM340" s="1" t="str">
        <f>IFERROR(__xludf.DUMMYFUNCTION("""COMPUTED_VALUE"""),"")</f>
        <v/>
      </c>
      <c r="AN340" s="1" t="str">
        <f>IFERROR(__xludf.DUMMYFUNCTION("""COMPUTED_VALUE"""),"")</f>
        <v/>
      </c>
      <c r="AO340" s="1" t="str">
        <f>IFERROR(__xludf.DUMMYFUNCTION("""COMPUTED_VALUE"""),"")</f>
        <v/>
      </c>
      <c r="AP340" s="1" t="str">
        <f>IFERROR(__xludf.DUMMYFUNCTION("""COMPUTED_VALUE"""),"")</f>
        <v/>
      </c>
      <c r="AQ340" s="1" t="str">
        <f>IFERROR(__xludf.DUMMYFUNCTION("""COMPUTED_VALUE"""),"06/24/2025")</f>
        <v>06/24/2025</v>
      </c>
      <c r="AR340" s="1" t="str">
        <f>IFERROR(__xludf.DUMMYFUNCTION("""COMPUTED_VALUE"""),"06/24/2025")</f>
        <v>06/24/2025</v>
      </c>
    </row>
    <row r="341">
      <c r="A341" s="1" t="str">
        <f>IFERROR(__xludf.DUMMYFUNCTION("""COMPUTED_VALUE"""),"Tract Morris Data Center")</f>
        <v>Tract Morris Data Center</v>
      </c>
      <c r="B341" s="1" t="str">
        <f>IFERROR(__xludf.DUMMYFUNCTION("""COMPUTED_VALUE"""),"Morris Technology Park, 7659-7471 County Rd 2000 E")</f>
        <v>Morris Technology Park, 7659-7471 County Rd 2000 E</v>
      </c>
      <c r="C341" s="1" t="str">
        <f>IFERROR(__xludf.DUMMYFUNCTION("""COMPUTED_VALUE"""),"Morris")</f>
        <v>Morris</v>
      </c>
      <c r="D341" s="1" t="str">
        <f>IFERROR(__xludf.DUMMYFUNCTION("""COMPUTED_VALUE"""),"IL")</f>
        <v>IL</v>
      </c>
      <c r="E341" s="1" t="str">
        <f>IFERROR(__xludf.DUMMYFUNCTION("""COMPUTED_VALUE"""),"60450")</f>
        <v>60450</v>
      </c>
      <c r="F341" s="1" t="str">
        <f>IFERROR(__xludf.DUMMYFUNCTION("""COMPUTED_VALUE"""),"Grundy")</f>
        <v>Grundy</v>
      </c>
      <c r="G341" s="1" t="str">
        <f>IFERROR(__xludf.DUMMYFUNCTION("""COMPUTED_VALUE"""),"41.39786")</f>
        <v>41.39786</v>
      </c>
      <c r="H341" s="1" t="str">
        <f>IFERROR(__xludf.DUMMYFUNCTION("""COMPUTED_VALUE"""),"-88.37636")</f>
        <v>-88.37636</v>
      </c>
      <c r="I341" s="1" t="str">
        <f>IFERROR(__xludf.DUMMYFUNCTION("""COMPUTED_VALUE"""),"Proposed")</f>
        <v>Proposed</v>
      </c>
      <c r="J341" s="1" t="str">
        <f>IFERROR(__xludf.DUMMYFUNCTION("""COMPUTED_VALUE"""),"High")</f>
        <v>High</v>
      </c>
      <c r="K341" s="1" t="str">
        <f>IFERROR(__xludf.DUMMYFUNCTION("""COMPUTED_VALUE"""),"")</f>
        <v/>
      </c>
      <c r="L341" s="1" t="str">
        <f>IFERROR(__xludf.DUMMYFUNCTION("""COMPUTED_VALUE"""),"Tract Data Centers")</f>
        <v>Tract Data Centers</v>
      </c>
      <c r="M341" s="1" t="str">
        <f>IFERROR(__xludf.DUMMYFUNCTION("""COMPUTED_VALUE"""),"")</f>
        <v/>
      </c>
      <c r="N341" s="1" t="str">
        <f>IFERROR(__xludf.DUMMYFUNCTION("""COMPUTED_VALUE"""),"1,000")</f>
        <v>1,000</v>
      </c>
      <c r="O341" s="1" t="str">
        <f>IFERROR(__xludf.DUMMYFUNCTION("""COMPUTED_VALUE"""),"Mega campus (&gt;1,000 MW)")</f>
        <v>Mega campus (&gt;1,000 MW)</v>
      </c>
      <c r="P341" s="1" t="str">
        <f>IFERROR(__xludf.DUMMYFUNCTION("""COMPUTED_VALUE"""),"")</f>
        <v/>
      </c>
      <c r="Q341" s="1" t="str">
        <f>IFERROR(__xludf.DUMMYFUNCTION("""COMPUTED_VALUE"""),"")</f>
        <v/>
      </c>
      <c r="R341" s="1" t="str">
        <f>IFERROR(__xludf.DUMMYFUNCTION("""COMPUTED_VALUE"""),"")</f>
        <v/>
      </c>
      <c r="S341" s="1" t="str">
        <f>IFERROR(__xludf.DUMMYFUNCTION("""COMPUTED_VALUE"""),"")</f>
        <v/>
      </c>
      <c r="T341" s="1" t="str">
        <f>IFERROR(__xludf.DUMMYFUNCTION("""COMPUTED_VALUE"""),"")</f>
        <v/>
      </c>
      <c r="U341" s="1" t="str">
        <f>IFERROR(__xludf.DUMMYFUNCTION("""COMPUTED_VALUE"""),"")</f>
        <v/>
      </c>
      <c r="V341" s="1" t="str">
        <f>IFERROR(__xludf.DUMMYFUNCTION("""COMPUTED_VALUE"""),"2,900,000")</f>
        <v>2,900,000</v>
      </c>
      <c r="W341" s="1" t="str">
        <f>IFERROR(__xludf.DUMMYFUNCTION("""COMPUTED_VALUE"""),"343")</f>
        <v>343</v>
      </c>
      <c r="X341" s="1" t="str">
        <f>IFERROR(__xludf.DUMMYFUNCTION("""COMPUTED_VALUE"""),"")</f>
        <v/>
      </c>
      <c r="Y341" s="1" t="str">
        <f>IFERROR(__xludf.DUMMYFUNCTION("""COMPUTED_VALUE"""),"2028")</f>
        <v>2028</v>
      </c>
      <c r="Z341" s="1" t="str">
        <f>IFERROR(__xludf.DUMMYFUNCTION("""COMPUTED_VALUE"""),"Unknown")</f>
        <v>Unknown</v>
      </c>
      <c r="AA341" s="1" t="str">
        <f>IFERROR(__xludf.DUMMYFUNCTION("""COMPUTED_VALUE"""),"")</f>
        <v/>
      </c>
      <c r="AB341" s="1" t="str">
        <f>IFERROR(__xludf.DUMMYFUNCTION("""COMPUTED_VALUE"""),"")</f>
        <v/>
      </c>
      <c r="AC341" s="1" t="str">
        <f>IFERROR(__xludf.DUMMYFUNCTION("""COMPUTED_VALUE"""),"")</f>
        <v/>
      </c>
      <c r="AD341" s="1" t="str">
        <f>IFERROR(__xludf.DUMMYFUNCTION("""COMPUTED_VALUE"""),"")</f>
        <v/>
      </c>
      <c r="AE341" s="1" t="str">
        <f>IFERROR(__xludf.DUMMYFUNCTION("""COMPUTED_VALUE"""),"")</f>
        <v/>
      </c>
      <c r="AF341" s="1" t="str">
        <f>IFERROR(__xludf.DUMMYFUNCTION("""COMPUTED_VALUE"""),"")</f>
        <v/>
      </c>
      <c r="AG341" s="1" t="str">
        <f>IFERROR(__xludf.DUMMYFUNCTION("""COMPUTED_VALUE"""),"")</f>
        <v/>
      </c>
      <c r="AH341" s="1" t="str">
        <f>IFERROR(__xludf.DUMMYFUNCTION("""COMPUTED_VALUE"""),"Media Monitoring")</f>
        <v>Media Monitoring</v>
      </c>
      <c r="AI341" s="2" t="str">
        <f>IFERROR(__xludf.DUMMYFUNCTION("""COMPUTED_VALUE"""),"https://www.datacenterdynamics.com/en/news/tract-expands-into-illinois-with-plans-for-1gw-data-center-park-outside-chicago/")</f>
        <v>https://www.datacenterdynamics.com/en/news/tract-expands-into-illinois-with-plans-for-1gw-data-center-park-outside-chicago/</v>
      </c>
      <c r="AJ341" s="2" t="str">
        <f>IFERROR(__xludf.DUMMYFUNCTION("""COMPUTED_VALUE"""),"https://www.datacenterdynamics.com/en/news/ferc-approves-transmission-agreement-for-planned-1gw-tract-data-center-in-morris-illinois/")</f>
        <v>https://www.datacenterdynamics.com/en/news/ferc-approves-transmission-agreement-for-planned-1gw-tract-data-center-in-morris-illinois/</v>
      </c>
      <c r="AK341" s="1" t="str">
        <f>IFERROR(__xludf.DUMMYFUNCTION("""COMPUTED_VALUE"""),"")</f>
        <v/>
      </c>
      <c r="AL341" s="1" t="str">
        <f>IFERROR(__xludf.DUMMYFUNCTION("""COMPUTED_VALUE"""),"")</f>
        <v/>
      </c>
      <c r="AM341" s="1" t="str">
        <f>IFERROR(__xludf.DUMMYFUNCTION("""COMPUTED_VALUE"""),"")</f>
        <v/>
      </c>
      <c r="AN341" s="1" t="str">
        <f>IFERROR(__xludf.DUMMYFUNCTION("""COMPUTED_VALUE"""),"")</f>
        <v/>
      </c>
      <c r="AO341" s="1" t="str">
        <f>IFERROR(__xludf.DUMMYFUNCTION("""COMPUTED_VALUE"""),"")</f>
        <v/>
      </c>
      <c r="AP341" s="1" t="str">
        <f>IFERROR(__xludf.DUMMYFUNCTION("""COMPUTED_VALUE"""),"")</f>
        <v/>
      </c>
      <c r="AQ341" s="1" t="str">
        <f>IFERROR(__xludf.DUMMYFUNCTION("""COMPUTED_VALUE"""),"01/19/2026")</f>
        <v>01/19/2026</v>
      </c>
      <c r="AR341" s="1" t="str">
        <f>IFERROR(__xludf.DUMMYFUNCTION("""COMPUTED_VALUE"""),"04/22/2026")</f>
        <v>04/22/2026</v>
      </c>
    </row>
    <row r="342">
      <c r="A342" s="1" t="str">
        <f>IFERROR(__xludf.DUMMYFUNCTION("""COMPUTED_VALUE"""),"Karis Critical Data Center")</f>
        <v>Karis Critical Data Center</v>
      </c>
      <c r="B342" s="1" t="str">
        <f>IFERROR(__xludf.DUMMYFUNCTION("""COMPUTED_VALUE"""),"1960 Lucent Lane")</f>
        <v>1960 Lucent Lane</v>
      </c>
      <c r="C342" s="1" t="str">
        <f>IFERROR(__xludf.DUMMYFUNCTION("""COMPUTED_VALUE"""),"Naperville")</f>
        <v>Naperville</v>
      </c>
      <c r="D342" s="1" t="str">
        <f>IFERROR(__xludf.DUMMYFUNCTION("""COMPUTED_VALUE"""),"IL")</f>
        <v>IL</v>
      </c>
      <c r="E342" s="1" t="str">
        <f>IFERROR(__xludf.DUMMYFUNCTION("""COMPUTED_VALUE"""),"60563")</f>
        <v>60563</v>
      </c>
      <c r="F342" s="1" t="str">
        <f>IFERROR(__xludf.DUMMYFUNCTION("""COMPUTED_VALUE"""),"DuPage")</f>
        <v>DuPage</v>
      </c>
      <c r="G342" s="1" t="str">
        <f>IFERROR(__xludf.DUMMYFUNCTION("""COMPUTED_VALUE"""),"41.81113")</f>
        <v>41.81113</v>
      </c>
      <c r="H342" s="1" t="str">
        <f>IFERROR(__xludf.DUMMYFUNCTION("""COMPUTED_VALUE"""),"-88.1191")</f>
        <v>-88.1191</v>
      </c>
      <c r="I342" s="1" t="str">
        <f>IFERROR(__xludf.DUMMYFUNCTION("""COMPUTED_VALUE"""),"Cancelled")</f>
        <v>Cancelled</v>
      </c>
      <c r="J342" s="1" t="str">
        <f>IFERROR(__xludf.DUMMYFUNCTION("""COMPUTED_VALUE"""),"High")</f>
        <v>High</v>
      </c>
      <c r="K342" s="1" t="str">
        <f>IFERROR(__xludf.DUMMYFUNCTION("""COMPUTED_VALUE"""),"")</f>
        <v/>
      </c>
      <c r="L342" s="1" t="str">
        <f>IFERROR(__xludf.DUMMYFUNCTION("""COMPUTED_VALUE"""),"")</f>
        <v/>
      </c>
      <c r="M342" s="1" t="str">
        <f>IFERROR(__xludf.DUMMYFUNCTION("""COMPUTED_VALUE"""),"")</f>
        <v/>
      </c>
      <c r="N342" s="1" t="str">
        <f>IFERROR(__xludf.DUMMYFUNCTION("""COMPUTED_VALUE"""),"36")</f>
        <v>36</v>
      </c>
      <c r="O342" s="1" t="str">
        <f>IFERROR(__xludf.DUMMYFUNCTION("""COMPUTED_VALUE"""),"Medium (11-50 MW)")</f>
        <v>Medium (11-50 MW)</v>
      </c>
      <c r="P342" s="1" t="str">
        <f>IFERROR(__xludf.DUMMYFUNCTION("""COMPUTED_VALUE"""),"")</f>
        <v/>
      </c>
      <c r="Q342" s="1" t="str">
        <f>IFERROR(__xludf.DUMMYFUNCTION("""COMPUTED_VALUE"""),"")</f>
        <v/>
      </c>
      <c r="R342" s="1" t="str">
        <f>IFERROR(__xludf.DUMMYFUNCTION("""COMPUTED_VALUE"""),"12-24")</f>
        <v>12-24</v>
      </c>
      <c r="S342" s="1" t="str">
        <f>IFERROR(__xludf.DUMMYFUNCTION("""COMPUTED_VALUE"""),"")</f>
        <v/>
      </c>
      <c r="T342" s="1" t="str">
        <f>IFERROR(__xludf.DUMMYFUNCTION("""COMPUTED_VALUE"""),"")</f>
        <v/>
      </c>
      <c r="U342" s="1" t="str">
        <f>IFERROR(__xludf.DUMMYFUNCTION("""COMPUTED_VALUE"""),"")</f>
        <v/>
      </c>
      <c r="V342" s="1" t="str">
        <f>IFERROR(__xludf.DUMMYFUNCTION("""COMPUTED_VALUE"""),"145,000")</f>
        <v>145,000</v>
      </c>
      <c r="W342" s="1" t="str">
        <f>IFERROR(__xludf.DUMMYFUNCTION("""COMPUTED_VALUE"""),"")</f>
        <v/>
      </c>
      <c r="X342" s="1" t="str">
        <f>IFERROR(__xludf.DUMMYFUNCTION("""COMPUTED_VALUE"""),"")</f>
        <v/>
      </c>
      <c r="Y342" s="1" t="str">
        <f>IFERROR(__xludf.DUMMYFUNCTION("""COMPUTED_VALUE"""),"")</f>
        <v/>
      </c>
      <c r="Z342" s="1" t="str">
        <f>IFERROR(__xludf.DUMMYFUNCTION("""COMPUTED_VALUE"""),"Yes")</f>
        <v>Yes</v>
      </c>
      <c r="AA342" s="1" t="str">
        <f>IFERROR(__xludf.DUMMYFUNCTION("""COMPUTED_VALUE"""),"")</f>
        <v/>
      </c>
      <c r="AB342" s="1" t="str">
        <f>IFERROR(__xludf.DUMMYFUNCTION("""COMPUTED_VALUE"""),"")</f>
        <v/>
      </c>
      <c r="AC342" s="1" t="str">
        <f>IFERROR(__xludf.DUMMYFUNCTION("""COMPUTED_VALUE"""),"")</f>
        <v/>
      </c>
      <c r="AD342" s="1" t="str">
        <f>IFERROR(__xludf.DUMMYFUNCTION("""COMPUTED_VALUE"""),"")</f>
        <v/>
      </c>
      <c r="AE342" s="1" t="str">
        <f>IFERROR(__xludf.DUMMYFUNCTION("""COMPUTED_VALUE"""),"")</f>
        <v/>
      </c>
      <c r="AF342" s="2" t="str">
        <f>IFERROR(__xludf.DUMMYFUNCTION("""COMPUTED_VALUE"""),"https://www.change.org/p/naperville-planning-comission-stop-mega-housing-development-on-the-border-of-herrick-lake-and-danada-forest-preserves/u/34146049")</f>
        <v>https://www.change.org/p/naperville-planning-comission-stop-mega-housing-development-on-the-border-of-herrick-lake-and-danada-forest-preserves/u/34146049</v>
      </c>
      <c r="AG342" s="1" t="str">
        <f>IFERROR(__xludf.DUMMYFUNCTION("""COMPUTED_VALUE"""),"")</f>
        <v/>
      </c>
      <c r="AH342" s="1" t="str">
        <f>IFERROR(__xludf.DUMMYFUNCTION("""COMPUTED_VALUE"""),"Media Monitoring")</f>
        <v>Media Monitoring</v>
      </c>
      <c r="AI342" s="2" t="str">
        <f>IFERROR(__xludf.DUMMYFUNCTION("""COMPUTED_VALUE"""),"https://www.dailyherald.com/20250901/news/backbone-of-the-digital-world-karis-details-plans-for-naperville-data-center-development/")</f>
        <v>https://www.dailyherald.com/20250901/news/backbone-of-the-digital-world-karis-details-plans-for-naperville-data-center-development/</v>
      </c>
      <c r="AJ342" s="2" t="str">
        <f>IFERROR(__xludf.DUMMYFUNCTION("""COMPUTED_VALUE"""),"https://abc7chicago.com/amp/post/naperville-illinois-city-council-denies-plan-karis-critical-data-center-vacant-lucent-campus-off-warrenville-road/18442413/")</f>
        <v>https://abc7chicago.com/amp/post/naperville-illinois-city-council-denies-plan-karis-critical-data-center-vacant-lucent-campus-off-warrenville-road/18442413/</v>
      </c>
      <c r="AK342" s="2" t="str">
        <f>IFERROR(__xludf.DUMMYFUNCTION("""COMPUTED_VALUE"""),"https://www.datacenterdynamics.com/en/news/karis-critical-plans-36mw-data-center-in-naperville-illinois/")</f>
        <v>https://www.datacenterdynamics.com/en/news/karis-critical-plans-36mw-data-center-in-naperville-illinois/</v>
      </c>
      <c r="AL342" s="2" t="str">
        <f>IFERROR(__xludf.DUMMYFUNCTION("""COMPUTED_VALUE"""),"https://www.datacenterdynamics.com/en/news/36mw-data-center-denied-near-chicago-illinois/")</f>
        <v>https://www.datacenterdynamics.com/en/news/36mw-data-center-denied-near-chicago-illinois/</v>
      </c>
      <c r="AM342" s="1" t="str">
        <f>IFERROR(__xludf.DUMMYFUNCTION("""COMPUTED_VALUE"""),"")</f>
        <v/>
      </c>
      <c r="AN342" s="1" t="str">
        <f>IFERROR(__xludf.DUMMYFUNCTION("""COMPUTED_VALUE"""),"")</f>
        <v/>
      </c>
      <c r="AO342" s="1" t="str">
        <f>IFERROR(__xludf.DUMMYFUNCTION("""COMPUTED_VALUE"""),"")</f>
        <v/>
      </c>
      <c r="AP342" s="1" t="str">
        <f>IFERROR(__xludf.DUMMYFUNCTION("""COMPUTED_VALUE"""),"")</f>
        <v/>
      </c>
      <c r="AQ342" s="1" t="str">
        <f>IFERROR(__xludf.DUMMYFUNCTION("""COMPUTED_VALUE"""),"09/03/2025")</f>
        <v>09/03/2025</v>
      </c>
      <c r="AR342" s="1" t="str">
        <f>IFERROR(__xludf.DUMMYFUNCTION("""COMPUTED_VALUE"""),"02/13/2026")</f>
        <v>02/13/2026</v>
      </c>
    </row>
    <row r="343">
      <c r="A343" s="1" t="str">
        <f>IFERROR(__xludf.DUMMYFUNCTION("""COMPUTED_VALUE"""),"Karis Data Center")</f>
        <v>Karis Data Center</v>
      </c>
      <c r="B343" s="1" t="str">
        <f>IFERROR(__xludf.DUMMYFUNCTION("""COMPUTED_VALUE"""),"150 W. Warrenville Rd")</f>
        <v>150 W. Warrenville Rd</v>
      </c>
      <c r="C343" s="1" t="str">
        <f>IFERROR(__xludf.DUMMYFUNCTION("""COMPUTED_VALUE"""),"Naperville")</f>
        <v>Naperville</v>
      </c>
      <c r="D343" s="1" t="str">
        <f>IFERROR(__xludf.DUMMYFUNCTION("""COMPUTED_VALUE"""),"IL")</f>
        <v>IL</v>
      </c>
      <c r="E343" s="1" t="str">
        <f>IFERROR(__xludf.DUMMYFUNCTION("""COMPUTED_VALUE"""),"60563")</f>
        <v>60563</v>
      </c>
      <c r="F343" s="1" t="str">
        <f>IFERROR(__xludf.DUMMYFUNCTION("""COMPUTED_VALUE"""),"DuPage")</f>
        <v>DuPage</v>
      </c>
      <c r="G343" s="1" t="str">
        <f>IFERROR(__xludf.DUMMYFUNCTION("""COMPUTED_VALUE"""),"41.8113")</f>
        <v>41.8113</v>
      </c>
      <c r="H343" s="1" t="str">
        <f>IFERROR(__xludf.DUMMYFUNCTION("""COMPUTED_VALUE"""),"-88.15195")</f>
        <v>-88.15195</v>
      </c>
      <c r="I343" s="1" t="str">
        <f>IFERROR(__xludf.DUMMYFUNCTION("""COMPUTED_VALUE"""),"Proposed")</f>
        <v>Proposed</v>
      </c>
      <c r="J343" s="1" t="str">
        <f>IFERROR(__xludf.DUMMYFUNCTION("""COMPUTED_VALUE"""),"High")</f>
        <v>High</v>
      </c>
      <c r="K343" s="1" t="str">
        <f>IFERROR(__xludf.DUMMYFUNCTION("""COMPUTED_VALUE"""),"")</f>
        <v/>
      </c>
      <c r="L343" s="1" t="str">
        <f>IFERROR(__xludf.DUMMYFUNCTION("""COMPUTED_VALUE"""),"")</f>
        <v/>
      </c>
      <c r="M343" s="1" t="str">
        <f>IFERROR(__xludf.DUMMYFUNCTION("""COMPUTED_VALUE"""),"")</f>
        <v/>
      </c>
      <c r="N343" s="1" t="str">
        <f>IFERROR(__xludf.DUMMYFUNCTION("""COMPUTED_VALUE"""),"")</f>
        <v/>
      </c>
      <c r="O343" s="1" t="str">
        <f>IFERROR(__xludf.DUMMYFUNCTION("""COMPUTED_VALUE"""),"Unknown")</f>
        <v>Unknown</v>
      </c>
      <c r="P343" s="1" t="str">
        <f>IFERROR(__xludf.DUMMYFUNCTION("""COMPUTED_VALUE"""),"")</f>
        <v/>
      </c>
      <c r="Q343" s="1" t="str">
        <f>IFERROR(__xludf.DUMMYFUNCTION("""COMPUTED_VALUE"""),"")</f>
        <v/>
      </c>
      <c r="R343" s="1" t="str">
        <f>IFERROR(__xludf.DUMMYFUNCTION("""COMPUTED_VALUE"""),"")</f>
        <v/>
      </c>
      <c r="S343" s="1" t="str">
        <f>IFERROR(__xludf.DUMMYFUNCTION("""COMPUTED_VALUE"""),"")</f>
        <v/>
      </c>
      <c r="T343" s="1" t="str">
        <f>IFERROR(__xludf.DUMMYFUNCTION("""COMPUTED_VALUE"""),"")</f>
        <v/>
      </c>
      <c r="U343" s="1" t="str">
        <f>IFERROR(__xludf.DUMMYFUNCTION("""COMPUTED_VALUE"""),"")</f>
        <v/>
      </c>
      <c r="V343" s="1" t="str">
        <f>IFERROR(__xludf.DUMMYFUNCTION("""COMPUTED_VALUE"""),"")</f>
        <v/>
      </c>
      <c r="W343" s="1" t="str">
        <f>IFERROR(__xludf.DUMMYFUNCTION("""COMPUTED_VALUE"""),"168")</f>
        <v>168</v>
      </c>
      <c r="X343" s="1" t="str">
        <f>IFERROR(__xludf.DUMMYFUNCTION("""COMPUTED_VALUE"""),"")</f>
        <v/>
      </c>
      <c r="Y343" s="1" t="str">
        <f>IFERROR(__xludf.DUMMYFUNCTION("""COMPUTED_VALUE"""),"")</f>
        <v/>
      </c>
      <c r="Z343" s="1" t="str">
        <f>IFERROR(__xludf.DUMMYFUNCTION("""COMPUTED_VALUE"""),"Unknown")</f>
        <v>Unknown</v>
      </c>
      <c r="AA343" s="1" t="str">
        <f>IFERROR(__xludf.DUMMYFUNCTION("""COMPUTED_VALUE"""),"")</f>
        <v/>
      </c>
      <c r="AB343" s="1" t="str">
        <f>IFERROR(__xludf.DUMMYFUNCTION("""COMPUTED_VALUE"""),"")</f>
        <v/>
      </c>
      <c r="AC343" s="1" t="str">
        <f>IFERROR(__xludf.DUMMYFUNCTION("""COMPUTED_VALUE"""),"")</f>
        <v/>
      </c>
      <c r="AD343" s="1" t="str">
        <f>IFERROR(__xludf.DUMMYFUNCTION("""COMPUTED_VALUE"""),"")</f>
        <v/>
      </c>
      <c r="AE343" s="1" t="str">
        <f>IFERROR(__xludf.DUMMYFUNCTION("""COMPUTED_VALUE"""),"")</f>
        <v/>
      </c>
      <c r="AF343" s="1" t="str">
        <f>IFERROR(__xludf.DUMMYFUNCTION("""COMPUTED_VALUE"""),"")</f>
        <v/>
      </c>
      <c r="AG343" s="1" t="str">
        <f>IFERROR(__xludf.DUMMYFUNCTION("""COMPUTED_VALUE"""),"")</f>
        <v/>
      </c>
      <c r="AH343" s="1" t="str">
        <f>IFERROR(__xludf.DUMMYFUNCTION("""COMPUTED_VALUE"""),"Media Monitoring")</f>
        <v>Media Monitoring</v>
      </c>
      <c r="AI343" s="2" t="str">
        <f>IFERROR(__xludf.DUMMYFUNCTION("""COMPUTED_VALUE"""),"https://www.datacenterdynamics.com/en/news/karis-eyes-potential-data-center-development-outside-chicago-illinois/")</f>
        <v>https://www.datacenterdynamics.com/en/news/karis-eyes-potential-data-center-development-outside-chicago-illinois/</v>
      </c>
      <c r="AJ343" s="1" t="str">
        <f>IFERROR(__xludf.DUMMYFUNCTION("""COMPUTED_VALUE"""),"")</f>
        <v/>
      </c>
      <c r="AK343" s="1" t="str">
        <f>IFERROR(__xludf.DUMMYFUNCTION("""COMPUTED_VALUE"""),"")</f>
        <v/>
      </c>
      <c r="AL343" s="1" t="str">
        <f>IFERROR(__xludf.DUMMYFUNCTION("""COMPUTED_VALUE"""),"")</f>
        <v/>
      </c>
      <c r="AM343" s="1" t="str">
        <f>IFERROR(__xludf.DUMMYFUNCTION("""COMPUTED_VALUE"""),"")</f>
        <v/>
      </c>
      <c r="AN343" s="1" t="str">
        <f>IFERROR(__xludf.DUMMYFUNCTION("""COMPUTED_VALUE"""),"")</f>
        <v/>
      </c>
      <c r="AO343" s="1" t="str">
        <f>IFERROR(__xludf.DUMMYFUNCTION("""COMPUTED_VALUE"""),"")</f>
        <v/>
      </c>
      <c r="AP343" s="1" t="str">
        <f>IFERROR(__xludf.DUMMYFUNCTION("""COMPUTED_VALUE"""),"")</f>
        <v/>
      </c>
      <c r="AQ343" s="1" t="str">
        <f>IFERROR(__xludf.DUMMYFUNCTION("""COMPUTED_VALUE"""),"06/23/2026")</f>
        <v>06/23/2026</v>
      </c>
      <c r="AR343" s="1" t="str">
        <f>IFERROR(__xludf.DUMMYFUNCTION("""COMPUTED_VALUE"""),"06/23/2026")</f>
        <v>06/23/2026</v>
      </c>
    </row>
    <row r="344">
      <c r="A344" s="1" t="str">
        <f>IFERROR(__xludf.DUMMYFUNCTION("""COMPUTED_VALUE"""),"Cielo Digital Infrastructure")</f>
        <v>Cielo Digital Infrastructure</v>
      </c>
      <c r="B344" s="1" t="str">
        <f>IFERROR(__xludf.DUMMYFUNCTION("""COMPUTED_VALUE"""),"")</f>
        <v/>
      </c>
      <c r="C344" s="1" t="str">
        <f>IFERROR(__xludf.DUMMYFUNCTION("""COMPUTED_VALUE"""),"New Lenox")</f>
        <v>New Lenox</v>
      </c>
      <c r="D344" s="1" t="str">
        <f>IFERROR(__xludf.DUMMYFUNCTION("""COMPUTED_VALUE"""),"IL")</f>
        <v>IL</v>
      </c>
      <c r="E344" s="1" t="str">
        <f>IFERROR(__xludf.DUMMYFUNCTION("""COMPUTED_VALUE"""),"60541")</f>
        <v>60541</v>
      </c>
      <c r="F344" s="1" t="str">
        <f>IFERROR(__xludf.DUMMYFUNCTION("""COMPUTED_VALUE"""),"Will")</f>
        <v>Will</v>
      </c>
      <c r="G344" s="1" t="str">
        <f>IFERROR(__xludf.DUMMYFUNCTION("""COMPUTED_VALUE"""),"41.51055")</f>
        <v>41.51055</v>
      </c>
      <c r="H344" s="1" t="str">
        <f>IFERROR(__xludf.DUMMYFUNCTION("""COMPUTED_VALUE"""),"-87.969")</f>
        <v>-87.969</v>
      </c>
      <c r="I344" s="1" t="str">
        <f>IFERROR(__xludf.DUMMYFUNCTION("""COMPUTED_VALUE"""),"Proposed")</f>
        <v>Proposed</v>
      </c>
      <c r="J344" s="1" t="str">
        <f>IFERROR(__xludf.DUMMYFUNCTION("""COMPUTED_VALUE"""),"Low")</f>
        <v>Low</v>
      </c>
      <c r="K344" s="1" t="str">
        <f>IFERROR(__xludf.DUMMYFUNCTION("""COMPUTED_VALUE"""),"")</f>
        <v/>
      </c>
      <c r="L344" s="1" t="str">
        <f>IFERROR(__xludf.DUMMYFUNCTION("""COMPUTED_VALUE"""),"")</f>
        <v/>
      </c>
      <c r="M344" s="1" t="str">
        <f>IFERROR(__xludf.DUMMYFUNCTION("""COMPUTED_VALUE"""),"")</f>
        <v/>
      </c>
      <c r="N344" s="1" t="str">
        <f>IFERROR(__xludf.DUMMYFUNCTION("""COMPUTED_VALUE"""),"350")</f>
        <v>350</v>
      </c>
      <c r="O344" s="1" t="str">
        <f>IFERROR(__xludf.DUMMYFUNCTION("""COMPUTED_VALUE"""),"Hyperscale (100-999 MW)")</f>
        <v>Hyperscale (100-999 MW)</v>
      </c>
      <c r="P344" s="1" t="str">
        <f>IFERROR(__xludf.DUMMYFUNCTION("""COMPUTED_VALUE"""),"")</f>
        <v/>
      </c>
      <c r="Q344" s="1" t="str">
        <f>IFERROR(__xludf.DUMMYFUNCTION("""COMPUTED_VALUE"""),"")</f>
        <v/>
      </c>
      <c r="R344" s="1" t="str">
        <f>IFERROR(__xludf.DUMMYFUNCTION("""COMPUTED_VALUE"""),"")</f>
        <v/>
      </c>
      <c r="S344" s="1" t="str">
        <f>IFERROR(__xludf.DUMMYFUNCTION("""COMPUTED_VALUE"""),"")</f>
        <v/>
      </c>
      <c r="T344" s="1" t="str">
        <f>IFERROR(__xludf.DUMMYFUNCTION("""COMPUTED_VALUE"""),"")</f>
        <v/>
      </c>
      <c r="U344" s="1" t="str">
        <f>IFERROR(__xludf.DUMMYFUNCTION("""COMPUTED_VALUE"""),"")</f>
        <v/>
      </c>
      <c r="V344" s="1" t="str">
        <f>IFERROR(__xludf.DUMMYFUNCTION("""COMPUTED_VALUE"""),"")</f>
        <v/>
      </c>
      <c r="W344" s="1" t="str">
        <f>IFERROR(__xludf.DUMMYFUNCTION("""COMPUTED_VALUE"""),"141")</f>
        <v>141</v>
      </c>
      <c r="X344" s="1" t="str">
        <f>IFERROR(__xludf.DUMMYFUNCTION("""COMPUTED_VALUE"""),"")</f>
        <v/>
      </c>
      <c r="Y344" s="1" t="str">
        <f>IFERROR(__xludf.DUMMYFUNCTION("""COMPUTED_VALUE"""),"")</f>
        <v/>
      </c>
      <c r="Z344" s="1" t="str">
        <f>IFERROR(__xludf.DUMMYFUNCTION("""COMPUTED_VALUE"""),"Unknown")</f>
        <v>Unknown</v>
      </c>
      <c r="AA344" s="1" t="str">
        <f>IFERROR(__xludf.DUMMYFUNCTION("""COMPUTED_VALUE"""),"")</f>
        <v/>
      </c>
      <c r="AB344" s="1" t="str">
        <f>IFERROR(__xludf.DUMMYFUNCTION("""COMPUTED_VALUE"""),"")</f>
        <v/>
      </c>
      <c r="AC344" s="1" t="str">
        <f>IFERROR(__xludf.DUMMYFUNCTION("""COMPUTED_VALUE"""),"")</f>
        <v/>
      </c>
      <c r="AD344" s="1" t="str">
        <f>IFERROR(__xludf.DUMMYFUNCTION("""COMPUTED_VALUE"""),"")</f>
        <v/>
      </c>
      <c r="AE344" s="1" t="str">
        <f>IFERROR(__xludf.DUMMYFUNCTION("""COMPUTED_VALUE"""),"")</f>
        <v/>
      </c>
      <c r="AF344" s="1" t="str">
        <f>IFERROR(__xludf.DUMMYFUNCTION("""COMPUTED_VALUE"""),"")</f>
        <v/>
      </c>
      <c r="AG344" s="1" t="str">
        <f>IFERROR(__xludf.DUMMYFUNCTION("""COMPUTED_VALUE"""),"")</f>
        <v/>
      </c>
      <c r="AH344" s="1" t="str">
        <f>IFERROR(__xludf.DUMMYFUNCTION("""COMPUTED_VALUE"""),"Media Monitoring")</f>
        <v>Media Monitoring</v>
      </c>
      <c r="AI344" s="2" t="str">
        <f>IFERROR(__xludf.DUMMYFUNCTION("""COMPUTED_VALUE"""),"https://www.datacenterdynamics.com/en/news/cielo-digital-infrastructure-plans-300mw-data-center-campus-in-south-carolina/")</f>
        <v>https://www.datacenterdynamics.com/en/news/cielo-digital-infrastructure-plans-300mw-data-center-campus-in-south-carolina/</v>
      </c>
      <c r="AJ344" s="1" t="str">
        <f>IFERROR(__xludf.DUMMYFUNCTION("""COMPUTED_VALUE"""),"")</f>
        <v/>
      </c>
      <c r="AK344" s="1" t="str">
        <f>IFERROR(__xludf.DUMMYFUNCTION("""COMPUTED_VALUE"""),"")</f>
        <v/>
      </c>
      <c r="AL344" s="1" t="str">
        <f>IFERROR(__xludf.DUMMYFUNCTION("""COMPUTED_VALUE"""),"")</f>
        <v/>
      </c>
      <c r="AM344" s="1" t="str">
        <f>IFERROR(__xludf.DUMMYFUNCTION("""COMPUTED_VALUE"""),"")</f>
        <v/>
      </c>
      <c r="AN344" s="1" t="str">
        <f>IFERROR(__xludf.DUMMYFUNCTION("""COMPUTED_VALUE"""),"")</f>
        <v/>
      </c>
      <c r="AO344" s="1" t="str">
        <f>IFERROR(__xludf.DUMMYFUNCTION("""COMPUTED_VALUE"""),"")</f>
        <v/>
      </c>
      <c r="AP344" s="1" t="str">
        <f>IFERROR(__xludf.DUMMYFUNCTION("""COMPUTED_VALUE"""),"")</f>
        <v/>
      </c>
      <c r="AQ344" s="1" t="str">
        <f>IFERROR(__xludf.DUMMYFUNCTION("""COMPUTED_VALUE"""),"06/24/2025")</f>
        <v>06/24/2025</v>
      </c>
      <c r="AR344" s="1" t="str">
        <f>IFERROR(__xludf.DUMMYFUNCTION("""COMPUTED_VALUE"""),"06/24/2025")</f>
        <v>06/24/2025</v>
      </c>
    </row>
    <row r="345">
      <c r="A345" s="1" t="str">
        <f>IFERROR(__xludf.DUMMYFUNCTION("""COMPUTED_VALUE"""),"ORD-01 Data Center")</f>
        <v>ORD-01 Data Center</v>
      </c>
      <c r="B345" s="1" t="str">
        <f>IFERROR(__xludf.DUMMYFUNCTION("""COMPUTED_VALUE"""),"505 Northwest Ave")</f>
        <v>505 Northwest Ave</v>
      </c>
      <c r="C345" s="1" t="str">
        <f>IFERROR(__xludf.DUMMYFUNCTION("""COMPUTED_VALUE"""),"Northlake")</f>
        <v>Northlake</v>
      </c>
      <c r="D345" s="1" t="str">
        <f>IFERROR(__xludf.DUMMYFUNCTION("""COMPUTED_VALUE"""),"IL")</f>
        <v>IL</v>
      </c>
      <c r="E345" s="1" t="str">
        <f>IFERROR(__xludf.DUMMYFUNCTION("""COMPUTED_VALUE"""),"60164")</f>
        <v>60164</v>
      </c>
      <c r="F345" s="1" t="str">
        <f>IFERROR(__xludf.DUMMYFUNCTION("""COMPUTED_VALUE"""),"Cook")</f>
        <v>Cook</v>
      </c>
      <c r="G345" s="1" t="str">
        <f>IFERROR(__xludf.DUMMYFUNCTION("""COMPUTED_VALUE"""),"41.91402")</f>
        <v>41.91402</v>
      </c>
      <c r="H345" s="1" t="str">
        <f>IFERROR(__xludf.DUMMYFUNCTION("""COMPUTED_VALUE"""),"-87.9177")</f>
        <v>-87.9177</v>
      </c>
      <c r="I345" s="1" t="str">
        <f>IFERROR(__xludf.DUMMYFUNCTION("""COMPUTED_VALUE"""),"Operating")</f>
        <v>Operating</v>
      </c>
      <c r="J345" s="1" t="str">
        <f>IFERROR(__xludf.DUMMYFUNCTION("""COMPUTED_VALUE"""),"High")</f>
        <v>High</v>
      </c>
      <c r="K345" s="1" t="str">
        <f>IFERROR(__xludf.DUMMYFUNCTION("""COMPUTED_VALUE"""),"")</f>
        <v/>
      </c>
      <c r="L345" s="1" t="str">
        <f>IFERROR(__xludf.DUMMYFUNCTION("""COMPUTED_VALUE"""),"Aligned Data Centers")</f>
        <v>Aligned Data Centers</v>
      </c>
      <c r="M345" s="1" t="str">
        <f>IFERROR(__xludf.DUMMYFUNCTION("""COMPUTED_VALUE"""),"")</f>
        <v/>
      </c>
      <c r="N345" s="1" t="str">
        <f>IFERROR(__xludf.DUMMYFUNCTION("""COMPUTED_VALUE"""),"42")</f>
        <v>42</v>
      </c>
      <c r="O345" s="1" t="str">
        <f>IFERROR(__xludf.DUMMYFUNCTION("""COMPUTED_VALUE"""),"Medium (11-50 MW)")</f>
        <v>Medium (11-50 MW)</v>
      </c>
      <c r="P345" s="1" t="str">
        <f>IFERROR(__xludf.DUMMYFUNCTION("""COMPUTED_VALUE"""),"")</f>
        <v/>
      </c>
      <c r="Q345" s="1" t="str">
        <f>IFERROR(__xludf.DUMMYFUNCTION("""COMPUTED_VALUE"""),"")</f>
        <v/>
      </c>
      <c r="R345" s="1" t="str">
        <f>IFERROR(__xludf.DUMMYFUNCTION("""COMPUTED_VALUE"""),"")</f>
        <v/>
      </c>
      <c r="S345" s="1" t="str">
        <f>IFERROR(__xludf.DUMMYFUNCTION("""COMPUTED_VALUE"""),"")</f>
        <v/>
      </c>
      <c r="T345" s="1" t="str">
        <f>IFERROR(__xludf.DUMMYFUNCTION("""COMPUTED_VALUE"""),"")</f>
        <v/>
      </c>
      <c r="U345" s="1" t="str">
        <f>IFERROR(__xludf.DUMMYFUNCTION("""COMPUTED_VALUE"""),"")</f>
        <v/>
      </c>
      <c r="V345" s="1" t="str">
        <f>IFERROR(__xludf.DUMMYFUNCTION("""COMPUTED_VALUE"""),"220,000")</f>
        <v>220,000</v>
      </c>
      <c r="W345" s="1" t="str">
        <f>IFERROR(__xludf.DUMMYFUNCTION("""COMPUTED_VALUE"""),"")</f>
        <v/>
      </c>
      <c r="X345" s="1" t="str">
        <f>IFERROR(__xludf.DUMMYFUNCTION("""COMPUTED_VALUE"""),"")</f>
        <v/>
      </c>
      <c r="Y345" s="1" t="str">
        <f>IFERROR(__xludf.DUMMYFUNCTION("""COMPUTED_VALUE"""),"")</f>
        <v/>
      </c>
      <c r="Z345" s="1" t="str">
        <f>IFERROR(__xludf.DUMMYFUNCTION("""COMPUTED_VALUE"""),"Unknown")</f>
        <v>Unknown</v>
      </c>
      <c r="AA345" s="1" t="str">
        <f>IFERROR(__xludf.DUMMYFUNCTION("""COMPUTED_VALUE"""),"")</f>
        <v/>
      </c>
      <c r="AB345" s="1" t="str">
        <f>IFERROR(__xludf.DUMMYFUNCTION("""COMPUTED_VALUE"""),"")</f>
        <v/>
      </c>
      <c r="AC345" s="1" t="str">
        <f>IFERROR(__xludf.DUMMYFUNCTION("""COMPUTED_VALUE"""),"")</f>
        <v/>
      </c>
      <c r="AD345" s="1" t="str">
        <f>IFERROR(__xludf.DUMMYFUNCTION("""COMPUTED_VALUE"""),"")</f>
        <v/>
      </c>
      <c r="AE345" s="1" t="str">
        <f>IFERROR(__xludf.DUMMYFUNCTION("""COMPUTED_VALUE"""),"")</f>
        <v/>
      </c>
      <c r="AF345" s="1" t="str">
        <f>IFERROR(__xludf.DUMMYFUNCTION("""COMPUTED_VALUE"""),"")</f>
        <v/>
      </c>
      <c r="AG345" s="1" t="str">
        <f>IFERROR(__xludf.DUMMYFUNCTION("""COMPUTED_VALUE"""),"")</f>
        <v/>
      </c>
      <c r="AH345" s="1" t="str">
        <f>IFERROR(__xludf.DUMMYFUNCTION("""COMPUTED_VALUE"""),"Media Monitoring")</f>
        <v>Media Monitoring</v>
      </c>
      <c r="AI345" s="2" t="str">
        <f>IFERROR(__xludf.DUMMYFUNCTION("""COMPUTED_VALUE"""),"https://www.datacenterdynamics.com/en/news/aligned-completes-first-chicago-data-center-breaks-ground-on-second/")</f>
        <v>https://www.datacenterdynamics.com/en/news/aligned-completes-first-chicago-data-center-breaks-ground-on-second/</v>
      </c>
      <c r="AJ345" s="1" t="str">
        <f>IFERROR(__xludf.DUMMYFUNCTION("""COMPUTED_VALUE"""),"")</f>
        <v/>
      </c>
      <c r="AK345" s="1" t="str">
        <f>IFERROR(__xludf.DUMMYFUNCTION("""COMPUTED_VALUE"""),"")</f>
        <v/>
      </c>
      <c r="AL345" s="1" t="str">
        <f>IFERROR(__xludf.DUMMYFUNCTION("""COMPUTED_VALUE"""),"")</f>
        <v/>
      </c>
      <c r="AM345" s="1" t="str">
        <f>IFERROR(__xludf.DUMMYFUNCTION("""COMPUTED_VALUE"""),"")</f>
        <v/>
      </c>
      <c r="AN345" s="1" t="str">
        <f>IFERROR(__xludf.DUMMYFUNCTION("""COMPUTED_VALUE"""),"")</f>
        <v/>
      </c>
      <c r="AO345" s="1" t="str">
        <f>IFERROR(__xludf.DUMMYFUNCTION("""COMPUTED_VALUE"""),"")</f>
        <v/>
      </c>
      <c r="AP345" s="1" t="str">
        <f>IFERROR(__xludf.DUMMYFUNCTION("""COMPUTED_VALUE"""),"")</f>
        <v/>
      </c>
      <c r="AQ345" s="1" t="str">
        <f>IFERROR(__xludf.DUMMYFUNCTION("""COMPUTED_VALUE"""),"06/19/2025")</f>
        <v>06/19/2025</v>
      </c>
      <c r="AR345" s="1" t="str">
        <f>IFERROR(__xludf.DUMMYFUNCTION("""COMPUTED_VALUE"""),"03/24/2026")</f>
        <v>03/24/2026</v>
      </c>
    </row>
    <row r="346">
      <c r="A346" s="1" t="str">
        <f>IFERROR(__xludf.DUMMYFUNCTION("""COMPUTED_VALUE"""),"ORD-02 Data Center")</f>
        <v>ORD-02 Data Center</v>
      </c>
      <c r="B346" s="1" t="str">
        <f>IFERROR(__xludf.DUMMYFUNCTION("""COMPUTED_VALUE"""),"501 Northwest Ave")</f>
        <v>501 Northwest Ave</v>
      </c>
      <c r="C346" s="1" t="str">
        <f>IFERROR(__xludf.DUMMYFUNCTION("""COMPUTED_VALUE"""),"Northlake")</f>
        <v>Northlake</v>
      </c>
      <c r="D346" s="1" t="str">
        <f>IFERROR(__xludf.DUMMYFUNCTION("""COMPUTED_VALUE"""),"IL")</f>
        <v>IL</v>
      </c>
      <c r="E346" s="1" t="str">
        <f>IFERROR(__xludf.DUMMYFUNCTION("""COMPUTED_VALUE"""),"60164")</f>
        <v>60164</v>
      </c>
      <c r="F346" s="1" t="str">
        <f>IFERROR(__xludf.DUMMYFUNCTION("""COMPUTED_VALUE"""),"Cook")</f>
        <v>Cook</v>
      </c>
      <c r="G346" s="1" t="str">
        <f>IFERROR(__xludf.DUMMYFUNCTION("""COMPUTED_VALUE"""),"41.91273")</f>
        <v>41.91273</v>
      </c>
      <c r="H346" s="1" t="str">
        <f>IFERROR(__xludf.DUMMYFUNCTION("""COMPUTED_VALUE"""),"-87.9172")</f>
        <v>-87.9172</v>
      </c>
      <c r="I346" s="1" t="str">
        <f>IFERROR(__xludf.DUMMYFUNCTION("""COMPUTED_VALUE"""),"Approved/Permitted/Under construction")</f>
        <v>Approved/Permitted/Under construction</v>
      </c>
      <c r="J346" s="1" t="str">
        <f>IFERROR(__xludf.DUMMYFUNCTION("""COMPUTED_VALUE"""),"High")</f>
        <v>High</v>
      </c>
      <c r="K346" s="1" t="str">
        <f>IFERROR(__xludf.DUMMYFUNCTION("""COMPUTED_VALUE"""),"")</f>
        <v/>
      </c>
      <c r="L346" s="1" t="str">
        <f>IFERROR(__xludf.DUMMYFUNCTION("""COMPUTED_VALUE"""),"Aligned Data Centers")</f>
        <v>Aligned Data Centers</v>
      </c>
      <c r="M346" s="1" t="str">
        <f>IFERROR(__xludf.DUMMYFUNCTION("""COMPUTED_VALUE"""),"")</f>
        <v/>
      </c>
      <c r="N346" s="1" t="str">
        <f>IFERROR(__xludf.DUMMYFUNCTION("""COMPUTED_VALUE"""),"")</f>
        <v/>
      </c>
      <c r="O346" s="1" t="str">
        <f>IFERROR(__xludf.DUMMYFUNCTION("""COMPUTED_VALUE"""),"Unknown")</f>
        <v>Unknown</v>
      </c>
      <c r="P346" s="1" t="str">
        <f>IFERROR(__xludf.DUMMYFUNCTION("""COMPUTED_VALUE"""),"")</f>
        <v/>
      </c>
      <c r="Q346" s="1" t="str">
        <f>IFERROR(__xludf.DUMMYFUNCTION("""COMPUTED_VALUE"""),"")</f>
        <v/>
      </c>
      <c r="R346" s="1" t="str">
        <f>IFERROR(__xludf.DUMMYFUNCTION("""COMPUTED_VALUE"""),"")</f>
        <v/>
      </c>
      <c r="S346" s="1" t="str">
        <f>IFERROR(__xludf.DUMMYFUNCTION("""COMPUTED_VALUE"""),"")</f>
        <v/>
      </c>
      <c r="T346" s="1" t="str">
        <f>IFERROR(__xludf.DUMMYFUNCTION("""COMPUTED_VALUE"""),"")</f>
        <v/>
      </c>
      <c r="U346" s="1" t="str">
        <f>IFERROR(__xludf.DUMMYFUNCTION("""COMPUTED_VALUE"""),"")</f>
        <v/>
      </c>
      <c r="V346" s="1" t="str">
        <f>IFERROR(__xludf.DUMMYFUNCTION("""COMPUTED_VALUE"""),"")</f>
        <v/>
      </c>
      <c r="W346" s="1" t="str">
        <f>IFERROR(__xludf.DUMMYFUNCTION("""COMPUTED_VALUE"""),"")</f>
        <v/>
      </c>
      <c r="X346" s="1" t="str">
        <f>IFERROR(__xludf.DUMMYFUNCTION("""COMPUTED_VALUE"""),"")</f>
        <v/>
      </c>
      <c r="Y346" s="1" t="str">
        <f>IFERROR(__xludf.DUMMYFUNCTION("""COMPUTED_VALUE"""),"")</f>
        <v/>
      </c>
      <c r="Z346" s="1" t="str">
        <f>IFERROR(__xludf.DUMMYFUNCTION("""COMPUTED_VALUE"""),"Unknown")</f>
        <v>Unknown</v>
      </c>
      <c r="AA346" s="1" t="str">
        <f>IFERROR(__xludf.DUMMYFUNCTION("""COMPUTED_VALUE"""),"")</f>
        <v/>
      </c>
      <c r="AB346" s="1" t="str">
        <f>IFERROR(__xludf.DUMMYFUNCTION("""COMPUTED_VALUE"""),"")</f>
        <v/>
      </c>
      <c r="AC346" s="1" t="str">
        <f>IFERROR(__xludf.DUMMYFUNCTION("""COMPUTED_VALUE"""),"")</f>
        <v/>
      </c>
      <c r="AD346" s="1" t="str">
        <f>IFERROR(__xludf.DUMMYFUNCTION("""COMPUTED_VALUE"""),"")</f>
        <v/>
      </c>
      <c r="AE346" s="1" t="str">
        <f>IFERROR(__xludf.DUMMYFUNCTION("""COMPUTED_VALUE"""),"")</f>
        <v/>
      </c>
      <c r="AF346" s="1" t="str">
        <f>IFERROR(__xludf.DUMMYFUNCTION("""COMPUTED_VALUE"""),"")</f>
        <v/>
      </c>
      <c r="AG346" s="1" t="str">
        <f>IFERROR(__xludf.DUMMYFUNCTION("""COMPUTED_VALUE"""),"")</f>
        <v/>
      </c>
      <c r="AH346" s="1" t="str">
        <f>IFERROR(__xludf.DUMMYFUNCTION("""COMPUTED_VALUE"""),"Media Monitoring")</f>
        <v>Media Monitoring</v>
      </c>
      <c r="AI346" s="2" t="str">
        <f>IFERROR(__xludf.DUMMYFUNCTION("""COMPUTED_VALUE"""),"https://www.datacenterdynamics.com/en/news/aligned-completes-first-chicago-data-center-breaks-ground-on-second/")</f>
        <v>https://www.datacenterdynamics.com/en/news/aligned-completes-first-chicago-data-center-breaks-ground-on-second/</v>
      </c>
      <c r="AJ346" s="1" t="str">
        <f>IFERROR(__xludf.DUMMYFUNCTION("""COMPUTED_VALUE"""),"")</f>
        <v/>
      </c>
      <c r="AK346" s="1" t="str">
        <f>IFERROR(__xludf.DUMMYFUNCTION("""COMPUTED_VALUE"""),"")</f>
        <v/>
      </c>
      <c r="AL346" s="1" t="str">
        <f>IFERROR(__xludf.DUMMYFUNCTION("""COMPUTED_VALUE"""),"")</f>
        <v/>
      </c>
      <c r="AM346" s="1" t="str">
        <f>IFERROR(__xludf.DUMMYFUNCTION("""COMPUTED_VALUE"""),"")</f>
        <v/>
      </c>
      <c r="AN346" s="1" t="str">
        <f>IFERROR(__xludf.DUMMYFUNCTION("""COMPUTED_VALUE"""),"")</f>
        <v/>
      </c>
      <c r="AO346" s="1" t="str">
        <f>IFERROR(__xludf.DUMMYFUNCTION("""COMPUTED_VALUE"""),"")</f>
        <v/>
      </c>
      <c r="AP346" s="1" t="str">
        <f>IFERROR(__xludf.DUMMYFUNCTION("""COMPUTED_VALUE"""),"")</f>
        <v/>
      </c>
      <c r="AQ346" s="1" t="str">
        <f>IFERROR(__xludf.DUMMYFUNCTION("""COMPUTED_VALUE"""),"06/19/2025")</f>
        <v>06/19/2025</v>
      </c>
      <c r="AR346" s="1" t="str">
        <f>IFERROR(__xludf.DUMMYFUNCTION("""COMPUTED_VALUE"""),"03/24/2026")</f>
        <v>03/24/2026</v>
      </c>
    </row>
    <row r="347">
      <c r="A347" s="1" t="str">
        <f>IFERROR(__xludf.DUMMYFUNCTION("""COMPUTED_VALUE"""),"North Pekin Data Center")</f>
        <v>North Pekin Data Center</v>
      </c>
      <c r="B347" s="1" t="str">
        <f>IFERROR(__xludf.DUMMYFUNCTION("""COMPUTED_VALUE"""),"1224 Edgewater Dr")</f>
        <v>1224 Edgewater Dr</v>
      </c>
      <c r="C347" s="1" t="str">
        <f>IFERROR(__xludf.DUMMYFUNCTION("""COMPUTED_VALUE"""),"North Pekin")</f>
        <v>North Pekin</v>
      </c>
      <c r="D347" s="1" t="str">
        <f>IFERROR(__xludf.DUMMYFUNCTION("""COMPUTED_VALUE"""),"IL")</f>
        <v>IL</v>
      </c>
      <c r="E347" s="1" t="str">
        <f>IFERROR(__xludf.DUMMYFUNCTION("""COMPUTED_VALUE"""),"61554")</f>
        <v>61554</v>
      </c>
      <c r="F347" s="1" t="str">
        <f>IFERROR(__xludf.DUMMYFUNCTION("""COMPUTED_VALUE"""),"Tazewell")</f>
        <v>Tazewell</v>
      </c>
      <c r="G347" s="1" t="str">
        <f>IFERROR(__xludf.DUMMYFUNCTION("""COMPUTED_VALUE"""),"40.602745")</f>
        <v>40.602745</v>
      </c>
      <c r="H347" s="1" t="str">
        <f>IFERROR(__xludf.DUMMYFUNCTION("""COMPUTED_VALUE"""),"-89.629776")</f>
        <v>-89.629776</v>
      </c>
      <c r="I347" s="1" t="str">
        <f>IFERROR(__xludf.DUMMYFUNCTION("""COMPUTED_VALUE"""),"Cancelled")</f>
        <v>Cancelled</v>
      </c>
      <c r="J347" s="1" t="str">
        <f>IFERROR(__xludf.DUMMYFUNCTION("""COMPUTED_VALUE"""),"High")</f>
        <v>High</v>
      </c>
      <c r="K347" s="1" t="str">
        <f>IFERROR(__xludf.DUMMYFUNCTION("""COMPUTED_VALUE"""),"")</f>
        <v/>
      </c>
      <c r="L347" s="1" t="str">
        <f>IFERROR(__xludf.DUMMYFUNCTION("""COMPUTED_VALUE"""),"North 52")</f>
        <v>North 52</v>
      </c>
      <c r="M347" s="1" t="str">
        <f>IFERROR(__xludf.DUMMYFUNCTION("""COMPUTED_VALUE"""),"")</f>
        <v/>
      </c>
      <c r="N347" s="1" t="str">
        <f>IFERROR(__xludf.DUMMYFUNCTION("""COMPUTED_VALUE"""),"")</f>
        <v/>
      </c>
      <c r="O347" s="1" t="str">
        <f>IFERROR(__xludf.DUMMYFUNCTION("""COMPUTED_VALUE"""),"Unknown")</f>
        <v>Unknown</v>
      </c>
      <c r="P347" s="1" t="str">
        <f>IFERROR(__xludf.DUMMYFUNCTION("""COMPUTED_VALUE"""),"")</f>
        <v/>
      </c>
      <c r="Q347" s="1" t="str">
        <f>IFERROR(__xludf.DUMMYFUNCTION("""COMPUTED_VALUE"""),"")</f>
        <v/>
      </c>
      <c r="R347" s="1" t="str">
        <f>IFERROR(__xludf.DUMMYFUNCTION("""COMPUTED_VALUE"""),"")</f>
        <v/>
      </c>
      <c r="S347" s="1" t="str">
        <f>IFERROR(__xludf.DUMMYFUNCTION("""COMPUTED_VALUE"""),"")</f>
        <v/>
      </c>
      <c r="T347" s="1" t="str">
        <f>IFERROR(__xludf.DUMMYFUNCTION("""COMPUTED_VALUE"""),"")</f>
        <v/>
      </c>
      <c r="U347" s="1" t="str">
        <f>IFERROR(__xludf.DUMMYFUNCTION("""COMPUTED_VALUE"""),"")</f>
        <v/>
      </c>
      <c r="V347" s="1" t="str">
        <f>IFERROR(__xludf.DUMMYFUNCTION("""COMPUTED_VALUE"""),"")</f>
        <v/>
      </c>
      <c r="W347" s="1" t="str">
        <f>IFERROR(__xludf.DUMMYFUNCTION("""COMPUTED_VALUE"""),"")</f>
        <v/>
      </c>
      <c r="X347" s="1" t="str">
        <f>IFERROR(__xludf.DUMMYFUNCTION("""COMPUTED_VALUE"""),"")</f>
        <v/>
      </c>
      <c r="Y347" s="1" t="str">
        <f>IFERROR(__xludf.DUMMYFUNCTION("""COMPUTED_VALUE"""),"")</f>
        <v/>
      </c>
      <c r="Z347" s="1" t="str">
        <f>IFERROR(__xludf.DUMMYFUNCTION("""COMPUTED_VALUE"""),"Unknown")</f>
        <v>Unknown</v>
      </c>
      <c r="AA347" s="1" t="str">
        <f>IFERROR(__xludf.DUMMYFUNCTION("""COMPUTED_VALUE"""),"")</f>
        <v/>
      </c>
      <c r="AB347" s="1" t="str">
        <f>IFERROR(__xludf.DUMMYFUNCTION("""COMPUTED_VALUE"""),"")</f>
        <v/>
      </c>
      <c r="AC347" s="1" t="str">
        <f>IFERROR(__xludf.DUMMYFUNCTION("""COMPUTED_VALUE"""),"")</f>
        <v/>
      </c>
      <c r="AD347" s="1" t="str">
        <f>IFERROR(__xludf.DUMMYFUNCTION("""COMPUTED_VALUE"""),"")</f>
        <v/>
      </c>
      <c r="AE347" s="1" t="str">
        <f>IFERROR(__xludf.DUMMYFUNCTION("""COMPUTED_VALUE"""),"")</f>
        <v/>
      </c>
      <c r="AF347" s="1" t="str">
        <f>IFERROR(__xludf.DUMMYFUNCTION("""COMPUTED_VALUE"""),"")</f>
        <v/>
      </c>
      <c r="AG347" s="1" t="str">
        <f>IFERROR(__xludf.DUMMYFUNCTION("""COMPUTED_VALUE"""),"")</f>
        <v/>
      </c>
      <c r="AH347" s="1" t="str">
        <f>IFERROR(__xludf.DUMMYFUNCTION("""COMPUTED_VALUE"""),"Media Monitoring")</f>
        <v>Media Monitoring</v>
      </c>
      <c r="AI347" s="2" t="str">
        <f>IFERROR(__xludf.DUMMYFUNCTION("""COMPUTED_VALUE"""),"https://www.datacenterdynamics.com/en/news/head-of-north-pekin-illinois-says-that-former-amc-theater-will-not-be-turned-into-data-center/")</f>
        <v>https://www.datacenterdynamics.com/en/news/head-of-north-pekin-illinois-says-that-former-amc-theater-will-not-be-turned-into-data-center/</v>
      </c>
      <c r="AJ347" s="1" t="str">
        <f>IFERROR(__xludf.DUMMYFUNCTION("""COMPUTED_VALUE"""),"")</f>
        <v/>
      </c>
      <c r="AK347" s="1" t="str">
        <f>IFERROR(__xludf.DUMMYFUNCTION("""COMPUTED_VALUE"""),"")</f>
        <v/>
      </c>
      <c r="AL347" s="1" t="str">
        <f>IFERROR(__xludf.DUMMYFUNCTION("""COMPUTED_VALUE"""),"")</f>
        <v/>
      </c>
      <c r="AM347" s="1" t="str">
        <f>IFERROR(__xludf.DUMMYFUNCTION("""COMPUTED_VALUE"""),"")</f>
        <v/>
      </c>
      <c r="AN347" s="1" t="str">
        <f>IFERROR(__xludf.DUMMYFUNCTION("""COMPUTED_VALUE"""),"")</f>
        <v/>
      </c>
      <c r="AO347" s="1" t="str">
        <f>IFERROR(__xludf.DUMMYFUNCTION("""COMPUTED_VALUE"""),"")</f>
        <v/>
      </c>
      <c r="AP347" s="1" t="str">
        <f>IFERROR(__xludf.DUMMYFUNCTION("""COMPUTED_VALUE"""),"")</f>
        <v/>
      </c>
      <c r="AQ347" s="1" t="str">
        <f>IFERROR(__xludf.DUMMYFUNCTION("""COMPUTED_VALUE"""),"06/11/2026")</f>
        <v>06/11/2026</v>
      </c>
      <c r="AR347" s="1" t="str">
        <f>IFERROR(__xludf.DUMMYFUNCTION("""COMPUTED_VALUE"""),"06/11/2026")</f>
        <v>06/11/2026</v>
      </c>
    </row>
    <row r="348">
      <c r="A348" s="1" t="str">
        <f>IFERROR(__xludf.DUMMYFUNCTION("""COMPUTED_VALUE"""),"Eagle Rock Data Center")</f>
        <v>Eagle Rock Data Center</v>
      </c>
      <c r="B348" s="1" t="str">
        <f>IFERROR(__xludf.DUMMYFUNCTION("""COMPUTED_VALUE""")," E 1100 North Road, west of N 900 East Road, north of County Road 1000 North, and east of N 800 East Road")</f>
        <v> E 1100 North Road, west of N 900 East Road, north of County Road 1000 North, and east of N 800 East Road</v>
      </c>
      <c r="C348" s="1" t="str">
        <f>IFERROR(__xludf.DUMMYFUNCTION("""COMPUTED_VALUE"""),"Palmer")</f>
        <v>Palmer</v>
      </c>
      <c r="D348" s="1" t="str">
        <f>IFERROR(__xludf.DUMMYFUNCTION("""COMPUTED_VALUE"""),"IL")</f>
        <v>IL</v>
      </c>
      <c r="E348" s="1" t="str">
        <f>IFERROR(__xludf.DUMMYFUNCTION("""COMPUTED_VALUE"""),"62556")</f>
        <v>62556</v>
      </c>
      <c r="F348" s="1" t="str">
        <f>IFERROR(__xludf.DUMMYFUNCTION("""COMPUTED_VALUE"""),"Christian")</f>
        <v>Christian</v>
      </c>
      <c r="G348" s="1" t="str">
        <f>IFERROR(__xludf.DUMMYFUNCTION("""COMPUTED_VALUE"""),"39.504627")</f>
        <v>39.504627</v>
      </c>
      <c r="H348" s="1" t="str">
        <f>IFERROR(__xludf.DUMMYFUNCTION("""COMPUTED_VALUE"""),"-89.37614")</f>
        <v>-89.37614</v>
      </c>
      <c r="I348" s="1" t="str">
        <f>IFERROR(__xludf.DUMMYFUNCTION("""COMPUTED_VALUE"""),"Proposed")</f>
        <v>Proposed</v>
      </c>
      <c r="J348" s="1" t="str">
        <f>IFERROR(__xludf.DUMMYFUNCTION("""COMPUTED_VALUE"""),"")</f>
        <v/>
      </c>
      <c r="K348" s="1" t="str">
        <f>IFERROR(__xludf.DUMMYFUNCTION("""COMPUTED_VALUE"""),"")</f>
        <v/>
      </c>
      <c r="L348" s="1" t="str">
        <f>IFERROR(__xludf.DUMMYFUNCTION("""COMPUTED_VALUE"""),"Eagle Rock")</f>
        <v>Eagle Rock</v>
      </c>
      <c r="M348" s="1" t="str">
        <f>IFERROR(__xludf.DUMMYFUNCTION("""COMPUTED_VALUE"""),"")</f>
        <v/>
      </c>
      <c r="N348" s="1" t="str">
        <f>IFERROR(__xludf.DUMMYFUNCTION("""COMPUTED_VALUE"""),"1000")</f>
        <v>1000</v>
      </c>
      <c r="O348" s="1" t="str">
        <f>IFERROR(__xludf.DUMMYFUNCTION("""COMPUTED_VALUE"""),"Mega campus (&gt;1,000 MW)")</f>
        <v>Mega campus (&gt;1,000 MW)</v>
      </c>
      <c r="P348" s="1" t="str">
        <f>IFERROR(__xludf.DUMMYFUNCTION("""COMPUTED_VALUE"""),"")</f>
        <v/>
      </c>
      <c r="Q348" s="1" t="str">
        <f>IFERROR(__xludf.DUMMYFUNCTION("""COMPUTED_VALUE"""),"")</f>
        <v/>
      </c>
      <c r="R348" s="1" t="str">
        <f>IFERROR(__xludf.DUMMYFUNCTION("""COMPUTED_VALUE"""),"")</f>
        <v/>
      </c>
      <c r="S348" s="1" t="str">
        <f>IFERROR(__xludf.DUMMYFUNCTION("""COMPUTED_VALUE"""),"10")</f>
        <v>10</v>
      </c>
      <c r="T348" s="1" t="str">
        <f>IFERROR(__xludf.DUMMYFUNCTION("""COMPUTED_VALUE"""),"")</f>
        <v/>
      </c>
      <c r="U348" s="1" t="str">
        <f>IFERROR(__xludf.DUMMYFUNCTION("""COMPUTED_VALUE"""),"")</f>
        <v/>
      </c>
      <c r="V348" s="1" t="str">
        <f>IFERROR(__xludf.DUMMYFUNCTION("""COMPUTED_VALUE"""),"")</f>
        <v/>
      </c>
      <c r="W348" s="1" t="str">
        <f>IFERROR(__xludf.DUMMYFUNCTION("""COMPUTED_VALUE"""),"475")</f>
        <v>475</v>
      </c>
      <c r="X348" s="1" t="str">
        <f>IFERROR(__xludf.DUMMYFUNCTION("""COMPUTED_VALUE"""),"$8.8 billion")</f>
        <v>$8.8 billion</v>
      </c>
      <c r="Y348" s="1" t="str">
        <f>IFERROR(__xludf.DUMMYFUNCTION("""COMPUTED_VALUE"""),"")</f>
        <v/>
      </c>
      <c r="Z348" s="1" t="str">
        <f>IFERROR(__xludf.DUMMYFUNCTION("""COMPUTED_VALUE"""),"Yes")</f>
        <v>Yes</v>
      </c>
      <c r="AA348" s="1" t="str">
        <f>IFERROR(__xludf.DUMMYFUNCTION("""COMPUTED_VALUE"""),"")</f>
        <v/>
      </c>
      <c r="AB348" s="1" t="str">
        <f>IFERROR(__xludf.DUMMYFUNCTION("""COMPUTED_VALUE"""),"")</f>
        <v/>
      </c>
      <c r="AC348" s="1" t="str">
        <f>IFERROR(__xludf.DUMMYFUNCTION("""COMPUTED_VALUE"""),"")</f>
        <v/>
      </c>
      <c r="AD348" s="1" t="str">
        <f>IFERROR(__xludf.DUMMYFUNCTION("""COMPUTED_VALUE"""),"")</f>
        <v/>
      </c>
      <c r="AE348" s="1" t="str">
        <f>IFERROR(__xludf.DUMMYFUNCTION("""COMPUTED_VALUE"""),"")</f>
        <v/>
      </c>
      <c r="AF348" s="1" t="str">
        <f>IFERROR(__xludf.DUMMYFUNCTION("""COMPUTED_VALUE"""),"")</f>
        <v/>
      </c>
      <c r="AG348" s="1" t="str">
        <f>IFERROR(__xludf.DUMMYFUNCTION("""COMPUTED_VALUE"""),"")</f>
        <v/>
      </c>
      <c r="AH348" s="1" t="str">
        <f>IFERROR(__xludf.DUMMYFUNCTION("""COMPUTED_VALUE"""),"Media Monitoring")</f>
        <v>Media Monitoring</v>
      </c>
      <c r="AI348" s="2" t="str">
        <f>IFERROR(__xludf.DUMMYFUNCTION("""COMPUTED_VALUE"""),"https://www.datacenterdynamics.com/en/news/property-developer-eagle-rock-proposes-1gw-data-center-in-christian-county-illinois/")</f>
        <v>https://www.datacenterdynamics.com/en/news/property-developer-eagle-rock-proposes-1gw-data-center-in-christian-county-illinois/</v>
      </c>
      <c r="AJ348" s="1" t="str">
        <f>IFERROR(__xludf.DUMMYFUNCTION("""COMPUTED_VALUE"""),"")</f>
        <v/>
      </c>
      <c r="AK348" s="1" t="str">
        <f>IFERROR(__xludf.DUMMYFUNCTION("""COMPUTED_VALUE"""),"")</f>
        <v/>
      </c>
      <c r="AL348" s="1" t="str">
        <f>IFERROR(__xludf.DUMMYFUNCTION("""COMPUTED_VALUE"""),"")</f>
        <v/>
      </c>
      <c r="AM348" s="1" t="str">
        <f>IFERROR(__xludf.DUMMYFUNCTION("""COMPUTED_VALUE"""),"")</f>
        <v/>
      </c>
      <c r="AN348" s="1" t="str">
        <f>IFERROR(__xludf.DUMMYFUNCTION("""COMPUTED_VALUE"""),"")</f>
        <v/>
      </c>
      <c r="AO348" s="1" t="str">
        <f>IFERROR(__xludf.DUMMYFUNCTION("""COMPUTED_VALUE"""),"")</f>
        <v/>
      </c>
      <c r="AP348" s="1" t="str">
        <f>IFERROR(__xludf.DUMMYFUNCTION("""COMPUTED_VALUE"""),"")</f>
        <v/>
      </c>
      <c r="AQ348" s="1" t="str">
        <f>IFERROR(__xludf.DUMMYFUNCTION("""COMPUTED_VALUE"""),"06/07/2026")</f>
        <v>06/07/2026</v>
      </c>
      <c r="AR348" s="1" t="str">
        <f>IFERROR(__xludf.DUMMYFUNCTION("""COMPUTED_VALUE"""),"06/07/2026")</f>
        <v>06/07/2026</v>
      </c>
    </row>
    <row r="349">
      <c r="A349" s="1" t="str">
        <f>IFERROR(__xludf.DUMMYFUNCTION("""COMPUTED_VALUE"""),"")</f>
        <v/>
      </c>
      <c r="B349" s="1" t="str">
        <f>IFERROR(__xludf.DUMMYFUNCTION("""COMPUTED_VALUE"""),"13400 S Kedzie Ave")</f>
        <v>13400 S Kedzie Ave</v>
      </c>
      <c r="C349" s="1" t="str">
        <f>IFERROR(__xludf.DUMMYFUNCTION("""COMPUTED_VALUE"""),"Robbins")</f>
        <v>Robbins</v>
      </c>
      <c r="D349" s="1" t="str">
        <f>IFERROR(__xludf.DUMMYFUNCTION("""COMPUTED_VALUE"""),"IL")</f>
        <v>IL</v>
      </c>
      <c r="E349" s="1" t="str">
        <f>IFERROR(__xludf.DUMMYFUNCTION("""COMPUTED_VALUE"""),"60472")</f>
        <v>60472</v>
      </c>
      <c r="F349" s="1" t="str">
        <f>IFERROR(__xludf.DUMMYFUNCTION("""COMPUTED_VALUE"""),"Cook")</f>
        <v>Cook</v>
      </c>
      <c r="G349" s="1" t="str">
        <f>IFERROR(__xludf.DUMMYFUNCTION("""COMPUTED_VALUE"""),"41.649864")</f>
        <v>41.649864</v>
      </c>
      <c r="H349" s="1" t="str">
        <f>IFERROR(__xludf.DUMMYFUNCTION("""COMPUTED_VALUE"""),"-87.70105")</f>
        <v>-87.70105</v>
      </c>
      <c r="I349" s="1" t="str">
        <f>IFERROR(__xludf.DUMMYFUNCTION("""COMPUTED_VALUE"""),"Proposed")</f>
        <v>Proposed</v>
      </c>
      <c r="J349" s="1" t="str">
        <f>IFERROR(__xludf.DUMMYFUNCTION("""COMPUTED_VALUE"""),"High")</f>
        <v>High</v>
      </c>
      <c r="K349" s="1" t="str">
        <f>IFERROR(__xludf.DUMMYFUNCTION("""COMPUTED_VALUE"""),"")</f>
        <v/>
      </c>
      <c r="L349" s="1" t="str">
        <f>IFERROR(__xludf.DUMMYFUNCTION("""COMPUTED_VALUE"""),"")</f>
        <v/>
      </c>
      <c r="M349" s="1" t="str">
        <f>IFERROR(__xludf.DUMMYFUNCTION("""COMPUTED_VALUE"""),"")</f>
        <v/>
      </c>
      <c r="N349" s="1" t="str">
        <f>IFERROR(__xludf.DUMMYFUNCTION("""COMPUTED_VALUE"""),"")</f>
        <v/>
      </c>
      <c r="O349" s="1" t="str">
        <f>IFERROR(__xludf.DUMMYFUNCTION("""COMPUTED_VALUE"""),"Unknown")</f>
        <v>Unknown</v>
      </c>
      <c r="P349" s="1" t="str">
        <f>IFERROR(__xludf.DUMMYFUNCTION("""COMPUTED_VALUE"""),"Natural gas")</f>
        <v>Natural gas</v>
      </c>
      <c r="Q349" s="1" t="str">
        <f>IFERROR(__xludf.DUMMYFUNCTION("""COMPUTED_VALUE"""),"")</f>
        <v/>
      </c>
      <c r="R349" s="1" t="str">
        <f>IFERROR(__xludf.DUMMYFUNCTION("""COMPUTED_VALUE"""),"")</f>
        <v/>
      </c>
      <c r="S349" s="1" t="str">
        <f>IFERROR(__xludf.DUMMYFUNCTION("""COMPUTED_VALUE"""),"")</f>
        <v/>
      </c>
      <c r="T349" s="1" t="str">
        <f>IFERROR(__xludf.DUMMYFUNCTION("""COMPUTED_VALUE"""),"")</f>
        <v/>
      </c>
      <c r="U349" s="1" t="str">
        <f>IFERROR(__xludf.DUMMYFUNCTION("""COMPUTED_VALUE"""),"")</f>
        <v/>
      </c>
      <c r="V349" s="1" t="str">
        <f>IFERROR(__xludf.DUMMYFUNCTION("""COMPUTED_VALUE"""),"")</f>
        <v/>
      </c>
      <c r="W349" s="1" t="str">
        <f>IFERROR(__xludf.DUMMYFUNCTION("""COMPUTED_VALUE"""),"16")</f>
        <v>16</v>
      </c>
      <c r="X349" s="1" t="str">
        <f>IFERROR(__xludf.DUMMYFUNCTION("""COMPUTED_VALUE"""),"")</f>
        <v/>
      </c>
      <c r="Y349" s="1" t="str">
        <f>IFERROR(__xludf.DUMMYFUNCTION("""COMPUTED_VALUE"""),"")</f>
        <v/>
      </c>
      <c r="Z349" s="1" t="str">
        <f>IFERROR(__xludf.DUMMYFUNCTION("""COMPUTED_VALUE"""),"Unknown")</f>
        <v>Unknown</v>
      </c>
      <c r="AA349" s="1" t="str">
        <f>IFERROR(__xludf.DUMMYFUNCTION("""COMPUTED_VALUE"""),"")</f>
        <v/>
      </c>
      <c r="AB349" s="1" t="str">
        <f>IFERROR(__xludf.DUMMYFUNCTION("""COMPUTED_VALUE"""),"")</f>
        <v/>
      </c>
      <c r="AC349" s="1" t="str">
        <f>IFERROR(__xludf.DUMMYFUNCTION("""COMPUTED_VALUE"""),"")</f>
        <v/>
      </c>
      <c r="AD349" s="1" t="str">
        <f>IFERROR(__xludf.DUMMYFUNCTION("""COMPUTED_VALUE"""),"")</f>
        <v/>
      </c>
      <c r="AE349" s="1" t="str">
        <f>IFERROR(__xludf.DUMMYFUNCTION("""COMPUTED_VALUE"""),"")</f>
        <v/>
      </c>
      <c r="AF349" s="1" t="str">
        <f>IFERROR(__xludf.DUMMYFUNCTION("""COMPUTED_VALUE"""),"")</f>
        <v/>
      </c>
      <c r="AG349" s="1" t="str">
        <f>IFERROR(__xludf.DUMMYFUNCTION("""COMPUTED_VALUE"""),"Former incinerator site for sale")</f>
        <v>Former incinerator site for sale</v>
      </c>
      <c r="AH349" s="1" t="str">
        <f>IFERROR(__xludf.DUMMYFUNCTION("""COMPUTED_VALUE"""),"Media Monitoring")</f>
        <v>Media Monitoring</v>
      </c>
      <c r="AI349" s="2" t="str">
        <f>IFERROR(__xludf.DUMMYFUNCTION("""COMPUTED_VALUE"""),"https://www.datacenterdynamics.com/en/news/closed-incinerator-near-chicago-eyed-for-potential-data-center-development/")</f>
        <v>https://www.datacenterdynamics.com/en/news/closed-incinerator-near-chicago-eyed-for-potential-data-center-development/</v>
      </c>
      <c r="AJ349" s="1" t="str">
        <f>IFERROR(__xludf.DUMMYFUNCTION("""COMPUTED_VALUE"""),"")</f>
        <v/>
      </c>
      <c r="AK349" s="1" t="str">
        <f>IFERROR(__xludf.DUMMYFUNCTION("""COMPUTED_VALUE"""),"")</f>
        <v/>
      </c>
      <c r="AL349" s="1" t="str">
        <f>IFERROR(__xludf.DUMMYFUNCTION("""COMPUTED_VALUE"""),"")</f>
        <v/>
      </c>
      <c r="AM349" s="1" t="str">
        <f>IFERROR(__xludf.DUMMYFUNCTION("""COMPUTED_VALUE"""),"")</f>
        <v/>
      </c>
      <c r="AN349" s="1" t="str">
        <f>IFERROR(__xludf.DUMMYFUNCTION("""COMPUTED_VALUE"""),"")</f>
        <v/>
      </c>
      <c r="AO349" s="1" t="str">
        <f>IFERROR(__xludf.DUMMYFUNCTION("""COMPUTED_VALUE"""),"")</f>
        <v/>
      </c>
      <c r="AP349" s="1" t="str">
        <f>IFERROR(__xludf.DUMMYFUNCTION("""COMPUTED_VALUE"""),"")</f>
        <v/>
      </c>
      <c r="AQ349" s="1" t="str">
        <f>IFERROR(__xludf.DUMMYFUNCTION("""COMPUTED_VALUE"""),"06/24/2026")</f>
        <v>06/24/2026</v>
      </c>
      <c r="AR349" s="1" t="str">
        <f>IFERROR(__xludf.DUMMYFUNCTION("""COMPUTED_VALUE"""),"06/24/2026")</f>
        <v>06/24/2026</v>
      </c>
    </row>
    <row r="350">
      <c r="A350" s="1" t="str">
        <f>IFERROR(__xludf.DUMMYFUNCTION("""COMPUTED_VALUE"""),"Troy Cloverleaf Data Center")</f>
        <v>Troy Cloverleaf Data Center</v>
      </c>
      <c r="B350" s="1" t="str">
        <f>IFERROR(__xludf.DUMMYFUNCTION("""COMPUTED_VALUE"""),"between Collinsville and Formosa Rds")</f>
        <v>between Collinsville and Formosa Rds</v>
      </c>
      <c r="C350" s="1" t="str">
        <f>IFERROR(__xludf.DUMMYFUNCTION("""COMPUTED_VALUE"""),"Troy")</f>
        <v>Troy</v>
      </c>
      <c r="D350" s="1" t="str">
        <f>IFERROR(__xludf.DUMMYFUNCTION("""COMPUTED_VALUE"""),"IL")</f>
        <v>IL</v>
      </c>
      <c r="E350" s="1" t="str">
        <f>IFERROR(__xludf.DUMMYFUNCTION("""COMPUTED_VALUE"""),"62294")</f>
        <v>62294</v>
      </c>
      <c r="F350" s="1" t="str">
        <f>IFERROR(__xludf.DUMMYFUNCTION("""COMPUTED_VALUE"""),"Madison")</f>
        <v>Madison</v>
      </c>
      <c r="G350" s="1" t="str">
        <f>IFERROR(__xludf.DUMMYFUNCTION("""COMPUTED_VALUE"""),"38.725338")</f>
        <v>38.725338</v>
      </c>
      <c r="H350" s="1" t="str">
        <f>IFERROR(__xludf.DUMMYFUNCTION("""COMPUTED_VALUE"""),"-89.909645")</f>
        <v>-89.909645</v>
      </c>
      <c r="I350" s="1" t="str">
        <f>IFERROR(__xludf.DUMMYFUNCTION("""COMPUTED_VALUE"""),"Proposed")</f>
        <v>Proposed</v>
      </c>
      <c r="J350" s="1" t="str">
        <f>IFERROR(__xludf.DUMMYFUNCTION("""COMPUTED_VALUE"""),"High")</f>
        <v>High</v>
      </c>
      <c r="K350" s="1" t="str">
        <f>IFERROR(__xludf.DUMMYFUNCTION("""COMPUTED_VALUE"""),"")</f>
        <v/>
      </c>
      <c r="L350" s="1" t="str">
        <f>IFERROR(__xludf.DUMMYFUNCTION("""COMPUTED_VALUE"""),"Cloverleaf")</f>
        <v>Cloverleaf</v>
      </c>
      <c r="M350" s="1" t="str">
        <f>IFERROR(__xludf.DUMMYFUNCTION("""COMPUTED_VALUE"""),"")</f>
        <v/>
      </c>
      <c r="N350" s="1" t="str">
        <f>IFERROR(__xludf.DUMMYFUNCTION("""COMPUTED_VALUE"""),"500")</f>
        <v>500</v>
      </c>
      <c r="O350" s="1" t="str">
        <f>IFERROR(__xludf.DUMMYFUNCTION("""COMPUTED_VALUE"""),"Hyperscale (100-999 MW)")</f>
        <v>Hyperscale (100-999 MW)</v>
      </c>
      <c r="P350" s="1" t="str">
        <f>IFERROR(__xludf.DUMMYFUNCTION("""COMPUTED_VALUE"""),"")</f>
        <v/>
      </c>
      <c r="Q350" s="1" t="str">
        <f>IFERROR(__xludf.DUMMYFUNCTION("""COMPUTED_VALUE"""),"")</f>
        <v/>
      </c>
      <c r="R350" s="1" t="str">
        <f>IFERROR(__xludf.DUMMYFUNCTION("""COMPUTED_VALUE"""),"")</f>
        <v/>
      </c>
      <c r="S350" s="1" t="str">
        <f>IFERROR(__xludf.DUMMYFUNCTION("""COMPUTED_VALUE"""),"6")</f>
        <v>6</v>
      </c>
      <c r="T350" s="1" t="str">
        <f>IFERROR(__xludf.DUMMYFUNCTION("""COMPUTED_VALUE"""),"")</f>
        <v/>
      </c>
      <c r="U350" s="1" t="str">
        <f>IFERROR(__xludf.DUMMYFUNCTION("""COMPUTED_VALUE"""),"")</f>
        <v/>
      </c>
      <c r="V350" s="1" t="str">
        <f>IFERROR(__xludf.DUMMYFUNCTION("""COMPUTED_VALUE"""),"1,584,000")</f>
        <v>1,584,000</v>
      </c>
      <c r="W350" s="1" t="str">
        <f>IFERROR(__xludf.DUMMYFUNCTION("""COMPUTED_VALUE"""),"300")</f>
        <v>300</v>
      </c>
      <c r="X350" s="1" t="str">
        <f>IFERROR(__xludf.DUMMYFUNCTION("""COMPUTED_VALUE"""),"")</f>
        <v/>
      </c>
      <c r="Y350" s="1" t="str">
        <f>IFERROR(__xludf.DUMMYFUNCTION("""COMPUTED_VALUE"""),"2028")</f>
        <v>2028</v>
      </c>
      <c r="Z350" s="1" t="str">
        <f>IFERROR(__xludf.DUMMYFUNCTION("""COMPUTED_VALUE"""),"Yes")</f>
        <v>Yes</v>
      </c>
      <c r="AA350" s="1" t="str">
        <f>IFERROR(__xludf.DUMMYFUNCTION("""COMPUTED_VALUE"""),"")</f>
        <v/>
      </c>
      <c r="AB350" s="1" t="str">
        <f>IFERROR(__xludf.DUMMYFUNCTION("""COMPUTED_VALUE"""),"")</f>
        <v/>
      </c>
      <c r="AC350" s="1" t="str">
        <f>IFERROR(__xludf.DUMMYFUNCTION("""COMPUTED_VALUE"""),"")</f>
        <v/>
      </c>
      <c r="AD350" s="1" t="str">
        <f>IFERROR(__xludf.DUMMYFUNCTION("""COMPUTED_VALUE"""),"")</f>
        <v/>
      </c>
      <c r="AE350" s="1" t="str">
        <f>IFERROR(__xludf.DUMMYFUNCTION("""COMPUTED_VALUE"""),"")</f>
        <v/>
      </c>
      <c r="AF350" s="2" t="str">
        <f>IFERROR(__xludf.DUMMYFUNCTION("""COMPUTED_VALUE"""),"https://www.change.org/p/reject-data-center-proposals-in-troy-illinois")</f>
        <v>https://www.change.org/p/reject-data-center-proposals-in-troy-illinois</v>
      </c>
      <c r="AG350" s="1" t="str">
        <f>IFERROR(__xludf.DUMMYFUNCTION("""COMPUTED_VALUE"""),"")</f>
        <v/>
      </c>
      <c r="AH350" s="1" t="str">
        <f>IFERROR(__xludf.DUMMYFUNCTION("""COMPUTED_VALUE"""),"Media Monitoring")</f>
        <v>Media Monitoring</v>
      </c>
      <c r="AI350" s="2" t="str">
        <f>IFERROR(__xludf.DUMMYFUNCTION("""COMPUTED_VALUE"""),"https://www.datacenterdynamics.com/en/news/cloverleaf-infrastructure-proposes-data-center-campus-near-st-louis-missouri/")</f>
        <v>https://www.datacenterdynamics.com/en/news/cloverleaf-infrastructure-proposes-data-center-campus-near-st-louis-missouri/</v>
      </c>
      <c r="AJ350" s="2" t="str">
        <f>IFERROR(__xludf.DUMMYFUNCTION("""COMPUTED_VALUE"""),"https://www.datacenterdynamics.com/en/news/illinois-man-arrested-after-threatening-local-authorities-to-stop-data-center-development/")</f>
        <v>https://www.datacenterdynamics.com/en/news/illinois-man-arrested-after-threatening-local-authorities-to-stop-data-center-development/</v>
      </c>
      <c r="AK350" s="1" t="str">
        <f>IFERROR(__xludf.DUMMYFUNCTION("""COMPUTED_VALUE"""),"")</f>
        <v/>
      </c>
      <c r="AL350" s="1" t="str">
        <f>IFERROR(__xludf.DUMMYFUNCTION("""COMPUTED_VALUE"""),"")</f>
        <v/>
      </c>
      <c r="AM350" s="1" t="str">
        <f>IFERROR(__xludf.DUMMYFUNCTION("""COMPUTED_VALUE"""),"")</f>
        <v/>
      </c>
      <c r="AN350" s="1" t="str">
        <f>IFERROR(__xludf.DUMMYFUNCTION("""COMPUTED_VALUE"""),"")</f>
        <v/>
      </c>
      <c r="AO350" s="1" t="str">
        <f>IFERROR(__xludf.DUMMYFUNCTION("""COMPUTED_VALUE"""),"")</f>
        <v/>
      </c>
      <c r="AP350" s="1" t="str">
        <f>IFERROR(__xludf.DUMMYFUNCTION("""COMPUTED_VALUE"""),"")</f>
        <v/>
      </c>
      <c r="AQ350" s="1" t="str">
        <f>IFERROR(__xludf.DUMMYFUNCTION("""COMPUTED_VALUE"""),"02/06/2026")</f>
        <v>02/06/2026</v>
      </c>
      <c r="AR350" s="1" t="str">
        <f>IFERROR(__xludf.DUMMYFUNCTION("""COMPUTED_VALUE"""),"02/27/2026")</f>
        <v>02/27/2026</v>
      </c>
    </row>
    <row r="351">
      <c r="A351" s="1" t="str">
        <f>IFERROR(__xludf.DUMMYFUNCTION("""COMPUTED_VALUE"""),"CyrusOne")</f>
        <v>CyrusOne</v>
      </c>
      <c r="B351" s="1" t="str">
        <f>IFERROR(__xludf.DUMMYFUNCTION("""COMPUTED_VALUE"""),"13251-13627 Thayer Rd")</f>
        <v>13251-13627 Thayer Rd</v>
      </c>
      <c r="C351" s="1" t="str">
        <f>IFERROR(__xludf.DUMMYFUNCTION("""COMPUTED_VALUE"""),"Waverly/ Talkington Twp")</f>
        <v>Waverly/ Talkington Twp</v>
      </c>
      <c r="D351" s="1" t="str">
        <f>IFERROR(__xludf.DUMMYFUNCTION("""COMPUTED_VALUE"""),"IL")</f>
        <v>IL</v>
      </c>
      <c r="E351" s="1" t="str">
        <f>IFERROR(__xludf.DUMMYFUNCTION("""COMPUTED_VALUE"""),"62692")</f>
        <v>62692</v>
      </c>
      <c r="F351" s="1" t="str">
        <f>IFERROR(__xludf.DUMMYFUNCTION("""COMPUTED_VALUE"""),"Sangamon")</f>
        <v>Sangamon</v>
      </c>
      <c r="G351" s="1" t="str">
        <f>IFERROR(__xludf.DUMMYFUNCTION("""COMPUTED_VALUE"""),"39.54828")</f>
        <v>39.54828</v>
      </c>
      <c r="H351" s="1" t="str">
        <f>IFERROR(__xludf.DUMMYFUNCTION("""COMPUTED_VALUE"""),"-89.89837")</f>
        <v>-89.89837</v>
      </c>
      <c r="I351" s="1" t="str">
        <f>IFERROR(__xludf.DUMMYFUNCTION("""COMPUTED_VALUE"""),"Approved/Permitted/Under construction")</f>
        <v>Approved/Permitted/Under construction</v>
      </c>
      <c r="J351" s="1" t="str">
        <f>IFERROR(__xludf.DUMMYFUNCTION("""COMPUTED_VALUE"""),"High")</f>
        <v>High</v>
      </c>
      <c r="K351" s="1" t="str">
        <f>IFERROR(__xludf.DUMMYFUNCTION("""COMPUTED_VALUE"""),"")</f>
        <v/>
      </c>
      <c r="L351" s="1" t="str">
        <f>IFERROR(__xludf.DUMMYFUNCTION("""COMPUTED_VALUE"""),"")</f>
        <v/>
      </c>
      <c r="M351" s="1" t="str">
        <f>IFERROR(__xludf.DUMMYFUNCTION("""COMPUTED_VALUE"""),"")</f>
        <v/>
      </c>
      <c r="N351" s="1" t="str">
        <f>IFERROR(__xludf.DUMMYFUNCTION("""COMPUTED_VALUE"""),"632")</f>
        <v>632</v>
      </c>
      <c r="O351" s="1" t="str">
        <f>IFERROR(__xludf.DUMMYFUNCTION("""COMPUTED_VALUE"""),"Hyperscale (100-999 MW)")</f>
        <v>Hyperscale (100-999 MW)</v>
      </c>
      <c r="P351" s="1" t="str">
        <f>IFERROR(__xludf.DUMMYFUNCTION("""COMPUTED_VALUE"""),"Solar")</f>
        <v>Solar</v>
      </c>
      <c r="Q351" s="1" t="str">
        <f>IFERROR(__xludf.DUMMYFUNCTION("""COMPUTED_VALUE"""),"")</f>
        <v/>
      </c>
      <c r="R351" s="1" t="str">
        <f>IFERROR(__xludf.DUMMYFUNCTION("""COMPUTED_VALUE"""),"")</f>
        <v/>
      </c>
      <c r="S351" s="1" t="str">
        <f>IFERROR(__xludf.DUMMYFUNCTION("""COMPUTED_VALUE"""),"6")</f>
        <v>6</v>
      </c>
      <c r="T351" s="1" t="str">
        <f>IFERROR(__xludf.DUMMYFUNCTION("""COMPUTED_VALUE"""),"Water")</f>
        <v>Water</v>
      </c>
      <c r="U351" s="1" t="str">
        <f>IFERROR(__xludf.DUMMYFUNCTION("""COMPUTED_VALUE"""),"Closed loop")</f>
        <v>Closed loop</v>
      </c>
      <c r="V351" s="1" t="str">
        <f>IFERROR(__xludf.DUMMYFUNCTION("""COMPUTED_VALUE"""),"250,000")</f>
        <v>250,000</v>
      </c>
      <c r="W351" s="1" t="str">
        <f>IFERROR(__xludf.DUMMYFUNCTION("""COMPUTED_VALUE"""),"280")</f>
        <v>280</v>
      </c>
      <c r="X351" s="1" t="str">
        <f>IFERROR(__xludf.DUMMYFUNCTION("""COMPUTED_VALUE"""),"$500 million")</f>
        <v>$500 million</v>
      </c>
      <c r="Y351" s="1" t="str">
        <f>IFERROR(__xludf.DUMMYFUNCTION("""COMPUTED_VALUE"""),"2027")</f>
        <v>2027</v>
      </c>
      <c r="Z351" s="1" t="str">
        <f>IFERROR(__xludf.DUMMYFUNCTION("""COMPUTED_VALUE"""),"Yes")</f>
        <v>Yes</v>
      </c>
      <c r="AA351" s="1" t="str">
        <f>IFERROR(__xludf.DUMMYFUNCTION("""COMPUTED_VALUE"""),"")</f>
        <v/>
      </c>
      <c r="AB351" s="1" t="str">
        <f>IFERROR(__xludf.DUMMYFUNCTION("""COMPUTED_VALUE"""),"")</f>
        <v/>
      </c>
      <c r="AC351" s="1" t="str">
        <f>IFERROR(__xludf.DUMMYFUNCTION("""COMPUTED_VALUE"""),"")</f>
        <v/>
      </c>
      <c r="AD351" s="1" t="str">
        <f>IFERROR(__xludf.DUMMYFUNCTION("""COMPUTED_VALUE"""),"")</f>
        <v/>
      </c>
      <c r="AE351" s="1" t="str">
        <f>IFERROR(__xludf.DUMMYFUNCTION("""COMPUTED_VALUE"""),"")</f>
        <v/>
      </c>
      <c r="AF351" s="1" t="str">
        <f>IFERROR(__xludf.DUMMYFUNCTION("""COMPUTED_VALUE"""),"")</f>
        <v/>
      </c>
      <c r="AG351" s="1" t="str">
        <f>IFERROR(__xludf.DUMMYFUNCTION("""COMPUTED_VALUE"""),"Double Black Diamond Solar Farm")</f>
        <v>Double Black Diamond Solar Farm</v>
      </c>
      <c r="AH351" s="1" t="str">
        <f>IFERROR(__xludf.DUMMYFUNCTION("""COMPUTED_VALUE"""),"Media Monitoring")</f>
        <v>Media Monitoring</v>
      </c>
      <c r="AI351" s="2" t="str">
        <f>IFERROR(__xludf.DUMMYFUNCTION("""COMPUTED_VALUE"""),"https://www.illinoistimes.com/news/first-data-center-in-sangamon-county/")</f>
        <v>https://www.illinoistimes.com/news/first-data-center-in-sangamon-county/</v>
      </c>
      <c r="AJ351" s="2" t="str">
        <f>IFERROR(__xludf.DUMMYFUNCTION("""COMPUTED_VALUE"""),"https://www.datacenterdynamics.com/en/news/cyrusone-gets-go-ahead-for-data-center-in-sangamon-illinois/")</f>
        <v>https://www.datacenterdynamics.com/en/news/cyrusone-gets-go-ahead-for-data-center-in-sangamon-illinois/</v>
      </c>
      <c r="AK351" s="1" t="str">
        <f>IFERROR(__xludf.DUMMYFUNCTION("""COMPUTED_VALUE"""),"")</f>
        <v/>
      </c>
      <c r="AL351" s="1" t="str">
        <f>IFERROR(__xludf.DUMMYFUNCTION("""COMPUTED_VALUE"""),"")</f>
        <v/>
      </c>
      <c r="AM351" s="1" t="str">
        <f>IFERROR(__xludf.DUMMYFUNCTION("""COMPUTED_VALUE"""),"")</f>
        <v/>
      </c>
      <c r="AN351" s="1" t="str">
        <f>IFERROR(__xludf.DUMMYFUNCTION("""COMPUTED_VALUE"""),"")</f>
        <v/>
      </c>
      <c r="AO351" s="1" t="str">
        <f>IFERROR(__xludf.DUMMYFUNCTION("""COMPUTED_VALUE"""),"")</f>
        <v/>
      </c>
      <c r="AP351" s="1" t="str">
        <f>IFERROR(__xludf.DUMMYFUNCTION("""COMPUTED_VALUE"""),"")</f>
        <v/>
      </c>
      <c r="AQ351" s="1" t="str">
        <f>IFERROR(__xludf.DUMMYFUNCTION("""COMPUTED_VALUE"""),"02/03/2026")</f>
        <v>02/03/2026</v>
      </c>
      <c r="AR351" s="1" t="str">
        <f>IFERROR(__xludf.DUMMYFUNCTION("""COMPUTED_VALUE"""),"05/05/2026")</f>
        <v>05/05/2026</v>
      </c>
    </row>
    <row r="352">
      <c r="A352" s="1" t="str">
        <f>IFERROR(__xludf.DUMMYFUNCTION("""COMPUTED_VALUE"""),"CyrusOne Data Center")</f>
        <v>CyrusOne Data Center</v>
      </c>
      <c r="B352" s="1" t="str">
        <f>IFERROR(__xludf.DUMMYFUNCTION("""COMPUTED_VALUE"""),"~11709 Faxon Rd")</f>
        <v>~11709 Faxon Rd</v>
      </c>
      <c r="C352" s="1" t="str">
        <f>IFERROR(__xludf.DUMMYFUNCTION("""COMPUTED_VALUE"""),"Yorkville")</f>
        <v>Yorkville</v>
      </c>
      <c r="D352" s="1" t="str">
        <f>IFERROR(__xludf.DUMMYFUNCTION("""COMPUTED_VALUE"""),"IL")</f>
        <v>IL</v>
      </c>
      <c r="E352" s="1" t="str">
        <f>IFERROR(__xludf.DUMMYFUNCTION("""COMPUTED_VALUE"""),"60545")</f>
        <v>60545</v>
      </c>
      <c r="F352" s="1" t="str">
        <f>IFERROR(__xludf.DUMMYFUNCTION("""COMPUTED_VALUE"""),"Kendall")</f>
        <v>Kendall</v>
      </c>
      <c r="G352" s="1" t="str">
        <f>IFERROR(__xludf.DUMMYFUNCTION("""COMPUTED_VALUE"""),"41.6759")</f>
        <v>41.6759</v>
      </c>
      <c r="H352" s="1" t="str">
        <f>IFERROR(__xludf.DUMMYFUNCTION("""COMPUTED_VALUE"""),"-88.4834")</f>
        <v>-88.4834</v>
      </c>
      <c r="I352" s="1" t="str">
        <f>IFERROR(__xludf.DUMMYFUNCTION("""COMPUTED_VALUE"""),"Approved/Permitted/Under construction")</f>
        <v>Approved/Permitted/Under construction</v>
      </c>
      <c r="J352" s="1" t="str">
        <f>IFERROR(__xludf.DUMMYFUNCTION("""COMPUTED_VALUE"""),"High")</f>
        <v>High</v>
      </c>
      <c r="K352" s="1" t="str">
        <f>IFERROR(__xludf.DUMMYFUNCTION("""COMPUTED_VALUE"""),"")</f>
        <v/>
      </c>
      <c r="L352" s="1" t="str">
        <f>IFERROR(__xludf.DUMMYFUNCTION("""COMPUTED_VALUE"""),"")</f>
        <v/>
      </c>
      <c r="M352" s="1" t="str">
        <f>IFERROR(__xludf.DUMMYFUNCTION("""COMPUTED_VALUE"""),"")</f>
        <v/>
      </c>
      <c r="N352" s="1" t="str">
        <f>IFERROR(__xludf.DUMMYFUNCTION("""COMPUTED_VALUE"""),"")</f>
        <v/>
      </c>
      <c r="O352" s="1" t="str">
        <f>IFERROR(__xludf.DUMMYFUNCTION("""COMPUTED_VALUE"""),"Unknown")</f>
        <v>Unknown</v>
      </c>
      <c r="P352" s="1" t="str">
        <f>IFERROR(__xludf.DUMMYFUNCTION("""COMPUTED_VALUE"""),"")</f>
        <v/>
      </c>
      <c r="Q352" s="1" t="str">
        <f>IFERROR(__xludf.DUMMYFUNCTION("""COMPUTED_VALUE"""),"")</f>
        <v/>
      </c>
      <c r="R352" s="1" t="str">
        <f>IFERROR(__xludf.DUMMYFUNCTION("""COMPUTED_VALUE"""),"")</f>
        <v/>
      </c>
      <c r="S352" s="1" t="str">
        <f>IFERROR(__xludf.DUMMYFUNCTION("""COMPUTED_VALUE"""),"9")</f>
        <v>9</v>
      </c>
      <c r="T352" s="1" t="str">
        <f>IFERROR(__xludf.DUMMYFUNCTION("""COMPUTED_VALUE"""),"")</f>
        <v/>
      </c>
      <c r="U352" s="1" t="str">
        <f>IFERROR(__xludf.DUMMYFUNCTION("""COMPUTED_VALUE"""),"")</f>
        <v/>
      </c>
      <c r="V352" s="1" t="str">
        <f>IFERROR(__xludf.DUMMYFUNCTION("""COMPUTED_VALUE"""),"")</f>
        <v/>
      </c>
      <c r="W352" s="1" t="str">
        <f>IFERROR(__xludf.DUMMYFUNCTION("""COMPUTED_VALUE"""),"")</f>
        <v/>
      </c>
      <c r="X352" s="1" t="str">
        <f>IFERROR(__xludf.DUMMYFUNCTION("""COMPUTED_VALUE"""),"")</f>
        <v/>
      </c>
      <c r="Y352" s="1" t="str">
        <f>IFERROR(__xludf.DUMMYFUNCTION("""COMPUTED_VALUE"""),"")</f>
        <v/>
      </c>
      <c r="Z352" s="1" t="str">
        <f>IFERROR(__xludf.DUMMYFUNCTION("""COMPUTED_VALUE"""),"Unknown")</f>
        <v>Unknown</v>
      </c>
      <c r="AA352" s="1" t="str">
        <f>IFERROR(__xludf.DUMMYFUNCTION("""COMPUTED_VALUE"""),"")</f>
        <v/>
      </c>
      <c r="AB352" s="1" t="str">
        <f>IFERROR(__xludf.DUMMYFUNCTION("""COMPUTED_VALUE"""),"")</f>
        <v/>
      </c>
      <c r="AC352" s="1" t="str">
        <f>IFERROR(__xludf.DUMMYFUNCTION("""COMPUTED_VALUE"""),"")</f>
        <v/>
      </c>
      <c r="AD352" s="1" t="str">
        <f>IFERROR(__xludf.DUMMYFUNCTION("""COMPUTED_VALUE"""),"")</f>
        <v/>
      </c>
      <c r="AE352" s="1" t="str">
        <f>IFERROR(__xludf.DUMMYFUNCTION("""COMPUTED_VALUE"""),"")</f>
        <v/>
      </c>
      <c r="AF352" s="1" t="str">
        <f>IFERROR(__xludf.DUMMYFUNCTION("""COMPUTED_VALUE"""),"")</f>
        <v/>
      </c>
      <c r="AG352" s="1" t="str">
        <f>IFERROR(__xludf.DUMMYFUNCTION("""COMPUTED_VALUE"""),"")</f>
        <v/>
      </c>
      <c r="AH352" s="1" t="str">
        <f>IFERROR(__xludf.DUMMYFUNCTION("""COMPUTED_VALUE"""),"Media Monitoring")</f>
        <v>Media Monitoring</v>
      </c>
      <c r="AI352" s="2" t="str">
        <f>IFERROR(__xludf.DUMMYFUNCTION("""COMPUTED_VALUE"""),"https://www.wspynews.com/news/local/cyrusone-proposes-second-yorkville-data-center-campus/article_2bc2768f-42c9-469f-80cf-f057a490fa1b.html")</f>
        <v>https://www.wspynews.com/news/local/cyrusone-proposes-second-yorkville-data-center-campus/article_2bc2768f-42c9-469f-80cf-f057a490fa1b.html</v>
      </c>
      <c r="AJ352" s="1" t="str">
        <f>IFERROR(__xludf.DUMMYFUNCTION("""COMPUTED_VALUE"""),"")</f>
        <v/>
      </c>
      <c r="AK352" s="1" t="str">
        <f>IFERROR(__xludf.DUMMYFUNCTION("""COMPUTED_VALUE"""),"")</f>
        <v/>
      </c>
      <c r="AL352" s="1" t="str">
        <f>IFERROR(__xludf.DUMMYFUNCTION("""COMPUTED_VALUE"""),"")</f>
        <v/>
      </c>
      <c r="AM352" s="1" t="str">
        <f>IFERROR(__xludf.DUMMYFUNCTION("""COMPUTED_VALUE"""),"")</f>
        <v/>
      </c>
      <c r="AN352" s="1" t="str">
        <f>IFERROR(__xludf.DUMMYFUNCTION("""COMPUTED_VALUE"""),"")</f>
        <v/>
      </c>
      <c r="AO352" s="1" t="str">
        <f>IFERROR(__xludf.DUMMYFUNCTION("""COMPUTED_VALUE"""),"")</f>
        <v/>
      </c>
      <c r="AP352" s="1" t="str">
        <f>IFERROR(__xludf.DUMMYFUNCTION("""COMPUTED_VALUE"""),"")</f>
        <v/>
      </c>
      <c r="AQ352" s="1" t="str">
        <f>IFERROR(__xludf.DUMMYFUNCTION("""COMPUTED_VALUE"""),"09/23/2025")</f>
        <v>09/23/2025</v>
      </c>
      <c r="AR352" s="1" t="str">
        <f>IFERROR(__xludf.DUMMYFUNCTION("""COMPUTED_VALUE"""),"09/23/2025")</f>
        <v>09/23/2025</v>
      </c>
    </row>
    <row r="353">
      <c r="A353" s="1" t="str">
        <f>IFERROR(__xludf.DUMMYFUNCTION("""COMPUTED_VALUE"""),"CyrusOne Data Center")</f>
        <v>CyrusOne Data Center</v>
      </c>
      <c r="B353" s="1" t="str">
        <f>IFERROR(__xludf.DUMMYFUNCTION("""COMPUTED_VALUE"""),"Off Faxon and Beecher Rds")</f>
        <v>Off Faxon and Beecher Rds</v>
      </c>
      <c r="C353" s="1" t="str">
        <f>IFERROR(__xludf.DUMMYFUNCTION("""COMPUTED_VALUE"""),"Yorkville")</f>
        <v>Yorkville</v>
      </c>
      <c r="D353" s="1" t="str">
        <f>IFERROR(__xludf.DUMMYFUNCTION("""COMPUTED_VALUE"""),"IL")</f>
        <v>IL</v>
      </c>
      <c r="E353" s="1" t="str">
        <f>IFERROR(__xludf.DUMMYFUNCTION("""COMPUTED_VALUE"""),"60560")</f>
        <v>60560</v>
      </c>
      <c r="F353" s="1" t="str">
        <f>IFERROR(__xludf.DUMMYFUNCTION("""COMPUTED_VALUE"""),"Kendall")</f>
        <v>Kendall</v>
      </c>
      <c r="G353" s="1" t="str">
        <f>IFERROR(__xludf.DUMMYFUNCTION("""COMPUTED_VALUE"""),"41.68361")</f>
        <v>41.68361</v>
      </c>
      <c r="H353" s="1" t="str">
        <f>IFERROR(__xludf.DUMMYFUNCTION("""COMPUTED_VALUE"""),"-88.4681")</f>
        <v>-88.4681</v>
      </c>
      <c r="I353" s="1" t="str">
        <f>IFERROR(__xludf.DUMMYFUNCTION("""COMPUTED_VALUE"""),"Proposed")</f>
        <v>Proposed</v>
      </c>
      <c r="J353" s="1" t="str">
        <f>IFERROR(__xludf.DUMMYFUNCTION("""COMPUTED_VALUE"""),"High")</f>
        <v>High</v>
      </c>
      <c r="K353" s="1" t="str">
        <f>IFERROR(__xludf.DUMMYFUNCTION("""COMPUTED_VALUE"""),"")</f>
        <v/>
      </c>
      <c r="L353" s="1" t="str">
        <f>IFERROR(__xludf.DUMMYFUNCTION("""COMPUTED_VALUE"""),"")</f>
        <v/>
      </c>
      <c r="M353" s="1" t="str">
        <f>IFERROR(__xludf.DUMMYFUNCTION("""COMPUTED_VALUE"""),"")</f>
        <v/>
      </c>
      <c r="N353" s="1" t="str">
        <f>IFERROR(__xludf.DUMMYFUNCTION("""COMPUTED_VALUE"""),"")</f>
        <v/>
      </c>
      <c r="O353" s="1" t="str">
        <f>IFERROR(__xludf.DUMMYFUNCTION("""COMPUTED_VALUE"""),"Unknown")</f>
        <v>Unknown</v>
      </c>
      <c r="P353" s="1" t="str">
        <f>IFERROR(__xludf.DUMMYFUNCTION("""COMPUTED_VALUE"""),"")</f>
        <v/>
      </c>
      <c r="Q353" s="1" t="str">
        <f>IFERROR(__xludf.DUMMYFUNCTION("""COMPUTED_VALUE"""),"")</f>
        <v/>
      </c>
      <c r="R353" s="1" t="str">
        <f>IFERROR(__xludf.DUMMYFUNCTION("""COMPUTED_VALUE"""),"")</f>
        <v/>
      </c>
      <c r="S353" s="1" t="str">
        <f>IFERROR(__xludf.DUMMYFUNCTION("""COMPUTED_VALUE"""),"")</f>
        <v/>
      </c>
      <c r="T353" s="1" t="str">
        <f>IFERROR(__xludf.DUMMYFUNCTION("""COMPUTED_VALUE"""),"")</f>
        <v/>
      </c>
      <c r="U353" s="1" t="str">
        <f>IFERROR(__xludf.DUMMYFUNCTION("""COMPUTED_VALUE"""),"")</f>
        <v/>
      </c>
      <c r="V353" s="1" t="str">
        <f>IFERROR(__xludf.DUMMYFUNCTION("""COMPUTED_VALUE"""),"740,000")</f>
        <v>740,000</v>
      </c>
      <c r="W353" s="1" t="str">
        <f>IFERROR(__xludf.DUMMYFUNCTION("""COMPUTED_VALUE"""),"128")</f>
        <v>128</v>
      </c>
      <c r="X353" s="1" t="str">
        <f>IFERROR(__xludf.DUMMYFUNCTION("""COMPUTED_VALUE"""),"")</f>
        <v/>
      </c>
      <c r="Y353" s="1" t="str">
        <f>IFERROR(__xludf.DUMMYFUNCTION("""COMPUTED_VALUE"""),"")</f>
        <v/>
      </c>
      <c r="Z353" s="1" t="str">
        <f>IFERROR(__xludf.DUMMYFUNCTION("""COMPUTED_VALUE"""),"Unknown")</f>
        <v>Unknown</v>
      </c>
      <c r="AA353" s="1" t="str">
        <f>IFERROR(__xludf.DUMMYFUNCTION("""COMPUTED_VALUE"""),"")</f>
        <v/>
      </c>
      <c r="AB353" s="1" t="str">
        <f>IFERROR(__xludf.DUMMYFUNCTION("""COMPUTED_VALUE"""),"")</f>
        <v/>
      </c>
      <c r="AC353" s="1" t="str">
        <f>IFERROR(__xludf.DUMMYFUNCTION("""COMPUTED_VALUE"""),"")</f>
        <v/>
      </c>
      <c r="AD353" s="1" t="str">
        <f>IFERROR(__xludf.DUMMYFUNCTION("""COMPUTED_VALUE"""),"")</f>
        <v/>
      </c>
      <c r="AE353" s="1" t="str">
        <f>IFERROR(__xludf.DUMMYFUNCTION("""COMPUTED_VALUE"""),"")</f>
        <v/>
      </c>
      <c r="AF353" s="1" t="str">
        <f>IFERROR(__xludf.DUMMYFUNCTION("""COMPUTED_VALUE"""),"")</f>
        <v/>
      </c>
      <c r="AG353" s="1" t="str">
        <f>IFERROR(__xludf.DUMMYFUNCTION("""COMPUTED_VALUE"""),"")</f>
        <v/>
      </c>
      <c r="AH353" s="1" t="str">
        <f>IFERROR(__xludf.DUMMYFUNCTION("""COMPUTED_VALUE"""),"Media Monitoring")</f>
        <v>Media Monitoring</v>
      </c>
      <c r="AI353" s="2" t="str">
        <f>IFERROR(__xludf.DUMMYFUNCTION("""COMPUTED_VALUE"""),"https://www.shawlocal.com/kendall-county-now/2025/09/19/new-data-center-proposal-in-yorkville-more-than-4-times-the-size-of-niu-football-complex/")</f>
        <v>https://www.shawlocal.com/kendall-county-now/2025/09/19/new-data-center-proposal-in-yorkville-more-than-4-times-the-size-of-niu-football-complex/</v>
      </c>
      <c r="AJ353" s="1" t="str">
        <f>IFERROR(__xludf.DUMMYFUNCTION("""COMPUTED_VALUE"""),"")</f>
        <v/>
      </c>
      <c r="AK353" s="1" t="str">
        <f>IFERROR(__xludf.DUMMYFUNCTION("""COMPUTED_VALUE"""),"")</f>
        <v/>
      </c>
      <c r="AL353" s="1" t="str">
        <f>IFERROR(__xludf.DUMMYFUNCTION("""COMPUTED_VALUE"""),"")</f>
        <v/>
      </c>
      <c r="AM353" s="1" t="str">
        <f>IFERROR(__xludf.DUMMYFUNCTION("""COMPUTED_VALUE"""),"")</f>
        <v/>
      </c>
      <c r="AN353" s="1" t="str">
        <f>IFERROR(__xludf.DUMMYFUNCTION("""COMPUTED_VALUE"""),"")</f>
        <v/>
      </c>
      <c r="AO353" s="1" t="str">
        <f>IFERROR(__xludf.DUMMYFUNCTION("""COMPUTED_VALUE"""),"")</f>
        <v/>
      </c>
      <c r="AP353" s="1" t="str">
        <f>IFERROR(__xludf.DUMMYFUNCTION("""COMPUTED_VALUE"""),"")</f>
        <v/>
      </c>
      <c r="AQ353" s="1" t="str">
        <f>IFERROR(__xludf.DUMMYFUNCTION("""COMPUTED_VALUE"""),"09/23/2025")</f>
        <v>09/23/2025</v>
      </c>
      <c r="AR353" s="1" t="str">
        <f>IFERROR(__xludf.DUMMYFUNCTION("""COMPUTED_VALUE"""),"09/23/2025")</f>
        <v>09/23/2025</v>
      </c>
    </row>
    <row r="354">
      <c r="A354" s="1" t="str">
        <f>IFERROR(__xludf.DUMMYFUNCTION("""COMPUTED_VALUE"""),"IND1")</f>
        <v>IND1</v>
      </c>
      <c r="B354" s="1" t="str">
        <f>IFERROR(__xludf.DUMMYFUNCTION("""COMPUTED_VALUE"""),"701 Congressional Blvd")</f>
        <v>701 Congressional Blvd</v>
      </c>
      <c r="C354" s="1" t="str">
        <f>IFERROR(__xludf.DUMMYFUNCTION("""COMPUTED_VALUE"""),"Carmell")</f>
        <v>Carmell</v>
      </c>
      <c r="D354" s="1" t="str">
        <f>IFERROR(__xludf.DUMMYFUNCTION("""COMPUTED_VALUE"""),"IN")</f>
        <v>IN</v>
      </c>
      <c r="E354" s="1" t="str">
        <f>IFERROR(__xludf.DUMMYFUNCTION("""COMPUTED_VALUE"""),"46032")</f>
        <v>46032</v>
      </c>
      <c r="F354" s="1" t="str">
        <f>IFERROR(__xludf.DUMMYFUNCTION("""COMPUTED_VALUE"""),"Hamilton")</f>
        <v>Hamilton</v>
      </c>
      <c r="G354" s="1" t="str">
        <f>IFERROR(__xludf.DUMMYFUNCTION("""COMPUTED_VALUE"""),"39.96264")</f>
        <v>39.96264</v>
      </c>
      <c r="H354" s="1" t="str">
        <f>IFERROR(__xludf.DUMMYFUNCTION("""COMPUTED_VALUE"""),"-86.1456")</f>
        <v>-86.1456</v>
      </c>
      <c r="I354" s="1" t="str">
        <f>IFERROR(__xludf.DUMMYFUNCTION("""COMPUTED_VALUE"""),"Operating")</f>
        <v>Operating</v>
      </c>
      <c r="J354" s="1" t="str">
        <f>IFERROR(__xludf.DUMMYFUNCTION("""COMPUTED_VALUE"""),"High")</f>
        <v>High</v>
      </c>
      <c r="K354" s="1" t="str">
        <f>IFERROR(__xludf.DUMMYFUNCTION("""COMPUTED_VALUE"""),"")</f>
        <v/>
      </c>
      <c r="L354" s="1" t="str">
        <f>IFERROR(__xludf.DUMMYFUNCTION("""COMPUTED_VALUE"""),"")</f>
        <v/>
      </c>
      <c r="M354" s="1" t="str">
        <f>IFERROR(__xludf.DUMMYFUNCTION("""COMPUTED_VALUE"""),"")</f>
        <v/>
      </c>
      <c r="N354" s="1" t="str">
        <f>IFERROR(__xludf.DUMMYFUNCTION("""COMPUTED_VALUE"""),"4.4")</f>
        <v>4.4</v>
      </c>
      <c r="O354" s="1" t="str">
        <f>IFERROR(__xludf.DUMMYFUNCTION("""COMPUTED_VALUE"""),"Small (0-10 MW)")</f>
        <v>Small (0-10 MW)</v>
      </c>
      <c r="P354" s="1" t="str">
        <f>IFERROR(__xludf.DUMMYFUNCTION("""COMPUTED_VALUE"""),"")</f>
        <v/>
      </c>
      <c r="Q354" s="1" t="str">
        <f>IFERROR(__xludf.DUMMYFUNCTION("""COMPUTED_VALUE"""),"")</f>
        <v/>
      </c>
      <c r="R354" s="1" t="str">
        <f>IFERROR(__xludf.DUMMYFUNCTION("""COMPUTED_VALUE"""),"")</f>
        <v/>
      </c>
      <c r="S354" s="1" t="str">
        <f>IFERROR(__xludf.DUMMYFUNCTION("""COMPUTED_VALUE"""),"")</f>
        <v/>
      </c>
      <c r="T354" s="1" t="str">
        <f>IFERROR(__xludf.DUMMYFUNCTION("""COMPUTED_VALUE"""),"")</f>
        <v/>
      </c>
      <c r="U354" s="1" t="str">
        <f>IFERROR(__xludf.DUMMYFUNCTION("""COMPUTED_VALUE"""),"")</f>
        <v/>
      </c>
      <c r="V354" s="1" t="str">
        <f>IFERROR(__xludf.DUMMYFUNCTION("""COMPUTED_VALUE"""),"53,000")</f>
        <v>53,000</v>
      </c>
      <c r="W354" s="1" t="str">
        <f>IFERROR(__xludf.DUMMYFUNCTION("""COMPUTED_VALUE"""),"")</f>
        <v/>
      </c>
      <c r="X354" s="1" t="str">
        <f>IFERROR(__xludf.DUMMYFUNCTION("""COMPUTED_VALUE"""),"")</f>
        <v/>
      </c>
      <c r="Y354" s="1" t="str">
        <f>IFERROR(__xludf.DUMMYFUNCTION("""COMPUTED_VALUE"""),"")</f>
        <v/>
      </c>
      <c r="Z354" s="1" t="str">
        <f>IFERROR(__xludf.DUMMYFUNCTION("""COMPUTED_VALUE"""),"Unknown")</f>
        <v>Unknown</v>
      </c>
      <c r="AA354" s="1" t="str">
        <f>IFERROR(__xludf.DUMMYFUNCTION("""COMPUTED_VALUE"""),"")</f>
        <v/>
      </c>
      <c r="AB354" s="1" t="str">
        <f>IFERROR(__xludf.DUMMYFUNCTION("""COMPUTED_VALUE"""),"")</f>
        <v/>
      </c>
      <c r="AC354" s="1" t="str">
        <f>IFERROR(__xludf.DUMMYFUNCTION("""COMPUTED_VALUE"""),"")</f>
        <v/>
      </c>
      <c r="AD354" s="1" t="str">
        <f>IFERROR(__xludf.DUMMYFUNCTION("""COMPUTED_VALUE"""),"")</f>
        <v/>
      </c>
      <c r="AE354" s="1" t="str">
        <f>IFERROR(__xludf.DUMMYFUNCTION("""COMPUTED_VALUE"""),"")</f>
        <v/>
      </c>
      <c r="AF354" s="1" t="str">
        <f>IFERROR(__xludf.DUMMYFUNCTION("""COMPUTED_VALUE"""),"")</f>
        <v/>
      </c>
      <c r="AG354" s="1" t="str">
        <f>IFERROR(__xludf.DUMMYFUNCTION("""COMPUTED_VALUE"""),"")</f>
        <v/>
      </c>
      <c r="AH354" s="1" t="str">
        <f>IFERROR(__xludf.DUMMYFUNCTION("""COMPUTED_VALUE"""),"Media Monitoring")</f>
        <v>Media Monitoring</v>
      </c>
      <c r="AI354" s="2" t="str">
        <f>IFERROR(__xludf.DUMMYFUNCTION("""COMPUTED_VALUE"""),"https://www.expedient.com/data-centers/indianapolis/")</f>
        <v>https://www.expedient.com/data-centers/indianapolis/</v>
      </c>
      <c r="AJ354" s="1" t="str">
        <f>IFERROR(__xludf.DUMMYFUNCTION("""COMPUTED_VALUE"""),"")</f>
        <v/>
      </c>
      <c r="AK354" s="1" t="str">
        <f>IFERROR(__xludf.DUMMYFUNCTION("""COMPUTED_VALUE"""),"")</f>
        <v/>
      </c>
      <c r="AL354" s="1" t="str">
        <f>IFERROR(__xludf.DUMMYFUNCTION("""COMPUTED_VALUE"""),"")</f>
        <v/>
      </c>
      <c r="AM354" s="1" t="str">
        <f>IFERROR(__xludf.DUMMYFUNCTION("""COMPUTED_VALUE"""),"")</f>
        <v/>
      </c>
      <c r="AN354" s="1" t="str">
        <f>IFERROR(__xludf.DUMMYFUNCTION("""COMPUTED_VALUE"""),"")</f>
        <v/>
      </c>
      <c r="AO354" s="1" t="str">
        <f>IFERROR(__xludf.DUMMYFUNCTION("""COMPUTED_VALUE"""),"")</f>
        <v/>
      </c>
      <c r="AP354" s="1" t="str">
        <f>IFERROR(__xludf.DUMMYFUNCTION("""COMPUTED_VALUE"""),"")</f>
        <v/>
      </c>
      <c r="AQ354" s="1" t="str">
        <f>IFERROR(__xludf.DUMMYFUNCTION("""COMPUTED_VALUE"""),"09/02/2025")</f>
        <v>09/02/2025</v>
      </c>
      <c r="AR354" s="1" t="str">
        <f>IFERROR(__xludf.DUMMYFUNCTION("""COMPUTED_VALUE"""),"09/02/2025")</f>
        <v>09/02/2025</v>
      </c>
    </row>
    <row r="355">
      <c r="A355" s="1" t="str">
        <f>IFERROR(__xludf.DUMMYFUNCTION("""COMPUTED_VALUE"""),"QLevr Data Center")</f>
        <v>QLevr Data Center</v>
      </c>
      <c r="B355" s="1" t="str">
        <f>IFERROR(__xludf.DUMMYFUNCTION("""COMPUTED_VALUE"""),"1800 Cristiani Parkway")</f>
        <v>1800 Cristiani Parkway</v>
      </c>
      <c r="C355" s="1" t="str">
        <f>IFERROR(__xludf.DUMMYFUNCTION("""COMPUTED_VALUE"""),"Charlestown")</f>
        <v>Charlestown</v>
      </c>
      <c r="D355" s="1" t="str">
        <f>IFERROR(__xludf.DUMMYFUNCTION("""COMPUTED_VALUE"""),"IN")</f>
        <v>IN</v>
      </c>
      <c r="E355" s="1" t="str">
        <f>IFERROR(__xludf.DUMMYFUNCTION("""COMPUTED_VALUE"""),"47111")</f>
        <v>47111</v>
      </c>
      <c r="F355" s="1" t="str">
        <f>IFERROR(__xludf.DUMMYFUNCTION("""COMPUTED_VALUE"""),"Clark")</f>
        <v>Clark</v>
      </c>
      <c r="G355" s="1" t="str">
        <f>IFERROR(__xludf.DUMMYFUNCTION("""COMPUTED_VALUE"""),"38.4303")</f>
        <v>38.4303</v>
      </c>
      <c r="H355" s="1" t="str">
        <f>IFERROR(__xludf.DUMMYFUNCTION("""COMPUTED_VALUE"""),"-85.67671")</f>
        <v>-85.67671</v>
      </c>
      <c r="I355" s="1" t="str">
        <f>IFERROR(__xludf.DUMMYFUNCTION("""COMPUTED_VALUE"""),"Proposed")</f>
        <v>Proposed</v>
      </c>
      <c r="J355" s="1" t="str">
        <f>IFERROR(__xludf.DUMMYFUNCTION("""COMPUTED_VALUE"""),"")</f>
        <v/>
      </c>
      <c r="K355" s="1" t="str">
        <f>IFERROR(__xludf.DUMMYFUNCTION("""COMPUTED_VALUE"""),"")</f>
        <v/>
      </c>
      <c r="L355" s="1" t="str">
        <f>IFERROR(__xludf.DUMMYFUNCTION("""COMPUTED_VALUE"""),"")</f>
        <v/>
      </c>
      <c r="M355" s="1" t="str">
        <f>IFERROR(__xludf.DUMMYFUNCTION("""COMPUTED_VALUE"""),"")</f>
        <v/>
      </c>
      <c r="N355" s="1" t="str">
        <f>IFERROR(__xludf.DUMMYFUNCTION("""COMPUTED_VALUE"""),"3")</f>
        <v>3</v>
      </c>
      <c r="O355" s="1" t="str">
        <f>IFERROR(__xludf.DUMMYFUNCTION("""COMPUTED_VALUE"""),"Small (0-10 MW)")</f>
        <v>Small (0-10 MW)</v>
      </c>
      <c r="P355" s="1" t="str">
        <f>IFERROR(__xludf.DUMMYFUNCTION("""COMPUTED_VALUE"""),"")</f>
        <v/>
      </c>
      <c r="Q355" s="1" t="str">
        <f>IFERROR(__xludf.DUMMYFUNCTION("""COMPUTED_VALUE"""),"")</f>
        <v/>
      </c>
      <c r="R355" s="1" t="str">
        <f>IFERROR(__xludf.DUMMYFUNCTION("""COMPUTED_VALUE"""),"")</f>
        <v/>
      </c>
      <c r="S355" s="1" t="str">
        <f>IFERROR(__xludf.DUMMYFUNCTION("""COMPUTED_VALUE"""),"")</f>
        <v/>
      </c>
      <c r="T355" s="1" t="str">
        <f>IFERROR(__xludf.DUMMYFUNCTION("""COMPUTED_VALUE"""),"")</f>
        <v/>
      </c>
      <c r="U355" s="1" t="str">
        <f>IFERROR(__xludf.DUMMYFUNCTION("""COMPUTED_VALUE"""),"")</f>
        <v/>
      </c>
      <c r="V355" s="1" t="str">
        <f>IFERROR(__xludf.DUMMYFUNCTION("""COMPUTED_VALUE"""),"60,000")</f>
        <v>60,000</v>
      </c>
      <c r="W355" s="1" t="str">
        <f>IFERROR(__xludf.DUMMYFUNCTION("""COMPUTED_VALUE"""),"12")</f>
        <v>12</v>
      </c>
      <c r="X355" s="1" t="str">
        <f>IFERROR(__xludf.DUMMYFUNCTION("""COMPUTED_VALUE"""),"$105 million")</f>
        <v>$105 million</v>
      </c>
      <c r="Y355" s="1" t="str">
        <f>IFERROR(__xludf.DUMMYFUNCTION("""COMPUTED_VALUE"""),"")</f>
        <v/>
      </c>
      <c r="Z355" s="1" t="str">
        <f>IFERROR(__xludf.DUMMYFUNCTION("""COMPUTED_VALUE"""),"Yes")</f>
        <v>Yes</v>
      </c>
      <c r="AA355" s="1" t="str">
        <f>IFERROR(__xludf.DUMMYFUNCTION("""COMPUTED_VALUE"""),"")</f>
        <v/>
      </c>
      <c r="AB355" s="1" t="str">
        <f>IFERROR(__xludf.DUMMYFUNCTION("""COMPUTED_VALUE"""),"Emerging Concern")</f>
        <v>Emerging Concern</v>
      </c>
      <c r="AC355" s="1" t="str">
        <f>IFERROR(__xludf.DUMMYFUNCTION("""COMPUTED_VALUE"""),"")</f>
        <v/>
      </c>
      <c r="AD355" s="1" t="str">
        <f>IFERROR(__xludf.DUMMYFUNCTION("""COMPUTED_VALUE"""),"")</f>
        <v/>
      </c>
      <c r="AE355" s="1" t="str">
        <f>IFERROR(__xludf.DUMMYFUNCTION("""COMPUTED_VALUE"""),"")</f>
        <v/>
      </c>
      <c r="AF355" s="1" t="str">
        <f>IFERROR(__xludf.DUMMYFUNCTION("""COMPUTED_VALUE"""),"")</f>
        <v/>
      </c>
      <c r="AG355" s="1" t="str">
        <f>IFERROR(__xludf.DUMMYFUNCTION("""COMPUTED_VALUE"""),"")</f>
        <v/>
      </c>
      <c r="AH355" s="1" t="str">
        <f>IFERROR(__xludf.DUMMYFUNCTION("""COMPUTED_VALUE"""),"Media Monitoring")</f>
        <v>Media Monitoring</v>
      </c>
      <c r="AI355" s="2" t="str">
        <f>IFERROR(__xludf.DUMMYFUNCTION("""COMPUTED_VALUE"""),"https://www.wdrb.com/news/neighbors-warn-proposed-105m-charlestown-data-center-could-bring-increased-noise-traffic/article_98004a9f-df7b-4cc5-a18c-d44584c5bc7f.html")</f>
        <v>https://www.wdrb.com/news/neighbors-warn-proposed-105m-charlestown-data-center-could-bring-increased-noise-traffic/article_98004a9f-df7b-4cc5-a18c-d44584c5bc7f.html</v>
      </c>
      <c r="AJ355" s="2" t="str">
        <f>IFERROR(__xludf.DUMMYFUNCTION("""COMPUTED_VALUE"""),"https://www.datacenterdynamics.com/en/news/105m-data-center-could-be-built-in-charlestown-indiana/")</f>
        <v>https://www.datacenterdynamics.com/en/news/105m-data-center-could-be-built-in-charlestown-indiana/</v>
      </c>
      <c r="AK355" s="1" t="str">
        <f>IFERROR(__xludf.DUMMYFUNCTION("""COMPUTED_VALUE"""),"")</f>
        <v/>
      </c>
      <c r="AL355" s="1" t="str">
        <f>IFERROR(__xludf.DUMMYFUNCTION("""COMPUTED_VALUE"""),"")</f>
        <v/>
      </c>
      <c r="AM355" s="1" t="str">
        <f>IFERROR(__xludf.DUMMYFUNCTION("""COMPUTED_VALUE"""),"")</f>
        <v/>
      </c>
      <c r="AN355" s="1" t="str">
        <f>IFERROR(__xludf.DUMMYFUNCTION("""COMPUTED_VALUE"""),"")</f>
        <v/>
      </c>
      <c r="AO355" s="1" t="str">
        <f>IFERROR(__xludf.DUMMYFUNCTION("""COMPUTED_VALUE"""),"")</f>
        <v/>
      </c>
      <c r="AP355" s="1" t="str">
        <f>IFERROR(__xludf.DUMMYFUNCTION("""COMPUTED_VALUE"""),"")</f>
        <v/>
      </c>
      <c r="AQ355" s="1" t="str">
        <f>IFERROR(__xludf.DUMMYFUNCTION("""COMPUTED_VALUE"""),"06/12/2026")</f>
        <v>06/12/2026</v>
      </c>
      <c r="AR355" s="1" t="str">
        <f>IFERROR(__xludf.DUMMYFUNCTION("""COMPUTED_VALUE"""),"06/12/2026")</f>
        <v>06/12/2026</v>
      </c>
    </row>
    <row r="356">
      <c r="A356" s="1" t="str">
        <f>IFERROR(__xludf.DUMMYFUNCTION("""COMPUTED_VALUE"""),"Provident Realty Advisors")</f>
        <v>Provident Realty Advisors</v>
      </c>
      <c r="B356" s="1" t="str">
        <f>IFERROR(__xludf.DUMMYFUNCTION("""COMPUTED_VALUE"""),"1110 Pearson Rd")</f>
        <v>1110 Pearson Rd</v>
      </c>
      <c r="C356" s="1" t="str">
        <f>IFERROR(__xludf.DUMMYFUNCTION("""COMPUTED_VALUE"""),"Chesteron")</f>
        <v>Chesteron</v>
      </c>
      <c r="D356" s="1" t="str">
        <f>IFERROR(__xludf.DUMMYFUNCTION("""COMPUTED_VALUE"""),"IN")</f>
        <v>IN</v>
      </c>
      <c r="E356" s="1" t="str">
        <f>IFERROR(__xludf.DUMMYFUNCTION("""COMPUTED_VALUE"""),"46304")</f>
        <v>46304</v>
      </c>
      <c r="F356" s="1" t="str">
        <f>IFERROR(__xludf.DUMMYFUNCTION("""COMPUTED_VALUE"""),"Porter")</f>
        <v>Porter</v>
      </c>
      <c r="G356" s="1" t="str">
        <f>IFERROR(__xludf.DUMMYFUNCTION("""COMPUTED_VALUE"""),"41.59884")</f>
        <v>41.59884</v>
      </c>
      <c r="H356" s="1" t="str">
        <f>IFERROR(__xludf.DUMMYFUNCTION("""COMPUTED_VALUE"""),"-87.094")</f>
        <v>-87.094</v>
      </c>
      <c r="I356" s="1" t="str">
        <f>IFERROR(__xludf.DUMMYFUNCTION("""COMPUTED_VALUE"""),"Cancelled")</f>
        <v>Cancelled</v>
      </c>
      <c r="J356" s="1" t="str">
        <f>IFERROR(__xludf.DUMMYFUNCTION("""COMPUTED_VALUE"""),"High")</f>
        <v>High</v>
      </c>
      <c r="K356" s="1" t="str">
        <f>IFERROR(__xludf.DUMMYFUNCTION("""COMPUTED_VALUE"""),"")</f>
        <v/>
      </c>
      <c r="L356" s="1" t="str">
        <f>IFERROR(__xludf.DUMMYFUNCTION("""COMPUTED_VALUE"""),"")</f>
        <v/>
      </c>
      <c r="M356" s="1" t="str">
        <f>IFERROR(__xludf.DUMMYFUNCTION("""COMPUTED_VALUE"""),"")</f>
        <v/>
      </c>
      <c r="N356" s="1" t="str">
        <f>IFERROR(__xludf.DUMMYFUNCTION("""COMPUTED_VALUE"""),"")</f>
        <v/>
      </c>
      <c r="O356" s="1" t="str">
        <f>IFERROR(__xludf.DUMMYFUNCTION("""COMPUTED_VALUE"""),"Unknown")</f>
        <v>Unknown</v>
      </c>
      <c r="P356" s="1" t="str">
        <f>IFERROR(__xludf.DUMMYFUNCTION("""COMPUTED_VALUE"""),"")</f>
        <v/>
      </c>
      <c r="Q356" s="1" t="str">
        <f>IFERROR(__xludf.DUMMYFUNCTION("""COMPUTED_VALUE"""),"")</f>
        <v/>
      </c>
      <c r="R356" s="1" t="str">
        <f>IFERROR(__xludf.DUMMYFUNCTION("""COMPUTED_VALUE"""),"")</f>
        <v/>
      </c>
      <c r="S356" s="1" t="str">
        <f>IFERROR(__xludf.DUMMYFUNCTION("""COMPUTED_VALUE"""),"")</f>
        <v/>
      </c>
      <c r="T356" s="1" t="str">
        <f>IFERROR(__xludf.DUMMYFUNCTION("""COMPUTED_VALUE"""),"")</f>
        <v/>
      </c>
      <c r="U356" s="1" t="str">
        <f>IFERROR(__xludf.DUMMYFUNCTION("""COMPUTED_VALUE"""),"")</f>
        <v/>
      </c>
      <c r="V356" s="1" t="str">
        <f>IFERROR(__xludf.DUMMYFUNCTION("""COMPUTED_VALUE"""),"")</f>
        <v/>
      </c>
      <c r="W356" s="1" t="str">
        <f>IFERROR(__xludf.DUMMYFUNCTION("""COMPUTED_VALUE"""),"")</f>
        <v/>
      </c>
      <c r="X356" s="1" t="str">
        <f>IFERROR(__xludf.DUMMYFUNCTION("""COMPUTED_VALUE"""),"")</f>
        <v/>
      </c>
      <c r="Y356" s="1" t="str">
        <f>IFERROR(__xludf.DUMMYFUNCTION("""COMPUTED_VALUE"""),"")</f>
        <v/>
      </c>
      <c r="Z356" s="1" t="str">
        <f>IFERROR(__xludf.DUMMYFUNCTION("""COMPUTED_VALUE"""),"Yes")</f>
        <v>Yes</v>
      </c>
      <c r="AA356" s="1" t="str">
        <f>IFERROR(__xludf.DUMMYFUNCTION("""COMPUTED_VALUE"""),"")</f>
        <v/>
      </c>
      <c r="AB356" s="1" t="str">
        <f>IFERROR(__xludf.DUMMYFUNCTION("""COMPUTED_VALUE"""),"")</f>
        <v/>
      </c>
      <c r="AC356" s="1" t="str">
        <f>IFERROR(__xludf.DUMMYFUNCTION("""COMPUTED_VALUE"""),"")</f>
        <v/>
      </c>
      <c r="AD356" s="1" t="str">
        <f>IFERROR(__xludf.DUMMYFUNCTION("""COMPUTED_VALUE"""),"")</f>
        <v/>
      </c>
      <c r="AE356" s="1" t="str">
        <f>IFERROR(__xludf.DUMMYFUNCTION("""COMPUTED_VALUE"""),"")</f>
        <v/>
      </c>
      <c r="AF356" s="1" t="str">
        <f>IFERROR(__xludf.DUMMYFUNCTION("""COMPUTED_VALUE"""),"")</f>
        <v/>
      </c>
      <c r="AG356" s="1" t="str">
        <f>IFERROR(__xludf.DUMMYFUNCTION("""COMPUTED_VALUE"""),"Blocked after community opposition, withdrawn by developer")</f>
        <v>Blocked after community opposition, withdrawn by developer</v>
      </c>
      <c r="AH356" s="1" t="str">
        <f>IFERROR(__xludf.DUMMYFUNCTION("""COMPUTED_VALUE"""),"Media Monitoring")</f>
        <v>Media Monitoring</v>
      </c>
      <c r="AI356" s="2" t="str">
        <f>IFERROR(__xludf.DUMMYFUNCTION("""COMPUTED_VALUE"""),"https://www.datacenterdynamics.com/en/news/application-for-13bn-data-center-in-chesterton-indiana-withdrawn/")</f>
        <v>https://www.datacenterdynamics.com/en/news/application-for-13bn-data-center-in-chesterton-indiana-withdrawn/</v>
      </c>
      <c r="AJ356" s="2" t="str">
        <f>IFERROR(__xludf.DUMMYFUNCTION("""COMPUTED_VALUE"""),"https://www.datacenterwatch.org/report")</f>
        <v>https://www.datacenterwatch.org/report</v>
      </c>
      <c r="AK356" s="1" t="str">
        <f>IFERROR(__xludf.DUMMYFUNCTION("""COMPUTED_VALUE"""),"")</f>
        <v/>
      </c>
      <c r="AL356" s="1" t="str">
        <f>IFERROR(__xludf.DUMMYFUNCTION("""COMPUTED_VALUE"""),"")</f>
        <v/>
      </c>
      <c r="AM356" s="1" t="str">
        <f>IFERROR(__xludf.DUMMYFUNCTION("""COMPUTED_VALUE"""),"")</f>
        <v/>
      </c>
      <c r="AN356" s="1" t="str">
        <f>IFERROR(__xludf.DUMMYFUNCTION("""COMPUTED_VALUE"""),"")</f>
        <v/>
      </c>
      <c r="AO356" s="1" t="str">
        <f>IFERROR(__xludf.DUMMYFUNCTION("""COMPUTED_VALUE"""),"")</f>
        <v/>
      </c>
      <c r="AP356" s="1" t="str">
        <f>IFERROR(__xludf.DUMMYFUNCTION("""COMPUTED_VALUE"""),"")</f>
        <v/>
      </c>
      <c r="AQ356" s="1" t="str">
        <f>IFERROR(__xludf.DUMMYFUNCTION("""COMPUTED_VALUE"""),"05/23/2025")</f>
        <v>05/23/2025</v>
      </c>
      <c r="AR356" s="1" t="str">
        <f>IFERROR(__xludf.DUMMYFUNCTION("""COMPUTED_VALUE"""),"05/23/2025")</f>
        <v>05/23/2025</v>
      </c>
    </row>
    <row r="357">
      <c r="A357" s="1" t="str">
        <f>IFERROR(__xludf.DUMMYFUNCTION("""COMPUTED_VALUE"""),"DartPoints Data Center")</f>
        <v>DartPoints Data Center</v>
      </c>
      <c r="B357" s="1" t="str">
        <f>IFERROR(__xludf.DUMMYFUNCTION("""COMPUTED_VALUE"""),"2425 Technology Blvd")</f>
        <v>2425 Technology Blvd</v>
      </c>
      <c r="C357" s="1" t="str">
        <f>IFERROR(__xludf.DUMMYFUNCTION("""COMPUTED_VALUE"""),"Columbus")</f>
        <v>Columbus</v>
      </c>
      <c r="D357" s="1" t="str">
        <f>IFERROR(__xludf.DUMMYFUNCTION("""COMPUTED_VALUE"""),"IN")</f>
        <v>IN</v>
      </c>
      <c r="E357" s="1" t="str">
        <f>IFERROR(__xludf.DUMMYFUNCTION("""COMPUTED_VALUE"""),"47201")</f>
        <v>47201</v>
      </c>
      <c r="F357" s="1" t="str">
        <f>IFERROR(__xludf.DUMMYFUNCTION("""COMPUTED_VALUE"""),"Bartholomew")</f>
        <v>Bartholomew</v>
      </c>
      <c r="G357" s="1" t="str">
        <f>IFERROR(__xludf.DUMMYFUNCTION("""COMPUTED_VALUE"""),"39.18256")</f>
        <v>39.18256</v>
      </c>
      <c r="H357" s="1" t="str">
        <f>IFERROR(__xludf.DUMMYFUNCTION("""COMPUTED_VALUE"""),"-85.8968")</f>
        <v>-85.8968</v>
      </c>
      <c r="I357" s="1" t="str">
        <f>IFERROR(__xludf.DUMMYFUNCTION("""COMPUTED_VALUE"""),"Operating")</f>
        <v>Operating</v>
      </c>
      <c r="J357" s="1" t="str">
        <f>IFERROR(__xludf.DUMMYFUNCTION("""COMPUTED_VALUE"""),"High")</f>
        <v>High</v>
      </c>
      <c r="K357" s="1" t="str">
        <f>IFERROR(__xludf.DUMMYFUNCTION("""COMPUTED_VALUE"""),"")</f>
        <v/>
      </c>
      <c r="L357" s="1" t="str">
        <f>IFERROR(__xludf.DUMMYFUNCTION("""COMPUTED_VALUE"""),"")</f>
        <v/>
      </c>
      <c r="M357" s="1" t="str">
        <f>IFERROR(__xludf.DUMMYFUNCTION("""COMPUTED_VALUE"""),"")</f>
        <v/>
      </c>
      <c r="N357" s="1" t="str">
        <f>IFERROR(__xludf.DUMMYFUNCTION("""COMPUTED_VALUE"""),"")</f>
        <v/>
      </c>
      <c r="O357" s="1" t="str">
        <f>IFERROR(__xludf.DUMMYFUNCTION("""COMPUTED_VALUE"""),"Unknown")</f>
        <v>Unknown</v>
      </c>
      <c r="P357" s="1" t="str">
        <f>IFERROR(__xludf.DUMMYFUNCTION("""COMPUTED_VALUE"""),"")</f>
        <v/>
      </c>
      <c r="Q357" s="1" t="str">
        <f>IFERROR(__xludf.DUMMYFUNCTION("""COMPUTED_VALUE"""),"")</f>
        <v/>
      </c>
      <c r="R357" s="1" t="str">
        <f>IFERROR(__xludf.DUMMYFUNCTION("""COMPUTED_VALUE"""),"")</f>
        <v/>
      </c>
      <c r="S357" s="1" t="str">
        <f>IFERROR(__xludf.DUMMYFUNCTION("""COMPUTED_VALUE"""),"")</f>
        <v/>
      </c>
      <c r="T357" s="1" t="str">
        <f>IFERROR(__xludf.DUMMYFUNCTION("""COMPUTED_VALUE"""),"")</f>
        <v/>
      </c>
      <c r="U357" s="1" t="str">
        <f>IFERROR(__xludf.DUMMYFUNCTION("""COMPUTED_VALUE"""),"")</f>
        <v/>
      </c>
      <c r="V357" s="1" t="str">
        <f>IFERROR(__xludf.DUMMYFUNCTION("""COMPUTED_VALUE"""),"86,400")</f>
        <v>86,400</v>
      </c>
      <c r="W357" s="1" t="str">
        <f>IFERROR(__xludf.DUMMYFUNCTION("""COMPUTED_VALUE"""),"")</f>
        <v/>
      </c>
      <c r="X357" s="1" t="str">
        <f>IFERROR(__xludf.DUMMYFUNCTION("""COMPUTED_VALUE"""),"")</f>
        <v/>
      </c>
      <c r="Y357" s="1" t="str">
        <f>IFERROR(__xludf.DUMMYFUNCTION("""COMPUTED_VALUE"""),"")</f>
        <v/>
      </c>
      <c r="Z357" s="1" t="str">
        <f>IFERROR(__xludf.DUMMYFUNCTION("""COMPUTED_VALUE"""),"Unknown")</f>
        <v>Unknown</v>
      </c>
      <c r="AA357" s="1" t="str">
        <f>IFERROR(__xludf.DUMMYFUNCTION("""COMPUTED_VALUE"""),"")</f>
        <v/>
      </c>
      <c r="AB357" s="1" t="str">
        <f>IFERROR(__xludf.DUMMYFUNCTION("""COMPUTED_VALUE"""),"")</f>
        <v/>
      </c>
      <c r="AC357" s="1" t="str">
        <f>IFERROR(__xludf.DUMMYFUNCTION("""COMPUTED_VALUE"""),"")</f>
        <v/>
      </c>
      <c r="AD357" s="1" t="str">
        <f>IFERROR(__xludf.DUMMYFUNCTION("""COMPUTED_VALUE"""),"")</f>
        <v/>
      </c>
      <c r="AE357" s="1" t="str">
        <f>IFERROR(__xludf.DUMMYFUNCTION("""COMPUTED_VALUE"""),"")</f>
        <v/>
      </c>
      <c r="AF357" s="1" t="str">
        <f>IFERROR(__xludf.DUMMYFUNCTION("""COMPUTED_VALUE"""),"")</f>
        <v/>
      </c>
      <c r="AG357" s="1" t="str">
        <f>IFERROR(__xludf.DUMMYFUNCTION("""COMPUTED_VALUE"""),"")</f>
        <v/>
      </c>
      <c r="AH357" s="1" t="str">
        <f>IFERROR(__xludf.DUMMYFUNCTION("""COMPUTED_VALUE"""),"Media Monitoring")</f>
        <v>Media Monitoring</v>
      </c>
      <c r="AI357" s="1" t="str">
        <f>IFERROR(__xludf.DUMMYFUNCTION("""COMPUTED_VALUE"""),"")</f>
        <v/>
      </c>
      <c r="AJ357" s="1" t="str">
        <f>IFERROR(__xludf.DUMMYFUNCTION("""COMPUTED_VALUE"""),"")</f>
        <v/>
      </c>
      <c r="AK357" s="1" t="str">
        <f>IFERROR(__xludf.DUMMYFUNCTION("""COMPUTED_VALUE"""),"")</f>
        <v/>
      </c>
      <c r="AL357" s="1" t="str">
        <f>IFERROR(__xludf.DUMMYFUNCTION("""COMPUTED_VALUE"""),"")</f>
        <v/>
      </c>
      <c r="AM357" s="1" t="str">
        <f>IFERROR(__xludf.DUMMYFUNCTION("""COMPUTED_VALUE"""),"")</f>
        <v/>
      </c>
      <c r="AN357" s="1" t="str">
        <f>IFERROR(__xludf.DUMMYFUNCTION("""COMPUTED_VALUE"""),"")</f>
        <v/>
      </c>
      <c r="AO357" s="1" t="str">
        <f>IFERROR(__xludf.DUMMYFUNCTION("""COMPUTED_VALUE"""),"")</f>
        <v/>
      </c>
      <c r="AP357" s="1" t="str">
        <f>IFERROR(__xludf.DUMMYFUNCTION("""COMPUTED_VALUE"""),"")</f>
        <v/>
      </c>
      <c r="AQ357" s="1" t="str">
        <f>IFERROR(__xludf.DUMMYFUNCTION("""COMPUTED_VALUE"""),"09/18/2025")</f>
        <v>09/18/2025</v>
      </c>
      <c r="AR357" s="1" t="str">
        <f>IFERROR(__xludf.DUMMYFUNCTION("""COMPUTED_VALUE"""),"09/18/2025")</f>
        <v>09/18/2025</v>
      </c>
    </row>
    <row r="358">
      <c r="A358" s="1" t="str">
        <f>IFERROR(__xludf.DUMMYFUNCTION("""COMPUTED_VALUE"""),"Karis Critical Data Center")</f>
        <v>Karis Critical Data Center</v>
      </c>
      <c r="B358" s="1" t="str">
        <f>IFERROR(__xludf.DUMMYFUNCTION("""COMPUTED_VALUE"""),"E 101st Ave")</f>
        <v>E 101st Ave</v>
      </c>
      <c r="C358" s="1" t="str">
        <f>IFERROR(__xludf.DUMMYFUNCTION("""COMPUTED_VALUE"""),"Crown Point")</f>
        <v>Crown Point</v>
      </c>
      <c r="D358" s="1" t="str">
        <f>IFERROR(__xludf.DUMMYFUNCTION("""COMPUTED_VALUE"""),"IN")</f>
        <v>IN</v>
      </c>
      <c r="E358" s="1" t="str">
        <f>IFERROR(__xludf.DUMMYFUNCTION("""COMPUTED_VALUE"""),"46307")</f>
        <v>46307</v>
      </c>
      <c r="F358" s="1" t="str">
        <f>IFERROR(__xludf.DUMMYFUNCTION("""COMPUTED_VALUE"""),"Lake")</f>
        <v>Lake</v>
      </c>
      <c r="G358" s="1" t="str">
        <f>IFERROR(__xludf.DUMMYFUNCTION("""COMPUTED_VALUE"""),"41.43521")</f>
        <v>41.43521</v>
      </c>
      <c r="H358" s="1" t="str">
        <f>IFERROR(__xludf.DUMMYFUNCTION("""COMPUTED_VALUE"""),"-87.3099")</f>
        <v>-87.3099</v>
      </c>
      <c r="I358" s="1" t="str">
        <f>IFERROR(__xludf.DUMMYFUNCTION("""COMPUTED_VALUE"""),"Proposed")</f>
        <v>Proposed</v>
      </c>
      <c r="J358" s="1" t="str">
        <f>IFERROR(__xludf.DUMMYFUNCTION("""COMPUTED_VALUE"""),"Medium")</f>
        <v>Medium</v>
      </c>
      <c r="K358" s="1" t="str">
        <f>IFERROR(__xludf.DUMMYFUNCTION("""COMPUTED_VALUE"""),"")</f>
        <v/>
      </c>
      <c r="L358" s="1" t="str">
        <f>IFERROR(__xludf.DUMMYFUNCTION("""COMPUTED_VALUE"""),"")</f>
        <v/>
      </c>
      <c r="M358" s="1" t="str">
        <f>IFERROR(__xludf.DUMMYFUNCTION("""COMPUTED_VALUE"""),"")</f>
        <v/>
      </c>
      <c r="N358" s="1" t="str">
        <f>IFERROR(__xludf.DUMMYFUNCTION("""COMPUTED_VALUE"""),"")</f>
        <v/>
      </c>
      <c r="O358" s="1" t="str">
        <f>IFERROR(__xludf.DUMMYFUNCTION("""COMPUTED_VALUE"""),"Unknown")</f>
        <v>Unknown</v>
      </c>
      <c r="P358" s="1" t="str">
        <f>IFERROR(__xludf.DUMMYFUNCTION("""COMPUTED_VALUE"""),"")</f>
        <v/>
      </c>
      <c r="Q358" s="1" t="str">
        <f>IFERROR(__xludf.DUMMYFUNCTION("""COMPUTED_VALUE"""),"")</f>
        <v/>
      </c>
      <c r="R358" s="1" t="str">
        <f>IFERROR(__xludf.DUMMYFUNCTION("""COMPUTED_VALUE"""),"")</f>
        <v/>
      </c>
      <c r="S358" s="1" t="str">
        <f>IFERROR(__xludf.DUMMYFUNCTION("""COMPUTED_VALUE"""),"")</f>
        <v/>
      </c>
      <c r="T358" s="1" t="str">
        <f>IFERROR(__xludf.DUMMYFUNCTION("""COMPUTED_VALUE"""),"")</f>
        <v/>
      </c>
      <c r="U358" s="1" t="str">
        <f>IFERROR(__xludf.DUMMYFUNCTION("""COMPUTED_VALUE"""),"")</f>
        <v/>
      </c>
      <c r="V358" s="1" t="str">
        <f>IFERROR(__xludf.DUMMYFUNCTION("""COMPUTED_VALUE"""),"")</f>
        <v/>
      </c>
      <c r="W358" s="1" t="str">
        <f>IFERROR(__xludf.DUMMYFUNCTION("""COMPUTED_VALUE"""),"181")</f>
        <v>181</v>
      </c>
      <c r="X358" s="1" t="str">
        <f>IFERROR(__xludf.DUMMYFUNCTION("""COMPUTED_VALUE"""),"$900 million")</f>
        <v>$900 million</v>
      </c>
      <c r="Y358" s="1" t="str">
        <f>IFERROR(__xludf.DUMMYFUNCTION("""COMPUTED_VALUE"""),"")</f>
        <v/>
      </c>
      <c r="Z358" s="1" t="str">
        <f>IFERROR(__xludf.DUMMYFUNCTION("""COMPUTED_VALUE"""),"Unknown")</f>
        <v>Unknown</v>
      </c>
      <c r="AA358" s="1" t="str">
        <f>IFERROR(__xludf.DUMMYFUNCTION("""COMPUTED_VALUE"""),"")</f>
        <v/>
      </c>
      <c r="AB358" s="1" t="str">
        <f>IFERROR(__xludf.DUMMYFUNCTION("""COMPUTED_VALUE"""),"")</f>
        <v/>
      </c>
      <c r="AC358" s="1" t="str">
        <f>IFERROR(__xludf.DUMMYFUNCTION("""COMPUTED_VALUE"""),"")</f>
        <v/>
      </c>
      <c r="AD358" s="1" t="str">
        <f>IFERROR(__xludf.DUMMYFUNCTION("""COMPUTED_VALUE"""),"")</f>
        <v/>
      </c>
      <c r="AE358" s="1" t="str">
        <f>IFERROR(__xludf.DUMMYFUNCTION("""COMPUTED_VALUE"""),"")</f>
        <v/>
      </c>
      <c r="AF358" s="1" t="str">
        <f>IFERROR(__xludf.DUMMYFUNCTION("""COMPUTED_VALUE"""),"")</f>
        <v/>
      </c>
      <c r="AG358" s="1" t="str">
        <f>IFERROR(__xludf.DUMMYFUNCTION("""COMPUTED_VALUE"""),"")</f>
        <v/>
      </c>
      <c r="AH358" s="1" t="str">
        <f>IFERROR(__xludf.DUMMYFUNCTION("""COMPUTED_VALUE"""),"Media Monitoring")</f>
        <v>Media Monitoring</v>
      </c>
      <c r="AI358" s="2" t="str">
        <f>IFERROR(__xludf.DUMMYFUNCTION("""COMPUTED_VALUE"""),"https://nwindianabusiness.com/community/business-news/merrillville-committee-endorses-data-center/67103/")</f>
        <v>https://nwindianabusiness.com/community/business-news/merrillville-committee-endorses-data-center/67103/</v>
      </c>
      <c r="AJ358" s="2" t="str">
        <f>IFERROR(__xludf.DUMMYFUNCTION("""COMPUTED_VALUE"""),"https://www.govtech.com/artificial-intelligence/2b-in-data-center-projects-planned-for-merrillville-ind")</f>
        <v>https://www.govtech.com/artificial-intelligence/2b-in-data-center-projects-planned-for-merrillville-ind</v>
      </c>
      <c r="AK358" s="1" t="str">
        <f>IFERROR(__xludf.DUMMYFUNCTION("""COMPUTED_VALUE"""),"")</f>
        <v/>
      </c>
      <c r="AL358" s="1" t="str">
        <f>IFERROR(__xludf.DUMMYFUNCTION("""COMPUTED_VALUE"""),"")</f>
        <v/>
      </c>
      <c r="AM358" s="1" t="str">
        <f>IFERROR(__xludf.DUMMYFUNCTION("""COMPUTED_VALUE"""),"")</f>
        <v/>
      </c>
      <c r="AN358" s="1" t="str">
        <f>IFERROR(__xludf.DUMMYFUNCTION("""COMPUTED_VALUE"""),"")</f>
        <v/>
      </c>
      <c r="AO358" s="1" t="str">
        <f>IFERROR(__xludf.DUMMYFUNCTION("""COMPUTED_VALUE"""),"")</f>
        <v/>
      </c>
      <c r="AP358" s="1" t="str">
        <f>IFERROR(__xludf.DUMMYFUNCTION("""COMPUTED_VALUE"""),"")</f>
        <v/>
      </c>
      <c r="AQ358" s="1" t="str">
        <f>IFERROR(__xludf.DUMMYFUNCTION("""COMPUTED_VALUE"""),"09/03/2025")</f>
        <v>09/03/2025</v>
      </c>
      <c r="AR358" s="1" t="str">
        <f>IFERROR(__xludf.DUMMYFUNCTION("""COMPUTED_VALUE"""),"09/03/2025")</f>
        <v>09/03/2025</v>
      </c>
    </row>
    <row r="359">
      <c r="A359" s="1" t="str">
        <f>IFERROR(__xludf.DUMMYFUNCTION("""COMPUTED_VALUE"""),"Wylie Capital Data Center")</f>
        <v>Wylie Capital Data Center</v>
      </c>
      <c r="B359" s="1" t="str">
        <f>IFERROR(__xludf.DUMMYFUNCTION("""COMPUTED_VALUE"""),"Broadway and E 93rd Ave")</f>
        <v>Broadway and E 93rd Ave</v>
      </c>
      <c r="C359" s="1" t="str">
        <f>IFERROR(__xludf.DUMMYFUNCTION("""COMPUTED_VALUE"""),"Crown Point")</f>
        <v>Crown Point</v>
      </c>
      <c r="D359" s="1" t="str">
        <f>IFERROR(__xludf.DUMMYFUNCTION("""COMPUTED_VALUE"""),"IN")</f>
        <v>IN</v>
      </c>
      <c r="E359" s="1" t="str">
        <f>IFERROR(__xludf.DUMMYFUNCTION("""COMPUTED_VALUE"""),"46307")</f>
        <v>46307</v>
      </c>
      <c r="F359" s="1" t="str">
        <f>IFERROR(__xludf.DUMMYFUNCTION("""COMPUTED_VALUE"""),"Lake")</f>
        <v>Lake</v>
      </c>
      <c r="G359" s="1" t="str">
        <f>IFERROR(__xludf.DUMMYFUNCTION("""COMPUTED_VALUE"""),"41.44693")</f>
        <v>41.44693</v>
      </c>
      <c r="H359" s="1" t="str">
        <f>IFERROR(__xludf.DUMMYFUNCTION("""COMPUTED_VALUE"""),"-87.3319")</f>
        <v>-87.3319</v>
      </c>
      <c r="I359" s="1" t="str">
        <f>IFERROR(__xludf.DUMMYFUNCTION("""COMPUTED_VALUE"""),"Proposed")</f>
        <v>Proposed</v>
      </c>
      <c r="J359" s="1" t="str">
        <f>IFERROR(__xludf.DUMMYFUNCTION("""COMPUTED_VALUE"""),"Medium")</f>
        <v>Medium</v>
      </c>
      <c r="K359" s="1" t="str">
        <f>IFERROR(__xludf.DUMMYFUNCTION("""COMPUTED_VALUE"""),"")</f>
        <v/>
      </c>
      <c r="L359" s="1" t="str">
        <f>IFERROR(__xludf.DUMMYFUNCTION("""COMPUTED_VALUE"""),"")</f>
        <v/>
      </c>
      <c r="M359" s="1" t="str">
        <f>IFERROR(__xludf.DUMMYFUNCTION("""COMPUTED_VALUE"""),"")</f>
        <v/>
      </c>
      <c r="N359" s="1" t="str">
        <f>IFERROR(__xludf.DUMMYFUNCTION("""COMPUTED_VALUE"""),"")</f>
        <v/>
      </c>
      <c r="O359" s="1" t="str">
        <f>IFERROR(__xludf.DUMMYFUNCTION("""COMPUTED_VALUE"""),"Unknown")</f>
        <v>Unknown</v>
      </c>
      <c r="P359" s="1" t="str">
        <f>IFERROR(__xludf.DUMMYFUNCTION("""COMPUTED_VALUE"""),"")</f>
        <v/>
      </c>
      <c r="Q359" s="1" t="str">
        <f>IFERROR(__xludf.DUMMYFUNCTION("""COMPUTED_VALUE"""),"")</f>
        <v/>
      </c>
      <c r="R359" s="1" t="str">
        <f>IFERROR(__xludf.DUMMYFUNCTION("""COMPUTED_VALUE"""),"")</f>
        <v/>
      </c>
      <c r="S359" s="1" t="str">
        <f>IFERROR(__xludf.DUMMYFUNCTION("""COMPUTED_VALUE"""),"")</f>
        <v/>
      </c>
      <c r="T359" s="1" t="str">
        <f>IFERROR(__xludf.DUMMYFUNCTION("""COMPUTED_VALUE"""),"")</f>
        <v/>
      </c>
      <c r="U359" s="1" t="str">
        <f>IFERROR(__xludf.DUMMYFUNCTION("""COMPUTED_VALUE"""),"")</f>
        <v/>
      </c>
      <c r="V359" s="1" t="str">
        <f>IFERROR(__xludf.DUMMYFUNCTION("""COMPUTED_VALUE"""),"1,200,000")</f>
        <v>1,200,000</v>
      </c>
      <c r="W359" s="1" t="str">
        <f>IFERROR(__xludf.DUMMYFUNCTION("""COMPUTED_VALUE"""),"")</f>
        <v/>
      </c>
      <c r="X359" s="1" t="str">
        <f>IFERROR(__xludf.DUMMYFUNCTION("""COMPUTED_VALUE"""),"")</f>
        <v/>
      </c>
      <c r="Y359" s="1" t="str">
        <f>IFERROR(__xludf.DUMMYFUNCTION("""COMPUTED_VALUE"""),"")</f>
        <v/>
      </c>
      <c r="Z359" s="1" t="str">
        <f>IFERROR(__xludf.DUMMYFUNCTION("""COMPUTED_VALUE"""),"Unknown")</f>
        <v>Unknown</v>
      </c>
      <c r="AA359" s="1" t="str">
        <f>IFERROR(__xludf.DUMMYFUNCTION("""COMPUTED_VALUE"""),"")</f>
        <v/>
      </c>
      <c r="AB359" s="1" t="str">
        <f>IFERROR(__xludf.DUMMYFUNCTION("""COMPUTED_VALUE"""),"")</f>
        <v/>
      </c>
      <c r="AC359" s="1" t="str">
        <f>IFERROR(__xludf.DUMMYFUNCTION("""COMPUTED_VALUE"""),"")</f>
        <v/>
      </c>
      <c r="AD359" s="1" t="str">
        <f>IFERROR(__xludf.DUMMYFUNCTION("""COMPUTED_VALUE"""),"")</f>
        <v/>
      </c>
      <c r="AE359" s="1" t="str">
        <f>IFERROR(__xludf.DUMMYFUNCTION("""COMPUTED_VALUE"""),"")</f>
        <v/>
      </c>
      <c r="AF359" s="1" t="str">
        <f>IFERROR(__xludf.DUMMYFUNCTION("""COMPUTED_VALUE"""),"")</f>
        <v/>
      </c>
      <c r="AG359" s="1" t="str">
        <f>IFERROR(__xludf.DUMMYFUNCTION("""COMPUTED_VALUE"""),"")</f>
        <v/>
      </c>
      <c r="AH359" s="1" t="str">
        <f>IFERROR(__xludf.DUMMYFUNCTION("""COMPUTED_VALUE"""),"Media Monitoring")</f>
        <v>Media Monitoring</v>
      </c>
      <c r="AI359" s="2" t="str">
        <f>IFERROR(__xludf.DUMMYFUNCTION("""COMPUTED_VALUE"""),"https://www.govtech.com/artificial-intelligence/2b-in-data-center-projects-planned-for-merrillville-ind")</f>
        <v>https://www.govtech.com/artificial-intelligence/2b-in-data-center-projects-planned-for-merrillville-ind</v>
      </c>
      <c r="AJ359" s="1" t="str">
        <f>IFERROR(__xludf.DUMMYFUNCTION("""COMPUTED_VALUE"""),"")</f>
        <v/>
      </c>
      <c r="AK359" s="1" t="str">
        <f>IFERROR(__xludf.DUMMYFUNCTION("""COMPUTED_VALUE"""),"")</f>
        <v/>
      </c>
      <c r="AL359" s="1" t="str">
        <f>IFERROR(__xludf.DUMMYFUNCTION("""COMPUTED_VALUE"""),"")</f>
        <v/>
      </c>
      <c r="AM359" s="1" t="str">
        <f>IFERROR(__xludf.DUMMYFUNCTION("""COMPUTED_VALUE"""),"")</f>
        <v/>
      </c>
      <c r="AN359" s="1" t="str">
        <f>IFERROR(__xludf.DUMMYFUNCTION("""COMPUTED_VALUE"""),"")</f>
        <v/>
      </c>
      <c r="AO359" s="1" t="str">
        <f>IFERROR(__xludf.DUMMYFUNCTION("""COMPUTED_VALUE"""),"")</f>
        <v/>
      </c>
      <c r="AP359" s="1" t="str">
        <f>IFERROR(__xludf.DUMMYFUNCTION("""COMPUTED_VALUE"""),"")</f>
        <v/>
      </c>
      <c r="AQ359" s="1" t="str">
        <f>IFERROR(__xludf.DUMMYFUNCTION("""COMPUTED_VALUE"""),"09/03/2025")</f>
        <v>09/03/2025</v>
      </c>
      <c r="AR359" s="1" t="str">
        <f>IFERROR(__xludf.DUMMYFUNCTION("""COMPUTED_VALUE"""),"09/03/2025")</f>
        <v>09/03/2025</v>
      </c>
    </row>
    <row r="360">
      <c r="A360" s="1" t="str">
        <f>IFERROR(__xludf.DUMMYFUNCTION("""COMPUTED_VALUE"""),"Sabey Data Center")</f>
        <v>Sabey Data Center</v>
      </c>
      <c r="B360" s="1" t="str">
        <f>IFERROR(__xludf.DUMMYFUNCTION("""COMPUTED_VALUE"""),"Kentucky Ave and Camby Rd")</f>
        <v>Kentucky Ave and Camby Rd</v>
      </c>
      <c r="C360" s="1" t="str">
        <f>IFERROR(__xludf.DUMMYFUNCTION("""COMPUTED_VALUE"""),"Decatur")</f>
        <v>Decatur</v>
      </c>
      <c r="D360" s="1" t="str">
        <f>IFERROR(__xludf.DUMMYFUNCTION("""COMPUTED_VALUE"""),"IN")</f>
        <v>IN</v>
      </c>
      <c r="E360" s="1" t="str">
        <f>IFERROR(__xludf.DUMMYFUNCTION("""COMPUTED_VALUE"""),"46221")</f>
        <v>46221</v>
      </c>
      <c r="F360" s="1" t="str">
        <f>IFERROR(__xludf.DUMMYFUNCTION("""COMPUTED_VALUE"""),"Marion")</f>
        <v>Marion</v>
      </c>
      <c r="G360" s="1" t="str">
        <f>IFERROR(__xludf.DUMMYFUNCTION("""COMPUTED_VALUE"""),"39.666195")</f>
        <v>39.666195</v>
      </c>
      <c r="H360" s="1" t="str">
        <f>IFERROR(__xludf.DUMMYFUNCTION("""COMPUTED_VALUE"""),"-86.30182")</f>
        <v>-86.30182</v>
      </c>
      <c r="I360" s="1" t="str">
        <f>IFERROR(__xludf.DUMMYFUNCTION("""COMPUTED_VALUE"""),"Proposed")</f>
        <v>Proposed</v>
      </c>
      <c r="J360" s="1" t="str">
        <f>IFERROR(__xludf.DUMMYFUNCTION("""COMPUTED_VALUE"""),"High")</f>
        <v>High</v>
      </c>
      <c r="K360" s="1" t="str">
        <f>IFERROR(__xludf.DUMMYFUNCTION("""COMPUTED_VALUE"""),"")</f>
        <v/>
      </c>
      <c r="L360" s="1" t="str">
        <f>IFERROR(__xludf.DUMMYFUNCTION("""COMPUTED_VALUE"""),"")</f>
        <v/>
      </c>
      <c r="M360" s="1" t="str">
        <f>IFERROR(__xludf.DUMMYFUNCTION("""COMPUTED_VALUE"""),"")</f>
        <v/>
      </c>
      <c r="N360" s="1" t="str">
        <f>IFERROR(__xludf.DUMMYFUNCTION("""COMPUTED_VALUE"""),"250")</f>
        <v>250</v>
      </c>
      <c r="O360" s="1" t="str">
        <f>IFERROR(__xludf.DUMMYFUNCTION("""COMPUTED_VALUE"""),"Hyperscale (100-999 MW)")</f>
        <v>Hyperscale (100-999 MW)</v>
      </c>
      <c r="P360" s="1" t="str">
        <f>IFERROR(__xludf.DUMMYFUNCTION("""COMPUTED_VALUE"""),"")</f>
        <v/>
      </c>
      <c r="Q360" s="1" t="str">
        <f>IFERROR(__xludf.DUMMYFUNCTION("""COMPUTED_VALUE"""),"")</f>
        <v/>
      </c>
      <c r="R360" s="1" t="str">
        <f>IFERROR(__xludf.DUMMYFUNCTION("""COMPUTED_VALUE"""),"")</f>
        <v/>
      </c>
      <c r="S360" s="1" t="str">
        <f>IFERROR(__xludf.DUMMYFUNCTION("""COMPUTED_VALUE"""),"2")</f>
        <v>2</v>
      </c>
      <c r="T360" s="1" t="str">
        <f>IFERROR(__xludf.DUMMYFUNCTION("""COMPUTED_VALUE"""),"")</f>
        <v/>
      </c>
      <c r="U360" s="1" t="str">
        <f>IFERROR(__xludf.DUMMYFUNCTION("""COMPUTED_VALUE"""),"")</f>
        <v/>
      </c>
      <c r="V360" s="1" t="str">
        <f>IFERROR(__xludf.DUMMYFUNCTION("""COMPUTED_VALUE"""),"900,000")</f>
        <v>900,000</v>
      </c>
      <c r="W360" s="1" t="str">
        <f>IFERROR(__xludf.DUMMYFUNCTION("""COMPUTED_VALUE"""),"138")</f>
        <v>138</v>
      </c>
      <c r="X360" s="1" t="str">
        <f>IFERROR(__xludf.DUMMYFUNCTION("""COMPUTED_VALUE"""),"$4 billion")</f>
        <v>$4 billion</v>
      </c>
      <c r="Y360" s="1" t="str">
        <f>IFERROR(__xludf.DUMMYFUNCTION("""COMPUTED_VALUE"""),"2028")</f>
        <v>2028</v>
      </c>
      <c r="Z360" s="1" t="str">
        <f>IFERROR(__xludf.DUMMYFUNCTION("""COMPUTED_VALUE"""),"Unknown")</f>
        <v>Unknown</v>
      </c>
      <c r="AA360" s="1" t="str">
        <f>IFERROR(__xludf.DUMMYFUNCTION("""COMPUTED_VALUE"""),"")</f>
        <v/>
      </c>
      <c r="AB360" s="1" t="str">
        <f>IFERROR(__xludf.DUMMYFUNCTION("""COMPUTED_VALUE"""),"")</f>
        <v/>
      </c>
      <c r="AC360" s="1" t="str">
        <f>IFERROR(__xludf.DUMMYFUNCTION("""COMPUTED_VALUE"""),"")</f>
        <v/>
      </c>
      <c r="AD360" s="1" t="str">
        <f>IFERROR(__xludf.DUMMYFUNCTION("""COMPUTED_VALUE"""),"")</f>
        <v/>
      </c>
      <c r="AE360" s="1" t="str">
        <f>IFERROR(__xludf.DUMMYFUNCTION("""COMPUTED_VALUE"""),"")</f>
        <v/>
      </c>
      <c r="AF360" s="1" t="str">
        <f>IFERROR(__xludf.DUMMYFUNCTION("""COMPUTED_VALUE"""),"")</f>
        <v/>
      </c>
      <c r="AG360" s="1" t="str">
        <f>IFERROR(__xludf.DUMMYFUNCTION("""COMPUTED_VALUE"""),"Additional substation")</f>
        <v>Additional substation</v>
      </c>
      <c r="AH360" s="1" t="str">
        <f>IFERROR(__xludf.DUMMYFUNCTION("""COMPUTED_VALUE"""),"Media Monitoring")</f>
        <v>Media Monitoring</v>
      </c>
      <c r="AI360" s="2" t="str">
        <f>IFERROR(__xludf.DUMMYFUNCTION("""COMPUTED_VALUE"""),"https://www.datacenterdynamics.com/en/news/4bn-data-center-in-indianapolis-indiana-gets-go-ahead/")</f>
        <v>https://www.datacenterdynamics.com/en/news/4bn-data-center-in-indianapolis-indiana-gets-go-ahead/</v>
      </c>
      <c r="AJ360" s="1" t="str">
        <f>IFERROR(__xludf.DUMMYFUNCTION("""COMPUTED_VALUE"""),"")</f>
        <v/>
      </c>
      <c r="AK360" s="1" t="str">
        <f>IFERROR(__xludf.DUMMYFUNCTION("""COMPUTED_VALUE"""),"")</f>
        <v/>
      </c>
      <c r="AL360" s="1" t="str">
        <f>IFERROR(__xludf.DUMMYFUNCTION("""COMPUTED_VALUE"""),"")</f>
        <v/>
      </c>
      <c r="AM360" s="1" t="str">
        <f>IFERROR(__xludf.DUMMYFUNCTION("""COMPUTED_VALUE"""),"")</f>
        <v/>
      </c>
      <c r="AN360" s="1" t="str">
        <f>IFERROR(__xludf.DUMMYFUNCTION("""COMPUTED_VALUE"""),"")</f>
        <v/>
      </c>
      <c r="AO360" s="1" t="str">
        <f>IFERROR(__xludf.DUMMYFUNCTION("""COMPUTED_VALUE"""),"")</f>
        <v/>
      </c>
      <c r="AP360" s="1" t="str">
        <f>IFERROR(__xludf.DUMMYFUNCTION("""COMPUTED_VALUE"""),"")</f>
        <v/>
      </c>
      <c r="AQ360" s="1" t="str">
        <f>IFERROR(__xludf.DUMMYFUNCTION("""COMPUTED_VALUE"""),"04/02/2026")</f>
        <v>04/02/2026</v>
      </c>
      <c r="AR360" s="1" t="str">
        <f>IFERROR(__xludf.DUMMYFUNCTION("""COMPUTED_VALUE"""),"04/02/2026")</f>
        <v>04/02/2026</v>
      </c>
    </row>
    <row r="361">
      <c r="A361" s="1" t="str">
        <f>IFERROR(__xludf.DUMMYFUNCTION("""COMPUTED_VALUE"""),"Project Zodiac")</f>
        <v>Project Zodiac</v>
      </c>
      <c r="B361" s="1" t="str">
        <f>IFERROR(__xludf.DUMMYFUNCTION("""COMPUTED_VALUE"""),"near E Paulding Rd &amp; Adams Ctr Rd")</f>
        <v>near E Paulding Rd &amp; Adams Ctr Rd</v>
      </c>
      <c r="C361" s="1" t="str">
        <f>IFERROR(__xludf.DUMMYFUNCTION("""COMPUTED_VALUE"""),"Fort Waye")</f>
        <v>Fort Waye</v>
      </c>
      <c r="D361" s="1" t="str">
        <f>IFERROR(__xludf.DUMMYFUNCTION("""COMPUTED_VALUE"""),"IN")</f>
        <v>IN</v>
      </c>
      <c r="E361" s="1" t="str">
        <f>IFERROR(__xludf.DUMMYFUNCTION("""COMPUTED_VALUE"""),"46816")</f>
        <v>46816</v>
      </c>
      <c r="F361" s="1" t="str">
        <f>IFERROR(__xludf.DUMMYFUNCTION("""COMPUTED_VALUE"""),"Allen")</f>
        <v>Allen</v>
      </c>
      <c r="G361" s="1" t="str">
        <f>IFERROR(__xludf.DUMMYFUNCTION("""COMPUTED_VALUE"""),"41.03761")</f>
        <v>41.03761</v>
      </c>
      <c r="H361" s="1" t="str">
        <f>IFERROR(__xludf.DUMMYFUNCTION("""COMPUTED_VALUE"""),"-85.0481")</f>
        <v>-85.0481</v>
      </c>
      <c r="I361" s="1" t="str">
        <f>IFERROR(__xludf.DUMMYFUNCTION("""COMPUTED_VALUE"""),"Approved/Permitted/Under construction")</f>
        <v>Approved/Permitted/Under construction</v>
      </c>
      <c r="J361" s="1" t="str">
        <f>IFERROR(__xludf.DUMMYFUNCTION("""COMPUTED_VALUE"""),"Medium")</f>
        <v>Medium</v>
      </c>
      <c r="K361" s="1" t="str">
        <f>IFERROR(__xludf.DUMMYFUNCTION("""COMPUTED_VALUE"""),"")</f>
        <v/>
      </c>
      <c r="L361" s="1" t="str">
        <f>IFERROR(__xludf.DUMMYFUNCTION("""COMPUTED_VALUE"""),"Google")</f>
        <v>Google</v>
      </c>
      <c r="M361" s="1" t="str">
        <f>IFERROR(__xludf.DUMMYFUNCTION("""COMPUTED_VALUE"""),"")</f>
        <v/>
      </c>
      <c r="N361" s="1" t="str">
        <f>IFERROR(__xludf.DUMMYFUNCTION("""COMPUTED_VALUE"""),"200-400")</f>
        <v>200-400</v>
      </c>
      <c r="O361" s="1" t="str">
        <f>IFERROR(__xludf.DUMMYFUNCTION("""COMPUTED_VALUE"""),"Hyperscale (100-999 MW)")</f>
        <v>Hyperscale (100-999 MW)</v>
      </c>
      <c r="P361" s="1" t="str">
        <f>IFERROR(__xludf.DUMMYFUNCTION("""COMPUTED_VALUE"""),"")</f>
        <v/>
      </c>
      <c r="Q361" s="1" t="str">
        <f>IFERROR(__xludf.DUMMYFUNCTION("""COMPUTED_VALUE"""),"")</f>
        <v/>
      </c>
      <c r="R361" s="1" t="str">
        <f>IFERROR(__xludf.DUMMYFUNCTION("""COMPUTED_VALUE"""),"")</f>
        <v/>
      </c>
      <c r="S361" s="1" t="str">
        <f>IFERROR(__xludf.DUMMYFUNCTION("""COMPUTED_VALUE"""),"12")</f>
        <v>12</v>
      </c>
      <c r="T361" s="1" t="str">
        <f>IFERROR(__xludf.DUMMYFUNCTION("""COMPUTED_VALUE"""),"")</f>
        <v/>
      </c>
      <c r="U361" s="1" t="str">
        <f>IFERROR(__xludf.DUMMYFUNCTION("""COMPUTED_VALUE"""),"")</f>
        <v/>
      </c>
      <c r="V361" s="1" t="str">
        <f>IFERROR(__xludf.DUMMYFUNCTION("""COMPUTED_VALUE"""),"")</f>
        <v/>
      </c>
      <c r="W361" s="1" t="str">
        <f>IFERROR(__xludf.DUMMYFUNCTION("""COMPUTED_VALUE"""),"700")</f>
        <v>700</v>
      </c>
      <c r="X361" s="1" t="str">
        <f>IFERROR(__xludf.DUMMYFUNCTION("""COMPUTED_VALUE"""),"$2 billion")</f>
        <v>$2 billion</v>
      </c>
      <c r="Y361" s="1" t="str">
        <f>IFERROR(__xludf.DUMMYFUNCTION("""COMPUTED_VALUE"""),"")</f>
        <v/>
      </c>
      <c r="Z361" s="1" t="str">
        <f>IFERROR(__xludf.DUMMYFUNCTION("""COMPUTED_VALUE"""),"Yes")</f>
        <v>Yes</v>
      </c>
      <c r="AA361" s="1" t="str">
        <f>IFERROR(__xludf.DUMMYFUNCTION("""COMPUTED_VALUE"""),"")</f>
        <v/>
      </c>
      <c r="AB361" s="1" t="str">
        <f>IFERROR(__xludf.DUMMYFUNCTION("""COMPUTED_VALUE"""),"")</f>
        <v/>
      </c>
      <c r="AC361" s="1" t="str">
        <f>IFERROR(__xludf.DUMMYFUNCTION("""COMPUTED_VALUE"""),"")</f>
        <v/>
      </c>
      <c r="AD361" s="1" t="str">
        <f>IFERROR(__xludf.DUMMYFUNCTION("""COMPUTED_VALUE"""),"")</f>
        <v/>
      </c>
      <c r="AE361" s="1" t="str">
        <f>IFERROR(__xludf.DUMMYFUNCTION("""COMPUTED_VALUE"""),"")</f>
        <v/>
      </c>
      <c r="AF361" s="1" t="str">
        <f>IFERROR(__xludf.DUMMYFUNCTION("""COMPUTED_VALUE"""),"")</f>
        <v/>
      </c>
      <c r="AG361" s="1" t="str">
        <f>IFERROR(__xludf.DUMMYFUNCTION("""COMPUTED_VALUE"""),"")</f>
        <v/>
      </c>
      <c r="AH361" s="1" t="str">
        <f>IFERROR(__xludf.DUMMYFUNCTION("""COMPUTED_VALUE"""),"Media Monitoring")</f>
        <v>Media Monitoring</v>
      </c>
      <c r="AI361" s="2" t="str">
        <f>IFERROR(__xludf.DUMMYFUNCTION("""COMPUTED_VALUE"""),"https://www.datacenterdynamics.com/en/news/google-announces-2bn-campus-in-fort-wayne-indiana/")</f>
        <v>https://www.datacenterdynamics.com/en/news/google-announces-2bn-campus-in-fort-wayne-indiana/</v>
      </c>
      <c r="AJ361" s="2" t="str">
        <f>IFERROR(__xludf.DUMMYFUNCTION("""COMPUTED_VALUE"""),"https://rbnenergy.com/i-know-places-tech-giants-may-be-the-surest-bets-for-data-center-power-demand")</f>
        <v>https://rbnenergy.com/i-know-places-tech-giants-may-be-the-surest-bets-for-data-center-power-demand</v>
      </c>
      <c r="AK361" s="2" t="str">
        <f>IFERROR(__xludf.DUMMYFUNCTION("""COMPUTED_VALUE"""),"https://www.21alivenews.com/2025/09/19/googles-plan-build-protected-wetlands-fort-wayne-data-center-greenlit/")</f>
        <v>https://www.21alivenews.com/2025/09/19/googles-plan-build-protected-wetlands-fort-wayne-data-center-greenlit/</v>
      </c>
      <c r="AL361" s="2" t="str">
        <f>IFERROR(__xludf.DUMMYFUNCTION("""COMPUTED_VALUE"""),"https://www.datacenterdynamics.com/en/news/indiana-approves-expanding-googles-fort-wayne-data-center-campus-onto-protected-wetlands-despite-local-opposition/")</f>
        <v>https://www.datacenterdynamics.com/en/news/indiana-approves-expanding-googles-fort-wayne-data-center-campus-onto-protected-wetlands-despite-local-opposition/</v>
      </c>
      <c r="AM361" s="1" t="str">
        <f>IFERROR(__xludf.DUMMYFUNCTION("""COMPUTED_VALUE"""),"")</f>
        <v/>
      </c>
      <c r="AN361" s="1" t="str">
        <f>IFERROR(__xludf.DUMMYFUNCTION("""COMPUTED_VALUE"""),"")</f>
        <v/>
      </c>
      <c r="AO361" s="1" t="str">
        <f>IFERROR(__xludf.DUMMYFUNCTION("""COMPUTED_VALUE"""),"")</f>
        <v/>
      </c>
      <c r="AP361" s="1" t="str">
        <f>IFERROR(__xludf.DUMMYFUNCTION("""COMPUTED_VALUE"""),"")</f>
        <v/>
      </c>
      <c r="AQ361" s="1" t="str">
        <f>IFERROR(__xludf.DUMMYFUNCTION("""COMPUTED_VALUE"""),"09/23/2025")</f>
        <v>09/23/2025</v>
      </c>
      <c r="AR361" s="1" t="str">
        <f>IFERROR(__xludf.DUMMYFUNCTION("""COMPUTED_VALUE"""),"11/30/2025")</f>
        <v>11/30/2025</v>
      </c>
    </row>
    <row r="362">
      <c r="A362" s="1" t="str">
        <f>IFERROR(__xludf.DUMMYFUNCTION("""COMPUTED_VALUE"""),"Logistix Data Center")</f>
        <v>Logistix Data Center</v>
      </c>
      <c r="B362" s="1" t="str">
        <f>IFERROR(__xludf.DUMMYFUNCTION("""COMPUTED_VALUE"""),"")</f>
        <v/>
      </c>
      <c r="C362" s="1" t="str">
        <f>IFERROR(__xludf.DUMMYFUNCTION("""COMPUTED_VALUE"""),"Frankfort")</f>
        <v>Frankfort</v>
      </c>
      <c r="D362" s="1" t="str">
        <f>IFERROR(__xludf.DUMMYFUNCTION("""COMPUTED_VALUE"""),"IN")</f>
        <v>IN</v>
      </c>
      <c r="E362" s="1" t="str">
        <f>IFERROR(__xludf.DUMMYFUNCTION("""COMPUTED_VALUE"""),"46041")</f>
        <v>46041</v>
      </c>
      <c r="F362" s="1" t="str">
        <f>IFERROR(__xludf.DUMMYFUNCTION("""COMPUTED_VALUE"""),"Clinton")</f>
        <v>Clinton</v>
      </c>
      <c r="G362" s="1" t="str">
        <f>IFERROR(__xludf.DUMMYFUNCTION("""COMPUTED_VALUE"""),"40.3066")</f>
        <v>40.3066</v>
      </c>
      <c r="H362" s="1" t="str">
        <f>IFERROR(__xludf.DUMMYFUNCTION("""COMPUTED_VALUE"""),"-86.5855")</f>
        <v>-86.5855</v>
      </c>
      <c r="I362" s="1" t="str">
        <f>IFERROR(__xludf.DUMMYFUNCTION("""COMPUTED_VALUE"""),"Suspended")</f>
        <v>Suspended</v>
      </c>
      <c r="J362" s="1" t="str">
        <f>IFERROR(__xludf.DUMMYFUNCTION("""COMPUTED_VALUE"""),"Medium")</f>
        <v>Medium</v>
      </c>
      <c r="K362" s="1" t="str">
        <f>IFERROR(__xludf.DUMMYFUNCTION("""COMPUTED_VALUE"""),"")</f>
        <v/>
      </c>
      <c r="L362" s="1" t="str">
        <f>IFERROR(__xludf.DUMMYFUNCTION("""COMPUTED_VALUE"""),"")</f>
        <v/>
      </c>
      <c r="M362" s="1" t="str">
        <f>IFERROR(__xludf.DUMMYFUNCTION("""COMPUTED_VALUE"""),"")</f>
        <v/>
      </c>
      <c r="N362" s="1" t="str">
        <f>IFERROR(__xludf.DUMMYFUNCTION("""COMPUTED_VALUE"""),"300")</f>
        <v>300</v>
      </c>
      <c r="O362" s="1" t="str">
        <f>IFERROR(__xludf.DUMMYFUNCTION("""COMPUTED_VALUE"""),"Hyperscale (100-999 MW)")</f>
        <v>Hyperscale (100-999 MW)</v>
      </c>
      <c r="P362" s="1" t="str">
        <f>IFERROR(__xludf.DUMMYFUNCTION("""COMPUTED_VALUE"""),"")</f>
        <v/>
      </c>
      <c r="Q362" s="1" t="str">
        <f>IFERROR(__xludf.DUMMYFUNCTION("""COMPUTED_VALUE"""),"")</f>
        <v/>
      </c>
      <c r="R362" s="1" t="str">
        <f>IFERROR(__xludf.DUMMYFUNCTION("""COMPUTED_VALUE"""),"")</f>
        <v/>
      </c>
      <c r="S362" s="1" t="str">
        <f>IFERROR(__xludf.DUMMYFUNCTION("""COMPUTED_VALUE"""),"")</f>
        <v/>
      </c>
      <c r="T362" s="1" t="str">
        <f>IFERROR(__xludf.DUMMYFUNCTION("""COMPUTED_VALUE"""),"")</f>
        <v/>
      </c>
      <c r="U362" s="1" t="str">
        <f>IFERROR(__xludf.DUMMYFUNCTION("""COMPUTED_VALUE"""),"")</f>
        <v/>
      </c>
      <c r="V362" s="1" t="str">
        <f>IFERROR(__xludf.DUMMYFUNCTION("""COMPUTED_VALUE"""),"")</f>
        <v/>
      </c>
      <c r="W362" s="1" t="str">
        <f>IFERROR(__xludf.DUMMYFUNCTION("""COMPUTED_VALUE"""),"833")</f>
        <v>833</v>
      </c>
      <c r="X362" s="1" t="str">
        <f>IFERROR(__xludf.DUMMYFUNCTION("""COMPUTED_VALUE"""),"")</f>
        <v/>
      </c>
      <c r="Y362" s="1" t="str">
        <f>IFERROR(__xludf.DUMMYFUNCTION("""COMPUTED_VALUE"""),"")</f>
        <v/>
      </c>
      <c r="Z362" s="1" t="str">
        <f>IFERROR(__xludf.DUMMYFUNCTION("""COMPUTED_VALUE"""),"Unknown")</f>
        <v>Unknown</v>
      </c>
      <c r="AA362" s="1" t="str">
        <f>IFERROR(__xludf.DUMMYFUNCTION("""COMPUTED_VALUE"""),"")</f>
        <v/>
      </c>
      <c r="AB362" s="1" t="str">
        <f>IFERROR(__xludf.DUMMYFUNCTION("""COMPUTED_VALUE"""),"")</f>
        <v/>
      </c>
      <c r="AC362" s="1" t="str">
        <f>IFERROR(__xludf.DUMMYFUNCTION("""COMPUTED_VALUE"""),"")</f>
        <v/>
      </c>
      <c r="AD362" s="1" t="str">
        <f>IFERROR(__xludf.DUMMYFUNCTION("""COMPUTED_VALUE"""),"")</f>
        <v/>
      </c>
      <c r="AE362" s="1" t="str">
        <f>IFERROR(__xludf.DUMMYFUNCTION("""COMPUTED_VALUE"""),"")</f>
        <v/>
      </c>
      <c r="AF362" s="1" t="str">
        <f>IFERROR(__xludf.DUMMYFUNCTION("""COMPUTED_VALUE"""),"")</f>
        <v/>
      </c>
      <c r="AG362" s="1" t="str">
        <f>IFERROR(__xludf.DUMMYFUNCTION("""COMPUTED_VALUE"""),"Much public dissent")</f>
        <v>Much public dissent</v>
      </c>
      <c r="AH362" s="1" t="str">
        <f>IFERROR(__xludf.DUMMYFUNCTION("""COMPUTED_VALUE"""),"Media Monitoring")</f>
        <v>Media Monitoring</v>
      </c>
      <c r="AI362" s="2" t="str">
        <f>IFERROR(__xludf.DUMMYFUNCTION("""COMPUTED_VALUE"""),"https://www.datacenterdynamics.com/en/news/land-rezoning-proposal-for-300mw-data-center-in-frankfort-indiana-rescinded-by-developer/")</f>
        <v>https://www.datacenterdynamics.com/en/news/land-rezoning-proposal-for-300mw-data-center-in-frankfort-indiana-rescinded-by-developer/</v>
      </c>
      <c r="AJ362" s="1" t="str">
        <f>IFERROR(__xludf.DUMMYFUNCTION("""COMPUTED_VALUE"""),"")</f>
        <v/>
      </c>
      <c r="AK362" s="1" t="str">
        <f>IFERROR(__xludf.DUMMYFUNCTION("""COMPUTED_VALUE"""),"")</f>
        <v/>
      </c>
      <c r="AL362" s="1" t="str">
        <f>IFERROR(__xludf.DUMMYFUNCTION("""COMPUTED_VALUE"""),"")</f>
        <v/>
      </c>
      <c r="AM362" s="1" t="str">
        <f>IFERROR(__xludf.DUMMYFUNCTION("""COMPUTED_VALUE"""),"")</f>
        <v/>
      </c>
      <c r="AN362" s="1" t="str">
        <f>IFERROR(__xludf.DUMMYFUNCTION("""COMPUTED_VALUE"""),"")</f>
        <v/>
      </c>
      <c r="AO362" s="1" t="str">
        <f>IFERROR(__xludf.DUMMYFUNCTION("""COMPUTED_VALUE"""),"")</f>
        <v/>
      </c>
      <c r="AP362" s="1" t="str">
        <f>IFERROR(__xludf.DUMMYFUNCTION("""COMPUTED_VALUE"""),"")</f>
        <v/>
      </c>
      <c r="AQ362" s="1" t="str">
        <f>IFERROR(__xludf.DUMMYFUNCTION("""COMPUTED_VALUE"""),"09/23/2025")</f>
        <v>09/23/2025</v>
      </c>
      <c r="AR362" s="1" t="str">
        <f>IFERROR(__xludf.DUMMYFUNCTION("""COMPUTED_VALUE"""),"09/23/2025")</f>
        <v>09/23/2025</v>
      </c>
    </row>
    <row r="363">
      <c r="A363" s="1" t="str">
        <f>IFERROR(__xludf.DUMMYFUNCTION("""COMPUTED_VALUE"""),"Granger Data Center Expansion")</f>
        <v>Granger Data Center Expansion</v>
      </c>
      <c r="B363" s="1" t="str">
        <f>IFERROR(__xludf.DUMMYFUNCTION("""COMPUTED_VALUE"""),"Granger area (near New Carlisle)")</f>
        <v>Granger area (near New Carlisle)</v>
      </c>
      <c r="C363" s="1" t="str">
        <f>IFERROR(__xludf.DUMMYFUNCTION("""COMPUTED_VALUE"""),"Granger")</f>
        <v>Granger</v>
      </c>
      <c r="D363" s="1" t="str">
        <f>IFERROR(__xludf.DUMMYFUNCTION("""COMPUTED_VALUE"""),"IN")</f>
        <v>IN</v>
      </c>
      <c r="E363" s="1" t="str">
        <f>IFERROR(__xludf.DUMMYFUNCTION("""COMPUTED_VALUE"""),"46530")</f>
        <v>46530</v>
      </c>
      <c r="F363" s="1" t="str">
        <f>IFERROR(__xludf.DUMMYFUNCTION("""COMPUTED_VALUE"""),"St. Joseph")</f>
        <v>St. Joseph</v>
      </c>
      <c r="G363" s="1" t="str">
        <f>IFERROR(__xludf.DUMMYFUNCTION("""COMPUTED_VALUE"""),"41.72418")</f>
        <v>41.72418</v>
      </c>
      <c r="H363" s="1" t="str">
        <f>IFERROR(__xludf.DUMMYFUNCTION("""COMPUTED_VALUE"""),"-86.1341")</f>
        <v>-86.1341</v>
      </c>
      <c r="I363" s="1" t="str">
        <f>IFERROR(__xludf.DUMMYFUNCTION("""COMPUTED_VALUE"""),"Proposed")</f>
        <v>Proposed</v>
      </c>
      <c r="J363" s="1" t="str">
        <f>IFERROR(__xludf.DUMMYFUNCTION("""COMPUTED_VALUE"""),"High")</f>
        <v>High</v>
      </c>
      <c r="K363" s="1" t="str">
        <f>IFERROR(__xludf.DUMMYFUNCTION("""COMPUTED_VALUE"""),"")</f>
        <v/>
      </c>
      <c r="L363" s="1" t="str">
        <f>IFERROR(__xludf.DUMMYFUNCTION("""COMPUTED_VALUE"""),"Microsoft")</f>
        <v>Microsoft</v>
      </c>
      <c r="M363" s="1" t="str">
        <f>IFERROR(__xludf.DUMMYFUNCTION("""COMPUTED_VALUE"""),"")</f>
        <v/>
      </c>
      <c r="N363" s="1" t="str">
        <f>IFERROR(__xludf.DUMMYFUNCTION("""COMPUTED_VALUE"""),"")</f>
        <v/>
      </c>
      <c r="O363" s="1" t="str">
        <f>IFERROR(__xludf.DUMMYFUNCTION("""COMPUTED_VALUE"""),"Unknown")</f>
        <v>Unknown</v>
      </c>
      <c r="P363" s="1" t="str">
        <f>IFERROR(__xludf.DUMMYFUNCTION("""COMPUTED_VALUE"""),"")</f>
        <v/>
      </c>
      <c r="Q363" s="1" t="str">
        <f>IFERROR(__xludf.DUMMYFUNCTION("""COMPUTED_VALUE"""),"")</f>
        <v/>
      </c>
      <c r="R363" s="1" t="str">
        <f>IFERROR(__xludf.DUMMYFUNCTION("""COMPUTED_VALUE"""),"")</f>
        <v/>
      </c>
      <c r="S363" s="1" t="str">
        <f>IFERROR(__xludf.DUMMYFUNCTION("""COMPUTED_VALUE"""),"")</f>
        <v/>
      </c>
      <c r="T363" s="1" t="str">
        <f>IFERROR(__xludf.DUMMYFUNCTION("""COMPUTED_VALUE"""),"")</f>
        <v/>
      </c>
      <c r="U363" s="1" t="str">
        <f>IFERROR(__xludf.DUMMYFUNCTION("""COMPUTED_VALUE"""),"")</f>
        <v/>
      </c>
      <c r="V363" s="1" t="str">
        <f>IFERROR(__xludf.DUMMYFUNCTION("""COMPUTED_VALUE"""),"")</f>
        <v/>
      </c>
      <c r="W363" s="1" t="str">
        <f>IFERROR(__xludf.DUMMYFUNCTION("""COMPUTED_VALUE"""),"900")</f>
        <v>900</v>
      </c>
      <c r="X363" s="1" t="str">
        <f>IFERROR(__xludf.DUMMYFUNCTION("""COMPUTED_VALUE"""),"")</f>
        <v/>
      </c>
      <c r="Y363" s="1" t="str">
        <f>IFERROR(__xludf.DUMMYFUNCTION("""COMPUTED_VALUE"""),"")</f>
        <v/>
      </c>
      <c r="Z363" s="1" t="str">
        <f>IFERROR(__xludf.DUMMYFUNCTION("""COMPUTED_VALUE"""),"Unknown")</f>
        <v>Unknown</v>
      </c>
      <c r="AA363" s="1" t="str">
        <f>IFERROR(__xludf.DUMMYFUNCTION("""COMPUTED_VALUE"""),"")</f>
        <v/>
      </c>
      <c r="AB363" s="1" t="str">
        <f>IFERROR(__xludf.DUMMYFUNCTION("""COMPUTED_VALUE"""),"")</f>
        <v/>
      </c>
      <c r="AC363" s="1" t="str">
        <f>IFERROR(__xludf.DUMMYFUNCTION("""COMPUTED_VALUE"""),"")</f>
        <v/>
      </c>
      <c r="AD363" s="1" t="str">
        <f>IFERROR(__xludf.DUMMYFUNCTION("""COMPUTED_VALUE"""),"")</f>
        <v/>
      </c>
      <c r="AE363" s="1" t="str">
        <f>IFERROR(__xludf.DUMMYFUNCTION("""COMPUTED_VALUE"""),"")</f>
        <v/>
      </c>
      <c r="AF363" s="1" t="str">
        <f>IFERROR(__xludf.DUMMYFUNCTION("""COMPUTED_VALUE"""),"")</f>
        <v/>
      </c>
      <c r="AG363" s="1" t="str">
        <f>IFERROR(__xludf.DUMMYFUNCTION("""COMPUTED_VALUE"""),"Expansion of existing")</f>
        <v>Expansion of existing</v>
      </c>
      <c r="AH363" s="1" t="str">
        <f>IFERROR(__xludf.DUMMYFUNCTION("""COMPUTED_VALUE"""),"Media Monitoring")</f>
        <v>Media Monitoring</v>
      </c>
      <c r="AI363" s="2" t="str">
        <f>IFERROR(__xludf.DUMMYFUNCTION("""COMPUTED_VALUE"""),"https://www.insideindianabusiness.com/articles/new-data-center-project-being-proposed-for-new-carlisle")</f>
        <v>https://www.insideindianabusiness.com/articles/new-data-center-project-being-proposed-for-new-carlisle</v>
      </c>
      <c r="AJ363" s="1" t="str">
        <f>IFERROR(__xludf.DUMMYFUNCTION("""COMPUTED_VALUE"""),"")</f>
        <v/>
      </c>
      <c r="AK363" s="1" t="str">
        <f>IFERROR(__xludf.DUMMYFUNCTION("""COMPUTED_VALUE"""),"")</f>
        <v/>
      </c>
      <c r="AL363" s="1" t="str">
        <f>IFERROR(__xludf.DUMMYFUNCTION("""COMPUTED_VALUE"""),"")</f>
        <v/>
      </c>
      <c r="AM363" s="1" t="str">
        <f>IFERROR(__xludf.DUMMYFUNCTION("""COMPUTED_VALUE"""),"")</f>
        <v/>
      </c>
      <c r="AN363" s="1" t="str">
        <f>IFERROR(__xludf.DUMMYFUNCTION("""COMPUTED_VALUE"""),"")</f>
        <v/>
      </c>
      <c r="AO363" s="1" t="str">
        <f>IFERROR(__xludf.DUMMYFUNCTION("""COMPUTED_VALUE"""),"")</f>
        <v/>
      </c>
      <c r="AP363" s="1" t="str">
        <f>IFERROR(__xludf.DUMMYFUNCTION("""COMPUTED_VALUE"""),"")</f>
        <v/>
      </c>
      <c r="AQ363" s="1" t="str">
        <f>IFERROR(__xludf.DUMMYFUNCTION("""COMPUTED_VALUE"""),"05/14/2025")</f>
        <v>05/14/2025</v>
      </c>
      <c r="AR363" s="1" t="str">
        <f>IFERROR(__xludf.DUMMYFUNCTION("""COMPUTED_VALUE"""),"03/24/2026")</f>
        <v>03/24/2026</v>
      </c>
    </row>
    <row r="364">
      <c r="A364" s="1" t="str">
        <f>IFERROR(__xludf.DUMMYFUNCTION("""COMPUTED_VALUE"""),"Jumping Bison LLC Data Center")</f>
        <v>Jumping Bison LLC Data Center</v>
      </c>
      <c r="B364" s="1" t="str">
        <f>IFERROR(__xludf.DUMMYFUNCTION("""COMPUTED_VALUE"""),"near 2620 N County Rd 250 W")</f>
        <v>near 2620 N County Rd 250 W</v>
      </c>
      <c r="C364" s="1" t="str">
        <f>IFERROR(__xludf.DUMMYFUNCTION("""COMPUTED_VALUE"""),"Greensburg")</f>
        <v>Greensburg</v>
      </c>
      <c r="D364" s="1" t="str">
        <f>IFERROR(__xludf.DUMMYFUNCTION("""COMPUTED_VALUE"""),"IN")</f>
        <v>IN</v>
      </c>
      <c r="E364" s="1" t="str">
        <f>IFERROR(__xludf.DUMMYFUNCTION("""COMPUTED_VALUE"""),"47240")</f>
        <v>47240</v>
      </c>
      <c r="F364" s="1" t="str">
        <f>IFERROR(__xludf.DUMMYFUNCTION("""COMPUTED_VALUE"""),"Decatur")</f>
        <v>Decatur</v>
      </c>
      <c r="G364" s="1" t="str">
        <f>IFERROR(__xludf.DUMMYFUNCTION("""COMPUTED_VALUE"""),"39.37664")</f>
        <v>39.37664</v>
      </c>
      <c r="H364" s="1" t="str">
        <f>IFERROR(__xludf.DUMMYFUNCTION("""COMPUTED_VALUE"""),"-85.5201")</f>
        <v>-85.5201</v>
      </c>
      <c r="I364" s="1" t="str">
        <f>IFERROR(__xludf.DUMMYFUNCTION("""COMPUTED_VALUE"""),"Proposed")</f>
        <v>Proposed</v>
      </c>
      <c r="J364" s="1" t="str">
        <f>IFERROR(__xludf.DUMMYFUNCTION("""COMPUTED_VALUE"""),"High")</f>
        <v>High</v>
      </c>
      <c r="K364" s="1" t="str">
        <f>IFERROR(__xludf.DUMMYFUNCTION("""COMPUTED_VALUE"""),"")</f>
        <v/>
      </c>
      <c r="L364" s="1" t="str">
        <f>IFERROR(__xludf.DUMMYFUNCTION("""COMPUTED_VALUE"""),"")</f>
        <v/>
      </c>
      <c r="M364" s="1" t="str">
        <f>IFERROR(__xludf.DUMMYFUNCTION("""COMPUTED_VALUE"""),"")</f>
        <v/>
      </c>
      <c r="N364" s="1" t="str">
        <f>IFERROR(__xludf.DUMMYFUNCTION("""COMPUTED_VALUE"""),"")</f>
        <v/>
      </c>
      <c r="O364" s="1" t="str">
        <f>IFERROR(__xludf.DUMMYFUNCTION("""COMPUTED_VALUE"""),"Hyperscale (100-999 MW)")</f>
        <v>Hyperscale (100-999 MW)</v>
      </c>
      <c r="P364" s="1" t="str">
        <f>IFERROR(__xludf.DUMMYFUNCTION("""COMPUTED_VALUE"""),"")</f>
        <v/>
      </c>
      <c r="Q364" s="1" t="str">
        <f>IFERROR(__xludf.DUMMYFUNCTION("""COMPUTED_VALUE"""),"")</f>
        <v/>
      </c>
      <c r="R364" s="1" t="str">
        <f>IFERROR(__xludf.DUMMYFUNCTION("""COMPUTED_VALUE"""),"")</f>
        <v/>
      </c>
      <c r="S364" s="1" t="str">
        <f>IFERROR(__xludf.DUMMYFUNCTION("""COMPUTED_VALUE"""),"Multiple")</f>
        <v>Multiple</v>
      </c>
      <c r="T364" s="1" t="str">
        <f>IFERROR(__xludf.DUMMYFUNCTION("""COMPUTED_VALUE"""),"")</f>
        <v/>
      </c>
      <c r="U364" s="1" t="str">
        <f>IFERROR(__xludf.DUMMYFUNCTION("""COMPUTED_VALUE"""),"")</f>
        <v/>
      </c>
      <c r="V364" s="1" t="str">
        <f>IFERROR(__xludf.DUMMYFUNCTION("""COMPUTED_VALUE"""),"")</f>
        <v/>
      </c>
      <c r="W364" s="1" t="str">
        <f>IFERROR(__xludf.DUMMYFUNCTION("""COMPUTED_VALUE"""),"550")</f>
        <v>550</v>
      </c>
      <c r="X364" s="1" t="str">
        <f>IFERROR(__xludf.DUMMYFUNCTION("""COMPUTED_VALUE"""),"$800 million")</f>
        <v>$800 million</v>
      </c>
      <c r="Y364" s="1" t="str">
        <f>IFERROR(__xludf.DUMMYFUNCTION("""COMPUTED_VALUE"""),"")</f>
        <v/>
      </c>
      <c r="Z364" s="1" t="str">
        <f>IFERROR(__xludf.DUMMYFUNCTION("""COMPUTED_VALUE"""),"Yes")</f>
        <v>Yes</v>
      </c>
      <c r="AA364" s="1" t="str">
        <f>IFERROR(__xludf.DUMMYFUNCTION("""COMPUTED_VALUE"""),"")</f>
        <v/>
      </c>
      <c r="AB364" s="1" t="str">
        <f>IFERROR(__xludf.DUMMYFUNCTION("""COMPUTED_VALUE"""),"")</f>
        <v/>
      </c>
      <c r="AC364" s="1" t="str">
        <f>IFERROR(__xludf.DUMMYFUNCTION("""COMPUTED_VALUE"""),"")</f>
        <v/>
      </c>
      <c r="AD364" s="2" t="str">
        <f>IFERROR(__xludf.DUMMYFUNCTION("""COMPUTED_VALUE"""),"https://www.facebook.com/p/Coalition-to-Protect-Decatur-County-Against-AI-Data-Center-61580212506454/")</f>
        <v>https://www.facebook.com/p/Coalition-to-Protect-Decatur-County-Against-AI-Data-Center-61580212506454/</v>
      </c>
      <c r="AE364" s="1" t="str">
        <f>IFERROR(__xludf.DUMMYFUNCTION("""COMPUTED_VALUE"""),"")</f>
        <v/>
      </c>
      <c r="AF364" s="2" t="str">
        <f>IFERROR(__xludf.DUMMYFUNCTION("""COMPUTED_VALUE"""),"https://www.change.org/p/say-no-to-ai-data-centers-in-decatur-county")</f>
        <v>https://www.change.org/p/say-no-to-ai-data-centers-in-decatur-county</v>
      </c>
      <c r="AG364" s="1" t="str">
        <f>IFERROR(__xludf.DUMMYFUNCTION("""COMPUTED_VALUE"""),"")</f>
        <v/>
      </c>
      <c r="AH364" s="1" t="str">
        <f>IFERROR(__xludf.DUMMYFUNCTION("""COMPUTED_VALUE"""),"Crowdsourced")</f>
        <v>Crowdsourced</v>
      </c>
      <c r="AI364" s="2" t="str">
        <f>IFERROR(__xludf.DUMMYFUNCTION("""COMPUTED_VALUE"""),"https://wrbiradio.com/greensburg-council-approves-era-establishment-data-center-abatement/")</f>
        <v>https://wrbiradio.com/greensburg-council-approves-era-establishment-data-center-abatement/</v>
      </c>
      <c r="AJ364" s="2" t="str">
        <f>IFERROR(__xludf.DUMMYFUNCTION("""COMPUTED_VALUE"""),"https://www.yahoo.com/news/development-coming-greensburg-011600861.html")</f>
        <v>https://www.yahoo.com/news/development-coming-greensburg-011600861.html</v>
      </c>
      <c r="AK364" s="2" t="str">
        <f>IFERROR(__xludf.DUMMYFUNCTION("""COMPUTED_VALUE"""),"https://baxtel.com/data-center/jumping-bison-greensburg-in?lat=39.37234142555886&amp;lng=-85.51474217656732&amp;distance=4286.716935410502")</f>
        <v>https://baxtel.com/data-center/jumping-bison-greensburg-in?lat=39.37234142555886&amp;lng=-85.51474217656732&amp;distance=4286.716935410502</v>
      </c>
      <c r="AL364" s="1" t="str">
        <f>IFERROR(__xludf.DUMMYFUNCTION("""COMPUTED_VALUE"""),"")</f>
        <v/>
      </c>
      <c r="AM364" s="1" t="str">
        <f>IFERROR(__xludf.DUMMYFUNCTION("""COMPUTED_VALUE"""),"")</f>
        <v/>
      </c>
      <c r="AN364" s="1" t="str">
        <f>IFERROR(__xludf.DUMMYFUNCTION("""COMPUTED_VALUE"""),"")</f>
        <v/>
      </c>
      <c r="AO364" s="1" t="str">
        <f>IFERROR(__xludf.DUMMYFUNCTION("""COMPUTED_VALUE"""),"")</f>
        <v/>
      </c>
      <c r="AP364" s="1" t="str">
        <f>IFERROR(__xludf.DUMMYFUNCTION("""COMPUTED_VALUE"""),"")</f>
        <v/>
      </c>
      <c r="AQ364" s="1" t="str">
        <f>IFERROR(__xludf.DUMMYFUNCTION("""COMPUTED_VALUE"""),"09/09/2025")</f>
        <v>09/09/2025</v>
      </c>
      <c r="AR364" s="1" t="str">
        <f>IFERROR(__xludf.DUMMYFUNCTION("""COMPUTED_VALUE"""),"02/12/2026")</f>
        <v>02/12/2026</v>
      </c>
    </row>
    <row r="365">
      <c r="A365" s="1" t="str">
        <f>IFERROR(__xludf.DUMMYFUNCTION("""COMPUTED_VALUE"""),"CoreWeave")</f>
        <v>CoreWeave</v>
      </c>
      <c r="B365" s="1" t="str">
        <f>IFERROR(__xludf.DUMMYFUNCTION("""COMPUTED_VALUE"""),"301 Digital Crossroads Dr")</f>
        <v>301 Digital Crossroads Dr</v>
      </c>
      <c r="C365" s="1" t="str">
        <f>IFERROR(__xludf.DUMMYFUNCTION("""COMPUTED_VALUE"""),"Hammond")</f>
        <v>Hammond</v>
      </c>
      <c r="D365" s="1" t="str">
        <f>IFERROR(__xludf.DUMMYFUNCTION("""COMPUTED_VALUE"""),"IN")</f>
        <v>IN</v>
      </c>
      <c r="E365" s="1" t="str">
        <f>IFERROR(__xludf.DUMMYFUNCTION("""COMPUTED_VALUE"""),"46320")</f>
        <v>46320</v>
      </c>
      <c r="F365" s="1" t="str">
        <f>IFERROR(__xludf.DUMMYFUNCTION("""COMPUTED_VALUE"""),"Lake")</f>
        <v>Lake</v>
      </c>
      <c r="G365" s="1" t="str">
        <f>IFERROR(__xludf.DUMMYFUNCTION("""COMPUTED_VALUE"""),"41.70514")</f>
        <v>41.70514</v>
      </c>
      <c r="H365" s="1" t="str">
        <f>IFERROR(__xludf.DUMMYFUNCTION("""COMPUTED_VALUE"""),"-87.5191")</f>
        <v>-87.5191</v>
      </c>
      <c r="I365" s="1" t="str">
        <f>IFERROR(__xludf.DUMMYFUNCTION("""COMPUTED_VALUE"""),"Proposed")</f>
        <v>Proposed</v>
      </c>
      <c r="J365" s="1" t="str">
        <f>IFERROR(__xludf.DUMMYFUNCTION("""COMPUTED_VALUE"""),"High")</f>
        <v>High</v>
      </c>
      <c r="K365" s="1" t="str">
        <f>IFERROR(__xludf.DUMMYFUNCTION("""COMPUTED_VALUE"""),"")</f>
        <v/>
      </c>
      <c r="L365" s="1" t="str">
        <f>IFERROR(__xludf.DUMMYFUNCTION("""COMPUTED_VALUE"""),"")</f>
        <v/>
      </c>
      <c r="M365" s="1" t="str">
        <f>IFERROR(__xludf.DUMMYFUNCTION("""COMPUTED_VALUE"""),"")</f>
        <v/>
      </c>
      <c r="N365" s="1" t="str">
        <f>IFERROR(__xludf.DUMMYFUNCTION("""COMPUTED_VALUE"""),"180")</f>
        <v>180</v>
      </c>
      <c r="O365" s="1" t="str">
        <f>IFERROR(__xludf.DUMMYFUNCTION("""COMPUTED_VALUE"""),"Hyperscale (100-999 MW)")</f>
        <v>Hyperscale (100-999 MW)</v>
      </c>
      <c r="P365" s="1" t="str">
        <f>IFERROR(__xludf.DUMMYFUNCTION("""COMPUTED_VALUE"""),"")</f>
        <v/>
      </c>
      <c r="Q365" s="1" t="str">
        <f>IFERROR(__xludf.DUMMYFUNCTION("""COMPUTED_VALUE"""),"")</f>
        <v/>
      </c>
      <c r="R365" s="1" t="str">
        <f>IFERROR(__xludf.DUMMYFUNCTION("""COMPUTED_VALUE"""),"")</f>
        <v/>
      </c>
      <c r="S365" s="1" t="str">
        <f>IFERROR(__xludf.DUMMYFUNCTION("""COMPUTED_VALUE"""),"")</f>
        <v/>
      </c>
      <c r="T365" s="1" t="str">
        <f>IFERROR(__xludf.DUMMYFUNCTION("""COMPUTED_VALUE"""),"")</f>
        <v/>
      </c>
      <c r="U365" s="1" t="str">
        <f>IFERROR(__xludf.DUMMYFUNCTION("""COMPUTED_VALUE"""),"")</f>
        <v/>
      </c>
      <c r="V365" s="1" t="str">
        <f>IFERROR(__xludf.DUMMYFUNCTION("""COMPUTED_VALUE"""),"450,000")</f>
        <v>450,000</v>
      </c>
      <c r="W365" s="1" t="str">
        <f>IFERROR(__xludf.DUMMYFUNCTION("""COMPUTED_VALUE"""),"")</f>
        <v/>
      </c>
      <c r="X365" s="1" t="str">
        <f>IFERROR(__xludf.DUMMYFUNCTION("""COMPUTED_VALUE"""),"")</f>
        <v/>
      </c>
      <c r="Y365" s="1" t="str">
        <f>IFERROR(__xludf.DUMMYFUNCTION("""COMPUTED_VALUE"""),"")</f>
        <v/>
      </c>
      <c r="Z365" s="1" t="str">
        <f>IFERROR(__xludf.DUMMYFUNCTION("""COMPUTED_VALUE"""),"Unknown")</f>
        <v>Unknown</v>
      </c>
      <c r="AA365" s="1" t="str">
        <f>IFERROR(__xludf.DUMMYFUNCTION("""COMPUTED_VALUE"""),"")</f>
        <v/>
      </c>
      <c r="AB365" s="1" t="str">
        <f>IFERROR(__xludf.DUMMYFUNCTION("""COMPUTED_VALUE"""),"")</f>
        <v/>
      </c>
      <c r="AC365" s="1" t="str">
        <f>IFERROR(__xludf.DUMMYFUNCTION("""COMPUTED_VALUE"""),"")</f>
        <v/>
      </c>
      <c r="AD365" s="1" t="str">
        <f>IFERROR(__xludf.DUMMYFUNCTION("""COMPUTED_VALUE"""),"")</f>
        <v/>
      </c>
      <c r="AE365" s="1" t="str">
        <f>IFERROR(__xludf.DUMMYFUNCTION("""COMPUTED_VALUE"""),"")</f>
        <v/>
      </c>
      <c r="AF365" s="1" t="str">
        <f>IFERROR(__xludf.DUMMYFUNCTION("""COMPUTED_VALUE"""),"")</f>
        <v/>
      </c>
      <c r="AG365" s="1" t="str">
        <f>IFERROR(__xludf.DUMMYFUNCTION("""COMPUTED_VALUE"""),"")</f>
        <v/>
      </c>
      <c r="AH365" s="1" t="str">
        <f>IFERROR(__xludf.DUMMYFUNCTION("""COMPUTED_VALUE"""),"Media Monitoring")</f>
        <v>Media Monitoring</v>
      </c>
      <c r="AI365" s="2" t="str">
        <f>IFERROR(__xludf.DUMMYFUNCTION("""COMPUTED_VALUE"""),"https://www.datacenterdynamics.com/en/news/coreweave-to-develop-180mw-data-center-at-digital-crossroads-campus-in-hammond-indiana/")</f>
        <v>https://www.datacenterdynamics.com/en/news/coreweave-to-develop-180mw-data-center-at-digital-crossroads-campus-in-hammond-indiana/</v>
      </c>
      <c r="AJ365" s="1" t="str">
        <f>IFERROR(__xludf.DUMMYFUNCTION("""COMPUTED_VALUE"""),"")</f>
        <v/>
      </c>
      <c r="AK365" s="1" t="str">
        <f>IFERROR(__xludf.DUMMYFUNCTION("""COMPUTED_VALUE"""),"")</f>
        <v/>
      </c>
      <c r="AL365" s="1" t="str">
        <f>IFERROR(__xludf.DUMMYFUNCTION("""COMPUTED_VALUE"""),"")</f>
        <v/>
      </c>
      <c r="AM365" s="1" t="str">
        <f>IFERROR(__xludf.DUMMYFUNCTION("""COMPUTED_VALUE"""),"")</f>
        <v/>
      </c>
      <c r="AN365" s="1" t="str">
        <f>IFERROR(__xludf.DUMMYFUNCTION("""COMPUTED_VALUE"""),"")</f>
        <v/>
      </c>
      <c r="AO365" s="1" t="str">
        <f>IFERROR(__xludf.DUMMYFUNCTION("""COMPUTED_VALUE"""),"")</f>
        <v/>
      </c>
      <c r="AP365" s="1" t="str">
        <f>IFERROR(__xludf.DUMMYFUNCTION("""COMPUTED_VALUE"""),"")</f>
        <v/>
      </c>
      <c r="AQ365" s="1" t="str">
        <f>IFERROR(__xludf.DUMMYFUNCTION("""COMPUTED_VALUE"""),"06/14/2025")</f>
        <v>06/14/2025</v>
      </c>
      <c r="AR365" s="1" t="str">
        <f>IFERROR(__xludf.DUMMYFUNCTION("""COMPUTED_VALUE"""),"06/14/2025")</f>
        <v>06/14/2025</v>
      </c>
    </row>
    <row r="366">
      <c r="A366" s="1" t="str">
        <f>IFERROR(__xludf.DUMMYFUNCTION("""COMPUTED_VALUE"""),"Digital Crossroad Data Center")</f>
        <v>Digital Crossroad Data Center</v>
      </c>
      <c r="B366" s="1" t="str">
        <f>IFERROR(__xludf.DUMMYFUNCTION("""COMPUTED_VALUE"""),"100 Digital Crossroad Drive")</f>
        <v>100 Digital Crossroad Drive</v>
      </c>
      <c r="C366" s="1" t="str">
        <f>IFERROR(__xludf.DUMMYFUNCTION("""COMPUTED_VALUE"""),"Hammond")</f>
        <v>Hammond</v>
      </c>
      <c r="D366" s="1" t="str">
        <f>IFERROR(__xludf.DUMMYFUNCTION("""COMPUTED_VALUE"""),"IN")</f>
        <v>IN</v>
      </c>
      <c r="E366" s="1" t="str">
        <f>IFERROR(__xludf.DUMMYFUNCTION("""COMPUTED_VALUE"""),"46320")</f>
        <v>46320</v>
      </c>
      <c r="F366" s="1" t="str">
        <f>IFERROR(__xludf.DUMMYFUNCTION("""COMPUTED_VALUE"""),"Lake")</f>
        <v>Lake</v>
      </c>
      <c r="G366" s="1" t="str">
        <f>IFERROR(__xludf.DUMMYFUNCTION("""COMPUTED_VALUE"""),"41.70743")</f>
        <v>41.70743</v>
      </c>
      <c r="H366" s="1" t="str">
        <f>IFERROR(__xludf.DUMMYFUNCTION("""COMPUTED_VALUE"""),"-87.5205")</f>
        <v>-87.5205</v>
      </c>
      <c r="I366" s="1" t="str">
        <f>IFERROR(__xludf.DUMMYFUNCTION("""COMPUTED_VALUE"""),"Operating")</f>
        <v>Operating</v>
      </c>
      <c r="J366" s="1" t="str">
        <f>IFERROR(__xludf.DUMMYFUNCTION("""COMPUTED_VALUE"""),"High")</f>
        <v>High</v>
      </c>
      <c r="K366" s="1" t="str">
        <f>IFERROR(__xludf.DUMMYFUNCTION("""COMPUTED_VALUE"""),"")</f>
        <v/>
      </c>
      <c r="L366" s="1" t="str">
        <f>IFERROR(__xludf.DUMMYFUNCTION("""COMPUTED_VALUE"""),"")</f>
        <v/>
      </c>
      <c r="M366" s="1" t="str">
        <f>IFERROR(__xludf.DUMMYFUNCTION("""COMPUTED_VALUE"""),"")</f>
        <v/>
      </c>
      <c r="N366" s="1" t="str">
        <f>IFERROR(__xludf.DUMMYFUNCTION("""COMPUTED_VALUE"""),"")</f>
        <v/>
      </c>
      <c r="O366" s="1" t="str">
        <f>IFERROR(__xludf.DUMMYFUNCTION("""COMPUTED_VALUE"""),"Unknown")</f>
        <v>Unknown</v>
      </c>
      <c r="P366" s="1" t="str">
        <f>IFERROR(__xludf.DUMMYFUNCTION("""COMPUTED_VALUE"""),"")</f>
        <v/>
      </c>
      <c r="Q366" s="1" t="str">
        <f>IFERROR(__xludf.DUMMYFUNCTION("""COMPUTED_VALUE"""),"")</f>
        <v/>
      </c>
      <c r="R366" s="1" t="str">
        <f>IFERROR(__xludf.DUMMYFUNCTION("""COMPUTED_VALUE"""),"")</f>
        <v/>
      </c>
      <c r="S366" s="1" t="str">
        <f>IFERROR(__xludf.DUMMYFUNCTION("""COMPUTED_VALUE"""),"")</f>
        <v/>
      </c>
      <c r="T366" s="1" t="str">
        <f>IFERROR(__xludf.DUMMYFUNCTION("""COMPUTED_VALUE"""),"")</f>
        <v/>
      </c>
      <c r="U366" s="1" t="str">
        <f>IFERROR(__xludf.DUMMYFUNCTION("""COMPUTED_VALUE"""),"")</f>
        <v/>
      </c>
      <c r="V366" s="1" t="str">
        <f>IFERROR(__xludf.DUMMYFUNCTION("""COMPUTED_VALUE"""),"")</f>
        <v/>
      </c>
      <c r="W366" s="1" t="str">
        <f>IFERROR(__xludf.DUMMYFUNCTION("""COMPUTED_VALUE"""),"")</f>
        <v/>
      </c>
      <c r="X366" s="1" t="str">
        <f>IFERROR(__xludf.DUMMYFUNCTION("""COMPUTED_VALUE"""),"")</f>
        <v/>
      </c>
      <c r="Y366" s="1" t="str">
        <f>IFERROR(__xludf.DUMMYFUNCTION("""COMPUTED_VALUE"""),"")</f>
        <v/>
      </c>
      <c r="Z366" s="1" t="str">
        <f>IFERROR(__xludf.DUMMYFUNCTION("""COMPUTED_VALUE"""),"Unknown")</f>
        <v>Unknown</v>
      </c>
      <c r="AA366" s="1" t="str">
        <f>IFERROR(__xludf.DUMMYFUNCTION("""COMPUTED_VALUE"""),"")</f>
        <v/>
      </c>
      <c r="AB366" s="1" t="str">
        <f>IFERROR(__xludf.DUMMYFUNCTION("""COMPUTED_VALUE"""),"")</f>
        <v/>
      </c>
      <c r="AC366" s="1" t="str">
        <f>IFERROR(__xludf.DUMMYFUNCTION("""COMPUTED_VALUE"""),"")</f>
        <v/>
      </c>
      <c r="AD366" s="1" t="str">
        <f>IFERROR(__xludf.DUMMYFUNCTION("""COMPUTED_VALUE"""),"")</f>
        <v/>
      </c>
      <c r="AE366" s="1" t="str">
        <f>IFERROR(__xludf.DUMMYFUNCTION("""COMPUTED_VALUE"""),"")</f>
        <v/>
      </c>
      <c r="AF366" s="1" t="str">
        <f>IFERROR(__xludf.DUMMYFUNCTION("""COMPUTED_VALUE"""),"")</f>
        <v/>
      </c>
      <c r="AG366" s="1" t="str">
        <f>IFERROR(__xludf.DUMMYFUNCTION("""COMPUTED_VALUE"""),"Able to support large expansion up to 100 MW")</f>
        <v>Able to support large expansion up to 100 MW</v>
      </c>
      <c r="AH366" s="1" t="str">
        <f>IFERROR(__xludf.DUMMYFUNCTION("""COMPUTED_VALUE"""),"Media Monitoring")</f>
        <v>Media Monitoring</v>
      </c>
      <c r="AI366" s="2" t="str">
        <f>IFERROR(__xludf.DUMMYFUNCTION("""COMPUTED_VALUE"""),"https://www.datacenterdynamics.com/en/news/digital-crossroad-plans-expansion-of-hammond-data-center-campus-outside-chicago/")</f>
        <v>https://www.datacenterdynamics.com/en/news/digital-crossroad-plans-expansion-of-hammond-data-center-campus-outside-chicago/</v>
      </c>
      <c r="AJ366" s="1" t="str">
        <f>IFERROR(__xludf.DUMMYFUNCTION("""COMPUTED_VALUE"""),"")</f>
        <v/>
      </c>
      <c r="AK366" s="1" t="str">
        <f>IFERROR(__xludf.DUMMYFUNCTION("""COMPUTED_VALUE"""),"")</f>
        <v/>
      </c>
      <c r="AL366" s="1" t="str">
        <f>IFERROR(__xludf.DUMMYFUNCTION("""COMPUTED_VALUE"""),"")</f>
        <v/>
      </c>
      <c r="AM366" s="1" t="str">
        <f>IFERROR(__xludf.DUMMYFUNCTION("""COMPUTED_VALUE"""),"")</f>
        <v/>
      </c>
      <c r="AN366" s="1" t="str">
        <f>IFERROR(__xludf.DUMMYFUNCTION("""COMPUTED_VALUE"""),"")</f>
        <v/>
      </c>
      <c r="AO366" s="1" t="str">
        <f>IFERROR(__xludf.DUMMYFUNCTION("""COMPUTED_VALUE"""),"")</f>
        <v/>
      </c>
      <c r="AP366" s="1" t="str">
        <f>IFERROR(__xludf.DUMMYFUNCTION("""COMPUTED_VALUE"""),"")</f>
        <v/>
      </c>
      <c r="AQ366" s="1" t="str">
        <f>IFERROR(__xludf.DUMMYFUNCTION("""COMPUTED_VALUE"""),"05/27/2025")</f>
        <v>05/27/2025</v>
      </c>
      <c r="AR366" s="1" t="str">
        <f>IFERROR(__xludf.DUMMYFUNCTION("""COMPUTED_VALUE"""),"03/24/2026")</f>
        <v>03/24/2026</v>
      </c>
    </row>
    <row r="367">
      <c r="A367" s="1" t="str">
        <f>IFERROR(__xludf.DUMMYFUNCTION("""COMPUTED_VALUE"""),"Project Redline")</f>
        <v>Project Redline</v>
      </c>
      <c r="B367" s="1" t="str">
        <f>IFERROR(__xludf.DUMMYFUNCTION("""COMPUTED_VALUE"""),"")</f>
        <v/>
      </c>
      <c r="C367" s="1" t="str">
        <f>IFERROR(__xludf.DUMMYFUNCTION("""COMPUTED_VALUE"""),"Hancock County")</f>
        <v>Hancock County</v>
      </c>
      <c r="D367" s="1" t="str">
        <f>IFERROR(__xludf.DUMMYFUNCTION("""COMPUTED_VALUE"""),"IN")</f>
        <v>IN</v>
      </c>
      <c r="E367" s="1" t="str">
        <f>IFERROR(__xludf.DUMMYFUNCTION("""COMPUTED_VALUE"""),"")</f>
        <v/>
      </c>
      <c r="F367" s="1" t="str">
        <f>IFERROR(__xludf.DUMMYFUNCTION("""COMPUTED_VALUE"""),"Hancock")</f>
        <v>Hancock</v>
      </c>
      <c r="G367" s="1" t="str">
        <f>IFERROR(__xludf.DUMMYFUNCTION("""COMPUTED_VALUE"""),"39.82814")</f>
        <v>39.82814</v>
      </c>
      <c r="H367" s="1" t="str">
        <f>IFERROR(__xludf.DUMMYFUNCTION("""COMPUTED_VALUE"""),"-85.7803")</f>
        <v>-85.7803</v>
      </c>
      <c r="I367" s="1" t="str">
        <f>IFERROR(__xludf.DUMMYFUNCTION("""COMPUTED_VALUE"""),"Proposed")</f>
        <v>Proposed</v>
      </c>
      <c r="J367" s="1" t="str">
        <f>IFERROR(__xludf.DUMMYFUNCTION("""COMPUTED_VALUE"""),"Low")</f>
        <v>Low</v>
      </c>
      <c r="K367" s="1" t="str">
        <f>IFERROR(__xludf.DUMMYFUNCTION("""COMPUTED_VALUE"""),"")</f>
        <v/>
      </c>
      <c r="L367" s="1" t="str">
        <f>IFERROR(__xludf.DUMMYFUNCTION("""COMPUTED_VALUE"""),"")</f>
        <v/>
      </c>
      <c r="M367" s="1" t="str">
        <f>IFERROR(__xludf.DUMMYFUNCTION("""COMPUTED_VALUE"""),"")</f>
        <v/>
      </c>
      <c r="N367" s="1" t="str">
        <f>IFERROR(__xludf.DUMMYFUNCTION("""COMPUTED_VALUE"""),"")</f>
        <v/>
      </c>
      <c r="O367" s="1" t="str">
        <f>IFERROR(__xludf.DUMMYFUNCTION("""COMPUTED_VALUE"""),"Unknown")</f>
        <v>Unknown</v>
      </c>
      <c r="P367" s="1" t="str">
        <f>IFERROR(__xludf.DUMMYFUNCTION("""COMPUTED_VALUE"""),"")</f>
        <v/>
      </c>
      <c r="Q367" s="1" t="str">
        <f>IFERROR(__xludf.DUMMYFUNCTION("""COMPUTED_VALUE"""),"")</f>
        <v/>
      </c>
      <c r="R367" s="1" t="str">
        <f>IFERROR(__xludf.DUMMYFUNCTION("""COMPUTED_VALUE"""),"")</f>
        <v/>
      </c>
      <c r="S367" s="1" t="str">
        <f>IFERROR(__xludf.DUMMYFUNCTION("""COMPUTED_VALUE"""),"")</f>
        <v/>
      </c>
      <c r="T367" s="1" t="str">
        <f>IFERROR(__xludf.DUMMYFUNCTION("""COMPUTED_VALUE"""),"")</f>
        <v/>
      </c>
      <c r="U367" s="1" t="str">
        <f>IFERROR(__xludf.DUMMYFUNCTION("""COMPUTED_VALUE"""),"")</f>
        <v/>
      </c>
      <c r="V367" s="1" t="str">
        <f>IFERROR(__xludf.DUMMYFUNCTION("""COMPUTED_VALUE"""),"")</f>
        <v/>
      </c>
      <c r="W367" s="1" t="str">
        <f>IFERROR(__xludf.DUMMYFUNCTION("""COMPUTED_VALUE"""),"")</f>
        <v/>
      </c>
      <c r="X367" s="1" t="str">
        <f>IFERROR(__xludf.DUMMYFUNCTION("""COMPUTED_VALUE"""),"$1 billion")</f>
        <v>$1 billion</v>
      </c>
      <c r="Y367" s="1" t="str">
        <f>IFERROR(__xludf.DUMMYFUNCTION("""COMPUTED_VALUE"""),"")</f>
        <v/>
      </c>
      <c r="Z367" s="1" t="str">
        <f>IFERROR(__xludf.DUMMYFUNCTION("""COMPUTED_VALUE"""),"Unknown")</f>
        <v>Unknown</v>
      </c>
      <c r="AA367" s="1" t="str">
        <f>IFERROR(__xludf.DUMMYFUNCTION("""COMPUTED_VALUE"""),"")</f>
        <v/>
      </c>
      <c r="AB367" s="1" t="str">
        <f>IFERROR(__xludf.DUMMYFUNCTION("""COMPUTED_VALUE"""),"")</f>
        <v/>
      </c>
      <c r="AC367" s="1" t="str">
        <f>IFERROR(__xludf.DUMMYFUNCTION("""COMPUTED_VALUE"""),"")</f>
        <v/>
      </c>
      <c r="AD367" s="1" t="str">
        <f>IFERROR(__xludf.DUMMYFUNCTION("""COMPUTED_VALUE"""),"")</f>
        <v/>
      </c>
      <c r="AE367" s="1" t="str">
        <f>IFERROR(__xludf.DUMMYFUNCTION("""COMPUTED_VALUE"""),"")</f>
        <v/>
      </c>
      <c r="AF367" s="1" t="str">
        <f>IFERROR(__xludf.DUMMYFUNCTION("""COMPUTED_VALUE"""),"")</f>
        <v/>
      </c>
      <c r="AG367" s="1" t="str">
        <f>IFERROR(__xludf.DUMMYFUNCTION("""COMPUTED_VALUE"""),"")</f>
        <v/>
      </c>
      <c r="AH367" s="1" t="str">
        <f>IFERROR(__xludf.DUMMYFUNCTION("""COMPUTED_VALUE"""),"Media Monitoring")</f>
        <v>Media Monitoring</v>
      </c>
      <c r="AI367" s="2" t="str">
        <f>IFERROR(__xludf.DUMMYFUNCTION("""COMPUTED_VALUE"""),"https://dailyjournal.net/2025/06/26/iedc-board-approves-incentives-for-four-planned-data-center-projects/")</f>
        <v>https://dailyjournal.net/2025/06/26/iedc-board-approves-incentives-for-four-planned-data-center-projects/</v>
      </c>
      <c r="AJ367" s="1" t="str">
        <f>IFERROR(__xludf.DUMMYFUNCTION("""COMPUTED_VALUE"""),"")</f>
        <v/>
      </c>
      <c r="AK367" s="1" t="str">
        <f>IFERROR(__xludf.DUMMYFUNCTION("""COMPUTED_VALUE"""),"")</f>
        <v/>
      </c>
      <c r="AL367" s="1" t="str">
        <f>IFERROR(__xludf.DUMMYFUNCTION("""COMPUTED_VALUE"""),"")</f>
        <v/>
      </c>
      <c r="AM367" s="1" t="str">
        <f>IFERROR(__xludf.DUMMYFUNCTION("""COMPUTED_VALUE"""),"")</f>
        <v/>
      </c>
      <c r="AN367" s="1" t="str">
        <f>IFERROR(__xludf.DUMMYFUNCTION("""COMPUTED_VALUE"""),"")</f>
        <v/>
      </c>
      <c r="AO367" s="1" t="str">
        <f>IFERROR(__xludf.DUMMYFUNCTION("""COMPUTED_VALUE"""),"")</f>
        <v/>
      </c>
      <c r="AP367" s="1" t="str">
        <f>IFERROR(__xludf.DUMMYFUNCTION("""COMPUTED_VALUE"""),"")</f>
        <v/>
      </c>
      <c r="AQ367" s="1" t="str">
        <f>IFERROR(__xludf.DUMMYFUNCTION("""COMPUTED_VALUE"""),"06/28/2025")</f>
        <v>06/28/2025</v>
      </c>
      <c r="AR367" s="1" t="str">
        <f>IFERROR(__xludf.DUMMYFUNCTION("""COMPUTED_VALUE"""),"06/28/2025")</f>
        <v>06/28/2025</v>
      </c>
    </row>
    <row r="368">
      <c r="A368" s="1" t="str">
        <f>IFERROR(__xludf.DUMMYFUNCTION("""COMPUTED_VALUE"""),"Sentinel Data Center: Project Shirley")</f>
        <v>Sentinel Data Center: Project Shirley</v>
      </c>
      <c r="B368" s="1" t="str">
        <f>IFERROR(__xludf.DUMMYFUNCTION("""COMPUTED_VALUE"""),"Clay St and Hwy 2")</f>
        <v>Clay St and Hwy 2</v>
      </c>
      <c r="C368" s="1" t="str">
        <f>IFERROR(__xludf.DUMMYFUNCTION("""COMPUTED_VALUE"""),"Hebron")</f>
        <v>Hebron</v>
      </c>
      <c r="D368" s="1" t="str">
        <f>IFERROR(__xludf.DUMMYFUNCTION("""COMPUTED_VALUE"""),"IN")</f>
        <v>IN</v>
      </c>
      <c r="E368" s="1" t="str">
        <f>IFERROR(__xludf.DUMMYFUNCTION("""COMPUTED_VALUE"""),"46341")</f>
        <v>46341</v>
      </c>
      <c r="F368" s="1" t="str">
        <f>IFERROR(__xludf.DUMMYFUNCTION("""COMPUTED_VALUE"""),"Lake")</f>
        <v>Lake</v>
      </c>
      <c r="G368" s="1" t="str">
        <f>IFERROR(__xludf.DUMMYFUNCTION("""COMPUTED_VALUE"""),"41.28743")</f>
        <v>41.28743</v>
      </c>
      <c r="H368" s="1" t="str">
        <f>IFERROR(__xludf.DUMMYFUNCTION("""COMPUTED_VALUE"""),"-87.2737")</f>
        <v>-87.2737</v>
      </c>
      <c r="I368" s="1" t="str">
        <f>IFERROR(__xludf.DUMMYFUNCTION("""COMPUTED_VALUE"""),"Proposed")</f>
        <v>Proposed</v>
      </c>
      <c r="J368" s="1" t="str">
        <f>IFERROR(__xludf.DUMMYFUNCTION("""COMPUTED_VALUE"""),"High")</f>
        <v>High</v>
      </c>
      <c r="K368" s="1" t="str">
        <f>IFERROR(__xludf.DUMMYFUNCTION("""COMPUTED_VALUE"""),"")</f>
        <v/>
      </c>
      <c r="L368" s="1" t="str">
        <f>IFERROR(__xludf.DUMMYFUNCTION("""COMPUTED_VALUE"""),"Sentinel ")</f>
        <v>Sentinel </v>
      </c>
      <c r="M368" s="1" t="str">
        <f>IFERROR(__xludf.DUMMYFUNCTION("""COMPUTED_VALUE"""),"")</f>
        <v/>
      </c>
      <c r="N368" s="1" t="str">
        <f>IFERROR(__xludf.DUMMYFUNCTION("""COMPUTED_VALUE"""),"500")</f>
        <v>500</v>
      </c>
      <c r="O368" s="1" t="str">
        <f>IFERROR(__xludf.DUMMYFUNCTION("""COMPUTED_VALUE"""),"Hyperscale (100-999 MW)")</f>
        <v>Hyperscale (100-999 MW)</v>
      </c>
      <c r="P368" s="1" t="str">
        <f>IFERROR(__xludf.DUMMYFUNCTION("""COMPUTED_VALUE"""),"")</f>
        <v/>
      </c>
      <c r="Q368" s="1" t="str">
        <f>IFERROR(__xludf.DUMMYFUNCTION("""COMPUTED_VALUE"""),"")</f>
        <v/>
      </c>
      <c r="R368" s="1" t="str">
        <f>IFERROR(__xludf.DUMMYFUNCTION("""COMPUTED_VALUE"""),"")</f>
        <v/>
      </c>
      <c r="S368" s="1" t="str">
        <f>IFERROR(__xludf.DUMMYFUNCTION("""COMPUTED_VALUE"""),"")</f>
        <v/>
      </c>
      <c r="T368" s="1" t="str">
        <f>IFERROR(__xludf.DUMMYFUNCTION("""COMPUTED_VALUE"""),"")</f>
        <v/>
      </c>
      <c r="U368" s="1" t="str">
        <f>IFERROR(__xludf.DUMMYFUNCTION("""COMPUTED_VALUE"""),"")</f>
        <v/>
      </c>
      <c r="V368" s="1" t="str">
        <f>IFERROR(__xludf.DUMMYFUNCTION("""COMPUTED_VALUE"""),"")</f>
        <v/>
      </c>
      <c r="W368" s="1" t="str">
        <f>IFERROR(__xludf.DUMMYFUNCTION("""COMPUTED_VALUE"""),"160")</f>
        <v>160</v>
      </c>
      <c r="X368" s="1" t="str">
        <f>IFERROR(__xludf.DUMMYFUNCTION("""COMPUTED_VALUE"""),"$5 billion")</f>
        <v>$5 billion</v>
      </c>
      <c r="Y368" s="1" t="str">
        <f>IFERROR(__xludf.DUMMYFUNCTION("""COMPUTED_VALUE"""),"")</f>
        <v/>
      </c>
      <c r="Z368" s="1" t="str">
        <f>IFERROR(__xludf.DUMMYFUNCTION("""COMPUTED_VALUE"""),"Yes")</f>
        <v>Yes</v>
      </c>
      <c r="AA368" s="1" t="str">
        <f>IFERROR(__xludf.DUMMYFUNCTION("""COMPUTED_VALUE"""),"")</f>
        <v/>
      </c>
      <c r="AB368" s="1" t="str">
        <f>IFERROR(__xludf.DUMMYFUNCTION("""COMPUTED_VALUE"""),"Emerging Concern")</f>
        <v>Emerging Concern</v>
      </c>
      <c r="AC368" s="1" t="str">
        <f>IFERROR(__xludf.DUMMYFUNCTION("""COMPUTED_VALUE"""),"")</f>
        <v/>
      </c>
      <c r="AD368" s="1" t="str">
        <f>IFERROR(__xludf.DUMMYFUNCTION("""COMPUTED_VALUE"""),"")</f>
        <v/>
      </c>
      <c r="AE368" s="1" t="str">
        <f>IFERROR(__xludf.DUMMYFUNCTION("""COMPUTED_VALUE"""),"")</f>
        <v/>
      </c>
      <c r="AF368" s="1" t="str">
        <f>IFERROR(__xludf.DUMMYFUNCTION("""COMPUTED_VALUE"""),"")</f>
        <v/>
      </c>
      <c r="AG368" s="1" t="str">
        <f>IFERROR(__xludf.DUMMYFUNCTION("""COMPUTED_VALUE"""),"")</f>
        <v/>
      </c>
      <c r="AH368" s="1" t="str">
        <f>IFERROR(__xludf.DUMMYFUNCTION("""COMPUTED_VALUE"""),"Crowdsourced")</f>
        <v>Crowdsourced</v>
      </c>
      <c r="AI368" s="2" t="str">
        <f>IFERROR(__xludf.DUMMYFUNCTION("""COMPUTED_VALUE"""),"https://web.archive.org/web/20260419222133/https://www.chicagotribune.com/2026/04/17/developers-answer-questions-about-potential-lowell-area-data-center/")</f>
        <v>https://web.archive.org/web/20260419222133/https://www.chicagotribune.com/2026/04/17/developers-answer-questions-about-potential-lowell-area-data-center/</v>
      </c>
      <c r="AJ368" s="2" t="str">
        <f>IFERROR(__xludf.DUMMYFUNCTION("""COMPUTED_VALUE"""),"https://www.latitudemedia.com/news/in-indiana-an-anatomy-of-data-center-opposition/")</f>
        <v>https://www.latitudemedia.com/news/in-indiana-an-anatomy-of-data-center-opposition/</v>
      </c>
      <c r="AK368" s="2" t="str">
        <f>IFERROR(__xludf.DUMMYFUNCTION("""COMPUTED_VALUE"""),"https://projectshirleylakecounty.com/")</f>
        <v>https://projectshirleylakecounty.com/</v>
      </c>
      <c r="AL368" s="1" t="str">
        <f>IFERROR(__xludf.DUMMYFUNCTION("""COMPUTED_VALUE"""),"")</f>
        <v/>
      </c>
      <c r="AM368" s="1" t="str">
        <f>IFERROR(__xludf.DUMMYFUNCTION("""COMPUTED_VALUE"""),"")</f>
        <v/>
      </c>
      <c r="AN368" s="1" t="str">
        <f>IFERROR(__xludf.DUMMYFUNCTION("""COMPUTED_VALUE"""),"")</f>
        <v/>
      </c>
      <c r="AO368" s="1" t="str">
        <f>IFERROR(__xludf.DUMMYFUNCTION("""COMPUTED_VALUE"""),"")</f>
        <v/>
      </c>
      <c r="AP368" s="1" t="str">
        <f>IFERROR(__xludf.DUMMYFUNCTION("""COMPUTED_VALUE"""),"")</f>
        <v/>
      </c>
      <c r="AQ368" s="1" t="str">
        <f>IFERROR(__xludf.DUMMYFUNCTION("""COMPUTED_VALUE"""),"05/12/2026")</f>
        <v>05/12/2026</v>
      </c>
      <c r="AR368" s="1" t="str">
        <f>IFERROR(__xludf.DUMMYFUNCTION("""COMPUTED_VALUE"""),"05/12/2026")</f>
        <v>05/12/2026</v>
      </c>
    </row>
    <row r="369">
      <c r="A369" s="1" t="str">
        <f>IFERROR(__xludf.DUMMYFUNCTION("""COMPUTED_VALUE"""),"Hobart Data Center")</f>
        <v>Hobart Data Center</v>
      </c>
      <c r="B369" s="1" t="str">
        <f>IFERROR(__xludf.DUMMYFUNCTION("""COMPUTED_VALUE"""),"E 61st Ave and Colorado St")</f>
        <v>E 61st Ave and Colorado St</v>
      </c>
      <c r="C369" s="1" t="str">
        <f>IFERROR(__xludf.DUMMYFUNCTION("""COMPUTED_VALUE"""),"Hobart")</f>
        <v>Hobart</v>
      </c>
      <c r="D369" s="1" t="str">
        <f>IFERROR(__xludf.DUMMYFUNCTION("""COMPUTED_VALUE"""),"IN")</f>
        <v>IN</v>
      </c>
      <c r="E369" s="1" t="str">
        <f>IFERROR(__xludf.DUMMYFUNCTION("""COMPUTED_VALUE"""),"46342")</f>
        <v>46342</v>
      </c>
      <c r="F369" s="1" t="str">
        <f>IFERROR(__xludf.DUMMYFUNCTION("""COMPUTED_VALUE"""),"Lake")</f>
        <v>Lake</v>
      </c>
      <c r="G369" s="1" t="str">
        <f>IFERROR(__xludf.DUMMYFUNCTION("""COMPUTED_VALUE"""),"41.50489")</f>
        <v>41.50489</v>
      </c>
      <c r="H369" s="1" t="str">
        <f>IFERROR(__xludf.DUMMYFUNCTION("""COMPUTED_VALUE"""),"-87.28408")</f>
        <v>-87.28408</v>
      </c>
      <c r="I369" s="1" t="str">
        <f>IFERROR(__xludf.DUMMYFUNCTION("""COMPUTED_VALUE"""),"Approved/Permitted/Under construction")</f>
        <v>Approved/Permitted/Under construction</v>
      </c>
      <c r="J369" s="1" t="str">
        <f>IFERROR(__xludf.DUMMYFUNCTION("""COMPUTED_VALUE"""),"High")</f>
        <v>High</v>
      </c>
      <c r="K369" s="1" t="str">
        <f>IFERROR(__xludf.DUMMYFUNCTION("""COMPUTED_VALUE"""),"")</f>
        <v/>
      </c>
      <c r="L369" s="1" t="str">
        <f>IFERROR(__xludf.DUMMYFUNCTION("""COMPUTED_VALUE"""),"Amazon")</f>
        <v>Amazon</v>
      </c>
      <c r="M369" s="1" t="str">
        <f>IFERROR(__xludf.DUMMYFUNCTION("""COMPUTED_VALUE"""),"")</f>
        <v/>
      </c>
      <c r="N369" s="1" t="str">
        <f>IFERROR(__xludf.DUMMYFUNCTION("""COMPUTED_VALUE"""),"2400")</f>
        <v>2400</v>
      </c>
      <c r="O369" s="1" t="str">
        <f>IFERROR(__xludf.DUMMYFUNCTION("""COMPUTED_VALUE"""),"Mega campus (&gt;1,000 MW)")</f>
        <v>Mega campus (&gt;1,000 MW)</v>
      </c>
      <c r="P369" s="1" t="str">
        <f>IFERROR(__xludf.DUMMYFUNCTION("""COMPUTED_VALUE"""),"")</f>
        <v/>
      </c>
      <c r="Q369" s="1" t="str">
        <f>IFERROR(__xludf.DUMMYFUNCTION("""COMPUTED_VALUE"""),"")</f>
        <v/>
      </c>
      <c r="R369" s="1" t="str">
        <f>IFERROR(__xludf.DUMMYFUNCTION("""COMPUTED_VALUE"""),"")</f>
        <v/>
      </c>
      <c r="S369" s="1" t="str">
        <f>IFERROR(__xludf.DUMMYFUNCTION("""COMPUTED_VALUE"""),"6")</f>
        <v>6</v>
      </c>
      <c r="T369" s="1" t="str">
        <f>IFERROR(__xludf.DUMMYFUNCTION("""COMPUTED_VALUE"""),"")</f>
        <v/>
      </c>
      <c r="U369" s="1" t="str">
        <f>IFERROR(__xludf.DUMMYFUNCTION("""COMPUTED_VALUE"""),"")</f>
        <v/>
      </c>
      <c r="V369" s="1" t="str">
        <f>IFERROR(__xludf.DUMMYFUNCTION("""COMPUTED_VALUE"""),"")</f>
        <v/>
      </c>
      <c r="W369" s="1" t="str">
        <f>IFERROR(__xludf.DUMMYFUNCTION("""COMPUTED_VALUE"""),"900")</f>
        <v>900</v>
      </c>
      <c r="X369" s="1" t="str">
        <f>IFERROR(__xludf.DUMMYFUNCTION("""COMPUTED_VALUE"""),"$15 billion")</f>
        <v>$15 billion</v>
      </c>
      <c r="Y369" s="1" t="str">
        <f>IFERROR(__xludf.DUMMYFUNCTION("""COMPUTED_VALUE"""),"")</f>
        <v/>
      </c>
      <c r="Z369" s="1" t="str">
        <f>IFERROR(__xludf.DUMMYFUNCTION("""COMPUTED_VALUE"""),"Yes")</f>
        <v>Yes</v>
      </c>
      <c r="AA369" s="1" t="str">
        <f>IFERROR(__xludf.DUMMYFUNCTION("""COMPUTED_VALUE"""),"")</f>
        <v/>
      </c>
      <c r="AB369" s="1" t="str">
        <f>IFERROR(__xludf.DUMMYFUNCTION("""COMPUTED_VALUE"""),"")</f>
        <v/>
      </c>
      <c r="AC369" s="1" t="str">
        <f>IFERROR(__xludf.DUMMYFUNCTION("""COMPUTED_VALUE"""),"")</f>
        <v/>
      </c>
      <c r="AD369" s="2" t="str">
        <f>IFERROR(__xludf.DUMMYFUNCTION("""COMPUTED_VALUE"""),"https://www.facebook.com/groups/2637079693295650")</f>
        <v>https://www.facebook.com/groups/2637079693295650</v>
      </c>
      <c r="AE369" s="2" t="str">
        <f>IFERROR(__xludf.DUMMYFUNCTION("""COMPUTED_VALUE"""),"https://www.gofundme.com/f/defend-hobarts-future-no-data-centers")</f>
        <v>https://www.gofundme.com/f/defend-hobarts-future-no-data-centers</v>
      </c>
      <c r="AF369" s="2" t="str">
        <f>IFERROR(__xludf.DUMMYFUNCTION("""COMPUTED_VALUE"""),"https://www.change.org/p/protect-hobart-from-unwanted-rezoning-for-data-center")</f>
        <v>https://www.change.org/p/protect-hobart-from-unwanted-rezoning-for-data-center</v>
      </c>
      <c r="AG369" s="1" t="str">
        <f>IFERROR(__xludf.DUMMYFUNCTION("""COMPUTED_VALUE"""),"If not approved, would revert to residential zoning")</f>
        <v>If not approved, would revert to residential zoning</v>
      </c>
      <c r="AH369" s="1" t="str">
        <f>IFERROR(__xludf.DUMMYFUNCTION("""COMPUTED_VALUE"""),"Media Monitoring")</f>
        <v>Media Monitoring</v>
      </c>
      <c r="AI369" s="2" t="str">
        <f>IFERROR(__xludf.DUMMYFUNCTION("""COMPUTED_VALUE"""),"https://www.datacenterdynamics.com/en/news/data-center-in-hobart-indiana-gets-green-light-for-rezoning/")</f>
        <v>https://www.datacenterdynamics.com/en/news/data-center-in-hobart-indiana-gets-green-light-for-rezoning/</v>
      </c>
      <c r="AJ369" s="2" t="str">
        <f>IFERROR(__xludf.DUMMYFUNCTION("""COMPUTED_VALUE"""),"https://www.datacenterdynamics.com/en/news/aws-data-center-coming-to-hobart-indiana/")</f>
        <v>https://www.datacenterdynamics.com/en/news/aws-data-center-coming-to-hobart-indiana/</v>
      </c>
      <c r="AK369" s="2" t="str">
        <f>IFERROR(__xludf.DUMMYFUNCTION("""COMPUTED_VALUE"""),"https://www.inkfreenews.com/2025/11/28/amazon-plans-15b-data-center-investment-in-hobart-northern-indiana/")</f>
        <v>https://www.inkfreenews.com/2025/11/28/amazon-plans-15b-data-center-investment-in-hobart-northern-indiana/</v>
      </c>
      <c r="AL369" s="2" t="str">
        <f>IFERROR(__xludf.DUMMYFUNCTION("""COMPUTED_VALUE"""),"https://bloximages.chicago2.vip.townnews.com/nwitimes.com/content/tncms/assets/v3/editorial/8/de/8dee9730-d423-11ef-849c-47d4ba7a57ea/67892ef12e340.image.png")</f>
        <v>https://bloximages.chicago2.vip.townnews.com/nwitimes.com/content/tncms/assets/v3/editorial/8/de/8dee9730-d423-11ef-849c-47d4ba7a57ea/67892ef12e340.image.png</v>
      </c>
      <c r="AM369" s="1" t="str">
        <f>IFERROR(__xludf.DUMMYFUNCTION("""COMPUTED_VALUE"""),"")</f>
        <v/>
      </c>
      <c r="AN369" s="1" t="str">
        <f>IFERROR(__xludf.DUMMYFUNCTION("""COMPUTED_VALUE"""),"")</f>
        <v/>
      </c>
      <c r="AO369" s="1" t="str">
        <f>IFERROR(__xludf.DUMMYFUNCTION("""COMPUTED_VALUE"""),"")</f>
        <v/>
      </c>
      <c r="AP369" s="1" t="str">
        <f>IFERROR(__xludf.DUMMYFUNCTION("""COMPUTED_VALUE"""),"")</f>
        <v/>
      </c>
      <c r="AQ369" s="1" t="str">
        <f>IFERROR(__xludf.DUMMYFUNCTION("""COMPUTED_VALUE"""),"05/26/2025")</f>
        <v>05/26/2025</v>
      </c>
      <c r="AR369" s="1" t="str">
        <f>IFERROR(__xludf.DUMMYFUNCTION("""COMPUTED_VALUE"""),"03/24/2026")</f>
        <v>03/24/2026</v>
      </c>
    </row>
    <row r="370">
      <c r="A370" s="1" t="str">
        <f>IFERROR(__xludf.DUMMYFUNCTION("""COMPUTED_VALUE"""),"American Tower/ ATC Watertown LLC/ Edge Data Center")</f>
        <v>American Tower/ ATC Watertown LLC/ Edge Data Center</v>
      </c>
      <c r="B370" s="1" t="str">
        <f>IFERROR(__xludf.DUMMYFUNCTION("""COMPUTED_VALUE"""),"7701 Walnut Dr")</f>
        <v>7701 Walnut Dr</v>
      </c>
      <c r="C370" s="1" t="str">
        <f>IFERROR(__xludf.DUMMYFUNCTION("""COMPUTED_VALUE"""),"Indianapolis")</f>
        <v>Indianapolis</v>
      </c>
      <c r="D370" s="1" t="str">
        <f>IFERROR(__xludf.DUMMYFUNCTION("""COMPUTED_VALUE"""),"IN")</f>
        <v>IN</v>
      </c>
      <c r="E370" s="1" t="str">
        <f>IFERROR(__xludf.DUMMYFUNCTION("""COMPUTED_VALUE"""),"46268")</f>
        <v>46268</v>
      </c>
      <c r="F370" s="1" t="str">
        <f>IFERROR(__xludf.DUMMYFUNCTION("""COMPUTED_VALUE"""),"Marion")</f>
        <v>Marion</v>
      </c>
      <c r="G370" s="1" t="str">
        <f>IFERROR(__xludf.DUMMYFUNCTION("""COMPUTED_VALUE"""),"39.894096")</f>
        <v>39.894096</v>
      </c>
      <c r="H370" s="1" t="str">
        <f>IFERROR(__xludf.DUMMYFUNCTION("""COMPUTED_VALUE"""),"-86.20275")</f>
        <v>-86.20275</v>
      </c>
      <c r="I370" s="1" t="str">
        <f>IFERROR(__xludf.DUMMYFUNCTION("""COMPUTED_VALUE"""),"Suspended")</f>
        <v>Suspended</v>
      </c>
      <c r="J370" s="1" t="str">
        <f>IFERROR(__xludf.DUMMYFUNCTION("""COMPUTED_VALUE"""),"High")</f>
        <v>High</v>
      </c>
      <c r="K370" s="1" t="str">
        <f>IFERROR(__xludf.DUMMYFUNCTION("""COMPUTED_VALUE"""),"")</f>
        <v/>
      </c>
      <c r="L370" s="1" t="str">
        <f>IFERROR(__xludf.DUMMYFUNCTION("""COMPUTED_VALUE"""),"")</f>
        <v/>
      </c>
      <c r="M370" s="1" t="str">
        <f>IFERROR(__xludf.DUMMYFUNCTION("""COMPUTED_VALUE"""),"")</f>
        <v/>
      </c>
      <c r="N370" s="1" t="str">
        <f>IFERROR(__xludf.DUMMYFUNCTION("""COMPUTED_VALUE"""),"4")</f>
        <v>4</v>
      </c>
      <c r="O370" s="1" t="str">
        <f>IFERROR(__xludf.DUMMYFUNCTION("""COMPUTED_VALUE"""),"Small (0-10 MW)")</f>
        <v>Small (0-10 MW)</v>
      </c>
      <c r="P370" s="1" t="str">
        <f>IFERROR(__xludf.DUMMYFUNCTION("""COMPUTED_VALUE"""),"")</f>
        <v/>
      </c>
      <c r="Q370" s="1" t="str">
        <f>IFERROR(__xludf.DUMMYFUNCTION("""COMPUTED_VALUE"""),"")</f>
        <v/>
      </c>
      <c r="R370" s="1" t="str">
        <f>IFERROR(__xludf.DUMMYFUNCTION("""COMPUTED_VALUE"""),"")</f>
        <v/>
      </c>
      <c r="S370" s="1" t="str">
        <f>IFERROR(__xludf.DUMMYFUNCTION("""COMPUTED_VALUE"""),"")</f>
        <v/>
      </c>
      <c r="T370" s="1" t="str">
        <f>IFERROR(__xludf.DUMMYFUNCTION("""COMPUTED_VALUE"""),"")</f>
        <v/>
      </c>
      <c r="U370" s="1" t="str">
        <f>IFERROR(__xludf.DUMMYFUNCTION("""COMPUTED_VALUE"""),"Closed loop")</f>
        <v>Closed loop</v>
      </c>
      <c r="V370" s="1" t="str">
        <f>IFERROR(__xludf.DUMMYFUNCTION("""COMPUTED_VALUE"""),"20,000")</f>
        <v>20,000</v>
      </c>
      <c r="W370" s="1" t="str">
        <f>IFERROR(__xludf.DUMMYFUNCTION("""COMPUTED_VALUE"""),"7")</f>
        <v>7</v>
      </c>
      <c r="X370" s="1" t="str">
        <f>IFERROR(__xludf.DUMMYFUNCTION("""COMPUTED_VALUE"""),"")</f>
        <v/>
      </c>
      <c r="Y370" s="1" t="str">
        <f>IFERROR(__xludf.DUMMYFUNCTION("""COMPUTED_VALUE"""),"")</f>
        <v/>
      </c>
      <c r="Z370" s="1" t="str">
        <f>IFERROR(__xludf.DUMMYFUNCTION("""COMPUTED_VALUE"""),"Yes")</f>
        <v>Yes</v>
      </c>
      <c r="AA370" s="1" t="str">
        <f>IFERROR(__xludf.DUMMYFUNCTION("""COMPUTED_VALUE"""),"")</f>
        <v/>
      </c>
      <c r="AB370" s="1" t="str">
        <f>IFERROR(__xludf.DUMMYFUNCTION("""COMPUTED_VALUE"""),"")</f>
        <v/>
      </c>
      <c r="AC370" s="1" t="str">
        <f>IFERROR(__xludf.DUMMYFUNCTION("""COMPUTED_VALUE"""),"")</f>
        <v/>
      </c>
      <c r="AD370" s="2" t="str">
        <f>IFERROR(__xludf.DUMMYFUNCTION("""COMPUTED_VALUE"""),"https://www.facebook.com/profile.php?id=61583877714923")</f>
        <v>https://www.facebook.com/profile.php?id=61583877714923</v>
      </c>
      <c r="AE370" s="1" t="str">
        <f>IFERROR(__xludf.DUMMYFUNCTION("""COMPUTED_VALUE"""),"")</f>
        <v/>
      </c>
      <c r="AF370" s="1" t="str">
        <f>IFERROR(__xludf.DUMMYFUNCTION("""COMPUTED_VALUE"""),"")</f>
        <v/>
      </c>
      <c r="AG370" s="1" t="str">
        <f>IFERROR(__xludf.DUMMYFUNCTION("""COMPUTED_VALUE"""),"")</f>
        <v/>
      </c>
      <c r="AH370" s="1" t="str">
        <f>IFERROR(__xludf.DUMMYFUNCTION("""COMPUTED_VALUE"""),"Media Monitoring")</f>
        <v>Media Monitoring</v>
      </c>
      <c r="AI370" s="2" t="str">
        <f>IFERROR(__xludf.DUMMYFUNCTION("""COMPUTED_VALUE"""),"https://www.datacenterdynamics.com/en/news/american-tower-pauses-plans-for-edge-data-center-in-indianapolis-indiana/")</f>
        <v>https://www.datacenterdynamics.com/en/news/american-tower-pauses-plans-for-edge-data-center-in-indianapolis-indiana/</v>
      </c>
      <c r="AJ370" s="1" t="str">
        <f>IFERROR(__xludf.DUMMYFUNCTION("""COMPUTED_VALUE"""),"")</f>
        <v/>
      </c>
      <c r="AK370" s="1" t="str">
        <f>IFERROR(__xludf.DUMMYFUNCTION("""COMPUTED_VALUE"""),"")</f>
        <v/>
      </c>
      <c r="AL370" s="1" t="str">
        <f>IFERROR(__xludf.DUMMYFUNCTION("""COMPUTED_VALUE"""),"")</f>
        <v/>
      </c>
      <c r="AM370" s="1" t="str">
        <f>IFERROR(__xludf.DUMMYFUNCTION("""COMPUTED_VALUE"""),"")</f>
        <v/>
      </c>
      <c r="AN370" s="1" t="str">
        <f>IFERROR(__xludf.DUMMYFUNCTION("""COMPUTED_VALUE"""),"")</f>
        <v/>
      </c>
      <c r="AO370" s="1" t="str">
        <f>IFERROR(__xludf.DUMMYFUNCTION("""COMPUTED_VALUE"""),"")</f>
        <v/>
      </c>
      <c r="AP370" s="1" t="str">
        <f>IFERROR(__xludf.DUMMYFUNCTION("""COMPUTED_VALUE"""),"")</f>
        <v/>
      </c>
      <c r="AQ370" s="1" t="str">
        <f>IFERROR(__xludf.DUMMYFUNCTION("""COMPUTED_VALUE"""),"02/15/2026")</f>
        <v>02/15/2026</v>
      </c>
      <c r="AR370" s="1" t="str">
        <f>IFERROR(__xludf.DUMMYFUNCTION("""COMPUTED_VALUE"""),"02/15/2026")</f>
        <v>02/15/2026</v>
      </c>
    </row>
    <row r="371">
      <c r="A371" s="1" t="str">
        <f>IFERROR(__xludf.DUMMYFUNCTION("""COMPUTED_VALUE"""),"Brightwood Data Center")</f>
        <v>Brightwood Data Center</v>
      </c>
      <c r="B371" s="1" t="str">
        <f>IFERROR(__xludf.DUMMYFUNCTION("""COMPUTED_VALUE"""),"2505 N Sherman Dr")</f>
        <v>2505 N Sherman Dr</v>
      </c>
      <c r="C371" s="1" t="str">
        <f>IFERROR(__xludf.DUMMYFUNCTION("""COMPUTED_VALUE"""),"Indianapolis")</f>
        <v>Indianapolis</v>
      </c>
      <c r="D371" s="1" t="str">
        <f>IFERROR(__xludf.DUMMYFUNCTION("""COMPUTED_VALUE"""),"IN")</f>
        <v>IN</v>
      </c>
      <c r="E371" s="1" t="str">
        <f>IFERROR(__xludf.DUMMYFUNCTION("""COMPUTED_VALUE"""),"46218")</f>
        <v>46218</v>
      </c>
      <c r="F371" s="1" t="str">
        <f>IFERROR(__xludf.DUMMYFUNCTION("""COMPUTED_VALUE"""),"Marion")</f>
        <v>Marion</v>
      </c>
      <c r="G371" s="1" t="str">
        <f>IFERROR(__xludf.DUMMYFUNCTION("""COMPUTED_VALUE"""),"39.80434")</f>
        <v>39.80434</v>
      </c>
      <c r="H371" s="1" t="str">
        <f>IFERROR(__xludf.DUMMYFUNCTION("""COMPUTED_VALUE"""),"-86.1023")</f>
        <v>-86.1023</v>
      </c>
      <c r="I371" s="1" t="str">
        <f>IFERROR(__xludf.DUMMYFUNCTION("""COMPUTED_VALUE"""),"Approved/Permitted/Under construction")</f>
        <v>Approved/Permitted/Under construction</v>
      </c>
      <c r="J371" s="1" t="str">
        <f>IFERROR(__xludf.DUMMYFUNCTION("""COMPUTED_VALUE"""),"High")</f>
        <v>High</v>
      </c>
      <c r="K371" s="1" t="str">
        <f>IFERROR(__xludf.DUMMYFUNCTION("""COMPUTED_VALUE"""),"")</f>
        <v/>
      </c>
      <c r="L371" s="1" t="str">
        <f>IFERROR(__xludf.DUMMYFUNCTION("""COMPUTED_VALUE"""),"Metrobloks")</f>
        <v>Metrobloks</v>
      </c>
      <c r="M371" s="1" t="str">
        <f>IFERROR(__xludf.DUMMYFUNCTION("""COMPUTED_VALUE"""),"")</f>
        <v/>
      </c>
      <c r="N371" s="1" t="str">
        <f>IFERROR(__xludf.DUMMYFUNCTION("""COMPUTED_VALUE"""),"")</f>
        <v/>
      </c>
      <c r="O371" s="1" t="str">
        <f>IFERROR(__xludf.DUMMYFUNCTION("""COMPUTED_VALUE"""),"Unknown")</f>
        <v>Unknown</v>
      </c>
      <c r="P371" s="1" t="str">
        <f>IFERROR(__xludf.DUMMYFUNCTION("""COMPUTED_VALUE"""),"")</f>
        <v/>
      </c>
      <c r="Q371" s="1" t="str">
        <f>IFERROR(__xludf.DUMMYFUNCTION("""COMPUTED_VALUE"""),"")</f>
        <v/>
      </c>
      <c r="R371" s="1" t="str">
        <f>IFERROR(__xludf.DUMMYFUNCTION("""COMPUTED_VALUE"""),"")</f>
        <v/>
      </c>
      <c r="S371" s="1" t="str">
        <f>IFERROR(__xludf.DUMMYFUNCTION("""COMPUTED_VALUE"""),"")</f>
        <v/>
      </c>
      <c r="T371" s="1" t="str">
        <f>IFERROR(__xludf.DUMMYFUNCTION("""COMPUTED_VALUE"""),"")</f>
        <v/>
      </c>
      <c r="U371" s="1" t="str">
        <f>IFERROR(__xludf.DUMMYFUNCTION("""COMPUTED_VALUE"""),"Closed loop")</f>
        <v>Closed loop</v>
      </c>
      <c r="V371" s="1" t="str">
        <f>IFERROR(__xludf.DUMMYFUNCTION("""COMPUTED_VALUE"""),"")</f>
        <v/>
      </c>
      <c r="W371" s="1" t="str">
        <f>IFERROR(__xludf.DUMMYFUNCTION("""COMPUTED_VALUE"""),"14")</f>
        <v>14</v>
      </c>
      <c r="X371" s="1" t="str">
        <f>IFERROR(__xludf.DUMMYFUNCTION("""COMPUTED_VALUE"""),"")</f>
        <v/>
      </c>
      <c r="Y371" s="1" t="str">
        <f>IFERROR(__xludf.DUMMYFUNCTION("""COMPUTED_VALUE"""),"")</f>
        <v/>
      </c>
      <c r="Z371" s="1" t="str">
        <f>IFERROR(__xludf.DUMMYFUNCTION("""COMPUTED_VALUE"""),"Yes")</f>
        <v>Yes</v>
      </c>
      <c r="AA371" s="1" t="str">
        <f>IFERROR(__xludf.DUMMYFUNCTION("""COMPUTED_VALUE"""),"")</f>
        <v/>
      </c>
      <c r="AB371" s="1" t="str">
        <f>IFERROR(__xludf.DUMMYFUNCTION("""COMPUTED_VALUE"""),"")</f>
        <v/>
      </c>
      <c r="AC371" s="1" t="str">
        <f>IFERROR(__xludf.DUMMYFUNCTION("""COMPUTED_VALUE"""),"")</f>
        <v/>
      </c>
      <c r="AD371" s="2" t="str">
        <f>IFERROR(__xludf.DUMMYFUNCTION("""COMPUTED_VALUE"""),"https://www.onevoicemb.org/")</f>
        <v>https://www.onevoicemb.org/</v>
      </c>
      <c r="AE371" s="1" t="str">
        <f>IFERROR(__xludf.DUMMYFUNCTION("""COMPUTED_VALUE"""),"")</f>
        <v/>
      </c>
      <c r="AF371" s="1" t="str">
        <f>IFERROR(__xludf.DUMMYFUNCTION("""COMPUTED_VALUE"""),"")</f>
        <v/>
      </c>
      <c r="AG371" s="1" t="str">
        <f>IFERROR(__xludf.DUMMYFUNCTION("""COMPUTED_VALUE"""),"Re-zoning petition filed by developer 10/19/25")</f>
        <v>Re-zoning petition filed by developer 10/19/25</v>
      </c>
      <c r="AH371" s="1" t="str">
        <f>IFERROR(__xludf.DUMMYFUNCTION("""COMPUTED_VALUE"""),"Media Monitoring")</f>
        <v>Media Monitoring</v>
      </c>
      <c r="AI371" s="2" t="str">
        <f>IFERROR(__xludf.DUMMYFUNCTION("""COMPUTED_VALUE"""),"https://www.wthr.com/article/news/local/data-center-could-move-into-site-of-former-indy-drive-in/531-46d3f8ac-1c6d-4f7c-a6e1-04a2c704c33a")</f>
        <v>https://www.wthr.com/article/news/local/data-center-could-move-into-site-of-former-indy-drive-in/531-46d3f8ac-1c6d-4f7c-a6e1-04a2c704c33a</v>
      </c>
      <c r="AJ371" s="2" t="str">
        <f>IFERROR(__xludf.DUMMYFUNCTION("""COMPUTED_VALUE"""),"https://cinematreasures.org/theaters/34206")</f>
        <v>https://cinematreasures.org/theaters/34206</v>
      </c>
      <c r="AK371" s="2" t="str">
        <f>IFERROR(__xludf.DUMMYFUNCTION("""COMPUTED_VALUE"""),"https://mirrorindy.org/metrobloks-files-re-zoning-proposal-for-martindale-brightwood-data-center/")</f>
        <v>https://mirrorindy.org/metrobloks-files-re-zoning-proposal-for-martindale-brightwood-data-center/</v>
      </c>
      <c r="AL371" s="2" t="str">
        <f>IFERROR(__xludf.DUMMYFUNCTION("""COMPUTED_VALUE"""),"https://www.datacenterdynamics.com/en/news/500m-data-center-approved-for-construction-outside-indianapolis/")</f>
        <v>https://www.datacenterdynamics.com/en/news/500m-data-center-approved-for-construction-outside-indianapolis/</v>
      </c>
      <c r="AM371" s="1" t="str">
        <f>IFERROR(__xludf.DUMMYFUNCTION("""COMPUTED_VALUE"""),"")</f>
        <v/>
      </c>
      <c r="AN371" s="1" t="str">
        <f>IFERROR(__xludf.DUMMYFUNCTION("""COMPUTED_VALUE"""),"")</f>
        <v/>
      </c>
      <c r="AO371" s="1" t="str">
        <f>IFERROR(__xludf.DUMMYFUNCTION("""COMPUTED_VALUE"""),"")</f>
        <v/>
      </c>
      <c r="AP371" s="1" t="str">
        <f>IFERROR(__xludf.DUMMYFUNCTION("""COMPUTED_VALUE"""),"")</f>
        <v/>
      </c>
      <c r="AQ371" s="1" t="str">
        <f>IFERROR(__xludf.DUMMYFUNCTION("""COMPUTED_VALUE"""),"09/19/2025")</f>
        <v>09/19/2025</v>
      </c>
      <c r="AR371" s="1" t="str">
        <f>IFERROR(__xludf.DUMMYFUNCTION("""COMPUTED_VALUE"""),"04/09/2026")</f>
        <v>04/09/2026</v>
      </c>
    </row>
    <row r="372">
      <c r="A372" s="1" t="str">
        <f>IFERROR(__xludf.DUMMYFUNCTION("""COMPUTED_VALUE"""),"Lifeline Data Center")</f>
        <v>Lifeline Data Center</v>
      </c>
      <c r="B372" s="1" t="str">
        <f>IFERROR(__xludf.DUMMYFUNCTION("""COMPUTED_VALUE"""),"401 Shadeland Ave")</f>
        <v>401 Shadeland Ave</v>
      </c>
      <c r="C372" s="1" t="str">
        <f>IFERROR(__xludf.DUMMYFUNCTION("""COMPUTED_VALUE"""),"Indianapolis")</f>
        <v>Indianapolis</v>
      </c>
      <c r="D372" s="1" t="str">
        <f>IFERROR(__xludf.DUMMYFUNCTION("""COMPUTED_VALUE"""),"IN")</f>
        <v>IN</v>
      </c>
      <c r="E372" s="1" t="str">
        <f>IFERROR(__xludf.DUMMYFUNCTION("""COMPUTED_VALUE"""),"46219")</f>
        <v>46219</v>
      </c>
      <c r="F372" s="1" t="str">
        <f>IFERROR(__xludf.DUMMYFUNCTION("""COMPUTED_VALUE"""),"Marion")</f>
        <v>Marion</v>
      </c>
      <c r="G372" s="1" t="str">
        <f>IFERROR(__xludf.DUMMYFUNCTION("""COMPUTED_VALUE"""),"39.77702")</f>
        <v>39.77702</v>
      </c>
      <c r="H372" s="1" t="str">
        <f>IFERROR(__xludf.DUMMYFUNCTION("""COMPUTED_VALUE"""),"-86.0434")</f>
        <v>-86.0434</v>
      </c>
      <c r="I372" s="1" t="str">
        <f>IFERROR(__xludf.DUMMYFUNCTION("""COMPUTED_VALUE"""),"Operating")</f>
        <v>Operating</v>
      </c>
      <c r="J372" s="1" t="str">
        <f>IFERROR(__xludf.DUMMYFUNCTION("""COMPUTED_VALUE"""),"High")</f>
        <v>High</v>
      </c>
      <c r="K372" s="1" t="str">
        <f>IFERROR(__xludf.DUMMYFUNCTION("""COMPUTED_VALUE"""),"")</f>
        <v/>
      </c>
      <c r="L372" s="1" t="str">
        <f>IFERROR(__xludf.DUMMYFUNCTION("""COMPUTED_VALUE"""),"")</f>
        <v/>
      </c>
      <c r="M372" s="1" t="str">
        <f>IFERROR(__xludf.DUMMYFUNCTION("""COMPUTED_VALUE"""),"")</f>
        <v/>
      </c>
      <c r="N372" s="1" t="str">
        <f>IFERROR(__xludf.DUMMYFUNCTION("""COMPUTED_VALUE"""),"")</f>
        <v/>
      </c>
      <c r="O372" s="1" t="str">
        <f>IFERROR(__xludf.DUMMYFUNCTION("""COMPUTED_VALUE"""),"Unknown")</f>
        <v>Unknown</v>
      </c>
      <c r="P372" s="1" t="str">
        <f>IFERROR(__xludf.DUMMYFUNCTION("""COMPUTED_VALUE"""),"")</f>
        <v/>
      </c>
      <c r="Q372" s="1" t="str">
        <f>IFERROR(__xludf.DUMMYFUNCTION("""COMPUTED_VALUE"""),"")</f>
        <v/>
      </c>
      <c r="R372" s="1" t="str">
        <f>IFERROR(__xludf.DUMMYFUNCTION("""COMPUTED_VALUE"""),"")</f>
        <v/>
      </c>
      <c r="S372" s="1" t="str">
        <f>IFERROR(__xludf.DUMMYFUNCTION("""COMPUTED_VALUE"""),"")</f>
        <v/>
      </c>
      <c r="T372" s="1" t="str">
        <f>IFERROR(__xludf.DUMMYFUNCTION("""COMPUTED_VALUE"""),"")</f>
        <v/>
      </c>
      <c r="U372" s="1" t="str">
        <f>IFERROR(__xludf.DUMMYFUNCTION("""COMPUTED_VALUE"""),"")</f>
        <v/>
      </c>
      <c r="V372" s="1" t="str">
        <f>IFERROR(__xludf.DUMMYFUNCTION("""COMPUTED_VALUE"""),"")</f>
        <v/>
      </c>
      <c r="W372" s="1" t="str">
        <f>IFERROR(__xludf.DUMMYFUNCTION("""COMPUTED_VALUE"""),"")</f>
        <v/>
      </c>
      <c r="X372" s="1" t="str">
        <f>IFERROR(__xludf.DUMMYFUNCTION("""COMPUTED_VALUE"""),"")</f>
        <v/>
      </c>
      <c r="Y372" s="1" t="str">
        <f>IFERROR(__xludf.DUMMYFUNCTION("""COMPUTED_VALUE"""),"")</f>
        <v/>
      </c>
      <c r="Z372" s="1" t="str">
        <f>IFERROR(__xludf.DUMMYFUNCTION("""COMPUTED_VALUE"""),"Unknown")</f>
        <v>Unknown</v>
      </c>
      <c r="AA372" s="1" t="str">
        <f>IFERROR(__xludf.DUMMYFUNCTION("""COMPUTED_VALUE"""),"")</f>
        <v/>
      </c>
      <c r="AB372" s="1" t="str">
        <f>IFERROR(__xludf.DUMMYFUNCTION("""COMPUTED_VALUE"""),"")</f>
        <v/>
      </c>
      <c r="AC372" s="1" t="str">
        <f>IFERROR(__xludf.DUMMYFUNCTION("""COMPUTED_VALUE"""),"")</f>
        <v/>
      </c>
      <c r="AD372" s="1" t="str">
        <f>IFERROR(__xludf.DUMMYFUNCTION("""COMPUTED_VALUE"""),"")</f>
        <v/>
      </c>
      <c r="AE372" s="1" t="str">
        <f>IFERROR(__xludf.DUMMYFUNCTION("""COMPUTED_VALUE"""),"")</f>
        <v/>
      </c>
      <c r="AF372" s="1" t="str">
        <f>IFERROR(__xludf.DUMMYFUNCTION("""COMPUTED_VALUE"""),"")</f>
        <v/>
      </c>
      <c r="AG372" s="1" t="str">
        <f>IFERROR(__xludf.DUMMYFUNCTION("""COMPUTED_VALUE"""),"")</f>
        <v/>
      </c>
      <c r="AH372" s="1" t="str">
        <f>IFERROR(__xludf.DUMMYFUNCTION("""COMPUTED_VALUE"""),"Media Monitoring")</f>
        <v>Media Monitoring</v>
      </c>
      <c r="AI372" s="2" t="str">
        <f>IFERROR(__xludf.DUMMYFUNCTION("""COMPUTED_VALUE"""),"https://www.datacenterdynamics.com/en/news/netrality-acquires-lifeline-facility-at-indy-telcom-center-campus-in-indianapolis/")</f>
        <v>https://www.datacenterdynamics.com/en/news/netrality-acquires-lifeline-facility-at-indy-telcom-center-campus-in-indianapolis/</v>
      </c>
      <c r="AJ372" s="1" t="str">
        <f>IFERROR(__xludf.DUMMYFUNCTION("""COMPUTED_VALUE"""),"")</f>
        <v/>
      </c>
      <c r="AK372" s="1" t="str">
        <f>IFERROR(__xludf.DUMMYFUNCTION("""COMPUTED_VALUE"""),"")</f>
        <v/>
      </c>
      <c r="AL372" s="1" t="str">
        <f>IFERROR(__xludf.DUMMYFUNCTION("""COMPUTED_VALUE"""),"")</f>
        <v/>
      </c>
      <c r="AM372" s="1" t="str">
        <f>IFERROR(__xludf.DUMMYFUNCTION("""COMPUTED_VALUE"""),"")</f>
        <v/>
      </c>
      <c r="AN372" s="1" t="str">
        <f>IFERROR(__xludf.DUMMYFUNCTION("""COMPUTED_VALUE"""),"")</f>
        <v/>
      </c>
      <c r="AO372" s="1" t="str">
        <f>IFERROR(__xludf.DUMMYFUNCTION("""COMPUTED_VALUE"""),"")</f>
        <v/>
      </c>
      <c r="AP372" s="1" t="str">
        <f>IFERROR(__xludf.DUMMYFUNCTION("""COMPUTED_VALUE"""),"")</f>
        <v/>
      </c>
      <c r="AQ372" s="1" t="str">
        <f>IFERROR(__xludf.DUMMYFUNCTION("""COMPUTED_VALUE"""),"05/27/2025")</f>
        <v>05/27/2025</v>
      </c>
      <c r="AR372" s="1" t="str">
        <f>IFERROR(__xludf.DUMMYFUNCTION("""COMPUTED_VALUE"""),"03/24/2026")</f>
        <v>03/24/2026</v>
      </c>
    </row>
    <row r="373">
      <c r="A373" s="1" t="str">
        <f>IFERROR(__xludf.DUMMYFUNCTION("""COMPUTED_VALUE"""),"Netrality Data Center")</f>
        <v>Netrality Data Center</v>
      </c>
      <c r="B373" s="1" t="str">
        <f>IFERROR(__xludf.DUMMYFUNCTION("""COMPUTED_VALUE"""),"733 W Henry St # 100")</f>
        <v>733 W Henry St # 100</v>
      </c>
      <c r="C373" s="1" t="str">
        <f>IFERROR(__xludf.DUMMYFUNCTION("""COMPUTED_VALUE"""),"Indianapolis")</f>
        <v>Indianapolis</v>
      </c>
      <c r="D373" s="1" t="str">
        <f>IFERROR(__xludf.DUMMYFUNCTION("""COMPUTED_VALUE"""),"IN")</f>
        <v>IN</v>
      </c>
      <c r="E373" s="1" t="str">
        <f>IFERROR(__xludf.DUMMYFUNCTION("""COMPUTED_VALUE"""),"46225")</f>
        <v>46225</v>
      </c>
      <c r="F373" s="1" t="str">
        <f>IFERROR(__xludf.DUMMYFUNCTION("""COMPUTED_VALUE"""),"Marion")</f>
        <v>Marion</v>
      </c>
      <c r="G373" s="1" t="str">
        <f>IFERROR(__xludf.DUMMYFUNCTION("""COMPUTED_VALUE"""),"39.75977")</f>
        <v>39.75977</v>
      </c>
      <c r="H373" s="1" t="str">
        <f>IFERROR(__xludf.DUMMYFUNCTION("""COMPUTED_VALUE"""),"-86.1723")</f>
        <v>-86.1723</v>
      </c>
      <c r="I373" s="1" t="str">
        <f>IFERROR(__xludf.DUMMYFUNCTION("""COMPUTED_VALUE"""),"Operating")</f>
        <v>Operating</v>
      </c>
      <c r="J373" s="1" t="str">
        <f>IFERROR(__xludf.DUMMYFUNCTION("""COMPUTED_VALUE"""),"High")</f>
        <v>High</v>
      </c>
      <c r="K373" s="1" t="str">
        <f>IFERROR(__xludf.DUMMYFUNCTION("""COMPUTED_VALUE"""),"")</f>
        <v/>
      </c>
      <c r="L373" s="1" t="str">
        <f>IFERROR(__xludf.DUMMYFUNCTION("""COMPUTED_VALUE"""),"")</f>
        <v/>
      </c>
      <c r="M373" s="1" t="str">
        <f>IFERROR(__xludf.DUMMYFUNCTION("""COMPUTED_VALUE"""),"")</f>
        <v/>
      </c>
      <c r="N373" s="1" t="str">
        <f>IFERROR(__xludf.DUMMYFUNCTION("""COMPUTED_VALUE"""),"")</f>
        <v/>
      </c>
      <c r="O373" s="1" t="str">
        <f>IFERROR(__xludf.DUMMYFUNCTION("""COMPUTED_VALUE"""),"Unknown")</f>
        <v>Unknown</v>
      </c>
      <c r="P373" s="1" t="str">
        <f>IFERROR(__xludf.DUMMYFUNCTION("""COMPUTED_VALUE"""),"")</f>
        <v/>
      </c>
      <c r="Q373" s="1" t="str">
        <f>IFERROR(__xludf.DUMMYFUNCTION("""COMPUTED_VALUE"""),"")</f>
        <v/>
      </c>
      <c r="R373" s="1" t="str">
        <f>IFERROR(__xludf.DUMMYFUNCTION("""COMPUTED_VALUE"""),"")</f>
        <v/>
      </c>
      <c r="S373" s="1" t="str">
        <f>IFERROR(__xludf.DUMMYFUNCTION("""COMPUTED_VALUE"""),"")</f>
        <v/>
      </c>
      <c r="T373" s="1" t="str">
        <f>IFERROR(__xludf.DUMMYFUNCTION("""COMPUTED_VALUE"""),"")</f>
        <v/>
      </c>
      <c r="U373" s="1" t="str">
        <f>IFERROR(__xludf.DUMMYFUNCTION("""COMPUTED_VALUE"""),"")</f>
        <v/>
      </c>
      <c r="V373" s="1" t="str">
        <f>IFERROR(__xludf.DUMMYFUNCTION("""COMPUTED_VALUE"""),"")</f>
        <v/>
      </c>
      <c r="W373" s="1" t="str">
        <f>IFERROR(__xludf.DUMMYFUNCTION("""COMPUTED_VALUE"""),"")</f>
        <v/>
      </c>
      <c r="X373" s="1" t="str">
        <f>IFERROR(__xludf.DUMMYFUNCTION("""COMPUTED_VALUE"""),"")</f>
        <v/>
      </c>
      <c r="Y373" s="1" t="str">
        <f>IFERROR(__xludf.DUMMYFUNCTION("""COMPUTED_VALUE"""),"")</f>
        <v/>
      </c>
      <c r="Z373" s="1" t="str">
        <f>IFERROR(__xludf.DUMMYFUNCTION("""COMPUTED_VALUE"""),"Unknown")</f>
        <v>Unknown</v>
      </c>
      <c r="AA373" s="1" t="str">
        <f>IFERROR(__xludf.DUMMYFUNCTION("""COMPUTED_VALUE"""),"")</f>
        <v/>
      </c>
      <c r="AB373" s="1" t="str">
        <f>IFERROR(__xludf.DUMMYFUNCTION("""COMPUTED_VALUE"""),"")</f>
        <v/>
      </c>
      <c r="AC373" s="1" t="str">
        <f>IFERROR(__xludf.DUMMYFUNCTION("""COMPUTED_VALUE"""),"")</f>
        <v/>
      </c>
      <c r="AD373" s="1" t="str">
        <f>IFERROR(__xludf.DUMMYFUNCTION("""COMPUTED_VALUE"""),"")</f>
        <v/>
      </c>
      <c r="AE373" s="1" t="str">
        <f>IFERROR(__xludf.DUMMYFUNCTION("""COMPUTED_VALUE"""),"")</f>
        <v/>
      </c>
      <c r="AF373" s="1" t="str">
        <f>IFERROR(__xludf.DUMMYFUNCTION("""COMPUTED_VALUE"""),"")</f>
        <v/>
      </c>
      <c r="AG373" s="1" t="str">
        <f>IFERROR(__xludf.DUMMYFUNCTION("""COMPUTED_VALUE"""),"")</f>
        <v/>
      </c>
      <c r="AH373" s="1" t="str">
        <f>IFERROR(__xludf.DUMMYFUNCTION("""COMPUTED_VALUE"""),"Media Monitoring")</f>
        <v>Media Monitoring</v>
      </c>
      <c r="AI373" s="2" t="str">
        <f>IFERROR(__xludf.DUMMYFUNCTION("""COMPUTED_VALUE"""),"https://www.datacenterdynamics.com/en/news/netrality-acquires-lifeline-facility-at-indy-telcom-center-campus-in-indianapolis/")</f>
        <v>https://www.datacenterdynamics.com/en/news/netrality-acquires-lifeline-facility-at-indy-telcom-center-campus-in-indianapolis/</v>
      </c>
      <c r="AJ373" s="1" t="str">
        <f>IFERROR(__xludf.DUMMYFUNCTION("""COMPUTED_VALUE"""),"")</f>
        <v/>
      </c>
      <c r="AK373" s="1" t="str">
        <f>IFERROR(__xludf.DUMMYFUNCTION("""COMPUTED_VALUE"""),"")</f>
        <v/>
      </c>
      <c r="AL373" s="1" t="str">
        <f>IFERROR(__xludf.DUMMYFUNCTION("""COMPUTED_VALUE"""),"")</f>
        <v/>
      </c>
      <c r="AM373" s="1" t="str">
        <f>IFERROR(__xludf.DUMMYFUNCTION("""COMPUTED_VALUE"""),"")</f>
        <v/>
      </c>
      <c r="AN373" s="1" t="str">
        <f>IFERROR(__xludf.DUMMYFUNCTION("""COMPUTED_VALUE"""),"")</f>
        <v/>
      </c>
      <c r="AO373" s="1" t="str">
        <f>IFERROR(__xludf.DUMMYFUNCTION("""COMPUTED_VALUE"""),"")</f>
        <v/>
      </c>
      <c r="AP373" s="1" t="str">
        <f>IFERROR(__xludf.DUMMYFUNCTION("""COMPUTED_VALUE"""),"")</f>
        <v/>
      </c>
      <c r="AQ373" s="1" t="str">
        <f>IFERROR(__xludf.DUMMYFUNCTION("""COMPUTED_VALUE"""),"05/27/2025")</f>
        <v>05/27/2025</v>
      </c>
      <c r="AR373" s="1" t="str">
        <f>IFERROR(__xludf.DUMMYFUNCTION("""COMPUTED_VALUE"""),"05/27/2025")</f>
        <v>05/27/2025</v>
      </c>
    </row>
    <row r="374">
      <c r="A374" s="1" t="str">
        <f>IFERROR(__xludf.DUMMYFUNCTION("""COMPUTED_VALUE"""),"Thunderbird Commerce Center Project")</f>
        <v>Thunderbird Commerce Center Project</v>
      </c>
      <c r="B374" s="1" t="str">
        <f>IFERROR(__xludf.DUMMYFUNCTION("""COMPUTED_VALUE"""),"305 Fintail Dr")</f>
        <v>305 Fintail Dr</v>
      </c>
      <c r="C374" s="1" t="str">
        <f>IFERROR(__xludf.DUMMYFUNCTION("""COMPUTED_VALUE"""),"Indianapolis")</f>
        <v>Indianapolis</v>
      </c>
      <c r="D374" s="1" t="str">
        <f>IFERROR(__xludf.DUMMYFUNCTION("""COMPUTED_VALUE"""),"IN")</f>
        <v>IN</v>
      </c>
      <c r="E374" s="1" t="str">
        <f>IFERROR(__xludf.DUMMYFUNCTION("""COMPUTED_VALUE"""),"46219")</f>
        <v>46219</v>
      </c>
      <c r="F374" s="1" t="str">
        <f>IFERROR(__xludf.DUMMYFUNCTION("""COMPUTED_VALUE"""),"Marion")</f>
        <v>Marion</v>
      </c>
      <c r="G374" s="1" t="str">
        <f>IFERROR(__xludf.DUMMYFUNCTION("""COMPUTED_VALUE"""),"39.76848")</f>
        <v>39.76848</v>
      </c>
      <c r="H374" s="1" t="str">
        <f>IFERROR(__xludf.DUMMYFUNCTION("""COMPUTED_VALUE"""),"-86.05339")</f>
        <v>-86.05339</v>
      </c>
      <c r="I374" s="1" t="str">
        <f>IFERROR(__xludf.DUMMYFUNCTION("""COMPUTED_VALUE"""),"Approved/Permitted/Under construction")</f>
        <v>Approved/Permitted/Under construction</v>
      </c>
      <c r="J374" s="1" t="str">
        <f>IFERROR(__xludf.DUMMYFUNCTION("""COMPUTED_VALUE"""),"High")</f>
        <v>High</v>
      </c>
      <c r="K374" s="1" t="str">
        <f>IFERROR(__xludf.DUMMYFUNCTION("""COMPUTED_VALUE"""),"")</f>
        <v/>
      </c>
      <c r="L374" s="1" t="str">
        <f>IFERROR(__xludf.DUMMYFUNCTION("""COMPUTED_VALUE"""),"DC Blox")</f>
        <v>DC Blox</v>
      </c>
      <c r="M374" s="1" t="str">
        <f>IFERROR(__xludf.DUMMYFUNCTION("""COMPUTED_VALUE"""),"")</f>
        <v/>
      </c>
      <c r="N374" s="1" t="str">
        <f>IFERROR(__xludf.DUMMYFUNCTION("""COMPUTED_VALUE"""),"")</f>
        <v/>
      </c>
      <c r="O374" s="1" t="str">
        <f>IFERROR(__xludf.DUMMYFUNCTION("""COMPUTED_VALUE"""),"Unknown")</f>
        <v>Unknown</v>
      </c>
      <c r="P374" s="1" t="str">
        <f>IFERROR(__xludf.DUMMYFUNCTION("""COMPUTED_VALUE"""),"")</f>
        <v/>
      </c>
      <c r="Q374" s="1" t="str">
        <f>IFERROR(__xludf.DUMMYFUNCTION("""COMPUTED_VALUE"""),"")</f>
        <v/>
      </c>
      <c r="R374" s="1" t="str">
        <f>IFERROR(__xludf.DUMMYFUNCTION("""COMPUTED_VALUE"""),"")</f>
        <v/>
      </c>
      <c r="S374" s="1" t="str">
        <f>IFERROR(__xludf.DUMMYFUNCTION("""COMPUTED_VALUE"""),"")</f>
        <v/>
      </c>
      <c r="T374" s="1" t="str">
        <f>IFERROR(__xludf.DUMMYFUNCTION("""COMPUTED_VALUE"""),"")</f>
        <v/>
      </c>
      <c r="U374" s="1" t="str">
        <f>IFERROR(__xludf.DUMMYFUNCTION("""COMPUTED_VALUE"""),"")</f>
        <v/>
      </c>
      <c r="V374" s="1" t="str">
        <f>IFERROR(__xludf.DUMMYFUNCTION("""COMPUTED_VALUE"""),"410,000")</f>
        <v>410,000</v>
      </c>
      <c r="W374" s="1" t="str">
        <f>IFERROR(__xludf.DUMMYFUNCTION("""COMPUTED_VALUE"""),"")</f>
        <v/>
      </c>
      <c r="X374" s="1" t="str">
        <f>IFERROR(__xludf.DUMMYFUNCTION("""COMPUTED_VALUE"""),"$2.2 billion")</f>
        <v>$2.2 billion</v>
      </c>
      <c r="Y374" s="1" t="str">
        <f>IFERROR(__xludf.DUMMYFUNCTION("""COMPUTED_VALUE"""),"2028")</f>
        <v>2028</v>
      </c>
      <c r="Z374" s="1" t="str">
        <f>IFERROR(__xludf.DUMMYFUNCTION("""COMPUTED_VALUE"""),"Yes")</f>
        <v>Yes</v>
      </c>
      <c r="AA374" s="1" t="str">
        <f>IFERROR(__xludf.DUMMYFUNCTION("""COMPUTED_VALUE"""),"")</f>
        <v/>
      </c>
      <c r="AB374" s="1" t="str">
        <f>IFERROR(__xludf.DUMMYFUNCTION("""COMPUTED_VALUE"""),"Organized Advocacy")</f>
        <v>Organized Advocacy</v>
      </c>
      <c r="AC374" s="1" t="str">
        <f>IFERROR(__xludf.DUMMYFUNCTION("""COMPUTED_VALUE"""),"")</f>
        <v/>
      </c>
      <c r="AD374" s="1" t="str">
        <f>IFERROR(__xludf.DUMMYFUNCTION("""COMPUTED_VALUE"""),"")</f>
        <v/>
      </c>
      <c r="AE374" s="1" t="str">
        <f>IFERROR(__xludf.DUMMYFUNCTION("""COMPUTED_VALUE"""),"")</f>
        <v/>
      </c>
      <c r="AF374" s="2" t="str">
        <f>IFERROR(__xludf.DUMMYFUNCTION("""COMPUTED_VALUE"""),"https://www.change.org/p/reject-the-dc-blox-data-center-and-protect-irvington-s-future")</f>
        <v>https://www.change.org/p/reject-the-dc-blox-data-center-and-protect-irvington-s-future</v>
      </c>
      <c r="AG374" s="1" t="str">
        <f>IFERROR(__xludf.DUMMYFUNCTION("""COMPUTED_VALUE"""),"")</f>
        <v/>
      </c>
      <c r="AH374" s="1" t="str">
        <f>IFERROR(__xludf.DUMMYFUNCTION("""COMPUTED_VALUE"""),"Media Monitoring")</f>
        <v>Media Monitoring</v>
      </c>
      <c r="AI374" s="2" t="str">
        <f>IFERROR(__xludf.DUMMYFUNCTION("""COMPUTED_VALUE"""),"https://www.datacenterdynamics.com/en/news/dc-blox-to-expand-into-indiana-targets-data-center-campus-in-indianapolis/")</f>
        <v>https://www.datacenterdynamics.com/en/news/dc-blox-to-expand-into-indiana-targets-data-center-campus-in-indianapolis/</v>
      </c>
      <c r="AJ374" s="2" t="str">
        <f>IFERROR(__xludf.DUMMYFUNCTION("""COMPUTED_VALUE"""),"https://www.datacenterdynamics.com/en/news/dc-blox-data-center-in-eastern-indianapolis-receives-recommendation-for-approval/")</f>
        <v>https://www.datacenterdynamics.com/en/news/dc-blox-data-center-in-eastern-indianapolis-receives-recommendation-for-approval/</v>
      </c>
      <c r="AK374" s="1" t="str">
        <f>IFERROR(__xludf.DUMMYFUNCTION("""COMPUTED_VALUE"""),"")</f>
        <v/>
      </c>
      <c r="AL374" s="1" t="str">
        <f>IFERROR(__xludf.DUMMYFUNCTION("""COMPUTED_VALUE"""),"")</f>
        <v/>
      </c>
      <c r="AM374" s="1" t="str">
        <f>IFERROR(__xludf.DUMMYFUNCTION("""COMPUTED_VALUE"""),"")</f>
        <v/>
      </c>
      <c r="AN374" s="1" t="str">
        <f>IFERROR(__xludf.DUMMYFUNCTION("""COMPUTED_VALUE"""),"")</f>
        <v/>
      </c>
      <c r="AO374" s="1" t="str">
        <f>IFERROR(__xludf.DUMMYFUNCTION("""COMPUTED_VALUE"""),"")</f>
        <v/>
      </c>
      <c r="AP374" s="1" t="str">
        <f>IFERROR(__xludf.DUMMYFUNCTION("""COMPUTED_VALUE"""),"")</f>
        <v/>
      </c>
      <c r="AQ374" s="1" t="str">
        <f>IFERROR(__xludf.DUMMYFUNCTION("""COMPUTED_VALUE"""),"04/15/2026")</f>
        <v>04/15/2026</v>
      </c>
      <c r="AR374" s="1" t="str">
        <f>IFERROR(__xludf.DUMMYFUNCTION("""COMPUTED_VALUE"""),"06/22/2026")</f>
        <v>06/22/2026</v>
      </c>
    </row>
    <row r="375">
      <c r="A375" s="1" t="str">
        <f>IFERROR(__xludf.DUMMYFUNCTION("""COMPUTED_VALUE"""),"US Signal Data Center")</f>
        <v>US Signal Data Center</v>
      </c>
      <c r="B375" s="1" t="str">
        <f>IFERROR(__xludf.DUMMYFUNCTION("""COMPUTED_VALUE"""),"6325 Morenci Trail")</f>
        <v>6325 Morenci Trail</v>
      </c>
      <c r="C375" s="1" t="str">
        <f>IFERROR(__xludf.DUMMYFUNCTION("""COMPUTED_VALUE"""),"Indianapolis")</f>
        <v>Indianapolis</v>
      </c>
      <c r="D375" s="1" t="str">
        <f>IFERROR(__xludf.DUMMYFUNCTION("""COMPUTED_VALUE"""),"IN")</f>
        <v>IN</v>
      </c>
      <c r="E375" s="1" t="str">
        <f>IFERROR(__xludf.DUMMYFUNCTION("""COMPUTED_VALUE"""),"46268")</f>
        <v>46268</v>
      </c>
      <c r="F375" s="1" t="str">
        <f>IFERROR(__xludf.DUMMYFUNCTION("""COMPUTED_VALUE"""),"Marion")</f>
        <v>Marion</v>
      </c>
      <c r="G375" s="1" t="str">
        <f>IFERROR(__xludf.DUMMYFUNCTION("""COMPUTED_VALUE"""),"39.87038")</f>
        <v>39.87038</v>
      </c>
      <c r="H375" s="1" t="str">
        <f>IFERROR(__xludf.DUMMYFUNCTION("""COMPUTED_VALUE"""),"-86.2369")</f>
        <v>-86.2369</v>
      </c>
      <c r="I375" s="1" t="str">
        <f>IFERROR(__xludf.DUMMYFUNCTION("""COMPUTED_VALUE"""),"Operating")</f>
        <v>Operating</v>
      </c>
      <c r="J375" s="1" t="str">
        <f>IFERROR(__xludf.DUMMYFUNCTION("""COMPUTED_VALUE"""),"High")</f>
        <v>High</v>
      </c>
      <c r="K375" s="1" t="str">
        <f>IFERROR(__xludf.DUMMYFUNCTION("""COMPUTED_VALUE"""),"")</f>
        <v/>
      </c>
      <c r="L375" s="1" t="str">
        <f>IFERROR(__xludf.DUMMYFUNCTION("""COMPUTED_VALUE"""),"")</f>
        <v/>
      </c>
      <c r="M375" s="1" t="str">
        <f>IFERROR(__xludf.DUMMYFUNCTION("""COMPUTED_VALUE"""),"")</f>
        <v/>
      </c>
      <c r="N375" s="1" t="str">
        <f>IFERROR(__xludf.DUMMYFUNCTION("""COMPUTED_VALUE"""),"")</f>
        <v/>
      </c>
      <c r="O375" s="1" t="str">
        <f>IFERROR(__xludf.DUMMYFUNCTION("""COMPUTED_VALUE"""),"Unknown")</f>
        <v>Unknown</v>
      </c>
      <c r="P375" s="1" t="str">
        <f>IFERROR(__xludf.DUMMYFUNCTION("""COMPUTED_VALUE"""),"")</f>
        <v/>
      </c>
      <c r="Q375" s="1" t="str">
        <f>IFERROR(__xludf.DUMMYFUNCTION("""COMPUTED_VALUE"""),"")</f>
        <v/>
      </c>
      <c r="R375" s="1" t="str">
        <f>IFERROR(__xludf.DUMMYFUNCTION("""COMPUTED_VALUE"""),"")</f>
        <v/>
      </c>
      <c r="S375" s="1" t="str">
        <f>IFERROR(__xludf.DUMMYFUNCTION("""COMPUTED_VALUE"""),"")</f>
        <v/>
      </c>
      <c r="T375" s="1" t="str">
        <f>IFERROR(__xludf.DUMMYFUNCTION("""COMPUTED_VALUE"""),"")</f>
        <v/>
      </c>
      <c r="U375" s="1" t="str">
        <f>IFERROR(__xludf.DUMMYFUNCTION("""COMPUTED_VALUE"""),"")</f>
        <v/>
      </c>
      <c r="V375" s="1" t="str">
        <f>IFERROR(__xludf.DUMMYFUNCTION("""COMPUTED_VALUE"""),"9,600")</f>
        <v>9,600</v>
      </c>
      <c r="W375" s="1" t="str">
        <f>IFERROR(__xludf.DUMMYFUNCTION("""COMPUTED_VALUE"""),"")</f>
        <v/>
      </c>
      <c r="X375" s="1" t="str">
        <f>IFERROR(__xludf.DUMMYFUNCTION("""COMPUTED_VALUE"""),"")</f>
        <v/>
      </c>
      <c r="Y375" s="1" t="str">
        <f>IFERROR(__xludf.DUMMYFUNCTION("""COMPUTED_VALUE"""),"")</f>
        <v/>
      </c>
      <c r="Z375" s="1" t="str">
        <f>IFERROR(__xludf.DUMMYFUNCTION("""COMPUTED_VALUE"""),"Unknown")</f>
        <v>Unknown</v>
      </c>
      <c r="AA375" s="1" t="str">
        <f>IFERROR(__xludf.DUMMYFUNCTION("""COMPUTED_VALUE"""),"")</f>
        <v/>
      </c>
      <c r="AB375" s="1" t="str">
        <f>IFERROR(__xludf.DUMMYFUNCTION("""COMPUTED_VALUE"""),"")</f>
        <v/>
      </c>
      <c r="AC375" s="1" t="str">
        <f>IFERROR(__xludf.DUMMYFUNCTION("""COMPUTED_VALUE"""),"")</f>
        <v/>
      </c>
      <c r="AD375" s="1" t="str">
        <f>IFERROR(__xludf.DUMMYFUNCTION("""COMPUTED_VALUE"""),"")</f>
        <v/>
      </c>
      <c r="AE375" s="1" t="str">
        <f>IFERROR(__xludf.DUMMYFUNCTION("""COMPUTED_VALUE"""),"")</f>
        <v/>
      </c>
      <c r="AF375" s="1" t="str">
        <f>IFERROR(__xludf.DUMMYFUNCTION("""COMPUTED_VALUE"""),"")</f>
        <v/>
      </c>
      <c r="AG375" s="1" t="str">
        <f>IFERROR(__xludf.DUMMYFUNCTION("""COMPUTED_VALUE"""),"")</f>
        <v/>
      </c>
      <c r="AH375" s="1" t="str">
        <f>IFERROR(__xludf.DUMMYFUNCTION("""COMPUTED_VALUE"""),"Media Monitoring")</f>
        <v>Media Monitoring</v>
      </c>
      <c r="AI375" s="2" t="str">
        <f>IFERROR(__xludf.DUMMYFUNCTION("""COMPUTED_VALUE"""),"https://www.datacenterdynamics.com/en/news/us-signal-acquires-data-center-in-indianapolis-indiana/")</f>
        <v>https://www.datacenterdynamics.com/en/news/us-signal-acquires-data-center-in-indianapolis-indiana/</v>
      </c>
      <c r="AJ375" s="1" t="str">
        <f>IFERROR(__xludf.DUMMYFUNCTION("""COMPUTED_VALUE"""),"")</f>
        <v/>
      </c>
      <c r="AK375" s="1" t="str">
        <f>IFERROR(__xludf.DUMMYFUNCTION("""COMPUTED_VALUE"""),"")</f>
        <v/>
      </c>
      <c r="AL375" s="1" t="str">
        <f>IFERROR(__xludf.DUMMYFUNCTION("""COMPUTED_VALUE"""),"")</f>
        <v/>
      </c>
      <c r="AM375" s="1" t="str">
        <f>IFERROR(__xludf.DUMMYFUNCTION("""COMPUTED_VALUE"""),"")</f>
        <v/>
      </c>
      <c r="AN375" s="1" t="str">
        <f>IFERROR(__xludf.DUMMYFUNCTION("""COMPUTED_VALUE"""),"")</f>
        <v/>
      </c>
      <c r="AO375" s="1" t="str">
        <f>IFERROR(__xludf.DUMMYFUNCTION("""COMPUTED_VALUE"""),"")</f>
        <v/>
      </c>
      <c r="AP375" s="1" t="str">
        <f>IFERROR(__xludf.DUMMYFUNCTION("""COMPUTED_VALUE"""),"")</f>
        <v/>
      </c>
      <c r="AQ375" s="1" t="str">
        <f>IFERROR(__xludf.DUMMYFUNCTION("""COMPUTED_VALUE"""),"05/27/2025")</f>
        <v>05/27/2025</v>
      </c>
      <c r="AR375" s="1" t="str">
        <f>IFERROR(__xludf.DUMMYFUNCTION("""COMPUTED_VALUE"""),"03/26/2025")</f>
        <v>03/26/2025</v>
      </c>
    </row>
    <row r="376">
      <c r="A376" s="1" t="str">
        <f>IFERROR(__xludf.DUMMYFUNCTION("""COMPUTED_VALUE"""),"Meta Data Center")</f>
        <v>Meta Data Center</v>
      </c>
      <c r="B376" s="1" t="str">
        <f>IFERROR(__xludf.DUMMYFUNCTION("""COMPUTED_VALUE"""),"behind 300 Corporate Dr Suite 300")</f>
        <v>behind 300 Corporate Dr Suite 300</v>
      </c>
      <c r="C376" s="1" t="str">
        <f>IFERROR(__xludf.DUMMYFUNCTION("""COMPUTED_VALUE"""),"Jeffersonville")</f>
        <v>Jeffersonville</v>
      </c>
      <c r="D376" s="1" t="str">
        <f>IFERROR(__xludf.DUMMYFUNCTION("""COMPUTED_VALUE"""),"IN")</f>
        <v>IN</v>
      </c>
      <c r="E376" s="1" t="str">
        <f>IFERROR(__xludf.DUMMYFUNCTION("""COMPUTED_VALUE"""),"47130")</f>
        <v>47130</v>
      </c>
      <c r="F376" s="1" t="str">
        <f>IFERROR(__xludf.DUMMYFUNCTION("""COMPUTED_VALUE"""),"Clark")</f>
        <v>Clark</v>
      </c>
      <c r="G376" s="1" t="str">
        <f>IFERROR(__xludf.DUMMYFUNCTION("""COMPUTED_VALUE"""),"38.36471")</f>
        <v>38.36471</v>
      </c>
      <c r="H376" s="1" t="str">
        <f>IFERROR(__xludf.DUMMYFUNCTION("""COMPUTED_VALUE"""),"-85.66")</f>
        <v>-85.66</v>
      </c>
      <c r="I376" s="1" t="str">
        <f>IFERROR(__xludf.DUMMYFUNCTION("""COMPUTED_VALUE"""),"Approved/Permitted/Under construction")</f>
        <v>Approved/Permitted/Under construction</v>
      </c>
      <c r="J376" s="1" t="str">
        <f>IFERROR(__xludf.DUMMYFUNCTION("""COMPUTED_VALUE"""),"Medium")</f>
        <v>Medium</v>
      </c>
      <c r="K376" s="1" t="str">
        <f>IFERROR(__xludf.DUMMYFUNCTION("""COMPUTED_VALUE"""),"")</f>
        <v/>
      </c>
      <c r="L376" s="1" t="str">
        <f>IFERROR(__xludf.DUMMYFUNCTION("""COMPUTED_VALUE"""),"Meta")</f>
        <v>Meta</v>
      </c>
      <c r="M376" s="1" t="str">
        <f>IFERROR(__xludf.DUMMYFUNCTION("""COMPUTED_VALUE"""),"")</f>
        <v/>
      </c>
      <c r="N376" s="1" t="str">
        <f>IFERROR(__xludf.DUMMYFUNCTION("""COMPUTED_VALUE"""),"")</f>
        <v/>
      </c>
      <c r="O376" s="1" t="str">
        <f>IFERROR(__xludf.DUMMYFUNCTION("""COMPUTED_VALUE"""),"Hyperscale (100-999 MW)")</f>
        <v>Hyperscale (100-999 MW)</v>
      </c>
      <c r="P376" s="1" t="str">
        <f>IFERROR(__xludf.DUMMYFUNCTION("""COMPUTED_VALUE"""),"")</f>
        <v/>
      </c>
      <c r="Q376" s="1" t="str">
        <f>IFERROR(__xludf.DUMMYFUNCTION("""COMPUTED_VALUE"""),"")</f>
        <v/>
      </c>
      <c r="R376" s="1" t="str">
        <f>IFERROR(__xludf.DUMMYFUNCTION("""COMPUTED_VALUE"""),"")</f>
        <v/>
      </c>
      <c r="S376" s="1" t="str">
        <f>IFERROR(__xludf.DUMMYFUNCTION("""COMPUTED_VALUE"""),"")</f>
        <v/>
      </c>
      <c r="T376" s="1" t="str">
        <f>IFERROR(__xludf.DUMMYFUNCTION("""COMPUTED_VALUE"""),"")</f>
        <v/>
      </c>
      <c r="U376" s="1" t="str">
        <f>IFERROR(__xludf.DUMMYFUNCTION("""COMPUTED_VALUE"""),"")</f>
        <v/>
      </c>
      <c r="V376" s="1" t="str">
        <f>IFERROR(__xludf.DUMMYFUNCTION("""COMPUTED_VALUE"""),"700,000")</f>
        <v>700,000</v>
      </c>
      <c r="W376" s="1" t="str">
        <f>IFERROR(__xludf.DUMMYFUNCTION("""COMPUTED_VALUE"""),"619")</f>
        <v>619</v>
      </c>
      <c r="X376" s="1" t="str">
        <f>IFERROR(__xludf.DUMMYFUNCTION("""COMPUTED_VALUE"""),"$800 million")</f>
        <v>$800 million</v>
      </c>
      <c r="Y376" s="1" t="str">
        <f>IFERROR(__xludf.DUMMYFUNCTION("""COMPUTED_VALUE"""),"")</f>
        <v/>
      </c>
      <c r="Z376" s="1" t="str">
        <f>IFERROR(__xludf.DUMMYFUNCTION("""COMPUTED_VALUE"""),"Unknown")</f>
        <v>Unknown</v>
      </c>
      <c r="AA376" s="1" t="str">
        <f>IFERROR(__xludf.DUMMYFUNCTION("""COMPUTED_VALUE"""),"")</f>
        <v/>
      </c>
      <c r="AB376" s="1" t="str">
        <f>IFERROR(__xludf.DUMMYFUNCTION("""COMPUTED_VALUE"""),"")</f>
        <v/>
      </c>
      <c r="AC376" s="1" t="str">
        <f>IFERROR(__xludf.DUMMYFUNCTION("""COMPUTED_VALUE"""),"")</f>
        <v/>
      </c>
      <c r="AD376" s="1" t="str">
        <f>IFERROR(__xludf.DUMMYFUNCTION("""COMPUTED_VALUE"""),"")</f>
        <v/>
      </c>
      <c r="AE376" s="1" t="str">
        <f>IFERROR(__xludf.DUMMYFUNCTION("""COMPUTED_VALUE"""),"")</f>
        <v/>
      </c>
      <c r="AF376" s="1" t="str">
        <f>IFERROR(__xludf.DUMMYFUNCTION("""COMPUTED_VALUE"""),"")</f>
        <v/>
      </c>
      <c r="AG376" s="1" t="str">
        <f>IFERROR(__xludf.DUMMYFUNCTION("""COMPUTED_VALUE"""),"")</f>
        <v/>
      </c>
      <c r="AH376" s="1" t="str">
        <f>IFERROR(__xludf.DUMMYFUNCTION("""COMPUTED_VALUE"""),"Media Monitoring")</f>
        <v>Media Monitoring</v>
      </c>
      <c r="AI376" s="2" t="str">
        <f>IFERROR(__xludf.DUMMYFUNCTION("""COMPUTED_VALUE"""),"https://www.datacenterdynamics.com/en/news/meta-to-develop-data-center-campus-in-jeffersonville-indiana/")</f>
        <v>https://www.datacenterdynamics.com/en/news/meta-to-develop-data-center-campus-in-jeffersonville-indiana/</v>
      </c>
      <c r="AJ376" s="2" t="str">
        <f>IFERROR(__xludf.DUMMYFUNCTION("""COMPUTED_VALUE"""),"https://www.datacenterdynamics.com/en/news/meta-announces-1gw-data-center-campus-in-indiana/")</f>
        <v>https://www.datacenterdynamics.com/en/news/meta-announces-1gw-data-center-campus-in-indiana/</v>
      </c>
      <c r="AK376" s="1" t="str">
        <f>IFERROR(__xludf.DUMMYFUNCTION("""COMPUTED_VALUE"""),"")</f>
        <v/>
      </c>
      <c r="AL376" s="1" t="str">
        <f>IFERROR(__xludf.DUMMYFUNCTION("""COMPUTED_VALUE"""),"")</f>
        <v/>
      </c>
      <c r="AM376" s="1" t="str">
        <f>IFERROR(__xludf.DUMMYFUNCTION("""COMPUTED_VALUE"""),"")</f>
        <v/>
      </c>
      <c r="AN376" s="1" t="str">
        <f>IFERROR(__xludf.DUMMYFUNCTION("""COMPUTED_VALUE"""),"")</f>
        <v/>
      </c>
      <c r="AO376" s="1" t="str">
        <f>IFERROR(__xludf.DUMMYFUNCTION("""COMPUTED_VALUE"""),"")</f>
        <v/>
      </c>
      <c r="AP376" s="1" t="str">
        <f>IFERROR(__xludf.DUMMYFUNCTION("""COMPUTED_VALUE"""),"")</f>
        <v/>
      </c>
      <c r="AQ376" s="1" t="str">
        <f>IFERROR(__xludf.DUMMYFUNCTION("""COMPUTED_VALUE"""),"05/27/2025")</f>
        <v>05/27/2025</v>
      </c>
      <c r="AR376" s="1" t="str">
        <f>IFERROR(__xludf.DUMMYFUNCTION("""COMPUTED_VALUE"""),"02/20/2026")</f>
        <v>02/20/2026</v>
      </c>
    </row>
    <row r="377">
      <c r="A377" s="1" t="str">
        <f>IFERROR(__xludf.DUMMYFUNCTION("""COMPUTED_VALUE"""),"Microsoft LaPorte Data Center")</f>
        <v>Microsoft LaPorte Data Center</v>
      </c>
      <c r="B377" s="1" t="str">
        <f>IFERROR(__xludf.DUMMYFUNCTION("""COMPUTED_VALUE"""),"Radius Industrial Park, 300 Boyd Blvd")</f>
        <v>Radius Industrial Park, 300 Boyd Blvd</v>
      </c>
      <c r="C377" s="1" t="str">
        <f>IFERROR(__xludf.DUMMYFUNCTION("""COMPUTED_VALUE"""),"LaPorte")</f>
        <v>LaPorte</v>
      </c>
      <c r="D377" s="1" t="str">
        <f>IFERROR(__xludf.DUMMYFUNCTION("""COMPUTED_VALUE"""),"IN")</f>
        <v>IN</v>
      </c>
      <c r="E377" s="1" t="str">
        <f>IFERROR(__xludf.DUMMYFUNCTION("""COMPUTED_VALUE"""),"46350")</f>
        <v>46350</v>
      </c>
      <c r="F377" s="1" t="str">
        <f>IFERROR(__xludf.DUMMYFUNCTION("""COMPUTED_VALUE"""),"LaPorte")</f>
        <v>LaPorte</v>
      </c>
      <c r="G377" s="1" t="str">
        <f>IFERROR(__xludf.DUMMYFUNCTION("""COMPUTED_VALUE"""),"41.58093")</f>
        <v>41.58093</v>
      </c>
      <c r="H377" s="1" t="str">
        <f>IFERROR(__xludf.DUMMYFUNCTION("""COMPUTED_VALUE"""),"-86.6924")</f>
        <v>-86.6924</v>
      </c>
      <c r="I377" s="1" t="str">
        <f>IFERROR(__xludf.DUMMYFUNCTION("""COMPUTED_VALUE"""),"Approved/Permitted/Under construction")</f>
        <v>Approved/Permitted/Under construction</v>
      </c>
      <c r="J377" s="1" t="str">
        <f>IFERROR(__xludf.DUMMYFUNCTION("""COMPUTED_VALUE"""),"High")</f>
        <v>High</v>
      </c>
      <c r="K377" s="1" t="str">
        <f>IFERROR(__xludf.DUMMYFUNCTION("""COMPUTED_VALUE"""),"")</f>
        <v/>
      </c>
      <c r="L377" s="1" t="str">
        <f>IFERROR(__xludf.DUMMYFUNCTION("""COMPUTED_VALUE"""),"Microsoft")</f>
        <v>Microsoft</v>
      </c>
      <c r="M377" s="1" t="str">
        <f>IFERROR(__xludf.DUMMYFUNCTION("""COMPUTED_VALUE"""),"")</f>
        <v/>
      </c>
      <c r="N377" s="1" t="str">
        <f>IFERROR(__xludf.DUMMYFUNCTION("""COMPUTED_VALUE"""),"")</f>
        <v/>
      </c>
      <c r="O377" s="1" t="str">
        <f>IFERROR(__xludf.DUMMYFUNCTION("""COMPUTED_VALUE"""),"Mega campus (&gt;1,000 MW)")</f>
        <v>Mega campus (&gt;1,000 MW)</v>
      </c>
      <c r="P377" s="1" t="str">
        <f>IFERROR(__xludf.DUMMYFUNCTION("""COMPUTED_VALUE"""),"")</f>
        <v/>
      </c>
      <c r="Q377" s="1" t="str">
        <f>IFERROR(__xludf.DUMMYFUNCTION("""COMPUTED_VALUE"""),"")</f>
        <v/>
      </c>
      <c r="R377" s="1" t="str">
        <f>IFERROR(__xludf.DUMMYFUNCTION("""COMPUTED_VALUE"""),"")</f>
        <v/>
      </c>
      <c r="S377" s="1" t="str">
        <f>IFERROR(__xludf.DUMMYFUNCTION("""COMPUTED_VALUE"""),"17")</f>
        <v>17</v>
      </c>
      <c r="T377" s="1" t="str">
        <f>IFERROR(__xludf.DUMMYFUNCTION("""COMPUTED_VALUE"""),"")</f>
        <v/>
      </c>
      <c r="U377" s="1" t="str">
        <f>IFERROR(__xludf.DUMMYFUNCTION("""COMPUTED_VALUE"""),"")</f>
        <v/>
      </c>
      <c r="V377" s="1" t="str">
        <f>IFERROR(__xludf.DUMMYFUNCTION("""COMPUTED_VALUE"""),"1,000,000")</f>
        <v>1,000,000</v>
      </c>
      <c r="W377" s="1" t="str">
        <f>IFERROR(__xludf.DUMMYFUNCTION("""COMPUTED_VALUE"""),"489")</f>
        <v>489</v>
      </c>
      <c r="X377" s="1" t="str">
        <f>IFERROR(__xludf.DUMMYFUNCTION("""COMPUTED_VALUE"""),"$1 billion")</f>
        <v>$1 billion</v>
      </c>
      <c r="Y377" s="1" t="str">
        <f>IFERROR(__xludf.DUMMYFUNCTION("""COMPUTED_VALUE"""),"2029")</f>
        <v>2029</v>
      </c>
      <c r="Z377" s="1" t="str">
        <f>IFERROR(__xludf.DUMMYFUNCTION("""COMPUTED_VALUE"""),"Unknown")</f>
        <v>Unknown</v>
      </c>
      <c r="AA377" s="1" t="str">
        <f>IFERROR(__xludf.DUMMYFUNCTION("""COMPUTED_VALUE"""),"")</f>
        <v/>
      </c>
      <c r="AB377" s="1" t="str">
        <f>IFERROR(__xludf.DUMMYFUNCTION("""COMPUTED_VALUE"""),"")</f>
        <v/>
      </c>
      <c r="AC377" s="1" t="str">
        <f>IFERROR(__xludf.DUMMYFUNCTION("""COMPUTED_VALUE"""),"")</f>
        <v/>
      </c>
      <c r="AD377" s="1" t="str">
        <f>IFERROR(__xludf.DUMMYFUNCTION("""COMPUTED_VALUE"""),"")</f>
        <v/>
      </c>
      <c r="AE377" s="1" t="str">
        <f>IFERROR(__xludf.DUMMYFUNCTION("""COMPUTED_VALUE"""),"")</f>
        <v/>
      </c>
      <c r="AF377" s="1" t="str">
        <f>IFERROR(__xludf.DUMMYFUNCTION("""COMPUTED_VALUE"""),"")</f>
        <v/>
      </c>
      <c r="AG377" s="1" t="str">
        <f>IFERROR(__xludf.DUMMYFUNCTION("""COMPUTED_VALUE"""),"")</f>
        <v/>
      </c>
      <c r="AH377" s="1" t="str">
        <f>IFERROR(__xludf.DUMMYFUNCTION("""COMPUTED_VALUE"""),"Media Monitoring")</f>
        <v>Media Monitoring</v>
      </c>
      <c r="AI377" s="2" t="str">
        <f>IFERROR(__xludf.DUMMYFUNCTION("""COMPUTED_VALUE"""),"https://www.wndu.com/2024/06/04/1-billion-microsoft-data-center-coming-laporte/")</f>
        <v>https://www.wndu.com/2024/06/04/1-billion-microsoft-data-center-coming-laporte/</v>
      </c>
      <c r="AJ377" s="2" t="str">
        <f>IFERROR(__xludf.DUMMYFUNCTION("""COMPUTED_VALUE"""),"https://www.datacenterdynamics.com/en/news/microsoft-expands-plans-for-la-porte-indiana-data-center-campus/")</f>
        <v>https://www.datacenterdynamics.com/en/news/microsoft-expands-plans-for-la-porte-indiana-data-center-campus/</v>
      </c>
      <c r="AK377" s="2" t="str">
        <f>IFERROR(__xludf.DUMMYFUNCTION("""COMPUTED_VALUE"""),"https://www.datacenterdynamics.com/en/news/microsoft-breaks-ground-on-data-center-campus-in-la-porte-indiana/")</f>
        <v>https://www.datacenterdynamics.com/en/news/microsoft-breaks-ground-on-data-center-campus-in-la-porte-indiana/</v>
      </c>
      <c r="AL377" s="1" t="str">
        <f>IFERROR(__xludf.DUMMYFUNCTION("""COMPUTED_VALUE"""),"")</f>
        <v/>
      </c>
      <c r="AM377" s="1" t="str">
        <f>IFERROR(__xludf.DUMMYFUNCTION("""COMPUTED_VALUE"""),"")</f>
        <v/>
      </c>
      <c r="AN377" s="1" t="str">
        <f>IFERROR(__xludf.DUMMYFUNCTION("""COMPUTED_VALUE"""),"")</f>
        <v/>
      </c>
      <c r="AO377" s="1" t="str">
        <f>IFERROR(__xludf.DUMMYFUNCTION("""COMPUTED_VALUE"""),"")</f>
        <v/>
      </c>
      <c r="AP377" s="1" t="str">
        <f>IFERROR(__xludf.DUMMYFUNCTION("""COMPUTED_VALUE"""),"")</f>
        <v/>
      </c>
      <c r="AQ377" s="1" t="str">
        <f>IFERROR(__xludf.DUMMYFUNCTION("""COMPUTED_VALUE"""),"05/26/2025")</f>
        <v>05/26/2025</v>
      </c>
      <c r="AR377" s="1" t="str">
        <f>IFERROR(__xludf.DUMMYFUNCTION("""COMPUTED_VALUE"""),"06/22/2026")</f>
        <v>06/22/2026</v>
      </c>
    </row>
    <row r="378">
      <c r="A378" s="1" t="str">
        <f>IFERROR(__xludf.DUMMYFUNCTION("""COMPUTED_VALUE"""),"Project Domino")</f>
        <v>Project Domino</v>
      </c>
      <c r="B378" s="1" t="str">
        <f>IFERROR(__xludf.DUMMYFUNCTION("""COMPUTED_VALUE"""),"")</f>
        <v/>
      </c>
      <c r="C378" s="1" t="str">
        <f>IFERROR(__xludf.DUMMYFUNCTION("""COMPUTED_VALUE"""),"Lebanon")</f>
        <v>Lebanon</v>
      </c>
      <c r="D378" s="1" t="str">
        <f>IFERROR(__xludf.DUMMYFUNCTION("""COMPUTED_VALUE"""),"IN")</f>
        <v>IN</v>
      </c>
      <c r="E378" s="1" t="str">
        <f>IFERROR(__xludf.DUMMYFUNCTION("""COMPUTED_VALUE"""),"46052")</f>
        <v>46052</v>
      </c>
      <c r="F378" s="1" t="str">
        <f>IFERROR(__xludf.DUMMYFUNCTION("""COMPUTED_VALUE"""),"Boone")</f>
        <v>Boone</v>
      </c>
      <c r="G378" s="1" t="str">
        <f>IFERROR(__xludf.DUMMYFUNCTION("""COMPUTED_VALUE"""),"40.05408")</f>
        <v>40.05408</v>
      </c>
      <c r="H378" s="1" t="str">
        <f>IFERROR(__xludf.DUMMYFUNCTION("""COMPUTED_VALUE"""),"-86.538")</f>
        <v>-86.538</v>
      </c>
      <c r="I378" s="1" t="str">
        <f>IFERROR(__xludf.DUMMYFUNCTION("""COMPUTED_VALUE"""),"Approved/Permitted/Under construction")</f>
        <v>Approved/Permitted/Under construction</v>
      </c>
      <c r="J378" s="1" t="str">
        <f>IFERROR(__xludf.DUMMYFUNCTION("""COMPUTED_VALUE"""),"High")</f>
        <v>High</v>
      </c>
      <c r="K378" s="1" t="str">
        <f>IFERROR(__xludf.DUMMYFUNCTION("""COMPUTED_VALUE"""),"")</f>
        <v/>
      </c>
      <c r="L378" s="1" t="str">
        <f>IFERROR(__xludf.DUMMYFUNCTION("""COMPUTED_VALUE"""),"Meta")</f>
        <v>Meta</v>
      </c>
      <c r="M378" s="1" t="str">
        <f>IFERROR(__xludf.DUMMYFUNCTION("""COMPUTED_VALUE"""),"")</f>
        <v/>
      </c>
      <c r="N378" s="1" t="str">
        <f>IFERROR(__xludf.DUMMYFUNCTION("""COMPUTED_VALUE"""),"1000")</f>
        <v>1000</v>
      </c>
      <c r="O378" s="1" t="str">
        <f>IFERROR(__xludf.DUMMYFUNCTION("""COMPUTED_VALUE"""),"Mega campus (&gt;1,000 MW)")</f>
        <v>Mega campus (&gt;1,000 MW)</v>
      </c>
      <c r="P378" s="1" t="str">
        <f>IFERROR(__xludf.DUMMYFUNCTION("""COMPUTED_VALUE"""),"")</f>
        <v/>
      </c>
      <c r="Q378" s="1" t="str">
        <f>IFERROR(__xludf.DUMMYFUNCTION("""COMPUTED_VALUE"""),"")</f>
        <v/>
      </c>
      <c r="R378" s="1" t="str">
        <f>IFERROR(__xludf.DUMMYFUNCTION("""COMPUTED_VALUE"""),"")</f>
        <v/>
      </c>
      <c r="S378" s="1" t="str">
        <f>IFERROR(__xludf.DUMMYFUNCTION("""COMPUTED_VALUE"""),"15")</f>
        <v>15</v>
      </c>
      <c r="T378" s="1" t="str">
        <f>IFERROR(__xludf.DUMMYFUNCTION("""COMPUTED_VALUE"""),"")</f>
        <v/>
      </c>
      <c r="U378" s="1" t="str">
        <f>IFERROR(__xludf.DUMMYFUNCTION("""COMPUTED_VALUE"""),"")</f>
        <v/>
      </c>
      <c r="V378" s="1" t="str">
        <f>IFERROR(__xludf.DUMMYFUNCTION("""COMPUTED_VALUE"""),"")</f>
        <v/>
      </c>
      <c r="W378" s="1" t="str">
        <f>IFERROR(__xludf.DUMMYFUNCTION("""COMPUTED_VALUE"""),"1500")</f>
        <v>1500</v>
      </c>
      <c r="X378" s="1" t="str">
        <f>IFERROR(__xludf.DUMMYFUNCTION("""COMPUTED_VALUE"""),"$4 billion")</f>
        <v>$4 billion</v>
      </c>
      <c r="Y378" s="1" t="str">
        <f>IFERROR(__xludf.DUMMYFUNCTION("""COMPUTED_VALUE"""),"")</f>
        <v/>
      </c>
      <c r="Z378" s="1" t="str">
        <f>IFERROR(__xludf.DUMMYFUNCTION("""COMPUTED_VALUE"""),"Unknown")</f>
        <v>Unknown</v>
      </c>
      <c r="AA378" s="1" t="str">
        <f>IFERROR(__xludf.DUMMYFUNCTION("""COMPUTED_VALUE"""),"")</f>
        <v/>
      </c>
      <c r="AB378" s="1" t="str">
        <f>IFERROR(__xludf.DUMMYFUNCTION("""COMPUTED_VALUE"""),"")</f>
        <v/>
      </c>
      <c r="AC378" s="1" t="str">
        <f>IFERROR(__xludf.DUMMYFUNCTION("""COMPUTED_VALUE"""),"")</f>
        <v/>
      </c>
      <c r="AD378" s="1" t="str">
        <f>IFERROR(__xludf.DUMMYFUNCTION("""COMPUTED_VALUE"""),"")</f>
        <v/>
      </c>
      <c r="AE378" s="1" t="str">
        <f>IFERROR(__xludf.DUMMYFUNCTION("""COMPUTED_VALUE"""),"")</f>
        <v/>
      </c>
      <c r="AF378" s="1" t="str">
        <f>IFERROR(__xludf.DUMMYFUNCTION("""COMPUTED_VALUE"""),"")</f>
        <v/>
      </c>
      <c r="AG378" s="1" t="str">
        <f>IFERROR(__xludf.DUMMYFUNCTION("""COMPUTED_VALUE"""),"Project Domino")</f>
        <v>Project Domino</v>
      </c>
      <c r="AH378" s="1" t="str">
        <f>IFERROR(__xludf.DUMMYFUNCTION("""COMPUTED_VALUE"""),"Media Monitoring")</f>
        <v>Media Monitoring</v>
      </c>
      <c r="AI378" s="2" t="str">
        <f>IFERROR(__xludf.DUMMYFUNCTION("""COMPUTED_VALUE"""),"https://www.datacenterdynamics.com/en/news/meta-set-to-develop-1500-acre-data-center-campus-outside-indianapolis-indiana/")</f>
        <v>https://www.datacenterdynamics.com/en/news/meta-set-to-develop-1500-acre-data-center-campus-outside-indianapolis-indiana/</v>
      </c>
      <c r="AJ378" s="2" t="str">
        <f>IFERROR(__xludf.DUMMYFUNCTION("""COMPUTED_VALUE"""),"https://fox59.com/indiana-news/metas-1500-acre-data-center-marches-forward-in-lebanon/")</f>
        <v>https://fox59.com/indiana-news/metas-1500-acre-data-center-marches-forward-in-lebanon/</v>
      </c>
      <c r="AK378" s="2" t="str">
        <f>IFERROR(__xludf.DUMMYFUNCTION("""COMPUTED_VALUE"""),"https://www.datacenterdynamics.com/en/news/meta-announces-1gw-data-center-campus-in-indiana/")</f>
        <v>https://www.datacenterdynamics.com/en/news/meta-announces-1gw-data-center-campus-in-indiana/</v>
      </c>
      <c r="AL378" s="1" t="str">
        <f>IFERROR(__xludf.DUMMYFUNCTION("""COMPUTED_VALUE"""),"")</f>
        <v/>
      </c>
      <c r="AM378" s="1" t="str">
        <f>IFERROR(__xludf.DUMMYFUNCTION("""COMPUTED_VALUE"""),"")</f>
        <v/>
      </c>
      <c r="AN378" s="1" t="str">
        <f>IFERROR(__xludf.DUMMYFUNCTION("""COMPUTED_VALUE"""),"")</f>
        <v/>
      </c>
      <c r="AO378" s="1" t="str">
        <f>IFERROR(__xludf.DUMMYFUNCTION("""COMPUTED_VALUE"""),"")</f>
        <v/>
      </c>
      <c r="AP378" s="1" t="str">
        <f>IFERROR(__xludf.DUMMYFUNCTION("""COMPUTED_VALUE"""),"")</f>
        <v/>
      </c>
      <c r="AQ378" s="1" t="str">
        <f>IFERROR(__xludf.DUMMYFUNCTION("""COMPUTED_VALUE"""),"05/27/2025")</f>
        <v>05/27/2025</v>
      </c>
      <c r="AR378" s="1" t="str">
        <f>IFERROR(__xludf.DUMMYFUNCTION("""COMPUTED_VALUE"""),"02/20/2026")</f>
        <v>02/20/2026</v>
      </c>
    </row>
    <row r="379">
      <c r="A379" s="1" t="str">
        <f>IFERROR(__xludf.DUMMYFUNCTION("""COMPUTED_VALUE"""),"Prologis")</f>
        <v>Prologis</v>
      </c>
      <c r="B379" s="1" t="str">
        <f>IFERROR(__xludf.DUMMYFUNCTION("""COMPUTED_VALUE"""),"3375-3001 W 700 N")</f>
        <v>3375-3001 W 700 N</v>
      </c>
      <c r="C379" s="1" t="str">
        <f>IFERROR(__xludf.DUMMYFUNCTION("""COMPUTED_VALUE"""),"Leesburg")</f>
        <v>Leesburg</v>
      </c>
      <c r="D379" s="1" t="str">
        <f>IFERROR(__xludf.DUMMYFUNCTION("""COMPUTED_VALUE"""),"IN")</f>
        <v>IN</v>
      </c>
      <c r="E379" s="1" t="str">
        <f>IFERROR(__xludf.DUMMYFUNCTION("""COMPUTED_VALUE"""),"46538")</f>
        <v>46538</v>
      </c>
      <c r="F379" s="1" t="str">
        <f>IFERROR(__xludf.DUMMYFUNCTION("""COMPUTED_VALUE"""),"Kosciusko")</f>
        <v>Kosciusko</v>
      </c>
      <c r="G379" s="1" t="str">
        <f>IFERROR(__xludf.DUMMYFUNCTION("""COMPUTED_VALUE"""),"41.334984")</f>
        <v>41.334984</v>
      </c>
      <c r="H379" s="1" t="str">
        <f>IFERROR(__xludf.DUMMYFUNCTION("""COMPUTED_VALUE"""),"-85.90404")</f>
        <v>-85.90404</v>
      </c>
      <c r="I379" s="1" t="str">
        <f>IFERROR(__xludf.DUMMYFUNCTION("""COMPUTED_VALUE"""),"Cancelled")</f>
        <v>Cancelled</v>
      </c>
      <c r="J379" s="1" t="str">
        <f>IFERROR(__xludf.DUMMYFUNCTION("""COMPUTED_VALUE"""),"High")</f>
        <v>High</v>
      </c>
      <c r="K379" s="1" t="str">
        <f>IFERROR(__xludf.DUMMYFUNCTION("""COMPUTED_VALUE"""),"")</f>
        <v/>
      </c>
      <c r="L379" s="1" t="str">
        <f>IFERROR(__xludf.DUMMYFUNCTION("""COMPUTED_VALUE"""),"")</f>
        <v/>
      </c>
      <c r="M379" s="1" t="str">
        <f>IFERROR(__xludf.DUMMYFUNCTION("""COMPUTED_VALUE"""),"")</f>
        <v/>
      </c>
      <c r="N379" s="1" t="str">
        <f>IFERROR(__xludf.DUMMYFUNCTION("""COMPUTED_VALUE"""),"")</f>
        <v/>
      </c>
      <c r="O379" s="1" t="str">
        <f>IFERROR(__xludf.DUMMYFUNCTION("""COMPUTED_VALUE"""),"Hyperscale (100-999 MW)")</f>
        <v>Hyperscale (100-999 MW)</v>
      </c>
      <c r="P379" s="1" t="str">
        <f>IFERROR(__xludf.DUMMYFUNCTION("""COMPUTED_VALUE"""),"")</f>
        <v/>
      </c>
      <c r="Q379" s="1" t="str">
        <f>IFERROR(__xludf.DUMMYFUNCTION("""COMPUTED_VALUE"""),"")</f>
        <v/>
      </c>
      <c r="R379" s="1" t="str">
        <f>IFERROR(__xludf.DUMMYFUNCTION("""COMPUTED_VALUE"""),"")</f>
        <v/>
      </c>
      <c r="S379" s="1" t="str">
        <f>IFERROR(__xludf.DUMMYFUNCTION("""COMPUTED_VALUE"""),"")</f>
        <v/>
      </c>
      <c r="T379" s="1" t="str">
        <f>IFERROR(__xludf.DUMMYFUNCTION("""COMPUTED_VALUE"""),"")</f>
        <v/>
      </c>
      <c r="U379" s="1" t="str">
        <f>IFERROR(__xludf.DUMMYFUNCTION("""COMPUTED_VALUE"""),"")</f>
        <v/>
      </c>
      <c r="V379" s="1" t="str">
        <f>IFERROR(__xludf.DUMMYFUNCTION("""COMPUTED_VALUE"""),"")</f>
        <v/>
      </c>
      <c r="W379" s="1" t="str">
        <f>IFERROR(__xludf.DUMMYFUNCTION("""COMPUTED_VALUE"""),"550")</f>
        <v>550</v>
      </c>
      <c r="X379" s="1" t="str">
        <f>IFERROR(__xludf.DUMMYFUNCTION("""COMPUTED_VALUE"""),"$10 billion")</f>
        <v>$10 billion</v>
      </c>
      <c r="Y379" s="1" t="str">
        <f>IFERROR(__xludf.DUMMYFUNCTION("""COMPUTED_VALUE"""),"")</f>
        <v/>
      </c>
      <c r="Z379" s="1" t="str">
        <f>IFERROR(__xludf.DUMMYFUNCTION("""COMPUTED_VALUE"""),"Yes")</f>
        <v>Yes</v>
      </c>
      <c r="AA379" s="1" t="str">
        <f>IFERROR(__xludf.DUMMYFUNCTION("""COMPUTED_VALUE"""),"")</f>
        <v/>
      </c>
      <c r="AB379" s="1" t="str">
        <f>IFERROR(__xludf.DUMMYFUNCTION("""COMPUTED_VALUE"""),"")</f>
        <v/>
      </c>
      <c r="AC379" s="1" t="str">
        <f>IFERROR(__xludf.DUMMYFUNCTION("""COMPUTED_VALUE"""),"")</f>
        <v/>
      </c>
      <c r="AD379" s="1" t="str">
        <f>IFERROR(__xludf.DUMMYFUNCTION("""COMPUTED_VALUE"""),"")</f>
        <v/>
      </c>
      <c r="AE379" s="1" t="str">
        <f>IFERROR(__xludf.DUMMYFUNCTION("""COMPUTED_VALUE"""),"")</f>
        <v/>
      </c>
      <c r="AF379" s="1" t="str">
        <f>IFERROR(__xludf.DUMMYFUNCTION("""COMPUTED_VALUE"""),"")</f>
        <v/>
      </c>
      <c r="AG379" s="1" t="str">
        <f>IFERROR(__xludf.DUMMYFUNCTION("""COMPUTED_VALUE"""),"Rejected by county’s planning commission")</f>
        <v>Rejected by county’s planning commission</v>
      </c>
      <c r="AH379" s="1" t="str">
        <f>IFERROR(__xludf.DUMMYFUNCTION("""COMPUTED_VALUE"""),"Media Monitoring")</f>
        <v>Media Monitoring</v>
      </c>
      <c r="AI379" s="2" t="str">
        <f>IFERROR(__xludf.DUMMYFUNCTION("""COMPUTED_VALUE"""),"https://www.datacenterdynamics.com/en/news/prologis-data-center-proposal-in-kosciusko-county-indiana-denied/")</f>
        <v>https://www.datacenterdynamics.com/en/news/prologis-data-center-proposal-in-kosciusko-county-indiana-denied/</v>
      </c>
      <c r="AJ379" s="2" t="str">
        <f>IFERROR(__xludf.DUMMYFUNCTION("""COMPUTED_VALUE"""),"https://wsbt.com/news/local/proposed-data-center-kosciusko-county-denied-planning-commission-rezone-550-acres-farmland-mystery-company-project-property-facility-people-crowd-signatures-petitioner-transmission-power-bolt-lines-indiana")</f>
        <v>https://wsbt.com/news/local/proposed-data-center-kosciusko-county-denied-planning-commission-rezone-550-acres-farmland-mystery-company-project-property-facility-people-crowd-signatures-petitioner-transmission-power-bolt-lines-indiana</v>
      </c>
      <c r="AK379" s="1" t="str">
        <f>IFERROR(__xludf.DUMMYFUNCTION("""COMPUTED_VALUE"""),"")</f>
        <v/>
      </c>
      <c r="AL379" s="1" t="str">
        <f>IFERROR(__xludf.DUMMYFUNCTION("""COMPUTED_VALUE"""),"")</f>
        <v/>
      </c>
      <c r="AM379" s="1" t="str">
        <f>IFERROR(__xludf.DUMMYFUNCTION("""COMPUTED_VALUE"""),"")</f>
        <v/>
      </c>
      <c r="AN379" s="1" t="str">
        <f>IFERROR(__xludf.DUMMYFUNCTION("""COMPUTED_VALUE"""),"")</f>
        <v/>
      </c>
      <c r="AO379" s="1" t="str">
        <f>IFERROR(__xludf.DUMMYFUNCTION("""COMPUTED_VALUE"""),"")</f>
        <v/>
      </c>
      <c r="AP379" s="1" t="str">
        <f>IFERROR(__xludf.DUMMYFUNCTION("""COMPUTED_VALUE"""),"")</f>
        <v/>
      </c>
      <c r="AQ379" s="1" t="str">
        <f>IFERROR(__xludf.DUMMYFUNCTION("""COMPUTED_VALUE"""),"11/19/2025")</f>
        <v>11/19/2025</v>
      </c>
      <c r="AR379" s="1" t="str">
        <f>IFERROR(__xludf.DUMMYFUNCTION("""COMPUTED_VALUE"""),"11/19/2025")</f>
        <v>11/19/2025</v>
      </c>
    </row>
    <row r="380">
      <c r="A380" s="1" t="str">
        <f>IFERROR(__xludf.DUMMYFUNCTION("""COMPUTED_VALUE"""),"Jefferson Proving Ground Data Center")</f>
        <v>Jefferson Proving Ground Data Center</v>
      </c>
      <c r="B380" s="1" t="str">
        <f>IFERROR(__xludf.DUMMYFUNCTION("""COMPUTED_VALUE"""),"1661 W JPG Niblo Rd")</f>
        <v>1661 W JPG Niblo Rd</v>
      </c>
      <c r="C380" s="1" t="str">
        <f>IFERROR(__xludf.DUMMYFUNCTION("""COMPUTED_VALUE"""),"Madison")</f>
        <v>Madison</v>
      </c>
      <c r="D380" s="1" t="str">
        <f>IFERROR(__xludf.DUMMYFUNCTION("""COMPUTED_VALUE"""),"IN")</f>
        <v>IN</v>
      </c>
      <c r="E380" s="1" t="str">
        <f>IFERROR(__xludf.DUMMYFUNCTION("""COMPUTED_VALUE"""),"47250")</f>
        <v>47250</v>
      </c>
      <c r="F380" s="1" t="str">
        <f>IFERROR(__xludf.DUMMYFUNCTION("""COMPUTED_VALUE"""),"Jefferson")</f>
        <v>Jefferson</v>
      </c>
      <c r="G380" s="1" t="str">
        <f>IFERROR(__xludf.DUMMYFUNCTION("""COMPUTED_VALUE"""),"38.83886")</f>
        <v>38.83886</v>
      </c>
      <c r="H380" s="1" t="str">
        <f>IFERROR(__xludf.DUMMYFUNCTION("""COMPUTED_VALUE"""),"-85.413666")</f>
        <v>-85.413666</v>
      </c>
      <c r="I380" s="1" t="str">
        <f>IFERROR(__xludf.DUMMYFUNCTION("""COMPUTED_VALUE"""),"Proposed")</f>
        <v>Proposed</v>
      </c>
      <c r="J380" s="1" t="str">
        <f>IFERROR(__xludf.DUMMYFUNCTION("""COMPUTED_VALUE"""),"Low")</f>
        <v>Low</v>
      </c>
      <c r="K380" s="1" t="str">
        <f>IFERROR(__xludf.DUMMYFUNCTION("""COMPUTED_VALUE"""),"")</f>
        <v/>
      </c>
      <c r="L380" s="1" t="str">
        <f>IFERROR(__xludf.DUMMYFUNCTION("""COMPUTED_VALUE"""),"")</f>
        <v/>
      </c>
      <c r="M380" s="1" t="str">
        <f>IFERROR(__xludf.DUMMYFUNCTION("""COMPUTED_VALUE"""),"")</f>
        <v/>
      </c>
      <c r="N380" s="1" t="str">
        <f>IFERROR(__xludf.DUMMYFUNCTION("""COMPUTED_VALUE"""),"")</f>
        <v/>
      </c>
      <c r="O380" s="1" t="str">
        <f>IFERROR(__xludf.DUMMYFUNCTION("""COMPUTED_VALUE"""),"Unknown")</f>
        <v>Unknown</v>
      </c>
      <c r="P380" s="1" t="str">
        <f>IFERROR(__xludf.DUMMYFUNCTION("""COMPUTED_VALUE"""),"")</f>
        <v/>
      </c>
      <c r="Q380" s="1" t="str">
        <f>IFERROR(__xludf.DUMMYFUNCTION("""COMPUTED_VALUE"""),"")</f>
        <v/>
      </c>
      <c r="R380" s="1" t="str">
        <f>IFERROR(__xludf.DUMMYFUNCTION("""COMPUTED_VALUE"""),"")</f>
        <v/>
      </c>
      <c r="S380" s="1" t="str">
        <f>IFERROR(__xludf.DUMMYFUNCTION("""COMPUTED_VALUE"""),"")</f>
        <v/>
      </c>
      <c r="T380" s="1" t="str">
        <f>IFERROR(__xludf.DUMMYFUNCTION("""COMPUTED_VALUE"""),"")</f>
        <v/>
      </c>
      <c r="U380" s="1" t="str">
        <f>IFERROR(__xludf.DUMMYFUNCTION("""COMPUTED_VALUE"""),"")</f>
        <v/>
      </c>
      <c r="V380" s="1" t="str">
        <f>IFERROR(__xludf.DUMMYFUNCTION("""COMPUTED_VALUE"""),"")</f>
        <v/>
      </c>
      <c r="W380" s="1" t="str">
        <f>IFERROR(__xludf.DUMMYFUNCTION("""COMPUTED_VALUE"""),"")</f>
        <v/>
      </c>
      <c r="X380" s="1" t="str">
        <f>IFERROR(__xludf.DUMMYFUNCTION("""COMPUTED_VALUE"""),"")</f>
        <v/>
      </c>
      <c r="Y380" s="1" t="str">
        <f>IFERROR(__xludf.DUMMYFUNCTION("""COMPUTED_VALUE"""),"")</f>
        <v/>
      </c>
      <c r="Z380" s="1" t="str">
        <f>IFERROR(__xludf.DUMMYFUNCTION("""COMPUTED_VALUE"""),"Unknown")</f>
        <v>Unknown</v>
      </c>
      <c r="AA380" s="1" t="str">
        <f>IFERROR(__xludf.DUMMYFUNCTION("""COMPUTED_VALUE"""),"")</f>
        <v/>
      </c>
      <c r="AB380" s="1" t="str">
        <f>IFERROR(__xludf.DUMMYFUNCTION("""COMPUTED_VALUE"""),"")</f>
        <v/>
      </c>
      <c r="AC380" s="1" t="str">
        <f>IFERROR(__xludf.DUMMYFUNCTION("""COMPUTED_VALUE"""),"")</f>
        <v/>
      </c>
      <c r="AD380" s="1" t="str">
        <f>IFERROR(__xludf.DUMMYFUNCTION("""COMPUTED_VALUE"""),"")</f>
        <v/>
      </c>
      <c r="AE380" s="1" t="str">
        <f>IFERROR(__xludf.DUMMYFUNCTION("""COMPUTED_VALUE"""),"")</f>
        <v/>
      </c>
      <c r="AF380" s="1" t="str">
        <f>IFERROR(__xludf.DUMMYFUNCTION("""COMPUTED_VALUE"""),"")</f>
        <v/>
      </c>
      <c r="AG380" s="1" t="str">
        <f>IFERROR(__xludf.DUMMYFUNCTION("""COMPUTED_VALUE"""),"Owner has sold an old army munitions site that he is working to develop as a data center site. Dependent on reclassification of the land into an economic revitalization area - voted on May 19 2026.")</f>
        <v>Owner has sold an old army munitions site that he is working to develop as a data center site. Dependent on reclassification of the land into an economic revitalization area - voted on May 19 2026.</v>
      </c>
      <c r="AH380" s="1" t="str">
        <f>IFERROR(__xludf.DUMMYFUNCTION("""COMPUTED_VALUE"""),"Crowdsourced")</f>
        <v>Crowdsourced</v>
      </c>
      <c r="AI380" s="2" t="str">
        <f>IFERROR(__xludf.DUMMYFUNCTION("""COMPUTED_VALUE"""),"https://www.whas11.com/article/news/local/southern-indiana-data-center-farm-selling-land/417-474f70f2-c68b-42b3-ac69-e28680fb66d3")</f>
        <v>https://www.whas11.com/article/news/local/southern-indiana-data-center-farm-selling-land/417-474f70f2-c68b-42b3-ac69-e28680fb66d3</v>
      </c>
      <c r="AJ380" s="2" t="str">
        <f>IFERROR(__xludf.DUMMYFUNCTION("""COMPUTED_VALUE"""),"https://www.jeffersoncounty.in.gov/m/newsflash/home/detail/170")</f>
        <v>https://www.jeffersoncounty.in.gov/m/newsflash/home/detail/170</v>
      </c>
      <c r="AK380" s="1" t="str">
        <f>IFERROR(__xludf.DUMMYFUNCTION("""COMPUTED_VALUE"""),"")</f>
        <v/>
      </c>
      <c r="AL380" s="1" t="str">
        <f>IFERROR(__xludf.DUMMYFUNCTION("""COMPUTED_VALUE"""),"")</f>
        <v/>
      </c>
      <c r="AM380" s="1" t="str">
        <f>IFERROR(__xludf.DUMMYFUNCTION("""COMPUTED_VALUE"""),"")</f>
        <v/>
      </c>
      <c r="AN380" s="1" t="str">
        <f>IFERROR(__xludf.DUMMYFUNCTION("""COMPUTED_VALUE"""),"")</f>
        <v/>
      </c>
      <c r="AO380" s="1" t="str">
        <f>IFERROR(__xludf.DUMMYFUNCTION("""COMPUTED_VALUE"""),"")</f>
        <v/>
      </c>
      <c r="AP380" s="1" t="str">
        <f>IFERROR(__xludf.DUMMYFUNCTION("""COMPUTED_VALUE"""),"")</f>
        <v/>
      </c>
      <c r="AQ380" s="1" t="str">
        <f>IFERROR(__xludf.DUMMYFUNCTION("""COMPUTED_VALUE"""),"05/19/2026")</f>
        <v>05/19/2026</v>
      </c>
      <c r="AR380" s="1" t="str">
        <f>IFERROR(__xludf.DUMMYFUNCTION("""COMPUTED_VALUE"""),"05/19/2026")</f>
        <v>05/19/2026</v>
      </c>
    </row>
    <row r="381">
      <c r="A381" s="1" t="str">
        <f>IFERROR(__xludf.DUMMYFUNCTION("""COMPUTED_VALUE"""),"Surge Development LLC")</f>
        <v>Surge Development LLC</v>
      </c>
      <c r="B381" s="1" t="str">
        <f>IFERROR(__xludf.DUMMYFUNCTION("""COMPUTED_VALUE"""),"N 400 W and W 500 N County Rds")</f>
        <v>N 400 W and W 500 N County Rds</v>
      </c>
      <c r="C381" s="1" t="str">
        <f>IFERROR(__xludf.DUMMYFUNCTION("""COMPUTED_VALUE"""),"McCordsville")</f>
        <v>McCordsville</v>
      </c>
      <c r="D381" s="1" t="str">
        <f>IFERROR(__xludf.DUMMYFUNCTION("""COMPUTED_VALUE"""),"IN")</f>
        <v>IN</v>
      </c>
      <c r="E381" s="1" t="str">
        <f>IFERROR(__xludf.DUMMYFUNCTION("""COMPUTED_VALUE"""),"46055")</f>
        <v>46055</v>
      </c>
      <c r="F381" s="1" t="str">
        <f>IFERROR(__xludf.DUMMYFUNCTION("""COMPUTED_VALUE"""),"Hancock")</f>
        <v>Hancock</v>
      </c>
      <c r="G381" s="1" t="str">
        <f>IFERROR(__xludf.DUMMYFUNCTION("""COMPUTED_VALUE"""),"39.8564")</f>
        <v>39.8564</v>
      </c>
      <c r="H381" s="1" t="str">
        <f>IFERROR(__xludf.DUMMYFUNCTION("""COMPUTED_VALUE"""),"-85.8785")</f>
        <v>-85.8785</v>
      </c>
      <c r="I381" s="1" t="str">
        <f>IFERROR(__xludf.DUMMYFUNCTION("""COMPUTED_VALUE"""),"Cancelled")</f>
        <v>Cancelled</v>
      </c>
      <c r="J381" s="1" t="str">
        <f>IFERROR(__xludf.DUMMYFUNCTION("""COMPUTED_VALUE"""),"High")</f>
        <v>High</v>
      </c>
      <c r="K381" s="1" t="str">
        <f>IFERROR(__xludf.DUMMYFUNCTION("""COMPUTED_VALUE"""),"")</f>
        <v/>
      </c>
      <c r="L381" s="1" t="str">
        <f>IFERROR(__xludf.DUMMYFUNCTION("""COMPUTED_VALUE"""),"")</f>
        <v/>
      </c>
      <c r="M381" s="1" t="str">
        <f>IFERROR(__xludf.DUMMYFUNCTION("""COMPUTED_VALUE"""),"")</f>
        <v/>
      </c>
      <c r="N381" s="1" t="str">
        <f>IFERROR(__xludf.DUMMYFUNCTION("""COMPUTED_VALUE"""),"")</f>
        <v/>
      </c>
      <c r="O381" s="1" t="str">
        <f>IFERROR(__xludf.DUMMYFUNCTION("""COMPUTED_VALUE"""),"Unknown")</f>
        <v>Unknown</v>
      </c>
      <c r="P381" s="1" t="str">
        <f>IFERROR(__xludf.DUMMYFUNCTION("""COMPUTED_VALUE"""),"")</f>
        <v/>
      </c>
      <c r="Q381" s="1" t="str">
        <f>IFERROR(__xludf.DUMMYFUNCTION("""COMPUTED_VALUE"""),"")</f>
        <v/>
      </c>
      <c r="R381" s="1" t="str">
        <f>IFERROR(__xludf.DUMMYFUNCTION("""COMPUTED_VALUE"""),"")</f>
        <v/>
      </c>
      <c r="S381" s="1" t="str">
        <f>IFERROR(__xludf.DUMMYFUNCTION("""COMPUTED_VALUE"""),"")</f>
        <v/>
      </c>
      <c r="T381" s="1" t="str">
        <f>IFERROR(__xludf.DUMMYFUNCTION("""COMPUTED_VALUE"""),"")</f>
        <v/>
      </c>
      <c r="U381" s="1" t="str">
        <f>IFERROR(__xludf.DUMMYFUNCTION("""COMPUTED_VALUE"""),"")</f>
        <v/>
      </c>
      <c r="V381" s="1" t="str">
        <f>IFERROR(__xludf.DUMMYFUNCTION("""COMPUTED_VALUE"""),"")</f>
        <v/>
      </c>
      <c r="W381" s="1" t="str">
        <f>IFERROR(__xludf.DUMMYFUNCTION("""COMPUTED_VALUE"""),"")</f>
        <v/>
      </c>
      <c r="X381" s="1" t="str">
        <f>IFERROR(__xludf.DUMMYFUNCTION("""COMPUTED_VALUE"""),"")</f>
        <v/>
      </c>
      <c r="Y381" s="1" t="str">
        <f>IFERROR(__xludf.DUMMYFUNCTION("""COMPUTED_VALUE"""),"")</f>
        <v/>
      </c>
      <c r="Z381" s="1" t="str">
        <f>IFERROR(__xludf.DUMMYFUNCTION("""COMPUTED_VALUE"""),"Unknown")</f>
        <v>Unknown</v>
      </c>
      <c r="AA381" s="1" t="str">
        <f>IFERROR(__xludf.DUMMYFUNCTION("""COMPUTED_VALUE"""),"")</f>
        <v/>
      </c>
      <c r="AB381" s="1" t="str">
        <f>IFERROR(__xludf.DUMMYFUNCTION("""COMPUTED_VALUE"""),"")</f>
        <v/>
      </c>
      <c r="AC381" s="1" t="str">
        <f>IFERROR(__xludf.DUMMYFUNCTION("""COMPUTED_VALUE"""),"")</f>
        <v/>
      </c>
      <c r="AD381" s="1" t="str">
        <f>IFERROR(__xludf.DUMMYFUNCTION("""COMPUTED_VALUE"""),"")</f>
        <v/>
      </c>
      <c r="AE381" s="1" t="str">
        <f>IFERROR(__xludf.DUMMYFUNCTION("""COMPUTED_VALUE"""),"")</f>
        <v/>
      </c>
      <c r="AF381" s="1" t="str">
        <f>IFERROR(__xludf.DUMMYFUNCTION("""COMPUTED_VALUE"""),"")</f>
        <v/>
      </c>
      <c r="AG381" s="1" t="str">
        <f>IFERROR(__xludf.DUMMYFUNCTION("""COMPUTED_VALUE"""),"")</f>
        <v/>
      </c>
      <c r="AH381" s="1" t="str">
        <f>IFERROR(__xludf.DUMMYFUNCTION("""COMPUTED_VALUE"""),"Media Monitoring")</f>
        <v>Media Monitoring</v>
      </c>
      <c r="AI381" s="2" t="str">
        <f>IFERROR(__xludf.DUMMYFUNCTION("""COMPUTED_VALUE"""),"https://www.wthr.com/article/news/local/public-meeting-set-for-proposed-data-center-campus-in-rural-hancock-county-tuttle-orchards/531-83634bf4-6c95-4d7a-994c-ea114fa0de2c")</f>
        <v>https://www.wthr.com/article/news/local/public-meeting-set-for-proposed-data-center-campus-in-rural-hancock-county-tuttle-orchards/531-83634bf4-6c95-4d7a-994c-ea114fa0de2c</v>
      </c>
      <c r="AJ381" s="2" t="str">
        <f>IFERROR(__xludf.DUMMYFUNCTION("""COMPUTED_VALUE"""),"https://www.wthr.com/article/money/business/application-withdrawn-surge-development-hancock-county-greenfield-data-center-tuttle-orchards/531-48204cbc-eba5-4666-bd66-6e88cb6d2412")</f>
        <v>https://www.wthr.com/article/money/business/application-withdrawn-surge-development-hancock-county-greenfield-data-center-tuttle-orchards/531-48204cbc-eba5-4666-bd66-6e88cb6d2412</v>
      </c>
      <c r="AK381" s="1" t="str">
        <f>IFERROR(__xludf.DUMMYFUNCTION("""COMPUTED_VALUE"""),"")</f>
        <v/>
      </c>
      <c r="AL381" s="1" t="str">
        <f>IFERROR(__xludf.DUMMYFUNCTION("""COMPUTED_VALUE"""),"")</f>
        <v/>
      </c>
      <c r="AM381" s="1" t="str">
        <f>IFERROR(__xludf.DUMMYFUNCTION("""COMPUTED_VALUE"""),"")</f>
        <v/>
      </c>
      <c r="AN381" s="1" t="str">
        <f>IFERROR(__xludf.DUMMYFUNCTION("""COMPUTED_VALUE"""),"")</f>
        <v/>
      </c>
      <c r="AO381" s="1" t="str">
        <f>IFERROR(__xludf.DUMMYFUNCTION("""COMPUTED_VALUE"""),"")</f>
        <v/>
      </c>
      <c r="AP381" s="1" t="str">
        <f>IFERROR(__xludf.DUMMYFUNCTION("""COMPUTED_VALUE"""),"")</f>
        <v/>
      </c>
      <c r="AQ381" s="1" t="str">
        <f>IFERROR(__xludf.DUMMYFUNCTION("""COMPUTED_VALUE"""),"05/14/2025")</f>
        <v>05/14/2025</v>
      </c>
      <c r="AR381" s="1" t="str">
        <f>IFERROR(__xludf.DUMMYFUNCTION("""COMPUTED_VALUE"""),"05/14/2025")</f>
        <v>05/14/2025</v>
      </c>
    </row>
    <row r="382">
      <c r="A382" s="1" t="str">
        <f>IFERROR(__xludf.DUMMYFUNCTION("""COMPUTED_VALUE"""),"Province Group Data Center")</f>
        <v>Province Group Data Center</v>
      </c>
      <c r="B382" s="1" t="str">
        <f>IFERROR(__xludf.DUMMYFUNCTION("""COMPUTED_VALUE"""),"Merrillville Technology Park (Harms Rd and Colorado St)")</f>
        <v>Merrillville Technology Park (Harms Rd and Colorado St)</v>
      </c>
      <c r="C382" s="1" t="str">
        <f>IFERROR(__xludf.DUMMYFUNCTION("""COMPUTED_VALUE"""),"Merrillville")</f>
        <v>Merrillville</v>
      </c>
      <c r="D382" s="1" t="str">
        <f>IFERROR(__xludf.DUMMYFUNCTION("""COMPUTED_VALUE"""),"IN")</f>
        <v>IN</v>
      </c>
      <c r="E382" s="1" t="str">
        <f>IFERROR(__xludf.DUMMYFUNCTION("""COMPUTED_VALUE"""),"46410")</f>
        <v>46410</v>
      </c>
      <c r="F382" s="1" t="str">
        <f>IFERROR(__xludf.DUMMYFUNCTION("""COMPUTED_VALUE"""),"Lake")</f>
        <v>Lake</v>
      </c>
      <c r="G382" s="1" t="str">
        <f>IFERROR(__xludf.DUMMYFUNCTION("""COMPUTED_VALUE"""),"41.45333")</f>
        <v>41.45333</v>
      </c>
      <c r="H382" s="1" t="str">
        <f>IFERROR(__xludf.DUMMYFUNCTION("""COMPUTED_VALUE"""),"-87.3033")</f>
        <v>-87.3033</v>
      </c>
      <c r="I382" s="1" t="str">
        <f>IFERROR(__xludf.DUMMYFUNCTION("""COMPUTED_VALUE"""),"Proposed")</f>
        <v>Proposed</v>
      </c>
      <c r="J382" s="1" t="str">
        <f>IFERROR(__xludf.DUMMYFUNCTION("""COMPUTED_VALUE"""),"Medium")</f>
        <v>Medium</v>
      </c>
      <c r="K382" s="1" t="str">
        <f>IFERROR(__xludf.DUMMYFUNCTION("""COMPUTED_VALUE"""),"")</f>
        <v/>
      </c>
      <c r="L382" s="1" t="str">
        <f>IFERROR(__xludf.DUMMYFUNCTION("""COMPUTED_VALUE"""),"")</f>
        <v/>
      </c>
      <c r="M382" s="1" t="str">
        <f>IFERROR(__xludf.DUMMYFUNCTION("""COMPUTED_VALUE"""),"")</f>
        <v/>
      </c>
      <c r="N382" s="1" t="str">
        <f>IFERROR(__xludf.DUMMYFUNCTION("""COMPUTED_VALUE"""),"")</f>
        <v/>
      </c>
      <c r="O382" s="1" t="str">
        <f>IFERROR(__xludf.DUMMYFUNCTION("""COMPUTED_VALUE"""),"Unknown")</f>
        <v>Unknown</v>
      </c>
      <c r="P382" s="1" t="str">
        <f>IFERROR(__xludf.DUMMYFUNCTION("""COMPUTED_VALUE"""),"")</f>
        <v/>
      </c>
      <c r="Q382" s="1" t="str">
        <f>IFERROR(__xludf.DUMMYFUNCTION("""COMPUTED_VALUE"""),"")</f>
        <v/>
      </c>
      <c r="R382" s="1" t="str">
        <f>IFERROR(__xludf.DUMMYFUNCTION("""COMPUTED_VALUE"""),"")</f>
        <v/>
      </c>
      <c r="S382" s="1" t="str">
        <f>IFERROR(__xludf.DUMMYFUNCTION("""COMPUTED_VALUE"""),"")</f>
        <v/>
      </c>
      <c r="T382" s="1" t="str">
        <f>IFERROR(__xludf.DUMMYFUNCTION("""COMPUTED_VALUE"""),"")</f>
        <v/>
      </c>
      <c r="U382" s="1" t="str">
        <f>IFERROR(__xludf.DUMMYFUNCTION("""COMPUTED_VALUE"""),"")</f>
        <v/>
      </c>
      <c r="V382" s="1" t="str">
        <f>IFERROR(__xludf.DUMMYFUNCTION("""COMPUTED_VALUE"""),"1,000,000")</f>
        <v>1,000,000</v>
      </c>
      <c r="W382" s="1" t="str">
        <f>IFERROR(__xludf.DUMMYFUNCTION("""COMPUTED_VALUE"""),"")</f>
        <v/>
      </c>
      <c r="X382" s="1" t="str">
        <f>IFERROR(__xludf.DUMMYFUNCTION("""COMPUTED_VALUE"""),"$500 million")</f>
        <v>$500 million</v>
      </c>
      <c r="Y382" s="1" t="str">
        <f>IFERROR(__xludf.DUMMYFUNCTION("""COMPUTED_VALUE"""),"")</f>
        <v/>
      </c>
      <c r="Z382" s="1" t="str">
        <f>IFERROR(__xludf.DUMMYFUNCTION("""COMPUTED_VALUE"""),"Unknown")</f>
        <v>Unknown</v>
      </c>
      <c r="AA382" s="1" t="str">
        <f>IFERROR(__xludf.DUMMYFUNCTION("""COMPUTED_VALUE"""),"")</f>
        <v/>
      </c>
      <c r="AB382" s="1" t="str">
        <f>IFERROR(__xludf.DUMMYFUNCTION("""COMPUTED_VALUE"""),"")</f>
        <v/>
      </c>
      <c r="AC382" s="1" t="str">
        <f>IFERROR(__xludf.DUMMYFUNCTION("""COMPUTED_VALUE"""),"")</f>
        <v/>
      </c>
      <c r="AD382" s="1" t="str">
        <f>IFERROR(__xludf.DUMMYFUNCTION("""COMPUTED_VALUE"""),"")</f>
        <v/>
      </c>
      <c r="AE382" s="1" t="str">
        <f>IFERROR(__xludf.DUMMYFUNCTION("""COMPUTED_VALUE"""),"")</f>
        <v/>
      </c>
      <c r="AF382" s="1" t="str">
        <f>IFERROR(__xludf.DUMMYFUNCTION("""COMPUTED_VALUE"""),"")</f>
        <v/>
      </c>
      <c r="AG382" s="1" t="str">
        <f>IFERROR(__xludf.DUMMYFUNCTION("""COMPUTED_VALUE"""),"")</f>
        <v/>
      </c>
      <c r="AH382" s="1" t="str">
        <f>IFERROR(__xludf.DUMMYFUNCTION("""COMPUTED_VALUE"""),"Media Monitoring")</f>
        <v>Media Monitoring</v>
      </c>
      <c r="AI382" s="2" t="str">
        <f>IFERROR(__xludf.DUMMYFUNCTION("""COMPUTED_VALUE"""),"https://www.govtech.com/artificial-intelligence/2b-in-data-center-projects-planned-for-merrillville-ind")</f>
        <v>https://www.govtech.com/artificial-intelligence/2b-in-data-center-projects-planned-for-merrillville-ind</v>
      </c>
      <c r="AJ382" s="2" t="str">
        <f>IFERROR(__xludf.DUMMYFUNCTION("""COMPUTED_VALUE"""),"https://www.datacenterdynamics.com/en/news/nine-building-data-center-campus-proposed-in-northwest-indiana/")</f>
        <v>https://www.datacenterdynamics.com/en/news/nine-building-data-center-campus-proposed-in-northwest-indiana/</v>
      </c>
      <c r="AK382" s="1" t="str">
        <f>IFERROR(__xludf.DUMMYFUNCTION("""COMPUTED_VALUE"""),"")</f>
        <v/>
      </c>
      <c r="AL382" s="1" t="str">
        <f>IFERROR(__xludf.DUMMYFUNCTION("""COMPUTED_VALUE"""),"")</f>
        <v/>
      </c>
      <c r="AM382" s="1" t="str">
        <f>IFERROR(__xludf.DUMMYFUNCTION("""COMPUTED_VALUE"""),"")</f>
        <v/>
      </c>
      <c r="AN382" s="1" t="str">
        <f>IFERROR(__xludf.DUMMYFUNCTION("""COMPUTED_VALUE"""),"")</f>
        <v/>
      </c>
      <c r="AO382" s="1" t="str">
        <f>IFERROR(__xludf.DUMMYFUNCTION("""COMPUTED_VALUE"""),"")</f>
        <v/>
      </c>
      <c r="AP382" s="1" t="str">
        <f>IFERROR(__xludf.DUMMYFUNCTION("""COMPUTED_VALUE"""),"")</f>
        <v/>
      </c>
      <c r="AQ382" s="1" t="str">
        <f>IFERROR(__xludf.DUMMYFUNCTION("""COMPUTED_VALUE"""),"09/03/2025")</f>
        <v>09/03/2025</v>
      </c>
      <c r="AR382" s="1" t="str">
        <f>IFERROR(__xludf.DUMMYFUNCTION("""COMPUTED_VALUE"""),"09/03/2025")</f>
        <v>09/03/2025</v>
      </c>
    </row>
    <row r="383">
      <c r="A383" s="1" t="str">
        <f>IFERROR(__xludf.DUMMYFUNCTION("""COMPUTED_VALUE"""),"Project Maize")</f>
        <v>Project Maize</v>
      </c>
      <c r="B383" s="1" t="str">
        <f>IFERROR(__xludf.DUMMYFUNCTION("""COMPUTED_VALUE"""),"402 Royal Rd")</f>
        <v>402 Royal Rd</v>
      </c>
      <c r="C383" s="1" t="str">
        <f>IFERROR(__xludf.DUMMYFUNCTION("""COMPUTED_VALUE"""),"Michigan City")</f>
        <v>Michigan City</v>
      </c>
      <c r="D383" s="1" t="str">
        <f>IFERROR(__xludf.DUMMYFUNCTION("""COMPUTED_VALUE"""),"IN")</f>
        <v>IN</v>
      </c>
      <c r="E383" s="1" t="str">
        <f>IFERROR(__xludf.DUMMYFUNCTION("""COMPUTED_VALUE"""),"46360")</f>
        <v>46360</v>
      </c>
      <c r="F383" s="1" t="str">
        <f>IFERROR(__xludf.DUMMYFUNCTION("""COMPUTED_VALUE"""),"LaPorte")</f>
        <v>LaPorte</v>
      </c>
      <c r="G383" s="1" t="str">
        <f>IFERROR(__xludf.DUMMYFUNCTION("""COMPUTED_VALUE"""),"41.57408")</f>
        <v>41.57408</v>
      </c>
      <c r="H383" s="1" t="str">
        <f>IFERROR(__xludf.DUMMYFUNCTION("""COMPUTED_VALUE"""),"-86.7276")</f>
        <v>-86.7276</v>
      </c>
      <c r="I383" s="1" t="str">
        <f>IFERROR(__xludf.DUMMYFUNCTION("""COMPUTED_VALUE"""),"Proposed")</f>
        <v>Proposed</v>
      </c>
      <c r="J383" s="1" t="str">
        <f>IFERROR(__xludf.DUMMYFUNCTION("""COMPUTED_VALUE"""),"High")</f>
        <v>High</v>
      </c>
      <c r="K383" s="1" t="str">
        <f>IFERROR(__xludf.DUMMYFUNCTION("""COMPUTED_VALUE"""),"")</f>
        <v/>
      </c>
      <c r="L383" s="1" t="str">
        <f>IFERROR(__xludf.DUMMYFUNCTION("""COMPUTED_VALUE"""),"Google")</f>
        <v>Google</v>
      </c>
      <c r="M383" s="1" t="str">
        <f>IFERROR(__xludf.DUMMYFUNCTION("""COMPUTED_VALUE"""),"")</f>
        <v/>
      </c>
      <c r="N383" s="1" t="str">
        <f>IFERROR(__xludf.DUMMYFUNCTION("""COMPUTED_VALUE"""),"")</f>
        <v/>
      </c>
      <c r="O383" s="1" t="str">
        <f>IFERROR(__xludf.DUMMYFUNCTION("""COMPUTED_VALUE"""),"Unknown")</f>
        <v>Unknown</v>
      </c>
      <c r="P383" s="1" t="str">
        <f>IFERROR(__xludf.DUMMYFUNCTION("""COMPUTED_VALUE"""),"")</f>
        <v/>
      </c>
      <c r="Q383" s="1" t="str">
        <f>IFERROR(__xludf.DUMMYFUNCTION("""COMPUTED_VALUE"""),"")</f>
        <v/>
      </c>
      <c r="R383" s="1" t="str">
        <f>IFERROR(__xludf.DUMMYFUNCTION("""COMPUTED_VALUE"""),"")</f>
        <v/>
      </c>
      <c r="S383" s="1" t="str">
        <f>IFERROR(__xludf.DUMMYFUNCTION("""COMPUTED_VALUE"""),"")</f>
        <v/>
      </c>
      <c r="T383" s="1" t="str">
        <f>IFERROR(__xludf.DUMMYFUNCTION("""COMPUTED_VALUE"""),"")</f>
        <v/>
      </c>
      <c r="U383" s="1" t="str">
        <f>IFERROR(__xludf.DUMMYFUNCTION("""COMPUTED_VALUE"""),"")</f>
        <v/>
      </c>
      <c r="V383" s="1" t="str">
        <f>IFERROR(__xludf.DUMMYFUNCTION("""COMPUTED_VALUE"""),"")</f>
        <v/>
      </c>
      <c r="W383" s="1" t="str">
        <f>IFERROR(__xludf.DUMMYFUNCTION("""COMPUTED_VALUE"""),"")</f>
        <v/>
      </c>
      <c r="X383" s="1" t="str">
        <f>IFERROR(__xludf.DUMMYFUNCTION("""COMPUTED_VALUE"""),"$832 million")</f>
        <v>$832 million</v>
      </c>
      <c r="Y383" s="1" t="str">
        <f>IFERROR(__xludf.DUMMYFUNCTION("""COMPUTED_VALUE"""),"")</f>
        <v/>
      </c>
      <c r="Z383" s="1" t="str">
        <f>IFERROR(__xludf.DUMMYFUNCTION("""COMPUTED_VALUE"""),"Unknown")</f>
        <v>Unknown</v>
      </c>
      <c r="AA383" s="1" t="str">
        <f>IFERROR(__xludf.DUMMYFUNCTION("""COMPUTED_VALUE"""),"")</f>
        <v/>
      </c>
      <c r="AB383" s="1" t="str">
        <f>IFERROR(__xludf.DUMMYFUNCTION("""COMPUTED_VALUE"""),"")</f>
        <v/>
      </c>
      <c r="AC383" s="1" t="str">
        <f>IFERROR(__xludf.DUMMYFUNCTION("""COMPUTED_VALUE"""),"")</f>
        <v/>
      </c>
      <c r="AD383" s="1" t="str">
        <f>IFERROR(__xludf.DUMMYFUNCTION("""COMPUTED_VALUE"""),"")</f>
        <v/>
      </c>
      <c r="AE383" s="1" t="str">
        <f>IFERROR(__xludf.DUMMYFUNCTION("""COMPUTED_VALUE"""),"")</f>
        <v/>
      </c>
      <c r="AF383" s="1" t="str">
        <f>IFERROR(__xludf.DUMMYFUNCTION("""COMPUTED_VALUE"""),"")</f>
        <v/>
      </c>
      <c r="AG383" s="1" t="str">
        <f>IFERROR(__xludf.DUMMYFUNCTION("""COMPUTED_VALUE"""),"Cancelled project taken over by Google, April 2026")</f>
        <v>Cancelled project taken over by Google, April 2026</v>
      </c>
      <c r="AH383" s="1" t="str">
        <f>IFERROR(__xludf.DUMMYFUNCTION("""COMPUTED_VALUE"""),"Media Monitoring")</f>
        <v>Media Monitoring</v>
      </c>
      <c r="AI383" s="2" t="str">
        <f>IFERROR(__xludf.DUMMYFUNCTION("""COMPUTED_VALUE"""),"https://dailyjournal.net/2025/06/26/iedc-board-approves-incentives-for-four-planned-data-center-projects/")</f>
        <v>https://dailyjournal.net/2025/06/26/iedc-board-approves-incentives-for-four-planned-data-center-projects/</v>
      </c>
      <c r="AJ383" s="2" t="str">
        <f>IFERROR(__xludf.DUMMYFUNCTION("""COMPUTED_VALUE"""),"https://indianaeconomicdigest.net/Content/Default/Major-Indiana-News/Article/-832-million-data-center-proposed-for-LaPorte-County/-3/5308/119418")</f>
        <v>https://indianaeconomicdigest.net/Content/Default/Major-Indiana-News/Article/-832-million-data-center-proposed-for-LaPorte-County/-3/5308/119418</v>
      </c>
      <c r="AK383" s="2" t="str">
        <f>IFERROR(__xludf.DUMMYFUNCTION("""COMPUTED_VALUE"""),"https://www.insideindianabusiness.com/articles/michigan-city-mayor-shuts-down-talk-of-data-center-project")</f>
        <v>https://www.insideindianabusiness.com/articles/michigan-city-mayor-shuts-down-talk-of-data-center-project</v>
      </c>
      <c r="AL383" s="2" t="str">
        <f>IFERROR(__xludf.DUMMYFUNCTION("""COMPUTED_VALUE"""),"https://www.datacenterdynamics.com/en/news/no-plans-to-pursue-832m-project-maize-data-center-says-michigan-city-mayor/")</f>
        <v>https://www.datacenterdynamics.com/en/news/no-plans-to-pursue-832m-project-maize-data-center-says-michigan-city-mayor/</v>
      </c>
      <c r="AM383" s="2" t="str">
        <f>IFERROR(__xludf.DUMMYFUNCTION("""COMPUTED_VALUE"""),"https://www.datacenterdynamics.com/en/news/google-takes-over-project-maize-data-center-campus-in-michigan-city-indiana/")</f>
        <v>https://www.datacenterdynamics.com/en/news/google-takes-over-project-maize-data-center-campus-in-michigan-city-indiana/</v>
      </c>
      <c r="AN383" s="1" t="str">
        <f>IFERROR(__xludf.DUMMYFUNCTION("""COMPUTED_VALUE"""),"")</f>
        <v/>
      </c>
      <c r="AO383" s="1" t="str">
        <f>IFERROR(__xludf.DUMMYFUNCTION("""COMPUTED_VALUE"""),"")</f>
        <v/>
      </c>
      <c r="AP383" s="1" t="str">
        <f>IFERROR(__xludf.DUMMYFUNCTION("""COMPUTED_VALUE"""),"")</f>
        <v/>
      </c>
      <c r="AQ383" s="1" t="str">
        <f>IFERROR(__xludf.DUMMYFUNCTION("""COMPUTED_VALUE"""),"07/15/2025")</f>
        <v>07/15/2025</v>
      </c>
      <c r="AR383" s="1" t="str">
        <f>IFERROR(__xludf.DUMMYFUNCTION("""COMPUTED_VALUE"""),"04/22/2026")</f>
        <v>04/22/2026</v>
      </c>
    </row>
    <row r="384">
      <c r="A384" s="1" t="str">
        <f>IFERROR(__xludf.DUMMYFUNCTION("""COMPUTED_VALUE"""),"Project Louie")</f>
        <v>Project Louie</v>
      </c>
      <c r="B384" s="1" t="str">
        <f>IFERROR(__xludf.DUMMYFUNCTION("""COMPUTED_VALUE"""),"between Keller Hill Road, North Antioch Road, Indiana 42, and West Union Church Rds")</f>
        <v>between Keller Hill Road, North Antioch Road, Indiana 42, and West Union Church Rds</v>
      </c>
      <c r="C384" s="1" t="str">
        <f>IFERROR(__xludf.DUMMYFUNCTION("""COMPUTED_VALUE"""),"Monroe Township")</f>
        <v>Monroe Township</v>
      </c>
      <c r="D384" s="1" t="str">
        <f>IFERROR(__xludf.DUMMYFUNCTION("""COMPUTED_VALUE"""),"IN")</f>
        <v>IN</v>
      </c>
      <c r="E384" s="1" t="str">
        <f>IFERROR(__xludf.DUMMYFUNCTION("""COMPUTED_VALUE"""),"46158")</f>
        <v>46158</v>
      </c>
      <c r="F384" s="1" t="str">
        <f>IFERROR(__xludf.DUMMYFUNCTION("""COMPUTED_VALUE"""),"Morgan")</f>
        <v>Morgan</v>
      </c>
      <c r="G384" s="1" t="str">
        <f>IFERROR(__xludf.DUMMYFUNCTION("""COMPUTED_VALUE"""),"39.59592")</f>
        <v>39.59592</v>
      </c>
      <c r="H384" s="1" t="str">
        <f>IFERROR(__xludf.DUMMYFUNCTION("""COMPUTED_VALUE"""),"-86.4602")</f>
        <v>-86.4602</v>
      </c>
      <c r="I384" s="1" t="str">
        <f>IFERROR(__xludf.DUMMYFUNCTION("""COMPUTED_VALUE"""),"Proposed")</f>
        <v>Proposed</v>
      </c>
      <c r="J384" s="1" t="str">
        <f>IFERROR(__xludf.DUMMYFUNCTION("""COMPUTED_VALUE"""),"High")</f>
        <v>High</v>
      </c>
      <c r="K384" s="1" t="str">
        <f>IFERROR(__xludf.DUMMYFUNCTION("""COMPUTED_VALUE"""),"")</f>
        <v/>
      </c>
      <c r="L384" s="1" t="str">
        <f>IFERROR(__xludf.DUMMYFUNCTION("""COMPUTED_VALUE"""),"")</f>
        <v/>
      </c>
      <c r="M384" s="1" t="str">
        <f>IFERROR(__xludf.DUMMYFUNCTION("""COMPUTED_VALUE"""),"")</f>
        <v/>
      </c>
      <c r="N384" s="1" t="str">
        <f>IFERROR(__xludf.DUMMYFUNCTION("""COMPUTED_VALUE"""),"")</f>
        <v/>
      </c>
      <c r="O384" s="1" t="str">
        <f>IFERROR(__xludf.DUMMYFUNCTION("""COMPUTED_VALUE"""),"Unknown")</f>
        <v>Unknown</v>
      </c>
      <c r="P384" s="1" t="str">
        <f>IFERROR(__xludf.DUMMYFUNCTION("""COMPUTED_VALUE"""),"")</f>
        <v/>
      </c>
      <c r="Q384" s="1" t="str">
        <f>IFERROR(__xludf.DUMMYFUNCTION("""COMPUTED_VALUE"""),"")</f>
        <v/>
      </c>
      <c r="R384" s="1" t="str">
        <f>IFERROR(__xludf.DUMMYFUNCTION("""COMPUTED_VALUE"""),"")</f>
        <v/>
      </c>
      <c r="S384" s="1" t="str">
        <f>IFERROR(__xludf.DUMMYFUNCTION("""COMPUTED_VALUE"""),"")</f>
        <v/>
      </c>
      <c r="T384" s="1" t="str">
        <f>IFERROR(__xludf.DUMMYFUNCTION("""COMPUTED_VALUE"""),"")</f>
        <v/>
      </c>
      <c r="U384" s="1" t="str">
        <f>IFERROR(__xludf.DUMMYFUNCTION("""COMPUTED_VALUE"""),"")</f>
        <v/>
      </c>
      <c r="V384" s="1" t="str">
        <f>IFERROR(__xludf.DUMMYFUNCTION("""COMPUTED_VALUE"""),"")</f>
        <v/>
      </c>
      <c r="W384" s="1" t="str">
        <f>IFERROR(__xludf.DUMMYFUNCTION("""COMPUTED_VALUE"""),"391")</f>
        <v>391</v>
      </c>
      <c r="X384" s="1" t="str">
        <f>IFERROR(__xludf.DUMMYFUNCTION("""COMPUTED_VALUE"""),"")</f>
        <v/>
      </c>
      <c r="Y384" s="1" t="str">
        <f>IFERROR(__xludf.DUMMYFUNCTION("""COMPUTED_VALUE"""),"")</f>
        <v/>
      </c>
      <c r="Z384" s="1" t="str">
        <f>IFERROR(__xludf.DUMMYFUNCTION("""COMPUTED_VALUE"""),"Unknown")</f>
        <v>Unknown</v>
      </c>
      <c r="AA384" s="1" t="str">
        <f>IFERROR(__xludf.DUMMYFUNCTION("""COMPUTED_VALUE"""),"")</f>
        <v/>
      </c>
      <c r="AB384" s="1" t="str">
        <f>IFERROR(__xludf.DUMMYFUNCTION("""COMPUTED_VALUE"""),"")</f>
        <v/>
      </c>
      <c r="AC384" s="1" t="str">
        <f>IFERROR(__xludf.DUMMYFUNCTION("""COMPUTED_VALUE"""),"")</f>
        <v/>
      </c>
      <c r="AD384" s="1" t="str">
        <f>IFERROR(__xludf.DUMMYFUNCTION("""COMPUTED_VALUE"""),"")</f>
        <v/>
      </c>
      <c r="AE384" s="1" t="str">
        <f>IFERROR(__xludf.DUMMYFUNCTION("""COMPUTED_VALUE"""),"")</f>
        <v/>
      </c>
      <c r="AF384" s="1" t="str">
        <f>IFERROR(__xludf.DUMMYFUNCTION("""COMPUTED_VALUE"""),"")</f>
        <v/>
      </c>
      <c r="AG384" s="1" t="str">
        <f>IFERROR(__xludf.DUMMYFUNCTION("""COMPUTED_VALUE"""),"")</f>
        <v/>
      </c>
      <c r="AH384" s="1" t="str">
        <f>IFERROR(__xludf.DUMMYFUNCTION("""COMPUTED_VALUE"""),"Media Monitoring")</f>
        <v>Media Monitoring</v>
      </c>
      <c r="AI384" s="2" t="str">
        <f>IFERROR(__xludf.DUMMYFUNCTION("""COMPUTED_VALUE"""),"https://www.datacenterdynamics.com/en/news/391-acre-data-center-campus-proposed-in-morgan-county-indiana/")</f>
        <v>https://www.datacenterdynamics.com/en/news/391-acre-data-center-campus-proposed-in-morgan-county-indiana/</v>
      </c>
      <c r="AJ384" s="2" t="str">
        <f>IFERROR(__xludf.DUMMYFUNCTION("""COMPUTED_VALUE"""),"https://dailyjournal.net/2025/06/26/iedc-board-approves-incentives-for-four-planned-data-center-projects/")</f>
        <v>https://dailyjournal.net/2025/06/26/iedc-board-approves-incentives-for-four-planned-data-center-projects/</v>
      </c>
      <c r="AK384" s="1" t="str">
        <f>IFERROR(__xludf.DUMMYFUNCTION("""COMPUTED_VALUE"""),"")</f>
        <v/>
      </c>
      <c r="AL384" s="1" t="str">
        <f>IFERROR(__xludf.DUMMYFUNCTION("""COMPUTED_VALUE"""),"")</f>
        <v/>
      </c>
      <c r="AM384" s="1" t="str">
        <f>IFERROR(__xludf.DUMMYFUNCTION("""COMPUTED_VALUE"""),"")</f>
        <v/>
      </c>
      <c r="AN384" s="1" t="str">
        <f>IFERROR(__xludf.DUMMYFUNCTION("""COMPUTED_VALUE"""),"")</f>
        <v/>
      </c>
      <c r="AO384" s="1" t="str">
        <f>IFERROR(__xludf.DUMMYFUNCTION("""COMPUTED_VALUE"""),"")</f>
        <v/>
      </c>
      <c r="AP384" s="1" t="str">
        <f>IFERROR(__xludf.DUMMYFUNCTION("""COMPUTED_VALUE"""),"")</f>
        <v/>
      </c>
      <c r="AQ384" s="1" t="str">
        <f>IFERROR(__xludf.DUMMYFUNCTION("""COMPUTED_VALUE"""),"05/27/2025")</f>
        <v>05/27/2025</v>
      </c>
      <c r="AR384" s="1" t="str">
        <f>IFERROR(__xludf.DUMMYFUNCTION("""COMPUTED_VALUE"""),"05/27/2025")</f>
        <v>05/27/2025</v>
      </c>
    </row>
    <row r="385">
      <c r="A385" s="1" t="str">
        <f>IFERROR(__xludf.DUMMYFUNCTION("""COMPUTED_VALUE"""),"Project Flo")</f>
        <v>Project Flo</v>
      </c>
      <c r="B385" s="1" t="str">
        <f>IFERROR(__xludf.DUMMYFUNCTION("""COMPUTED_VALUE"""),"South Post Road, East Troy Avenue, Davis Road and Vandergriff Rds")</f>
        <v>South Post Road, East Troy Avenue, Davis Road and Vandergriff Rds</v>
      </c>
      <c r="C385" s="1" t="str">
        <f>IFERROR(__xludf.DUMMYFUNCTION("""COMPUTED_VALUE"""),"New Bethel/ Indianapolis")</f>
        <v>New Bethel/ Indianapolis</v>
      </c>
      <c r="D385" s="1" t="str">
        <f>IFERROR(__xludf.DUMMYFUNCTION("""COMPUTED_VALUE"""),"IN")</f>
        <v>IN</v>
      </c>
      <c r="E385" s="1" t="str">
        <f>IFERROR(__xludf.DUMMYFUNCTION("""COMPUTED_VALUE"""),"46239")</f>
        <v>46239</v>
      </c>
      <c r="F385" s="1" t="str">
        <f>IFERROR(__xludf.DUMMYFUNCTION("""COMPUTED_VALUE"""),"Marion")</f>
        <v>Marion</v>
      </c>
      <c r="G385" s="1" t="str">
        <f>IFERROR(__xludf.DUMMYFUNCTION("""COMPUTED_VALUE"""),"39.72007")</f>
        <v>39.72007</v>
      </c>
      <c r="H385" s="1" t="str">
        <f>IFERROR(__xludf.DUMMYFUNCTION("""COMPUTED_VALUE"""),"-85.9992")</f>
        <v>-85.9992</v>
      </c>
      <c r="I385" s="1" t="str">
        <f>IFERROR(__xludf.DUMMYFUNCTION("""COMPUTED_VALUE"""),"Suspended")</f>
        <v>Suspended</v>
      </c>
      <c r="J385" s="1" t="str">
        <f>IFERROR(__xludf.DUMMYFUNCTION("""COMPUTED_VALUE"""),"High")</f>
        <v>High</v>
      </c>
      <c r="K385" s="1" t="str">
        <f>IFERROR(__xludf.DUMMYFUNCTION("""COMPUTED_VALUE"""),"")</f>
        <v/>
      </c>
      <c r="L385" s="1" t="str">
        <f>IFERROR(__xludf.DUMMYFUNCTION("""COMPUTED_VALUE"""),"Deep Meadow Ventures, LLC/Google")</f>
        <v>Deep Meadow Ventures, LLC/Google</v>
      </c>
      <c r="M385" s="1" t="str">
        <f>IFERROR(__xludf.DUMMYFUNCTION("""COMPUTED_VALUE"""),"")</f>
        <v/>
      </c>
      <c r="N385" s="1" t="str">
        <f>IFERROR(__xludf.DUMMYFUNCTION("""COMPUTED_VALUE"""),"")</f>
        <v/>
      </c>
      <c r="O385" s="1" t="str">
        <f>IFERROR(__xludf.DUMMYFUNCTION("""COMPUTED_VALUE"""),"Unknown")</f>
        <v>Unknown</v>
      </c>
      <c r="P385" s="1" t="str">
        <f>IFERROR(__xludf.DUMMYFUNCTION("""COMPUTED_VALUE"""),"")</f>
        <v/>
      </c>
      <c r="Q385" s="1" t="str">
        <f>IFERROR(__xludf.DUMMYFUNCTION("""COMPUTED_VALUE"""),"")</f>
        <v/>
      </c>
      <c r="R385" s="1" t="str">
        <f>IFERROR(__xludf.DUMMYFUNCTION("""COMPUTED_VALUE"""),"")</f>
        <v/>
      </c>
      <c r="S385" s="1" t="str">
        <f>IFERROR(__xludf.DUMMYFUNCTION("""COMPUTED_VALUE"""),"")</f>
        <v/>
      </c>
      <c r="T385" s="1" t="str">
        <f>IFERROR(__xludf.DUMMYFUNCTION("""COMPUTED_VALUE"""),"")</f>
        <v/>
      </c>
      <c r="U385" s="1" t="str">
        <f>IFERROR(__xludf.DUMMYFUNCTION("""COMPUTED_VALUE"""),"")</f>
        <v/>
      </c>
      <c r="V385" s="1" t="str">
        <f>IFERROR(__xludf.DUMMYFUNCTION("""COMPUTED_VALUE"""),"")</f>
        <v/>
      </c>
      <c r="W385" s="1" t="str">
        <f>IFERROR(__xludf.DUMMYFUNCTION("""COMPUTED_VALUE"""),"467")</f>
        <v>467</v>
      </c>
      <c r="X385" s="1" t="str">
        <f>IFERROR(__xludf.DUMMYFUNCTION("""COMPUTED_VALUE"""),"$1 billion")</f>
        <v>$1 billion</v>
      </c>
      <c r="Y385" s="1" t="str">
        <f>IFERROR(__xludf.DUMMYFUNCTION("""COMPUTED_VALUE"""),"")</f>
        <v/>
      </c>
      <c r="Z385" s="1" t="str">
        <f>IFERROR(__xludf.DUMMYFUNCTION("""COMPUTED_VALUE"""),"Unknown")</f>
        <v>Unknown</v>
      </c>
      <c r="AA385" s="1" t="str">
        <f>IFERROR(__xludf.DUMMYFUNCTION("""COMPUTED_VALUE"""),"")</f>
        <v/>
      </c>
      <c r="AB385" s="1" t="str">
        <f>IFERROR(__xludf.DUMMYFUNCTION("""COMPUTED_VALUE"""),"")</f>
        <v/>
      </c>
      <c r="AC385" s="1" t="str">
        <f>IFERROR(__xludf.DUMMYFUNCTION("""COMPUTED_VALUE"""),"")</f>
        <v/>
      </c>
      <c r="AD385" s="1" t="str">
        <f>IFERROR(__xludf.DUMMYFUNCTION("""COMPUTED_VALUE"""),"")</f>
        <v/>
      </c>
      <c r="AE385" s="1" t="str">
        <f>IFERROR(__xludf.DUMMYFUNCTION("""COMPUTED_VALUE"""),"")</f>
        <v/>
      </c>
      <c r="AF385" s="1" t="str">
        <f>IFERROR(__xludf.DUMMYFUNCTION("""COMPUTED_VALUE"""),"")</f>
        <v/>
      </c>
      <c r="AG385" s="1" t="str">
        <f>IFERROR(__xludf.DUMMYFUNCTION("""COMPUTED_VALUE"""),"Large project also includes light manufacturing, research and development, utilities, agricultural uses and office space.")</f>
        <v>Large project also includes light manufacturing, research and development, utilities, agricultural uses and office space.</v>
      </c>
      <c r="AH385" s="1" t="str">
        <f>IFERROR(__xludf.DUMMYFUNCTION("""COMPUTED_VALUE"""),"Media Monitoring")</f>
        <v>Media Monitoring</v>
      </c>
      <c r="AI385" s="2" t="str">
        <f>IFERROR(__xludf.DUMMYFUNCTION("""COMPUTED_VALUE"""),"https://www.wthr.com/article/news/local/franklin-township-data-center-plan-rezoning/531-790888f0-3aca-4dec-baa0-f47fc350f2c0")</f>
        <v>https://www.wthr.com/article/news/local/franklin-township-data-center-plan-rezoning/531-790888f0-3aca-4dec-baa0-f47fc350f2c0</v>
      </c>
      <c r="AJ385" s="2" t="str">
        <f>IFERROR(__xludf.DUMMYFUNCTION("""COMPUTED_VALUE"""),"https://www.wthr.com/article/news/local/how-franklin-township-residents-can-learn-more-about-a-proposed-data-center-indianapolis/531-09357d99-247e-46e7-b9a4-b43d01cef1da")</f>
        <v>https://www.wthr.com/article/news/local/how-franklin-township-residents-can-learn-more-about-a-proposed-data-center-indianapolis/531-09357d99-247e-46e7-b9a4-b43d01cef1da</v>
      </c>
      <c r="AK385" s="2" t="str">
        <f>IFERROR(__xludf.DUMMYFUNCTION("""COMPUTED_VALUE"""),"https://www.wthr.com/article/news/local/indiana-growing-data-center-industry-sparks-concerns-over-environmental-and-economic-impact/531-b8d36bba-91f7-446d-af05-ed79fee1dad8")</f>
        <v>https://www.wthr.com/article/news/local/indiana-growing-data-center-industry-sparks-concerns-over-environmental-and-economic-impact/531-b8d36bba-91f7-446d-af05-ed79fee1dad8</v>
      </c>
      <c r="AL385" s="2" t="str">
        <f>IFERROR(__xludf.DUMMYFUNCTION("""COMPUTED_VALUE"""),"https://www.datacenterdynamics.com/en/news/google-gets-approval-for-data-center-campus-in-franklin-township-indiana/")</f>
        <v>https://www.datacenterdynamics.com/en/news/google-gets-approval-for-data-center-campus-in-franklin-township-indiana/</v>
      </c>
      <c r="AM385" s="2" t="str">
        <f>IFERROR(__xludf.DUMMYFUNCTION("""COMPUTED_VALUE"""),"https://www.wishtv.com/news/i-team-8/google-data-center-franklin-township/")</f>
        <v>https://www.wishtv.com/news/i-team-8/google-data-center-franklin-township/</v>
      </c>
      <c r="AN385" s="2" t="str">
        <f>IFERROR(__xludf.DUMMYFUNCTION("""COMPUTED_VALUE"""),"https://www.indystar.com/story/news/local/marion-county/2025/09/22/google-withdraws-controversial-data-center-in-franklin-township-indianapolis-city-county-council/86165695007/")</f>
        <v>https://www.indystar.com/story/news/local/marion-county/2025/09/22/google-withdraws-controversial-data-center-in-franklin-township-indianapolis-city-county-council/86165695007/</v>
      </c>
      <c r="AO385" s="1" t="str">
        <f>IFERROR(__xludf.DUMMYFUNCTION("""COMPUTED_VALUE"""),"")</f>
        <v/>
      </c>
      <c r="AP385" s="1" t="str">
        <f>IFERROR(__xludf.DUMMYFUNCTION("""COMPUTED_VALUE"""),"")</f>
        <v/>
      </c>
      <c r="AQ385" s="1" t="str">
        <f>IFERROR(__xludf.DUMMYFUNCTION("""COMPUTED_VALUE"""),"08/25/2025")</f>
        <v>08/25/2025</v>
      </c>
      <c r="AR385" s="1" t="str">
        <f>IFERROR(__xludf.DUMMYFUNCTION("""COMPUTED_VALUE"""),"08/25/2025")</f>
        <v>08/25/2025</v>
      </c>
    </row>
    <row r="386">
      <c r="A386" s="1" t="str">
        <f>IFERROR(__xludf.DUMMYFUNCTION("""COMPUTED_VALUE"""),"Mall-O-Manor LLC Data Center")</f>
        <v>Mall-O-Manor LLC Data Center</v>
      </c>
      <c r="B386" s="1" t="str">
        <f>IFERROR(__xludf.DUMMYFUNCTION("""COMPUTED_VALUE"""),"South of Chicago Trail, east of Timothy rd, west of Spruce Rd")</f>
        <v>South of Chicago Trail, east of Timothy rd, west of Spruce Rd</v>
      </c>
      <c r="C386" s="1" t="str">
        <f>IFERROR(__xludf.DUMMYFUNCTION("""COMPUTED_VALUE"""),"New Carlisle")</f>
        <v>New Carlisle</v>
      </c>
      <c r="D386" s="1" t="str">
        <f>IFERROR(__xludf.DUMMYFUNCTION("""COMPUTED_VALUE"""),"IN")</f>
        <v>IN</v>
      </c>
      <c r="E386" s="1" t="str">
        <f>IFERROR(__xludf.DUMMYFUNCTION("""COMPUTED_VALUE"""),"46553")</f>
        <v>46553</v>
      </c>
      <c r="F386" s="1" t="str">
        <f>IFERROR(__xludf.DUMMYFUNCTION("""COMPUTED_VALUE"""),"St. Joseph")</f>
        <v>St. Joseph</v>
      </c>
      <c r="G386" s="1" t="str">
        <f>IFERROR(__xludf.DUMMYFUNCTION("""COMPUTED_VALUE"""),"41.72029")</f>
        <v>41.72029</v>
      </c>
      <c r="H386" s="1" t="str">
        <f>IFERROR(__xludf.DUMMYFUNCTION("""COMPUTED_VALUE"""),"-86.4905")</f>
        <v>-86.4905</v>
      </c>
      <c r="I386" s="1" t="str">
        <f>IFERROR(__xludf.DUMMYFUNCTION("""COMPUTED_VALUE"""),"Suspended")</f>
        <v>Suspended</v>
      </c>
      <c r="J386" s="1" t="str">
        <f>IFERROR(__xludf.DUMMYFUNCTION("""COMPUTED_VALUE"""),"High")</f>
        <v>High</v>
      </c>
      <c r="K386" s="1" t="str">
        <f>IFERROR(__xludf.DUMMYFUNCTION("""COMPUTED_VALUE"""),"")</f>
        <v/>
      </c>
      <c r="L386" s="1" t="str">
        <f>IFERROR(__xludf.DUMMYFUNCTION("""COMPUTED_VALUE"""),"")</f>
        <v/>
      </c>
      <c r="M386" s="1" t="str">
        <f>IFERROR(__xludf.DUMMYFUNCTION("""COMPUTED_VALUE"""),"")</f>
        <v/>
      </c>
      <c r="N386" s="1" t="str">
        <f>IFERROR(__xludf.DUMMYFUNCTION("""COMPUTED_VALUE"""),"")</f>
        <v/>
      </c>
      <c r="O386" s="1" t="str">
        <f>IFERROR(__xludf.DUMMYFUNCTION("""COMPUTED_VALUE"""),"Hyperscale (100-999 MW)")</f>
        <v>Hyperscale (100-999 MW)</v>
      </c>
      <c r="P386" s="1" t="str">
        <f>IFERROR(__xludf.DUMMYFUNCTION("""COMPUTED_VALUE"""),"")</f>
        <v/>
      </c>
      <c r="Q386" s="1" t="str">
        <f>IFERROR(__xludf.DUMMYFUNCTION("""COMPUTED_VALUE"""),"")</f>
        <v/>
      </c>
      <c r="R386" s="1" t="str">
        <f>IFERROR(__xludf.DUMMYFUNCTION("""COMPUTED_VALUE"""),"")</f>
        <v/>
      </c>
      <c r="S386" s="1" t="str">
        <f>IFERROR(__xludf.DUMMYFUNCTION("""COMPUTED_VALUE"""),"14")</f>
        <v>14</v>
      </c>
      <c r="T386" s="1" t="str">
        <f>IFERROR(__xludf.DUMMYFUNCTION("""COMPUTED_VALUE"""),"")</f>
        <v/>
      </c>
      <c r="U386" s="1" t="str">
        <f>IFERROR(__xludf.DUMMYFUNCTION("""COMPUTED_VALUE"""),"")</f>
        <v/>
      </c>
      <c r="V386" s="1" t="str">
        <f>IFERROR(__xludf.DUMMYFUNCTION("""COMPUTED_VALUE"""),"")</f>
        <v/>
      </c>
      <c r="W386" s="1" t="str">
        <f>IFERROR(__xludf.DUMMYFUNCTION("""COMPUTED_VALUE"""),"999")</f>
        <v>999</v>
      </c>
      <c r="X386" s="1" t="str">
        <f>IFERROR(__xludf.DUMMYFUNCTION("""COMPUTED_VALUE"""),"$12 billion")</f>
        <v>$12 billion</v>
      </c>
      <c r="Y386" s="1" t="str">
        <f>IFERROR(__xludf.DUMMYFUNCTION("""COMPUTED_VALUE"""),"")</f>
        <v/>
      </c>
      <c r="Z386" s="1" t="str">
        <f>IFERROR(__xludf.DUMMYFUNCTION("""COMPUTED_VALUE"""),"Yes")</f>
        <v>Yes</v>
      </c>
      <c r="AA386" s="1" t="str">
        <f>IFERROR(__xludf.DUMMYFUNCTION("""COMPUTED_VALUE"""),"")</f>
        <v/>
      </c>
      <c r="AB386" s="1" t="str">
        <f>IFERROR(__xludf.DUMMYFUNCTION("""COMPUTED_VALUE"""),"")</f>
        <v/>
      </c>
      <c r="AC386" s="1" t="str">
        <f>IFERROR(__xludf.DUMMYFUNCTION("""COMPUTED_VALUE"""),"")</f>
        <v/>
      </c>
      <c r="AD386" s="1" t="str">
        <f>IFERROR(__xludf.DUMMYFUNCTION("""COMPUTED_VALUE"""),"")</f>
        <v/>
      </c>
      <c r="AE386" s="1" t="str">
        <f>IFERROR(__xludf.DUMMYFUNCTION("""COMPUTED_VALUE"""),"")</f>
        <v/>
      </c>
      <c r="AF386" s="1" t="str">
        <f>IFERROR(__xludf.DUMMYFUNCTION("""COMPUTED_VALUE"""),"")</f>
        <v/>
      </c>
      <c r="AG386" s="1" t="str">
        <f>IFERROR(__xludf.DUMMYFUNCTION("""COMPUTED_VALUE"""),"Discussion may be brought back in May 2026")</f>
        <v>Discussion may be brought back in May 2026</v>
      </c>
      <c r="AH386" s="1" t="str">
        <f>IFERROR(__xludf.DUMMYFUNCTION("""COMPUTED_VALUE"""),"Media Monitoring")</f>
        <v>Media Monitoring</v>
      </c>
      <c r="AI386" s="2" t="str">
        <f>IFERROR(__xludf.DUMMYFUNCTION("""COMPUTED_VALUE"""),"https://wsbt.com/news/local/new-data-center-receives-unfavorable-recommendation-st-joseph-county-area-plan-commission-farm-land-12-billion-dollar-project-indiana")</f>
        <v>https://wsbt.com/news/local/new-data-center-receives-unfavorable-recommendation-st-joseph-county-area-plan-commission-farm-land-12-billion-dollar-project-indiana</v>
      </c>
      <c r="AJ386" s="2" t="str">
        <f>IFERROR(__xludf.DUMMYFUNCTION("""COMPUTED_VALUE"""),"https://www.wndu.com/2025/09/16/proposed-12-billion-data-center-st-joseph-county-gets-unfavorable-recommendation/")</f>
        <v>https://www.wndu.com/2025/09/16/proposed-12-billion-data-center-st-joseph-county-gets-unfavorable-recommendation/</v>
      </c>
      <c r="AK386" s="2" t="str">
        <f>IFERROR(__xludf.DUMMYFUNCTION("""COMPUTED_VALUE"""),"https://indianaeconomicdigest.net/Content/Default/Major-Indiana-News/Article/-12-billion-data-center-proposed-in-New-Carlisle-in-St-Joseph-County/-3/5308/119966")</f>
        <v>https://indianaeconomicdigest.net/Content/Default/Major-Indiana-News/Article/-12-billion-data-center-proposed-in-New-Carlisle-in-St-Joseph-County/-3/5308/119966</v>
      </c>
      <c r="AL386" s="2" t="str">
        <f>IFERROR(__xludf.DUMMYFUNCTION("""COMPUTED_VALUE"""),"https://www.wndu.com/2025/10/29/proposed-12-billion-data-center-gets-unfavorable-recommendation-st-joe-county-committee/")</f>
        <v>https://www.wndu.com/2025/10/29/proposed-12-billion-data-center-gets-unfavorable-recommendation-st-joe-county-committee/</v>
      </c>
      <c r="AM386" s="2" t="str">
        <f>IFERROR(__xludf.DUMMYFUNCTION("""COMPUTED_VALUE"""),"https://www.wndu.com/2025/10/23/new-carlisle-town-council-opposes-proposed-12-billion-data-center/")</f>
        <v>https://www.wndu.com/2025/10/23/new-carlisle-town-council-opposes-proposed-12-billion-data-center/</v>
      </c>
      <c r="AN386" s="2" t="str">
        <f>IFERROR(__xludf.DUMMYFUNCTION("""COMPUTED_VALUE"""),"https://wsbt.com/news/local/st-joseph-county-council-denies-rezoning-of-land-for-data-center-votes-7-2-marathon-meeting-hours-long-public-opinion-13-billion-dollar-project-amazon-new-carlisle-approval-process-plan-commission-st-joseph-county-indiana")</f>
        <v>https://wsbt.com/news/local/st-joseph-county-council-denies-rezoning-of-land-for-data-center-votes-7-2-marathon-meeting-hours-long-public-opinion-13-billion-dollar-project-amazon-new-carlisle-approval-process-plan-commission-st-joseph-county-indiana</v>
      </c>
      <c r="AO386" s="1" t="str">
        <f>IFERROR(__xludf.DUMMYFUNCTION("""COMPUTED_VALUE"""),"")</f>
        <v/>
      </c>
      <c r="AP386" s="1" t="str">
        <f>IFERROR(__xludf.DUMMYFUNCTION("""COMPUTED_VALUE"""),"")</f>
        <v/>
      </c>
      <c r="AQ386" s="1" t="str">
        <f>IFERROR(__xludf.DUMMYFUNCTION("""COMPUTED_VALUE"""),"09/23/2025")</f>
        <v>09/23/2025</v>
      </c>
      <c r="AR386" s="1" t="str">
        <f>IFERROR(__xludf.DUMMYFUNCTION("""COMPUTED_VALUE"""),"12/10/2025")</f>
        <v>12/10/2025</v>
      </c>
    </row>
    <row r="387">
      <c r="A387" s="1" t="str">
        <f>IFERROR(__xludf.DUMMYFUNCTION("""COMPUTED_VALUE"""),"New Carlisle Data Center")</f>
        <v>New Carlisle Data Center</v>
      </c>
      <c r="B387" s="1" t="str">
        <f>IFERROR(__xludf.DUMMYFUNCTION("""COMPUTED_VALUE"""),"Early and Walnut Rds")</f>
        <v>Early and Walnut Rds</v>
      </c>
      <c r="C387" s="1" t="str">
        <f>IFERROR(__xludf.DUMMYFUNCTION("""COMPUTED_VALUE"""),"New Carlisle")</f>
        <v>New Carlisle</v>
      </c>
      <c r="D387" s="1" t="str">
        <f>IFERROR(__xludf.DUMMYFUNCTION("""COMPUTED_VALUE"""),"IN")</f>
        <v>IN</v>
      </c>
      <c r="E387" s="1" t="str">
        <f>IFERROR(__xludf.DUMMYFUNCTION("""COMPUTED_VALUE"""),"46552")</f>
        <v>46552</v>
      </c>
      <c r="F387" s="1" t="str">
        <f>IFERROR(__xludf.DUMMYFUNCTION("""COMPUTED_VALUE"""),"St. Joseph")</f>
        <v>St. Joseph</v>
      </c>
      <c r="G387" s="1" t="str">
        <f>IFERROR(__xludf.DUMMYFUNCTION("""COMPUTED_VALUE"""),"41.68848")</f>
        <v>41.68848</v>
      </c>
      <c r="H387" s="1" t="str">
        <f>IFERROR(__xludf.DUMMYFUNCTION("""COMPUTED_VALUE"""),"-86.4736")</f>
        <v>-86.4736</v>
      </c>
      <c r="I387" s="1" t="str">
        <f>IFERROR(__xludf.DUMMYFUNCTION("""COMPUTED_VALUE"""),"Operating")</f>
        <v>Operating</v>
      </c>
      <c r="J387" s="1" t="str">
        <f>IFERROR(__xludf.DUMMYFUNCTION("""COMPUTED_VALUE"""),"High")</f>
        <v>High</v>
      </c>
      <c r="K387" s="1" t="str">
        <f>IFERROR(__xludf.DUMMYFUNCTION("""COMPUTED_VALUE"""),"AI")</f>
        <v>AI</v>
      </c>
      <c r="L387" s="1" t="str">
        <f>IFERROR(__xludf.DUMMYFUNCTION("""COMPUTED_VALUE"""),"Amazon")</f>
        <v>Amazon</v>
      </c>
      <c r="M387" s="1" t="str">
        <f>IFERROR(__xludf.DUMMYFUNCTION("""COMPUTED_VALUE"""),"")</f>
        <v/>
      </c>
      <c r="N387" s="1" t="str">
        <f>IFERROR(__xludf.DUMMYFUNCTION("""COMPUTED_VALUE"""),"2200")</f>
        <v>2200</v>
      </c>
      <c r="O387" s="1" t="str">
        <f>IFERROR(__xludf.DUMMYFUNCTION("""COMPUTED_VALUE"""),"Mega campus (&gt;1,000 MW)")</f>
        <v>Mega campus (&gt;1,000 MW)</v>
      </c>
      <c r="P387" s="1" t="str">
        <f>IFERROR(__xludf.DUMMYFUNCTION("""COMPUTED_VALUE"""),"")</f>
        <v/>
      </c>
      <c r="Q387" s="1" t="str">
        <f>IFERROR(__xludf.DUMMYFUNCTION("""COMPUTED_VALUE"""),"")</f>
        <v/>
      </c>
      <c r="R387" s="1" t="str">
        <f>IFERROR(__xludf.DUMMYFUNCTION("""COMPUTED_VALUE"""),"")</f>
        <v/>
      </c>
      <c r="S387" s="1" t="str">
        <f>IFERROR(__xludf.DUMMYFUNCTION("""COMPUTED_VALUE"""),"30")</f>
        <v>30</v>
      </c>
      <c r="T387" s="1" t="str">
        <f>IFERROR(__xludf.DUMMYFUNCTION("""COMPUTED_VALUE"""),"Air")</f>
        <v>Air</v>
      </c>
      <c r="U387" s="1" t="str">
        <f>IFERROR(__xludf.DUMMYFUNCTION("""COMPUTED_VALUE"""),"")</f>
        <v/>
      </c>
      <c r="V387" s="1" t="str">
        <f>IFERROR(__xludf.DUMMYFUNCTION("""COMPUTED_VALUE"""),"")</f>
        <v/>
      </c>
      <c r="W387" s="1" t="str">
        <f>IFERROR(__xludf.DUMMYFUNCTION("""COMPUTED_VALUE"""),"1200")</f>
        <v>1200</v>
      </c>
      <c r="X387" s="1" t="str">
        <f>IFERROR(__xludf.DUMMYFUNCTION("""COMPUTED_VALUE"""),"")</f>
        <v/>
      </c>
      <c r="Y387" s="1" t="str">
        <f>IFERROR(__xludf.DUMMYFUNCTION("""COMPUTED_VALUE"""),"")</f>
        <v/>
      </c>
      <c r="Z387" s="1" t="str">
        <f>IFERROR(__xludf.DUMMYFUNCTION("""COMPUTED_VALUE"""),"Unknown")</f>
        <v>Unknown</v>
      </c>
      <c r="AA387" s="1" t="str">
        <f>IFERROR(__xludf.DUMMYFUNCTION("""COMPUTED_VALUE"""),"")</f>
        <v/>
      </c>
      <c r="AB387" s="1" t="str">
        <f>IFERROR(__xludf.DUMMYFUNCTION("""COMPUTED_VALUE"""),"")</f>
        <v/>
      </c>
      <c r="AC387" s="1" t="str">
        <f>IFERROR(__xludf.DUMMYFUNCTION("""COMPUTED_VALUE"""),"")</f>
        <v/>
      </c>
      <c r="AD387" s="1" t="str">
        <f>IFERROR(__xludf.DUMMYFUNCTION("""COMPUTED_VALUE"""),"")</f>
        <v/>
      </c>
      <c r="AE387" s="1" t="str">
        <f>IFERROR(__xludf.DUMMYFUNCTION("""COMPUTED_VALUE"""),"")</f>
        <v/>
      </c>
      <c r="AF387" s="1" t="str">
        <f>IFERROR(__xludf.DUMMYFUNCTION("""COMPUTED_VALUE"""),"")</f>
        <v/>
      </c>
      <c r="AG387" s="1" t="str">
        <f>IFERROR(__xludf.DUMMYFUNCTION("""COMPUTED_VALUE"""),"")</f>
        <v/>
      </c>
      <c r="AH387" s="1" t="str">
        <f>IFERROR(__xludf.DUMMYFUNCTION("""COMPUTED_VALUE"""),"Media Monitoring")</f>
        <v>Media Monitoring</v>
      </c>
      <c r="AI387" s="2" t="str">
        <f>IFERROR(__xludf.DUMMYFUNCTION("""COMPUTED_VALUE"""),"https://baxtel.com/data-center/amazon-new-carlisle-in?lat=41.68406491925343&amp;lng=-86.47056731272178&amp;distance=1750.2145393378237")</f>
        <v>https://baxtel.com/data-center/amazon-new-carlisle-in?lat=41.68406491925343&amp;lng=-86.47056731272178&amp;distance=1750.2145393378237</v>
      </c>
      <c r="AJ387" s="2" t="str">
        <f>IFERROR(__xludf.DUMMYFUNCTION("""COMPUTED_VALUE"""),"https://wsbt.com/news/local/st-joseph-county-council-members-discuss-rezoning-1000-acres-land-plot-north-new-carlisle-agricultural-industrial-change-pave-way-new-data-center-amazon-proposal-project-petitioners-public-request-rezoning-timothy-spruce-road-i"&amp;"ndiana#")</f>
        <v>https://wsbt.com/news/local/st-joseph-county-council-members-discuss-rezoning-1000-acres-land-plot-north-new-carlisle-agricultural-industrial-change-pave-way-new-data-center-amazon-proposal-project-petitioners-public-request-rezoning-timothy-spruce-road-indiana#</v>
      </c>
      <c r="AK387" s="2" t="str">
        <f>IFERROR(__xludf.DUMMYFUNCTION("""COMPUTED_VALUE"""),"https://www.insideindianabusiness.com/articles/new-data-center-project-being-proposed-for-new-carlisle")</f>
        <v>https://www.insideindianabusiness.com/articles/new-data-center-project-being-proposed-for-new-carlisle</v>
      </c>
      <c r="AL387" s="2" t="str">
        <f>IFERROR(__xludf.DUMMYFUNCTION("""COMPUTED_VALUE"""),"https://rbnenergy.com/i-know-places-tech-giants-may-be-the-surest-bets-for-data-center-power-demand")</f>
        <v>https://rbnenergy.com/i-know-places-tech-giants-may-be-the-surest-bets-for-data-center-power-demand</v>
      </c>
      <c r="AM387" s="2" t="str">
        <f>IFERROR(__xludf.DUMMYFUNCTION("""COMPUTED_VALUE"""),"https://www.aboutamazon.com/news/aws/aws-project-rainier-ai-trainium-chips-compute-cluster")</f>
        <v>https://www.aboutamazon.com/news/aws/aws-project-rainier-ai-trainium-chips-compute-cluster</v>
      </c>
      <c r="AN387" s="2" t="str">
        <f>IFERROR(__xludf.DUMMYFUNCTION("""COMPUTED_VALUE"""),"https://epoch.ai/data/data-centers/satellite-explorer/AnthropicAmazonProjectRainierNewCarlisleIndiana?ref=404media.co")</f>
        <v>https://epoch.ai/data/data-centers/satellite-explorer/AnthropicAmazonProjectRainierNewCarlisleIndiana?ref=404media.co</v>
      </c>
      <c r="AO387" s="1" t="str">
        <f>IFERROR(__xludf.DUMMYFUNCTION("""COMPUTED_VALUE"""),"")</f>
        <v/>
      </c>
      <c r="AP387" s="1" t="str">
        <f>IFERROR(__xludf.DUMMYFUNCTION("""COMPUTED_VALUE"""),"")</f>
        <v/>
      </c>
      <c r="AQ387" s="1" t="str">
        <f>IFERROR(__xludf.DUMMYFUNCTION("""COMPUTED_VALUE"""),"05/14/2025")</f>
        <v>05/14/2025</v>
      </c>
      <c r="AR387" s="1" t="str">
        <f>IFERROR(__xludf.DUMMYFUNCTION("""COMPUTED_VALUE"""),"01/01/2026")</f>
        <v>01/01/2026</v>
      </c>
    </row>
    <row r="388">
      <c r="A388" s="1" t="str">
        <f>IFERROR(__xludf.DUMMYFUNCTION("""COMPUTED_VALUE"""),"Radius Data Center")</f>
        <v>Radius Data Center</v>
      </c>
      <c r="B388" s="1" t="str">
        <f>IFERROR(__xludf.DUMMYFUNCTION("""COMPUTED_VALUE"""),"AllPoints Pkwy")</f>
        <v>AllPoints Pkwy</v>
      </c>
      <c r="C388" s="1" t="str">
        <f>IFERROR(__xludf.DUMMYFUNCTION("""COMPUTED_VALUE"""),"Plainfield")</f>
        <v>Plainfield</v>
      </c>
      <c r="D388" s="1" t="str">
        <f>IFERROR(__xludf.DUMMYFUNCTION("""COMPUTED_VALUE"""),"IN")</f>
        <v>IN</v>
      </c>
      <c r="E388" s="1" t="str">
        <f>IFERROR(__xludf.DUMMYFUNCTION("""COMPUTED_VALUE"""),"46123")</f>
        <v>46123</v>
      </c>
      <c r="F388" s="1" t="str">
        <f>IFERROR(__xludf.DUMMYFUNCTION("""COMPUTED_VALUE"""),"Hendricks")</f>
        <v>Hendricks</v>
      </c>
      <c r="G388" s="1" t="str">
        <f>IFERROR(__xludf.DUMMYFUNCTION("""COMPUTED_VALUE"""),"39.741596")</f>
        <v>39.741596</v>
      </c>
      <c r="H388" s="1" t="str">
        <f>IFERROR(__xludf.DUMMYFUNCTION("""COMPUTED_VALUE"""),"-86.36464")</f>
        <v>-86.36464</v>
      </c>
      <c r="I388" s="1" t="str">
        <f>IFERROR(__xludf.DUMMYFUNCTION("""COMPUTED_VALUE"""),"Proposed")</f>
        <v>Proposed</v>
      </c>
      <c r="J388" s="1" t="str">
        <f>IFERROR(__xludf.DUMMYFUNCTION("""COMPUTED_VALUE"""),"High")</f>
        <v>High</v>
      </c>
      <c r="K388" s="1" t="str">
        <f>IFERROR(__xludf.DUMMYFUNCTION("""COMPUTED_VALUE"""),"")</f>
        <v/>
      </c>
      <c r="L388" s="1" t="str">
        <f>IFERROR(__xludf.DUMMYFUNCTION("""COMPUTED_VALUE"""),"")</f>
        <v/>
      </c>
      <c r="M388" s="1" t="str">
        <f>IFERROR(__xludf.DUMMYFUNCTION("""COMPUTED_VALUE"""),"")</f>
        <v/>
      </c>
      <c r="N388" s="1" t="str">
        <f>IFERROR(__xludf.DUMMYFUNCTION("""COMPUTED_VALUE"""),"")</f>
        <v/>
      </c>
      <c r="O388" s="1" t="str">
        <f>IFERROR(__xludf.DUMMYFUNCTION("""COMPUTED_VALUE"""),"Unknown")</f>
        <v>Unknown</v>
      </c>
      <c r="P388" s="1" t="str">
        <f>IFERROR(__xludf.DUMMYFUNCTION("""COMPUTED_VALUE"""),"")</f>
        <v/>
      </c>
      <c r="Q388" s="1" t="str">
        <f>IFERROR(__xludf.DUMMYFUNCTION("""COMPUTED_VALUE"""),"")</f>
        <v/>
      </c>
      <c r="R388" s="1" t="str">
        <f>IFERROR(__xludf.DUMMYFUNCTION("""COMPUTED_VALUE"""),"")</f>
        <v/>
      </c>
      <c r="S388" s="1" t="str">
        <f>IFERROR(__xludf.DUMMYFUNCTION("""COMPUTED_VALUE"""),"2")</f>
        <v>2</v>
      </c>
      <c r="T388" s="1" t="str">
        <f>IFERROR(__xludf.DUMMYFUNCTION("""COMPUTED_VALUE"""),"")</f>
        <v/>
      </c>
      <c r="U388" s="1" t="str">
        <f>IFERROR(__xludf.DUMMYFUNCTION("""COMPUTED_VALUE"""),"")</f>
        <v/>
      </c>
      <c r="V388" s="1" t="str">
        <f>IFERROR(__xludf.DUMMYFUNCTION("""COMPUTED_VALUE"""),"201,000")</f>
        <v>201,000</v>
      </c>
      <c r="W388" s="1" t="str">
        <f>IFERROR(__xludf.DUMMYFUNCTION("""COMPUTED_VALUE"""),"31")</f>
        <v>31</v>
      </c>
      <c r="X388" s="1" t="str">
        <f>IFERROR(__xludf.DUMMYFUNCTION("""COMPUTED_VALUE"""),"")</f>
        <v/>
      </c>
      <c r="Y388" s="1" t="str">
        <f>IFERROR(__xludf.DUMMYFUNCTION("""COMPUTED_VALUE"""),"")</f>
        <v/>
      </c>
      <c r="Z388" s="1" t="str">
        <f>IFERROR(__xludf.DUMMYFUNCTION("""COMPUTED_VALUE"""),"Yes")</f>
        <v>Yes</v>
      </c>
      <c r="AA388" s="1" t="str">
        <f>IFERROR(__xludf.DUMMYFUNCTION("""COMPUTED_VALUE"""),"")</f>
        <v/>
      </c>
      <c r="AB388" s="1" t="str">
        <f>IFERROR(__xludf.DUMMYFUNCTION("""COMPUTED_VALUE"""),"")</f>
        <v/>
      </c>
      <c r="AC388" s="1" t="str">
        <f>IFERROR(__xludf.DUMMYFUNCTION("""COMPUTED_VALUE"""),"")</f>
        <v/>
      </c>
      <c r="AD388" s="1" t="str">
        <f>IFERROR(__xludf.DUMMYFUNCTION("""COMPUTED_VALUE"""),"")</f>
        <v/>
      </c>
      <c r="AE388" s="1" t="str">
        <f>IFERROR(__xludf.DUMMYFUNCTION("""COMPUTED_VALUE"""),"")</f>
        <v/>
      </c>
      <c r="AF388" s="2" t="str">
        <f>IFERROR(__xludf.DUMMYFUNCTION("""COMPUTED_VALUE"""),"https://www.change.org/p/stop-the-construction-of-a-data-center-in-plainfield-indiana")</f>
        <v>https://www.change.org/p/stop-the-construction-of-a-data-center-in-plainfield-indiana</v>
      </c>
      <c r="AG388" s="1" t="str">
        <f>IFERROR(__xludf.DUMMYFUNCTION("""COMPUTED_VALUE"""),"")</f>
        <v/>
      </c>
      <c r="AH388" s="1" t="str">
        <f>IFERROR(__xludf.DUMMYFUNCTION("""COMPUTED_VALUE"""),"Media Monitoring")</f>
        <v>Media Monitoring</v>
      </c>
      <c r="AI388" s="2" t="str">
        <f>IFERROR(__xludf.DUMMYFUNCTION("""COMPUTED_VALUE"""),"https://www.datacenterdynamics.com/en/news/radiusdc-looks-to-build-two-data-centers-outside-indianapolis-indiana/")</f>
        <v>https://www.datacenterdynamics.com/en/news/radiusdc-looks-to-build-two-data-centers-outside-indianapolis-indiana/</v>
      </c>
      <c r="AJ388" s="2" t="str">
        <f>IFERROR(__xludf.DUMMYFUNCTION("""COMPUTED_VALUE"""),"https://www.datacenterdynamics.com/en/news/radiusdc-announces-24mw-data-center-campus-outside-indianapolis-indiana/")</f>
        <v>https://www.datacenterdynamics.com/en/news/radiusdc-announces-24mw-data-center-campus-outside-indianapolis-indiana/</v>
      </c>
      <c r="AK388" s="1" t="str">
        <f>IFERROR(__xludf.DUMMYFUNCTION("""COMPUTED_VALUE"""),"")</f>
        <v/>
      </c>
      <c r="AL388" s="1" t="str">
        <f>IFERROR(__xludf.DUMMYFUNCTION("""COMPUTED_VALUE"""),"")</f>
        <v/>
      </c>
      <c r="AM388" s="1" t="str">
        <f>IFERROR(__xludf.DUMMYFUNCTION("""COMPUTED_VALUE"""),"")</f>
        <v/>
      </c>
      <c r="AN388" s="1" t="str">
        <f>IFERROR(__xludf.DUMMYFUNCTION("""COMPUTED_VALUE"""),"")</f>
        <v/>
      </c>
      <c r="AO388" s="1" t="str">
        <f>IFERROR(__xludf.DUMMYFUNCTION("""COMPUTED_VALUE"""),"")</f>
        <v/>
      </c>
      <c r="AP388" s="1" t="str">
        <f>IFERROR(__xludf.DUMMYFUNCTION("""COMPUTED_VALUE"""),"")</f>
        <v/>
      </c>
      <c r="AQ388" s="1" t="str">
        <f>IFERROR(__xludf.DUMMYFUNCTION("""COMPUTED_VALUE"""),"01/06/2026")</f>
        <v>01/06/2026</v>
      </c>
      <c r="AR388" s="1" t="str">
        <f>IFERROR(__xludf.DUMMYFUNCTION("""COMPUTED_VALUE"""),"01/13/2026")</f>
        <v>01/13/2026</v>
      </c>
    </row>
    <row r="389">
      <c r="A389" s="1" t="str">
        <f>IFERROR(__xludf.DUMMYFUNCTION("""COMPUTED_VALUE"""),"Provident Realty Advisors Data Center")</f>
        <v>Provident Realty Advisors Data Center</v>
      </c>
      <c r="B389" s="1" t="str">
        <f>IFERROR(__xludf.DUMMYFUNCTION("""COMPUTED_VALUE"""),"100 Worthington Dr")</f>
        <v>100 Worthington Dr</v>
      </c>
      <c r="C389" s="1" t="str">
        <f>IFERROR(__xludf.DUMMYFUNCTION("""COMPUTED_VALUE"""),"Porter")</f>
        <v>Porter</v>
      </c>
      <c r="D389" s="1" t="str">
        <f>IFERROR(__xludf.DUMMYFUNCTION("""COMPUTED_VALUE"""),"IN")</f>
        <v>IN</v>
      </c>
      <c r="E389" s="1" t="str">
        <f>IFERROR(__xludf.DUMMYFUNCTION("""COMPUTED_VALUE"""),"46304")</f>
        <v>46304</v>
      </c>
      <c r="F389" s="1" t="str">
        <f>IFERROR(__xludf.DUMMYFUNCTION("""COMPUTED_VALUE"""),"Porter")</f>
        <v>Porter</v>
      </c>
      <c r="G389" s="1" t="str">
        <f>IFERROR(__xludf.DUMMYFUNCTION("""COMPUTED_VALUE"""),"41.61319")</f>
        <v>41.61319</v>
      </c>
      <c r="H389" s="1" t="str">
        <f>IFERROR(__xludf.DUMMYFUNCTION("""COMPUTED_VALUE"""),"-87.1014")</f>
        <v>-87.1014</v>
      </c>
      <c r="I389" s="1" t="str">
        <f>IFERROR(__xludf.DUMMYFUNCTION("""COMPUTED_VALUE"""),"Proposed")</f>
        <v>Proposed</v>
      </c>
      <c r="J389" s="1" t="str">
        <f>IFERROR(__xludf.DUMMYFUNCTION("""COMPUTED_VALUE"""),"Medium")</f>
        <v>Medium</v>
      </c>
      <c r="K389" s="1" t="str">
        <f>IFERROR(__xludf.DUMMYFUNCTION("""COMPUTED_VALUE"""),"")</f>
        <v/>
      </c>
      <c r="L389" s="1" t="str">
        <f>IFERROR(__xludf.DUMMYFUNCTION("""COMPUTED_VALUE"""),"")</f>
        <v/>
      </c>
      <c r="M389" s="1" t="str">
        <f>IFERROR(__xludf.DUMMYFUNCTION("""COMPUTED_VALUE"""),"")</f>
        <v/>
      </c>
      <c r="N389" s="1" t="str">
        <f>IFERROR(__xludf.DUMMYFUNCTION("""COMPUTED_VALUE"""),"")</f>
        <v/>
      </c>
      <c r="O389" s="1" t="str">
        <f>IFERROR(__xludf.DUMMYFUNCTION("""COMPUTED_VALUE"""),"Unknown")</f>
        <v>Unknown</v>
      </c>
      <c r="P389" s="1" t="str">
        <f>IFERROR(__xludf.DUMMYFUNCTION("""COMPUTED_VALUE"""),"")</f>
        <v/>
      </c>
      <c r="Q389" s="1" t="str">
        <f>IFERROR(__xludf.DUMMYFUNCTION("""COMPUTED_VALUE"""),"")</f>
        <v/>
      </c>
      <c r="R389" s="1" t="str">
        <f>IFERROR(__xludf.DUMMYFUNCTION("""COMPUTED_VALUE"""),"")</f>
        <v/>
      </c>
      <c r="S389" s="1" t="str">
        <f>IFERROR(__xludf.DUMMYFUNCTION("""COMPUTED_VALUE"""),"")</f>
        <v/>
      </c>
      <c r="T389" s="1" t="str">
        <f>IFERROR(__xludf.DUMMYFUNCTION("""COMPUTED_VALUE"""),"")</f>
        <v/>
      </c>
      <c r="U389" s="1" t="str">
        <f>IFERROR(__xludf.DUMMYFUNCTION("""COMPUTED_VALUE"""),"")</f>
        <v/>
      </c>
      <c r="V389" s="1" t="str">
        <f>IFERROR(__xludf.DUMMYFUNCTION("""COMPUTED_VALUE"""),"")</f>
        <v/>
      </c>
      <c r="W389" s="1" t="str">
        <f>IFERROR(__xludf.DUMMYFUNCTION("""COMPUTED_VALUE"""),"102")</f>
        <v>102</v>
      </c>
      <c r="X389" s="1" t="str">
        <f>IFERROR(__xludf.DUMMYFUNCTION("""COMPUTED_VALUE"""),"")</f>
        <v/>
      </c>
      <c r="Y389" s="1" t="str">
        <f>IFERROR(__xludf.DUMMYFUNCTION("""COMPUTED_VALUE"""),"")</f>
        <v/>
      </c>
      <c r="Z389" s="1" t="str">
        <f>IFERROR(__xludf.DUMMYFUNCTION("""COMPUTED_VALUE"""),"Unknown")</f>
        <v>Unknown</v>
      </c>
      <c r="AA389" s="1" t="str">
        <f>IFERROR(__xludf.DUMMYFUNCTION("""COMPUTED_VALUE"""),"")</f>
        <v/>
      </c>
      <c r="AB389" s="1" t="str">
        <f>IFERROR(__xludf.DUMMYFUNCTION("""COMPUTED_VALUE"""),"")</f>
        <v/>
      </c>
      <c r="AC389" s="1" t="str">
        <f>IFERROR(__xludf.DUMMYFUNCTION("""COMPUTED_VALUE"""),"")</f>
        <v/>
      </c>
      <c r="AD389" s="1" t="str">
        <f>IFERROR(__xludf.DUMMYFUNCTION("""COMPUTED_VALUE"""),"")</f>
        <v/>
      </c>
      <c r="AE389" s="1" t="str">
        <f>IFERROR(__xludf.DUMMYFUNCTION("""COMPUTED_VALUE"""),"")</f>
        <v/>
      </c>
      <c r="AF389" s="1" t="str">
        <f>IFERROR(__xludf.DUMMYFUNCTION("""COMPUTED_VALUE"""),"")</f>
        <v/>
      </c>
      <c r="AG389" s="1" t="str">
        <f>IFERROR(__xludf.DUMMYFUNCTION("""COMPUTED_VALUE"""),"")</f>
        <v/>
      </c>
      <c r="AH389" s="1" t="str">
        <f>IFERROR(__xludf.DUMMYFUNCTION("""COMPUTED_VALUE"""),"Media Monitoring")</f>
        <v>Media Monitoring</v>
      </c>
      <c r="AI389" s="2" t="str">
        <f>IFERROR(__xludf.DUMMYFUNCTION("""COMPUTED_VALUE"""),"https://www.datacenterdynamics.com/en/news/provident-realty-proposes-seven-building-campus-in-burns-harbor-indiana/")</f>
        <v>https://www.datacenterdynamics.com/en/news/provident-realty-proposes-seven-building-campus-in-burns-harbor-indiana/</v>
      </c>
      <c r="AJ389" s="1" t="str">
        <f>IFERROR(__xludf.DUMMYFUNCTION("""COMPUTED_VALUE"""),"")</f>
        <v/>
      </c>
      <c r="AK389" s="1" t="str">
        <f>IFERROR(__xludf.DUMMYFUNCTION("""COMPUTED_VALUE"""),"")</f>
        <v/>
      </c>
      <c r="AL389" s="1" t="str">
        <f>IFERROR(__xludf.DUMMYFUNCTION("""COMPUTED_VALUE"""),"")</f>
        <v/>
      </c>
      <c r="AM389" s="1" t="str">
        <f>IFERROR(__xludf.DUMMYFUNCTION("""COMPUTED_VALUE"""),"")</f>
        <v/>
      </c>
      <c r="AN389" s="1" t="str">
        <f>IFERROR(__xludf.DUMMYFUNCTION("""COMPUTED_VALUE"""),"")</f>
        <v/>
      </c>
      <c r="AO389" s="1" t="str">
        <f>IFERROR(__xludf.DUMMYFUNCTION("""COMPUTED_VALUE"""),"")</f>
        <v/>
      </c>
      <c r="AP389" s="1" t="str">
        <f>IFERROR(__xludf.DUMMYFUNCTION("""COMPUTED_VALUE"""),"")</f>
        <v/>
      </c>
      <c r="AQ389" s="1" t="str">
        <f>IFERROR(__xludf.DUMMYFUNCTION("""COMPUTED_VALUE"""),"08/25/2025")</f>
        <v>08/25/2025</v>
      </c>
      <c r="AR389" s="1" t="str">
        <f>IFERROR(__xludf.DUMMYFUNCTION("""COMPUTED_VALUE"""),"08/25/2025")</f>
        <v>08/25/2025</v>
      </c>
    </row>
    <row r="390">
      <c r="A390" s="1" t="str">
        <f>IFERROR(__xludf.DUMMYFUNCTION("""COMPUTED_VALUE"""),"Prologis")</f>
        <v>Prologis</v>
      </c>
      <c r="B390" s="1" t="str">
        <f>IFERROR(__xludf.DUMMYFUNCTION("""COMPUTED_VALUE"""),"South of 3878 IN-44")</f>
        <v>South of 3878 IN-44</v>
      </c>
      <c r="C390" s="1" t="str">
        <f>IFERROR(__xludf.DUMMYFUNCTION("""COMPUTED_VALUE"""),"Shelby")</f>
        <v>Shelby</v>
      </c>
      <c r="D390" s="1" t="str">
        <f>IFERROR(__xludf.DUMMYFUNCTION("""COMPUTED_VALUE"""),"IN")</f>
        <v>IN</v>
      </c>
      <c r="E390" s="1" t="str">
        <f>IFERROR(__xludf.DUMMYFUNCTION("""COMPUTED_VALUE"""),"46176")</f>
        <v>46176</v>
      </c>
      <c r="F390" s="1" t="str">
        <f>IFERROR(__xludf.DUMMYFUNCTION("""COMPUTED_VALUE"""),"Shelby")</f>
        <v>Shelby</v>
      </c>
      <c r="G390" s="1" t="str">
        <f>IFERROR(__xludf.DUMMYFUNCTION("""COMPUTED_VALUE"""),"39.529045")</f>
        <v>39.529045</v>
      </c>
      <c r="H390" s="1" t="str">
        <f>IFERROR(__xludf.DUMMYFUNCTION("""COMPUTED_VALUE"""),"-85.71126")</f>
        <v>-85.71126</v>
      </c>
      <c r="I390" s="1" t="str">
        <f>IFERROR(__xludf.DUMMYFUNCTION("""COMPUTED_VALUE"""),"Proposed")</f>
        <v>Proposed</v>
      </c>
      <c r="J390" s="1" t="str">
        <f>IFERROR(__xludf.DUMMYFUNCTION("""COMPUTED_VALUE"""),"High")</f>
        <v>High</v>
      </c>
      <c r="K390" s="1" t="str">
        <f>IFERROR(__xludf.DUMMYFUNCTION("""COMPUTED_VALUE"""),"")</f>
        <v/>
      </c>
      <c r="L390" s="1" t="str">
        <f>IFERROR(__xludf.DUMMYFUNCTION("""COMPUTED_VALUE"""),"")</f>
        <v/>
      </c>
      <c r="M390" s="1" t="str">
        <f>IFERROR(__xludf.DUMMYFUNCTION("""COMPUTED_VALUE"""),"")</f>
        <v/>
      </c>
      <c r="N390" s="1" t="str">
        <f>IFERROR(__xludf.DUMMYFUNCTION("""COMPUTED_VALUE"""),"5,200-10,000")</f>
        <v>5,200-10,000</v>
      </c>
      <c r="O390" s="1" t="str">
        <f>IFERROR(__xludf.DUMMYFUNCTION("""COMPUTED_VALUE"""),"Mega campus (&gt;1,000 MW)")</f>
        <v>Mega campus (&gt;1,000 MW)</v>
      </c>
      <c r="P390" s="1" t="str">
        <f>IFERROR(__xludf.DUMMYFUNCTION("""COMPUTED_VALUE"""),"")</f>
        <v/>
      </c>
      <c r="Q390" s="1" t="str">
        <f>IFERROR(__xludf.DUMMYFUNCTION("""COMPUTED_VALUE"""),"")</f>
        <v/>
      </c>
      <c r="R390" s="1" t="str">
        <f>IFERROR(__xludf.DUMMYFUNCTION("""COMPUTED_VALUE"""),"")</f>
        <v/>
      </c>
      <c r="S390" s="1" t="str">
        <f>IFERROR(__xludf.DUMMYFUNCTION("""COMPUTED_VALUE"""),"13")</f>
        <v>13</v>
      </c>
      <c r="T390" s="1" t="str">
        <f>IFERROR(__xludf.DUMMYFUNCTION("""COMPUTED_VALUE"""),"")</f>
        <v/>
      </c>
      <c r="U390" s="1" t="str">
        <f>IFERROR(__xludf.DUMMYFUNCTION("""COMPUTED_VALUE"""),"")</f>
        <v/>
      </c>
      <c r="V390" s="1" t="str">
        <f>IFERROR(__xludf.DUMMYFUNCTION("""COMPUTED_VALUE"""),"")</f>
        <v/>
      </c>
      <c r="W390" s="1" t="str">
        <f>IFERROR(__xludf.DUMMYFUNCTION("""COMPUTED_VALUE"""),"576")</f>
        <v>576</v>
      </c>
      <c r="X390" s="1" t="str">
        <f>IFERROR(__xludf.DUMMYFUNCTION("""COMPUTED_VALUE"""),"")</f>
        <v/>
      </c>
      <c r="Y390" s="1" t="str">
        <f>IFERROR(__xludf.DUMMYFUNCTION("""COMPUTED_VALUE"""),"")</f>
        <v/>
      </c>
      <c r="Z390" s="1" t="str">
        <f>IFERROR(__xludf.DUMMYFUNCTION("""COMPUTED_VALUE"""),"Yes")</f>
        <v>Yes</v>
      </c>
      <c r="AA390" s="1" t="str">
        <f>IFERROR(__xludf.DUMMYFUNCTION("""COMPUTED_VALUE"""),"")</f>
        <v/>
      </c>
      <c r="AB390" s="1" t="str">
        <f>IFERROR(__xludf.DUMMYFUNCTION("""COMPUTED_VALUE"""),"")</f>
        <v/>
      </c>
      <c r="AC390" s="1" t="str">
        <f>IFERROR(__xludf.DUMMYFUNCTION("""COMPUTED_VALUE"""),"")</f>
        <v/>
      </c>
      <c r="AD390" s="1" t="str">
        <f>IFERROR(__xludf.DUMMYFUNCTION("""COMPUTED_VALUE"""),"")</f>
        <v/>
      </c>
      <c r="AE390" s="1" t="str">
        <f>IFERROR(__xludf.DUMMYFUNCTION("""COMPUTED_VALUE"""),"")</f>
        <v/>
      </c>
      <c r="AF390" s="2" t="str">
        <f>IFERROR(__xludf.DUMMYFUNCTION("""COMPUTED_VALUE"""),"https://www.change.org/p/halt-the-annexation-and-rezoning-of-429-acres-in-shelbyville-in")</f>
        <v>https://www.change.org/p/halt-the-annexation-and-rezoning-of-429-acres-in-shelbyville-in</v>
      </c>
      <c r="AG390" s="1" t="str">
        <f>IFERROR(__xludf.DUMMYFUNCTION("""COMPUTED_VALUE"""),"")</f>
        <v/>
      </c>
      <c r="AH390" s="1" t="str">
        <f>IFERROR(__xludf.DUMMYFUNCTION("""COMPUTED_VALUE"""),"Media Monitoring")</f>
        <v>Media Monitoring</v>
      </c>
      <c r="AI390" s="2" t="str">
        <f>IFERROR(__xludf.DUMMYFUNCTION("""COMPUTED_VALUE"""),"https://www.datacenterdynamics.com/en/news/industrial-real-estate-giant-prologis-is-planning-a-large-data-center-development-in-illinois-first-reported-by-local-news-including-shelbyville-news-and-fox-prologis-is-filing-to-develop-a-campus-in-the-city-of-"&amp;"shelbyville-in-central-illinois-lorm/")</f>
        <v>https://www.datacenterdynamics.com/en/news/industrial-real-estate-giant-prologis-is-planning-a-large-data-center-development-in-illinois-first-reported-by-local-news-including-shelbyville-news-and-fox-prologis-is-filing-to-develop-a-campus-in-the-city-of-shelbyville-in-central-illinois-lorm/</v>
      </c>
      <c r="AJ390" s="1" t="str">
        <f>IFERROR(__xludf.DUMMYFUNCTION("""COMPUTED_VALUE"""),"")</f>
        <v/>
      </c>
      <c r="AK390" s="1" t="str">
        <f>IFERROR(__xludf.DUMMYFUNCTION("""COMPUTED_VALUE"""),"")</f>
        <v/>
      </c>
      <c r="AL390" s="1" t="str">
        <f>IFERROR(__xludf.DUMMYFUNCTION("""COMPUTED_VALUE"""),"")</f>
        <v/>
      </c>
      <c r="AM390" s="1" t="str">
        <f>IFERROR(__xludf.DUMMYFUNCTION("""COMPUTED_VALUE"""),"")</f>
        <v/>
      </c>
      <c r="AN390" s="1" t="str">
        <f>IFERROR(__xludf.DUMMYFUNCTION("""COMPUTED_VALUE"""),"")</f>
        <v/>
      </c>
      <c r="AO390" s="1" t="str">
        <f>IFERROR(__xludf.DUMMYFUNCTION("""COMPUTED_VALUE"""),"")</f>
        <v/>
      </c>
      <c r="AP390" s="1" t="str">
        <f>IFERROR(__xludf.DUMMYFUNCTION("""COMPUTED_VALUE"""),"")</f>
        <v/>
      </c>
      <c r="AQ390" s="1" t="str">
        <f>IFERROR(__xludf.DUMMYFUNCTION("""COMPUTED_VALUE"""),"01/06/2026")</f>
        <v>01/06/2026</v>
      </c>
      <c r="AR390" s="1" t="str">
        <f>IFERROR(__xludf.DUMMYFUNCTION("""COMPUTED_VALUE"""),"01/06/2026")</f>
        <v>01/06/2026</v>
      </c>
    </row>
    <row r="391">
      <c r="A391" s="1" t="str">
        <f>IFERROR(__xludf.DUMMYFUNCTION("""COMPUTED_VALUE"""),"Jeremiah A QTS Data Center")</f>
        <v>Jeremiah A QTS Data Center</v>
      </c>
      <c r="B391" s="1" t="str">
        <f>IFERROR(__xludf.DUMMYFUNCTION("""COMPUTED_VALUE"""),"Along W 450 N")</f>
        <v>Along W 450 N</v>
      </c>
      <c r="C391" s="1" t="str">
        <f>IFERROR(__xludf.DUMMYFUNCTION("""COMPUTED_VALUE"""),"Union Township")</f>
        <v>Union Township</v>
      </c>
      <c r="D391" s="1" t="str">
        <f>IFERROR(__xludf.DUMMYFUNCTION("""COMPUTED_VALUE"""),"IN")</f>
        <v>IN</v>
      </c>
      <c r="E391" s="1" t="str">
        <f>IFERROR(__xludf.DUMMYFUNCTION("""COMPUTED_VALUE"""),"43642")</f>
        <v>43642</v>
      </c>
      <c r="F391" s="1" t="str">
        <f>IFERROR(__xludf.DUMMYFUNCTION("""COMPUTED_VALUE"""),"Porter")</f>
        <v>Porter</v>
      </c>
      <c r="G391" s="1" t="str">
        <f>IFERROR(__xludf.DUMMYFUNCTION("""COMPUTED_VALUE"""),"41.50386")</f>
        <v>41.50386</v>
      </c>
      <c r="H391" s="1" t="str">
        <f>IFERROR(__xludf.DUMMYFUNCTION("""COMPUTED_VALUE"""),"-87.2014")</f>
        <v>-87.2014</v>
      </c>
      <c r="I391" s="1" t="str">
        <f>IFERROR(__xludf.DUMMYFUNCTION("""COMPUTED_VALUE"""),"Suspended")</f>
        <v>Suspended</v>
      </c>
      <c r="J391" s="1" t="str">
        <f>IFERROR(__xludf.DUMMYFUNCTION("""COMPUTED_VALUE"""),"High")</f>
        <v>High</v>
      </c>
      <c r="K391" s="1" t="str">
        <f>IFERROR(__xludf.DUMMYFUNCTION("""COMPUTED_VALUE"""),"")</f>
        <v/>
      </c>
      <c r="L391" s="1" t="str">
        <f>IFERROR(__xludf.DUMMYFUNCTION("""COMPUTED_VALUE"""),"")</f>
        <v/>
      </c>
      <c r="M391" s="1" t="str">
        <f>IFERROR(__xludf.DUMMYFUNCTION("""COMPUTED_VALUE"""),"")</f>
        <v/>
      </c>
      <c r="N391" s="1" t="str">
        <f>IFERROR(__xludf.DUMMYFUNCTION("""COMPUTED_VALUE"""),"")</f>
        <v/>
      </c>
      <c r="O391" s="1" t="str">
        <f>IFERROR(__xludf.DUMMYFUNCTION("""COMPUTED_VALUE"""),"Unknown")</f>
        <v>Unknown</v>
      </c>
      <c r="P391" s="1" t="str">
        <f>IFERROR(__xludf.DUMMYFUNCTION("""COMPUTED_VALUE"""),"")</f>
        <v/>
      </c>
      <c r="Q391" s="1" t="str">
        <f>IFERROR(__xludf.DUMMYFUNCTION("""COMPUTED_VALUE"""),"")</f>
        <v/>
      </c>
      <c r="R391" s="1" t="str">
        <f>IFERROR(__xludf.DUMMYFUNCTION("""COMPUTED_VALUE"""),"")</f>
        <v/>
      </c>
      <c r="S391" s="1" t="str">
        <f>IFERROR(__xludf.DUMMYFUNCTION("""COMPUTED_VALUE"""),"")</f>
        <v/>
      </c>
      <c r="T391" s="1" t="str">
        <f>IFERROR(__xludf.DUMMYFUNCTION("""COMPUTED_VALUE"""),"")</f>
        <v/>
      </c>
      <c r="U391" s="1" t="str">
        <f>IFERROR(__xludf.DUMMYFUNCTION("""COMPUTED_VALUE"""),"")</f>
        <v/>
      </c>
      <c r="V391" s="1" t="str">
        <f>IFERROR(__xludf.DUMMYFUNCTION("""COMPUTED_VALUE"""),"")</f>
        <v/>
      </c>
      <c r="W391" s="1" t="str">
        <f>IFERROR(__xludf.DUMMYFUNCTION("""COMPUTED_VALUE"""),"400")</f>
        <v>400</v>
      </c>
      <c r="X391" s="1" t="str">
        <f>IFERROR(__xludf.DUMMYFUNCTION("""COMPUTED_VALUE"""),"$1 billion")</f>
        <v>$1 billion</v>
      </c>
      <c r="Y391" s="1" t="str">
        <f>IFERROR(__xludf.DUMMYFUNCTION("""COMPUTED_VALUE"""),"")</f>
        <v/>
      </c>
      <c r="Z391" s="1" t="str">
        <f>IFERROR(__xludf.DUMMYFUNCTION("""COMPUTED_VALUE"""),"Unknown")</f>
        <v>Unknown</v>
      </c>
      <c r="AA391" s="1" t="str">
        <f>IFERROR(__xludf.DUMMYFUNCTION("""COMPUTED_VALUE"""),"")</f>
        <v/>
      </c>
      <c r="AB391" s="1" t="str">
        <f>IFERROR(__xludf.DUMMYFUNCTION("""COMPUTED_VALUE"""),"")</f>
        <v/>
      </c>
      <c r="AC391" s="1" t="str">
        <f>IFERROR(__xludf.DUMMYFUNCTION("""COMPUTED_VALUE"""),"")</f>
        <v/>
      </c>
      <c r="AD391" s="1" t="str">
        <f>IFERROR(__xludf.DUMMYFUNCTION("""COMPUTED_VALUE"""),"")</f>
        <v/>
      </c>
      <c r="AE391" s="1" t="str">
        <f>IFERROR(__xludf.DUMMYFUNCTION("""COMPUTED_VALUE"""),"")</f>
        <v/>
      </c>
      <c r="AF391" s="1" t="str">
        <f>IFERROR(__xludf.DUMMYFUNCTION("""COMPUTED_VALUE"""),"")</f>
        <v/>
      </c>
      <c r="AG391" s="1" t="str">
        <f>IFERROR(__xludf.DUMMYFUNCTION("""COMPUTED_VALUE"""),"Blackstone-owned firm has withdrawn its rezoning request for the land after local people voiced concerns about the scheme")</f>
        <v>Blackstone-owned firm has withdrawn its rezoning request for the land after local people voiced concerns about the scheme</v>
      </c>
      <c r="AH391" s="1" t="str">
        <f>IFERROR(__xludf.DUMMYFUNCTION("""COMPUTED_VALUE"""),"Media Monitoring")</f>
        <v>Media Monitoring</v>
      </c>
      <c r="AI391" s="2" t="str">
        <f>IFERROR(__xludf.DUMMYFUNCTION("""COMPUTED_VALUE"""),"https://www.portercountyin.gov/DocumentCenter/View/51340/Neighborhood-Meeting-County-Presentation-Post")</f>
        <v>https://www.portercountyin.gov/DocumentCenter/View/51340/Neighborhood-Meeting-County-Presentation-Post</v>
      </c>
      <c r="AJ391" s="2" t="str">
        <f>IFERROR(__xludf.DUMMYFUNCTION("""COMPUTED_VALUE"""),"https://www.datacenterdynamics.com/en/news/qts-cans-data-center-scheme-in-porter-county-indiana-after-protests/")</f>
        <v>https://www.datacenterdynamics.com/en/news/qts-cans-data-center-scheme-in-porter-county-indiana-after-protests/</v>
      </c>
      <c r="AK391" s="1" t="str">
        <f>IFERROR(__xludf.DUMMYFUNCTION("""COMPUTED_VALUE"""),"")</f>
        <v/>
      </c>
      <c r="AL391" s="1" t="str">
        <f>IFERROR(__xludf.DUMMYFUNCTION("""COMPUTED_VALUE"""),"")</f>
        <v/>
      </c>
      <c r="AM391" s="1" t="str">
        <f>IFERROR(__xludf.DUMMYFUNCTION("""COMPUTED_VALUE"""),"")</f>
        <v/>
      </c>
      <c r="AN391" s="1" t="str">
        <f>IFERROR(__xludf.DUMMYFUNCTION("""COMPUTED_VALUE"""),"")</f>
        <v/>
      </c>
      <c r="AO391" s="1" t="str">
        <f>IFERROR(__xludf.DUMMYFUNCTION("""COMPUTED_VALUE"""),"")</f>
        <v/>
      </c>
      <c r="AP391" s="1" t="str">
        <f>IFERROR(__xludf.DUMMYFUNCTION("""COMPUTED_VALUE"""),"")</f>
        <v/>
      </c>
      <c r="AQ391" s="1" t="str">
        <f>IFERROR(__xludf.DUMMYFUNCTION("""COMPUTED_VALUE"""),"09/16/2025")</f>
        <v>09/16/2025</v>
      </c>
      <c r="AR391" s="1" t="str">
        <f>IFERROR(__xludf.DUMMYFUNCTION("""COMPUTED_VALUE"""),"09/16/2025")</f>
        <v>09/16/2025</v>
      </c>
    </row>
    <row r="392">
      <c r="A392" s="1" t="str">
        <f>IFERROR(__xludf.DUMMYFUNCTION("""COMPUTED_VALUE"""),"Jeremiah B QTS Data Center")</f>
        <v>Jeremiah B QTS Data Center</v>
      </c>
      <c r="B392" s="1" t="str">
        <f>IFERROR(__xludf.DUMMYFUNCTION("""COMPUTED_VALUE"""),"Along W 450 N")</f>
        <v>Along W 450 N</v>
      </c>
      <c r="C392" s="1" t="str">
        <f>IFERROR(__xludf.DUMMYFUNCTION("""COMPUTED_VALUE"""),"Union Township")</f>
        <v>Union Township</v>
      </c>
      <c r="D392" s="1" t="str">
        <f>IFERROR(__xludf.DUMMYFUNCTION("""COMPUTED_VALUE"""),"IN")</f>
        <v>IN</v>
      </c>
      <c r="E392" s="1" t="str">
        <f>IFERROR(__xludf.DUMMYFUNCTION("""COMPUTED_VALUE"""),"43642")</f>
        <v>43642</v>
      </c>
      <c r="F392" s="1" t="str">
        <f>IFERROR(__xludf.DUMMYFUNCTION("""COMPUTED_VALUE"""),"Porter")</f>
        <v>Porter</v>
      </c>
      <c r="G392" s="1" t="str">
        <f>IFERROR(__xludf.DUMMYFUNCTION("""COMPUTED_VALUE"""),"41.49809")</f>
        <v>41.49809</v>
      </c>
      <c r="H392" s="1" t="str">
        <f>IFERROR(__xludf.DUMMYFUNCTION("""COMPUTED_VALUE"""),"-87.1875")</f>
        <v>-87.1875</v>
      </c>
      <c r="I392" s="1" t="str">
        <f>IFERROR(__xludf.DUMMYFUNCTION("""COMPUTED_VALUE"""),"Suspended")</f>
        <v>Suspended</v>
      </c>
      <c r="J392" s="1" t="str">
        <f>IFERROR(__xludf.DUMMYFUNCTION("""COMPUTED_VALUE"""),"High")</f>
        <v>High</v>
      </c>
      <c r="K392" s="1" t="str">
        <f>IFERROR(__xludf.DUMMYFUNCTION("""COMPUTED_VALUE"""),"")</f>
        <v/>
      </c>
      <c r="L392" s="1" t="str">
        <f>IFERROR(__xludf.DUMMYFUNCTION("""COMPUTED_VALUE"""),"")</f>
        <v/>
      </c>
      <c r="M392" s="1" t="str">
        <f>IFERROR(__xludf.DUMMYFUNCTION("""COMPUTED_VALUE"""),"")</f>
        <v/>
      </c>
      <c r="N392" s="1" t="str">
        <f>IFERROR(__xludf.DUMMYFUNCTION("""COMPUTED_VALUE"""),"")</f>
        <v/>
      </c>
      <c r="O392" s="1" t="str">
        <f>IFERROR(__xludf.DUMMYFUNCTION("""COMPUTED_VALUE"""),"Unknown")</f>
        <v>Unknown</v>
      </c>
      <c r="P392" s="1" t="str">
        <f>IFERROR(__xludf.DUMMYFUNCTION("""COMPUTED_VALUE"""),"")</f>
        <v/>
      </c>
      <c r="Q392" s="1" t="str">
        <f>IFERROR(__xludf.DUMMYFUNCTION("""COMPUTED_VALUE"""),"")</f>
        <v/>
      </c>
      <c r="R392" s="1" t="str">
        <f>IFERROR(__xludf.DUMMYFUNCTION("""COMPUTED_VALUE"""),"")</f>
        <v/>
      </c>
      <c r="S392" s="1" t="str">
        <f>IFERROR(__xludf.DUMMYFUNCTION("""COMPUTED_VALUE"""),"")</f>
        <v/>
      </c>
      <c r="T392" s="1" t="str">
        <f>IFERROR(__xludf.DUMMYFUNCTION("""COMPUTED_VALUE"""),"")</f>
        <v/>
      </c>
      <c r="U392" s="1" t="str">
        <f>IFERROR(__xludf.DUMMYFUNCTION("""COMPUTED_VALUE"""),"")</f>
        <v/>
      </c>
      <c r="V392" s="1" t="str">
        <f>IFERROR(__xludf.DUMMYFUNCTION("""COMPUTED_VALUE"""),"")</f>
        <v/>
      </c>
      <c r="W392" s="1" t="str">
        <f>IFERROR(__xludf.DUMMYFUNCTION("""COMPUTED_VALUE"""),"400")</f>
        <v>400</v>
      </c>
      <c r="X392" s="1" t="str">
        <f>IFERROR(__xludf.DUMMYFUNCTION("""COMPUTED_VALUE"""),"$1 billion")</f>
        <v>$1 billion</v>
      </c>
      <c r="Y392" s="1" t="str">
        <f>IFERROR(__xludf.DUMMYFUNCTION("""COMPUTED_VALUE"""),"")</f>
        <v/>
      </c>
      <c r="Z392" s="1" t="str">
        <f>IFERROR(__xludf.DUMMYFUNCTION("""COMPUTED_VALUE"""),"Unknown")</f>
        <v>Unknown</v>
      </c>
      <c r="AA392" s="1" t="str">
        <f>IFERROR(__xludf.DUMMYFUNCTION("""COMPUTED_VALUE"""),"")</f>
        <v/>
      </c>
      <c r="AB392" s="1" t="str">
        <f>IFERROR(__xludf.DUMMYFUNCTION("""COMPUTED_VALUE"""),"")</f>
        <v/>
      </c>
      <c r="AC392" s="1" t="str">
        <f>IFERROR(__xludf.DUMMYFUNCTION("""COMPUTED_VALUE"""),"")</f>
        <v/>
      </c>
      <c r="AD392" s="1" t="str">
        <f>IFERROR(__xludf.DUMMYFUNCTION("""COMPUTED_VALUE"""),"")</f>
        <v/>
      </c>
      <c r="AE392" s="1" t="str">
        <f>IFERROR(__xludf.DUMMYFUNCTION("""COMPUTED_VALUE"""),"")</f>
        <v/>
      </c>
      <c r="AF392" s="1" t="str">
        <f>IFERROR(__xludf.DUMMYFUNCTION("""COMPUTED_VALUE"""),"")</f>
        <v/>
      </c>
      <c r="AG392" s="1" t="str">
        <f>IFERROR(__xludf.DUMMYFUNCTION("""COMPUTED_VALUE"""),"Blackstone-owned firm has withdrawn its rezoning request for the land after local people voiced concerns about the scheme")</f>
        <v>Blackstone-owned firm has withdrawn its rezoning request for the land after local people voiced concerns about the scheme</v>
      </c>
      <c r="AH392" s="1" t="str">
        <f>IFERROR(__xludf.DUMMYFUNCTION("""COMPUTED_VALUE"""),"Media Monitoring")</f>
        <v>Media Monitoring</v>
      </c>
      <c r="AI392" s="2" t="str">
        <f>IFERROR(__xludf.DUMMYFUNCTION("""COMPUTED_VALUE"""),"https://www.portercountyin.gov/DocumentCenter/View/51340/Neighborhood-Meeting-County-Presentation-Post")</f>
        <v>https://www.portercountyin.gov/DocumentCenter/View/51340/Neighborhood-Meeting-County-Presentation-Post</v>
      </c>
      <c r="AJ392" s="2" t="str">
        <f>IFERROR(__xludf.DUMMYFUNCTION("""COMPUTED_VALUE"""),"https://www.datacenterdynamics.com/en/news/qts-cans-data-center-scheme-in-porter-county-indiana-after-protests/")</f>
        <v>https://www.datacenterdynamics.com/en/news/qts-cans-data-center-scheme-in-porter-county-indiana-after-protests/</v>
      </c>
      <c r="AK392" s="1" t="str">
        <f>IFERROR(__xludf.DUMMYFUNCTION("""COMPUTED_VALUE"""),"")</f>
        <v/>
      </c>
      <c r="AL392" s="1" t="str">
        <f>IFERROR(__xludf.DUMMYFUNCTION("""COMPUTED_VALUE"""),"")</f>
        <v/>
      </c>
      <c r="AM392" s="1" t="str">
        <f>IFERROR(__xludf.DUMMYFUNCTION("""COMPUTED_VALUE"""),"")</f>
        <v/>
      </c>
      <c r="AN392" s="1" t="str">
        <f>IFERROR(__xludf.DUMMYFUNCTION("""COMPUTED_VALUE"""),"")</f>
        <v/>
      </c>
      <c r="AO392" s="1" t="str">
        <f>IFERROR(__xludf.DUMMYFUNCTION("""COMPUTED_VALUE"""),"")</f>
        <v/>
      </c>
      <c r="AP392" s="1" t="str">
        <f>IFERROR(__xludf.DUMMYFUNCTION("""COMPUTED_VALUE"""),"")</f>
        <v/>
      </c>
      <c r="AQ392" s="1" t="str">
        <f>IFERROR(__xludf.DUMMYFUNCTION("""COMPUTED_VALUE"""),"09/16/2025")</f>
        <v>09/16/2025</v>
      </c>
      <c r="AR392" s="1" t="str">
        <f>IFERROR(__xludf.DUMMYFUNCTION("""COMPUTED_VALUE"""),"09/16/2025")</f>
        <v>09/16/2025</v>
      </c>
    </row>
    <row r="393">
      <c r="A393" s="1" t="str">
        <f>IFERROR(__xludf.DUMMYFUNCTION("""COMPUTED_VALUE"""),"Agincourt")</f>
        <v>Agincourt</v>
      </c>
      <c r="B393" s="1" t="str">
        <f>IFERROR(__xludf.DUMMYFUNCTION("""COMPUTED_VALUE"""),"Between County Road 400 North and County Road 500 North")</f>
        <v>Between County Road 400 North and County Road 500 North</v>
      </c>
      <c r="C393" s="1" t="str">
        <f>IFERROR(__xludf.DUMMYFUNCTION("""COMPUTED_VALUE"""),"Valparaiso")</f>
        <v>Valparaiso</v>
      </c>
      <c r="D393" s="1" t="str">
        <f>IFERROR(__xludf.DUMMYFUNCTION("""COMPUTED_VALUE"""),"IN")</f>
        <v>IN</v>
      </c>
      <c r="E393" s="1" t="str">
        <f>IFERROR(__xludf.DUMMYFUNCTION("""COMPUTED_VALUE"""),"46383")</f>
        <v>46383</v>
      </c>
      <c r="F393" s="1" t="str">
        <f>IFERROR(__xludf.DUMMYFUNCTION("""COMPUTED_VALUE"""),"Porter")</f>
        <v>Porter</v>
      </c>
      <c r="G393" s="1" t="str">
        <f>IFERROR(__xludf.DUMMYFUNCTION("""COMPUTED_VALUE"""),"41.50217")</f>
        <v>41.50217</v>
      </c>
      <c r="H393" s="1" t="str">
        <f>IFERROR(__xludf.DUMMYFUNCTION("""COMPUTED_VALUE"""),"-87.01344")</f>
        <v>-87.01344</v>
      </c>
      <c r="I393" s="1" t="str">
        <f>IFERROR(__xludf.DUMMYFUNCTION("""COMPUTED_VALUE"""),"Suspended")</f>
        <v>Suspended</v>
      </c>
      <c r="J393" s="1" t="str">
        <f>IFERROR(__xludf.DUMMYFUNCTION("""COMPUTED_VALUE"""),"Medium")</f>
        <v>Medium</v>
      </c>
      <c r="K393" s="1" t="str">
        <f>IFERROR(__xludf.DUMMYFUNCTION("""COMPUTED_VALUE"""),"")</f>
        <v/>
      </c>
      <c r="L393" s="1" t="str">
        <f>IFERROR(__xludf.DUMMYFUNCTION("""COMPUTED_VALUE"""),"")</f>
        <v/>
      </c>
      <c r="M393" s="1" t="str">
        <f>IFERROR(__xludf.DUMMYFUNCTION("""COMPUTED_VALUE"""),"")</f>
        <v/>
      </c>
      <c r="N393" s="1" t="str">
        <f>IFERROR(__xludf.DUMMYFUNCTION("""COMPUTED_VALUE"""),"")</f>
        <v/>
      </c>
      <c r="O393" s="1" t="str">
        <f>IFERROR(__xludf.DUMMYFUNCTION("""COMPUTED_VALUE"""),"Hyperscale (100-999 MW)")</f>
        <v>Hyperscale (100-999 MW)</v>
      </c>
      <c r="P393" s="1" t="str">
        <f>IFERROR(__xludf.DUMMYFUNCTION("""COMPUTED_VALUE"""),"")</f>
        <v/>
      </c>
      <c r="Q393" s="1" t="str">
        <f>IFERROR(__xludf.DUMMYFUNCTION("""COMPUTED_VALUE"""),"")</f>
        <v/>
      </c>
      <c r="R393" s="1" t="str">
        <f>IFERROR(__xludf.DUMMYFUNCTION("""COMPUTED_VALUE"""),"")</f>
        <v/>
      </c>
      <c r="S393" s="1" t="str">
        <f>IFERROR(__xludf.DUMMYFUNCTION("""COMPUTED_VALUE"""),"4")</f>
        <v>4</v>
      </c>
      <c r="T393" s="1" t="str">
        <f>IFERROR(__xludf.DUMMYFUNCTION("""COMPUTED_VALUE"""),"")</f>
        <v/>
      </c>
      <c r="U393" s="1" t="str">
        <f>IFERROR(__xludf.DUMMYFUNCTION("""COMPUTED_VALUE"""),"")</f>
        <v/>
      </c>
      <c r="V393" s="1" t="str">
        <f>IFERROR(__xludf.DUMMYFUNCTION("""COMPUTED_VALUE"""),"2,400,000")</f>
        <v>2,400,000</v>
      </c>
      <c r="W393" s="1" t="str">
        <f>IFERROR(__xludf.DUMMYFUNCTION("""COMPUTED_VALUE"""),"248")</f>
        <v>248</v>
      </c>
      <c r="X393" s="1" t="str">
        <f>IFERROR(__xludf.DUMMYFUNCTION("""COMPUTED_VALUE"""),"")</f>
        <v/>
      </c>
      <c r="Y393" s="1" t="str">
        <f>IFERROR(__xludf.DUMMYFUNCTION("""COMPUTED_VALUE"""),"")</f>
        <v/>
      </c>
      <c r="Z393" s="1" t="str">
        <f>IFERROR(__xludf.DUMMYFUNCTION("""COMPUTED_VALUE"""),"Yes")</f>
        <v>Yes</v>
      </c>
      <c r="AA393" s="1" t="str">
        <f>IFERROR(__xludf.DUMMYFUNCTION("""COMPUTED_VALUE"""),"")</f>
        <v/>
      </c>
      <c r="AB393" s="1" t="str">
        <f>IFERROR(__xludf.DUMMYFUNCTION("""COMPUTED_VALUE"""),"")</f>
        <v/>
      </c>
      <c r="AC393" s="1" t="str">
        <f>IFERROR(__xludf.DUMMYFUNCTION("""COMPUTED_VALUE"""),"")</f>
        <v/>
      </c>
      <c r="AD393" s="1" t="str">
        <f>IFERROR(__xludf.DUMMYFUNCTION("""COMPUTED_VALUE"""),"")</f>
        <v/>
      </c>
      <c r="AE393" s="1" t="str">
        <f>IFERROR(__xludf.DUMMYFUNCTION("""COMPUTED_VALUE"""),"")</f>
        <v/>
      </c>
      <c r="AF393" s="1" t="str">
        <f>IFERROR(__xludf.DUMMYFUNCTION("""COMPUTED_VALUE"""),"")</f>
        <v/>
      </c>
      <c r="AG393" s="1" t="str">
        <f>IFERROR(__xludf.DUMMYFUNCTION("""COMPUTED_VALUE"""),"")</f>
        <v/>
      </c>
      <c r="AH393" s="1" t="str">
        <f>IFERROR(__xludf.DUMMYFUNCTION("""COMPUTED_VALUE"""),"Media Monitoring")</f>
        <v>Media Monitoring</v>
      </c>
      <c r="AI393" s="2" t="str">
        <f>IFERROR(__xludf.DUMMYFUNCTION("""COMPUTED_VALUE"""),"https://www.datacenterdynamics.com/en/news/indianas-city-of-valparaiso-pulls-the-plug-on-agincourt-data-center-project/")</f>
        <v>https://www.datacenterdynamics.com/en/news/indianas-city-of-valparaiso-pulls-the-plug-on-agincourt-data-center-project/</v>
      </c>
      <c r="AJ393" s="2" t="str">
        <f>IFERROR(__xludf.DUMMYFUNCTION("""COMPUTED_VALUE"""),"https://www.chicagotribune.com/2025/03/11/citizens-outcry-for-transparency-impact-of-potential-data-center-development-in-valparaiso/")</f>
        <v>https://www.chicagotribune.com/2025/03/11/citizens-outcry-for-transparency-impact-of-potential-data-center-development-in-valparaiso/</v>
      </c>
      <c r="AK393" s="1" t="str">
        <f>IFERROR(__xludf.DUMMYFUNCTION("""COMPUTED_VALUE"""),"")</f>
        <v/>
      </c>
      <c r="AL393" s="1" t="str">
        <f>IFERROR(__xludf.DUMMYFUNCTION("""COMPUTED_VALUE"""),"")</f>
        <v/>
      </c>
      <c r="AM393" s="1" t="str">
        <f>IFERROR(__xludf.DUMMYFUNCTION("""COMPUTED_VALUE"""),"")</f>
        <v/>
      </c>
      <c r="AN393" s="1" t="str">
        <f>IFERROR(__xludf.DUMMYFUNCTION("""COMPUTED_VALUE"""),"")</f>
        <v/>
      </c>
      <c r="AO393" s="1" t="str">
        <f>IFERROR(__xludf.DUMMYFUNCTION("""COMPUTED_VALUE"""),"")</f>
        <v/>
      </c>
      <c r="AP393" s="1" t="str">
        <f>IFERROR(__xludf.DUMMYFUNCTION("""COMPUTED_VALUE"""),"")</f>
        <v/>
      </c>
      <c r="AQ393" s="1" t="str">
        <f>IFERROR(__xludf.DUMMYFUNCTION("""COMPUTED_VALUE"""),"11/19/2025")</f>
        <v>11/19/2025</v>
      </c>
      <c r="AR393" s="1" t="str">
        <f>IFERROR(__xludf.DUMMYFUNCTION("""COMPUTED_VALUE"""),"11/19/2025")</f>
        <v>11/19/2025</v>
      </c>
    </row>
    <row r="394">
      <c r="A394" s="1" t="str">
        <f>IFERROR(__xludf.DUMMYFUNCTION("""COMPUTED_VALUE"""),"Amazon Data Center")</f>
        <v>Amazon Data Center</v>
      </c>
      <c r="B394" s="1" t="str">
        <f>IFERROR(__xludf.DUMMYFUNCTION("""COMPUTED_VALUE"""),"2723 E 1500 N")</f>
        <v>2723 E 1500 N</v>
      </c>
      <c r="C394" s="1" t="str">
        <f>IFERROR(__xludf.DUMMYFUNCTION("""COMPUTED_VALUE"""),"Wheatfield")</f>
        <v>Wheatfield</v>
      </c>
      <c r="D394" s="1" t="str">
        <f>IFERROR(__xludf.DUMMYFUNCTION("""COMPUTED_VALUE"""),"IN")</f>
        <v>IN</v>
      </c>
      <c r="E394" s="1" t="str">
        <f>IFERROR(__xludf.DUMMYFUNCTION("""COMPUTED_VALUE"""),"46392")</f>
        <v>46392</v>
      </c>
      <c r="F394" s="1" t="str">
        <f>IFERROR(__xludf.DUMMYFUNCTION("""COMPUTED_VALUE"""),"Jasper")</f>
        <v>Jasper</v>
      </c>
      <c r="G394" s="1" t="str">
        <f>IFERROR(__xludf.DUMMYFUNCTION("""COMPUTED_VALUE"""),"41.22792")</f>
        <v>41.22792</v>
      </c>
      <c r="H394" s="1" t="str">
        <f>IFERROR(__xludf.DUMMYFUNCTION("""COMPUTED_VALUE"""),"-87.00762")</f>
        <v>-87.00762</v>
      </c>
      <c r="I394" s="1" t="str">
        <f>IFERROR(__xludf.DUMMYFUNCTION("""COMPUTED_VALUE"""),"Proposed")</f>
        <v>Proposed</v>
      </c>
      <c r="J394" s="1" t="str">
        <f>IFERROR(__xludf.DUMMYFUNCTION("""COMPUTED_VALUE"""),"High")</f>
        <v>High</v>
      </c>
      <c r="K394" s="1" t="str">
        <f>IFERROR(__xludf.DUMMYFUNCTION("""COMPUTED_VALUE"""),"")</f>
        <v/>
      </c>
      <c r="L394" s="1" t="str">
        <f>IFERROR(__xludf.DUMMYFUNCTION("""COMPUTED_VALUE"""),"Amazon")</f>
        <v>Amazon</v>
      </c>
      <c r="M394" s="1" t="str">
        <f>IFERROR(__xludf.DUMMYFUNCTION("""COMPUTED_VALUE"""),"")</f>
        <v/>
      </c>
      <c r="N394" s="1" t="str">
        <f>IFERROR(__xludf.DUMMYFUNCTION("""COMPUTED_VALUE"""),"")</f>
        <v/>
      </c>
      <c r="O394" s="1" t="str">
        <f>IFERROR(__xludf.DUMMYFUNCTION("""COMPUTED_VALUE"""),"Unknown")</f>
        <v>Unknown</v>
      </c>
      <c r="P394" s="1" t="str">
        <f>IFERROR(__xludf.DUMMYFUNCTION("""COMPUTED_VALUE"""),"Coal")</f>
        <v>Coal</v>
      </c>
      <c r="Q394" s="1" t="str">
        <f>IFERROR(__xludf.DUMMYFUNCTION("""COMPUTED_VALUE"""),"")</f>
        <v/>
      </c>
      <c r="R394" s="1" t="str">
        <f>IFERROR(__xludf.DUMMYFUNCTION("""COMPUTED_VALUE"""),"")</f>
        <v/>
      </c>
      <c r="S394" s="1" t="str">
        <f>IFERROR(__xludf.DUMMYFUNCTION("""COMPUTED_VALUE"""),"9")</f>
        <v>9</v>
      </c>
      <c r="T394" s="1" t="str">
        <f>IFERROR(__xludf.DUMMYFUNCTION("""COMPUTED_VALUE"""),"Air")</f>
        <v>Air</v>
      </c>
      <c r="U394" s="1" t="str">
        <f>IFERROR(__xludf.DUMMYFUNCTION("""COMPUTED_VALUE"""),"Fans")</f>
        <v>Fans</v>
      </c>
      <c r="V394" s="1" t="str">
        <f>IFERROR(__xludf.DUMMYFUNCTION("""COMPUTED_VALUE"""),"")</f>
        <v/>
      </c>
      <c r="W394" s="1" t="str">
        <f>IFERROR(__xludf.DUMMYFUNCTION("""COMPUTED_VALUE"""),"304")</f>
        <v>304</v>
      </c>
      <c r="X394" s="1" t="str">
        <f>IFERROR(__xludf.DUMMYFUNCTION("""COMPUTED_VALUE"""),"$7 billion")</f>
        <v>$7 billion</v>
      </c>
      <c r="Y394" s="1" t="str">
        <f>IFERROR(__xludf.DUMMYFUNCTION("""COMPUTED_VALUE"""),"")</f>
        <v/>
      </c>
      <c r="Z394" s="1" t="str">
        <f>IFERROR(__xludf.DUMMYFUNCTION("""COMPUTED_VALUE"""),"Unknown")</f>
        <v>Unknown</v>
      </c>
      <c r="AA394" s="1" t="str">
        <f>IFERROR(__xludf.DUMMYFUNCTION("""COMPUTED_VALUE"""),"")</f>
        <v/>
      </c>
      <c r="AB394" s="1" t="str">
        <f>IFERROR(__xludf.DUMMYFUNCTION("""COMPUTED_VALUE"""),"")</f>
        <v/>
      </c>
      <c r="AC394" s="1" t="str">
        <f>IFERROR(__xludf.DUMMYFUNCTION("""COMPUTED_VALUE"""),"")</f>
        <v/>
      </c>
      <c r="AD394" s="1" t="str">
        <f>IFERROR(__xludf.DUMMYFUNCTION("""COMPUTED_VALUE"""),"")</f>
        <v/>
      </c>
      <c r="AE394" s="1" t="str">
        <f>IFERROR(__xludf.DUMMYFUNCTION("""COMPUTED_VALUE"""),"")</f>
        <v/>
      </c>
      <c r="AF394" s="1" t="str">
        <f>IFERROR(__xludf.DUMMYFUNCTION("""COMPUTED_VALUE"""),"")</f>
        <v/>
      </c>
      <c r="AG394" s="1" t="str">
        <f>IFERROR(__xludf.DUMMYFUNCTION("""COMPUTED_VALUE"""),"")</f>
        <v/>
      </c>
      <c r="AH394" s="1" t="str">
        <f>IFERROR(__xludf.DUMMYFUNCTION("""COMPUTED_VALUE"""),"Media Monitoring")</f>
        <v>Media Monitoring</v>
      </c>
      <c r="AI394" s="2" t="str">
        <f>IFERROR(__xludf.DUMMYFUNCTION("""COMPUTED_VALUE"""),"https://www.datacenterdynamics.com/en/news/amazon-plans-nine-building-data-center-campus-in-wheatfield-indiana/")</f>
        <v>https://www.datacenterdynamics.com/en/news/amazon-plans-nine-building-data-center-campus-in-wheatfield-indiana/</v>
      </c>
      <c r="AJ394" s="1" t="str">
        <f>IFERROR(__xludf.DUMMYFUNCTION("""COMPUTED_VALUE"""),"")</f>
        <v/>
      </c>
      <c r="AK394" s="1" t="str">
        <f>IFERROR(__xludf.DUMMYFUNCTION("""COMPUTED_VALUE"""),"")</f>
        <v/>
      </c>
      <c r="AL394" s="1" t="str">
        <f>IFERROR(__xludf.DUMMYFUNCTION("""COMPUTED_VALUE"""),"")</f>
        <v/>
      </c>
      <c r="AM394" s="1" t="str">
        <f>IFERROR(__xludf.DUMMYFUNCTION("""COMPUTED_VALUE"""),"")</f>
        <v/>
      </c>
      <c r="AN394" s="1" t="str">
        <f>IFERROR(__xludf.DUMMYFUNCTION("""COMPUTED_VALUE"""),"")</f>
        <v/>
      </c>
      <c r="AO394" s="1" t="str">
        <f>IFERROR(__xludf.DUMMYFUNCTION("""COMPUTED_VALUE"""),"")</f>
        <v/>
      </c>
      <c r="AP394" s="1" t="str">
        <f>IFERROR(__xludf.DUMMYFUNCTION("""COMPUTED_VALUE"""),"")</f>
        <v/>
      </c>
      <c r="AQ394" s="1" t="str">
        <f>IFERROR(__xludf.DUMMYFUNCTION("""COMPUTED_VALUE"""),"06/12/2026")</f>
        <v>06/12/2026</v>
      </c>
      <c r="AR394" s="1" t="str">
        <f>IFERROR(__xludf.DUMMYFUNCTION("""COMPUTED_VALUE"""),"06/12/2026")</f>
        <v>06/12/2026</v>
      </c>
    </row>
    <row r="395">
      <c r="A395" s="1" t="str">
        <f>IFERROR(__xludf.DUMMYFUNCTION("""COMPUTED_VALUE"""),"Blue Ladder Data Center ""Project Wolcott""")</f>
        <v>Blue Ladder Data Center "Project Wolcott"</v>
      </c>
      <c r="B395" s="1" t="str">
        <f>IFERROR(__xludf.DUMMYFUNCTION("""COMPUTED_VALUE"""),"South of Hwy 24")</f>
        <v>South of Hwy 24</v>
      </c>
      <c r="C395" s="1" t="str">
        <f>IFERROR(__xludf.DUMMYFUNCTION("""COMPUTED_VALUE"""),"Wolcott")</f>
        <v>Wolcott</v>
      </c>
      <c r="D395" s="1" t="str">
        <f>IFERROR(__xludf.DUMMYFUNCTION("""COMPUTED_VALUE"""),"IN")</f>
        <v>IN</v>
      </c>
      <c r="E395" s="1" t="str">
        <f>IFERROR(__xludf.DUMMYFUNCTION("""COMPUTED_VALUE"""),"47995")</f>
        <v>47995</v>
      </c>
      <c r="F395" s="1" t="str">
        <f>IFERROR(__xludf.DUMMYFUNCTION("""COMPUTED_VALUE"""),"White")</f>
        <v>White</v>
      </c>
      <c r="G395" s="1" t="str">
        <f>IFERROR(__xludf.DUMMYFUNCTION("""COMPUTED_VALUE"""),"40.76224")</f>
        <v>40.76224</v>
      </c>
      <c r="H395" s="1" t="str">
        <f>IFERROR(__xludf.DUMMYFUNCTION("""COMPUTED_VALUE"""),"-87.089355")</f>
        <v>-87.089355</v>
      </c>
      <c r="I395" s="1" t="str">
        <f>IFERROR(__xludf.DUMMYFUNCTION("""COMPUTED_VALUE"""),"Proposed")</f>
        <v>Proposed</v>
      </c>
      <c r="J395" s="1" t="str">
        <f>IFERROR(__xludf.DUMMYFUNCTION("""COMPUTED_VALUE"""),"Medium")</f>
        <v>Medium</v>
      </c>
      <c r="K395" s="1" t="str">
        <f>IFERROR(__xludf.DUMMYFUNCTION("""COMPUTED_VALUE"""),"")</f>
        <v/>
      </c>
      <c r="L395" s="1" t="str">
        <f>IFERROR(__xludf.DUMMYFUNCTION("""COMPUTED_VALUE"""),"Blue Ladder")</f>
        <v>Blue Ladder</v>
      </c>
      <c r="M395" s="1" t="str">
        <f>IFERROR(__xludf.DUMMYFUNCTION("""COMPUTED_VALUE"""),"")</f>
        <v/>
      </c>
      <c r="N395" s="1" t="str">
        <f>IFERROR(__xludf.DUMMYFUNCTION("""COMPUTED_VALUE"""),"")</f>
        <v/>
      </c>
      <c r="O395" s="1" t="str">
        <f>IFERROR(__xludf.DUMMYFUNCTION("""COMPUTED_VALUE"""),"Unknown")</f>
        <v>Unknown</v>
      </c>
      <c r="P395" s="1" t="str">
        <f>IFERROR(__xludf.DUMMYFUNCTION("""COMPUTED_VALUE"""),"")</f>
        <v/>
      </c>
      <c r="Q395" s="1" t="str">
        <f>IFERROR(__xludf.DUMMYFUNCTION("""COMPUTED_VALUE"""),"")</f>
        <v/>
      </c>
      <c r="R395" s="1" t="str">
        <f>IFERROR(__xludf.DUMMYFUNCTION("""COMPUTED_VALUE"""),"")</f>
        <v/>
      </c>
      <c r="S395" s="1" t="str">
        <f>IFERROR(__xludf.DUMMYFUNCTION("""COMPUTED_VALUE"""),"4")</f>
        <v>4</v>
      </c>
      <c r="T395" s="1" t="str">
        <f>IFERROR(__xludf.DUMMYFUNCTION("""COMPUTED_VALUE"""),"")</f>
        <v/>
      </c>
      <c r="U395" s="1" t="str">
        <f>IFERROR(__xludf.DUMMYFUNCTION("""COMPUTED_VALUE"""),"Closed loop")</f>
        <v>Closed loop</v>
      </c>
      <c r="V395" s="1" t="str">
        <f>IFERROR(__xludf.DUMMYFUNCTION("""COMPUTED_VALUE"""),"1,310,448")</f>
        <v>1,310,448</v>
      </c>
      <c r="W395" s="1" t="str">
        <f>IFERROR(__xludf.DUMMYFUNCTION("""COMPUTED_VALUE"""),"322")</f>
        <v>322</v>
      </c>
      <c r="X395" s="1" t="str">
        <f>IFERROR(__xludf.DUMMYFUNCTION("""COMPUTED_VALUE"""),"")</f>
        <v/>
      </c>
      <c r="Y395" s="1" t="str">
        <f>IFERROR(__xludf.DUMMYFUNCTION("""COMPUTED_VALUE"""),"")</f>
        <v/>
      </c>
      <c r="Z395" s="1" t="str">
        <f>IFERROR(__xludf.DUMMYFUNCTION("""COMPUTED_VALUE"""),"")</f>
        <v/>
      </c>
      <c r="AA395" s="1" t="str">
        <f>IFERROR(__xludf.DUMMYFUNCTION("""COMPUTED_VALUE"""),"")</f>
        <v/>
      </c>
      <c r="AB395" s="1" t="str">
        <f>IFERROR(__xludf.DUMMYFUNCTION("""COMPUTED_VALUE"""),"")</f>
        <v/>
      </c>
      <c r="AC395" s="1" t="str">
        <f>IFERROR(__xludf.DUMMYFUNCTION("""COMPUTED_VALUE"""),"")</f>
        <v/>
      </c>
      <c r="AD395" s="1" t="str">
        <f>IFERROR(__xludf.DUMMYFUNCTION("""COMPUTED_VALUE"""),"")</f>
        <v/>
      </c>
      <c r="AE395" s="1" t="str">
        <f>IFERROR(__xludf.DUMMYFUNCTION("""COMPUTED_VALUE"""),"")</f>
        <v/>
      </c>
      <c r="AF395" s="1" t="str">
        <f>IFERROR(__xludf.DUMMYFUNCTION("""COMPUTED_VALUE"""),"")</f>
        <v/>
      </c>
      <c r="AG395" s="1" t="str">
        <f>IFERROR(__xludf.DUMMYFUNCTION("""COMPUTED_VALUE"""),"")</f>
        <v/>
      </c>
      <c r="AH395" s="1" t="str">
        <f>IFERROR(__xludf.DUMMYFUNCTION("""COMPUTED_VALUE"""),"Media Monitoring")</f>
        <v>Media Monitoring</v>
      </c>
      <c r="AI395" s="2" t="str">
        <f>IFERROR(__xludf.DUMMYFUNCTION("""COMPUTED_VALUE"""),"https://www.datacenterdynamics.com/en/news/322-acre-data-center-could-be-built-in-white-county-indiana/")</f>
        <v>https://www.datacenterdynamics.com/en/news/322-acre-data-center-could-be-built-in-white-county-indiana/</v>
      </c>
      <c r="AJ395" s="2" t="str">
        <f>IFERROR(__xludf.DUMMYFUNCTION("""COMPUTED_VALUE"""),"https://www.wolcottdatacenter.com/")</f>
        <v>https://www.wolcottdatacenter.com/</v>
      </c>
      <c r="AK395" s="2" t="str">
        <f>IFERROR(__xludf.DUMMYFUNCTION("""COMPUTED_VALUE"""),"https://www.jconline.com/story/news/local/indiana/2026/07/01/white-county-residents-question-developer-of-planned-data-center/90751134007")</f>
        <v>https://www.jconline.com/story/news/local/indiana/2026/07/01/white-county-residents-question-developer-of-planned-data-center/90751134007</v>
      </c>
      <c r="AL395" s="1" t="str">
        <f>IFERROR(__xludf.DUMMYFUNCTION("""COMPUTED_VALUE"""),"")</f>
        <v/>
      </c>
      <c r="AM395" s="1" t="str">
        <f>IFERROR(__xludf.DUMMYFUNCTION("""COMPUTED_VALUE"""),"")</f>
        <v/>
      </c>
      <c r="AN395" s="1" t="str">
        <f>IFERROR(__xludf.DUMMYFUNCTION("""COMPUTED_VALUE"""),"")</f>
        <v/>
      </c>
      <c r="AO395" s="1" t="str">
        <f>IFERROR(__xludf.DUMMYFUNCTION("""COMPUTED_VALUE"""),"")</f>
        <v/>
      </c>
      <c r="AP395" s="1" t="str">
        <f>IFERROR(__xludf.DUMMYFUNCTION("""COMPUTED_VALUE"""),"")</f>
        <v/>
      </c>
      <c r="AQ395" s="1" t="str">
        <f>IFERROR(__xludf.DUMMYFUNCTION("""COMPUTED_VALUE"""),"07/12/2026")</f>
        <v>07/12/2026</v>
      </c>
      <c r="AR395" s="1" t="str">
        <f>IFERROR(__xludf.DUMMYFUNCTION("""COMPUTED_VALUE"""),"07/12/2026")</f>
        <v>07/12/2026</v>
      </c>
    </row>
    <row r="396">
      <c r="A396" s="1" t="str">
        <f>IFERROR(__xludf.DUMMYFUNCTION("""COMPUTED_VALUE"""),"Digital Realty Data Center")</f>
        <v>Digital Realty Data Center</v>
      </c>
      <c r="B396" s="1" t="str">
        <f>IFERROR(__xludf.DUMMYFUNCTION("""COMPUTED_VALUE"""),"W 103rd St &amp; Lexington Ave")</f>
        <v>W 103rd St &amp; Lexington Ave</v>
      </c>
      <c r="C396" s="1" t="str">
        <f>IFERROR(__xludf.DUMMYFUNCTION("""COMPUTED_VALUE"""),"DeSoto")</f>
        <v>DeSoto</v>
      </c>
      <c r="D396" s="1" t="str">
        <f>IFERROR(__xludf.DUMMYFUNCTION("""COMPUTED_VALUE"""),"KS")</f>
        <v>KS</v>
      </c>
      <c r="E396" s="1" t="str">
        <f>IFERROR(__xludf.DUMMYFUNCTION("""COMPUTED_VALUE"""),"66018")</f>
        <v>66018</v>
      </c>
      <c r="F396" s="1" t="str">
        <f>IFERROR(__xludf.DUMMYFUNCTION("""COMPUTED_VALUE"""),"Johnson")</f>
        <v>Johnson</v>
      </c>
      <c r="G396" s="1" t="str">
        <f>IFERROR(__xludf.DUMMYFUNCTION("""COMPUTED_VALUE"""),"38.945038")</f>
        <v>38.945038</v>
      </c>
      <c r="H396" s="1" t="str">
        <f>IFERROR(__xludf.DUMMYFUNCTION("""COMPUTED_VALUE"""),"-94.99129")</f>
        <v>-94.99129</v>
      </c>
      <c r="I396" s="1" t="str">
        <f>IFERROR(__xludf.DUMMYFUNCTION("""COMPUTED_VALUE"""),"Proposed")</f>
        <v>Proposed</v>
      </c>
      <c r="J396" s="1" t="str">
        <f>IFERROR(__xludf.DUMMYFUNCTION("""COMPUTED_VALUE"""),"High")</f>
        <v>High</v>
      </c>
      <c r="K396" s="1" t="str">
        <f>IFERROR(__xludf.DUMMYFUNCTION("""COMPUTED_VALUE"""),"")</f>
        <v/>
      </c>
      <c r="L396" s="1" t="str">
        <f>IFERROR(__xludf.DUMMYFUNCTION("""COMPUTED_VALUE"""),"Digital Realty")</f>
        <v>Digital Realty</v>
      </c>
      <c r="M396" s="1" t="str">
        <f>IFERROR(__xludf.DUMMYFUNCTION("""COMPUTED_VALUE"""),"")</f>
        <v/>
      </c>
      <c r="N396" s="1" t="str">
        <f>IFERROR(__xludf.DUMMYFUNCTION("""COMPUTED_VALUE"""),"600")</f>
        <v>600</v>
      </c>
      <c r="O396" s="1" t="str">
        <f>IFERROR(__xludf.DUMMYFUNCTION("""COMPUTED_VALUE"""),"Unknown")</f>
        <v>Unknown</v>
      </c>
      <c r="P396" s="1" t="str">
        <f>IFERROR(__xludf.DUMMYFUNCTION("""COMPUTED_VALUE"""),"")</f>
        <v/>
      </c>
      <c r="Q396" s="1" t="str">
        <f>IFERROR(__xludf.DUMMYFUNCTION("""COMPUTED_VALUE"""),"")</f>
        <v/>
      </c>
      <c r="R396" s="1" t="str">
        <f>IFERROR(__xludf.DUMMYFUNCTION("""COMPUTED_VALUE"""),"")</f>
        <v/>
      </c>
      <c r="S396" s="1" t="str">
        <f>IFERROR(__xludf.DUMMYFUNCTION("""COMPUTED_VALUE"""),"")</f>
        <v/>
      </c>
      <c r="T396" s="1" t="str">
        <f>IFERROR(__xludf.DUMMYFUNCTION("""COMPUTED_VALUE"""),"")</f>
        <v/>
      </c>
      <c r="U396" s="1" t="str">
        <f>IFERROR(__xludf.DUMMYFUNCTION("""COMPUTED_VALUE"""),"")</f>
        <v/>
      </c>
      <c r="V396" s="1" t="str">
        <f>IFERROR(__xludf.DUMMYFUNCTION("""COMPUTED_VALUE"""),"3,000,000")</f>
        <v>3,000,000</v>
      </c>
      <c r="W396" s="1" t="str">
        <f>IFERROR(__xludf.DUMMYFUNCTION("""COMPUTED_VALUE"""),"1140")</f>
        <v>1140</v>
      </c>
      <c r="X396" s="1" t="str">
        <f>IFERROR(__xludf.DUMMYFUNCTION("""COMPUTED_VALUE"""),"")</f>
        <v/>
      </c>
      <c r="Y396" s="1" t="str">
        <f>IFERROR(__xludf.DUMMYFUNCTION("""COMPUTED_VALUE"""),"2028")</f>
        <v>2028</v>
      </c>
      <c r="Z396" s="1" t="str">
        <f>IFERROR(__xludf.DUMMYFUNCTION("""COMPUTED_VALUE"""),"Unknown")</f>
        <v>Unknown</v>
      </c>
      <c r="AA396" s="1" t="str">
        <f>IFERROR(__xludf.DUMMYFUNCTION("""COMPUTED_VALUE"""),"")</f>
        <v/>
      </c>
      <c r="AB396" s="1" t="str">
        <f>IFERROR(__xludf.DUMMYFUNCTION("""COMPUTED_VALUE"""),"")</f>
        <v/>
      </c>
      <c r="AC396" s="1" t="str">
        <f>IFERROR(__xludf.DUMMYFUNCTION("""COMPUTED_VALUE"""),"")</f>
        <v/>
      </c>
      <c r="AD396" s="1" t="str">
        <f>IFERROR(__xludf.DUMMYFUNCTION("""COMPUTED_VALUE"""),"")</f>
        <v/>
      </c>
      <c r="AE396" s="1" t="str">
        <f>IFERROR(__xludf.DUMMYFUNCTION("""COMPUTED_VALUE"""),"")</f>
        <v/>
      </c>
      <c r="AF396" s="1" t="str">
        <f>IFERROR(__xludf.DUMMYFUNCTION("""COMPUTED_VALUE"""),"")</f>
        <v/>
      </c>
      <c r="AG396" s="1" t="str">
        <f>IFERROR(__xludf.DUMMYFUNCTION("""COMPUTED_VALUE"""),"Includes on-site substation")</f>
        <v>Includes on-site substation</v>
      </c>
      <c r="AH396" s="1" t="str">
        <f>IFERROR(__xludf.DUMMYFUNCTION("""COMPUTED_VALUE"""),"Media Monitoring")</f>
        <v>Media Monitoring</v>
      </c>
      <c r="AI396" s="2" t="str">
        <f>IFERROR(__xludf.DUMMYFUNCTION("""COMPUTED_VALUE"""),"https://www.datacenterdynamics.com/en/news/digital-realty-plans-600mw-campus-in-kansas-acquires-investment-firm-columbia-capital/")</f>
        <v>https://www.datacenterdynamics.com/en/news/digital-realty-plans-600mw-campus-in-kansas-acquires-investment-firm-columbia-capital/</v>
      </c>
      <c r="AJ396" s="1" t="str">
        <f>IFERROR(__xludf.DUMMYFUNCTION("""COMPUTED_VALUE"""),"")</f>
        <v/>
      </c>
      <c r="AK396" s="1" t="str">
        <f>IFERROR(__xludf.DUMMYFUNCTION("""COMPUTED_VALUE"""),"")</f>
        <v/>
      </c>
      <c r="AL396" s="1" t="str">
        <f>IFERROR(__xludf.DUMMYFUNCTION("""COMPUTED_VALUE"""),"")</f>
        <v/>
      </c>
      <c r="AM396" s="1" t="str">
        <f>IFERROR(__xludf.DUMMYFUNCTION("""COMPUTED_VALUE"""),"")</f>
        <v/>
      </c>
      <c r="AN396" s="1" t="str">
        <f>IFERROR(__xludf.DUMMYFUNCTION("""COMPUTED_VALUE"""),"")</f>
        <v/>
      </c>
      <c r="AO396" s="1" t="str">
        <f>IFERROR(__xludf.DUMMYFUNCTION("""COMPUTED_VALUE"""),"")</f>
        <v/>
      </c>
      <c r="AP396" s="1" t="str">
        <f>IFERROR(__xludf.DUMMYFUNCTION("""COMPUTED_VALUE"""),"")</f>
        <v/>
      </c>
      <c r="AQ396" s="1" t="str">
        <f>IFERROR(__xludf.DUMMYFUNCTION("""COMPUTED_VALUE"""),"06/22/2026")</f>
        <v>06/22/2026</v>
      </c>
      <c r="AR396" s="1" t="str">
        <f>IFERROR(__xludf.DUMMYFUNCTION("""COMPUTED_VALUE"""),"06/22/2026")</f>
        <v>06/22/2026</v>
      </c>
    </row>
    <row r="397">
      <c r="A397" s="1" t="str">
        <f>IFERROR(__xludf.DUMMYFUNCTION("""COMPUTED_VALUE"""),"Mount Sunflower Properties LLC Data Center")</f>
        <v>Mount Sunflower Properties LLC Data Center</v>
      </c>
      <c r="B397" s="1" t="str">
        <f>IFERROR(__xludf.DUMMYFUNCTION("""COMPUTED_VALUE"""),"~38362 W 103rd St")</f>
        <v>~38362 W 103rd St</v>
      </c>
      <c r="C397" s="1" t="str">
        <f>IFERROR(__xludf.DUMMYFUNCTION("""COMPUTED_VALUE"""),"DeSoto")</f>
        <v>DeSoto</v>
      </c>
      <c r="D397" s="1" t="str">
        <f>IFERROR(__xludf.DUMMYFUNCTION("""COMPUTED_VALUE"""),"KS")</f>
        <v>KS</v>
      </c>
      <c r="E397" s="1" t="str">
        <f>IFERROR(__xludf.DUMMYFUNCTION("""COMPUTED_VALUE"""),"66018")</f>
        <v>66018</v>
      </c>
      <c r="F397" s="1" t="str">
        <f>IFERROR(__xludf.DUMMYFUNCTION("""COMPUTED_VALUE"""),"Johnson")</f>
        <v>Johnson</v>
      </c>
      <c r="G397" s="1" t="str">
        <f>IFERROR(__xludf.DUMMYFUNCTION("""COMPUTED_VALUE"""),"38.94522")</f>
        <v>38.94522</v>
      </c>
      <c r="H397" s="1" t="str">
        <f>IFERROR(__xludf.DUMMYFUNCTION("""COMPUTED_VALUE"""),"-95.0297")</f>
        <v>-95.0297</v>
      </c>
      <c r="I397" s="1" t="str">
        <f>IFERROR(__xludf.DUMMYFUNCTION("""COMPUTED_VALUE"""),"Proposed")</f>
        <v>Proposed</v>
      </c>
      <c r="J397" s="1" t="str">
        <f>IFERROR(__xludf.DUMMYFUNCTION("""COMPUTED_VALUE"""),"High")</f>
        <v>High</v>
      </c>
      <c r="K397" s="1" t="str">
        <f>IFERROR(__xludf.DUMMYFUNCTION("""COMPUTED_VALUE"""),"")</f>
        <v/>
      </c>
      <c r="L397" s="1" t="str">
        <f>IFERROR(__xludf.DUMMYFUNCTION("""COMPUTED_VALUE"""),"")</f>
        <v/>
      </c>
      <c r="M397" s="1" t="str">
        <f>IFERROR(__xludf.DUMMYFUNCTION("""COMPUTED_VALUE"""),"")</f>
        <v/>
      </c>
      <c r="N397" s="1" t="str">
        <f>IFERROR(__xludf.DUMMYFUNCTION("""COMPUTED_VALUE"""),"")</f>
        <v/>
      </c>
      <c r="O397" s="1" t="str">
        <f>IFERROR(__xludf.DUMMYFUNCTION("""COMPUTED_VALUE"""),"Unknown")</f>
        <v>Unknown</v>
      </c>
      <c r="P397" s="1" t="str">
        <f>IFERROR(__xludf.DUMMYFUNCTION("""COMPUTED_VALUE"""),"")</f>
        <v/>
      </c>
      <c r="Q397" s="1" t="str">
        <f>IFERROR(__xludf.DUMMYFUNCTION("""COMPUTED_VALUE"""),"")</f>
        <v/>
      </c>
      <c r="R397" s="1" t="str">
        <f>IFERROR(__xludf.DUMMYFUNCTION("""COMPUTED_VALUE"""),"")</f>
        <v/>
      </c>
      <c r="S397" s="1" t="str">
        <f>IFERROR(__xludf.DUMMYFUNCTION("""COMPUTED_VALUE"""),"4")</f>
        <v>4</v>
      </c>
      <c r="T397" s="1" t="str">
        <f>IFERROR(__xludf.DUMMYFUNCTION("""COMPUTED_VALUE"""),"")</f>
        <v/>
      </c>
      <c r="U397" s="1" t="str">
        <f>IFERROR(__xludf.DUMMYFUNCTION("""COMPUTED_VALUE"""),"")</f>
        <v/>
      </c>
      <c r="V397" s="1" t="str">
        <f>IFERROR(__xludf.DUMMYFUNCTION("""COMPUTED_VALUE"""),"1,000,000")</f>
        <v>1,000,000</v>
      </c>
      <c r="W397" s="1" t="str">
        <f>IFERROR(__xludf.DUMMYFUNCTION("""COMPUTED_VALUE"""),"")</f>
        <v/>
      </c>
      <c r="X397" s="1" t="str">
        <f>IFERROR(__xludf.DUMMYFUNCTION("""COMPUTED_VALUE"""),"$700 million")</f>
        <v>$700 million</v>
      </c>
      <c r="Y397" s="1" t="str">
        <f>IFERROR(__xludf.DUMMYFUNCTION("""COMPUTED_VALUE"""),"")</f>
        <v/>
      </c>
      <c r="Z397" s="1" t="str">
        <f>IFERROR(__xludf.DUMMYFUNCTION("""COMPUTED_VALUE"""),"Unknown")</f>
        <v>Unknown</v>
      </c>
      <c r="AA397" s="1" t="str">
        <f>IFERROR(__xludf.DUMMYFUNCTION("""COMPUTED_VALUE"""),"")</f>
        <v/>
      </c>
      <c r="AB397" s="1" t="str">
        <f>IFERROR(__xludf.DUMMYFUNCTION("""COMPUTED_VALUE"""),"")</f>
        <v/>
      </c>
      <c r="AC397" s="1" t="str">
        <f>IFERROR(__xludf.DUMMYFUNCTION("""COMPUTED_VALUE"""),"")</f>
        <v/>
      </c>
      <c r="AD397" s="1" t="str">
        <f>IFERROR(__xludf.DUMMYFUNCTION("""COMPUTED_VALUE"""),"")</f>
        <v/>
      </c>
      <c r="AE397" s="1" t="str">
        <f>IFERROR(__xludf.DUMMYFUNCTION("""COMPUTED_VALUE"""),"")</f>
        <v/>
      </c>
      <c r="AF397" s="1" t="str">
        <f>IFERROR(__xludf.DUMMYFUNCTION("""COMPUTED_VALUE"""),"")</f>
        <v/>
      </c>
      <c r="AG397" s="1" t="str">
        <f>IFERROR(__xludf.DUMMYFUNCTION("""COMPUTED_VALUE"""),"")</f>
        <v/>
      </c>
      <c r="AH397" s="1" t="str">
        <f>IFERROR(__xludf.DUMMYFUNCTION("""COMPUTED_VALUE"""),"Media Monitoring")</f>
        <v>Media Monitoring</v>
      </c>
      <c r="AI397" s="2" t="str">
        <f>IFERROR(__xludf.DUMMYFUNCTION("""COMPUTED_VALUE"""),"https://www2.ljworld.com/weblogs/town_talk/2025/aug/21/a-big-data-center-may-be-douglas-countys-newest-neighbor-plans-call-for-700m-center-along-k-10/")</f>
        <v>https://www2.ljworld.com/weblogs/town_talk/2025/aug/21/a-big-data-center-may-be-douglas-countys-newest-neighbor-plans-call-for-700m-center-along-k-10/</v>
      </c>
      <c r="AJ397" s="2" t="str">
        <f>IFERROR(__xludf.DUMMYFUNCTION("""COMPUTED_VALUE"""),"https://www.kctv5.com/2025/08/19/de-soto-city-council-consider-50-billion-incentives-data-center-project/")</f>
        <v>https://www.kctv5.com/2025/08/19/de-soto-city-council-consider-50-billion-incentives-data-center-project/</v>
      </c>
      <c r="AK397" s="2" t="str">
        <f>IFERROR(__xludf.DUMMYFUNCTION("""COMPUTED_VALUE"""),"https://www.bizjournals.com/kansascity/news/2025/08/20/de-soto-data-center-bonds-flint-commerce-panasonic.html")</f>
        <v>https://www.bizjournals.com/kansascity/news/2025/08/20/de-soto-data-center-bonds-flint-commerce-panasonic.html</v>
      </c>
      <c r="AL397" s="2" t="str">
        <f>IFERROR(__xludf.DUMMYFUNCTION("""COMPUTED_VALUE"""),"https://www.datacenterdynamics.com/en/news/de-soto-kansas-approves-700m-data-center/")</f>
        <v>https://www.datacenterdynamics.com/en/news/de-soto-kansas-approves-700m-data-center/</v>
      </c>
      <c r="AM397" s="1" t="str">
        <f>IFERROR(__xludf.DUMMYFUNCTION("""COMPUTED_VALUE"""),"")</f>
        <v/>
      </c>
      <c r="AN397" s="1" t="str">
        <f>IFERROR(__xludf.DUMMYFUNCTION("""COMPUTED_VALUE"""),"")</f>
        <v/>
      </c>
      <c r="AO397" s="1" t="str">
        <f>IFERROR(__xludf.DUMMYFUNCTION("""COMPUTED_VALUE"""),"")</f>
        <v/>
      </c>
      <c r="AP397" s="1" t="str">
        <f>IFERROR(__xludf.DUMMYFUNCTION("""COMPUTED_VALUE"""),"")</f>
        <v/>
      </c>
      <c r="AQ397" s="1" t="str">
        <f>IFERROR(__xludf.DUMMYFUNCTION("""COMPUTED_VALUE"""),"08/30/2025")</f>
        <v>08/30/2025</v>
      </c>
      <c r="AR397" s="1" t="str">
        <f>IFERROR(__xludf.DUMMYFUNCTION("""COMPUTED_VALUE"""),"08/30/2025")</f>
        <v>08/30/2025</v>
      </c>
    </row>
    <row r="398">
      <c r="A398" s="1" t="str">
        <f>IFERROR(__xludf.DUMMYFUNCTION("""COMPUTED_VALUE"""),"Project Pilot")</f>
        <v>Project Pilot</v>
      </c>
      <c r="B398" s="1" t="str">
        <f>IFERROR(__xludf.DUMMYFUNCTION("""COMPUTED_VALUE"""),"Edgerton Rd, south of Hwy 10")</f>
        <v>Edgerton Rd, south of Hwy 10</v>
      </c>
      <c r="C398" s="1" t="str">
        <f>IFERROR(__xludf.DUMMYFUNCTION("""COMPUTED_VALUE"""),"DeSoto")</f>
        <v>DeSoto</v>
      </c>
      <c r="D398" s="1" t="str">
        <f>IFERROR(__xludf.DUMMYFUNCTION("""COMPUTED_VALUE"""),"KS")</f>
        <v>KS</v>
      </c>
      <c r="E398" s="1" t="str">
        <f>IFERROR(__xludf.DUMMYFUNCTION("""COMPUTED_VALUE"""),"66018")</f>
        <v>66018</v>
      </c>
      <c r="F398" s="1" t="str">
        <f>IFERROR(__xludf.DUMMYFUNCTION("""COMPUTED_VALUE"""),"Johnson")</f>
        <v>Johnson</v>
      </c>
      <c r="G398" s="1" t="str">
        <f>IFERROR(__xludf.DUMMYFUNCTION("""COMPUTED_VALUE"""),"38.94633")</f>
        <v>38.94633</v>
      </c>
      <c r="H398" s="1" t="str">
        <f>IFERROR(__xludf.DUMMYFUNCTION("""COMPUTED_VALUE"""),"-95.02935")</f>
        <v>-95.02935</v>
      </c>
      <c r="I398" s="1" t="str">
        <f>IFERROR(__xludf.DUMMYFUNCTION("""COMPUTED_VALUE"""),"Approved/Permitted/Under construction")</f>
        <v>Approved/Permitted/Under construction</v>
      </c>
      <c r="J398" s="1" t="str">
        <f>IFERROR(__xludf.DUMMYFUNCTION("""COMPUTED_VALUE"""),"High")</f>
        <v>High</v>
      </c>
      <c r="K398" s="1" t="str">
        <f>IFERROR(__xludf.DUMMYFUNCTION("""COMPUTED_VALUE"""),"")</f>
        <v/>
      </c>
      <c r="L398" s="1" t="str">
        <f>IFERROR(__xludf.DUMMYFUNCTION("""COMPUTED_VALUE"""),"Beale Infrastructure")</f>
        <v>Beale Infrastructure</v>
      </c>
      <c r="M398" s="1" t="str">
        <f>IFERROR(__xludf.DUMMYFUNCTION("""COMPUTED_VALUE"""),"")</f>
        <v/>
      </c>
      <c r="N398" s="1" t="str">
        <f>IFERROR(__xludf.DUMMYFUNCTION("""COMPUTED_VALUE"""),"")</f>
        <v/>
      </c>
      <c r="O398" s="1" t="str">
        <f>IFERROR(__xludf.DUMMYFUNCTION("""COMPUTED_VALUE"""),"Unknown")</f>
        <v>Unknown</v>
      </c>
      <c r="P398" s="1" t="str">
        <f>IFERROR(__xludf.DUMMYFUNCTION("""COMPUTED_VALUE"""),"")</f>
        <v/>
      </c>
      <c r="Q398" s="1" t="str">
        <f>IFERROR(__xludf.DUMMYFUNCTION("""COMPUTED_VALUE"""),"")</f>
        <v/>
      </c>
      <c r="R398" s="1" t="str">
        <f>IFERROR(__xludf.DUMMYFUNCTION("""COMPUTED_VALUE"""),"")</f>
        <v/>
      </c>
      <c r="S398" s="1" t="str">
        <f>IFERROR(__xludf.DUMMYFUNCTION("""COMPUTED_VALUE"""),"4")</f>
        <v>4</v>
      </c>
      <c r="T398" s="1" t="str">
        <f>IFERROR(__xludf.DUMMYFUNCTION("""COMPUTED_VALUE"""),"")</f>
        <v/>
      </c>
      <c r="U398" s="1" t="str">
        <f>IFERROR(__xludf.DUMMYFUNCTION("""COMPUTED_VALUE"""),"")</f>
        <v/>
      </c>
      <c r="V398" s="1" t="str">
        <f>IFERROR(__xludf.DUMMYFUNCTION("""COMPUTED_VALUE"""),"")</f>
        <v/>
      </c>
      <c r="W398" s="1" t="str">
        <f>IFERROR(__xludf.DUMMYFUNCTION("""COMPUTED_VALUE"""),"290")</f>
        <v>290</v>
      </c>
      <c r="X398" s="1" t="str">
        <f>IFERROR(__xludf.DUMMYFUNCTION("""COMPUTED_VALUE"""),"")</f>
        <v/>
      </c>
      <c r="Y398" s="1" t="str">
        <f>IFERROR(__xludf.DUMMYFUNCTION("""COMPUTED_VALUE"""),"2027")</f>
        <v>2027</v>
      </c>
      <c r="Z398" s="1" t="str">
        <f>IFERROR(__xludf.DUMMYFUNCTION("""COMPUTED_VALUE"""),"Unknown")</f>
        <v>Unknown</v>
      </c>
      <c r="AA398" s="1" t="str">
        <f>IFERROR(__xludf.DUMMYFUNCTION("""COMPUTED_VALUE"""),"")</f>
        <v/>
      </c>
      <c r="AB398" s="1" t="str">
        <f>IFERROR(__xludf.DUMMYFUNCTION("""COMPUTED_VALUE"""),"")</f>
        <v/>
      </c>
      <c r="AC398" s="1" t="str">
        <f>IFERROR(__xludf.DUMMYFUNCTION("""COMPUTED_VALUE"""),"")</f>
        <v/>
      </c>
      <c r="AD398" s="1" t="str">
        <f>IFERROR(__xludf.DUMMYFUNCTION("""COMPUTED_VALUE"""),"")</f>
        <v/>
      </c>
      <c r="AE398" s="1" t="str">
        <f>IFERROR(__xludf.DUMMYFUNCTION("""COMPUTED_VALUE"""),"")</f>
        <v/>
      </c>
      <c r="AF398" s="1" t="str">
        <f>IFERROR(__xludf.DUMMYFUNCTION("""COMPUTED_VALUE"""),"")</f>
        <v/>
      </c>
      <c r="AG398" s="1" t="str">
        <f>IFERROR(__xludf.DUMMYFUNCTION("""COMPUTED_VALUE"""),"")</f>
        <v/>
      </c>
      <c r="AH398" s="1" t="str">
        <f>IFERROR(__xludf.DUMMYFUNCTION("""COMPUTED_VALUE"""),"Media Monitoring")</f>
        <v>Media Monitoring</v>
      </c>
      <c r="AI398" s="2" t="str">
        <f>IFERROR(__xludf.DUMMYFUNCTION("""COMPUTED_VALUE"""),"https://www.datacenterdynamics.com/en/news/beale-infrastructure-buys-land-parcel-for-project-pilot-in-de-soto-kansas/")</f>
        <v>https://www.datacenterdynamics.com/en/news/beale-infrastructure-buys-land-parcel-for-project-pilot-in-de-soto-kansas/</v>
      </c>
      <c r="AJ398" s="2" t="str">
        <f>IFERROR(__xludf.DUMMYFUNCTION("""COMPUTED_VALUE"""),"https://www.datacenterdynamics.com/en/news/beale-targets-two-campuses-outside-kansas-city-kansas/")</f>
        <v>https://www.datacenterdynamics.com/en/news/beale-targets-two-campuses-outside-kansas-city-kansas/</v>
      </c>
      <c r="AK398" s="1" t="str">
        <f>IFERROR(__xludf.DUMMYFUNCTION("""COMPUTED_VALUE"""),"")</f>
        <v/>
      </c>
      <c r="AL398" s="1" t="str">
        <f>IFERROR(__xludf.DUMMYFUNCTION("""COMPUTED_VALUE"""),"")</f>
        <v/>
      </c>
      <c r="AM398" s="1" t="str">
        <f>IFERROR(__xludf.DUMMYFUNCTION("""COMPUTED_VALUE"""),"")</f>
        <v/>
      </c>
      <c r="AN398" s="1" t="str">
        <f>IFERROR(__xludf.DUMMYFUNCTION("""COMPUTED_VALUE"""),"")</f>
        <v/>
      </c>
      <c r="AO398" s="1" t="str">
        <f>IFERROR(__xludf.DUMMYFUNCTION("""COMPUTED_VALUE"""),"")</f>
        <v/>
      </c>
      <c r="AP398" s="1" t="str">
        <f>IFERROR(__xludf.DUMMYFUNCTION("""COMPUTED_VALUE"""),"")</f>
        <v/>
      </c>
      <c r="AQ398" s="1" t="str">
        <f>IFERROR(__xludf.DUMMYFUNCTION("""COMPUTED_VALUE"""),"01/13/2026")</f>
        <v>01/13/2026</v>
      </c>
      <c r="AR398" s="1" t="str">
        <f>IFERROR(__xludf.DUMMYFUNCTION("""COMPUTED_VALUE"""),"05/05/2026")</f>
        <v>05/05/2026</v>
      </c>
    </row>
    <row r="399">
      <c r="A399" s="1" t="str">
        <f>IFERROR(__xludf.DUMMYFUNCTION("""COMPUTED_VALUE"""),"Flint Hills Digital Campus")</f>
        <v>Flint Hills Digital Campus</v>
      </c>
      <c r="B399" s="1" t="str">
        <f>IFERROR(__xludf.DUMMYFUNCTION("""COMPUTED_VALUE"""),"Hwy 150")</f>
        <v>Hwy 150</v>
      </c>
      <c r="C399" s="1" t="str">
        <f>IFERROR(__xludf.DUMMYFUNCTION("""COMPUTED_VALUE"""),"Emporia")</f>
        <v>Emporia</v>
      </c>
      <c r="D399" s="1" t="str">
        <f>IFERROR(__xludf.DUMMYFUNCTION("""COMPUTED_VALUE"""),"KS")</f>
        <v>KS</v>
      </c>
      <c r="E399" s="1" t="str">
        <f>IFERROR(__xludf.DUMMYFUNCTION("""COMPUTED_VALUE"""),"66801")</f>
        <v>66801</v>
      </c>
      <c r="F399" s="1" t="str">
        <f>IFERROR(__xludf.DUMMYFUNCTION("""COMPUTED_VALUE"""),"Lyon")</f>
        <v>Lyon</v>
      </c>
      <c r="G399" s="1" t="str">
        <f>IFERROR(__xludf.DUMMYFUNCTION("""COMPUTED_VALUE"""),"38.411648")</f>
        <v>38.411648</v>
      </c>
      <c r="H399" s="1" t="str">
        <f>IFERROR(__xludf.DUMMYFUNCTION("""COMPUTED_VALUE"""),"-96.250404")</f>
        <v>-96.250404</v>
      </c>
      <c r="I399" s="1" t="str">
        <f>IFERROR(__xludf.DUMMYFUNCTION("""COMPUTED_VALUE"""),"Proposed")</f>
        <v>Proposed</v>
      </c>
      <c r="J399" s="1" t="str">
        <f>IFERROR(__xludf.DUMMYFUNCTION("""COMPUTED_VALUE"""),"Medium")</f>
        <v>Medium</v>
      </c>
      <c r="K399" s="1" t="str">
        <f>IFERROR(__xludf.DUMMYFUNCTION("""COMPUTED_VALUE"""),"")</f>
        <v/>
      </c>
      <c r="L399" s="1" t="str">
        <f>IFERROR(__xludf.DUMMYFUNCTION("""COMPUTED_VALUE"""),"")</f>
        <v/>
      </c>
      <c r="M399" s="1" t="str">
        <f>IFERROR(__xludf.DUMMYFUNCTION("""COMPUTED_VALUE"""),"")</f>
        <v/>
      </c>
      <c r="N399" s="1" t="str">
        <f>IFERROR(__xludf.DUMMYFUNCTION("""COMPUTED_VALUE"""),"1000")</f>
        <v>1000</v>
      </c>
      <c r="O399" s="1" t="str">
        <f>IFERROR(__xludf.DUMMYFUNCTION("""COMPUTED_VALUE"""),"Mega campus (&gt;1,000 MW)")</f>
        <v>Mega campus (&gt;1,000 MW)</v>
      </c>
      <c r="P399" s="1" t="str">
        <f>IFERROR(__xludf.DUMMYFUNCTION("""COMPUTED_VALUE"""),"")</f>
        <v/>
      </c>
      <c r="Q399" s="1" t="str">
        <f>IFERROR(__xludf.DUMMYFUNCTION("""COMPUTED_VALUE"""),"")</f>
        <v/>
      </c>
      <c r="R399" s="1" t="str">
        <f>IFERROR(__xludf.DUMMYFUNCTION("""COMPUTED_VALUE"""),"")</f>
        <v/>
      </c>
      <c r="S399" s="1" t="str">
        <f>IFERROR(__xludf.DUMMYFUNCTION("""COMPUTED_VALUE"""),"")</f>
        <v/>
      </c>
      <c r="T399" s="1" t="str">
        <f>IFERROR(__xludf.DUMMYFUNCTION("""COMPUTED_VALUE"""),"")</f>
        <v/>
      </c>
      <c r="U399" s="1" t="str">
        <f>IFERROR(__xludf.DUMMYFUNCTION("""COMPUTED_VALUE"""),"")</f>
        <v/>
      </c>
      <c r="V399" s="1" t="str">
        <f>IFERROR(__xludf.DUMMYFUNCTION("""COMPUTED_VALUE"""),"")</f>
        <v/>
      </c>
      <c r="W399" s="1" t="str">
        <f>IFERROR(__xludf.DUMMYFUNCTION("""COMPUTED_VALUE"""),"")</f>
        <v/>
      </c>
      <c r="X399" s="1" t="str">
        <f>IFERROR(__xludf.DUMMYFUNCTION("""COMPUTED_VALUE"""),"")</f>
        <v/>
      </c>
      <c r="Y399" s="1" t="str">
        <f>IFERROR(__xludf.DUMMYFUNCTION("""COMPUTED_VALUE"""),"")</f>
        <v/>
      </c>
      <c r="Z399" s="1" t="str">
        <f>IFERROR(__xludf.DUMMYFUNCTION("""COMPUTED_VALUE"""),"Unknown")</f>
        <v>Unknown</v>
      </c>
      <c r="AA399" s="1" t="str">
        <f>IFERROR(__xludf.DUMMYFUNCTION("""COMPUTED_VALUE"""),"")</f>
        <v/>
      </c>
      <c r="AB399" s="1" t="str">
        <f>IFERROR(__xludf.DUMMYFUNCTION("""COMPUTED_VALUE"""),"")</f>
        <v/>
      </c>
      <c r="AC399" s="1" t="str">
        <f>IFERROR(__xludf.DUMMYFUNCTION("""COMPUTED_VALUE"""),"")</f>
        <v/>
      </c>
      <c r="AD399" s="1" t="str">
        <f>IFERROR(__xludf.DUMMYFUNCTION("""COMPUTED_VALUE"""),"")</f>
        <v/>
      </c>
      <c r="AE399" s="1" t="str">
        <f>IFERROR(__xludf.DUMMYFUNCTION("""COMPUTED_VALUE"""),"")</f>
        <v/>
      </c>
      <c r="AF399" s="1" t="str">
        <f>IFERROR(__xludf.DUMMYFUNCTION("""COMPUTED_VALUE"""),"")</f>
        <v/>
      </c>
      <c r="AG399" s="1" t="str">
        <f>IFERROR(__xludf.DUMMYFUNCTION("""COMPUTED_VALUE"""),"")</f>
        <v/>
      </c>
      <c r="AH399" s="1" t="str">
        <f>IFERROR(__xludf.DUMMYFUNCTION("""COMPUTED_VALUE"""),"Media Monitoring")</f>
        <v>Media Monitoring</v>
      </c>
      <c r="AI399" s="2" t="str">
        <f>IFERROR(__xludf.DUMMYFUNCTION("""COMPUTED_VALUE"""),"https://www.datacenterdynamics.com/en/news/gigawatt-scale-data-center-campus-proposed-in-kansas/")</f>
        <v>https://www.datacenterdynamics.com/en/news/gigawatt-scale-data-center-campus-proposed-in-kansas/</v>
      </c>
      <c r="AJ399" s="1" t="str">
        <f>IFERROR(__xludf.DUMMYFUNCTION("""COMPUTED_VALUE"""),"")</f>
        <v/>
      </c>
      <c r="AK399" s="1" t="str">
        <f>IFERROR(__xludf.DUMMYFUNCTION("""COMPUTED_VALUE"""),"")</f>
        <v/>
      </c>
      <c r="AL399" s="1" t="str">
        <f>IFERROR(__xludf.DUMMYFUNCTION("""COMPUTED_VALUE"""),"")</f>
        <v/>
      </c>
      <c r="AM399" s="1" t="str">
        <f>IFERROR(__xludf.DUMMYFUNCTION("""COMPUTED_VALUE"""),"")</f>
        <v/>
      </c>
      <c r="AN399" s="1" t="str">
        <f>IFERROR(__xludf.DUMMYFUNCTION("""COMPUTED_VALUE"""),"")</f>
        <v/>
      </c>
      <c r="AO399" s="1" t="str">
        <f>IFERROR(__xludf.DUMMYFUNCTION("""COMPUTED_VALUE"""),"")</f>
        <v/>
      </c>
      <c r="AP399" s="1" t="str">
        <f>IFERROR(__xludf.DUMMYFUNCTION("""COMPUTED_VALUE"""),"")</f>
        <v/>
      </c>
      <c r="AQ399" s="1" t="str">
        <f>IFERROR(__xludf.DUMMYFUNCTION("""COMPUTED_VALUE"""),"06/23/2026")</f>
        <v>06/23/2026</v>
      </c>
      <c r="AR399" s="1" t="str">
        <f>IFERROR(__xludf.DUMMYFUNCTION("""COMPUTED_VALUE"""),"06/23/2026")</f>
        <v>06/23/2026</v>
      </c>
    </row>
    <row r="400">
      <c r="A400" s="1" t="str">
        <f>IFERROR(__xludf.DUMMYFUNCTION("""COMPUTED_VALUE"""),"Red Wolf Properties")</f>
        <v>Red Wolf Properties</v>
      </c>
      <c r="B400" s="1" t="str">
        <f>IFERROR(__xludf.DUMMYFUNCTION("""COMPUTED_VALUE"""),"13037 Parallel Pkwy")</f>
        <v>13037 Parallel Pkwy</v>
      </c>
      <c r="C400" s="1" t="str">
        <f>IFERROR(__xludf.DUMMYFUNCTION("""COMPUTED_VALUE"""),"Kansas City")</f>
        <v>Kansas City</v>
      </c>
      <c r="D400" s="1" t="str">
        <f>IFERROR(__xludf.DUMMYFUNCTION("""COMPUTED_VALUE"""),"KS")</f>
        <v>KS</v>
      </c>
      <c r="E400" s="1" t="str">
        <f>IFERROR(__xludf.DUMMYFUNCTION("""COMPUTED_VALUE"""),"66109")</f>
        <v>66109</v>
      </c>
      <c r="F400" s="1" t="str">
        <f>IFERROR(__xludf.DUMMYFUNCTION("""COMPUTED_VALUE"""),"Wyandotte")</f>
        <v>Wyandotte</v>
      </c>
      <c r="G400" s="1" t="str">
        <f>IFERROR(__xludf.DUMMYFUNCTION("""COMPUTED_VALUE"""),"39.12852")</f>
        <v>39.12852</v>
      </c>
      <c r="H400" s="1" t="str">
        <f>IFERROR(__xludf.DUMMYFUNCTION("""COMPUTED_VALUE"""),"-94.8801")</f>
        <v>-94.8801</v>
      </c>
      <c r="I400" s="1" t="str">
        <f>IFERROR(__xludf.DUMMYFUNCTION("""COMPUTED_VALUE"""),"Proposed")</f>
        <v>Proposed</v>
      </c>
      <c r="J400" s="1" t="str">
        <f>IFERROR(__xludf.DUMMYFUNCTION("""COMPUTED_VALUE"""),"High")</f>
        <v>High</v>
      </c>
      <c r="K400" s="1" t="str">
        <f>IFERROR(__xludf.DUMMYFUNCTION("""COMPUTED_VALUE"""),"")</f>
        <v/>
      </c>
      <c r="L400" s="1" t="str">
        <f>IFERROR(__xludf.DUMMYFUNCTION("""COMPUTED_VALUE"""),"")</f>
        <v/>
      </c>
      <c r="M400" s="1" t="str">
        <f>IFERROR(__xludf.DUMMYFUNCTION("""COMPUTED_VALUE"""),"")</f>
        <v/>
      </c>
      <c r="N400" s="1" t="str">
        <f>IFERROR(__xludf.DUMMYFUNCTION("""COMPUTED_VALUE"""),"600")</f>
        <v>600</v>
      </c>
      <c r="O400" s="1" t="str">
        <f>IFERROR(__xludf.DUMMYFUNCTION("""COMPUTED_VALUE"""),"Hyperscale (100-999 MW)")</f>
        <v>Hyperscale (100-999 MW)</v>
      </c>
      <c r="P400" s="1" t="str">
        <f>IFERROR(__xludf.DUMMYFUNCTION("""COMPUTED_VALUE"""),"")</f>
        <v/>
      </c>
      <c r="Q400" s="1" t="str">
        <f>IFERROR(__xludf.DUMMYFUNCTION("""COMPUTED_VALUE"""),"")</f>
        <v/>
      </c>
      <c r="R400" s="1" t="str">
        <f>IFERROR(__xludf.DUMMYFUNCTION("""COMPUTED_VALUE"""),"")</f>
        <v/>
      </c>
      <c r="S400" s="1" t="str">
        <f>IFERROR(__xludf.DUMMYFUNCTION("""COMPUTED_VALUE"""),"6")</f>
        <v>6</v>
      </c>
      <c r="T400" s="1" t="str">
        <f>IFERROR(__xludf.DUMMYFUNCTION("""COMPUTED_VALUE"""),"")</f>
        <v/>
      </c>
      <c r="U400" s="1" t="str">
        <f>IFERROR(__xludf.DUMMYFUNCTION("""COMPUTED_VALUE"""),"")</f>
        <v/>
      </c>
      <c r="V400" s="1" t="str">
        <f>IFERROR(__xludf.DUMMYFUNCTION("""COMPUTED_VALUE"""),"1,980,000")</f>
        <v>1,980,000</v>
      </c>
      <c r="W400" s="1" t="str">
        <f>IFERROR(__xludf.DUMMYFUNCTION("""COMPUTED_VALUE"""),"540")</f>
        <v>540</v>
      </c>
      <c r="X400" s="1" t="str">
        <f>IFERROR(__xludf.DUMMYFUNCTION("""COMPUTED_VALUE"""),"$12 billion")</f>
        <v>$12 billion</v>
      </c>
      <c r="Y400" s="1" t="str">
        <f>IFERROR(__xludf.DUMMYFUNCTION("""COMPUTED_VALUE"""),"")</f>
        <v/>
      </c>
      <c r="Z400" s="1" t="str">
        <f>IFERROR(__xludf.DUMMYFUNCTION("""COMPUTED_VALUE"""),"Yes")</f>
        <v>Yes</v>
      </c>
      <c r="AA400" s="1" t="str">
        <f>IFERROR(__xludf.DUMMYFUNCTION("""COMPUTED_VALUE"""),"")</f>
        <v/>
      </c>
      <c r="AB400" s="1" t="str">
        <f>IFERROR(__xludf.DUMMYFUNCTION("""COMPUTED_VALUE"""),"")</f>
        <v/>
      </c>
      <c r="AC400" s="1" t="str">
        <f>IFERROR(__xludf.DUMMYFUNCTION("""COMPUTED_VALUE"""),"")</f>
        <v/>
      </c>
      <c r="AD400" s="2" t="str">
        <f>IFERROR(__xludf.DUMMYFUNCTION("""COMPUTED_VALUE"""),"https://www.sierraclub.org/kansas")</f>
        <v>https://www.sierraclub.org/kansas</v>
      </c>
      <c r="AE400" s="1" t="str">
        <f>IFERROR(__xludf.DUMMYFUNCTION("""COMPUTED_VALUE"""),"")</f>
        <v/>
      </c>
      <c r="AF400" s="1" t="str">
        <f>IFERROR(__xludf.DUMMYFUNCTION("""COMPUTED_VALUE"""),"")</f>
        <v/>
      </c>
      <c r="AG400" s="1" t="str">
        <f>IFERROR(__xludf.DUMMYFUNCTION("""COMPUTED_VALUE"""),"")</f>
        <v/>
      </c>
      <c r="AH400" s="1" t="str">
        <f>IFERROR(__xludf.DUMMYFUNCTION("""COMPUTED_VALUE"""),"Media Monitoring")</f>
        <v>Media Monitoring</v>
      </c>
      <c r="AI400" s="2" t="str">
        <f>IFERROR(__xludf.DUMMYFUNCTION("""COMPUTED_VALUE"""),"https://www.kshb.com/news/local-news/multibillion-dollar-data-center-proposal-makes-its-way-to-kansas-city-kansas")</f>
        <v>https://www.kshb.com/news/local-news/multibillion-dollar-data-center-proposal-makes-its-way-to-kansas-city-kansas</v>
      </c>
      <c r="AJ400" s="2" t="str">
        <f>IFERROR(__xludf.DUMMYFUNCTION("""COMPUTED_VALUE"""),"https://www.datacenterdynamics.com/en/news/600mw-data-center-campus-proposed-outside-kansas-city-kansas/")</f>
        <v>https://www.datacenterdynamics.com/en/news/600mw-data-center-campus-proposed-outside-kansas-city-kansas/</v>
      </c>
      <c r="AK400" s="2" t="str">
        <f>IFERROR(__xludf.DUMMYFUNCTION("""COMPUTED_VALUE"""),"https://www.kcur.org/environment-agriculture/2025-11-09/data-center-kansas-city-wyandotte-county")</f>
        <v>https://www.kcur.org/environment-agriculture/2025-11-09/data-center-kansas-city-wyandotte-county</v>
      </c>
      <c r="AL400" s="1" t="str">
        <f>IFERROR(__xludf.DUMMYFUNCTION("""COMPUTED_VALUE"""),"")</f>
        <v/>
      </c>
      <c r="AM400" s="1" t="str">
        <f>IFERROR(__xludf.DUMMYFUNCTION("""COMPUTED_VALUE"""),"")</f>
        <v/>
      </c>
      <c r="AN400" s="1" t="str">
        <f>IFERROR(__xludf.DUMMYFUNCTION("""COMPUTED_VALUE"""),"")</f>
        <v/>
      </c>
      <c r="AO400" s="1" t="str">
        <f>IFERROR(__xludf.DUMMYFUNCTION("""COMPUTED_VALUE"""),"")</f>
        <v/>
      </c>
      <c r="AP400" s="1" t="str">
        <f>IFERROR(__xludf.DUMMYFUNCTION("""COMPUTED_VALUE"""),"")</f>
        <v/>
      </c>
      <c r="AQ400" s="1" t="str">
        <f>IFERROR(__xludf.DUMMYFUNCTION("""COMPUTED_VALUE"""),"08/25/2025")</f>
        <v>08/25/2025</v>
      </c>
      <c r="AR400" s="1" t="str">
        <f>IFERROR(__xludf.DUMMYFUNCTION("""COMPUTED_VALUE"""),"11/15/2025")</f>
        <v>11/15/2025</v>
      </c>
    </row>
    <row r="401">
      <c r="A401" s="1" t="str">
        <f>IFERROR(__xludf.DUMMYFUNCTION("""COMPUTED_VALUE"""),"Alcove Development Data Center")</f>
        <v>Alcove Development Data Center</v>
      </c>
      <c r="B401" s="1" t="str">
        <f>IFERROR(__xludf.DUMMYFUNCTION("""COMPUTED_VALUE"""),"Betw Hwy 169, 335th St., and Osawatomie Rd")</f>
        <v>Betw Hwy 169, 335th St., and Osawatomie Rd</v>
      </c>
      <c r="C401" s="1" t="str">
        <f>IFERROR(__xludf.DUMMYFUNCTION("""COMPUTED_VALUE"""),"Osawatomie")</f>
        <v>Osawatomie</v>
      </c>
      <c r="D401" s="1" t="str">
        <f>IFERROR(__xludf.DUMMYFUNCTION("""COMPUTED_VALUE"""),"KS")</f>
        <v>KS</v>
      </c>
      <c r="E401" s="1" t="str">
        <f>IFERROR(__xludf.DUMMYFUNCTION("""COMPUTED_VALUE"""),"66064")</f>
        <v>66064</v>
      </c>
      <c r="F401" s="1" t="str">
        <f>IFERROR(__xludf.DUMMYFUNCTION("""COMPUTED_VALUE"""),"Miami")</f>
        <v>Miami</v>
      </c>
      <c r="G401" s="1" t="str">
        <f>IFERROR(__xludf.DUMMYFUNCTION("""COMPUTED_VALUE"""),"38.516045")</f>
        <v>38.516045</v>
      </c>
      <c r="H401" s="1" t="str">
        <f>IFERROR(__xludf.DUMMYFUNCTION("""COMPUTED_VALUE"""),"-94.931076")</f>
        <v>-94.931076</v>
      </c>
      <c r="I401" s="1" t="str">
        <f>IFERROR(__xludf.DUMMYFUNCTION("""COMPUTED_VALUE"""),"Proposed")</f>
        <v>Proposed</v>
      </c>
      <c r="J401" s="1" t="str">
        <f>IFERROR(__xludf.DUMMYFUNCTION("""COMPUTED_VALUE"""),"Medium")</f>
        <v>Medium</v>
      </c>
      <c r="K401" s="1" t="str">
        <f>IFERROR(__xludf.DUMMYFUNCTION("""COMPUTED_VALUE"""),"")</f>
        <v/>
      </c>
      <c r="L401" s="1" t="str">
        <f>IFERROR(__xludf.DUMMYFUNCTION("""COMPUTED_VALUE"""),"")</f>
        <v/>
      </c>
      <c r="M401" s="1" t="str">
        <f>IFERROR(__xludf.DUMMYFUNCTION("""COMPUTED_VALUE"""),"")</f>
        <v/>
      </c>
      <c r="N401" s="1" t="str">
        <f>IFERROR(__xludf.DUMMYFUNCTION("""COMPUTED_VALUE"""),"50")</f>
        <v>50</v>
      </c>
      <c r="O401" s="1" t="str">
        <f>IFERROR(__xludf.DUMMYFUNCTION("""COMPUTED_VALUE"""),"Hyperscale (100-999 MW)")</f>
        <v>Hyperscale (100-999 MW)</v>
      </c>
      <c r="P401" s="1" t="str">
        <f>IFERROR(__xludf.DUMMYFUNCTION("""COMPUTED_VALUE"""),"")</f>
        <v/>
      </c>
      <c r="Q401" s="1" t="str">
        <f>IFERROR(__xludf.DUMMYFUNCTION("""COMPUTED_VALUE"""),"")</f>
        <v/>
      </c>
      <c r="R401" s="1" t="str">
        <f>IFERROR(__xludf.DUMMYFUNCTION("""COMPUTED_VALUE"""),"")</f>
        <v/>
      </c>
      <c r="S401" s="1" t="str">
        <f>IFERROR(__xludf.DUMMYFUNCTION("""COMPUTED_VALUE"""),"")</f>
        <v/>
      </c>
      <c r="T401" s="1" t="str">
        <f>IFERROR(__xludf.DUMMYFUNCTION("""COMPUTED_VALUE"""),"")</f>
        <v/>
      </c>
      <c r="U401" s="1" t="str">
        <f>IFERROR(__xludf.DUMMYFUNCTION("""COMPUTED_VALUE"""),"")</f>
        <v/>
      </c>
      <c r="V401" s="1" t="str">
        <f>IFERROR(__xludf.DUMMYFUNCTION("""COMPUTED_VALUE"""),"600,000")</f>
        <v>600,000</v>
      </c>
      <c r="W401" s="1" t="str">
        <f>IFERROR(__xludf.DUMMYFUNCTION("""COMPUTED_VALUE"""),"115")</f>
        <v>115</v>
      </c>
      <c r="X401" s="1" t="str">
        <f>IFERROR(__xludf.DUMMYFUNCTION("""COMPUTED_VALUE"""),"$1.1 billion")</f>
        <v>$1.1 billion</v>
      </c>
      <c r="Y401" s="1" t="str">
        <f>IFERROR(__xludf.DUMMYFUNCTION("""COMPUTED_VALUE"""),"")</f>
        <v/>
      </c>
      <c r="Z401" s="1" t="str">
        <f>IFERROR(__xludf.DUMMYFUNCTION("""COMPUTED_VALUE"""),"Unknown")</f>
        <v>Unknown</v>
      </c>
      <c r="AA401" s="1" t="str">
        <f>IFERROR(__xludf.DUMMYFUNCTION("""COMPUTED_VALUE"""),"")</f>
        <v/>
      </c>
      <c r="AB401" s="1" t="str">
        <f>IFERROR(__xludf.DUMMYFUNCTION("""COMPUTED_VALUE"""),"")</f>
        <v/>
      </c>
      <c r="AC401" s="1" t="str">
        <f>IFERROR(__xludf.DUMMYFUNCTION("""COMPUTED_VALUE"""),"")</f>
        <v/>
      </c>
      <c r="AD401" s="1" t="str">
        <f>IFERROR(__xludf.DUMMYFUNCTION("""COMPUTED_VALUE"""),"")</f>
        <v/>
      </c>
      <c r="AE401" s="1" t="str">
        <f>IFERROR(__xludf.DUMMYFUNCTION("""COMPUTED_VALUE"""),"")</f>
        <v/>
      </c>
      <c r="AF401" s="1" t="str">
        <f>IFERROR(__xludf.DUMMYFUNCTION("""COMPUTED_VALUE"""),"")</f>
        <v/>
      </c>
      <c r="AG401" s="1" t="str">
        <f>IFERROR(__xludf.DUMMYFUNCTION("""COMPUTED_VALUE"""),"")</f>
        <v/>
      </c>
      <c r="AH401" s="1" t="str">
        <f>IFERROR(__xludf.DUMMYFUNCTION("""COMPUTED_VALUE"""),"Media Monitoring")</f>
        <v>Media Monitoring</v>
      </c>
      <c r="AI401" s="2" t="str">
        <f>IFERROR(__xludf.DUMMYFUNCTION("""COMPUTED_VALUE"""),"https://www.datacenterdynamics.com/en/news/115-acre-data-center-could-come-to-osawatomie-kansas-says-local-government/")</f>
        <v>https://www.datacenterdynamics.com/en/news/115-acre-data-center-could-come-to-osawatomie-kansas-says-local-government/</v>
      </c>
      <c r="AJ401" s="1" t="str">
        <f>IFERROR(__xludf.DUMMYFUNCTION("""COMPUTED_VALUE"""),"")</f>
        <v/>
      </c>
      <c r="AK401" s="1" t="str">
        <f>IFERROR(__xludf.DUMMYFUNCTION("""COMPUTED_VALUE"""),"")</f>
        <v/>
      </c>
      <c r="AL401" s="1" t="str">
        <f>IFERROR(__xludf.DUMMYFUNCTION("""COMPUTED_VALUE"""),"")</f>
        <v/>
      </c>
      <c r="AM401" s="1" t="str">
        <f>IFERROR(__xludf.DUMMYFUNCTION("""COMPUTED_VALUE"""),"")</f>
        <v/>
      </c>
      <c r="AN401" s="1" t="str">
        <f>IFERROR(__xludf.DUMMYFUNCTION("""COMPUTED_VALUE"""),"")</f>
        <v/>
      </c>
      <c r="AO401" s="1" t="str">
        <f>IFERROR(__xludf.DUMMYFUNCTION("""COMPUTED_VALUE"""),"")</f>
        <v/>
      </c>
      <c r="AP401" s="1" t="str">
        <f>IFERROR(__xludf.DUMMYFUNCTION("""COMPUTED_VALUE"""),"")</f>
        <v/>
      </c>
      <c r="AQ401" s="1" t="str">
        <f>IFERROR(__xludf.DUMMYFUNCTION("""COMPUTED_VALUE"""),"03/05/2026")</f>
        <v>03/05/2026</v>
      </c>
      <c r="AR401" s="1" t="str">
        <f>IFERROR(__xludf.DUMMYFUNCTION("""COMPUTED_VALUE"""),"03/05/2026")</f>
        <v>03/05/2026</v>
      </c>
    </row>
    <row r="402">
      <c r="A402" s="1" t="str">
        <f>IFERROR(__xludf.DUMMYFUNCTION("""COMPUTED_VALUE"""),"HyperDataGrid Data Center")</f>
        <v>HyperDataGrid Data Center</v>
      </c>
      <c r="B402" s="1" t="str">
        <f>IFERROR(__xludf.DUMMYFUNCTION("""COMPUTED_VALUE"""),"East of Hwy 59")</f>
        <v>East of Hwy 59</v>
      </c>
      <c r="C402" s="1" t="str">
        <f>IFERROR(__xludf.DUMMYFUNCTION("""COMPUTED_VALUE"""),"Parsons")</f>
        <v>Parsons</v>
      </c>
      <c r="D402" s="1" t="str">
        <f>IFERROR(__xludf.DUMMYFUNCTION("""COMPUTED_VALUE"""),"KS")</f>
        <v>KS</v>
      </c>
      <c r="E402" s="1" t="str">
        <f>IFERROR(__xludf.DUMMYFUNCTION("""COMPUTED_VALUE"""),"67357")</f>
        <v>67357</v>
      </c>
      <c r="F402" s="1" t="str">
        <f>IFERROR(__xludf.DUMMYFUNCTION("""COMPUTED_VALUE"""),"Labette")</f>
        <v>Labette</v>
      </c>
      <c r="G402" s="1" t="str">
        <f>IFERROR(__xludf.DUMMYFUNCTION("""COMPUTED_VALUE"""),"37.382133")</f>
        <v>37.382133</v>
      </c>
      <c r="H402" s="1" t="str">
        <f>IFERROR(__xludf.DUMMYFUNCTION("""COMPUTED_VALUE"""),"-95.25672")</f>
        <v>-95.25672</v>
      </c>
      <c r="I402" s="1" t="str">
        <f>IFERROR(__xludf.DUMMYFUNCTION("""COMPUTED_VALUE"""),"Proposed")</f>
        <v>Proposed</v>
      </c>
      <c r="J402" s="1" t="str">
        <f>IFERROR(__xludf.DUMMYFUNCTION("""COMPUTED_VALUE"""),"High")</f>
        <v>High</v>
      </c>
      <c r="K402" s="1" t="str">
        <f>IFERROR(__xludf.DUMMYFUNCTION("""COMPUTED_VALUE"""),"")</f>
        <v/>
      </c>
      <c r="L402" s="1" t="str">
        <f>IFERROR(__xludf.DUMMYFUNCTION("""COMPUTED_VALUE"""),"HyperDataGrid")</f>
        <v>HyperDataGrid</v>
      </c>
      <c r="M402" s="1" t="str">
        <f>IFERROR(__xludf.DUMMYFUNCTION("""COMPUTED_VALUE"""),"")</f>
        <v/>
      </c>
      <c r="N402" s="1" t="str">
        <f>IFERROR(__xludf.DUMMYFUNCTION("""COMPUTED_VALUE"""),"20")</f>
        <v>20</v>
      </c>
      <c r="O402" s="1" t="str">
        <f>IFERROR(__xludf.DUMMYFUNCTION("""COMPUTED_VALUE"""),"Medium (11-50 MW)")</f>
        <v>Medium (11-50 MW)</v>
      </c>
      <c r="P402" s="1" t="str">
        <f>IFERROR(__xludf.DUMMYFUNCTION("""COMPUTED_VALUE"""),"")</f>
        <v/>
      </c>
      <c r="Q402" s="1" t="str">
        <f>IFERROR(__xludf.DUMMYFUNCTION("""COMPUTED_VALUE"""),"")</f>
        <v/>
      </c>
      <c r="R402" s="1" t="str">
        <f>IFERROR(__xludf.DUMMYFUNCTION("""COMPUTED_VALUE"""),"")</f>
        <v/>
      </c>
      <c r="S402" s="1" t="str">
        <f>IFERROR(__xludf.DUMMYFUNCTION("""COMPUTED_VALUE"""),"")</f>
        <v/>
      </c>
      <c r="T402" s="1" t="str">
        <f>IFERROR(__xludf.DUMMYFUNCTION("""COMPUTED_VALUE"""),"")</f>
        <v/>
      </c>
      <c r="U402" s="1" t="str">
        <f>IFERROR(__xludf.DUMMYFUNCTION("""COMPUTED_VALUE"""),"Closed loop")</f>
        <v>Closed loop</v>
      </c>
      <c r="V402" s="1" t="str">
        <f>IFERROR(__xludf.DUMMYFUNCTION("""COMPUTED_VALUE"""),"")</f>
        <v/>
      </c>
      <c r="W402" s="1" t="str">
        <f>IFERROR(__xludf.DUMMYFUNCTION("""COMPUTED_VALUE"""),"20")</f>
        <v>20</v>
      </c>
      <c r="X402" s="1" t="str">
        <f>IFERROR(__xludf.DUMMYFUNCTION("""COMPUTED_VALUE"""),"")</f>
        <v/>
      </c>
      <c r="Y402" s="1" t="str">
        <f>IFERROR(__xludf.DUMMYFUNCTION("""COMPUTED_VALUE"""),"")</f>
        <v/>
      </c>
      <c r="Z402" s="1" t="str">
        <f>IFERROR(__xludf.DUMMYFUNCTION("""COMPUTED_VALUE"""),"")</f>
        <v/>
      </c>
      <c r="AA402" s="1" t="str">
        <f>IFERROR(__xludf.DUMMYFUNCTION("""COMPUTED_VALUE"""),"")</f>
        <v/>
      </c>
      <c r="AB402" s="1" t="str">
        <f>IFERROR(__xludf.DUMMYFUNCTION("""COMPUTED_VALUE"""),"")</f>
        <v/>
      </c>
      <c r="AC402" s="1" t="str">
        <f>IFERROR(__xludf.DUMMYFUNCTION("""COMPUTED_VALUE"""),"")</f>
        <v/>
      </c>
      <c r="AD402" s="1" t="str">
        <f>IFERROR(__xludf.DUMMYFUNCTION("""COMPUTED_VALUE"""),"")</f>
        <v/>
      </c>
      <c r="AE402" s="1" t="str">
        <f>IFERROR(__xludf.DUMMYFUNCTION("""COMPUTED_VALUE"""),"")</f>
        <v/>
      </c>
      <c r="AF402" s="1" t="str">
        <f>IFERROR(__xludf.DUMMYFUNCTION("""COMPUTED_VALUE"""),"")</f>
        <v/>
      </c>
      <c r="AG402" s="1" t="str">
        <f>IFERROR(__xludf.DUMMYFUNCTION("""COMPUTED_VALUE"""),"")</f>
        <v/>
      </c>
      <c r="AH402" s="1" t="str">
        <f>IFERROR(__xludf.DUMMYFUNCTION("""COMPUTED_VALUE"""),"Media Monitoring")</f>
        <v>Media Monitoring</v>
      </c>
      <c r="AI402" s="2" t="str">
        <f>IFERROR(__xludf.DUMMYFUNCTION("""COMPUTED_VALUE"""),"https://www.datacenterdynamics.com/en/news/20mw-data-center-eyed-in-parsons-kansas/")</f>
        <v>https://www.datacenterdynamics.com/en/news/20mw-data-center-eyed-in-parsons-kansas/</v>
      </c>
      <c r="AJ402" s="2" t="str">
        <f>IFERROR(__xludf.DUMMYFUNCTION("""COMPUTED_VALUE"""),"https://mapcarta.com/W153632025")</f>
        <v>https://mapcarta.com/W153632025</v>
      </c>
      <c r="AK402" s="1" t="str">
        <f>IFERROR(__xludf.DUMMYFUNCTION("""COMPUTED_VALUE"""),"")</f>
        <v/>
      </c>
      <c r="AL402" s="1" t="str">
        <f>IFERROR(__xludf.DUMMYFUNCTION("""COMPUTED_VALUE"""),"")</f>
        <v/>
      </c>
      <c r="AM402" s="1" t="str">
        <f>IFERROR(__xludf.DUMMYFUNCTION("""COMPUTED_VALUE"""),"")</f>
        <v/>
      </c>
      <c r="AN402" s="1" t="str">
        <f>IFERROR(__xludf.DUMMYFUNCTION("""COMPUTED_VALUE"""),"")</f>
        <v/>
      </c>
      <c r="AO402" s="1" t="str">
        <f>IFERROR(__xludf.DUMMYFUNCTION("""COMPUTED_VALUE"""),"")</f>
        <v/>
      </c>
      <c r="AP402" s="1" t="str">
        <f>IFERROR(__xludf.DUMMYFUNCTION("""COMPUTED_VALUE"""),"")</f>
        <v/>
      </c>
      <c r="AQ402" s="1" t="str">
        <f>IFERROR(__xludf.DUMMYFUNCTION("""COMPUTED_VALUE"""),"07/11/2026")</f>
        <v>07/11/2026</v>
      </c>
      <c r="AR402" s="1" t="str">
        <f>IFERROR(__xludf.DUMMYFUNCTION("""COMPUTED_VALUE"""),"07/11/2026")</f>
        <v>07/11/2026</v>
      </c>
    </row>
    <row r="403">
      <c r="A403" s="1" t="str">
        <f>IFERROR(__xludf.DUMMYFUNCTION("""COMPUTED_VALUE"""),"LFF Industrial ")</f>
        <v>LFF Industrial </v>
      </c>
      <c r="B403" s="1" t="str">
        <f>IFERROR(__xludf.DUMMYFUNCTION("""COMPUTED_VALUE"""),"S Steward Rd")</f>
        <v>S Steward Rd</v>
      </c>
      <c r="C403" s="1" t="str">
        <f>IFERROR(__xludf.DUMMYFUNCTION("""COMPUTED_VALUE"""),"Rochelle")</f>
        <v>Rochelle</v>
      </c>
      <c r="D403" s="1" t="str">
        <f>IFERROR(__xludf.DUMMYFUNCTION("""COMPUTED_VALUE"""),"KS")</f>
        <v>KS</v>
      </c>
      <c r="E403" s="1" t="str">
        <f>IFERROR(__xludf.DUMMYFUNCTION("""COMPUTED_VALUE"""),"61068")</f>
        <v>61068</v>
      </c>
      <c r="F403" s="1" t="str">
        <f>IFERROR(__xludf.DUMMYFUNCTION("""COMPUTED_VALUE"""),"Ogle")</f>
        <v>Ogle</v>
      </c>
      <c r="G403" s="1" t="str">
        <f>IFERROR(__xludf.DUMMYFUNCTION("""COMPUTED_VALUE"""),"41.899555")</f>
        <v>41.899555</v>
      </c>
      <c r="H403" s="1" t="str">
        <f>IFERROR(__xludf.DUMMYFUNCTION("""COMPUTED_VALUE"""),"-89.04816")</f>
        <v>-89.04816</v>
      </c>
      <c r="I403" s="1" t="str">
        <f>IFERROR(__xludf.DUMMYFUNCTION("""COMPUTED_VALUE"""),"Suspended")</f>
        <v>Suspended</v>
      </c>
      <c r="J403" s="1" t="str">
        <f>IFERROR(__xludf.DUMMYFUNCTION("""COMPUTED_VALUE"""),"High")</f>
        <v>High</v>
      </c>
      <c r="K403" s="1" t="str">
        <f>IFERROR(__xludf.DUMMYFUNCTION("""COMPUTED_VALUE"""),"")</f>
        <v/>
      </c>
      <c r="L403" s="1" t="str">
        <f>IFERROR(__xludf.DUMMYFUNCTION("""COMPUTED_VALUE"""),"")</f>
        <v/>
      </c>
      <c r="M403" s="1" t="str">
        <f>IFERROR(__xludf.DUMMYFUNCTION("""COMPUTED_VALUE"""),"")</f>
        <v/>
      </c>
      <c r="N403" s="1" t="str">
        <f>IFERROR(__xludf.DUMMYFUNCTION("""COMPUTED_VALUE"""),"48")</f>
        <v>48</v>
      </c>
      <c r="O403" s="1" t="str">
        <f>IFERROR(__xludf.DUMMYFUNCTION("""COMPUTED_VALUE"""),"Hyperscale (100-999 MW)")</f>
        <v>Hyperscale (100-999 MW)</v>
      </c>
      <c r="P403" s="1" t="str">
        <f>IFERROR(__xludf.DUMMYFUNCTION("""COMPUTED_VALUE"""),"")</f>
        <v/>
      </c>
      <c r="Q403" s="1" t="str">
        <f>IFERROR(__xludf.DUMMYFUNCTION("""COMPUTED_VALUE"""),"")</f>
        <v/>
      </c>
      <c r="R403" s="1" t="str">
        <f>IFERROR(__xludf.DUMMYFUNCTION("""COMPUTED_VALUE"""),"")</f>
        <v/>
      </c>
      <c r="S403" s="1" t="str">
        <f>IFERROR(__xludf.DUMMYFUNCTION("""COMPUTED_VALUE"""),"")</f>
        <v/>
      </c>
      <c r="T403" s="1" t="str">
        <f>IFERROR(__xludf.DUMMYFUNCTION("""COMPUTED_VALUE"""),"")</f>
        <v/>
      </c>
      <c r="U403" s="1" t="str">
        <f>IFERROR(__xludf.DUMMYFUNCTION("""COMPUTED_VALUE"""),"")</f>
        <v/>
      </c>
      <c r="V403" s="1" t="str">
        <f>IFERROR(__xludf.DUMMYFUNCTION("""COMPUTED_VALUE"""),"")</f>
        <v/>
      </c>
      <c r="W403" s="1" t="str">
        <f>IFERROR(__xludf.DUMMYFUNCTION("""COMPUTED_VALUE"""),"75")</f>
        <v>75</v>
      </c>
      <c r="X403" s="1" t="str">
        <f>IFERROR(__xludf.DUMMYFUNCTION("""COMPUTED_VALUE"""),"")</f>
        <v/>
      </c>
      <c r="Y403" s="1" t="str">
        <f>IFERROR(__xludf.DUMMYFUNCTION("""COMPUTED_VALUE"""),"")</f>
        <v/>
      </c>
      <c r="Z403" s="1" t="str">
        <f>IFERROR(__xludf.DUMMYFUNCTION("""COMPUTED_VALUE"""),"Yes")</f>
        <v>Yes</v>
      </c>
      <c r="AA403" s="1" t="str">
        <f>IFERROR(__xludf.DUMMYFUNCTION("""COMPUTED_VALUE"""),"")</f>
        <v/>
      </c>
      <c r="AB403" s="1" t="str">
        <f>IFERROR(__xludf.DUMMYFUNCTION("""COMPUTED_VALUE"""),"")</f>
        <v/>
      </c>
      <c r="AC403" s="1" t="str">
        <f>IFERROR(__xludf.DUMMYFUNCTION("""COMPUTED_VALUE"""),"")</f>
        <v/>
      </c>
      <c r="AD403" s="1" t="str">
        <f>IFERROR(__xludf.DUMMYFUNCTION("""COMPUTED_VALUE"""),"")</f>
        <v/>
      </c>
      <c r="AE403" s="1" t="str">
        <f>IFERROR(__xludf.DUMMYFUNCTION("""COMPUTED_VALUE"""),"")</f>
        <v/>
      </c>
      <c r="AF403" s="1" t="str">
        <f>IFERROR(__xludf.DUMMYFUNCTION("""COMPUTED_VALUE"""),"")</f>
        <v/>
      </c>
      <c r="AG403" s="1" t="str">
        <f>IFERROR(__xludf.DUMMYFUNCTION("""COMPUTED_VALUE"""),"""more time needed to discuss proposal""")</f>
        <v>"more time needed to discuss proposal"</v>
      </c>
      <c r="AH403" s="1" t="str">
        <f>IFERROR(__xludf.DUMMYFUNCTION("""COMPUTED_VALUE"""),"Media Monitoring")</f>
        <v>Media Monitoring</v>
      </c>
      <c r="AI403" s="2" t="str">
        <f>IFERROR(__xludf.DUMMYFUNCTION("""COMPUTED_VALUE"""),"https://www.datacenterdynamics.com/en/news/planning-decision-on-rochelle-illinois-data-center-postponed/")</f>
        <v>https://www.datacenterdynamics.com/en/news/planning-decision-on-rochelle-illinois-data-center-postponed/</v>
      </c>
      <c r="AJ403" s="1" t="str">
        <f>IFERROR(__xludf.DUMMYFUNCTION("""COMPUTED_VALUE"""),"")</f>
        <v/>
      </c>
      <c r="AK403" s="1" t="str">
        <f>IFERROR(__xludf.DUMMYFUNCTION("""COMPUTED_VALUE"""),"")</f>
        <v/>
      </c>
      <c r="AL403" s="1" t="str">
        <f>IFERROR(__xludf.DUMMYFUNCTION("""COMPUTED_VALUE"""),"")</f>
        <v/>
      </c>
      <c r="AM403" s="1" t="str">
        <f>IFERROR(__xludf.DUMMYFUNCTION("""COMPUTED_VALUE"""),"")</f>
        <v/>
      </c>
      <c r="AN403" s="1" t="str">
        <f>IFERROR(__xludf.DUMMYFUNCTION("""COMPUTED_VALUE"""),"")</f>
        <v/>
      </c>
      <c r="AO403" s="1" t="str">
        <f>IFERROR(__xludf.DUMMYFUNCTION("""COMPUTED_VALUE"""),"")</f>
        <v/>
      </c>
      <c r="AP403" s="1" t="str">
        <f>IFERROR(__xludf.DUMMYFUNCTION("""COMPUTED_VALUE"""),"")</f>
        <v/>
      </c>
      <c r="AQ403" s="1" t="str">
        <f>IFERROR(__xludf.DUMMYFUNCTION("""COMPUTED_VALUE"""),"04/01/2026")</f>
        <v>04/01/2026</v>
      </c>
      <c r="AR403" s="1" t="str">
        <f>IFERROR(__xludf.DUMMYFUNCTION("""COMPUTED_VALUE"""),"04/01/2026")</f>
        <v>04/01/2026</v>
      </c>
    </row>
    <row r="404">
      <c r="A404" s="1" t="str">
        <f>IFERROR(__xludf.DUMMYFUNCTION("""COMPUTED_VALUE"""),"Colossus Data Center")</f>
        <v>Colossus Data Center</v>
      </c>
      <c r="B404" s="1" t="str">
        <f>IFERROR(__xludf.DUMMYFUNCTION("""COMPUTED_VALUE"""),"191st St. and Renner Rd")</f>
        <v>191st St. and Renner Rd</v>
      </c>
      <c r="C404" s="1" t="str">
        <f>IFERROR(__xludf.DUMMYFUNCTION("""COMPUTED_VALUE"""),"Spring Hill")</f>
        <v>Spring Hill</v>
      </c>
      <c r="D404" s="1" t="str">
        <f>IFERROR(__xludf.DUMMYFUNCTION("""COMPUTED_VALUE"""),"KS")</f>
        <v>KS</v>
      </c>
      <c r="E404" s="1" t="str">
        <f>IFERROR(__xludf.DUMMYFUNCTION("""COMPUTED_VALUE"""),"66062")</f>
        <v>66062</v>
      </c>
      <c r="F404" s="1" t="str">
        <f>IFERROR(__xludf.DUMMYFUNCTION("""COMPUTED_VALUE"""),"Johnson")</f>
        <v>Johnson</v>
      </c>
      <c r="G404" s="1" t="str">
        <f>IFERROR(__xludf.DUMMYFUNCTION("""COMPUTED_VALUE"""),"38.781784")</f>
        <v>38.781784</v>
      </c>
      <c r="H404" s="1" t="str">
        <f>IFERROR(__xludf.DUMMYFUNCTION("""COMPUTED_VALUE"""),"-94.77902")</f>
        <v>-94.77902</v>
      </c>
      <c r="I404" s="1" t="str">
        <f>IFERROR(__xludf.DUMMYFUNCTION("""COMPUTED_VALUE"""),"Cancelled")</f>
        <v>Cancelled</v>
      </c>
      <c r="J404" s="1" t="str">
        <f>IFERROR(__xludf.DUMMYFUNCTION("""COMPUTED_VALUE"""),"High")</f>
        <v>High</v>
      </c>
      <c r="K404" s="1" t="str">
        <f>IFERROR(__xludf.DUMMYFUNCTION("""COMPUTED_VALUE"""),"")</f>
        <v/>
      </c>
      <c r="L404" s="1" t="str">
        <f>IFERROR(__xludf.DUMMYFUNCTION("""COMPUTED_VALUE"""),"")</f>
        <v/>
      </c>
      <c r="M404" s="1" t="str">
        <f>IFERROR(__xludf.DUMMYFUNCTION("""COMPUTED_VALUE"""),"")</f>
        <v/>
      </c>
      <c r="N404" s="1" t="str">
        <f>IFERROR(__xludf.DUMMYFUNCTION("""COMPUTED_VALUE"""),"")</f>
        <v/>
      </c>
      <c r="O404" s="1" t="str">
        <f>IFERROR(__xludf.DUMMYFUNCTION("""COMPUTED_VALUE"""),"Unknown")</f>
        <v>Unknown</v>
      </c>
      <c r="P404" s="1" t="str">
        <f>IFERROR(__xludf.DUMMYFUNCTION("""COMPUTED_VALUE"""),"")</f>
        <v/>
      </c>
      <c r="Q404" s="1" t="str">
        <f>IFERROR(__xludf.DUMMYFUNCTION("""COMPUTED_VALUE"""),"")</f>
        <v/>
      </c>
      <c r="R404" s="1" t="str">
        <f>IFERROR(__xludf.DUMMYFUNCTION("""COMPUTED_VALUE"""),"")</f>
        <v/>
      </c>
      <c r="S404" s="1" t="str">
        <f>IFERROR(__xludf.DUMMYFUNCTION("""COMPUTED_VALUE"""),"")</f>
        <v/>
      </c>
      <c r="T404" s="1" t="str">
        <f>IFERROR(__xludf.DUMMYFUNCTION("""COMPUTED_VALUE"""),"")</f>
        <v/>
      </c>
      <c r="U404" s="1" t="str">
        <f>IFERROR(__xludf.DUMMYFUNCTION("""COMPUTED_VALUE"""),"")</f>
        <v/>
      </c>
      <c r="V404" s="1" t="str">
        <f>IFERROR(__xludf.DUMMYFUNCTION("""COMPUTED_VALUE"""),"")</f>
        <v/>
      </c>
      <c r="W404" s="1" t="str">
        <f>IFERROR(__xludf.DUMMYFUNCTION("""COMPUTED_VALUE"""),"316")</f>
        <v>316</v>
      </c>
      <c r="X404" s="1" t="str">
        <f>IFERROR(__xludf.DUMMYFUNCTION("""COMPUTED_VALUE"""),"")</f>
        <v/>
      </c>
      <c r="Y404" s="1" t="str">
        <f>IFERROR(__xludf.DUMMYFUNCTION("""COMPUTED_VALUE"""),"")</f>
        <v/>
      </c>
      <c r="Z404" s="1" t="str">
        <f>IFERROR(__xludf.DUMMYFUNCTION("""COMPUTED_VALUE"""),"Unknown")</f>
        <v>Unknown</v>
      </c>
      <c r="AA404" s="1" t="str">
        <f>IFERROR(__xludf.DUMMYFUNCTION("""COMPUTED_VALUE"""),"")</f>
        <v/>
      </c>
      <c r="AB404" s="1" t="str">
        <f>IFERROR(__xludf.DUMMYFUNCTION("""COMPUTED_VALUE"""),"")</f>
        <v/>
      </c>
      <c r="AC404" s="1" t="str">
        <f>IFERROR(__xludf.DUMMYFUNCTION("""COMPUTED_VALUE"""),"")</f>
        <v/>
      </c>
      <c r="AD404" s="1" t="str">
        <f>IFERROR(__xludf.DUMMYFUNCTION("""COMPUTED_VALUE"""),"")</f>
        <v/>
      </c>
      <c r="AE404" s="1" t="str">
        <f>IFERROR(__xludf.DUMMYFUNCTION("""COMPUTED_VALUE"""),"")</f>
        <v/>
      </c>
      <c r="AF404" s="1" t="str">
        <f>IFERROR(__xludf.DUMMYFUNCTION("""COMPUTED_VALUE"""),"")</f>
        <v/>
      </c>
      <c r="AG404" s="1" t="str">
        <f>IFERROR(__xludf.DUMMYFUNCTION("""COMPUTED_VALUE"""),"")</f>
        <v/>
      </c>
      <c r="AH404" s="1" t="str">
        <f>IFERROR(__xludf.DUMMYFUNCTION("""COMPUTED_VALUE"""),"Media Monitoring")</f>
        <v>Media Monitoring</v>
      </c>
      <c r="AI404" s="2" t="str">
        <f>IFERROR(__xludf.DUMMYFUNCTION("""COMPUTED_VALUE"""),"https://www.datacenterdynamics.com/en/news/developer-withdraws-plan-to-build-316-acre-data-center-in-spring-hill-kansas/")</f>
        <v>https://www.datacenterdynamics.com/en/news/developer-withdraws-plan-to-build-316-acre-data-center-in-spring-hill-kansas/</v>
      </c>
      <c r="AJ404" s="1" t="str">
        <f>IFERROR(__xludf.DUMMYFUNCTION("""COMPUTED_VALUE"""),"")</f>
        <v/>
      </c>
      <c r="AK404" s="1" t="str">
        <f>IFERROR(__xludf.DUMMYFUNCTION("""COMPUTED_VALUE"""),"")</f>
        <v/>
      </c>
      <c r="AL404" s="1" t="str">
        <f>IFERROR(__xludf.DUMMYFUNCTION("""COMPUTED_VALUE"""),"")</f>
        <v/>
      </c>
      <c r="AM404" s="1" t="str">
        <f>IFERROR(__xludf.DUMMYFUNCTION("""COMPUTED_VALUE"""),"")</f>
        <v/>
      </c>
      <c r="AN404" s="1" t="str">
        <f>IFERROR(__xludf.DUMMYFUNCTION("""COMPUTED_VALUE"""),"")</f>
        <v/>
      </c>
      <c r="AO404" s="1" t="str">
        <f>IFERROR(__xludf.DUMMYFUNCTION("""COMPUTED_VALUE"""),"")</f>
        <v/>
      </c>
      <c r="AP404" s="1" t="str">
        <f>IFERROR(__xludf.DUMMYFUNCTION("""COMPUTED_VALUE"""),"")</f>
        <v/>
      </c>
      <c r="AQ404" s="1" t="str">
        <f>IFERROR(__xludf.DUMMYFUNCTION("""COMPUTED_VALUE"""),"03/13/2026")</f>
        <v>03/13/2026</v>
      </c>
      <c r="AR404" s="1" t="str">
        <f>IFERROR(__xludf.DUMMYFUNCTION("""COMPUTED_VALUE"""),"03/13/2026")</f>
        <v>03/13/2026</v>
      </c>
    </row>
    <row r="405">
      <c r="A405" s="1" t="str">
        <f>IFERROR(__xludf.DUMMYFUNCTION("""COMPUTED_VALUE"""),"""Project Bluestem""")</f>
        <v>"Project Bluestem"</v>
      </c>
      <c r="B405" s="1" t="str">
        <f>IFERROR(__xludf.DUMMYFUNCTION("""COMPUTED_VALUE"""),"15258 222nd St")</f>
        <v>15258 222nd St</v>
      </c>
      <c r="C405" s="1" t="str">
        <f>IFERROR(__xludf.DUMMYFUNCTION("""COMPUTED_VALUE"""),"Tonganoxie")</f>
        <v>Tonganoxie</v>
      </c>
      <c r="D405" s="1" t="str">
        <f>IFERROR(__xludf.DUMMYFUNCTION("""COMPUTED_VALUE"""),"KS")</f>
        <v>KS</v>
      </c>
      <c r="E405" s="1" t="str">
        <f>IFERROR(__xludf.DUMMYFUNCTION("""COMPUTED_VALUE"""),"66086")</f>
        <v>66086</v>
      </c>
      <c r="F405" s="1" t="str">
        <f>IFERROR(__xludf.DUMMYFUNCTION("""COMPUTED_VALUE"""),"Leavenworth")</f>
        <v>Leavenworth</v>
      </c>
      <c r="G405" s="1" t="str">
        <f>IFERROR(__xludf.DUMMYFUNCTION("""COMPUTED_VALUE"""),"39.07509")</f>
        <v>39.07509</v>
      </c>
      <c r="H405" s="1" t="str">
        <f>IFERROR(__xludf.DUMMYFUNCTION("""COMPUTED_VALUE"""),"-95.0887")</f>
        <v>-95.0887</v>
      </c>
      <c r="I405" s="1" t="str">
        <f>IFERROR(__xludf.DUMMYFUNCTION("""COMPUTED_VALUE"""),"Pre-proposal")</f>
        <v>Pre-proposal</v>
      </c>
      <c r="J405" s="1" t="str">
        <f>IFERROR(__xludf.DUMMYFUNCTION("""COMPUTED_VALUE"""),"High")</f>
        <v>High</v>
      </c>
      <c r="K405" s="1" t="str">
        <f>IFERROR(__xludf.DUMMYFUNCTION("""COMPUTED_VALUE"""),"")</f>
        <v/>
      </c>
      <c r="L405" s="1" t="str">
        <f>IFERROR(__xludf.DUMMYFUNCTION("""COMPUTED_VALUE"""),"Cloverleaf Infrastructure")</f>
        <v>Cloverleaf Infrastructure</v>
      </c>
      <c r="M405" s="1" t="str">
        <f>IFERROR(__xludf.DUMMYFUNCTION("""COMPUTED_VALUE"""),"")</f>
        <v/>
      </c>
      <c r="N405" s="1" t="str">
        <f>IFERROR(__xludf.DUMMYFUNCTION("""COMPUTED_VALUE"""),"1200")</f>
        <v>1200</v>
      </c>
      <c r="O405" s="1" t="str">
        <f>IFERROR(__xludf.DUMMYFUNCTION("""COMPUTED_VALUE"""),"Mega campus (&gt;1,000 MW)")</f>
        <v>Mega campus (&gt;1,000 MW)</v>
      </c>
      <c r="P405" s="1" t="str">
        <f>IFERROR(__xludf.DUMMYFUNCTION("""COMPUTED_VALUE"""),"")</f>
        <v/>
      </c>
      <c r="Q405" s="1" t="str">
        <f>IFERROR(__xludf.DUMMYFUNCTION("""COMPUTED_VALUE"""),"")</f>
        <v/>
      </c>
      <c r="R405" s="1" t="str">
        <f>IFERROR(__xludf.DUMMYFUNCTION("""COMPUTED_VALUE"""),"")</f>
        <v/>
      </c>
      <c r="S405" s="1" t="str">
        <f>IFERROR(__xludf.DUMMYFUNCTION("""COMPUTED_VALUE"""),"8-16")</f>
        <v>8-16</v>
      </c>
      <c r="T405" s="1" t="str">
        <f>IFERROR(__xludf.DUMMYFUNCTION("""COMPUTED_VALUE"""),"")</f>
        <v/>
      </c>
      <c r="U405" s="1" t="str">
        <f>IFERROR(__xludf.DUMMYFUNCTION("""COMPUTED_VALUE"""),"Closed loop")</f>
        <v>Closed loop</v>
      </c>
      <c r="V405" s="1" t="str">
        <f>IFERROR(__xludf.DUMMYFUNCTION("""COMPUTED_VALUE"""),"3,000,000")</f>
        <v>3,000,000</v>
      </c>
      <c r="W405" s="1" t="str">
        <f>IFERROR(__xludf.DUMMYFUNCTION("""COMPUTED_VALUE"""),"2000")</f>
        <v>2000</v>
      </c>
      <c r="X405" s="1" t="str">
        <f>IFERROR(__xludf.DUMMYFUNCTION("""COMPUTED_VALUE"""),"$14 billion")</f>
        <v>$14 billion</v>
      </c>
      <c r="Y405" s="1" t="str">
        <f>IFERROR(__xludf.DUMMYFUNCTION("""COMPUTED_VALUE"""),"")</f>
        <v/>
      </c>
      <c r="Z405" s="1" t="str">
        <f>IFERROR(__xludf.DUMMYFUNCTION("""COMPUTED_VALUE"""),"Yes")</f>
        <v>Yes</v>
      </c>
      <c r="AA405" s="1" t="str">
        <f>IFERROR(__xludf.DUMMYFUNCTION("""COMPUTED_VALUE"""),"")</f>
        <v/>
      </c>
      <c r="AB405" s="1" t="str">
        <f>IFERROR(__xludf.DUMMYFUNCTION("""COMPUTED_VALUE"""),"Organized Advocacy")</f>
        <v>Organized Advocacy</v>
      </c>
      <c r="AC405" s="1" t="str">
        <f>IFERROR(__xludf.DUMMYFUNCTION("""COMPUTED_VALUE"""),"")</f>
        <v/>
      </c>
      <c r="AD405" s="1" t="str">
        <f>IFERROR(__xludf.DUMMYFUNCTION("""COMPUTED_VALUE"""),"")</f>
        <v/>
      </c>
      <c r="AE405" s="1" t="str">
        <f>IFERROR(__xludf.DUMMYFUNCTION("""COMPUTED_VALUE"""),"")</f>
        <v/>
      </c>
      <c r="AF405" s="1" t="str">
        <f>IFERROR(__xludf.DUMMYFUNCTION("""COMPUTED_VALUE"""),"")</f>
        <v/>
      </c>
      <c r="AG405" s="1" t="str">
        <f>IFERROR(__xludf.DUMMYFUNCTION("""COMPUTED_VALUE"""),"Would violate zoning and long-term county development plan. There is an elementary school within one mile of site. ")</f>
        <v>Would violate zoning and long-term county development plan. There is an elementary school within one mile of site. </v>
      </c>
      <c r="AH405" s="1" t="str">
        <f>IFERROR(__xludf.DUMMYFUNCTION("""COMPUTED_VALUE"""),"Crowdsourced")</f>
        <v>Crowdsourced</v>
      </c>
      <c r="AI405" s="2" t="str">
        <f>IFERROR(__xludf.DUMMYFUNCTION("""COMPUTED_VALUE"""),"https://bluestemdatacenter.com/")</f>
        <v>https://bluestemdatacenter.com/</v>
      </c>
      <c r="AJ405" s="2" t="str">
        <f>IFERROR(__xludf.DUMMYFUNCTION("""COMPUTED_VALUE"""),"https://www.kshb.com/news/local-news/kansas/leavenworth-county/hyperscale-data-center-proposed-in-tonganoxie-county-commissioners-discuss-project-with-developer")</f>
        <v>https://www.kshb.com/news/local-news/kansas/leavenworth-county/hyperscale-data-center-proposed-in-tonganoxie-county-commissioners-discuss-project-with-developer</v>
      </c>
      <c r="AK405" s="2" t="str">
        <f>IFERROR(__xludf.DUMMYFUNCTION("""COMPUTED_VALUE"""),"https://cleanview.co/data-centers/kansas/2295/project-bluestem")</f>
        <v>https://cleanview.co/data-centers/kansas/2295/project-bluestem</v>
      </c>
      <c r="AL405" s="1" t="str">
        <f>IFERROR(__xludf.DUMMYFUNCTION("""COMPUTED_VALUE"""),"")</f>
        <v/>
      </c>
      <c r="AM405" s="1" t="str">
        <f>IFERROR(__xludf.DUMMYFUNCTION("""COMPUTED_VALUE"""),"")</f>
        <v/>
      </c>
      <c r="AN405" s="1" t="str">
        <f>IFERROR(__xludf.DUMMYFUNCTION("""COMPUTED_VALUE"""),"")</f>
        <v/>
      </c>
      <c r="AO405" s="1" t="str">
        <f>IFERROR(__xludf.DUMMYFUNCTION("""COMPUTED_VALUE"""),"")</f>
        <v/>
      </c>
      <c r="AP405" s="1" t="str">
        <f>IFERROR(__xludf.DUMMYFUNCTION("""COMPUTED_VALUE"""),"")</f>
        <v/>
      </c>
      <c r="AQ405" s="1" t="str">
        <f>IFERROR(__xludf.DUMMYFUNCTION("""COMPUTED_VALUE"""),"07/14/2026")</f>
        <v>07/14/2026</v>
      </c>
      <c r="AR405" s="1" t="str">
        <f>IFERROR(__xludf.DUMMYFUNCTION("""COMPUTED_VALUE"""),"07/14/2026")</f>
        <v>07/14/2026</v>
      </c>
    </row>
    <row r="406">
      <c r="A406" s="1" t="str">
        <f>IFERROR(__xludf.DUMMYFUNCTION("""COMPUTED_VALUE"""),"Muskie Data Campus Data Center")</f>
        <v>Muskie Data Campus Data Center</v>
      </c>
      <c r="B406" s="1" t="str">
        <f>IFERROR(__xludf.DUMMYFUNCTION("""COMPUTED_VALUE"""),"Technology Dr")</f>
        <v>Technology Dr</v>
      </c>
      <c r="C406" s="1" t="str">
        <f>IFERROR(__xludf.DUMMYFUNCTION("""COMPUTED_VALUE"""),"Ashland")</f>
        <v>Ashland</v>
      </c>
      <c r="D406" s="1" t="str">
        <f>IFERROR(__xludf.DUMMYFUNCTION("""COMPUTED_VALUE"""),"KY")</f>
        <v>KY</v>
      </c>
      <c r="E406" s="1" t="str">
        <f>IFERROR(__xludf.DUMMYFUNCTION("""COMPUTED_VALUE"""),"41102")</f>
        <v>41102</v>
      </c>
      <c r="F406" s="1" t="str">
        <f>IFERROR(__xludf.DUMMYFUNCTION("""COMPUTED_VALUE"""),"Boyd and Greenup")</f>
        <v>Boyd and Greenup</v>
      </c>
      <c r="G406" s="1" t="str">
        <f>IFERROR(__xludf.DUMMYFUNCTION("""COMPUTED_VALUE"""),"38.399708")</f>
        <v>38.399708</v>
      </c>
      <c r="H406" s="1" t="str">
        <f>IFERROR(__xludf.DUMMYFUNCTION("""COMPUTED_VALUE"""),"-82.79701")</f>
        <v>-82.79701</v>
      </c>
      <c r="I406" s="1" t="str">
        <f>IFERROR(__xludf.DUMMYFUNCTION("""COMPUTED_VALUE"""),"Proposed")</f>
        <v>Proposed</v>
      </c>
      <c r="J406" s="1" t="str">
        <f>IFERROR(__xludf.DUMMYFUNCTION("""COMPUTED_VALUE"""),"Medium")</f>
        <v>Medium</v>
      </c>
      <c r="K406" s="1" t="str">
        <f>IFERROR(__xludf.DUMMYFUNCTION("""COMPUTED_VALUE"""),"")</f>
        <v/>
      </c>
      <c r="L406" s="1" t="str">
        <f>IFERROR(__xludf.DUMMYFUNCTION("""COMPUTED_VALUE"""),"TeraWulf")</f>
        <v>TeraWulf</v>
      </c>
      <c r="M406" s="1" t="str">
        <f>IFERROR(__xludf.DUMMYFUNCTION("""COMPUTED_VALUE"""),"")</f>
        <v/>
      </c>
      <c r="N406" s="1" t="str">
        <f>IFERROR(__xludf.DUMMYFUNCTION("""COMPUTED_VALUE"""),"500")</f>
        <v>500</v>
      </c>
      <c r="O406" s="1" t="str">
        <f>IFERROR(__xludf.DUMMYFUNCTION("""COMPUTED_VALUE"""),"Mega campus (&gt;1,000 MW)")</f>
        <v>Mega campus (&gt;1,000 MW)</v>
      </c>
      <c r="P406" s="1" t="str">
        <f>IFERROR(__xludf.DUMMYFUNCTION("""COMPUTED_VALUE"""),"Grid (unspecified mix)")</f>
        <v>Grid (unspecified mix)</v>
      </c>
      <c r="Q406" s="1" t="str">
        <f>IFERROR(__xludf.DUMMYFUNCTION("""COMPUTED_VALUE"""),"")</f>
        <v/>
      </c>
      <c r="R406" s="1" t="str">
        <f>IFERROR(__xludf.DUMMYFUNCTION("""COMPUTED_VALUE"""),"")</f>
        <v/>
      </c>
      <c r="S406" s="1" t="str">
        <f>IFERROR(__xludf.DUMMYFUNCTION("""COMPUTED_VALUE"""),"")</f>
        <v/>
      </c>
      <c r="T406" s="1" t="str">
        <f>IFERROR(__xludf.DUMMYFUNCTION("""COMPUTED_VALUE"""),"")</f>
        <v/>
      </c>
      <c r="U406" s="1" t="str">
        <f>IFERROR(__xludf.DUMMYFUNCTION("""COMPUTED_VALUE"""),"")</f>
        <v/>
      </c>
      <c r="V406" s="1" t="str">
        <f>IFERROR(__xludf.DUMMYFUNCTION("""COMPUTED_VALUE"""),"")</f>
        <v/>
      </c>
      <c r="W406" s="1" t="str">
        <f>IFERROR(__xludf.DUMMYFUNCTION("""COMPUTED_VALUE"""),"285")</f>
        <v>285</v>
      </c>
      <c r="X406" s="1" t="str">
        <f>IFERROR(__xludf.DUMMYFUNCTION("""COMPUTED_VALUE"""),"")</f>
        <v/>
      </c>
      <c r="Y406" s="1" t="str">
        <f>IFERROR(__xludf.DUMMYFUNCTION("""COMPUTED_VALUE"""),"2028")</f>
        <v>2028</v>
      </c>
      <c r="Z406" s="1" t="str">
        <f>IFERROR(__xludf.DUMMYFUNCTION("""COMPUTED_VALUE"""),"Unknown")</f>
        <v>Unknown</v>
      </c>
      <c r="AA406" s="1" t="str">
        <f>IFERROR(__xludf.DUMMYFUNCTION("""COMPUTED_VALUE"""),"")</f>
        <v/>
      </c>
      <c r="AB406" s="1" t="str">
        <f>IFERROR(__xludf.DUMMYFUNCTION("""COMPUTED_VALUE"""),"")</f>
        <v/>
      </c>
      <c r="AC406" s="1" t="str">
        <f>IFERROR(__xludf.DUMMYFUNCTION("""COMPUTED_VALUE"""),"")</f>
        <v/>
      </c>
      <c r="AD406" s="1" t="str">
        <f>IFERROR(__xludf.DUMMYFUNCTION("""COMPUTED_VALUE"""),"")</f>
        <v/>
      </c>
      <c r="AE406" s="1" t="str">
        <f>IFERROR(__xludf.DUMMYFUNCTION("""COMPUTED_VALUE"""),"")</f>
        <v/>
      </c>
      <c r="AF406" s="1" t="str">
        <f>IFERROR(__xludf.DUMMYFUNCTION("""COMPUTED_VALUE"""),"")</f>
        <v/>
      </c>
      <c r="AG406" s="1" t="str">
        <f>IFERROR(__xludf.DUMMYFUNCTION("""COMPUTED_VALUE"""),"Kentucky Power, an AEP Company, is constructing a 345 kV substation connected to the existing 765 kV transmission network")</f>
        <v>Kentucky Power, an AEP Company, is constructing a 345 kV substation connected to the existing 765 kV transmission network</v>
      </c>
      <c r="AH406" s="1" t="str">
        <f>IFERROR(__xludf.DUMMYFUNCTION("""COMPUTED_VALUE"""),"Media Monitoring")</f>
        <v>Media Monitoring</v>
      </c>
      <c r="AI406" s="2" t="str">
        <f>IFERROR(__xludf.DUMMYFUNCTION("""COMPUTED_VALUE"""),"https://investors.terawulf.com/news-events/press-releases/detail/141/terawulf-expands-infrastructure-platform-with-acquisition-of-1-gw-eastern-kentucky-hpc-campus")</f>
        <v>https://investors.terawulf.com/news-events/press-releases/detail/141/terawulf-expands-infrastructure-platform-with-acquisition-of-1-gw-eastern-kentucky-hpc-campus</v>
      </c>
      <c r="AJ406" s="2" t="str">
        <f>IFERROR(__xludf.DUMMYFUNCTION("""COMPUTED_VALUE"""),"https://fivco.org/economic-development/eastpark-industrial-park/")</f>
        <v>https://fivco.org/economic-development/eastpark-industrial-park/</v>
      </c>
      <c r="AK406" s="2" t="str">
        <f>IFERROR(__xludf.DUMMYFUNCTION("""COMPUTED_VALUE"""),"https://fivco.org/wp-content/uploads/2016/10/eastpark-SITE_B-102516.pdf")</f>
        <v>https://fivco.org/wp-content/uploads/2016/10/eastpark-SITE_B-102516.pdf</v>
      </c>
      <c r="AL406" s="1" t="str">
        <f>IFERROR(__xludf.DUMMYFUNCTION("""COMPUTED_VALUE"""),"")</f>
        <v/>
      </c>
      <c r="AM406" s="1" t="str">
        <f>IFERROR(__xludf.DUMMYFUNCTION("""COMPUTED_VALUE"""),"")</f>
        <v/>
      </c>
      <c r="AN406" s="1" t="str">
        <f>IFERROR(__xludf.DUMMYFUNCTION("""COMPUTED_VALUE"""),"")</f>
        <v/>
      </c>
      <c r="AO406" s="1" t="str">
        <f>IFERROR(__xludf.DUMMYFUNCTION("""COMPUTED_VALUE"""),"")</f>
        <v/>
      </c>
      <c r="AP406" s="1" t="str">
        <f>IFERROR(__xludf.DUMMYFUNCTION("""COMPUTED_VALUE"""),"")</f>
        <v/>
      </c>
      <c r="AQ406" s="1" t="str">
        <f>IFERROR(__xludf.DUMMYFUNCTION("""COMPUTED_VALUE"""),"05/26/2026")</f>
        <v>05/26/2026</v>
      </c>
      <c r="AR406" s="1" t="str">
        <f>IFERROR(__xludf.DUMMYFUNCTION("""COMPUTED_VALUE"""),"05/26/2026")</f>
        <v>05/26/2026</v>
      </c>
    </row>
    <row r="407">
      <c r="A407" s="1" t="str">
        <f>IFERROR(__xludf.DUMMYFUNCTION("""COMPUTED_VALUE"""),"Kentucky Industrial Alliance LLC Data Center")</f>
        <v>Kentucky Industrial Alliance LLC Data Center</v>
      </c>
      <c r="B407" s="1" t="str">
        <f>IFERROR(__xludf.DUMMYFUNCTION("""COMPUTED_VALUE"""),"2001 Doyle Ave")</f>
        <v>2001 Doyle Ave</v>
      </c>
      <c r="C407" s="1" t="str">
        <f>IFERROR(__xludf.DUMMYFUNCTION("""COMPUTED_VALUE"""),"Cave City")</f>
        <v>Cave City</v>
      </c>
      <c r="D407" s="1" t="str">
        <f>IFERROR(__xludf.DUMMYFUNCTION("""COMPUTED_VALUE"""),"KY")</f>
        <v>KY</v>
      </c>
      <c r="E407" s="1" t="str">
        <f>IFERROR(__xludf.DUMMYFUNCTION("""COMPUTED_VALUE"""),"42127")</f>
        <v>42127</v>
      </c>
      <c r="F407" s="1" t="str">
        <f>IFERROR(__xludf.DUMMYFUNCTION("""COMPUTED_VALUE"""),"Barren")</f>
        <v>Barren</v>
      </c>
      <c r="G407" s="1" t="str">
        <f>IFERROR(__xludf.DUMMYFUNCTION("""COMPUTED_VALUE"""),"37.131542")</f>
        <v>37.131542</v>
      </c>
      <c r="H407" s="1" t="str">
        <f>IFERROR(__xludf.DUMMYFUNCTION("""COMPUTED_VALUE"""),"-85.97648")</f>
        <v>-85.97648</v>
      </c>
      <c r="I407" s="1" t="str">
        <f>IFERROR(__xludf.DUMMYFUNCTION("""COMPUTED_VALUE"""),"Suspended")</f>
        <v>Suspended</v>
      </c>
      <c r="J407" s="1" t="str">
        <f>IFERROR(__xludf.DUMMYFUNCTION("""COMPUTED_VALUE"""),"High")</f>
        <v>High</v>
      </c>
      <c r="K407" s="1" t="str">
        <f>IFERROR(__xludf.DUMMYFUNCTION("""COMPUTED_VALUE"""),"")</f>
        <v/>
      </c>
      <c r="L407" s="1" t="str">
        <f>IFERROR(__xludf.DUMMYFUNCTION("""COMPUTED_VALUE"""),"Kentucky Industrial Alliance LLC")</f>
        <v>Kentucky Industrial Alliance LLC</v>
      </c>
      <c r="M407" s="1" t="str">
        <f>IFERROR(__xludf.DUMMYFUNCTION("""COMPUTED_VALUE"""),"")</f>
        <v/>
      </c>
      <c r="N407" s="1" t="str">
        <f>IFERROR(__xludf.DUMMYFUNCTION("""COMPUTED_VALUE"""),"1200")</f>
        <v>1200</v>
      </c>
      <c r="O407" s="1" t="str">
        <f>IFERROR(__xludf.DUMMYFUNCTION("""COMPUTED_VALUE"""),"Mega campus (&gt;1,000 MW)")</f>
        <v>Mega campus (&gt;1,000 MW)</v>
      </c>
      <c r="P407" s="1" t="str">
        <f>IFERROR(__xludf.DUMMYFUNCTION("""COMPUTED_VALUE"""),"")</f>
        <v/>
      </c>
      <c r="Q407" s="1" t="str">
        <f>IFERROR(__xludf.DUMMYFUNCTION("""COMPUTED_VALUE"""),"")</f>
        <v/>
      </c>
      <c r="R407" s="1" t="str">
        <f>IFERROR(__xludf.DUMMYFUNCTION("""COMPUTED_VALUE"""),"")</f>
        <v/>
      </c>
      <c r="S407" s="1" t="str">
        <f>IFERROR(__xludf.DUMMYFUNCTION("""COMPUTED_VALUE"""),"10")</f>
        <v>10</v>
      </c>
      <c r="T407" s="1" t="str">
        <f>IFERROR(__xludf.DUMMYFUNCTION("""COMPUTED_VALUE"""),"")</f>
        <v/>
      </c>
      <c r="U407" s="1" t="str">
        <f>IFERROR(__xludf.DUMMYFUNCTION("""COMPUTED_VALUE"""),"")</f>
        <v/>
      </c>
      <c r="V407" s="1" t="str">
        <f>IFERROR(__xludf.DUMMYFUNCTION("""COMPUTED_VALUE"""),"2,000,000")</f>
        <v>2,000,000</v>
      </c>
      <c r="W407" s="1" t="str">
        <f>IFERROR(__xludf.DUMMYFUNCTION("""COMPUTED_VALUE"""),"380")</f>
        <v>380</v>
      </c>
      <c r="X407" s="1" t="str">
        <f>IFERROR(__xludf.DUMMYFUNCTION("""COMPUTED_VALUE"""),"")</f>
        <v/>
      </c>
      <c r="Y407" s="1" t="str">
        <f>IFERROR(__xludf.DUMMYFUNCTION("""COMPUTED_VALUE"""),"")</f>
        <v/>
      </c>
      <c r="Z407" s="1" t="str">
        <f>IFERROR(__xludf.DUMMYFUNCTION("""COMPUTED_VALUE"""),"Yes")</f>
        <v>Yes</v>
      </c>
      <c r="AA407" s="1" t="str">
        <f>IFERROR(__xludf.DUMMYFUNCTION("""COMPUTED_VALUE"""),"")</f>
        <v/>
      </c>
      <c r="AB407" s="1" t="str">
        <f>IFERROR(__xludf.DUMMYFUNCTION("""COMPUTED_VALUE"""),"Organized Advocacy")</f>
        <v>Organized Advocacy</v>
      </c>
      <c r="AC407" s="1" t="str">
        <f>IFERROR(__xludf.DUMMYFUNCTION("""COMPUTED_VALUE"""),"")</f>
        <v/>
      </c>
      <c r="AD407" s="1" t="str">
        <f>IFERROR(__xludf.DUMMYFUNCTION("""COMPUTED_VALUE"""),"")</f>
        <v/>
      </c>
      <c r="AE407" s="1" t="str">
        <f>IFERROR(__xludf.DUMMYFUNCTION("""COMPUTED_VALUE"""),"")</f>
        <v/>
      </c>
      <c r="AF407" s="1" t="str">
        <f>IFERROR(__xludf.DUMMYFUNCTION("""COMPUTED_VALUE"""),"")</f>
        <v/>
      </c>
      <c r="AG407" s="1" t="str">
        <f>IFERROR(__xludf.DUMMYFUNCTION("""COMPUTED_VALUE"""),"On hold due to 12-month moratorium. Being challenged")</f>
        <v>On hold due to 12-month moratorium. Being challenged</v>
      </c>
      <c r="AH407" s="1" t="str">
        <f>IFERROR(__xludf.DUMMYFUNCTION("""COMPUTED_VALUE"""),"Media Monitoring")</f>
        <v>Media Monitoring</v>
      </c>
      <c r="AI407" s="2" t="str">
        <f>IFERROR(__xludf.DUMMYFUNCTION("""COMPUTED_VALUE"""),"https://www.datacenterdynamics.com/en/news/data-center-moratorium-blocking-gigawatt-campus-challenged-in-cave-city-kentucky/")</f>
        <v>https://www.datacenterdynamics.com/en/news/data-center-moratorium-blocking-gigawatt-campus-challenged-in-cave-city-kentucky/</v>
      </c>
      <c r="AJ407" s="1" t="str">
        <f>IFERROR(__xludf.DUMMYFUNCTION("""COMPUTED_VALUE"""),"")</f>
        <v/>
      </c>
      <c r="AK407" s="1" t="str">
        <f>IFERROR(__xludf.DUMMYFUNCTION("""COMPUTED_VALUE"""),"")</f>
        <v/>
      </c>
      <c r="AL407" s="1" t="str">
        <f>IFERROR(__xludf.DUMMYFUNCTION("""COMPUTED_VALUE"""),"")</f>
        <v/>
      </c>
      <c r="AM407" s="1" t="str">
        <f>IFERROR(__xludf.DUMMYFUNCTION("""COMPUTED_VALUE"""),"")</f>
        <v/>
      </c>
      <c r="AN407" s="1" t="str">
        <f>IFERROR(__xludf.DUMMYFUNCTION("""COMPUTED_VALUE"""),"")</f>
        <v/>
      </c>
      <c r="AO407" s="1" t="str">
        <f>IFERROR(__xludf.DUMMYFUNCTION("""COMPUTED_VALUE"""),"")</f>
        <v/>
      </c>
      <c r="AP407" s="1" t="str">
        <f>IFERROR(__xludf.DUMMYFUNCTION("""COMPUTED_VALUE"""),"")</f>
        <v/>
      </c>
      <c r="AQ407" s="1" t="str">
        <f>IFERROR(__xludf.DUMMYFUNCTION("""COMPUTED_VALUE"""),"06/29/2026")</f>
        <v>06/29/2026</v>
      </c>
      <c r="AR407" s="1" t="str">
        <f>IFERROR(__xludf.DUMMYFUNCTION("""COMPUTED_VALUE"""),"06/29/2026")</f>
        <v>06/29/2026</v>
      </c>
    </row>
    <row r="408">
      <c r="A408" s="1" t="str">
        <f>IFERROR(__xludf.DUMMYFUNCTION("""COMPUTED_VALUE"""),"Ekron Data Center")</f>
        <v>Ekron Data Center</v>
      </c>
      <c r="B408" s="1" t="str">
        <f>IFERROR(__xludf.DUMMYFUNCTION("""COMPUTED_VALUE"""),"25025 Joe Prather Hwy")</f>
        <v>25025 Joe Prather Hwy</v>
      </c>
      <c r="C408" s="1" t="str">
        <f>IFERROR(__xludf.DUMMYFUNCTION("""COMPUTED_VALUE"""),"Ekron")</f>
        <v>Ekron</v>
      </c>
      <c r="D408" s="1" t="str">
        <f>IFERROR(__xludf.DUMMYFUNCTION("""COMPUTED_VALUE"""),"KY")</f>
        <v>KY</v>
      </c>
      <c r="E408" s="1" t="str">
        <f>IFERROR(__xludf.DUMMYFUNCTION("""COMPUTED_VALUE"""),"40117")</f>
        <v>40117</v>
      </c>
      <c r="F408" s="1" t="str">
        <f>IFERROR(__xludf.DUMMYFUNCTION("""COMPUTED_VALUE"""),"Meade")</f>
        <v>Meade</v>
      </c>
      <c r="G408" s="1" t="str">
        <f>IFERROR(__xludf.DUMMYFUNCTION("""COMPUTED_VALUE"""),"37.90755")</f>
        <v>37.90755</v>
      </c>
      <c r="H408" s="1" t="str">
        <f>IFERROR(__xludf.DUMMYFUNCTION("""COMPUTED_VALUE"""),"-86.10922")</f>
        <v>-86.10922</v>
      </c>
      <c r="I408" s="1" t="str">
        <f>IFERROR(__xludf.DUMMYFUNCTION("""COMPUTED_VALUE"""),"Cancelled")</f>
        <v>Cancelled</v>
      </c>
      <c r="J408" s="1" t="str">
        <f>IFERROR(__xludf.DUMMYFUNCTION("""COMPUTED_VALUE"""),"High")</f>
        <v>High</v>
      </c>
      <c r="K408" s="1" t="str">
        <f>IFERROR(__xludf.DUMMYFUNCTION("""COMPUTED_VALUE"""),"")</f>
        <v/>
      </c>
      <c r="L408" s="1" t="str">
        <f>IFERROR(__xludf.DUMMYFUNCTION("""COMPUTED_VALUE"""),"")</f>
        <v/>
      </c>
      <c r="M408" s="1" t="str">
        <f>IFERROR(__xludf.DUMMYFUNCTION("""COMPUTED_VALUE"""),"")</f>
        <v/>
      </c>
      <c r="N408" s="1" t="str">
        <f>IFERROR(__xludf.DUMMYFUNCTION("""COMPUTED_VALUE"""),"")</f>
        <v/>
      </c>
      <c r="O408" s="1" t="str">
        <f>IFERROR(__xludf.DUMMYFUNCTION("""COMPUTED_VALUE"""),"Unknown")</f>
        <v>Unknown</v>
      </c>
      <c r="P408" s="1" t="str">
        <f>IFERROR(__xludf.DUMMYFUNCTION("""COMPUTED_VALUE"""),"")</f>
        <v/>
      </c>
      <c r="Q408" s="1" t="str">
        <f>IFERROR(__xludf.DUMMYFUNCTION("""COMPUTED_VALUE"""),"")</f>
        <v/>
      </c>
      <c r="R408" s="1" t="str">
        <f>IFERROR(__xludf.DUMMYFUNCTION("""COMPUTED_VALUE"""),"")</f>
        <v/>
      </c>
      <c r="S408" s="1" t="str">
        <f>IFERROR(__xludf.DUMMYFUNCTION("""COMPUTED_VALUE"""),"")</f>
        <v/>
      </c>
      <c r="T408" s="1" t="str">
        <f>IFERROR(__xludf.DUMMYFUNCTION("""COMPUTED_VALUE"""),"")</f>
        <v/>
      </c>
      <c r="U408" s="1" t="str">
        <f>IFERROR(__xludf.DUMMYFUNCTION("""COMPUTED_VALUE"""),"")</f>
        <v/>
      </c>
      <c r="V408" s="1" t="str">
        <f>IFERROR(__xludf.DUMMYFUNCTION("""COMPUTED_VALUE"""),"")</f>
        <v/>
      </c>
      <c r="W408" s="1" t="str">
        <f>IFERROR(__xludf.DUMMYFUNCTION("""COMPUTED_VALUE"""),"138")</f>
        <v>138</v>
      </c>
      <c r="X408" s="1" t="str">
        <f>IFERROR(__xludf.DUMMYFUNCTION("""COMPUTED_VALUE"""),"")</f>
        <v/>
      </c>
      <c r="Y408" s="1" t="str">
        <f>IFERROR(__xludf.DUMMYFUNCTION("""COMPUTED_VALUE"""),"")</f>
        <v/>
      </c>
      <c r="Z408" s="1" t="str">
        <f>IFERROR(__xludf.DUMMYFUNCTION("""COMPUTED_VALUE"""),"Yes")</f>
        <v>Yes</v>
      </c>
      <c r="AA408" s="1" t="str">
        <f>IFERROR(__xludf.DUMMYFUNCTION("""COMPUTED_VALUE"""),"")</f>
        <v/>
      </c>
      <c r="AB408" s="1" t="str">
        <f>IFERROR(__xludf.DUMMYFUNCTION("""COMPUTED_VALUE"""),"")</f>
        <v/>
      </c>
      <c r="AC408" s="1" t="str">
        <f>IFERROR(__xludf.DUMMYFUNCTION("""COMPUTED_VALUE"""),"")</f>
        <v/>
      </c>
      <c r="AD408" s="1" t="str">
        <f>IFERROR(__xludf.DUMMYFUNCTION("""COMPUTED_VALUE"""),"")</f>
        <v/>
      </c>
      <c r="AE408" s="1" t="str">
        <f>IFERROR(__xludf.DUMMYFUNCTION("""COMPUTED_VALUE"""),"")</f>
        <v/>
      </c>
      <c r="AF408" s="2" t="str">
        <f>IFERROR(__xludf.DUMMYFUNCTION("""COMPUTED_VALUE"""),"https://www.change.org/p/stop-the-ai-data-center-construction-in-ekron-ky")</f>
        <v>https://www.change.org/p/stop-the-ai-data-center-construction-in-ekron-ky</v>
      </c>
      <c r="AG408" s="1" t="str">
        <f>IFERROR(__xludf.DUMMYFUNCTION("""COMPUTED_VALUE"""),"3000+ petition signatures")</f>
        <v>3000+ petition signatures</v>
      </c>
      <c r="AH408" s="1" t="str">
        <f>IFERROR(__xludf.DUMMYFUNCTION("""COMPUTED_VALUE"""),"Media Monitoring")</f>
        <v>Media Monitoring</v>
      </c>
      <c r="AI408" s="2" t="str">
        <f>IFERROR(__xludf.DUMMYFUNCTION("""COMPUTED_VALUE"""),"https://www.datacenterdynamics.com/en/news/officials-in-meade-county-kentucky-reject-data-center-rezoning-plan/")</f>
        <v>https://www.datacenterdynamics.com/en/news/officials-in-meade-county-kentucky-reject-data-center-rezoning-plan/</v>
      </c>
      <c r="AJ408" s="1" t="str">
        <f>IFERROR(__xludf.DUMMYFUNCTION("""COMPUTED_VALUE"""),"")</f>
        <v/>
      </c>
      <c r="AK408" s="1" t="str">
        <f>IFERROR(__xludf.DUMMYFUNCTION("""COMPUTED_VALUE"""),"")</f>
        <v/>
      </c>
      <c r="AL408" s="1" t="str">
        <f>IFERROR(__xludf.DUMMYFUNCTION("""COMPUTED_VALUE"""),"")</f>
        <v/>
      </c>
      <c r="AM408" s="1" t="str">
        <f>IFERROR(__xludf.DUMMYFUNCTION("""COMPUTED_VALUE"""),"")</f>
        <v/>
      </c>
      <c r="AN408" s="1" t="str">
        <f>IFERROR(__xludf.DUMMYFUNCTION("""COMPUTED_VALUE"""),"")</f>
        <v/>
      </c>
      <c r="AO408" s="1" t="str">
        <f>IFERROR(__xludf.DUMMYFUNCTION("""COMPUTED_VALUE"""),"")</f>
        <v/>
      </c>
      <c r="AP408" s="1" t="str">
        <f>IFERROR(__xludf.DUMMYFUNCTION("""COMPUTED_VALUE"""),"")</f>
        <v/>
      </c>
      <c r="AQ408" s="1" t="str">
        <f>IFERROR(__xludf.DUMMYFUNCTION("""COMPUTED_VALUE"""),"11/16/2025")</f>
        <v>11/16/2025</v>
      </c>
      <c r="AR408" s="1" t="str">
        <f>IFERROR(__xludf.DUMMYFUNCTION("""COMPUTED_VALUE"""),"11/16/2025")</f>
        <v>11/16/2025</v>
      </c>
    </row>
    <row r="409">
      <c r="A409" s="1" t="str">
        <f>IFERROR(__xludf.DUMMYFUNCTION("""COMPUTED_VALUE"""),"TenKey LandCo ")</f>
        <v>TenKey LandCo </v>
      </c>
      <c r="B409" s="1" t="str">
        <f>IFERROR(__xludf.DUMMYFUNCTION("""COMPUTED_VALUE"""),"Steele Rd, Gateway 65 Industrial Park")</f>
        <v>Steele Rd, Gateway 65 Industrial Park</v>
      </c>
      <c r="C409" s="1" t="str">
        <f>IFERROR(__xludf.DUMMYFUNCTION("""COMPUTED_VALUE"""),"Franklin")</f>
        <v>Franklin</v>
      </c>
      <c r="D409" s="1" t="str">
        <f>IFERROR(__xludf.DUMMYFUNCTION("""COMPUTED_VALUE"""),"KY")</f>
        <v>KY</v>
      </c>
      <c r="E409" s="1" t="str">
        <f>IFERROR(__xludf.DUMMYFUNCTION("""COMPUTED_VALUE"""),"24134")</f>
        <v>24134</v>
      </c>
      <c r="F409" s="1" t="str">
        <f>IFERROR(__xludf.DUMMYFUNCTION("""COMPUTED_VALUE"""),"Simpson")</f>
        <v>Simpson</v>
      </c>
      <c r="G409" s="1" t="str">
        <f>IFERROR(__xludf.DUMMYFUNCTION("""COMPUTED_VALUE"""),"36.66604")</f>
        <v>36.66604</v>
      </c>
      <c r="H409" s="1" t="str">
        <f>IFERROR(__xludf.DUMMYFUNCTION("""COMPUTED_VALUE"""),"-86.57219")</f>
        <v>-86.57219</v>
      </c>
      <c r="I409" s="1" t="str">
        <f>IFERROR(__xludf.DUMMYFUNCTION("""COMPUTED_VALUE"""),"Approved/Permitted/Under construction")</f>
        <v>Approved/Permitted/Under construction</v>
      </c>
      <c r="J409" s="1" t="str">
        <f>IFERROR(__xludf.DUMMYFUNCTION("""COMPUTED_VALUE"""),"Medium")</f>
        <v>Medium</v>
      </c>
      <c r="K409" s="1" t="str">
        <f>IFERROR(__xludf.DUMMYFUNCTION("""COMPUTED_VALUE"""),"")</f>
        <v/>
      </c>
      <c r="L409" s="1" t="str">
        <f>IFERROR(__xludf.DUMMYFUNCTION("""COMPUTED_VALUE"""),"")</f>
        <v/>
      </c>
      <c r="M409" s="1" t="str">
        <f>IFERROR(__xludf.DUMMYFUNCTION("""COMPUTED_VALUE"""),"")</f>
        <v/>
      </c>
      <c r="N409" s="1" t="str">
        <f>IFERROR(__xludf.DUMMYFUNCTION("""COMPUTED_VALUE"""),"")</f>
        <v/>
      </c>
      <c r="O409" s="1" t="str">
        <f>IFERROR(__xludf.DUMMYFUNCTION("""COMPUTED_VALUE"""),"Unknown")</f>
        <v>Unknown</v>
      </c>
      <c r="P409" s="1" t="str">
        <f>IFERROR(__xludf.DUMMYFUNCTION("""COMPUTED_VALUE"""),"")</f>
        <v/>
      </c>
      <c r="Q409" s="1" t="str">
        <f>IFERROR(__xludf.DUMMYFUNCTION("""COMPUTED_VALUE"""),"")</f>
        <v/>
      </c>
      <c r="R409" s="1" t="str">
        <f>IFERROR(__xludf.DUMMYFUNCTION("""COMPUTED_VALUE"""),"")</f>
        <v/>
      </c>
      <c r="S409" s="1" t="str">
        <f>IFERROR(__xludf.DUMMYFUNCTION("""COMPUTED_VALUE"""),"3")</f>
        <v>3</v>
      </c>
      <c r="T409" s="1" t="str">
        <f>IFERROR(__xludf.DUMMYFUNCTION("""COMPUTED_VALUE"""),"")</f>
        <v/>
      </c>
      <c r="U409" s="1" t="str">
        <f>IFERROR(__xludf.DUMMYFUNCTION("""COMPUTED_VALUE"""),"Closed loop")</f>
        <v>Closed loop</v>
      </c>
      <c r="V409" s="1" t="str">
        <f>IFERROR(__xludf.DUMMYFUNCTION("""COMPUTED_VALUE"""),"600,000")</f>
        <v>600,000</v>
      </c>
      <c r="W409" s="1" t="str">
        <f>IFERROR(__xludf.DUMMYFUNCTION("""COMPUTED_VALUE"""),"")</f>
        <v/>
      </c>
      <c r="X409" s="1" t="str">
        <f>IFERROR(__xludf.DUMMYFUNCTION("""COMPUTED_VALUE"""),"")</f>
        <v/>
      </c>
      <c r="Y409" s="1" t="str">
        <f>IFERROR(__xludf.DUMMYFUNCTION("""COMPUTED_VALUE"""),"")</f>
        <v/>
      </c>
      <c r="Z409" s="1" t="str">
        <f>IFERROR(__xludf.DUMMYFUNCTION("""COMPUTED_VALUE"""),"Yes")</f>
        <v>Yes</v>
      </c>
      <c r="AA409" s="1" t="str">
        <f>IFERROR(__xludf.DUMMYFUNCTION("""COMPUTED_VALUE"""),"")</f>
        <v/>
      </c>
      <c r="AB409" s="1" t="str">
        <f>IFERROR(__xludf.DUMMYFUNCTION("""COMPUTED_VALUE"""),"")</f>
        <v/>
      </c>
      <c r="AC409" s="1" t="str">
        <f>IFERROR(__xludf.DUMMYFUNCTION("""COMPUTED_VALUE"""),"")</f>
        <v/>
      </c>
      <c r="AD409" s="1" t="str">
        <f>IFERROR(__xludf.DUMMYFUNCTION("""COMPUTED_VALUE"""),"")</f>
        <v/>
      </c>
      <c r="AE409" s="1" t="str">
        <f>IFERROR(__xludf.DUMMYFUNCTION("""COMPUTED_VALUE"""),"")</f>
        <v/>
      </c>
      <c r="AF409" s="1" t="str">
        <f>IFERROR(__xludf.DUMMYFUNCTION("""COMPUTED_VALUE"""),"")</f>
        <v/>
      </c>
      <c r="AG409" s="1" t="str">
        <f>IFERROR(__xludf.DUMMYFUNCTION("""COMPUTED_VALUE"""),"")</f>
        <v/>
      </c>
      <c r="AH409" s="1" t="str">
        <f>IFERROR(__xludf.DUMMYFUNCTION("""COMPUTED_VALUE"""),"Media Monitoring")</f>
        <v>Media Monitoring</v>
      </c>
      <c r="AI409" s="2" t="str">
        <f>IFERROR(__xludf.DUMMYFUNCTION("""COMPUTED_VALUE"""),"https://www.datacenterdynamics.com/en/news/data-center-proposal-in-franklin-kentucky-gets-approval-from-planning-and-zoning-commission/")</f>
        <v>https://www.datacenterdynamics.com/en/news/data-center-proposal-in-franklin-kentucky-gets-approval-from-planning-and-zoning-commission/</v>
      </c>
      <c r="AJ409" s="2" t="str">
        <f>IFERROR(__xludf.DUMMYFUNCTION("""COMPUTED_VALUE"""),"https://tenkeydatacenter.com/")</f>
        <v>https://tenkeydatacenter.com/</v>
      </c>
      <c r="AK409" s="2" t="str">
        <f>IFERROR(__xludf.DUMMYFUNCTION("""COMPUTED_VALUE"""),"https://www.franklinfavorite.com/news/article_a847db4f-a029-58aa-baee-cb01774ca008.html")</f>
        <v>https://www.franklinfavorite.com/news/article_a847db4f-a029-58aa-baee-cb01774ca008.html</v>
      </c>
      <c r="AL409" s="1" t="str">
        <f>IFERROR(__xludf.DUMMYFUNCTION("""COMPUTED_VALUE"""),"")</f>
        <v/>
      </c>
      <c r="AM409" s="1" t="str">
        <f>IFERROR(__xludf.DUMMYFUNCTION("""COMPUTED_VALUE"""),"")</f>
        <v/>
      </c>
      <c r="AN409" s="1" t="str">
        <f>IFERROR(__xludf.DUMMYFUNCTION("""COMPUTED_VALUE"""),"")</f>
        <v/>
      </c>
      <c r="AO409" s="1" t="str">
        <f>IFERROR(__xludf.DUMMYFUNCTION("""COMPUTED_VALUE"""),"")</f>
        <v/>
      </c>
      <c r="AP409" s="1" t="str">
        <f>IFERROR(__xludf.DUMMYFUNCTION("""COMPUTED_VALUE"""),"")</f>
        <v/>
      </c>
      <c r="AQ409" s="1" t="str">
        <f>IFERROR(__xludf.DUMMYFUNCTION("""COMPUTED_VALUE"""),"03/14/2026")</f>
        <v>03/14/2026</v>
      </c>
      <c r="AR409" s="1" t="str">
        <f>IFERROR(__xludf.DUMMYFUNCTION("""COMPUTED_VALUE"""),"03/14/2026")</f>
        <v>03/14/2026</v>
      </c>
    </row>
    <row r="410">
      <c r="A410" s="1" t="str">
        <f>IFERROR(__xludf.DUMMYFUNCTION("""COMPUTED_VALUE"""),"Mercer County Data Center")</f>
        <v>Mercer County Data Center</v>
      </c>
      <c r="B410" s="1" t="str">
        <f>IFERROR(__xludf.DUMMYFUNCTION("""COMPUTED_VALUE"""),"Bailey Pike and Handy Pike")</f>
        <v>Bailey Pike and Handy Pike</v>
      </c>
      <c r="C410" s="1" t="str">
        <f>IFERROR(__xludf.DUMMYFUNCTION("""COMPUTED_VALUE"""),"Harrodsburg")</f>
        <v>Harrodsburg</v>
      </c>
      <c r="D410" s="1" t="str">
        <f>IFERROR(__xludf.DUMMYFUNCTION("""COMPUTED_VALUE"""),"KY")</f>
        <v>KY</v>
      </c>
      <c r="E410" s="1" t="str">
        <f>IFERROR(__xludf.DUMMYFUNCTION("""COMPUTED_VALUE"""),"40330")</f>
        <v>40330</v>
      </c>
      <c r="F410" s="1" t="str">
        <f>IFERROR(__xludf.DUMMYFUNCTION("""COMPUTED_VALUE"""),"Mercer")</f>
        <v>Mercer</v>
      </c>
      <c r="G410" s="1" t="str">
        <f>IFERROR(__xludf.DUMMYFUNCTION("""COMPUTED_VALUE"""),"37.769886")</f>
        <v>37.769886</v>
      </c>
      <c r="H410" s="1" t="str">
        <f>IFERROR(__xludf.DUMMYFUNCTION("""COMPUTED_VALUE"""),"-84.77884")</f>
        <v>-84.77884</v>
      </c>
      <c r="I410" s="1" t="str">
        <f>IFERROR(__xludf.DUMMYFUNCTION("""COMPUTED_VALUE"""),"Proposed")</f>
        <v>Proposed</v>
      </c>
      <c r="J410" s="1" t="str">
        <f>IFERROR(__xludf.DUMMYFUNCTION("""COMPUTED_VALUE"""),"High")</f>
        <v>High</v>
      </c>
      <c r="K410" s="1" t="str">
        <f>IFERROR(__xludf.DUMMYFUNCTION("""COMPUTED_VALUE"""),"")</f>
        <v/>
      </c>
      <c r="L410" s="1" t="str">
        <f>IFERROR(__xludf.DUMMYFUNCTION("""COMPUTED_VALUE"""),"Jones Lang Sallee (Gray Construction?)")</f>
        <v>Jones Lang Sallee (Gray Construction?)</v>
      </c>
      <c r="M410" s="1" t="str">
        <f>IFERROR(__xludf.DUMMYFUNCTION("""COMPUTED_VALUE"""),"")</f>
        <v/>
      </c>
      <c r="N410" s="1" t="str">
        <f>IFERROR(__xludf.DUMMYFUNCTION("""COMPUTED_VALUE"""),"645")</f>
        <v>645</v>
      </c>
      <c r="O410" s="1" t="str">
        <f>IFERROR(__xludf.DUMMYFUNCTION("""COMPUTED_VALUE"""),"Hyperscale (100-999 MW)")</f>
        <v>Hyperscale (100-999 MW)</v>
      </c>
      <c r="P410" s="1" t="str">
        <f>IFERROR(__xludf.DUMMYFUNCTION("""COMPUTED_VALUE"""),"Grid (unspecified mix)")</f>
        <v>Grid (unspecified mix)</v>
      </c>
      <c r="Q410" s="1" t="str">
        <f>IFERROR(__xludf.DUMMYFUNCTION("""COMPUTED_VALUE"""),"EW Brown Generation Station")</f>
        <v>EW Brown Generation Station</v>
      </c>
      <c r="R410" s="1" t="str">
        <f>IFERROR(__xludf.DUMMYFUNCTION("""COMPUTED_VALUE"""),"")</f>
        <v/>
      </c>
      <c r="S410" s="1" t="str">
        <f>IFERROR(__xludf.DUMMYFUNCTION("""COMPUTED_VALUE"""),"")</f>
        <v/>
      </c>
      <c r="T410" s="1" t="str">
        <f>IFERROR(__xludf.DUMMYFUNCTION("""COMPUTED_VALUE"""),"")</f>
        <v/>
      </c>
      <c r="U410" s="1" t="str">
        <f>IFERROR(__xludf.DUMMYFUNCTION("""COMPUTED_VALUE"""),"")</f>
        <v/>
      </c>
      <c r="V410" s="1" t="str">
        <f>IFERROR(__xludf.DUMMYFUNCTION("""COMPUTED_VALUE"""),"")</f>
        <v/>
      </c>
      <c r="W410" s="1" t="str">
        <f>IFERROR(__xludf.DUMMYFUNCTION("""COMPUTED_VALUE"""),"555")</f>
        <v>555</v>
      </c>
      <c r="X410" s="1" t="str">
        <f>IFERROR(__xludf.DUMMYFUNCTION("""COMPUTED_VALUE"""),"")</f>
        <v/>
      </c>
      <c r="Y410" s="1" t="str">
        <f>IFERROR(__xludf.DUMMYFUNCTION("""COMPUTED_VALUE"""),"2030")</f>
        <v>2030</v>
      </c>
      <c r="Z410" s="1" t="str">
        <f>IFERROR(__xludf.DUMMYFUNCTION("""COMPUTED_VALUE"""),"Yes")</f>
        <v>Yes</v>
      </c>
      <c r="AA410" s="1" t="str">
        <f>IFERROR(__xludf.DUMMYFUNCTION("""COMPUTED_VALUE"""),"")</f>
        <v/>
      </c>
      <c r="AB410" s="1" t="str">
        <f>IFERROR(__xludf.DUMMYFUNCTION("""COMPUTED_VALUE"""),"")</f>
        <v/>
      </c>
      <c r="AC410" s="1" t="str">
        <f>IFERROR(__xludf.DUMMYFUNCTION("""COMPUTED_VALUE"""),"")</f>
        <v/>
      </c>
      <c r="AD410" s="2" t="str">
        <f>IFERROR(__xludf.DUMMYFUNCTION("""COMPUTED_VALUE"""),"WeAreMercerCountyKY.org")</f>
        <v>WeAreMercerCountyKY.org</v>
      </c>
      <c r="AE410" s="1" t="str">
        <f>IFERROR(__xludf.DUMMYFUNCTION("""COMPUTED_VALUE"""),"")</f>
        <v/>
      </c>
      <c r="AF410" s="2" t="str">
        <f>IFERROR(__xludf.DUMMYFUNCTION("""COMPUTED_VALUE"""),"https://www.change.org/p/stop-the-construction-of-data-centers-in-rural-mercer-co-ky")</f>
        <v>https://www.change.org/p/stop-the-construction-of-data-centers-in-rural-mercer-co-ky</v>
      </c>
      <c r="AG410" s="1" t="str">
        <f>IFERROR(__xludf.DUMMYFUNCTION("""COMPUTED_VALUE"""),"")</f>
        <v/>
      </c>
      <c r="AH410" s="1" t="str">
        <f>IFERROR(__xludf.DUMMYFUNCTION("""COMPUTED_VALUE"""),"Crowdsourced")</f>
        <v>Crowdsourced</v>
      </c>
      <c r="AI410" s="2" t="str">
        <f>IFERROR(__xludf.DUMMYFUNCTION("""COMPUTED_VALUE"""),"https://www.yahoo.com/news/articles/mercer-county-residents-speak-proposed-115252446.html")</f>
        <v>https://www.yahoo.com/news/articles/mercer-county-residents-speak-proposed-115252446.html</v>
      </c>
      <c r="AJ410" s="2" t="str">
        <f>IFERROR(__xludf.DUMMYFUNCTION("""COMPUTED_VALUE"""),"https://fox56news.com/news/local/proposal-to-build-data-center-in-mercer-county-sparks-debate-among-community-members/")</f>
        <v>https://fox56news.com/news/local/proposal-to-build-data-center-in-mercer-county-sparks-debate-among-community-members/</v>
      </c>
      <c r="AK410" s="2" t="str">
        <f>IFERROR(__xludf.DUMMYFUNCTION("""COMPUTED_VALUE"""),"https://www.linkedin.com/posts/chicagodatacenterbroker_exciting-opportunity-in-mercer-county-kentucky-activity-7359582503759745025-9DPs")</f>
        <v>https://www.linkedin.com/posts/chicagodatacenterbroker_exciting-opportunity-in-mercer-county-kentucky-activity-7359582503759745025-9DPs</v>
      </c>
      <c r="AL410" s="2" t="str">
        <f>IFERROR(__xludf.DUMMYFUNCTION("""COMPUTED_VALUE"""),"https://spectrumnews1.com/ky/louisville/news/2026/02/22/mercer-county-residents-petition-against-data-center")</f>
        <v>https://spectrumnews1.com/ky/louisville/news/2026/02/22/mercer-county-residents-petition-against-data-center</v>
      </c>
      <c r="AM410" s="1" t="str">
        <f>IFERROR(__xludf.DUMMYFUNCTION("""COMPUTED_VALUE"""),"")</f>
        <v/>
      </c>
      <c r="AN410" s="1" t="str">
        <f>IFERROR(__xludf.DUMMYFUNCTION("""COMPUTED_VALUE"""),"")</f>
        <v/>
      </c>
      <c r="AO410" s="1" t="str">
        <f>IFERROR(__xludf.DUMMYFUNCTION("""COMPUTED_VALUE"""),"")</f>
        <v/>
      </c>
      <c r="AP410" s="1" t="str">
        <f>IFERROR(__xludf.DUMMYFUNCTION("""COMPUTED_VALUE"""),"")</f>
        <v/>
      </c>
      <c r="AQ410" s="1" t="str">
        <f>IFERROR(__xludf.DUMMYFUNCTION("""COMPUTED_VALUE"""),"02/25/2026")</f>
        <v>02/25/2026</v>
      </c>
      <c r="AR410" s="1" t="str">
        <f>IFERROR(__xludf.DUMMYFUNCTION("""COMPUTED_VALUE"""),"02/25/2026")</f>
        <v>02/25/2026</v>
      </c>
    </row>
    <row r="411">
      <c r="A411" s="1" t="str">
        <f>IFERROR(__xludf.DUMMYFUNCTION("""COMPUTED_VALUE"""),"TeraWulf Data Center")</f>
        <v>TeraWulf Data Center</v>
      </c>
      <c r="B411" s="1" t="str">
        <f>IFERROR(__xludf.DUMMYFUNCTION("""COMPUTED_VALUE"""),"1627 State Rte 3543")</f>
        <v>1627 State Rte 3543</v>
      </c>
      <c r="C411" s="1" t="str">
        <f>IFERROR(__xludf.DUMMYFUNCTION("""COMPUTED_VALUE"""),"Hawesville")</f>
        <v>Hawesville</v>
      </c>
      <c r="D411" s="1" t="str">
        <f>IFERROR(__xludf.DUMMYFUNCTION("""COMPUTED_VALUE"""),"KY")</f>
        <v>KY</v>
      </c>
      <c r="E411" s="1" t="str">
        <f>IFERROR(__xludf.DUMMYFUNCTION("""COMPUTED_VALUE"""),"42348")</f>
        <v>42348</v>
      </c>
      <c r="F411" s="1" t="str">
        <f>IFERROR(__xludf.DUMMYFUNCTION("""COMPUTED_VALUE"""),"Hancock")</f>
        <v>Hancock</v>
      </c>
      <c r="G411" s="1" t="str">
        <f>IFERROR(__xludf.DUMMYFUNCTION("""COMPUTED_VALUE"""),"37.941345")</f>
        <v>37.941345</v>
      </c>
      <c r="H411" s="1" t="str">
        <f>IFERROR(__xludf.DUMMYFUNCTION("""COMPUTED_VALUE"""),"-86.78807")</f>
        <v>-86.78807</v>
      </c>
      <c r="I411" s="1" t="str">
        <f>IFERROR(__xludf.DUMMYFUNCTION("""COMPUTED_VALUE"""),"Proposed")</f>
        <v>Proposed</v>
      </c>
      <c r="J411" s="1" t="str">
        <f>IFERROR(__xludf.DUMMYFUNCTION("""COMPUTED_VALUE"""),"High")</f>
        <v>High</v>
      </c>
      <c r="K411" s="1" t="str">
        <f>IFERROR(__xludf.DUMMYFUNCTION("""COMPUTED_VALUE"""),"")</f>
        <v/>
      </c>
      <c r="L411" s="1" t="str">
        <f>IFERROR(__xludf.DUMMYFUNCTION("""COMPUTED_VALUE"""),"TeraWulf")</f>
        <v>TeraWulf</v>
      </c>
      <c r="M411" s="1" t="str">
        <f>IFERROR(__xludf.DUMMYFUNCTION("""COMPUTED_VALUE"""),"Anthropic")</f>
        <v>Anthropic</v>
      </c>
      <c r="N411" s="1" t="str">
        <f>IFERROR(__xludf.DUMMYFUNCTION("""COMPUTED_VALUE"""),"480")</f>
        <v>480</v>
      </c>
      <c r="O411" s="1" t="str">
        <f>IFERROR(__xludf.DUMMYFUNCTION("""COMPUTED_VALUE"""),"Hyperscale (100-999 MW)")</f>
        <v>Hyperscale (100-999 MW)</v>
      </c>
      <c r="P411" s="1" t="str">
        <f>IFERROR(__xludf.DUMMYFUNCTION("""COMPUTED_VALUE"""),"Grid (unspecified mix)")</f>
        <v>Grid (unspecified mix)</v>
      </c>
      <c r="Q411" s="1" t="str">
        <f>IFERROR(__xludf.DUMMYFUNCTION("""COMPUTED_VALUE"""),"")</f>
        <v/>
      </c>
      <c r="R411" s="1" t="str">
        <f>IFERROR(__xludf.DUMMYFUNCTION("""COMPUTED_VALUE"""),"")</f>
        <v/>
      </c>
      <c r="S411" s="1" t="str">
        <f>IFERROR(__xludf.DUMMYFUNCTION("""COMPUTED_VALUE"""),"")</f>
        <v/>
      </c>
      <c r="T411" s="1" t="str">
        <f>IFERROR(__xludf.DUMMYFUNCTION("""COMPUTED_VALUE"""),"")</f>
        <v/>
      </c>
      <c r="U411" s="1" t="str">
        <f>IFERROR(__xludf.DUMMYFUNCTION("""COMPUTED_VALUE"""),"")</f>
        <v/>
      </c>
      <c r="V411" s="1" t="str">
        <f>IFERROR(__xludf.DUMMYFUNCTION("""COMPUTED_VALUE"""),"")</f>
        <v/>
      </c>
      <c r="W411" s="1" t="str">
        <f>IFERROR(__xludf.DUMMYFUNCTION("""COMPUTED_VALUE"""),"250")</f>
        <v>250</v>
      </c>
      <c r="X411" s="1" t="str">
        <f>IFERROR(__xludf.DUMMYFUNCTION("""COMPUTED_VALUE"""),"")</f>
        <v/>
      </c>
      <c r="Y411" s="1" t="str">
        <f>IFERROR(__xludf.DUMMYFUNCTION("""COMPUTED_VALUE"""),"")</f>
        <v/>
      </c>
      <c r="Z411" s="1" t="str">
        <f>IFERROR(__xludf.DUMMYFUNCTION("""COMPUTED_VALUE"""),"Unknown")</f>
        <v>Unknown</v>
      </c>
      <c r="AA411" s="1" t="str">
        <f>IFERROR(__xludf.DUMMYFUNCTION("""COMPUTED_VALUE"""),"")</f>
        <v/>
      </c>
      <c r="AB411" s="1" t="str">
        <f>IFERROR(__xludf.DUMMYFUNCTION("""COMPUTED_VALUE"""),"")</f>
        <v/>
      </c>
      <c r="AC411" s="1" t="str">
        <f>IFERROR(__xludf.DUMMYFUNCTION("""COMPUTED_VALUE"""),"")</f>
        <v/>
      </c>
      <c r="AD411" s="1" t="str">
        <f>IFERROR(__xludf.DUMMYFUNCTION("""COMPUTED_VALUE"""),"")</f>
        <v/>
      </c>
      <c r="AE411" s="1" t="str">
        <f>IFERROR(__xludf.DUMMYFUNCTION("""COMPUTED_VALUE"""),"")</f>
        <v/>
      </c>
      <c r="AF411" s="1" t="str">
        <f>IFERROR(__xludf.DUMMYFUNCTION("""COMPUTED_VALUE"""),"")</f>
        <v/>
      </c>
      <c r="AG411" s="1" t="str">
        <f>IFERROR(__xludf.DUMMYFUNCTION("""COMPUTED_VALUE"""),"")</f>
        <v/>
      </c>
      <c r="AH411" s="1" t="str">
        <f>IFERROR(__xludf.DUMMYFUNCTION("""COMPUTED_VALUE"""),"Media Monitoring")</f>
        <v>Media Monitoring</v>
      </c>
      <c r="AI411" s="2" t="str">
        <f>IFERROR(__xludf.DUMMYFUNCTION("""COMPUTED_VALUE"""),"https://investors.terawulf.com/news-events/press-releases/detail/129/terawulf-expands-digital-and-power-infrastructure-portfolio")</f>
        <v>https://investors.terawulf.com/news-events/press-releases/detail/129/terawulf-expands-digital-and-power-infrastructure-portfolio</v>
      </c>
      <c r="AJ411" s="2" t="str">
        <f>IFERROR(__xludf.DUMMYFUNCTION("""COMPUTED_VALUE"""),"https://seekingalpha.com/news/4545877-terawulf-to-develop-former-century-aluminum-plant-into-digital-infrastructure-campus")</f>
        <v>https://seekingalpha.com/news/4545877-terawulf-to-develop-former-century-aluminum-plant-into-digital-infrastructure-campus</v>
      </c>
      <c r="AK411" s="2" t="str">
        <f>IFERROR(__xludf.DUMMYFUNCTION("""COMPUTED_VALUE"""),"https://www.cnbc.com/2026/07/06/anthropic-terawulf-data-center-ai.html")</f>
        <v>https://www.cnbc.com/2026/07/06/anthropic-terawulf-data-center-ai.html</v>
      </c>
      <c r="AL411" s="1" t="str">
        <f>IFERROR(__xludf.DUMMYFUNCTION("""COMPUTED_VALUE"""),"")</f>
        <v/>
      </c>
      <c r="AM411" s="1" t="str">
        <f>IFERROR(__xludf.DUMMYFUNCTION("""COMPUTED_VALUE"""),"")</f>
        <v/>
      </c>
      <c r="AN411" s="1" t="str">
        <f>IFERROR(__xludf.DUMMYFUNCTION("""COMPUTED_VALUE"""),"")</f>
        <v/>
      </c>
      <c r="AO411" s="1" t="str">
        <f>IFERROR(__xludf.DUMMYFUNCTION("""COMPUTED_VALUE"""),"")</f>
        <v/>
      </c>
      <c r="AP411" s="1" t="str">
        <f>IFERROR(__xludf.DUMMYFUNCTION("""COMPUTED_VALUE"""),"")</f>
        <v/>
      </c>
      <c r="AQ411" s="1" t="str">
        <f>IFERROR(__xludf.DUMMYFUNCTION("""COMPUTED_VALUE"""),"02/03/2026")</f>
        <v>02/03/2026</v>
      </c>
      <c r="AR411" s="1" t="str">
        <f>IFERROR(__xludf.DUMMYFUNCTION("""COMPUTED_VALUE"""),"07/06/2026")</f>
        <v>07/06/2026</v>
      </c>
    </row>
    <row r="412">
      <c r="A412" s="1" t="str">
        <f>IFERROR(__xludf.DUMMYFUNCTION("""COMPUTED_VALUE"""),"Project Lincoln: OC Data Center ")</f>
        <v>Project Lincoln: OC Data Center </v>
      </c>
      <c r="B412" s="1" t="str">
        <f>IFERROR(__xludf.DUMMYFUNCTION("""COMPUTED_VALUE"""),"3557 KY-53")</f>
        <v>3557 KY-53</v>
      </c>
      <c r="C412" s="1" t="str">
        <f>IFERROR(__xludf.DUMMYFUNCTION("""COMPUTED_VALUE"""),"La Grange")</f>
        <v>La Grange</v>
      </c>
      <c r="D412" s="1" t="str">
        <f>IFERROR(__xludf.DUMMYFUNCTION("""COMPUTED_VALUE"""),"KY")</f>
        <v>KY</v>
      </c>
      <c r="E412" s="1" t="str">
        <f>IFERROR(__xludf.DUMMYFUNCTION("""COMPUTED_VALUE"""),"40031")</f>
        <v>40031</v>
      </c>
      <c r="F412" s="1" t="str">
        <f>IFERROR(__xludf.DUMMYFUNCTION("""COMPUTED_VALUE"""),"Oldham")</f>
        <v>Oldham</v>
      </c>
      <c r="G412" s="1" t="str">
        <f>IFERROR(__xludf.DUMMYFUNCTION("""COMPUTED_VALUE"""),"38.444557")</f>
        <v>38.444557</v>
      </c>
      <c r="H412" s="1" t="str">
        <f>IFERROR(__xludf.DUMMYFUNCTION("""COMPUTED_VALUE"""),"-85.397995")</f>
        <v>-85.397995</v>
      </c>
      <c r="I412" s="1" t="str">
        <f>IFERROR(__xludf.DUMMYFUNCTION("""COMPUTED_VALUE"""),"Cancelled")</f>
        <v>Cancelled</v>
      </c>
      <c r="J412" s="1" t="str">
        <f>IFERROR(__xludf.DUMMYFUNCTION("""COMPUTED_VALUE"""),"High")</f>
        <v>High</v>
      </c>
      <c r="K412" s="1" t="str">
        <f>IFERROR(__xludf.DUMMYFUNCTION("""COMPUTED_VALUE"""),"")</f>
        <v/>
      </c>
      <c r="L412" s="1" t="str">
        <f>IFERROR(__xludf.DUMMYFUNCTION("""COMPUTED_VALUE"""),"")</f>
        <v/>
      </c>
      <c r="M412" s="1" t="str">
        <f>IFERROR(__xludf.DUMMYFUNCTION("""COMPUTED_VALUE"""),"")</f>
        <v/>
      </c>
      <c r="N412" s="1" t="str">
        <f>IFERROR(__xludf.DUMMYFUNCTION("""COMPUTED_VALUE"""),"600")</f>
        <v>600</v>
      </c>
      <c r="O412" s="1" t="str">
        <f>IFERROR(__xludf.DUMMYFUNCTION("""COMPUTED_VALUE"""),"Hyperscale (100-999 MW)")</f>
        <v>Hyperscale (100-999 MW)</v>
      </c>
      <c r="P412" s="1" t="str">
        <f>IFERROR(__xludf.DUMMYFUNCTION("""COMPUTED_VALUE"""),"")</f>
        <v/>
      </c>
      <c r="Q412" s="1" t="str">
        <f>IFERROR(__xludf.DUMMYFUNCTION("""COMPUTED_VALUE"""),"")</f>
        <v/>
      </c>
      <c r="R412" s="1" t="str">
        <f>IFERROR(__xludf.DUMMYFUNCTION("""COMPUTED_VALUE"""),"")</f>
        <v/>
      </c>
      <c r="S412" s="1" t="str">
        <f>IFERROR(__xludf.DUMMYFUNCTION("""COMPUTED_VALUE"""),"")</f>
        <v/>
      </c>
      <c r="T412" s="1" t="str">
        <f>IFERROR(__xludf.DUMMYFUNCTION("""COMPUTED_VALUE"""),"")</f>
        <v/>
      </c>
      <c r="U412" s="1" t="str">
        <f>IFERROR(__xludf.DUMMYFUNCTION("""COMPUTED_VALUE"""),"")</f>
        <v/>
      </c>
      <c r="V412" s="1" t="str">
        <f>IFERROR(__xludf.DUMMYFUNCTION("""COMPUTED_VALUE"""),"")</f>
        <v/>
      </c>
      <c r="W412" s="1" t="str">
        <f>IFERROR(__xludf.DUMMYFUNCTION("""COMPUTED_VALUE"""),"267")</f>
        <v>267</v>
      </c>
      <c r="X412" s="1" t="str">
        <f>IFERROR(__xludf.DUMMYFUNCTION("""COMPUTED_VALUE"""),"$6 billion")</f>
        <v>$6 billion</v>
      </c>
      <c r="Y412" s="1" t="str">
        <f>IFERROR(__xludf.DUMMYFUNCTION("""COMPUTED_VALUE"""),"")</f>
        <v/>
      </c>
      <c r="Z412" s="1" t="str">
        <f>IFERROR(__xludf.DUMMYFUNCTION("""COMPUTED_VALUE"""),"Yes")</f>
        <v>Yes</v>
      </c>
      <c r="AA412" s="1" t="str">
        <f>IFERROR(__xludf.DUMMYFUNCTION("""COMPUTED_VALUE"""),"")</f>
        <v/>
      </c>
      <c r="AB412" s="1" t="str">
        <f>IFERROR(__xludf.DUMMYFUNCTION("""COMPUTED_VALUE"""),"")</f>
        <v/>
      </c>
      <c r="AC412" s="1" t="str">
        <f>IFERROR(__xludf.DUMMYFUNCTION("""COMPUTED_VALUE"""),"")</f>
        <v/>
      </c>
      <c r="AD412" s="2" t="str">
        <f>IFERROR(__xludf.DUMMYFUNCTION("""COMPUTED_VALUE"""),"https://www.weareoldhamcounty.com/")</f>
        <v>https://www.weareoldhamcounty.com/</v>
      </c>
      <c r="AE412" s="1" t="str">
        <f>IFERROR(__xludf.DUMMYFUNCTION("""COMPUTED_VALUE"""),"")</f>
        <v/>
      </c>
      <c r="AF412" s="1" t="str">
        <f>IFERROR(__xludf.DUMMYFUNCTION("""COMPUTED_VALUE"""),"")</f>
        <v/>
      </c>
      <c r="AG412" s="1" t="str">
        <f>IFERROR(__xludf.DUMMYFUNCTION("""COMPUTED_VALUE"""),"Reimagined as smaller site, slightly south")</f>
        <v>Reimagined as smaller site, slightly south</v>
      </c>
      <c r="AH412" s="1" t="str">
        <f>IFERROR(__xludf.DUMMYFUNCTION("""COMPUTED_VALUE"""),"Media Monitoring")</f>
        <v>Media Monitoring</v>
      </c>
      <c r="AI412" s="2" t="str">
        <f>IFERROR(__xludf.DUMMYFUNCTION("""COMPUTED_VALUE"""),"https://www.datacenterdynamics.com/en/news/kentuckys-oldham-county-passes-150-day-data-center-moratorium/")</f>
        <v>https://www.datacenterdynamics.com/en/news/kentuckys-oldham-county-passes-150-day-data-center-moratorium/</v>
      </c>
      <c r="AJ412" s="1" t="str">
        <f>IFERROR(__xludf.DUMMYFUNCTION("""COMPUTED_VALUE"""),"")</f>
        <v/>
      </c>
      <c r="AK412" s="1" t="str">
        <f>IFERROR(__xludf.DUMMYFUNCTION("""COMPUTED_VALUE"""),"")</f>
        <v/>
      </c>
      <c r="AL412" s="1" t="str">
        <f>IFERROR(__xludf.DUMMYFUNCTION("""COMPUTED_VALUE"""),"")</f>
        <v/>
      </c>
      <c r="AM412" s="1" t="str">
        <f>IFERROR(__xludf.DUMMYFUNCTION("""COMPUTED_VALUE"""),"")</f>
        <v/>
      </c>
      <c r="AN412" s="1" t="str">
        <f>IFERROR(__xludf.DUMMYFUNCTION("""COMPUTED_VALUE"""),"")</f>
        <v/>
      </c>
      <c r="AO412" s="1" t="str">
        <f>IFERROR(__xludf.DUMMYFUNCTION("""COMPUTED_VALUE"""),"")</f>
        <v/>
      </c>
      <c r="AP412" s="1" t="str">
        <f>IFERROR(__xludf.DUMMYFUNCTION("""COMPUTED_VALUE"""),"")</f>
        <v/>
      </c>
      <c r="AQ412" s="1" t="str">
        <f>IFERROR(__xludf.DUMMYFUNCTION("""COMPUTED_VALUE"""),"11/16/2025")</f>
        <v>11/16/2025</v>
      </c>
      <c r="AR412" s="1" t="str">
        <f>IFERROR(__xludf.DUMMYFUNCTION("""COMPUTED_VALUE"""),"11/16/2025")</f>
        <v>11/16/2025</v>
      </c>
    </row>
    <row r="413">
      <c r="A413" s="1" t="str">
        <f>IFERROR(__xludf.DUMMYFUNCTION("""COMPUTED_VALUE"""),"Project Lincoln: OC Data Center (second version)")</f>
        <v>Project Lincoln: OC Data Center (second version)</v>
      </c>
      <c r="B413" s="1" t="str">
        <f>IFERROR(__xludf.DUMMYFUNCTION("""COMPUTED_VALUE"""),"3210 D W. Griffith Ln")</f>
        <v>3210 D W. Griffith Ln</v>
      </c>
      <c r="C413" s="1" t="str">
        <f>IFERROR(__xludf.DUMMYFUNCTION("""COMPUTED_VALUE"""),"La Grange")</f>
        <v>La Grange</v>
      </c>
      <c r="D413" s="1" t="str">
        <f>IFERROR(__xludf.DUMMYFUNCTION("""COMPUTED_VALUE"""),"KY")</f>
        <v>KY</v>
      </c>
      <c r="E413" s="1" t="str">
        <f>IFERROR(__xludf.DUMMYFUNCTION("""COMPUTED_VALUE"""),"40031")</f>
        <v>40031</v>
      </c>
      <c r="F413" s="1" t="str">
        <f>IFERROR(__xludf.DUMMYFUNCTION("""COMPUTED_VALUE"""),"Oldham")</f>
        <v>Oldham</v>
      </c>
      <c r="G413" s="1" t="str">
        <f>IFERROR(__xludf.DUMMYFUNCTION("""COMPUTED_VALUE"""),"38.39444")</f>
        <v>38.39444</v>
      </c>
      <c r="H413" s="1" t="str">
        <f>IFERROR(__xludf.DUMMYFUNCTION("""COMPUTED_VALUE"""),"-85.4094")</f>
        <v>-85.4094</v>
      </c>
      <c r="I413" s="1" t="str">
        <f>IFERROR(__xludf.DUMMYFUNCTION("""COMPUTED_VALUE"""),"Proposed")</f>
        <v>Proposed</v>
      </c>
      <c r="J413" s="1" t="str">
        <f>IFERROR(__xludf.DUMMYFUNCTION("""COMPUTED_VALUE"""),"High")</f>
        <v>High</v>
      </c>
      <c r="K413" s="1" t="str">
        <f>IFERROR(__xludf.DUMMYFUNCTION("""COMPUTED_VALUE"""),"")</f>
        <v/>
      </c>
      <c r="L413" s="1" t="str">
        <f>IFERROR(__xludf.DUMMYFUNCTION("""COMPUTED_VALUE"""),"WHP")</f>
        <v>WHP</v>
      </c>
      <c r="M413" s="1" t="str">
        <f>IFERROR(__xludf.DUMMYFUNCTION("""COMPUTED_VALUE"""),"")</f>
        <v/>
      </c>
      <c r="N413" s="1" t="str">
        <f>IFERROR(__xludf.DUMMYFUNCTION("""COMPUTED_VALUE"""),"")</f>
        <v/>
      </c>
      <c r="O413" s="1" t="str">
        <f>IFERROR(__xludf.DUMMYFUNCTION("""COMPUTED_VALUE"""),"Hyperscale (100-999 MW)")</f>
        <v>Hyperscale (100-999 MW)</v>
      </c>
      <c r="P413" s="1" t="str">
        <f>IFERROR(__xludf.DUMMYFUNCTION("""COMPUTED_VALUE"""),"")</f>
        <v/>
      </c>
      <c r="Q413" s="1" t="str">
        <f>IFERROR(__xludf.DUMMYFUNCTION("""COMPUTED_VALUE"""),"")</f>
        <v/>
      </c>
      <c r="R413" s="1" t="str">
        <f>IFERROR(__xludf.DUMMYFUNCTION("""COMPUTED_VALUE"""),"")</f>
        <v/>
      </c>
      <c r="S413" s="1" t="str">
        <f>IFERROR(__xludf.DUMMYFUNCTION("""COMPUTED_VALUE"""),"")</f>
        <v/>
      </c>
      <c r="T413" s="1" t="str">
        <f>IFERROR(__xludf.DUMMYFUNCTION("""COMPUTED_VALUE"""),"")</f>
        <v/>
      </c>
      <c r="U413" s="1" t="str">
        <f>IFERROR(__xludf.DUMMYFUNCTION("""COMPUTED_VALUE"""),"")</f>
        <v/>
      </c>
      <c r="V413" s="1" t="str">
        <f>IFERROR(__xludf.DUMMYFUNCTION("""COMPUTED_VALUE"""),"2,500,000")</f>
        <v>2,500,000</v>
      </c>
      <c r="W413" s="1" t="str">
        <f>IFERROR(__xludf.DUMMYFUNCTION("""COMPUTED_VALUE"""),"")</f>
        <v/>
      </c>
      <c r="X413" s="1" t="str">
        <f>IFERROR(__xludf.DUMMYFUNCTION("""COMPUTED_VALUE"""),"$1.5 billion")</f>
        <v>$1.5 billion</v>
      </c>
      <c r="Y413" s="1" t="str">
        <f>IFERROR(__xludf.DUMMYFUNCTION("""COMPUTED_VALUE"""),"")</f>
        <v/>
      </c>
      <c r="Z413" s="1" t="str">
        <f>IFERROR(__xludf.DUMMYFUNCTION("""COMPUTED_VALUE"""),"Yes")</f>
        <v>Yes</v>
      </c>
      <c r="AA413" s="1" t="str">
        <f>IFERROR(__xludf.DUMMYFUNCTION("""COMPUTED_VALUE"""),"")</f>
        <v/>
      </c>
      <c r="AB413" s="1" t="str">
        <f>IFERROR(__xludf.DUMMYFUNCTION("""COMPUTED_VALUE"""),"")</f>
        <v/>
      </c>
      <c r="AC413" s="1" t="str">
        <f>IFERROR(__xludf.DUMMYFUNCTION("""COMPUTED_VALUE"""),"")</f>
        <v/>
      </c>
      <c r="AD413" s="1" t="str">
        <f>IFERROR(__xludf.DUMMYFUNCTION("""COMPUTED_VALUE"""),"")</f>
        <v/>
      </c>
      <c r="AE413" s="1" t="str">
        <f>IFERROR(__xludf.DUMMYFUNCTION("""COMPUTED_VALUE"""),"")</f>
        <v/>
      </c>
      <c r="AF413" s="1" t="str">
        <f>IFERROR(__xludf.DUMMYFUNCTION("""COMPUTED_VALUE"""),"")</f>
        <v/>
      </c>
      <c r="AG413" s="1" t="str">
        <f>IFERROR(__xludf.DUMMYFUNCTION("""COMPUTED_VALUE"""),"267 acres originally on Hwy 53, then at smaller site. Plans scrapped July 2025.")</f>
        <v>267 acres originally on Hwy 53, then at smaller site. Plans scrapped July 2025.</v>
      </c>
      <c r="AH413" s="1" t="str">
        <f>IFERROR(__xludf.DUMMYFUNCTION("""COMPUTED_VALUE"""),"Media Monitoring")</f>
        <v>Media Monitoring</v>
      </c>
      <c r="AI413" s="2" t="str">
        <f>IFERROR(__xludf.DUMMYFUNCTION("""COMPUTED_VALUE"""),"https://www.wlky.com/article/zoning-dispute-erupts-over-proposed-data-center-oldham-county/64844247")</f>
        <v>https://www.wlky.com/article/zoning-dispute-erupts-over-proposed-data-center-oldham-county/64844247</v>
      </c>
      <c r="AJ413" s="2" t="str">
        <f>IFERROR(__xludf.DUMMYFUNCTION("""COMPUTED_VALUE"""),"https://www.whas11.com/article/news/local/oldham-county-data-center-proposal-opposition/417-793370d3-51be-451a-847c-efcc84c2b48c")</f>
        <v>https://www.whas11.com/article/news/local/oldham-county-data-center-proposal-opposition/417-793370d3-51be-451a-847c-efcc84c2b48c</v>
      </c>
      <c r="AK413" s="2" t="str">
        <f>IFERROR(__xludf.DUMMYFUNCTION("""COMPUTED_VALUE"""),"https://www.whas11.com/article/money/business/sauerbeck-family-drive-in-relocate-oldham-county-data-center-kentucky/417-3b414238-07a3-4aa2-a181-b3d0a3fd003b")</f>
        <v>https://www.whas11.com/article/money/business/sauerbeck-family-drive-in-relocate-oldham-county-data-center-kentucky/417-3b414238-07a3-4aa2-a181-b3d0a3fd003b</v>
      </c>
      <c r="AL413" s="2" t="str">
        <f>IFERROR(__xludf.DUMMYFUNCTION("""COMPUTED_VALUE"""),"https://www.bizjournals.com/louisville/news/2025/07/03/whp-oldham-county-data-stalled.html")</f>
        <v>https://www.bizjournals.com/louisville/news/2025/07/03/whp-oldham-county-data-stalled.html</v>
      </c>
      <c r="AM413" s="2" t="str">
        <f>IFERROR(__xludf.DUMMYFUNCTION("""COMPUTED_VALUE"""),"https://www.datacenterdynamics.com/en/news/kentuckys-oldham-county-passes-150-day-data-center-moratorium/")</f>
        <v>https://www.datacenterdynamics.com/en/news/kentuckys-oldham-county-passes-150-day-data-center-moratorium/</v>
      </c>
      <c r="AN413" s="2" t="str">
        <f>IFERROR(__xludf.DUMMYFUNCTION("""COMPUTED_VALUE"""),"https://www.lpm.org/news/2025-06-03/oldham-county-data-center-switches-sites-reduces-size-amid-local-resistance")</f>
        <v>https://www.lpm.org/news/2025-06-03/oldham-county-data-center-switches-sites-reduces-size-amid-local-resistance</v>
      </c>
      <c r="AO413" s="1" t="str">
        <f>IFERROR(__xludf.DUMMYFUNCTION("""COMPUTED_VALUE"""),"")</f>
        <v/>
      </c>
      <c r="AP413" s="1" t="str">
        <f>IFERROR(__xludf.DUMMYFUNCTION("""COMPUTED_VALUE"""),"")</f>
        <v/>
      </c>
      <c r="AQ413" s="1" t="str">
        <f>IFERROR(__xludf.DUMMYFUNCTION("""COMPUTED_VALUE"""),"07/06/2025")</f>
        <v>07/06/2025</v>
      </c>
      <c r="AR413" s="1" t="str">
        <f>IFERROR(__xludf.DUMMYFUNCTION("""COMPUTED_VALUE"""),"11/19/2025")</f>
        <v>11/19/2025</v>
      </c>
    </row>
    <row r="414">
      <c r="A414" s="1" t="str">
        <f>IFERROR(__xludf.DUMMYFUNCTION("""COMPUTED_VALUE"""),"Lexington Data center")</f>
        <v>Lexington Data center</v>
      </c>
      <c r="B414" s="1" t="str">
        <f>IFERROR(__xludf.DUMMYFUNCTION("""COMPUTED_VALUE"""),"151 Martin Luther King Blvd")</f>
        <v>151 Martin Luther King Blvd</v>
      </c>
      <c r="C414" s="1" t="str">
        <f>IFERROR(__xludf.DUMMYFUNCTION("""COMPUTED_VALUE"""),"Lexington")</f>
        <v>Lexington</v>
      </c>
      <c r="D414" s="1" t="str">
        <f>IFERROR(__xludf.DUMMYFUNCTION("""COMPUTED_VALUE"""),"KY")</f>
        <v>KY</v>
      </c>
      <c r="E414" s="1" t="str">
        <f>IFERROR(__xludf.DUMMYFUNCTION("""COMPUTED_VALUE"""),"40508")</f>
        <v>40508</v>
      </c>
      <c r="F414" s="1" t="str">
        <f>IFERROR(__xludf.DUMMYFUNCTION("""COMPUTED_VALUE"""),"Fayette")</f>
        <v>Fayette</v>
      </c>
      <c r="G414" s="1" t="str">
        <f>IFERROR(__xludf.DUMMYFUNCTION("""COMPUTED_VALUE"""),"38.04255")</f>
        <v>38.04255</v>
      </c>
      <c r="H414" s="1" t="str">
        <f>IFERROR(__xludf.DUMMYFUNCTION("""COMPUTED_VALUE"""),"-84.4997")</f>
        <v>-84.4997</v>
      </c>
      <c r="I414" s="1" t="str">
        <f>IFERROR(__xludf.DUMMYFUNCTION("""COMPUTED_VALUE"""),"Operating")</f>
        <v>Operating</v>
      </c>
      <c r="J414" s="1" t="str">
        <f>IFERROR(__xludf.DUMMYFUNCTION("""COMPUTED_VALUE"""),"High")</f>
        <v>High</v>
      </c>
      <c r="K414" s="1" t="str">
        <f>IFERROR(__xludf.DUMMYFUNCTION("""COMPUTED_VALUE"""),"")</f>
        <v/>
      </c>
      <c r="L414" s="1" t="str">
        <f>IFERROR(__xludf.DUMMYFUNCTION("""COMPUTED_VALUE"""),"")</f>
        <v/>
      </c>
      <c r="M414" s="1" t="str">
        <f>IFERROR(__xludf.DUMMYFUNCTION("""COMPUTED_VALUE"""),"")</f>
        <v/>
      </c>
      <c r="N414" s="1" t="str">
        <f>IFERROR(__xludf.DUMMYFUNCTION("""COMPUTED_VALUE"""),"")</f>
        <v/>
      </c>
      <c r="O414" s="1" t="str">
        <f>IFERROR(__xludf.DUMMYFUNCTION("""COMPUTED_VALUE"""),"Unknown")</f>
        <v>Unknown</v>
      </c>
      <c r="P414" s="1" t="str">
        <f>IFERROR(__xludf.DUMMYFUNCTION("""COMPUTED_VALUE"""),"")</f>
        <v/>
      </c>
      <c r="Q414" s="1" t="str">
        <f>IFERROR(__xludf.DUMMYFUNCTION("""COMPUTED_VALUE"""),"")</f>
        <v/>
      </c>
      <c r="R414" s="1" t="str">
        <f>IFERROR(__xludf.DUMMYFUNCTION("""COMPUTED_VALUE"""),"")</f>
        <v/>
      </c>
      <c r="S414" s="1" t="str">
        <f>IFERROR(__xludf.DUMMYFUNCTION("""COMPUTED_VALUE"""),"")</f>
        <v/>
      </c>
      <c r="T414" s="1" t="str">
        <f>IFERROR(__xludf.DUMMYFUNCTION("""COMPUTED_VALUE"""),"")</f>
        <v/>
      </c>
      <c r="U414" s="1" t="str">
        <f>IFERROR(__xludf.DUMMYFUNCTION("""COMPUTED_VALUE"""),"")</f>
        <v/>
      </c>
      <c r="V414" s="1" t="str">
        <f>IFERROR(__xludf.DUMMYFUNCTION("""COMPUTED_VALUE"""),"108,912")</f>
        <v>108,912</v>
      </c>
      <c r="W414" s="1" t="str">
        <f>IFERROR(__xludf.DUMMYFUNCTION("""COMPUTED_VALUE"""),"")</f>
        <v/>
      </c>
      <c r="X414" s="1" t="str">
        <f>IFERROR(__xludf.DUMMYFUNCTION("""COMPUTED_VALUE"""),"")</f>
        <v/>
      </c>
      <c r="Y414" s="1" t="str">
        <f>IFERROR(__xludf.DUMMYFUNCTION("""COMPUTED_VALUE"""),"")</f>
        <v/>
      </c>
      <c r="Z414" s="1" t="str">
        <f>IFERROR(__xludf.DUMMYFUNCTION("""COMPUTED_VALUE"""),"Unknown")</f>
        <v>Unknown</v>
      </c>
      <c r="AA414" s="1" t="str">
        <f>IFERROR(__xludf.DUMMYFUNCTION("""COMPUTED_VALUE"""),"")</f>
        <v/>
      </c>
      <c r="AB414" s="1" t="str">
        <f>IFERROR(__xludf.DUMMYFUNCTION("""COMPUTED_VALUE"""),"")</f>
        <v/>
      </c>
      <c r="AC414" s="1" t="str">
        <f>IFERROR(__xludf.DUMMYFUNCTION("""COMPUTED_VALUE"""),"")</f>
        <v/>
      </c>
      <c r="AD414" s="1" t="str">
        <f>IFERROR(__xludf.DUMMYFUNCTION("""COMPUTED_VALUE"""),"")</f>
        <v/>
      </c>
      <c r="AE414" s="1" t="str">
        <f>IFERROR(__xludf.DUMMYFUNCTION("""COMPUTED_VALUE"""),"")</f>
        <v/>
      </c>
      <c r="AF414" s="1" t="str">
        <f>IFERROR(__xludf.DUMMYFUNCTION("""COMPUTED_VALUE"""),"")</f>
        <v/>
      </c>
      <c r="AG414" s="1" t="str">
        <f>IFERROR(__xludf.DUMMYFUNCTION("""COMPUTED_VALUE"""),"")</f>
        <v/>
      </c>
      <c r="AH414" s="1" t="str">
        <f>IFERROR(__xludf.DUMMYFUNCTION("""COMPUTED_VALUE"""),"Media Monitoring")</f>
        <v>Media Monitoring</v>
      </c>
      <c r="AI414" s="2" t="str">
        <f>IFERROR(__xludf.DUMMYFUNCTION("""COMPUTED_VALUE"""),"https://invest.jll.com/us/en/listings/special-purpose-facility/8-asset-switch-portfolio")</f>
        <v>https://invest.jll.com/us/en/listings/special-purpose-facility/8-asset-switch-portfolio</v>
      </c>
      <c r="AJ414" s="1" t="str">
        <f>IFERROR(__xludf.DUMMYFUNCTION("""COMPUTED_VALUE"""),"")</f>
        <v/>
      </c>
      <c r="AK414" s="1" t="str">
        <f>IFERROR(__xludf.DUMMYFUNCTION("""COMPUTED_VALUE"""),"")</f>
        <v/>
      </c>
      <c r="AL414" s="1" t="str">
        <f>IFERROR(__xludf.DUMMYFUNCTION("""COMPUTED_VALUE"""),"")</f>
        <v/>
      </c>
      <c r="AM414" s="1" t="str">
        <f>IFERROR(__xludf.DUMMYFUNCTION("""COMPUTED_VALUE"""),"")</f>
        <v/>
      </c>
      <c r="AN414" s="1" t="str">
        <f>IFERROR(__xludf.DUMMYFUNCTION("""COMPUTED_VALUE"""),"")</f>
        <v/>
      </c>
      <c r="AO414" s="1" t="str">
        <f>IFERROR(__xludf.DUMMYFUNCTION("""COMPUTED_VALUE"""),"")</f>
        <v/>
      </c>
      <c r="AP414" s="1" t="str">
        <f>IFERROR(__xludf.DUMMYFUNCTION("""COMPUTED_VALUE"""),"")</f>
        <v/>
      </c>
      <c r="AQ414" s="1" t="str">
        <f>IFERROR(__xludf.DUMMYFUNCTION("""COMPUTED_VALUE"""),"05/27/2025")</f>
        <v>05/27/2025</v>
      </c>
      <c r="AR414" s="1" t="str">
        <f>IFERROR(__xludf.DUMMYFUNCTION("""COMPUTED_VALUE"""),"03/24/2026")</f>
        <v>03/24/2026</v>
      </c>
    </row>
    <row r="415">
      <c r="A415" s="1" t="str">
        <f>IFERROR(__xludf.DUMMYFUNCTION("""COMPUTED_VALUE"""),"PowerHouse Data Centers")</f>
        <v>PowerHouse Data Centers</v>
      </c>
      <c r="B415" s="1" t="str">
        <f>IFERROR(__xludf.DUMMYFUNCTION("""COMPUTED_VALUE"""),"6001 Camp Ground Rd")</f>
        <v>6001 Camp Ground Rd</v>
      </c>
      <c r="C415" s="1" t="str">
        <f>IFERROR(__xludf.DUMMYFUNCTION("""COMPUTED_VALUE"""),"Louisville")</f>
        <v>Louisville</v>
      </c>
      <c r="D415" s="1" t="str">
        <f>IFERROR(__xludf.DUMMYFUNCTION("""COMPUTED_VALUE"""),"KY")</f>
        <v>KY</v>
      </c>
      <c r="E415" s="1" t="str">
        <f>IFERROR(__xludf.DUMMYFUNCTION("""COMPUTED_VALUE"""),"40216")</f>
        <v>40216</v>
      </c>
      <c r="F415" s="1" t="str">
        <f>IFERROR(__xludf.DUMMYFUNCTION("""COMPUTED_VALUE"""),"Jefferson")</f>
        <v>Jefferson</v>
      </c>
      <c r="G415" s="1" t="str">
        <f>IFERROR(__xludf.DUMMYFUNCTION("""COMPUTED_VALUE"""),"38.19817")</f>
        <v>38.19817</v>
      </c>
      <c r="H415" s="1" t="str">
        <f>IFERROR(__xludf.DUMMYFUNCTION("""COMPUTED_VALUE"""),"-85.8509")</f>
        <v>-85.8509</v>
      </c>
      <c r="I415" s="1" t="str">
        <f>IFERROR(__xludf.DUMMYFUNCTION("""COMPUTED_VALUE"""),"Approved/Permitted/Under construction")</f>
        <v>Approved/Permitted/Under construction</v>
      </c>
      <c r="J415" s="1" t="str">
        <f>IFERROR(__xludf.DUMMYFUNCTION("""COMPUTED_VALUE"""),"High")</f>
        <v>High</v>
      </c>
      <c r="K415" s="1" t="str">
        <f>IFERROR(__xludf.DUMMYFUNCTION("""COMPUTED_VALUE"""),"")</f>
        <v/>
      </c>
      <c r="L415" s="1" t="str">
        <f>IFERROR(__xludf.DUMMYFUNCTION("""COMPUTED_VALUE"""),"")</f>
        <v/>
      </c>
      <c r="M415" s="1" t="str">
        <f>IFERROR(__xludf.DUMMYFUNCTION("""COMPUTED_VALUE"""),"")</f>
        <v/>
      </c>
      <c r="N415" s="1" t="str">
        <f>IFERROR(__xludf.DUMMYFUNCTION("""COMPUTED_VALUE"""),"130")</f>
        <v>130</v>
      </c>
      <c r="O415" s="1" t="str">
        <f>IFERROR(__xludf.DUMMYFUNCTION("""COMPUTED_VALUE"""),"Hyperscale (100-999 MW)")</f>
        <v>Hyperscale (100-999 MW)</v>
      </c>
      <c r="P415" s="1" t="str">
        <f>IFERROR(__xludf.DUMMYFUNCTION("""COMPUTED_VALUE"""),"")</f>
        <v/>
      </c>
      <c r="Q415" s="1" t="str">
        <f>IFERROR(__xludf.DUMMYFUNCTION("""COMPUTED_VALUE"""),"")</f>
        <v/>
      </c>
      <c r="R415" s="1" t="str">
        <f>IFERROR(__xludf.DUMMYFUNCTION("""COMPUTED_VALUE"""),"")</f>
        <v/>
      </c>
      <c r="S415" s="1" t="str">
        <f>IFERROR(__xludf.DUMMYFUNCTION("""COMPUTED_VALUE"""),"7")</f>
        <v>7</v>
      </c>
      <c r="T415" s="1" t="str">
        <f>IFERROR(__xludf.DUMMYFUNCTION("""COMPUTED_VALUE"""),"")</f>
        <v/>
      </c>
      <c r="U415" s="1" t="str">
        <f>IFERROR(__xludf.DUMMYFUNCTION("""COMPUTED_VALUE"""),"")</f>
        <v/>
      </c>
      <c r="V415" s="1" t="str">
        <f>IFERROR(__xludf.DUMMYFUNCTION("""COMPUTED_VALUE"""),"1,800,000")</f>
        <v>1,800,000</v>
      </c>
      <c r="W415" s="1" t="str">
        <f>IFERROR(__xludf.DUMMYFUNCTION("""COMPUTED_VALUE"""),"150")</f>
        <v>150</v>
      </c>
      <c r="X415" s="1" t="str">
        <f>IFERROR(__xludf.DUMMYFUNCTION("""COMPUTED_VALUE"""),"$6 billion")</f>
        <v>$6 billion</v>
      </c>
      <c r="Y415" s="1" t="str">
        <f>IFERROR(__xludf.DUMMYFUNCTION("""COMPUTED_VALUE"""),"2026")</f>
        <v>2026</v>
      </c>
      <c r="Z415" s="1" t="str">
        <f>IFERROR(__xludf.DUMMYFUNCTION("""COMPUTED_VALUE"""),"Unknown")</f>
        <v>Unknown</v>
      </c>
      <c r="AA415" s="1" t="str">
        <f>IFERROR(__xludf.DUMMYFUNCTION("""COMPUTED_VALUE"""),"")</f>
        <v/>
      </c>
      <c r="AB415" s="1" t="str">
        <f>IFERROR(__xludf.DUMMYFUNCTION("""COMPUTED_VALUE"""),"")</f>
        <v/>
      </c>
      <c r="AC415" s="1" t="str">
        <f>IFERROR(__xludf.DUMMYFUNCTION("""COMPUTED_VALUE"""),"")</f>
        <v/>
      </c>
      <c r="AD415" s="1" t="str">
        <f>IFERROR(__xludf.DUMMYFUNCTION("""COMPUTED_VALUE"""),"")</f>
        <v/>
      </c>
      <c r="AE415" s="1" t="str">
        <f>IFERROR(__xludf.DUMMYFUNCTION("""COMPUTED_VALUE"""),"")</f>
        <v/>
      </c>
      <c r="AF415" s="1" t="str">
        <f>IFERROR(__xludf.DUMMYFUNCTION("""COMPUTED_VALUE"""),"")</f>
        <v/>
      </c>
      <c r="AG415" s="1" t="str">
        <f>IFERROR(__xludf.DUMMYFUNCTION("""COMPUTED_VALUE"""),"")</f>
        <v/>
      </c>
      <c r="AH415" s="1" t="str">
        <f>IFERROR(__xludf.DUMMYFUNCTION("""COMPUTED_VALUE"""),"Media Monitoring")</f>
        <v>Media Monitoring</v>
      </c>
      <c r="AI415" s="2" t="str">
        <f>IFERROR(__xludf.DUMMYFUNCTION("""COMPUTED_VALUE"""),"https://www.datacenterdynamics.com/en/news/powerhouse-plans-400mw-data-center-campus-in-louisville-kentucky/")</f>
        <v>https://www.datacenterdynamics.com/en/news/powerhouse-plans-400mw-data-center-campus-in-louisville-kentucky/</v>
      </c>
      <c r="AJ415" s="2" t="str">
        <f>IFERROR(__xludf.DUMMYFUNCTION("""COMPUTED_VALUE"""),"https://www.wdrb.com/in-depth/louisville-data-center-plan-advances-after-unanimous-vote/article_23d6a67c-2e0c-4b28-88d5-75aec98cd1ff.html")</f>
        <v>https://www.wdrb.com/in-depth/louisville-data-center-plan-advances-after-unanimous-vote/article_23d6a67c-2e0c-4b28-88d5-75aec98cd1ff.html</v>
      </c>
      <c r="AK415" s="2" t="str">
        <f>IFERROR(__xludf.DUMMYFUNCTION("""COMPUTED_VALUE"""),"https://www.datacenterdynamics.com/en/news/planning-commission-recommends-approval-for-16m-sq-ft-planned-data-center-in-louisville-kentucky/")</f>
        <v>https://www.datacenterdynamics.com/en/news/planning-commission-recommends-approval-for-16m-sq-ft-planned-data-center-in-louisville-kentucky/</v>
      </c>
      <c r="AL415" s="1" t="str">
        <f>IFERROR(__xludf.DUMMYFUNCTION("""COMPUTED_VALUE"""),"")</f>
        <v/>
      </c>
      <c r="AM415" s="1" t="str">
        <f>IFERROR(__xludf.DUMMYFUNCTION("""COMPUTED_VALUE"""),"")</f>
        <v/>
      </c>
      <c r="AN415" s="1" t="str">
        <f>IFERROR(__xludf.DUMMYFUNCTION("""COMPUTED_VALUE"""),"")</f>
        <v/>
      </c>
      <c r="AO415" s="1" t="str">
        <f>IFERROR(__xludf.DUMMYFUNCTION("""COMPUTED_VALUE"""),"")</f>
        <v/>
      </c>
      <c r="AP415" s="1" t="str">
        <f>IFERROR(__xludf.DUMMYFUNCTION("""COMPUTED_VALUE"""),"")</f>
        <v/>
      </c>
      <c r="AQ415" s="1" t="str">
        <f>IFERROR(__xludf.DUMMYFUNCTION("""COMPUTED_VALUE"""),"06/20/2025")</f>
        <v>06/20/2025</v>
      </c>
      <c r="AR415" s="1" t="str">
        <f>IFERROR(__xludf.DUMMYFUNCTION("""COMPUTED_VALUE"""),"03/13/2026")</f>
        <v>03/13/2026</v>
      </c>
    </row>
    <row r="416">
      <c r="A416" s="1" t="str">
        <f>IFERROR(__xludf.DUMMYFUNCTION("""COMPUTED_VALUE"""),"Steve Poe's Campground ")</f>
        <v>Steve Poe's Campground </v>
      </c>
      <c r="B416" s="1" t="str">
        <f>IFERROR(__xludf.DUMMYFUNCTION("""COMPUTED_VALUE"""),"6001 Camp Ground Rd")</f>
        <v>6001 Camp Ground Rd</v>
      </c>
      <c r="C416" s="1" t="str">
        <f>IFERROR(__xludf.DUMMYFUNCTION("""COMPUTED_VALUE"""),"Louisville")</f>
        <v>Louisville</v>
      </c>
      <c r="D416" s="1" t="str">
        <f>IFERROR(__xludf.DUMMYFUNCTION("""COMPUTED_VALUE"""),"KY")</f>
        <v>KY</v>
      </c>
      <c r="E416" s="1" t="str">
        <f>IFERROR(__xludf.DUMMYFUNCTION("""COMPUTED_VALUE"""),"40216")</f>
        <v>40216</v>
      </c>
      <c r="F416" s="1" t="str">
        <f>IFERROR(__xludf.DUMMYFUNCTION("""COMPUTED_VALUE"""),"Jefferson")</f>
        <v>Jefferson</v>
      </c>
      <c r="G416" s="1" t="str">
        <f>IFERROR(__xludf.DUMMYFUNCTION("""COMPUTED_VALUE"""),"38.196014")</f>
        <v>38.196014</v>
      </c>
      <c r="H416" s="1" t="str">
        <f>IFERROR(__xludf.DUMMYFUNCTION("""COMPUTED_VALUE"""),"-85.859985")</f>
        <v>-85.859985</v>
      </c>
      <c r="I416" s="1" t="str">
        <f>IFERROR(__xludf.DUMMYFUNCTION("""COMPUTED_VALUE"""),"Approved/Permitted/Under construction")</f>
        <v>Approved/Permitted/Under construction</v>
      </c>
      <c r="J416" s="1" t="str">
        <f>IFERROR(__xludf.DUMMYFUNCTION("""COMPUTED_VALUE"""),"High")</f>
        <v>High</v>
      </c>
      <c r="K416" s="1" t="str">
        <f>IFERROR(__xludf.DUMMYFUNCTION("""COMPUTED_VALUE"""),"")</f>
        <v/>
      </c>
      <c r="L416" s="1" t="str">
        <f>IFERROR(__xludf.DUMMYFUNCTION("""COMPUTED_VALUE"""),"PowerHouse Data Centers")</f>
        <v>PowerHouse Data Centers</v>
      </c>
      <c r="M416" s="1" t="str">
        <f>IFERROR(__xludf.DUMMYFUNCTION("""COMPUTED_VALUE"""),"")</f>
        <v/>
      </c>
      <c r="N416" s="1" t="str">
        <f>IFERROR(__xludf.DUMMYFUNCTION("""COMPUTED_VALUE"""),"400")</f>
        <v>400</v>
      </c>
      <c r="O416" s="1" t="str">
        <f>IFERROR(__xludf.DUMMYFUNCTION("""COMPUTED_VALUE"""),"Hyperscale (100-999 MW)")</f>
        <v>Hyperscale (100-999 MW)</v>
      </c>
      <c r="P416" s="1" t="str">
        <f>IFERROR(__xludf.DUMMYFUNCTION("""COMPUTED_VALUE"""),"Grid (unspecified mix)")</f>
        <v>Grid (unspecified mix)</v>
      </c>
      <c r="Q416" s="1" t="str">
        <f>IFERROR(__xludf.DUMMYFUNCTION("""COMPUTED_VALUE"""),"")</f>
        <v/>
      </c>
      <c r="R416" s="1" t="str">
        <f>IFERROR(__xludf.DUMMYFUNCTION("""COMPUTED_VALUE"""),"")</f>
        <v/>
      </c>
      <c r="S416" s="1" t="str">
        <f>IFERROR(__xludf.DUMMYFUNCTION("""COMPUTED_VALUE"""),"")</f>
        <v/>
      </c>
      <c r="T416" s="1" t="str">
        <f>IFERROR(__xludf.DUMMYFUNCTION("""COMPUTED_VALUE"""),"")</f>
        <v/>
      </c>
      <c r="U416" s="1" t="str">
        <f>IFERROR(__xludf.DUMMYFUNCTION("""COMPUTED_VALUE"""),"")</f>
        <v/>
      </c>
      <c r="V416" s="1" t="str">
        <f>IFERROR(__xludf.DUMMYFUNCTION("""COMPUTED_VALUE"""),"1,600,000")</f>
        <v>1,600,000</v>
      </c>
      <c r="W416" s="1" t="str">
        <f>IFERROR(__xludf.DUMMYFUNCTION("""COMPUTED_VALUE"""),"150")</f>
        <v>150</v>
      </c>
      <c r="X416" s="1" t="str">
        <f>IFERROR(__xludf.DUMMYFUNCTION("""COMPUTED_VALUE"""),"")</f>
        <v/>
      </c>
      <c r="Y416" s="1" t="str">
        <f>IFERROR(__xludf.DUMMYFUNCTION("""COMPUTED_VALUE"""),"2026")</f>
        <v>2026</v>
      </c>
      <c r="Z416" s="1" t="str">
        <f>IFERROR(__xludf.DUMMYFUNCTION("""COMPUTED_VALUE"""),"Yes")</f>
        <v>Yes</v>
      </c>
      <c r="AA416" s="1" t="str">
        <f>IFERROR(__xludf.DUMMYFUNCTION("""COMPUTED_VALUE"""),"")</f>
        <v/>
      </c>
      <c r="AB416" s="1" t="str">
        <f>IFERROR(__xludf.DUMMYFUNCTION("""COMPUTED_VALUE"""),"Organized Advocacy")</f>
        <v>Organized Advocacy</v>
      </c>
      <c r="AC416" s="1" t="str">
        <f>IFERROR(__xludf.DUMMYFUNCTION("""COMPUTED_VALUE"""),"")</f>
        <v/>
      </c>
      <c r="AD416" s="1" t="str">
        <f>IFERROR(__xludf.DUMMYFUNCTION("""COMPUTED_VALUE"""),"No Data Center 502")</f>
        <v>No Data Center 502</v>
      </c>
      <c r="AE416" s="1" t="str">
        <f>IFERROR(__xludf.DUMMYFUNCTION("""COMPUTED_VALUE"""),"")</f>
        <v/>
      </c>
      <c r="AF416" s="1" t="str">
        <f>IFERROR(__xludf.DUMMYFUNCTION("""COMPUTED_VALUE"""),"")</f>
        <v/>
      </c>
      <c r="AG416" s="1" t="str">
        <f>IFERROR(__xludf.DUMMYFUNCTION("""COMPUTED_VALUE"""),"")</f>
        <v/>
      </c>
      <c r="AH416" s="1" t="str">
        <f>IFERROR(__xludf.DUMMYFUNCTION("""COMPUTED_VALUE"""),"Crowdsourced")</f>
        <v>Crowdsourced</v>
      </c>
      <c r="AI416" s="2" t="str">
        <f>IFERROR(__xludf.DUMMYFUNCTION("""COMPUTED_VALUE"""),"https://www.americanrepartners.com/news/lets-go-build-some-data-centers-powerhouse-drives-hyperscale-and-ai-infrastructure-across-north-america")</f>
        <v>https://www.americanrepartners.com/news/lets-go-build-some-data-centers-powerhouse-drives-hyperscale-and-ai-infrastructure-across-north-america</v>
      </c>
      <c r="AJ416" s="2" t="str">
        <f>IFERROR(__xludf.DUMMYFUNCTION("""COMPUTED_VALUE"""),"https://www.powerhousedata.com/news/developers-unveil-plans-for-large-tech-data-center-in-louisville")</f>
        <v>https://www.powerhousedata.com/news/developers-unveil-plans-for-large-tech-data-center-in-louisville</v>
      </c>
      <c r="AK416" s="2" t="str">
        <f>IFERROR(__xludf.DUMMYFUNCTION("""COMPUTED_VALUE"""),"https://www.lpm.org/news/2026-03-05/west-louisville-data-center-approved-despite-opposition")</f>
        <v>https://www.lpm.org/news/2026-03-05/west-louisville-data-center-approved-despite-opposition</v>
      </c>
      <c r="AL416" s="1" t="str">
        <f>IFERROR(__xludf.DUMMYFUNCTION("""COMPUTED_VALUE"""),"")</f>
        <v/>
      </c>
      <c r="AM416" s="1" t="str">
        <f>IFERROR(__xludf.DUMMYFUNCTION("""COMPUTED_VALUE"""),"")</f>
        <v/>
      </c>
      <c r="AN416" s="1" t="str">
        <f>IFERROR(__xludf.DUMMYFUNCTION("""COMPUTED_VALUE"""),"")</f>
        <v/>
      </c>
      <c r="AO416" s="1" t="str">
        <f>IFERROR(__xludf.DUMMYFUNCTION("""COMPUTED_VALUE"""),"")</f>
        <v/>
      </c>
      <c r="AP416" s="1" t="str">
        <f>IFERROR(__xludf.DUMMYFUNCTION("""COMPUTED_VALUE"""),"")</f>
        <v/>
      </c>
      <c r="AQ416" s="1" t="str">
        <f>IFERROR(__xludf.DUMMYFUNCTION("""COMPUTED_VALUE"""),"04/21/2026")</f>
        <v>04/21/2026</v>
      </c>
      <c r="AR416" s="1" t="str">
        <f>IFERROR(__xludf.DUMMYFUNCTION("""COMPUTED_VALUE"""),"04/21/2026")</f>
        <v>04/21/2026</v>
      </c>
    </row>
    <row r="417">
      <c r="A417" s="1" t="str">
        <f>IFERROR(__xludf.DUMMYFUNCTION("""COMPUTED_VALUE"""),"Fortune 500 ")</f>
        <v>Fortune 500 </v>
      </c>
      <c r="B417" s="1" t="str">
        <f>IFERROR(__xludf.DUMMYFUNCTION("""COMPUTED_VALUE"""),"Big Pond Rd, Valley Pike, Germantown Rd")</f>
        <v>Big Pond Rd, Valley Pike, Germantown Rd</v>
      </c>
      <c r="C417" s="1" t="str">
        <f>IFERROR(__xludf.DUMMYFUNCTION("""COMPUTED_VALUE"""),"Maysville")</f>
        <v>Maysville</v>
      </c>
      <c r="D417" s="1" t="str">
        <f>IFERROR(__xludf.DUMMYFUNCTION("""COMPUTED_VALUE"""),"KY")</f>
        <v>KY</v>
      </c>
      <c r="E417" s="1" t="str">
        <f>IFERROR(__xludf.DUMMYFUNCTION("""COMPUTED_VALUE"""),"41056")</f>
        <v>41056</v>
      </c>
      <c r="F417" s="1" t="str">
        <f>IFERROR(__xludf.DUMMYFUNCTION("""COMPUTED_VALUE"""),"Mason")</f>
        <v>Mason</v>
      </c>
      <c r="G417" s="1" t="str">
        <f>IFERROR(__xludf.DUMMYFUNCTION("""COMPUTED_VALUE"""),"38.663574")</f>
        <v>38.663574</v>
      </c>
      <c r="H417" s="1" t="str">
        <f>IFERROR(__xludf.DUMMYFUNCTION("""COMPUTED_VALUE"""),"-83.86959")</f>
        <v>-83.86959</v>
      </c>
      <c r="I417" s="1" t="str">
        <f>IFERROR(__xludf.DUMMYFUNCTION("""COMPUTED_VALUE"""),"Proposed")</f>
        <v>Proposed</v>
      </c>
      <c r="J417" s="1" t="str">
        <f>IFERROR(__xludf.DUMMYFUNCTION("""COMPUTED_VALUE"""),"High")</f>
        <v>High</v>
      </c>
      <c r="K417" s="1" t="str">
        <f>IFERROR(__xludf.DUMMYFUNCTION("""COMPUTED_VALUE"""),"")</f>
        <v/>
      </c>
      <c r="L417" s="1" t="str">
        <f>IFERROR(__xludf.DUMMYFUNCTION("""COMPUTED_VALUE"""),"")</f>
        <v/>
      </c>
      <c r="M417" s="1" t="str">
        <f>IFERROR(__xludf.DUMMYFUNCTION("""COMPUTED_VALUE"""),"")</f>
        <v/>
      </c>
      <c r="N417" s="1" t="str">
        <f>IFERROR(__xludf.DUMMYFUNCTION("""COMPUTED_VALUE"""),"400")</f>
        <v>400</v>
      </c>
      <c r="O417" s="1" t="str">
        <f>IFERROR(__xludf.DUMMYFUNCTION("""COMPUTED_VALUE"""),"Hyperscale (100-999 MW)")</f>
        <v>Hyperscale (100-999 MW)</v>
      </c>
      <c r="P417" s="1" t="str">
        <f>IFERROR(__xludf.DUMMYFUNCTION("""COMPUTED_VALUE"""),"")</f>
        <v/>
      </c>
      <c r="Q417" s="1" t="str">
        <f>IFERROR(__xludf.DUMMYFUNCTION("""COMPUTED_VALUE"""),"")</f>
        <v/>
      </c>
      <c r="R417" s="1" t="str">
        <f>IFERROR(__xludf.DUMMYFUNCTION("""COMPUTED_VALUE"""),"")</f>
        <v/>
      </c>
      <c r="S417" s="1" t="str">
        <f>IFERROR(__xludf.DUMMYFUNCTION("""COMPUTED_VALUE"""),"6")</f>
        <v>6</v>
      </c>
      <c r="T417" s="1" t="str">
        <f>IFERROR(__xludf.DUMMYFUNCTION("""COMPUTED_VALUE"""),"")</f>
        <v/>
      </c>
      <c r="U417" s="1" t="str">
        <f>IFERROR(__xludf.DUMMYFUNCTION("""COMPUTED_VALUE"""),"")</f>
        <v/>
      </c>
      <c r="V417" s="1" t="str">
        <f>IFERROR(__xludf.DUMMYFUNCTION("""COMPUTED_VALUE"""),"")</f>
        <v/>
      </c>
      <c r="W417" s="1" t="str">
        <f>IFERROR(__xludf.DUMMYFUNCTION("""COMPUTED_VALUE"""),"2000")</f>
        <v>2000</v>
      </c>
      <c r="X417" s="1" t="str">
        <f>IFERROR(__xludf.DUMMYFUNCTION("""COMPUTED_VALUE"""),"")</f>
        <v/>
      </c>
      <c r="Y417" s="1" t="str">
        <f>IFERROR(__xludf.DUMMYFUNCTION("""COMPUTED_VALUE"""),"")</f>
        <v/>
      </c>
      <c r="Z417" s="1" t="str">
        <f>IFERROR(__xludf.DUMMYFUNCTION("""COMPUTED_VALUE"""),"Unknown")</f>
        <v>Unknown</v>
      </c>
      <c r="AA417" s="1" t="str">
        <f>IFERROR(__xludf.DUMMYFUNCTION("""COMPUTED_VALUE"""),"")</f>
        <v/>
      </c>
      <c r="AB417" s="1" t="str">
        <f>IFERROR(__xludf.DUMMYFUNCTION("""COMPUTED_VALUE"""),"")</f>
        <v/>
      </c>
      <c r="AC417" s="1" t="str">
        <f>IFERROR(__xludf.DUMMYFUNCTION("""COMPUTED_VALUE"""),"")</f>
        <v/>
      </c>
      <c r="AD417" s="1" t="str">
        <f>IFERROR(__xludf.DUMMYFUNCTION("""COMPUTED_VALUE"""),"")</f>
        <v/>
      </c>
      <c r="AE417" s="1" t="str">
        <f>IFERROR(__xludf.DUMMYFUNCTION("""COMPUTED_VALUE"""),"")</f>
        <v/>
      </c>
      <c r="AF417" s="1" t="str">
        <f>IFERROR(__xludf.DUMMYFUNCTION("""COMPUTED_VALUE"""),"")</f>
        <v/>
      </c>
      <c r="AG417" s="1" t="str">
        <f>IFERROR(__xludf.DUMMYFUNCTION("""COMPUTED_VALUE"""),"")</f>
        <v/>
      </c>
      <c r="AH417" s="1" t="str">
        <f>IFERROR(__xludf.DUMMYFUNCTION("""COMPUTED_VALUE"""),"Media Monitoring")</f>
        <v>Media Monitoring</v>
      </c>
      <c r="AI417" s="2" t="str">
        <f>IFERROR(__xludf.DUMMYFUNCTION("""COMPUTED_VALUE"""),"https://local12.com/news/local/nky-officials-hear-plan-2000-acre-hyperscale-data-center-complex-tech-technology-special-meeting-maysville-kentucky-fortune-50-company-contracts-property-owners-selling-land-rights-job-jobs-cost-consturction-renderings-nda-c"&amp;"orporations")</f>
        <v>https://local12.com/news/local/nky-officials-hear-plan-2000-acre-hyperscale-data-center-complex-tech-technology-special-meeting-maysville-kentucky-fortune-50-company-contracts-property-owners-selling-land-rights-job-jobs-cost-consturction-renderings-nda-corporations</v>
      </c>
      <c r="AJ417" s="2" t="str">
        <f>IFERROR(__xludf.DUMMYFUNCTION("""COMPUTED_VALUE"""),"https://www.cityofmaysvilleky.gov/departments/codes_department/data_center.php")</f>
        <v>https://www.cityofmaysvilleky.gov/departments/codes_department/data_center.php</v>
      </c>
      <c r="AK417" s="2" t="str">
        <f>IFERROR(__xludf.DUMMYFUNCTION("""COMPUTED_VALUE"""),"https://cms5.revize.com/revize/maysville/Document%20Center/Forms/New%20node/Planning%20&amp;%20Zoning/Mason%20County%20Data%20Center%20Site%20Maps.pdf?t=202603161623080&amp;t=202603161623080")</f>
        <v>https://cms5.revize.com/revize/maysville/Document%20Center/Forms/New%20node/Planning%20&amp;%20Zoning/Mason%20County%20Data%20Center%20Site%20Maps.pdf?t=202603161623080&amp;t=202603161623080</v>
      </c>
      <c r="AL417" s="2" t="str">
        <f>IFERROR(__xludf.DUMMYFUNCTION("""COMPUTED_VALUE"""),"https://local12.com/news/local/northern-kentucky-family-declines-26-million-bid-data-center-plans-advance-maysville-ai-tech-technology-construction-farm-farmland-property-deal-purchase-sell-google-meta-amazon-mason-county-market-value-cincinnati")</f>
        <v>https://local12.com/news/local/northern-kentucky-family-declines-26-million-bid-data-center-plans-advance-maysville-ai-tech-technology-construction-farm-farmland-property-deal-purchase-sell-google-meta-amazon-mason-county-market-value-cincinnati</v>
      </c>
      <c r="AM417" s="1" t="str">
        <f>IFERROR(__xludf.DUMMYFUNCTION("""COMPUTED_VALUE"""),"")</f>
        <v/>
      </c>
      <c r="AN417" s="1" t="str">
        <f>IFERROR(__xludf.DUMMYFUNCTION("""COMPUTED_VALUE"""),"")</f>
        <v/>
      </c>
      <c r="AO417" s="1" t="str">
        <f>IFERROR(__xludf.DUMMYFUNCTION("""COMPUTED_VALUE"""),"")</f>
        <v/>
      </c>
      <c r="AP417" s="1" t="str">
        <f>IFERROR(__xludf.DUMMYFUNCTION("""COMPUTED_VALUE"""),"")</f>
        <v/>
      </c>
      <c r="AQ417" s="1" t="str">
        <f>IFERROR(__xludf.DUMMYFUNCTION("""COMPUTED_VALUE"""),"03/28/2026")</f>
        <v>03/28/2026</v>
      </c>
      <c r="AR417" s="1" t="str">
        <f>IFERROR(__xludf.DUMMYFUNCTION("""COMPUTED_VALUE"""),"03/28/2026")</f>
        <v>03/28/2026</v>
      </c>
    </row>
    <row r="418">
      <c r="A418" s="1" t="str">
        <f>IFERROR(__xludf.DUMMYFUNCTION("""COMPUTED_VALUE"""),"Project Sophie ")</f>
        <v>Project Sophie </v>
      </c>
      <c r="B418" s="1" t="str">
        <f>IFERROR(__xludf.DUMMYFUNCTION("""COMPUTED_VALUE"""),"")</f>
        <v/>
      </c>
      <c r="C418" s="1" t="str">
        <f>IFERROR(__xludf.DUMMYFUNCTION("""COMPUTED_VALUE"""),"Murray")</f>
        <v>Murray</v>
      </c>
      <c r="D418" s="1" t="str">
        <f>IFERROR(__xludf.DUMMYFUNCTION("""COMPUTED_VALUE"""),"KY")</f>
        <v>KY</v>
      </c>
      <c r="E418" s="1" t="str">
        <f>IFERROR(__xludf.DUMMYFUNCTION("""COMPUTED_VALUE"""),"")</f>
        <v/>
      </c>
      <c r="F418" s="1" t="str">
        <f>IFERROR(__xludf.DUMMYFUNCTION("""COMPUTED_VALUE"""),"Calloway")</f>
        <v>Calloway</v>
      </c>
      <c r="G418" s="1" t="str">
        <f>IFERROR(__xludf.DUMMYFUNCTION("""COMPUTED_VALUE"""),"36.61113")</f>
        <v>36.61113</v>
      </c>
      <c r="H418" s="1" t="str">
        <f>IFERROR(__xludf.DUMMYFUNCTION("""COMPUTED_VALUE"""),"-88.3167")</f>
        <v>-88.3167</v>
      </c>
      <c r="I418" s="1" t="str">
        <f>IFERROR(__xludf.DUMMYFUNCTION("""COMPUTED_VALUE"""),"Operating")</f>
        <v>Operating</v>
      </c>
      <c r="J418" s="1" t="str">
        <f>IFERROR(__xludf.DUMMYFUNCTION("""COMPUTED_VALUE"""),"Low")</f>
        <v>Low</v>
      </c>
      <c r="K418" s="1" t="str">
        <f>IFERROR(__xludf.DUMMYFUNCTION("""COMPUTED_VALUE"""),"")</f>
        <v/>
      </c>
      <c r="L418" s="1" t="str">
        <f>IFERROR(__xludf.DUMMYFUNCTION("""COMPUTED_VALUE"""),"")</f>
        <v/>
      </c>
      <c r="M418" s="1" t="str">
        <f>IFERROR(__xludf.DUMMYFUNCTION("""COMPUTED_VALUE"""),"")</f>
        <v/>
      </c>
      <c r="N418" s="1" t="str">
        <f>IFERROR(__xludf.DUMMYFUNCTION("""COMPUTED_VALUE"""),"25")</f>
        <v>25</v>
      </c>
      <c r="O418" s="1" t="str">
        <f>IFERROR(__xludf.DUMMYFUNCTION("""COMPUTED_VALUE"""),"Medium (11-50 MW)")</f>
        <v>Medium (11-50 MW)</v>
      </c>
      <c r="P418" s="1" t="str">
        <f>IFERROR(__xludf.DUMMYFUNCTION("""COMPUTED_VALUE"""),"")</f>
        <v/>
      </c>
      <c r="Q418" s="1" t="str">
        <f>IFERROR(__xludf.DUMMYFUNCTION("""COMPUTED_VALUE"""),"")</f>
        <v/>
      </c>
      <c r="R418" s="1" t="str">
        <f>IFERROR(__xludf.DUMMYFUNCTION("""COMPUTED_VALUE"""),"")</f>
        <v/>
      </c>
      <c r="S418" s="1" t="str">
        <f>IFERROR(__xludf.DUMMYFUNCTION("""COMPUTED_VALUE"""),"")</f>
        <v/>
      </c>
      <c r="T418" s="1" t="str">
        <f>IFERROR(__xludf.DUMMYFUNCTION("""COMPUTED_VALUE"""),"")</f>
        <v/>
      </c>
      <c r="U418" s="1" t="str">
        <f>IFERROR(__xludf.DUMMYFUNCTION("""COMPUTED_VALUE"""),"")</f>
        <v/>
      </c>
      <c r="V418" s="1" t="str">
        <f>IFERROR(__xludf.DUMMYFUNCTION("""COMPUTED_VALUE"""),"")</f>
        <v/>
      </c>
      <c r="W418" s="1" t="str">
        <f>IFERROR(__xludf.DUMMYFUNCTION("""COMPUTED_VALUE"""),"")</f>
        <v/>
      </c>
      <c r="X418" s="1" t="str">
        <f>IFERROR(__xludf.DUMMYFUNCTION("""COMPUTED_VALUE"""),"")</f>
        <v/>
      </c>
      <c r="Y418" s="1" t="str">
        <f>IFERROR(__xludf.DUMMYFUNCTION("""COMPUTED_VALUE"""),"")</f>
        <v/>
      </c>
      <c r="Z418" s="1" t="str">
        <f>IFERROR(__xludf.DUMMYFUNCTION("""COMPUTED_VALUE"""),"Unknown")</f>
        <v>Unknown</v>
      </c>
      <c r="AA418" s="1" t="str">
        <f>IFERROR(__xludf.DUMMYFUNCTION("""COMPUTED_VALUE"""),"")</f>
        <v/>
      </c>
      <c r="AB418" s="1" t="str">
        <f>IFERROR(__xludf.DUMMYFUNCTION("""COMPUTED_VALUE"""),"")</f>
        <v/>
      </c>
      <c r="AC418" s="1" t="str">
        <f>IFERROR(__xludf.DUMMYFUNCTION("""COMPUTED_VALUE"""),"")</f>
        <v/>
      </c>
      <c r="AD418" s="1" t="str">
        <f>IFERROR(__xludf.DUMMYFUNCTION("""COMPUTED_VALUE"""),"")</f>
        <v/>
      </c>
      <c r="AE418" s="1" t="str">
        <f>IFERROR(__xludf.DUMMYFUNCTION("""COMPUTED_VALUE"""),"")</f>
        <v/>
      </c>
      <c r="AF418" s="1" t="str">
        <f>IFERROR(__xludf.DUMMYFUNCTION("""COMPUTED_VALUE"""),"")</f>
        <v/>
      </c>
      <c r="AG418" s="1" t="str">
        <f>IFERROR(__xludf.DUMMYFUNCTION("""COMPUTED_VALUE"""),"")</f>
        <v/>
      </c>
      <c r="AH418" s="1" t="str">
        <f>IFERROR(__xludf.DUMMYFUNCTION("""COMPUTED_VALUE"""),"Media Monitoring")</f>
        <v>Media Monitoring</v>
      </c>
      <c r="AI418" s="2" t="str">
        <f>IFERROR(__xludf.DUMMYFUNCTION("""COMPUTED_VALUE"""),"https://baxtel.com/data-center/soluna-project-sophie?lat=36.54308464821985&amp;lng=-88.36226063424738&amp;distance=27294.14912016671")</f>
        <v>https://baxtel.com/data-center/soluna-project-sophie?lat=36.54308464821985&amp;lng=-88.36226063424738&amp;distance=27294.14912016671</v>
      </c>
      <c r="AJ418" s="2" t="str">
        <f>IFERROR(__xludf.DUMMYFUNCTION("""COMPUTED_VALUE"""),"https://www.datacenterdynamics.com/en/news/soluna-to-develop-two-new-data-centers-in-texas-with-a-combined-capacity-of-350mw/")</f>
        <v>https://www.datacenterdynamics.com/en/news/soluna-to-develop-two-new-data-centers-in-texas-with-a-combined-capacity-of-350mw/</v>
      </c>
      <c r="AK418" s="1" t="str">
        <f>IFERROR(__xludf.DUMMYFUNCTION("""COMPUTED_VALUE"""),"")</f>
        <v/>
      </c>
      <c r="AL418" s="1" t="str">
        <f>IFERROR(__xludf.DUMMYFUNCTION("""COMPUTED_VALUE"""),"")</f>
        <v/>
      </c>
      <c r="AM418" s="1" t="str">
        <f>IFERROR(__xludf.DUMMYFUNCTION("""COMPUTED_VALUE"""),"")</f>
        <v/>
      </c>
      <c r="AN418" s="1" t="str">
        <f>IFERROR(__xludf.DUMMYFUNCTION("""COMPUTED_VALUE"""),"")</f>
        <v/>
      </c>
      <c r="AO418" s="1" t="str">
        <f>IFERROR(__xludf.DUMMYFUNCTION("""COMPUTED_VALUE"""),"")</f>
        <v/>
      </c>
      <c r="AP418" s="1" t="str">
        <f>IFERROR(__xludf.DUMMYFUNCTION("""COMPUTED_VALUE"""),"")</f>
        <v/>
      </c>
      <c r="AQ418" s="1" t="str">
        <f>IFERROR(__xludf.DUMMYFUNCTION("""COMPUTED_VALUE"""),"08/30/2025")</f>
        <v>08/30/2025</v>
      </c>
      <c r="AR418" s="1" t="str">
        <f>IFERROR(__xludf.DUMMYFUNCTION("""COMPUTED_VALUE"""),"08/30/2025")</f>
        <v>08/30/2025</v>
      </c>
    </row>
    <row r="419">
      <c r="A419" s="1" t="str">
        <f>IFERROR(__xludf.DUMMYFUNCTION("""COMPUTED_VALUE"""),"Riot 1")</f>
        <v>Riot 1</v>
      </c>
      <c r="B419" s="1" t="str">
        <f>IFERROR(__xludf.DUMMYFUNCTION("""COMPUTED_VALUE"""),"5600 Commerce Dr")</f>
        <v>5600 Commerce Dr</v>
      </c>
      <c r="C419" s="1" t="str">
        <f>IFERROR(__xludf.DUMMYFUNCTION("""COMPUTED_VALUE"""),"Paducah")</f>
        <v>Paducah</v>
      </c>
      <c r="D419" s="1" t="str">
        <f>IFERROR(__xludf.DUMMYFUNCTION("""COMPUTED_VALUE"""),"KY")</f>
        <v>KY</v>
      </c>
      <c r="E419" s="1" t="str">
        <f>IFERROR(__xludf.DUMMYFUNCTION("""COMPUTED_VALUE"""),"42001")</f>
        <v>42001</v>
      </c>
      <c r="F419" s="1" t="str">
        <f>IFERROR(__xludf.DUMMYFUNCTION("""COMPUTED_VALUE"""),"McCracken")</f>
        <v>McCracken</v>
      </c>
      <c r="G419" s="1" t="str">
        <f>IFERROR(__xludf.DUMMYFUNCTION("""COMPUTED_VALUE"""),"37.08831")</f>
        <v>37.08831</v>
      </c>
      <c r="H419" s="1" t="str">
        <f>IFERROR(__xludf.DUMMYFUNCTION("""COMPUTED_VALUE"""),"-88.70305")</f>
        <v>-88.70305</v>
      </c>
      <c r="I419" s="1" t="str">
        <f>IFERROR(__xludf.DUMMYFUNCTION("""COMPUTED_VALUE"""),"Expanding")</f>
        <v>Expanding</v>
      </c>
      <c r="J419" s="1" t="str">
        <f>IFERROR(__xludf.DUMMYFUNCTION("""COMPUTED_VALUE"""),"High")</f>
        <v>High</v>
      </c>
      <c r="K419" s="1" t="str">
        <f>IFERROR(__xludf.DUMMYFUNCTION("""COMPUTED_VALUE"""),"")</f>
        <v/>
      </c>
      <c r="L419" s="1" t="str">
        <f>IFERROR(__xludf.DUMMYFUNCTION("""COMPUTED_VALUE"""),"Riot")</f>
        <v>Riot</v>
      </c>
      <c r="M419" s="1" t="str">
        <f>IFERROR(__xludf.DUMMYFUNCTION("""COMPUTED_VALUE"""),"")</f>
        <v/>
      </c>
      <c r="N419" s="1" t="str">
        <f>IFERROR(__xludf.DUMMYFUNCTION("""COMPUTED_VALUE"""),"")</f>
        <v/>
      </c>
      <c r="O419" s="1" t="str">
        <f>IFERROR(__xludf.DUMMYFUNCTION("""COMPUTED_VALUE"""),"Hyperscale (101-999 MW)")</f>
        <v>Hyperscale (101-999 MW)</v>
      </c>
      <c r="P419" s="1" t="str">
        <f>IFERROR(__xludf.DUMMYFUNCTION("""COMPUTED_VALUE"""),"")</f>
        <v/>
      </c>
      <c r="Q419" s="1" t="str">
        <f>IFERROR(__xludf.DUMMYFUNCTION("""COMPUTED_VALUE"""),"")</f>
        <v/>
      </c>
      <c r="R419" s="1" t="str">
        <f>IFERROR(__xludf.DUMMYFUNCTION("""COMPUTED_VALUE"""),"")</f>
        <v/>
      </c>
      <c r="S419" s="1" t="str">
        <f>IFERROR(__xludf.DUMMYFUNCTION("""COMPUTED_VALUE"""),"")</f>
        <v/>
      </c>
      <c r="T419" s="1" t="str">
        <f>IFERROR(__xludf.DUMMYFUNCTION("""COMPUTED_VALUE"""),"")</f>
        <v/>
      </c>
      <c r="U419" s="1" t="str">
        <f>IFERROR(__xludf.DUMMYFUNCTION("""COMPUTED_VALUE"""),"")</f>
        <v/>
      </c>
      <c r="V419" s="1" t="str">
        <f>IFERROR(__xludf.DUMMYFUNCTION("""COMPUTED_VALUE"""),"")</f>
        <v/>
      </c>
      <c r="W419" s="1" t="str">
        <f>IFERROR(__xludf.DUMMYFUNCTION("""COMPUTED_VALUE"""),"")</f>
        <v/>
      </c>
      <c r="X419" s="1" t="str">
        <f>IFERROR(__xludf.DUMMYFUNCTION("""COMPUTED_VALUE"""),"")</f>
        <v/>
      </c>
      <c r="Y419" s="1" t="str">
        <f>IFERROR(__xludf.DUMMYFUNCTION("""COMPUTED_VALUE"""),"")</f>
        <v/>
      </c>
      <c r="Z419" s="1" t="str">
        <f>IFERROR(__xludf.DUMMYFUNCTION("""COMPUTED_VALUE"""),"Unknown")</f>
        <v>Unknown</v>
      </c>
      <c r="AA419" s="1" t="str">
        <f>IFERROR(__xludf.DUMMYFUNCTION("""COMPUTED_VALUE"""),"")</f>
        <v/>
      </c>
      <c r="AB419" s="1" t="str">
        <f>IFERROR(__xludf.DUMMYFUNCTION("""COMPUTED_VALUE"""),"")</f>
        <v/>
      </c>
      <c r="AC419" s="1" t="str">
        <f>IFERROR(__xludf.DUMMYFUNCTION("""COMPUTED_VALUE"""),"")</f>
        <v/>
      </c>
      <c r="AD419" s="1" t="str">
        <f>IFERROR(__xludf.DUMMYFUNCTION("""COMPUTED_VALUE"""),"")</f>
        <v/>
      </c>
      <c r="AE419" s="1" t="str">
        <f>IFERROR(__xludf.DUMMYFUNCTION("""COMPUTED_VALUE"""),"")</f>
        <v/>
      </c>
      <c r="AF419" s="1" t="str">
        <f>IFERROR(__xludf.DUMMYFUNCTION("""COMPUTED_VALUE"""),"")</f>
        <v/>
      </c>
      <c r="AG419" s="1" t="str">
        <f>IFERROR(__xludf.DUMMYFUNCTION("""COMPUTED_VALUE"""),"Crypto pivoting to HPC")</f>
        <v>Crypto pivoting to HPC</v>
      </c>
      <c r="AH419" s="1" t="str">
        <f>IFERROR(__xludf.DUMMYFUNCTION("""COMPUTED_VALUE"""),"Media Monitoring")</f>
        <v>Media Monitoring</v>
      </c>
      <c r="AI419" s="2" t="str">
        <f>IFERROR(__xludf.DUMMYFUNCTION("""COMPUTED_VALUE"""),"https://www.datacenterdynamics.com/en/news/riot-to-convert-cryptomine-site-in-texas-to-hpc-signs-25mw-lease-with-amd/")</f>
        <v>https://www.datacenterdynamics.com/en/news/riot-to-convert-cryptomine-site-in-texas-to-hpc-signs-25mw-lease-with-amd/</v>
      </c>
      <c r="AJ419" s="2" t="str">
        <f>IFERROR(__xludf.DUMMYFUNCTION("""COMPUTED_VALUE"""),"https://www.wpsdlocal6.com/newsletter_stories/city-leaders-hope-to-fill-space-after-cryptocurrency-company-leaves-amerisourcebergen-building-in-paducah/article_6d9aefce-e236-11ec-b493-2ba86b7b6a5b.html")</f>
        <v>https://www.wpsdlocal6.com/newsletter_stories/city-leaders-hope-to-fill-space-after-cryptocurrency-company-leaves-amerisourcebergen-building-in-paducah/article_6d9aefce-e236-11ec-b493-2ba86b7b6a5b.html</v>
      </c>
      <c r="AK419" s="1" t="str">
        <f>IFERROR(__xludf.DUMMYFUNCTION("""COMPUTED_VALUE"""),"")</f>
        <v/>
      </c>
      <c r="AL419" s="1" t="str">
        <f>IFERROR(__xludf.DUMMYFUNCTION("""COMPUTED_VALUE"""),"")</f>
        <v/>
      </c>
      <c r="AM419" s="1" t="str">
        <f>IFERROR(__xludf.DUMMYFUNCTION("""COMPUTED_VALUE"""),"")</f>
        <v/>
      </c>
      <c r="AN419" s="1" t="str">
        <f>IFERROR(__xludf.DUMMYFUNCTION("""COMPUTED_VALUE"""),"")</f>
        <v/>
      </c>
      <c r="AO419" s="1" t="str">
        <f>IFERROR(__xludf.DUMMYFUNCTION("""COMPUTED_VALUE"""),"")</f>
        <v/>
      </c>
      <c r="AP419" s="1" t="str">
        <f>IFERROR(__xludf.DUMMYFUNCTION("""COMPUTED_VALUE"""),"")</f>
        <v/>
      </c>
      <c r="AQ419" s="1" t="str">
        <f>IFERROR(__xludf.DUMMYFUNCTION("""COMPUTED_VALUE"""),"01/19/2026")</f>
        <v>01/19/2026</v>
      </c>
      <c r="AR419" s="1" t="str">
        <f>IFERROR(__xludf.DUMMYFUNCTION("""COMPUTED_VALUE"""),"01/19/2026")</f>
        <v>01/19/2026</v>
      </c>
    </row>
    <row r="420">
      <c r="A420" s="1" t="str">
        <f>IFERROR(__xludf.DUMMYFUNCTION("""COMPUTED_VALUE"""),"Riot 2")</f>
        <v>Riot 2</v>
      </c>
      <c r="B420" s="1" t="str">
        <f>IFERROR(__xludf.DUMMYFUNCTION("""COMPUTED_VALUE"""),"Coleman Rd")</f>
        <v>Coleman Rd</v>
      </c>
      <c r="C420" s="1" t="str">
        <f>IFERROR(__xludf.DUMMYFUNCTION("""COMPUTED_VALUE"""),"Paducah")</f>
        <v>Paducah</v>
      </c>
      <c r="D420" s="1" t="str">
        <f>IFERROR(__xludf.DUMMYFUNCTION("""COMPUTED_VALUE"""),"KY")</f>
        <v>KY</v>
      </c>
      <c r="E420" s="1" t="str">
        <f>IFERROR(__xludf.DUMMYFUNCTION("""COMPUTED_VALUE"""),"42001")</f>
        <v>42001</v>
      </c>
      <c r="F420" s="1" t="str">
        <f>IFERROR(__xludf.DUMMYFUNCTION("""COMPUTED_VALUE"""),"McCracken")</f>
        <v>McCracken</v>
      </c>
      <c r="G420" s="1" t="str">
        <f>IFERROR(__xludf.DUMMYFUNCTION("""COMPUTED_VALUE"""),"37.088593")</f>
        <v>37.088593</v>
      </c>
      <c r="H420" s="1" t="str">
        <f>IFERROR(__xludf.DUMMYFUNCTION("""COMPUTED_VALUE"""),"-88.676155")</f>
        <v>-88.676155</v>
      </c>
      <c r="I420" s="1" t="str">
        <f>IFERROR(__xludf.DUMMYFUNCTION("""COMPUTED_VALUE"""),"Expanding")</f>
        <v>Expanding</v>
      </c>
      <c r="J420" s="1" t="str">
        <f>IFERROR(__xludf.DUMMYFUNCTION("""COMPUTED_VALUE"""),"Medium")</f>
        <v>Medium</v>
      </c>
      <c r="K420" s="1" t="str">
        <f>IFERROR(__xludf.DUMMYFUNCTION("""COMPUTED_VALUE"""),"")</f>
        <v/>
      </c>
      <c r="L420" s="1" t="str">
        <f>IFERROR(__xludf.DUMMYFUNCTION("""COMPUTED_VALUE"""),"Riot")</f>
        <v>Riot</v>
      </c>
      <c r="M420" s="1" t="str">
        <f>IFERROR(__xludf.DUMMYFUNCTION("""COMPUTED_VALUE"""),"")</f>
        <v/>
      </c>
      <c r="N420" s="1" t="str">
        <f>IFERROR(__xludf.DUMMYFUNCTION("""COMPUTED_VALUE"""),"60")</f>
        <v>60</v>
      </c>
      <c r="O420" s="1" t="str">
        <f>IFERROR(__xludf.DUMMYFUNCTION("""COMPUTED_VALUE"""),"Large (51-99 MW)")</f>
        <v>Large (51-99 MW)</v>
      </c>
      <c r="P420" s="1" t="str">
        <f>IFERROR(__xludf.DUMMYFUNCTION("""COMPUTED_VALUE"""),"Grid (unspecified mix)")</f>
        <v>Grid (unspecified mix)</v>
      </c>
      <c r="Q420" s="1" t="str">
        <f>IFERROR(__xludf.DUMMYFUNCTION("""COMPUTED_VALUE"""),"")</f>
        <v/>
      </c>
      <c r="R420" s="1" t="str">
        <f>IFERROR(__xludf.DUMMYFUNCTION("""COMPUTED_VALUE"""),"")</f>
        <v/>
      </c>
      <c r="S420" s="1" t="str">
        <f>IFERROR(__xludf.DUMMYFUNCTION("""COMPUTED_VALUE"""),"")</f>
        <v/>
      </c>
      <c r="T420" s="1" t="str">
        <f>IFERROR(__xludf.DUMMYFUNCTION("""COMPUTED_VALUE"""),"")</f>
        <v/>
      </c>
      <c r="U420" s="1" t="str">
        <f>IFERROR(__xludf.DUMMYFUNCTION("""COMPUTED_VALUE"""),"")</f>
        <v/>
      </c>
      <c r="V420" s="1" t="str">
        <f>IFERROR(__xludf.DUMMYFUNCTION("""COMPUTED_VALUE"""),"")</f>
        <v/>
      </c>
      <c r="W420" s="1" t="str">
        <f>IFERROR(__xludf.DUMMYFUNCTION("""COMPUTED_VALUE"""),"")</f>
        <v/>
      </c>
      <c r="X420" s="1" t="str">
        <f>IFERROR(__xludf.DUMMYFUNCTION("""COMPUTED_VALUE"""),"")</f>
        <v/>
      </c>
      <c r="Y420" s="1" t="str">
        <f>IFERROR(__xludf.DUMMYFUNCTION("""COMPUTED_VALUE"""),"")</f>
        <v/>
      </c>
      <c r="Z420" s="1" t="str">
        <f>IFERROR(__xludf.DUMMYFUNCTION("""COMPUTED_VALUE"""),"Unknown")</f>
        <v>Unknown</v>
      </c>
      <c r="AA420" s="1" t="str">
        <f>IFERROR(__xludf.DUMMYFUNCTION("""COMPUTED_VALUE"""),"")</f>
        <v/>
      </c>
      <c r="AB420" s="1" t="str">
        <f>IFERROR(__xludf.DUMMYFUNCTION("""COMPUTED_VALUE"""),"")</f>
        <v/>
      </c>
      <c r="AC420" s="1" t="str">
        <f>IFERROR(__xludf.DUMMYFUNCTION("""COMPUTED_VALUE"""),"")</f>
        <v/>
      </c>
      <c r="AD420" s="1" t="str">
        <f>IFERROR(__xludf.DUMMYFUNCTION("""COMPUTED_VALUE"""),"")</f>
        <v/>
      </c>
      <c r="AE420" s="1" t="str">
        <f>IFERROR(__xludf.DUMMYFUNCTION("""COMPUTED_VALUE"""),"")</f>
        <v/>
      </c>
      <c r="AF420" s="1" t="str">
        <f>IFERROR(__xludf.DUMMYFUNCTION("""COMPUTED_VALUE"""),"")</f>
        <v/>
      </c>
      <c r="AG420" s="1" t="str">
        <f>IFERROR(__xludf.DUMMYFUNCTION("""COMPUTED_VALUE"""),"Crypto moving towards HPC")</f>
        <v>Crypto moving towards HPC</v>
      </c>
      <c r="AH420" s="1" t="str">
        <f>IFERROR(__xludf.DUMMYFUNCTION("""COMPUTED_VALUE"""),"Media Monitoring")</f>
        <v>Media Monitoring</v>
      </c>
      <c r="AI420" s="2" t="str">
        <f>IFERROR(__xludf.DUMMYFUNCTION("""COMPUTED_VALUE"""),"https://www.datacenterdynamics.com/en/news/riot-to-convert-cryptomine-site-in-texas-to-hpc-signs-25mw-lease-with-amd/")</f>
        <v>https://www.datacenterdynamics.com/en/news/riot-to-convert-cryptomine-site-in-texas-to-hpc-signs-25mw-lease-with-amd/</v>
      </c>
      <c r="AJ420" s="1" t="str">
        <f>IFERROR(__xludf.DUMMYFUNCTION("""COMPUTED_VALUE"""),"")</f>
        <v/>
      </c>
      <c r="AK420" s="1" t="str">
        <f>IFERROR(__xludf.DUMMYFUNCTION("""COMPUTED_VALUE"""),"")</f>
        <v/>
      </c>
      <c r="AL420" s="1" t="str">
        <f>IFERROR(__xludf.DUMMYFUNCTION("""COMPUTED_VALUE"""),"")</f>
        <v/>
      </c>
      <c r="AM420" s="1" t="str">
        <f>IFERROR(__xludf.DUMMYFUNCTION("""COMPUTED_VALUE"""),"")</f>
        <v/>
      </c>
      <c r="AN420" s="1" t="str">
        <f>IFERROR(__xludf.DUMMYFUNCTION("""COMPUTED_VALUE"""),"")</f>
        <v/>
      </c>
      <c r="AO420" s="1" t="str">
        <f>IFERROR(__xludf.DUMMYFUNCTION("""COMPUTED_VALUE"""),"")</f>
        <v/>
      </c>
      <c r="AP420" s="1" t="str">
        <f>IFERROR(__xludf.DUMMYFUNCTION("""COMPUTED_VALUE"""),"")</f>
        <v/>
      </c>
      <c r="AQ420" s="1" t="str">
        <f>IFERROR(__xludf.DUMMYFUNCTION("""COMPUTED_VALUE"""),"01/19/2026")</f>
        <v>01/19/2026</v>
      </c>
      <c r="AR420" s="1" t="str">
        <f>IFERROR(__xludf.DUMMYFUNCTION("""COMPUTED_VALUE"""),"01/19/2026")</f>
        <v>01/19/2026</v>
      </c>
    </row>
    <row r="421">
      <c r="A421" s="1" t="str">
        <f>IFERROR(__xludf.DUMMYFUNCTION("""COMPUTED_VALUE"""),"State Line Project Data Center campus")</f>
        <v>State Line Project Data Center campus</v>
      </c>
      <c r="B421" s="1" t="str">
        <f>IFERROR(__xludf.DUMMYFUNCTION("""COMPUTED_VALUE"""),"North of Blanchard, near Hwy 1")</f>
        <v>North of Blanchard, near Hwy 1</v>
      </c>
      <c r="C421" s="1" t="str">
        <f>IFERROR(__xludf.DUMMYFUNCTION("""COMPUTED_VALUE"""),"Blanchard")</f>
        <v>Blanchard</v>
      </c>
      <c r="D421" s="1" t="str">
        <f>IFERROR(__xludf.DUMMYFUNCTION("""COMPUTED_VALUE"""),"LA")</f>
        <v>LA</v>
      </c>
      <c r="E421" s="1" t="str">
        <f>IFERROR(__xludf.DUMMYFUNCTION("""COMPUTED_VALUE"""),"71107")</f>
        <v>71107</v>
      </c>
      <c r="F421" s="1" t="str">
        <f>IFERROR(__xludf.DUMMYFUNCTION("""COMPUTED_VALUE"""),"Caddo")</f>
        <v>Caddo</v>
      </c>
      <c r="G421" s="1" t="str">
        <f>IFERROR(__xludf.DUMMYFUNCTION("""COMPUTED_VALUE"""),"32.656498")</f>
        <v>32.656498</v>
      </c>
      <c r="H421" s="1" t="str">
        <f>IFERROR(__xludf.DUMMYFUNCTION("""COMPUTED_VALUE"""),"-93.904144")</f>
        <v>-93.904144</v>
      </c>
      <c r="I421" s="1" t="str">
        <f>IFERROR(__xludf.DUMMYFUNCTION("""COMPUTED_VALUE"""),"Proposed")</f>
        <v>Proposed</v>
      </c>
      <c r="J421" s="1" t="str">
        <f>IFERROR(__xludf.DUMMYFUNCTION("""COMPUTED_VALUE"""),"Low")</f>
        <v>Low</v>
      </c>
      <c r="K421" s="1" t="str">
        <f>IFERROR(__xludf.DUMMYFUNCTION("""COMPUTED_VALUE"""),"")</f>
        <v/>
      </c>
      <c r="L421" s="1" t="str">
        <f>IFERROR(__xludf.DUMMYFUNCTION("""COMPUTED_VALUE"""),"TXLAAR LLC")</f>
        <v>TXLAAR LLC</v>
      </c>
      <c r="M421" s="1" t="str">
        <f>IFERROR(__xludf.DUMMYFUNCTION("""COMPUTED_VALUE"""),"")</f>
        <v/>
      </c>
      <c r="N421" s="1" t="str">
        <f>IFERROR(__xludf.DUMMYFUNCTION("""COMPUTED_VALUE"""),"")</f>
        <v/>
      </c>
      <c r="O421" s="1" t="str">
        <f>IFERROR(__xludf.DUMMYFUNCTION("""COMPUTED_VALUE"""),"Unknown")</f>
        <v>Unknown</v>
      </c>
      <c r="P421" s="1" t="str">
        <f>IFERROR(__xludf.DUMMYFUNCTION("""COMPUTED_VALUE"""),"")</f>
        <v/>
      </c>
      <c r="Q421" s="1" t="str">
        <f>IFERROR(__xludf.DUMMYFUNCTION("""COMPUTED_VALUE"""),"")</f>
        <v/>
      </c>
      <c r="R421" s="1" t="str">
        <f>IFERROR(__xludf.DUMMYFUNCTION("""COMPUTED_VALUE"""),"")</f>
        <v/>
      </c>
      <c r="S421" s="1" t="str">
        <f>IFERROR(__xludf.DUMMYFUNCTION("""COMPUTED_VALUE"""),"")</f>
        <v/>
      </c>
      <c r="T421" s="1" t="str">
        <f>IFERROR(__xludf.DUMMYFUNCTION("""COMPUTED_VALUE"""),"Water")</f>
        <v>Water</v>
      </c>
      <c r="U421" s="1" t="str">
        <f>IFERROR(__xludf.DUMMYFUNCTION("""COMPUTED_VALUE"""),"")</f>
        <v/>
      </c>
      <c r="V421" s="1" t="str">
        <f>IFERROR(__xludf.DUMMYFUNCTION("""COMPUTED_VALUE"""),"")</f>
        <v/>
      </c>
      <c r="W421" s="1" t="str">
        <f>IFERROR(__xludf.DUMMYFUNCTION("""COMPUTED_VALUE"""),"810")</f>
        <v>810</v>
      </c>
      <c r="X421" s="1" t="str">
        <f>IFERROR(__xludf.DUMMYFUNCTION("""COMPUTED_VALUE"""),"")</f>
        <v/>
      </c>
      <c r="Y421" s="1" t="str">
        <f>IFERROR(__xludf.DUMMYFUNCTION("""COMPUTED_VALUE"""),"")</f>
        <v/>
      </c>
      <c r="Z421" s="1" t="str">
        <f>IFERROR(__xludf.DUMMYFUNCTION("""COMPUTED_VALUE"""),"Unknown")</f>
        <v>Unknown</v>
      </c>
      <c r="AA421" s="1" t="str">
        <f>IFERROR(__xludf.DUMMYFUNCTION("""COMPUTED_VALUE"""),"")</f>
        <v/>
      </c>
      <c r="AB421" s="1" t="str">
        <f>IFERROR(__xludf.DUMMYFUNCTION("""COMPUTED_VALUE"""),"")</f>
        <v/>
      </c>
      <c r="AC421" s="1" t="str">
        <f>IFERROR(__xludf.DUMMYFUNCTION("""COMPUTED_VALUE"""),"")</f>
        <v/>
      </c>
      <c r="AD421" s="1" t="str">
        <f>IFERROR(__xludf.DUMMYFUNCTION("""COMPUTED_VALUE"""),"")</f>
        <v/>
      </c>
      <c r="AE421" s="1" t="str">
        <f>IFERROR(__xludf.DUMMYFUNCTION("""COMPUTED_VALUE"""),"")</f>
        <v/>
      </c>
      <c r="AF421" s="1" t="str">
        <f>IFERROR(__xludf.DUMMYFUNCTION("""COMPUTED_VALUE"""),"")</f>
        <v/>
      </c>
      <c r="AG421" s="1" t="str">
        <f>IFERROR(__xludf.DUMMYFUNCTION("""COMPUTED_VALUE"""),"5 million gals/day water")</f>
        <v>5 million gals/day water</v>
      </c>
      <c r="AH421" s="1" t="str">
        <f>IFERROR(__xludf.DUMMYFUNCTION("""COMPUTED_VALUE"""),"Media Monitoring")</f>
        <v>Media Monitoring</v>
      </c>
      <c r="AI421" s="2" t="str">
        <f>IFERROR(__xludf.DUMMYFUNCTION("""COMPUTED_VALUE"""),"https://www.datacenterdynamics.com/en/news/data-center-planned-near-shreveport-louisiana-report/")</f>
        <v>https://www.datacenterdynamics.com/en/news/data-center-planned-near-shreveport-louisiana-report/</v>
      </c>
      <c r="AJ421" s="1" t="str">
        <f>IFERROR(__xludf.DUMMYFUNCTION("""COMPUTED_VALUE"""),"")</f>
        <v/>
      </c>
      <c r="AK421" s="1" t="str">
        <f>IFERROR(__xludf.DUMMYFUNCTION("""COMPUTED_VALUE"""),"")</f>
        <v/>
      </c>
      <c r="AL421" s="1" t="str">
        <f>IFERROR(__xludf.DUMMYFUNCTION("""COMPUTED_VALUE"""),"")</f>
        <v/>
      </c>
      <c r="AM421" s="1" t="str">
        <f>IFERROR(__xludf.DUMMYFUNCTION("""COMPUTED_VALUE"""),"")</f>
        <v/>
      </c>
      <c r="AN421" s="1" t="str">
        <f>IFERROR(__xludf.DUMMYFUNCTION("""COMPUTED_VALUE"""),"")</f>
        <v/>
      </c>
      <c r="AO421" s="1" t="str">
        <f>IFERROR(__xludf.DUMMYFUNCTION("""COMPUTED_VALUE"""),"")</f>
        <v/>
      </c>
      <c r="AP421" s="1" t="str">
        <f>IFERROR(__xludf.DUMMYFUNCTION("""COMPUTED_VALUE"""),"")</f>
        <v/>
      </c>
      <c r="AQ421" s="1" t="str">
        <f>IFERROR(__xludf.DUMMYFUNCTION("""COMPUTED_VALUE"""),"01/19/2026")</f>
        <v>01/19/2026</v>
      </c>
      <c r="AR421" s="1" t="str">
        <f>IFERROR(__xludf.DUMMYFUNCTION("""COMPUTED_VALUE"""),"01/19/2026")</f>
        <v>01/19/2026</v>
      </c>
    </row>
    <row r="422">
      <c r="A422" s="1" t="str">
        <f>IFERROR(__xludf.DUMMYFUNCTION("""COMPUTED_VALUE"""),"TXLAAR LLC Data Center")</f>
        <v>TXLAAR LLC Data Center</v>
      </c>
      <c r="B422" s="1" t="str">
        <f>IFERROR(__xludf.DUMMYFUNCTION("""COMPUTED_VALUE"""),"Hwy 3")</f>
        <v>Hwy 3</v>
      </c>
      <c r="C422" s="1" t="str">
        <f>IFERROR(__xludf.DUMMYFUNCTION("""COMPUTED_VALUE"""),"Bossier Parish")</f>
        <v>Bossier Parish</v>
      </c>
      <c r="D422" s="1" t="str">
        <f>IFERROR(__xludf.DUMMYFUNCTION("""COMPUTED_VALUE"""),"LA")</f>
        <v>LA</v>
      </c>
      <c r="E422" s="1" t="str">
        <f>IFERROR(__xludf.DUMMYFUNCTION("""COMPUTED_VALUE"""),"")</f>
        <v/>
      </c>
      <c r="F422" s="1" t="str">
        <f>IFERROR(__xludf.DUMMYFUNCTION("""COMPUTED_VALUE"""),"Bossier")</f>
        <v>Bossier</v>
      </c>
      <c r="G422" s="1" t="str">
        <f>IFERROR(__xludf.DUMMYFUNCTION("""COMPUTED_VALUE"""),"32.725018")</f>
        <v>32.725018</v>
      </c>
      <c r="H422" s="1" t="str">
        <f>IFERROR(__xludf.DUMMYFUNCTION("""COMPUTED_VALUE"""),"-93.72789")</f>
        <v>-93.72789</v>
      </c>
      <c r="I422" s="1" t="str">
        <f>IFERROR(__xludf.DUMMYFUNCTION("""COMPUTED_VALUE"""),"Proposed")</f>
        <v>Proposed</v>
      </c>
      <c r="J422" s="1" t="str">
        <f>IFERROR(__xludf.DUMMYFUNCTION("""COMPUTED_VALUE"""),"Low")</f>
        <v>Low</v>
      </c>
      <c r="K422" s="1" t="str">
        <f>IFERROR(__xludf.DUMMYFUNCTION("""COMPUTED_VALUE"""),"")</f>
        <v/>
      </c>
      <c r="L422" s="1" t="str">
        <f>IFERROR(__xludf.DUMMYFUNCTION("""COMPUTED_VALUE"""),"TXLAAR LLC")</f>
        <v>TXLAAR LLC</v>
      </c>
      <c r="M422" s="1" t="str">
        <f>IFERROR(__xludf.DUMMYFUNCTION("""COMPUTED_VALUE"""),"")</f>
        <v/>
      </c>
      <c r="N422" s="1" t="str">
        <f>IFERROR(__xludf.DUMMYFUNCTION("""COMPUTED_VALUE"""),"")</f>
        <v/>
      </c>
      <c r="O422" s="1" t="str">
        <f>IFERROR(__xludf.DUMMYFUNCTION("""COMPUTED_VALUE"""),"Unknown")</f>
        <v>Unknown</v>
      </c>
      <c r="P422" s="1" t="str">
        <f>IFERROR(__xludf.DUMMYFUNCTION("""COMPUTED_VALUE"""),"")</f>
        <v/>
      </c>
      <c r="Q422" s="1" t="str">
        <f>IFERROR(__xludf.DUMMYFUNCTION("""COMPUTED_VALUE"""),"")</f>
        <v/>
      </c>
      <c r="R422" s="1" t="str">
        <f>IFERROR(__xludf.DUMMYFUNCTION("""COMPUTED_VALUE"""),"")</f>
        <v/>
      </c>
      <c r="S422" s="1" t="str">
        <f>IFERROR(__xludf.DUMMYFUNCTION("""COMPUTED_VALUE"""),"")</f>
        <v/>
      </c>
      <c r="T422" s="1" t="str">
        <f>IFERROR(__xludf.DUMMYFUNCTION("""COMPUTED_VALUE"""),"")</f>
        <v/>
      </c>
      <c r="U422" s="1" t="str">
        <f>IFERROR(__xludf.DUMMYFUNCTION("""COMPUTED_VALUE"""),"")</f>
        <v/>
      </c>
      <c r="V422" s="1" t="str">
        <f>IFERROR(__xludf.DUMMYFUNCTION("""COMPUTED_VALUE"""),"")</f>
        <v/>
      </c>
      <c r="W422" s="1" t="str">
        <f>IFERROR(__xludf.DUMMYFUNCTION("""COMPUTED_VALUE"""),"1080")</f>
        <v>1080</v>
      </c>
      <c r="X422" s="1" t="str">
        <f>IFERROR(__xludf.DUMMYFUNCTION("""COMPUTED_VALUE"""),"")</f>
        <v/>
      </c>
      <c r="Y422" s="1" t="str">
        <f>IFERROR(__xludf.DUMMYFUNCTION("""COMPUTED_VALUE"""),"")</f>
        <v/>
      </c>
      <c r="Z422" s="1" t="str">
        <f>IFERROR(__xludf.DUMMYFUNCTION("""COMPUTED_VALUE"""),"Unknown")</f>
        <v>Unknown</v>
      </c>
      <c r="AA422" s="1" t="str">
        <f>IFERROR(__xludf.DUMMYFUNCTION("""COMPUTED_VALUE"""),"")</f>
        <v/>
      </c>
      <c r="AB422" s="1" t="str">
        <f>IFERROR(__xludf.DUMMYFUNCTION("""COMPUTED_VALUE"""),"")</f>
        <v/>
      </c>
      <c r="AC422" s="1" t="str">
        <f>IFERROR(__xludf.DUMMYFUNCTION("""COMPUTED_VALUE"""),"")</f>
        <v/>
      </c>
      <c r="AD422" s="1" t="str">
        <f>IFERROR(__xludf.DUMMYFUNCTION("""COMPUTED_VALUE"""),"")</f>
        <v/>
      </c>
      <c r="AE422" s="1" t="str">
        <f>IFERROR(__xludf.DUMMYFUNCTION("""COMPUTED_VALUE"""),"")</f>
        <v/>
      </c>
      <c r="AF422" s="1" t="str">
        <f>IFERROR(__xludf.DUMMYFUNCTION("""COMPUTED_VALUE"""),"")</f>
        <v/>
      </c>
      <c r="AG422" s="1" t="str">
        <f>IFERROR(__xludf.DUMMYFUNCTION("""COMPUTED_VALUE"""),"")</f>
        <v/>
      </c>
      <c r="AH422" s="1" t="str">
        <f>IFERROR(__xludf.DUMMYFUNCTION("""COMPUTED_VALUE"""),"Media Monitoring")</f>
        <v>Media Monitoring</v>
      </c>
      <c r="AI422" s="2" t="str">
        <f>IFERROR(__xludf.DUMMYFUNCTION("""COMPUTED_VALUE"""),"https://www.datacenterdynamics.com/en/news/data-center-planned-near-shreveport-louisiana-report/")</f>
        <v>https://www.datacenterdynamics.com/en/news/data-center-planned-near-shreveport-louisiana-report/</v>
      </c>
      <c r="AJ422" s="1" t="str">
        <f>IFERROR(__xludf.DUMMYFUNCTION("""COMPUTED_VALUE"""),"")</f>
        <v/>
      </c>
      <c r="AK422" s="1" t="str">
        <f>IFERROR(__xludf.DUMMYFUNCTION("""COMPUTED_VALUE"""),"")</f>
        <v/>
      </c>
      <c r="AL422" s="1" t="str">
        <f>IFERROR(__xludf.DUMMYFUNCTION("""COMPUTED_VALUE"""),"")</f>
        <v/>
      </c>
      <c r="AM422" s="1" t="str">
        <f>IFERROR(__xludf.DUMMYFUNCTION("""COMPUTED_VALUE"""),"")</f>
        <v/>
      </c>
      <c r="AN422" s="1" t="str">
        <f>IFERROR(__xludf.DUMMYFUNCTION("""COMPUTED_VALUE"""),"")</f>
        <v/>
      </c>
      <c r="AO422" s="1" t="str">
        <f>IFERROR(__xludf.DUMMYFUNCTION("""COMPUTED_VALUE"""),"")</f>
        <v/>
      </c>
      <c r="AP422" s="1" t="str">
        <f>IFERROR(__xludf.DUMMYFUNCTION("""COMPUTED_VALUE"""),"")</f>
        <v/>
      </c>
      <c r="AQ422" s="1" t="str">
        <f>IFERROR(__xludf.DUMMYFUNCTION("""COMPUTED_VALUE"""),"01/19/2026")</f>
        <v>01/19/2026</v>
      </c>
      <c r="AR422" s="1" t="str">
        <f>IFERROR(__xludf.DUMMYFUNCTION("""COMPUTED_VALUE"""),"01/19/2026")</f>
        <v>01/19/2026</v>
      </c>
    </row>
    <row r="423">
      <c r="A423" s="1" t="str">
        <f>IFERROR(__xludf.DUMMYFUNCTION("""COMPUTED_VALUE"""),"MS Solar Grid Data")</f>
        <v>MS Solar Grid Data</v>
      </c>
      <c r="B423" s="1" t="str">
        <f>IFERROR(__xludf.DUMMYFUNCTION("""COMPUTED_VALUE"""),"Interstate 10 and Read Blvd")</f>
        <v>Interstate 10 and Read Blvd</v>
      </c>
      <c r="C423" s="1" t="str">
        <f>IFERROR(__xludf.DUMMYFUNCTION("""COMPUTED_VALUE"""),"New Orleans East")</f>
        <v>New Orleans East</v>
      </c>
      <c r="D423" s="1" t="str">
        <f>IFERROR(__xludf.DUMMYFUNCTION("""COMPUTED_VALUE"""),"LA")</f>
        <v>LA</v>
      </c>
      <c r="E423" s="1" t="str">
        <f>IFERROR(__xludf.DUMMYFUNCTION("""COMPUTED_VALUE"""),"70127")</f>
        <v>70127</v>
      </c>
      <c r="F423" s="1" t="str">
        <f>IFERROR(__xludf.DUMMYFUNCTION("""COMPUTED_VALUE"""),"Orleans")</f>
        <v>Orleans</v>
      </c>
      <c r="G423" s="1" t="str">
        <f>IFERROR(__xludf.DUMMYFUNCTION("""COMPUTED_VALUE"""),"30.037401")</f>
        <v>30.037401</v>
      </c>
      <c r="H423" s="1" t="str">
        <f>IFERROR(__xludf.DUMMYFUNCTION("""COMPUTED_VALUE"""),"-89.97886")</f>
        <v>-89.97886</v>
      </c>
      <c r="I423" s="1" t="str">
        <f>IFERROR(__xludf.DUMMYFUNCTION("""COMPUTED_VALUE"""),"Suspended")</f>
        <v>Suspended</v>
      </c>
      <c r="J423" s="1" t="str">
        <f>IFERROR(__xludf.DUMMYFUNCTION("""COMPUTED_VALUE"""),"Medium")</f>
        <v>Medium</v>
      </c>
      <c r="K423" s="1" t="str">
        <f>IFERROR(__xludf.DUMMYFUNCTION("""COMPUTED_VALUE"""),"")</f>
        <v/>
      </c>
      <c r="L423" s="1" t="str">
        <f>IFERROR(__xludf.DUMMYFUNCTION("""COMPUTED_VALUE"""),"")</f>
        <v/>
      </c>
      <c r="M423" s="1" t="str">
        <f>IFERROR(__xludf.DUMMYFUNCTION("""COMPUTED_VALUE"""),"")</f>
        <v/>
      </c>
      <c r="N423" s="1" t="str">
        <f>IFERROR(__xludf.DUMMYFUNCTION("""COMPUTED_VALUE"""),"")</f>
        <v/>
      </c>
      <c r="O423" s="1" t="str">
        <f>IFERROR(__xludf.DUMMYFUNCTION("""COMPUTED_VALUE"""),"Unknown")</f>
        <v>Unknown</v>
      </c>
      <c r="P423" s="1" t="str">
        <f>IFERROR(__xludf.DUMMYFUNCTION("""COMPUTED_VALUE"""),"")</f>
        <v/>
      </c>
      <c r="Q423" s="1" t="str">
        <f>IFERROR(__xludf.DUMMYFUNCTION("""COMPUTED_VALUE"""),"")</f>
        <v/>
      </c>
      <c r="R423" s="1" t="str">
        <f>IFERROR(__xludf.DUMMYFUNCTION("""COMPUTED_VALUE"""),"")</f>
        <v/>
      </c>
      <c r="S423" s="1" t="str">
        <f>IFERROR(__xludf.DUMMYFUNCTION("""COMPUTED_VALUE"""),"")</f>
        <v/>
      </c>
      <c r="T423" s="1" t="str">
        <f>IFERROR(__xludf.DUMMYFUNCTION("""COMPUTED_VALUE"""),"")</f>
        <v/>
      </c>
      <c r="U423" s="1" t="str">
        <f>IFERROR(__xludf.DUMMYFUNCTION("""COMPUTED_VALUE"""),"")</f>
        <v/>
      </c>
      <c r="V423" s="1" t="str">
        <f>IFERROR(__xludf.DUMMYFUNCTION("""COMPUTED_VALUE"""),"")</f>
        <v/>
      </c>
      <c r="W423" s="1" t="str">
        <f>IFERROR(__xludf.DUMMYFUNCTION("""COMPUTED_VALUE"""),"")</f>
        <v/>
      </c>
      <c r="X423" s="1" t="str">
        <f>IFERROR(__xludf.DUMMYFUNCTION("""COMPUTED_VALUE"""),"")</f>
        <v/>
      </c>
      <c r="Y423" s="1" t="str">
        <f>IFERROR(__xludf.DUMMYFUNCTION("""COMPUTED_VALUE"""),"")</f>
        <v/>
      </c>
      <c r="Z423" s="1" t="str">
        <f>IFERROR(__xludf.DUMMYFUNCTION("""COMPUTED_VALUE"""),"Unknown")</f>
        <v>Unknown</v>
      </c>
      <c r="AA423" s="1" t="str">
        <f>IFERROR(__xludf.DUMMYFUNCTION("""COMPUTED_VALUE"""),"")</f>
        <v/>
      </c>
      <c r="AB423" s="1" t="str">
        <f>IFERROR(__xludf.DUMMYFUNCTION("""COMPUTED_VALUE"""),"")</f>
        <v/>
      </c>
      <c r="AC423" s="1" t="str">
        <f>IFERROR(__xludf.DUMMYFUNCTION("""COMPUTED_VALUE"""),"")</f>
        <v/>
      </c>
      <c r="AD423" s="2" t="str">
        <f>IFERROR(__xludf.DUMMYFUNCTION("""COMPUTED_VALUE"""),"https://www.all4energy.org/watchdog/statement-on-data-centers-in-nola/")</f>
        <v>https://www.all4energy.org/watchdog/statement-on-data-centers-in-nola/</v>
      </c>
      <c r="AE423" s="1" t="str">
        <f>IFERROR(__xludf.DUMMYFUNCTION("""COMPUTED_VALUE"""),"")</f>
        <v/>
      </c>
      <c r="AF423" s="1" t="str">
        <f>IFERROR(__xludf.DUMMYFUNCTION("""COMPUTED_VALUE"""),"")</f>
        <v/>
      </c>
      <c r="AG423" s="1" t="str">
        <f>IFERROR(__xludf.DUMMYFUNCTION("""COMPUTED_VALUE"""),"New Orleans has banned data centers")</f>
        <v>New Orleans has banned data centers</v>
      </c>
      <c r="AH423" s="1" t="str">
        <f>IFERROR(__xludf.DUMMYFUNCTION("""COMPUTED_VALUE"""),"Crowdsourced")</f>
        <v>Crowdsourced</v>
      </c>
      <c r="AI423" s="2" t="str">
        <f>IFERROR(__xludf.DUMMYFUNCTION("""COMPUTED_VALUE"""),"https://veritenews.org/2026/01/28/data-centers-ban-new-orleans-council/")</f>
        <v>https://veritenews.org/2026/01/28/data-centers-ban-new-orleans-council/</v>
      </c>
      <c r="AJ423" s="2" t="str">
        <f>IFERROR(__xludf.DUMMYFUNCTION("""COMPUTED_VALUE"""),"https://www.all4energy.org/watchdog/statement-on-data-centers-in-nola/")</f>
        <v>https://www.all4energy.org/watchdog/statement-on-data-centers-in-nola/</v>
      </c>
      <c r="AK423" s="2" t="str">
        <f>IFERROR(__xludf.DUMMYFUNCTION("""COMPUTED_VALUE"""),"https://wgno.com/news/louisiana/orleans-parish/new-orleans-city-council-pauses-proposed-data-center-in-new-orleans-east/")</f>
        <v>https://wgno.com/news/louisiana/orleans-parish/new-orleans-city-council-pauses-proposed-data-center-in-new-orleans-east/</v>
      </c>
      <c r="AL423" s="2" t="str">
        <f>IFERROR(__xludf.DUMMYFUNCTION("""COMPUTED_VALUE"""),"https://www.wwltv.com/article/news/local/its-very-concerning-to-the-community-neighbors-push-back-against-proposed-new-orleans-east-data-center/289-6872cdeb-ea95-4eef-b5e0-f83193ecfe00")</f>
        <v>https://www.wwltv.com/article/news/local/its-very-concerning-to-the-community-neighbors-push-back-against-proposed-new-orleans-east-data-center/289-6872cdeb-ea95-4eef-b5e0-f83193ecfe00</v>
      </c>
      <c r="AM423" s="1" t="str">
        <f>IFERROR(__xludf.DUMMYFUNCTION("""COMPUTED_VALUE"""),"")</f>
        <v/>
      </c>
      <c r="AN423" s="1" t="str">
        <f>IFERROR(__xludf.DUMMYFUNCTION("""COMPUTED_VALUE"""),"")</f>
        <v/>
      </c>
      <c r="AO423" s="1" t="str">
        <f>IFERROR(__xludf.DUMMYFUNCTION("""COMPUTED_VALUE"""),"")</f>
        <v/>
      </c>
      <c r="AP423" s="1" t="str">
        <f>IFERROR(__xludf.DUMMYFUNCTION("""COMPUTED_VALUE"""),"")</f>
        <v/>
      </c>
      <c r="AQ423" s="1" t="str">
        <f>IFERROR(__xludf.DUMMYFUNCTION("""COMPUTED_VALUE"""),"04/08/2026")</f>
        <v>04/08/2026</v>
      </c>
      <c r="AR423" s="1" t="str">
        <f>IFERROR(__xludf.DUMMYFUNCTION("""COMPUTED_VALUE"""),"04/08/2026")</f>
        <v>04/08/2026</v>
      </c>
    </row>
    <row r="424">
      <c r="A424" s="1" t="str">
        <f>IFERROR(__xludf.DUMMYFUNCTION("""COMPUTED_VALUE"""),"Meta RPL-10X Hyperion/Project Sucre")</f>
        <v>Meta RPL-10X Hyperion/Project Sucre</v>
      </c>
      <c r="B424" s="1" t="str">
        <f>IFERROR(__xludf.DUMMYFUNCTION("""COMPUTED_VALUE"""),"Burn Rd")</f>
        <v>Burn Rd</v>
      </c>
      <c r="C424" s="1" t="str">
        <f>IFERROR(__xludf.DUMMYFUNCTION("""COMPUTED_VALUE"""),"Rayville")</f>
        <v>Rayville</v>
      </c>
      <c r="D424" s="1" t="str">
        <f>IFERROR(__xludf.DUMMYFUNCTION("""COMPUTED_VALUE"""),"LA")</f>
        <v>LA</v>
      </c>
      <c r="E424" s="1" t="str">
        <f>IFERROR(__xludf.DUMMYFUNCTION("""COMPUTED_VALUE"""),"71269")</f>
        <v>71269</v>
      </c>
      <c r="F424" s="1" t="str">
        <f>IFERROR(__xludf.DUMMYFUNCTION("""COMPUTED_VALUE"""),"Richland")</f>
        <v>Richland</v>
      </c>
      <c r="G424" s="1" t="str">
        <f>IFERROR(__xludf.DUMMYFUNCTION("""COMPUTED_VALUE"""),"32.50788")</f>
        <v>32.50788</v>
      </c>
      <c r="H424" s="1" t="str">
        <f>IFERROR(__xludf.DUMMYFUNCTION("""COMPUTED_VALUE"""),"-91.6349")</f>
        <v>-91.6349</v>
      </c>
      <c r="I424" s="1" t="str">
        <f>IFERROR(__xludf.DUMMYFUNCTION("""COMPUTED_VALUE"""),"Expanding")</f>
        <v>Expanding</v>
      </c>
      <c r="J424" s="1" t="str">
        <f>IFERROR(__xludf.DUMMYFUNCTION("""COMPUTED_VALUE"""),"High")</f>
        <v>High</v>
      </c>
      <c r="K424" s="1" t="str">
        <f>IFERROR(__xludf.DUMMYFUNCTION("""COMPUTED_VALUE"""),"")</f>
        <v/>
      </c>
      <c r="L424" s="1" t="str">
        <f>IFERROR(__xludf.DUMMYFUNCTION("""COMPUTED_VALUE"""),"Meta")</f>
        <v>Meta</v>
      </c>
      <c r="M424" s="1" t="str">
        <f>IFERROR(__xludf.DUMMYFUNCTION("""COMPUTED_VALUE"""),"")</f>
        <v/>
      </c>
      <c r="N424" s="1" t="str">
        <f>IFERROR(__xludf.DUMMYFUNCTION("""COMPUTED_VALUE"""),"1,500-2,200")</f>
        <v>1,500-2,200</v>
      </c>
      <c r="O424" s="1" t="str">
        <f>IFERROR(__xludf.DUMMYFUNCTION("""COMPUTED_VALUE"""),"Mega campus (&gt;1,000 MW)")</f>
        <v>Mega campus (&gt;1,000 MW)</v>
      </c>
      <c r="P424" s="1" t="str">
        <f>IFERROR(__xludf.DUMMYFUNCTION("""COMPUTED_VALUE"""),"Natural gas")</f>
        <v>Natural gas</v>
      </c>
      <c r="Q424" s="1" t="str">
        <f>IFERROR(__xludf.DUMMYFUNCTION("""COMPUTED_VALUE"""),"2")</f>
        <v>2</v>
      </c>
      <c r="R424" s="1" t="str">
        <f>IFERROR(__xludf.DUMMYFUNCTION("""COMPUTED_VALUE"""),"")</f>
        <v/>
      </c>
      <c r="S424" s="1" t="str">
        <f>IFERROR(__xludf.DUMMYFUNCTION("""COMPUTED_VALUE"""),"")</f>
        <v/>
      </c>
      <c r="T424" s="1" t="str">
        <f>IFERROR(__xludf.DUMMYFUNCTION("""COMPUTED_VALUE"""),"")</f>
        <v/>
      </c>
      <c r="U424" s="1" t="str">
        <f>IFERROR(__xludf.DUMMYFUNCTION("""COMPUTED_VALUE"""),"")</f>
        <v/>
      </c>
      <c r="V424" s="1" t="str">
        <f>IFERROR(__xludf.DUMMYFUNCTION("""COMPUTED_VALUE"""),"4,000,000")</f>
        <v>4,000,000</v>
      </c>
      <c r="W424" s="1" t="str">
        <f>IFERROR(__xludf.DUMMYFUNCTION("""COMPUTED_VALUE"""),"3650")</f>
        <v>3650</v>
      </c>
      <c r="X424" s="1" t="str">
        <f>IFERROR(__xludf.DUMMYFUNCTION("""COMPUTED_VALUE"""),"$10 billion")</f>
        <v>$10 billion</v>
      </c>
      <c r="Y424" s="1" t="str">
        <f>IFERROR(__xludf.DUMMYFUNCTION("""COMPUTED_VALUE"""),"2028")</f>
        <v>2028</v>
      </c>
      <c r="Z424" s="1" t="str">
        <f>IFERROR(__xludf.DUMMYFUNCTION("""COMPUTED_VALUE"""),"Yes")</f>
        <v>Yes</v>
      </c>
      <c r="AA424" s="1" t="str">
        <f>IFERROR(__xludf.DUMMYFUNCTION("""COMPUTED_VALUE"""),"")</f>
        <v/>
      </c>
      <c r="AB424" s="1" t="str">
        <f>IFERROR(__xludf.DUMMYFUNCTION("""COMPUTED_VALUE"""),"")</f>
        <v/>
      </c>
      <c r="AC424" s="1" t="str">
        <f>IFERROR(__xludf.DUMMYFUNCTION("""COMPUTED_VALUE"""),"")</f>
        <v/>
      </c>
      <c r="AD424" s="1" t="str">
        <f>IFERROR(__xludf.DUMMYFUNCTION("""COMPUTED_VALUE"""),"NC")</f>
        <v>NC</v>
      </c>
      <c r="AE424" s="2" t="str">
        <f>IFERROR(__xludf.DUMMYFUNCTION("""COMPUTED_VALUE"""),"https://capitalbnews.org/meta-richland-parish-ai-data-center/")</f>
        <v>https://capitalbnews.org/meta-richland-parish-ai-data-center/</v>
      </c>
      <c r="AF424" s="1" t="str">
        <f>IFERROR(__xludf.DUMMYFUNCTION("""COMPUTED_VALUE"""),"")</f>
        <v/>
      </c>
      <c r="AG424" s="1" t="str">
        <f>IFERROR(__xludf.DUMMYFUNCTION("""COMPUTED_VALUE"""),"Run on gas turbines from 3 dedicated power plants able to generate 2200 MW, also 1.5 GW solar approved. ""Size of 70 football fields."" Set to be the world’s largest data center")</f>
        <v>Run on gas turbines from 3 dedicated power plants able to generate 2200 MW, also 1.5 GW solar approved. "Size of 70 football fields." Set to be the world’s largest data center</v>
      </c>
      <c r="AH424" s="1" t="str">
        <f>IFERROR(__xludf.DUMMYFUNCTION("""COMPUTED_VALUE"""),"Crowdsourced")</f>
        <v>Crowdsourced</v>
      </c>
      <c r="AI424" s="2" t="str">
        <f>IFERROR(__xludf.DUMMYFUNCTION("""COMPUTED_VALUE"""),"https://www.datacenterdynamics.com/en/news/meta-announces-4-million-sq-ft-louisiana-data-center-campus/")</f>
        <v>https://www.datacenterdynamics.com/en/news/meta-announces-4-million-sq-ft-louisiana-data-center-campus/</v>
      </c>
      <c r="AJ424" s="2" t="str">
        <f>IFERROR(__xludf.DUMMYFUNCTION("""COMPUTED_VALUE"""),"https://louisianasiteselection.com/api/Upload/FileDownload?guid=56ec41afe38d458282a61cebe1b47c3e")</f>
        <v>https://louisianasiteselection.com/api/Upload/FileDownload?guid=56ec41afe38d458282a61cebe1b47c3e</v>
      </c>
      <c r="AK424" s="2" t="str">
        <f>IFERROR(__xludf.DUMMYFUNCTION("""COMPUTED_VALUE"""),"https://www.opportunitylouisiana.gov/news/meta-selects-northeast-louisiana-as-site-of-10-billion-artificial-intelligence-optimized-data-center-governor-jeff-landry-calls-investment-a-new-chapter-for-state")</f>
        <v>https://www.opportunitylouisiana.gov/news/meta-selects-northeast-louisiana-as-site-of-10-billion-artificial-intelligence-optimized-data-center-governor-jeff-landry-calls-investment-a-new-chapter-for-state</v>
      </c>
      <c r="AL424" s="2" t="str">
        <f>IFERROR(__xludf.DUMMYFUNCTION("""COMPUTED_VALUE"""),"https://www.datacenterdynamics.com/en/news/entergy-to-build-12bn-500kv-transmission-line-to-serve-meta-mega-data-center-in-louisiana/")</f>
        <v>https://www.datacenterdynamics.com/en/news/entergy-to-build-12bn-500kv-transmission-line-to-serve-meta-mega-data-center-in-louisiana/</v>
      </c>
      <c r="AM424" s="2" t="str">
        <f>IFERROR(__xludf.DUMMYFUNCTION("""COMPUTED_VALUE"""),"https://www.datacenterdynamics.com/en/news/entergy-obtains-approval-to-construct-three-gas-facilities-to-serve-metas-2gw-data-center-in-louisiana/")</f>
        <v>https://www.datacenterdynamics.com/en/news/entergy-obtains-approval-to-construct-three-gas-facilities-to-serve-metas-2gw-data-center-in-louisiana/</v>
      </c>
      <c r="AN424" s="2" t="str">
        <f>IFERROR(__xludf.DUMMYFUNCTION("""COMPUTED_VALUE"""),"https://www.bgr.com/1990532/meta-new-aid-data-center-size-70-football-fields-residents-scared-water/")</f>
        <v>https://www.bgr.com/1990532/meta-new-aid-data-center-size-70-football-fields-residents-scared-water/</v>
      </c>
      <c r="AO424" s="2" t="str">
        <f>IFERROR(__xludf.DUMMYFUNCTION("""COMPUTED_VALUE"""),"https://lailluminator.com/briefs/entergy-builds-power-plant-for-data-center/")</f>
        <v>https://lailluminator.com/briefs/entergy-builds-power-plant-for-data-center/</v>
      </c>
      <c r="AP424" s="2" t="str">
        <f>IFERROR(__xludf.DUMMYFUNCTION("""COMPUTED_VALUE"""),"https://www.datacenterdynamics.com/en/news/meta-purchases-additional-1400-acres-for-hyperion-mega-data-center-expansion/")</f>
        <v>https://www.datacenterdynamics.com/en/news/meta-purchases-additional-1400-acres-for-hyperion-mega-data-center-expansion/</v>
      </c>
      <c r="AQ424" s="1" t="str">
        <f>IFERROR(__xludf.DUMMYFUNCTION("""COMPUTED_VALUE"""),"08/27/2025")</f>
        <v>08/27/2025</v>
      </c>
      <c r="AR424" s="1" t="str">
        <f>IFERROR(__xludf.DUMMYFUNCTION("""COMPUTED_VALUE"""),"07/14/2026")</f>
        <v>07/14/2026</v>
      </c>
    </row>
    <row r="425">
      <c r="A425" s="1" t="str">
        <f>IFERROR(__xludf.DUMMYFUNCTION("""COMPUTED_VALUE"""),"DartPoints Data Center")</f>
        <v>DartPoints Data Center</v>
      </c>
      <c r="B425" s="1" t="str">
        <f>IFERROR(__xludf.DUMMYFUNCTION("""COMPUTED_VALUE"""),"601 Milam St")</f>
        <v>601 Milam St</v>
      </c>
      <c r="C425" s="1" t="str">
        <f>IFERROR(__xludf.DUMMYFUNCTION("""COMPUTED_VALUE"""),"Shreveport")</f>
        <v>Shreveport</v>
      </c>
      <c r="D425" s="1" t="str">
        <f>IFERROR(__xludf.DUMMYFUNCTION("""COMPUTED_VALUE"""),"LA")</f>
        <v>LA</v>
      </c>
      <c r="E425" s="1" t="str">
        <f>IFERROR(__xludf.DUMMYFUNCTION("""COMPUTED_VALUE"""),"71101")</f>
        <v>71101</v>
      </c>
      <c r="F425" s="1" t="str">
        <f>IFERROR(__xludf.DUMMYFUNCTION("""COMPUTED_VALUE"""),"Caddo")</f>
        <v>Caddo</v>
      </c>
      <c r="G425" s="1" t="str">
        <f>IFERROR(__xludf.DUMMYFUNCTION("""COMPUTED_VALUE"""),"32.51101")</f>
        <v>32.51101</v>
      </c>
      <c r="H425" s="1" t="str">
        <f>IFERROR(__xludf.DUMMYFUNCTION("""COMPUTED_VALUE"""),"-93.7498")</f>
        <v>-93.7498</v>
      </c>
      <c r="I425" s="1" t="str">
        <f>IFERROR(__xludf.DUMMYFUNCTION("""COMPUTED_VALUE"""),"Operating")</f>
        <v>Operating</v>
      </c>
      <c r="J425" s="1" t="str">
        <f>IFERROR(__xludf.DUMMYFUNCTION("""COMPUTED_VALUE"""),"High")</f>
        <v>High</v>
      </c>
      <c r="K425" s="1" t="str">
        <f>IFERROR(__xludf.DUMMYFUNCTION("""COMPUTED_VALUE"""),"")</f>
        <v/>
      </c>
      <c r="L425" s="1" t="str">
        <f>IFERROR(__xludf.DUMMYFUNCTION("""COMPUTED_VALUE"""),"")</f>
        <v/>
      </c>
      <c r="M425" s="1" t="str">
        <f>IFERROR(__xludf.DUMMYFUNCTION("""COMPUTED_VALUE"""),"")</f>
        <v/>
      </c>
      <c r="N425" s="1" t="str">
        <f>IFERROR(__xludf.DUMMYFUNCTION("""COMPUTED_VALUE"""),"")</f>
        <v/>
      </c>
      <c r="O425" s="1" t="str">
        <f>IFERROR(__xludf.DUMMYFUNCTION("""COMPUTED_VALUE"""),"Unknown")</f>
        <v>Unknown</v>
      </c>
      <c r="P425" s="1" t="str">
        <f>IFERROR(__xludf.DUMMYFUNCTION("""COMPUTED_VALUE"""),"")</f>
        <v/>
      </c>
      <c r="Q425" s="1" t="str">
        <f>IFERROR(__xludf.DUMMYFUNCTION("""COMPUTED_VALUE"""),"")</f>
        <v/>
      </c>
      <c r="R425" s="1" t="str">
        <f>IFERROR(__xludf.DUMMYFUNCTION("""COMPUTED_VALUE"""),"")</f>
        <v/>
      </c>
      <c r="S425" s="1" t="str">
        <f>IFERROR(__xludf.DUMMYFUNCTION("""COMPUTED_VALUE"""),"")</f>
        <v/>
      </c>
      <c r="T425" s="1" t="str">
        <f>IFERROR(__xludf.DUMMYFUNCTION("""COMPUTED_VALUE"""),"")</f>
        <v/>
      </c>
      <c r="U425" s="1" t="str">
        <f>IFERROR(__xludf.DUMMYFUNCTION("""COMPUTED_VALUE"""),"")</f>
        <v/>
      </c>
      <c r="V425" s="1" t="str">
        <f>IFERROR(__xludf.DUMMYFUNCTION("""COMPUTED_VALUE"""),"8,700")</f>
        <v>8,700</v>
      </c>
      <c r="W425" s="1" t="str">
        <f>IFERROR(__xludf.DUMMYFUNCTION("""COMPUTED_VALUE"""),"")</f>
        <v/>
      </c>
      <c r="X425" s="1" t="str">
        <f>IFERROR(__xludf.DUMMYFUNCTION("""COMPUTED_VALUE"""),"")</f>
        <v/>
      </c>
      <c r="Y425" s="1" t="str">
        <f>IFERROR(__xludf.DUMMYFUNCTION("""COMPUTED_VALUE"""),"")</f>
        <v/>
      </c>
      <c r="Z425" s="1" t="str">
        <f>IFERROR(__xludf.DUMMYFUNCTION("""COMPUTED_VALUE"""),"Unknown")</f>
        <v>Unknown</v>
      </c>
      <c r="AA425" s="1" t="str">
        <f>IFERROR(__xludf.DUMMYFUNCTION("""COMPUTED_VALUE"""),"")</f>
        <v/>
      </c>
      <c r="AB425" s="1" t="str">
        <f>IFERROR(__xludf.DUMMYFUNCTION("""COMPUTED_VALUE"""),"")</f>
        <v/>
      </c>
      <c r="AC425" s="1" t="str">
        <f>IFERROR(__xludf.DUMMYFUNCTION("""COMPUTED_VALUE"""),"")</f>
        <v/>
      </c>
      <c r="AD425" s="1" t="str">
        <f>IFERROR(__xludf.DUMMYFUNCTION("""COMPUTED_VALUE"""),"")</f>
        <v/>
      </c>
      <c r="AE425" s="1" t="str">
        <f>IFERROR(__xludf.DUMMYFUNCTION("""COMPUTED_VALUE"""),"")</f>
        <v/>
      </c>
      <c r="AF425" s="1" t="str">
        <f>IFERROR(__xludf.DUMMYFUNCTION("""COMPUTED_VALUE"""),"")</f>
        <v/>
      </c>
      <c r="AG425" s="1" t="str">
        <f>IFERROR(__xludf.DUMMYFUNCTION("""COMPUTED_VALUE"""),"")</f>
        <v/>
      </c>
      <c r="AH425" s="1" t="str">
        <f>IFERROR(__xludf.DUMMYFUNCTION("""COMPUTED_VALUE"""),"Media Monitoring")</f>
        <v>Media Monitoring</v>
      </c>
      <c r="AI425" s="2" t="str">
        <f>IFERROR(__xludf.DUMMYFUNCTION("""COMPUTED_VALUE"""),"https://dartpoints.com/locations/louisiana3/")</f>
        <v>https://dartpoints.com/locations/louisiana3/</v>
      </c>
      <c r="AJ425" s="1" t="str">
        <f>IFERROR(__xludf.DUMMYFUNCTION("""COMPUTED_VALUE"""),"")</f>
        <v/>
      </c>
      <c r="AK425" s="1" t="str">
        <f>IFERROR(__xludf.DUMMYFUNCTION("""COMPUTED_VALUE"""),"")</f>
        <v/>
      </c>
      <c r="AL425" s="1" t="str">
        <f>IFERROR(__xludf.DUMMYFUNCTION("""COMPUTED_VALUE"""),"")</f>
        <v/>
      </c>
      <c r="AM425" s="1" t="str">
        <f>IFERROR(__xludf.DUMMYFUNCTION("""COMPUTED_VALUE"""),"")</f>
        <v/>
      </c>
      <c r="AN425" s="1" t="str">
        <f>IFERROR(__xludf.DUMMYFUNCTION("""COMPUTED_VALUE"""),"")</f>
        <v/>
      </c>
      <c r="AO425" s="1" t="str">
        <f>IFERROR(__xludf.DUMMYFUNCTION("""COMPUTED_VALUE"""),"")</f>
        <v/>
      </c>
      <c r="AP425" s="1" t="str">
        <f>IFERROR(__xludf.DUMMYFUNCTION("""COMPUTED_VALUE"""),"")</f>
        <v/>
      </c>
      <c r="AQ425" s="1" t="str">
        <f>IFERROR(__xludf.DUMMYFUNCTION("""COMPUTED_VALUE"""),"09/16/2025")</f>
        <v>09/16/2025</v>
      </c>
      <c r="AR425" s="1" t="str">
        <f>IFERROR(__xludf.DUMMYFUNCTION("""COMPUTED_VALUE"""),"09/16/2025")</f>
        <v>09/16/2025</v>
      </c>
    </row>
    <row r="426">
      <c r="A426" s="1" t="str">
        <f>IFERROR(__xludf.DUMMYFUNCTION("""COMPUTED_VALUE"""),"Shreveport Data Center")</f>
        <v>Shreveport Data Center</v>
      </c>
      <c r="B426" s="1" t="str">
        <f>IFERROR(__xludf.DUMMYFUNCTION("""COMPUTED_VALUE"""),"7340 Greenwood Rd")</f>
        <v>7340 Greenwood Rd</v>
      </c>
      <c r="C426" s="1" t="str">
        <f>IFERROR(__xludf.DUMMYFUNCTION("""COMPUTED_VALUE"""),"Shreveport")</f>
        <v>Shreveport</v>
      </c>
      <c r="D426" s="1" t="str">
        <f>IFERROR(__xludf.DUMMYFUNCTION("""COMPUTED_VALUE"""),"LA")</f>
        <v>LA</v>
      </c>
      <c r="E426" s="1" t="str">
        <f>IFERROR(__xludf.DUMMYFUNCTION("""COMPUTED_VALUE"""),"71119")</f>
        <v>71119</v>
      </c>
      <c r="F426" s="1" t="str">
        <f>IFERROR(__xludf.DUMMYFUNCTION("""COMPUTED_VALUE"""),"Caddo")</f>
        <v>Caddo</v>
      </c>
      <c r="G426" s="1" t="str">
        <f>IFERROR(__xludf.DUMMYFUNCTION("""COMPUTED_VALUE"""),"32.45425")</f>
        <v>32.45425</v>
      </c>
      <c r="H426" s="1" t="str">
        <f>IFERROR(__xludf.DUMMYFUNCTION("""COMPUTED_VALUE"""),"-93.9052")</f>
        <v>-93.9052</v>
      </c>
      <c r="I426" s="1" t="str">
        <f>IFERROR(__xludf.DUMMYFUNCTION("""COMPUTED_VALUE"""),"Proposed")</f>
        <v>Proposed</v>
      </c>
      <c r="J426" s="1" t="str">
        <f>IFERROR(__xludf.DUMMYFUNCTION("""COMPUTED_VALUE"""),"High")</f>
        <v>High</v>
      </c>
      <c r="K426" s="1" t="str">
        <f>IFERROR(__xludf.DUMMYFUNCTION("""COMPUTED_VALUE"""),"")</f>
        <v/>
      </c>
      <c r="L426" s="1" t="str">
        <f>IFERROR(__xludf.DUMMYFUNCTION("""COMPUTED_VALUE"""),"")</f>
        <v/>
      </c>
      <c r="M426" s="1" t="str">
        <f>IFERROR(__xludf.DUMMYFUNCTION("""COMPUTED_VALUE"""),"")</f>
        <v/>
      </c>
      <c r="N426" s="1" t="str">
        <f>IFERROR(__xludf.DUMMYFUNCTION("""COMPUTED_VALUE"""),"")</f>
        <v/>
      </c>
      <c r="O426" s="1" t="str">
        <f>IFERROR(__xludf.DUMMYFUNCTION("""COMPUTED_VALUE"""),"Unknown")</f>
        <v>Unknown</v>
      </c>
      <c r="P426" s="1" t="str">
        <f>IFERROR(__xludf.DUMMYFUNCTION("""COMPUTED_VALUE"""),"")</f>
        <v/>
      </c>
      <c r="Q426" s="1" t="str">
        <f>IFERROR(__xludf.DUMMYFUNCTION("""COMPUTED_VALUE"""),"")</f>
        <v/>
      </c>
      <c r="R426" s="1" t="str">
        <f>IFERROR(__xludf.DUMMYFUNCTION("""COMPUTED_VALUE"""),"")</f>
        <v/>
      </c>
      <c r="S426" s="1" t="str">
        <f>IFERROR(__xludf.DUMMYFUNCTION("""COMPUTED_VALUE"""),"")</f>
        <v/>
      </c>
      <c r="T426" s="1" t="str">
        <f>IFERROR(__xludf.DUMMYFUNCTION("""COMPUTED_VALUE"""),"")</f>
        <v/>
      </c>
      <c r="U426" s="1" t="str">
        <f>IFERROR(__xludf.DUMMYFUNCTION("""COMPUTED_VALUE"""),"")</f>
        <v/>
      </c>
      <c r="V426" s="1" t="str">
        <f>IFERROR(__xludf.DUMMYFUNCTION("""COMPUTED_VALUE"""),"1,000,000")</f>
        <v>1,000,000</v>
      </c>
      <c r="W426" s="1" t="str">
        <f>IFERROR(__xludf.DUMMYFUNCTION("""COMPUTED_VALUE"""),"")</f>
        <v/>
      </c>
      <c r="X426" s="1" t="str">
        <f>IFERROR(__xludf.DUMMYFUNCTION("""COMPUTED_VALUE"""),"")</f>
        <v/>
      </c>
      <c r="Y426" s="1" t="str">
        <f>IFERROR(__xludf.DUMMYFUNCTION("""COMPUTED_VALUE"""),"")</f>
        <v/>
      </c>
      <c r="Z426" s="1" t="str">
        <f>IFERROR(__xludf.DUMMYFUNCTION("""COMPUTED_VALUE"""),"Unknown")</f>
        <v>Unknown</v>
      </c>
      <c r="AA426" s="1" t="str">
        <f>IFERROR(__xludf.DUMMYFUNCTION("""COMPUTED_VALUE"""),"")</f>
        <v/>
      </c>
      <c r="AB426" s="1" t="str">
        <f>IFERROR(__xludf.DUMMYFUNCTION("""COMPUTED_VALUE"""),"")</f>
        <v/>
      </c>
      <c r="AC426" s="1" t="str">
        <f>IFERROR(__xludf.DUMMYFUNCTION("""COMPUTED_VALUE"""),"")</f>
        <v/>
      </c>
      <c r="AD426" s="1" t="str">
        <f>IFERROR(__xludf.DUMMYFUNCTION("""COMPUTED_VALUE"""),"")</f>
        <v/>
      </c>
      <c r="AE426" s="1" t="str">
        <f>IFERROR(__xludf.DUMMYFUNCTION("""COMPUTED_VALUE"""),"")</f>
        <v/>
      </c>
      <c r="AF426" s="1" t="str">
        <f>IFERROR(__xludf.DUMMYFUNCTION("""COMPUTED_VALUE"""),"")</f>
        <v/>
      </c>
      <c r="AG426" s="1" t="str">
        <f>IFERROR(__xludf.DUMMYFUNCTION("""COMPUTED_VALUE"""),"")</f>
        <v/>
      </c>
      <c r="AH426" s="1" t="str">
        <f>IFERROR(__xludf.DUMMYFUNCTION("""COMPUTED_VALUE"""),"Media Monitoring")</f>
        <v>Media Monitoring</v>
      </c>
      <c r="AI426" s="2" t="str">
        <f>IFERROR(__xludf.DUMMYFUNCTION("""COMPUTED_VALUE"""),"https://web.archive.org/web/20250912021859/https://www.shreveportbossieradvocate.com/business/west-shreveport-tapped-for-one-million-square-foot-data-center/article_f58624b7-a568-433b-8943-9200c28cde51.html")</f>
        <v>https://web.archive.org/web/20250912021859/https://www.shreveportbossieradvocate.com/business/west-shreveport-tapped-for-one-million-square-foot-data-center/article_f58624b7-a568-433b-8943-9200c28cde51.html</v>
      </c>
      <c r="AJ426" s="1" t="str">
        <f>IFERROR(__xludf.DUMMYFUNCTION("""COMPUTED_VALUE"""),"")</f>
        <v/>
      </c>
      <c r="AK426" s="1" t="str">
        <f>IFERROR(__xludf.DUMMYFUNCTION("""COMPUTED_VALUE"""),"")</f>
        <v/>
      </c>
      <c r="AL426" s="1" t="str">
        <f>IFERROR(__xludf.DUMMYFUNCTION("""COMPUTED_VALUE"""),"")</f>
        <v/>
      </c>
      <c r="AM426" s="1" t="str">
        <f>IFERROR(__xludf.DUMMYFUNCTION("""COMPUTED_VALUE"""),"")</f>
        <v/>
      </c>
      <c r="AN426" s="1" t="str">
        <f>IFERROR(__xludf.DUMMYFUNCTION("""COMPUTED_VALUE"""),"")</f>
        <v/>
      </c>
      <c r="AO426" s="1" t="str">
        <f>IFERROR(__xludf.DUMMYFUNCTION("""COMPUTED_VALUE"""),"")</f>
        <v/>
      </c>
      <c r="AP426" s="1" t="str">
        <f>IFERROR(__xludf.DUMMYFUNCTION("""COMPUTED_VALUE"""),"")</f>
        <v/>
      </c>
      <c r="AQ426" s="1" t="str">
        <f>IFERROR(__xludf.DUMMYFUNCTION("""COMPUTED_VALUE"""),"09/15/2025")</f>
        <v>09/15/2025</v>
      </c>
      <c r="AR426" s="1" t="str">
        <f>IFERROR(__xludf.DUMMYFUNCTION("""COMPUTED_VALUE"""),"09/15/2025")</f>
        <v>09/15/2025</v>
      </c>
    </row>
    <row r="427">
      <c r="A427" s="1" t="str">
        <f>IFERROR(__xludf.DUMMYFUNCTION("""COMPUTED_VALUE"""),"River Bend Campus")</f>
        <v>River Bend Campus</v>
      </c>
      <c r="B427" s="1" t="str">
        <f>IFERROR(__xludf.DUMMYFUNCTION("""COMPUTED_VALUE"""),"off Louisiana Highway 964")</f>
        <v>off Louisiana Highway 964</v>
      </c>
      <c r="C427" s="1" t="str">
        <f>IFERROR(__xludf.DUMMYFUNCTION("""COMPUTED_VALUE"""),"St. Francisville")</f>
        <v>St. Francisville</v>
      </c>
      <c r="D427" s="1" t="str">
        <f>IFERROR(__xludf.DUMMYFUNCTION("""COMPUTED_VALUE"""),"LA")</f>
        <v>LA</v>
      </c>
      <c r="E427" s="1" t="str">
        <f>IFERROR(__xludf.DUMMYFUNCTION("""COMPUTED_VALUE"""),"70748")</f>
        <v>70748</v>
      </c>
      <c r="F427" s="1" t="str">
        <f>IFERROR(__xludf.DUMMYFUNCTION("""COMPUTED_VALUE"""),"East Feliciana")</f>
        <v>East Feliciana</v>
      </c>
      <c r="G427" s="1" t="str">
        <f>IFERROR(__xludf.DUMMYFUNCTION("""COMPUTED_VALUE"""),"30.751701")</f>
        <v>30.751701</v>
      </c>
      <c r="H427" s="1" t="str">
        <f>IFERROR(__xludf.DUMMYFUNCTION("""COMPUTED_VALUE"""),"-91.27455")</f>
        <v>-91.27455</v>
      </c>
      <c r="I427" s="1" t="str">
        <f>IFERROR(__xludf.DUMMYFUNCTION("""COMPUTED_VALUE"""),"Approved/Permitted/Under construction")</f>
        <v>Approved/Permitted/Under construction</v>
      </c>
      <c r="J427" s="1" t="str">
        <f>IFERROR(__xludf.DUMMYFUNCTION("""COMPUTED_VALUE"""),"Low")</f>
        <v>Low</v>
      </c>
      <c r="K427" s="1" t="str">
        <f>IFERROR(__xludf.DUMMYFUNCTION("""COMPUTED_VALUE"""),"AI and Bitcoin")</f>
        <v>AI and Bitcoin</v>
      </c>
      <c r="L427" s="1" t="str">
        <f>IFERROR(__xludf.DUMMYFUNCTION("""COMPUTED_VALUE"""),"Hut 8")</f>
        <v>Hut 8</v>
      </c>
      <c r="M427" s="1" t="str">
        <f>IFERROR(__xludf.DUMMYFUNCTION("""COMPUTED_VALUE"""),"")</f>
        <v/>
      </c>
      <c r="N427" s="1" t="str">
        <f>IFERROR(__xludf.DUMMYFUNCTION("""COMPUTED_VALUE"""),"300")</f>
        <v>300</v>
      </c>
      <c r="O427" s="1" t="str">
        <f>IFERROR(__xludf.DUMMYFUNCTION("""COMPUTED_VALUE"""),"Hyperscale (100-999 MW)")</f>
        <v>Hyperscale (100-999 MW)</v>
      </c>
      <c r="P427" s="1" t="str">
        <f>IFERROR(__xludf.DUMMYFUNCTION("""COMPUTED_VALUE"""),"")</f>
        <v/>
      </c>
      <c r="Q427" s="1" t="str">
        <f>IFERROR(__xludf.DUMMYFUNCTION("""COMPUTED_VALUE"""),"")</f>
        <v/>
      </c>
      <c r="R427" s="1" t="str">
        <f>IFERROR(__xludf.DUMMYFUNCTION("""COMPUTED_VALUE"""),"")</f>
        <v/>
      </c>
      <c r="S427" s="1" t="str">
        <f>IFERROR(__xludf.DUMMYFUNCTION("""COMPUTED_VALUE"""),"2")</f>
        <v>2</v>
      </c>
      <c r="T427" s="1" t="str">
        <f>IFERROR(__xludf.DUMMYFUNCTION("""COMPUTED_VALUE"""),"")</f>
        <v/>
      </c>
      <c r="U427" s="1" t="str">
        <f>IFERROR(__xludf.DUMMYFUNCTION("""COMPUTED_VALUE"""),"Closed loop")</f>
        <v>Closed loop</v>
      </c>
      <c r="V427" s="1" t="str">
        <f>IFERROR(__xludf.DUMMYFUNCTION("""COMPUTED_VALUE"""),"900,000")</f>
        <v>900,000</v>
      </c>
      <c r="W427" s="1" t="str">
        <f>IFERROR(__xludf.DUMMYFUNCTION("""COMPUTED_VALUE"""),"592")</f>
        <v>592</v>
      </c>
      <c r="X427" s="1" t="str">
        <f>IFERROR(__xludf.DUMMYFUNCTION("""COMPUTED_VALUE"""),"$2.5 billion")</f>
        <v>$2.5 billion</v>
      </c>
      <c r="Y427" s="1" t="str">
        <f>IFERROR(__xludf.DUMMYFUNCTION("""COMPUTED_VALUE"""),"2026")</f>
        <v>2026</v>
      </c>
      <c r="Z427" s="1" t="str">
        <f>IFERROR(__xludf.DUMMYFUNCTION("""COMPUTED_VALUE"""),"Unknown")</f>
        <v>Unknown</v>
      </c>
      <c r="AA427" s="1" t="str">
        <f>IFERROR(__xludf.DUMMYFUNCTION("""COMPUTED_VALUE"""),"")</f>
        <v/>
      </c>
      <c r="AB427" s="1" t="str">
        <f>IFERROR(__xludf.DUMMYFUNCTION("""COMPUTED_VALUE"""),"")</f>
        <v/>
      </c>
      <c r="AC427" s="1" t="str">
        <f>IFERROR(__xludf.DUMMYFUNCTION("""COMPUTED_VALUE"""),"")</f>
        <v/>
      </c>
      <c r="AD427" s="1" t="str">
        <f>IFERROR(__xludf.DUMMYFUNCTION("""COMPUTED_VALUE"""),"")</f>
        <v/>
      </c>
      <c r="AE427" s="1" t="str">
        <f>IFERROR(__xludf.DUMMYFUNCTION("""COMPUTED_VALUE"""),"")</f>
        <v/>
      </c>
      <c r="AF427" s="1" t="str">
        <f>IFERROR(__xludf.DUMMYFUNCTION("""COMPUTED_VALUE"""),"")</f>
        <v/>
      </c>
      <c r="AG427" s="1" t="str">
        <f>IFERROR(__xludf.DUMMYFUNCTION("""COMPUTED_VALUE"""),"Unique revenue agreement will allows West Feliciana Parish to collect payments in lieu of traditional property taxes, a plan known as Payment in Lieu of Taxes or PILOT. Parish officials say it will generate more revenue than Louisiana’s standard tax incen"&amp;"tive programs, up to $90 million a year for 30 years. Located near the River Bend Nuclear Power Plant, has easy access to both natural gas and transmission lines")</f>
        <v>Unique revenue agreement will allows West Feliciana Parish to collect payments in lieu of traditional property taxes, a plan known as Payment in Lieu of Taxes or PILOT. Parish officials say it will generate more revenue than Louisiana’s standard tax incentive programs, up to $90 million a year for 30 years. Located near the River Bend Nuclear Power Plant, has easy access to both natural gas and transmission lines</v>
      </c>
      <c r="AH427" s="1" t="str">
        <f>IFERROR(__xludf.DUMMYFUNCTION("""COMPUTED_VALUE"""),"Media Monitoring")</f>
        <v>Media Monitoring</v>
      </c>
      <c r="AI427" s="2" t="str">
        <f>IFERROR(__xludf.DUMMYFUNCTION("""COMPUTED_VALUE"""),"https://www.datacenterdynamics.com/en/news/hut-8-secures-592-acres-for-300mw-bitcoin-and-ai-data-center/")</f>
        <v>https://www.datacenterdynamics.com/en/news/hut-8-secures-592-acres-for-300mw-bitcoin-and-ai-data-center/</v>
      </c>
      <c r="AJ427" s="2" t="str">
        <f>IFERROR(__xludf.DUMMYFUNCTION("""COMPUTED_VALUE"""),"https://www.govtech.com/products/data-center-deal-could-net-louisiana-parish-90m-a-year")</f>
        <v>https://www.govtech.com/products/data-center-deal-could-net-louisiana-parish-90m-a-year</v>
      </c>
      <c r="AK427" s="2" t="str">
        <f>IFERROR(__xludf.DUMMYFUNCTION("""COMPUTED_VALUE"""),"https://www.datacenterdynamics.com/en/news/hut-8-selling-325bn-in-bonds-to-finance-google-and-anthropic-backed-river-bend-ai-data-center-campus/")</f>
        <v>https://www.datacenterdynamics.com/en/news/hut-8-selling-325bn-in-bonds-to-finance-google-and-anthropic-backed-river-bend-ai-data-center-campus/</v>
      </c>
      <c r="AL427" s="1" t="str">
        <f>IFERROR(__xludf.DUMMYFUNCTION("""COMPUTED_VALUE"""),"")</f>
        <v/>
      </c>
      <c r="AM427" s="1" t="str">
        <f>IFERROR(__xludf.DUMMYFUNCTION("""COMPUTED_VALUE"""),"")</f>
        <v/>
      </c>
      <c r="AN427" s="1" t="str">
        <f>IFERROR(__xludf.DUMMYFUNCTION("""COMPUTED_VALUE"""),"")</f>
        <v/>
      </c>
      <c r="AO427" s="1" t="str">
        <f>IFERROR(__xludf.DUMMYFUNCTION("""COMPUTED_VALUE"""),"")</f>
        <v/>
      </c>
      <c r="AP427" s="1" t="str">
        <f>IFERROR(__xludf.DUMMYFUNCTION("""COMPUTED_VALUE"""),"")</f>
        <v/>
      </c>
      <c r="AQ427" s="1" t="str">
        <f>IFERROR(__xludf.DUMMYFUNCTION("""COMPUTED_VALUE"""),"11/26/2025")</f>
        <v>11/26/2025</v>
      </c>
      <c r="AR427" s="1" t="str">
        <f>IFERROR(__xludf.DUMMYFUNCTION("""COMPUTED_VALUE"""),"05/05/2026")</f>
        <v>05/05/2026</v>
      </c>
    </row>
    <row r="428">
      <c r="A428" s="1" t="str">
        <f>IFERROR(__xludf.DUMMYFUNCTION("""COMPUTED_VALUE"""),"River Bend Data Center Campus")</f>
        <v>River Bend Data Center Campus</v>
      </c>
      <c r="B428" s="1" t="str">
        <f>IFERROR(__xludf.DUMMYFUNCTION("""COMPUTED_VALUE"""),"near River Bend Rd, West Feliciana Parish")</f>
        <v>near River Bend Rd, West Feliciana Parish</v>
      </c>
      <c r="C428" s="1" t="str">
        <f>IFERROR(__xludf.DUMMYFUNCTION("""COMPUTED_VALUE"""),"St. Francisville")</f>
        <v>St. Francisville</v>
      </c>
      <c r="D428" s="1" t="str">
        <f>IFERROR(__xludf.DUMMYFUNCTION("""COMPUTED_VALUE"""),"LA")</f>
        <v>LA</v>
      </c>
      <c r="E428" s="1" t="str">
        <f>IFERROR(__xludf.DUMMYFUNCTION("""COMPUTED_VALUE"""),"70775")</f>
        <v>70775</v>
      </c>
      <c r="F428" s="1" t="str">
        <f>IFERROR(__xludf.DUMMYFUNCTION("""COMPUTED_VALUE"""),"West Feliciana")</f>
        <v>West Feliciana</v>
      </c>
      <c r="G428" s="1" t="str">
        <f>IFERROR(__xludf.DUMMYFUNCTION("""COMPUTED_VALUE"""),"30.764305")</f>
        <v>30.764305</v>
      </c>
      <c r="H428" s="1" t="str">
        <f>IFERROR(__xludf.DUMMYFUNCTION("""COMPUTED_VALUE"""),"-91.337296")</f>
        <v>-91.337296</v>
      </c>
      <c r="I428" s="1" t="str">
        <f>IFERROR(__xludf.DUMMYFUNCTION("""COMPUTED_VALUE"""),"Proposed")</f>
        <v>Proposed</v>
      </c>
      <c r="J428" s="1" t="str">
        <f>IFERROR(__xludf.DUMMYFUNCTION("""COMPUTED_VALUE"""),"Medium")</f>
        <v>Medium</v>
      </c>
      <c r="K428" s="1" t="str">
        <f>IFERROR(__xludf.DUMMYFUNCTION("""COMPUTED_VALUE"""),"")</f>
        <v/>
      </c>
      <c r="L428" s="1" t="str">
        <f>IFERROR(__xludf.DUMMYFUNCTION("""COMPUTED_VALUE"""),"Fluidstack, Anthropic, Google")</f>
        <v>Fluidstack, Anthropic, Google</v>
      </c>
      <c r="M428" s="1" t="str">
        <f>IFERROR(__xludf.DUMMYFUNCTION("""COMPUTED_VALUE"""),"")</f>
        <v/>
      </c>
      <c r="N428" s="1" t="str">
        <f>IFERROR(__xludf.DUMMYFUNCTION("""COMPUTED_VALUE"""),"245")</f>
        <v>245</v>
      </c>
      <c r="O428" s="1" t="str">
        <f>IFERROR(__xludf.DUMMYFUNCTION("""COMPUTED_VALUE"""),"Hyperscale (100-999 MW)")</f>
        <v>Hyperscale (100-999 MW)</v>
      </c>
      <c r="P428" s="1" t="str">
        <f>IFERROR(__xludf.DUMMYFUNCTION("""COMPUTED_VALUE"""),"")</f>
        <v/>
      </c>
      <c r="Q428" s="1" t="str">
        <f>IFERROR(__xludf.DUMMYFUNCTION("""COMPUTED_VALUE"""),"")</f>
        <v/>
      </c>
      <c r="R428" s="1" t="str">
        <f>IFERROR(__xludf.DUMMYFUNCTION("""COMPUTED_VALUE"""),"")</f>
        <v/>
      </c>
      <c r="S428" s="1" t="str">
        <f>IFERROR(__xludf.DUMMYFUNCTION("""COMPUTED_VALUE"""),"")</f>
        <v/>
      </c>
      <c r="T428" s="1" t="str">
        <f>IFERROR(__xludf.DUMMYFUNCTION("""COMPUTED_VALUE"""),"")</f>
        <v/>
      </c>
      <c r="U428" s="1" t="str">
        <f>IFERROR(__xludf.DUMMYFUNCTION("""COMPUTED_VALUE"""),"")</f>
        <v/>
      </c>
      <c r="V428" s="1" t="str">
        <f>IFERROR(__xludf.DUMMYFUNCTION("""COMPUTED_VALUE"""),"")</f>
        <v/>
      </c>
      <c r="W428" s="1" t="str">
        <f>IFERROR(__xludf.DUMMYFUNCTION("""COMPUTED_VALUE"""),"627")</f>
        <v>627</v>
      </c>
      <c r="X428" s="1" t="str">
        <f>IFERROR(__xludf.DUMMYFUNCTION("""COMPUTED_VALUE"""),"$7-17.7 billion")</f>
        <v>$7-17.7 billion</v>
      </c>
      <c r="Y428" s="1" t="str">
        <f>IFERROR(__xludf.DUMMYFUNCTION("""COMPUTED_VALUE"""),"2027")</f>
        <v>2027</v>
      </c>
      <c r="Z428" s="1" t="str">
        <f>IFERROR(__xludf.DUMMYFUNCTION("""COMPUTED_VALUE"""),"Unknown")</f>
        <v>Unknown</v>
      </c>
      <c r="AA428" s="1" t="str">
        <f>IFERROR(__xludf.DUMMYFUNCTION("""COMPUTED_VALUE"""),"")</f>
        <v/>
      </c>
      <c r="AB428" s="1" t="str">
        <f>IFERROR(__xludf.DUMMYFUNCTION("""COMPUTED_VALUE"""),"")</f>
        <v/>
      </c>
      <c r="AC428" s="1" t="str">
        <f>IFERROR(__xludf.DUMMYFUNCTION("""COMPUTED_VALUE"""),"")</f>
        <v/>
      </c>
      <c r="AD428" s="1" t="str">
        <f>IFERROR(__xludf.DUMMYFUNCTION("""COMPUTED_VALUE"""),"")</f>
        <v/>
      </c>
      <c r="AE428" s="1" t="str">
        <f>IFERROR(__xludf.DUMMYFUNCTION("""COMPUTED_VALUE"""),"")</f>
        <v/>
      </c>
      <c r="AF428" s="1" t="str">
        <f>IFERROR(__xludf.DUMMYFUNCTION("""COMPUTED_VALUE"""),"")</f>
        <v/>
      </c>
      <c r="AG428" s="1" t="str">
        <f>IFERROR(__xludf.DUMMYFUNCTION("""COMPUTED_VALUE"""),"")</f>
        <v/>
      </c>
      <c r="AH428" s="1" t="str">
        <f>IFERROR(__xludf.DUMMYFUNCTION("""COMPUTED_VALUE"""),"Media Monitoring")</f>
        <v>Media Monitoring</v>
      </c>
      <c r="AI428" s="2" t="str">
        <f>IFERROR(__xludf.DUMMYFUNCTION("""COMPUTED_VALUE"""),"https://www.datacenterdynamics.com/en/news/hut-8-signs-245mw-capacity-deal-with-fluidstack-as-part-of-multi-gigawatt-partnership-with-anthropic/")</f>
        <v>https://www.datacenterdynamics.com/en/news/hut-8-signs-245mw-capacity-deal-with-fluidstack-as-part-of-multi-gigawatt-partnership-with-anthropic/</v>
      </c>
      <c r="AJ428" s="1" t="str">
        <f>IFERROR(__xludf.DUMMYFUNCTION("""COMPUTED_VALUE"""),"")</f>
        <v/>
      </c>
      <c r="AK428" s="1" t="str">
        <f>IFERROR(__xludf.DUMMYFUNCTION("""COMPUTED_VALUE"""),"")</f>
        <v/>
      </c>
      <c r="AL428" s="1" t="str">
        <f>IFERROR(__xludf.DUMMYFUNCTION("""COMPUTED_VALUE"""),"")</f>
        <v/>
      </c>
      <c r="AM428" s="1" t="str">
        <f>IFERROR(__xludf.DUMMYFUNCTION("""COMPUTED_VALUE"""),"")</f>
        <v/>
      </c>
      <c r="AN428" s="1" t="str">
        <f>IFERROR(__xludf.DUMMYFUNCTION("""COMPUTED_VALUE"""),"")</f>
        <v/>
      </c>
      <c r="AO428" s="1" t="str">
        <f>IFERROR(__xludf.DUMMYFUNCTION("""COMPUTED_VALUE"""),"")</f>
        <v/>
      </c>
      <c r="AP428" s="1" t="str">
        <f>IFERROR(__xludf.DUMMYFUNCTION("""COMPUTED_VALUE"""),"")</f>
        <v/>
      </c>
      <c r="AQ428" s="1" t="str">
        <f>IFERROR(__xludf.DUMMYFUNCTION("""COMPUTED_VALUE"""),"12/18/2025")</f>
        <v>12/18/2025</v>
      </c>
      <c r="AR428" s="1" t="str">
        <f>IFERROR(__xludf.DUMMYFUNCTION("""COMPUTED_VALUE"""),"12/18/2025")</f>
        <v>12/18/2025</v>
      </c>
    </row>
    <row r="429">
      <c r="A429" s="1" t="str">
        <f>IFERROR(__xludf.DUMMYFUNCTION("""COMPUTED_VALUE"""),"Markely Data Center")</f>
        <v>Markely Data Center</v>
      </c>
      <c r="B429" s="1" t="str">
        <f>IFERROR(__xludf.DUMMYFUNCTION("""COMPUTED_VALUE"""),"1 Summer St")</f>
        <v>1 Summer St</v>
      </c>
      <c r="C429" s="1" t="str">
        <f>IFERROR(__xludf.DUMMYFUNCTION("""COMPUTED_VALUE"""),"Boston")</f>
        <v>Boston</v>
      </c>
      <c r="D429" s="1" t="str">
        <f>IFERROR(__xludf.DUMMYFUNCTION("""COMPUTED_VALUE"""),"MA")</f>
        <v>MA</v>
      </c>
      <c r="E429" s="1" t="str">
        <f>IFERROR(__xludf.DUMMYFUNCTION("""COMPUTED_VALUE"""),"02110")</f>
        <v>02110</v>
      </c>
      <c r="F429" s="1" t="str">
        <f>IFERROR(__xludf.DUMMYFUNCTION("""COMPUTED_VALUE"""),"Suffolk")</f>
        <v>Suffolk</v>
      </c>
      <c r="G429" s="1" t="str">
        <f>IFERROR(__xludf.DUMMYFUNCTION("""COMPUTED_VALUE"""),"42.354603")</f>
        <v>42.354603</v>
      </c>
      <c r="H429" s="1" t="str">
        <f>IFERROR(__xludf.DUMMYFUNCTION("""COMPUTED_VALUE"""),"-71.05991")</f>
        <v>-71.05991</v>
      </c>
      <c r="I429" s="1" t="str">
        <f>IFERROR(__xludf.DUMMYFUNCTION("""COMPUTED_VALUE"""),"Operating")</f>
        <v>Operating</v>
      </c>
      <c r="J429" s="1" t="str">
        <f>IFERROR(__xludf.DUMMYFUNCTION("""COMPUTED_VALUE"""),"High")</f>
        <v>High</v>
      </c>
      <c r="K429" s="1" t="str">
        <f>IFERROR(__xludf.DUMMYFUNCTION("""COMPUTED_VALUE"""),"")</f>
        <v/>
      </c>
      <c r="L429" s="1" t="str">
        <f>IFERROR(__xludf.DUMMYFUNCTION("""COMPUTED_VALUE"""),"")</f>
        <v/>
      </c>
      <c r="M429" s="1" t="str">
        <f>IFERROR(__xludf.DUMMYFUNCTION("""COMPUTED_VALUE"""),"")</f>
        <v/>
      </c>
      <c r="N429" s="1" t="str">
        <f>IFERROR(__xludf.DUMMYFUNCTION("""COMPUTED_VALUE"""),"30")</f>
        <v>30</v>
      </c>
      <c r="O429" s="1" t="str">
        <f>IFERROR(__xludf.DUMMYFUNCTION("""COMPUTED_VALUE"""),"Medium (11-50 MW)")</f>
        <v>Medium (11-50 MW)</v>
      </c>
      <c r="P429" s="1" t="str">
        <f>IFERROR(__xludf.DUMMYFUNCTION("""COMPUTED_VALUE"""),"")</f>
        <v/>
      </c>
      <c r="Q429" s="1" t="str">
        <f>IFERROR(__xludf.DUMMYFUNCTION("""COMPUTED_VALUE"""),"")</f>
        <v/>
      </c>
      <c r="R429" s="1" t="str">
        <f>IFERROR(__xludf.DUMMYFUNCTION("""COMPUTED_VALUE"""),"")</f>
        <v/>
      </c>
      <c r="S429" s="1" t="str">
        <f>IFERROR(__xludf.DUMMYFUNCTION("""COMPUTED_VALUE"""),"")</f>
        <v/>
      </c>
      <c r="T429" s="1" t="str">
        <f>IFERROR(__xludf.DUMMYFUNCTION("""COMPUTED_VALUE"""),"")</f>
        <v/>
      </c>
      <c r="U429" s="1" t="str">
        <f>IFERROR(__xludf.DUMMYFUNCTION("""COMPUTED_VALUE"""),"")</f>
        <v/>
      </c>
      <c r="V429" s="1" t="str">
        <f>IFERROR(__xludf.DUMMYFUNCTION("""COMPUTED_VALUE"""),"920,000")</f>
        <v>920,000</v>
      </c>
      <c r="W429" s="1" t="str">
        <f>IFERROR(__xludf.DUMMYFUNCTION("""COMPUTED_VALUE"""),"")</f>
        <v/>
      </c>
      <c r="X429" s="1" t="str">
        <f>IFERROR(__xludf.DUMMYFUNCTION("""COMPUTED_VALUE"""),"")</f>
        <v/>
      </c>
      <c r="Y429" s="1" t="str">
        <f>IFERROR(__xludf.DUMMYFUNCTION("""COMPUTED_VALUE"""),"")</f>
        <v/>
      </c>
      <c r="Z429" s="1" t="str">
        <f>IFERROR(__xludf.DUMMYFUNCTION("""COMPUTED_VALUE"""),"Unknown")</f>
        <v>Unknown</v>
      </c>
      <c r="AA429" s="1" t="str">
        <f>IFERROR(__xludf.DUMMYFUNCTION("""COMPUTED_VALUE"""),"")</f>
        <v/>
      </c>
      <c r="AB429" s="1" t="str">
        <f>IFERROR(__xludf.DUMMYFUNCTION("""COMPUTED_VALUE"""),"")</f>
        <v/>
      </c>
      <c r="AC429" s="1" t="str">
        <f>IFERROR(__xludf.DUMMYFUNCTION("""COMPUTED_VALUE"""),"")</f>
        <v/>
      </c>
      <c r="AD429" s="1" t="str">
        <f>IFERROR(__xludf.DUMMYFUNCTION("""COMPUTED_VALUE"""),"")</f>
        <v/>
      </c>
      <c r="AE429" s="1" t="str">
        <f>IFERROR(__xludf.DUMMYFUNCTION("""COMPUTED_VALUE"""),"")</f>
        <v/>
      </c>
      <c r="AF429" s="1" t="str">
        <f>IFERROR(__xludf.DUMMYFUNCTION("""COMPUTED_VALUE"""),"")</f>
        <v/>
      </c>
      <c r="AG429" s="1" t="str">
        <f>IFERROR(__xludf.DUMMYFUNCTION("""COMPUTED_VALUE"""),"")</f>
        <v/>
      </c>
      <c r="AH429" s="1" t="str">
        <f>IFERROR(__xludf.DUMMYFUNCTION("""COMPUTED_VALUE"""),"Media Monitoring")</f>
        <v>Media Monitoring</v>
      </c>
      <c r="AI429" s="2" t="str">
        <f>IFERROR(__xludf.DUMMYFUNCTION("""COMPUTED_VALUE"""),"https://www.markleygroup.com/data-center")</f>
        <v>https://www.markleygroup.com/data-center</v>
      </c>
      <c r="AJ429" s="2" t="str">
        <f>IFERROR(__xludf.DUMMYFUNCTION("""COMPUTED_VALUE"""),"https://www.datacenters.com/markley-group-boston")</f>
        <v>https://www.datacenters.com/markley-group-boston</v>
      </c>
      <c r="AK429" s="1" t="str">
        <f>IFERROR(__xludf.DUMMYFUNCTION("""COMPUTED_VALUE"""),"")</f>
        <v/>
      </c>
      <c r="AL429" s="1" t="str">
        <f>IFERROR(__xludf.DUMMYFUNCTION("""COMPUTED_VALUE"""),"")</f>
        <v/>
      </c>
      <c r="AM429" s="1" t="str">
        <f>IFERROR(__xludf.DUMMYFUNCTION("""COMPUTED_VALUE"""),"")</f>
        <v/>
      </c>
      <c r="AN429" s="1" t="str">
        <f>IFERROR(__xludf.DUMMYFUNCTION("""COMPUTED_VALUE"""),"")</f>
        <v/>
      </c>
      <c r="AO429" s="1" t="str">
        <f>IFERROR(__xludf.DUMMYFUNCTION("""COMPUTED_VALUE"""),"")</f>
        <v/>
      </c>
      <c r="AP429" s="1" t="str">
        <f>IFERROR(__xludf.DUMMYFUNCTION("""COMPUTED_VALUE"""),"")</f>
        <v/>
      </c>
      <c r="AQ429" s="1" t="str">
        <f>IFERROR(__xludf.DUMMYFUNCTION("""COMPUTED_VALUE"""),"01/20/2026")</f>
        <v>01/20/2026</v>
      </c>
      <c r="AR429" s="1" t="str">
        <f>IFERROR(__xludf.DUMMYFUNCTION("""COMPUTED_VALUE"""),"01/20/2026")</f>
        <v>01/20/2026</v>
      </c>
    </row>
    <row r="430">
      <c r="A430" s="1" t="str">
        <f>IFERROR(__xludf.DUMMYFUNCTION("""COMPUTED_VALUE"""),"Everett Data Center")</f>
        <v>Everett Data Center</v>
      </c>
      <c r="B430" s="1" t="str">
        <f>IFERROR(__xludf.DUMMYFUNCTION("""COMPUTED_VALUE"""),"Everett Docklands Innovation District")</f>
        <v>Everett Docklands Innovation District</v>
      </c>
      <c r="C430" s="1" t="str">
        <f>IFERROR(__xludf.DUMMYFUNCTION("""COMPUTED_VALUE"""),"Everett")</f>
        <v>Everett</v>
      </c>
      <c r="D430" s="1" t="str">
        <f>IFERROR(__xludf.DUMMYFUNCTION("""COMPUTED_VALUE"""),"MA")</f>
        <v>MA</v>
      </c>
      <c r="E430" s="1" t="str">
        <f>IFERROR(__xludf.DUMMYFUNCTION("""COMPUTED_VALUE"""),"02149")</f>
        <v>02149</v>
      </c>
      <c r="F430" s="1" t="str">
        <f>IFERROR(__xludf.DUMMYFUNCTION("""COMPUTED_VALUE"""),"Middlesex")</f>
        <v>Middlesex</v>
      </c>
      <c r="G430" s="1" t="str">
        <f>IFERROR(__xludf.DUMMYFUNCTION("""COMPUTED_VALUE"""),"42.39638")</f>
        <v>42.39638</v>
      </c>
      <c r="H430" s="1" t="str">
        <f>IFERROR(__xludf.DUMMYFUNCTION("""COMPUTED_VALUE"""),"-71.05932")</f>
        <v>-71.05932</v>
      </c>
      <c r="I430" s="1" t="str">
        <f>IFERROR(__xludf.DUMMYFUNCTION("""COMPUTED_VALUE"""),"Proposed")</f>
        <v>Proposed</v>
      </c>
      <c r="J430" s="1" t="str">
        <f>IFERROR(__xludf.DUMMYFUNCTION("""COMPUTED_VALUE"""),"Medium")</f>
        <v>Medium</v>
      </c>
      <c r="K430" s="1" t="str">
        <f>IFERROR(__xludf.DUMMYFUNCTION("""COMPUTED_VALUE"""),"")</f>
        <v/>
      </c>
      <c r="L430" s="1" t="str">
        <f>IFERROR(__xludf.DUMMYFUNCTION("""COMPUTED_VALUE"""),"")</f>
        <v/>
      </c>
      <c r="M430" s="1" t="str">
        <f>IFERROR(__xludf.DUMMYFUNCTION("""COMPUTED_VALUE"""),"")</f>
        <v/>
      </c>
      <c r="N430" s="1" t="str">
        <f>IFERROR(__xludf.DUMMYFUNCTION("""COMPUTED_VALUE"""),"")</f>
        <v/>
      </c>
      <c r="O430" s="1" t="str">
        <f>IFERROR(__xludf.DUMMYFUNCTION("""COMPUTED_VALUE"""),"Unknown")</f>
        <v>Unknown</v>
      </c>
      <c r="P430" s="1" t="str">
        <f>IFERROR(__xludf.DUMMYFUNCTION("""COMPUTED_VALUE"""),"")</f>
        <v/>
      </c>
      <c r="Q430" s="1" t="str">
        <f>IFERROR(__xludf.DUMMYFUNCTION("""COMPUTED_VALUE"""),"")</f>
        <v/>
      </c>
      <c r="R430" s="1" t="str">
        <f>IFERROR(__xludf.DUMMYFUNCTION("""COMPUTED_VALUE"""),"")</f>
        <v/>
      </c>
      <c r="S430" s="1" t="str">
        <f>IFERROR(__xludf.DUMMYFUNCTION("""COMPUTED_VALUE"""),"")</f>
        <v/>
      </c>
      <c r="T430" s="1" t="str">
        <f>IFERROR(__xludf.DUMMYFUNCTION("""COMPUTED_VALUE"""),"")</f>
        <v/>
      </c>
      <c r="U430" s="1" t="str">
        <f>IFERROR(__xludf.DUMMYFUNCTION("""COMPUTED_VALUE"""),"")</f>
        <v/>
      </c>
      <c r="V430" s="1" t="str">
        <f>IFERROR(__xludf.DUMMYFUNCTION("""COMPUTED_VALUE"""),"")</f>
        <v/>
      </c>
      <c r="W430" s="1" t="str">
        <f>IFERROR(__xludf.DUMMYFUNCTION("""COMPUTED_VALUE"""),"")</f>
        <v/>
      </c>
      <c r="X430" s="1" t="str">
        <f>IFERROR(__xludf.DUMMYFUNCTION("""COMPUTED_VALUE"""),"")</f>
        <v/>
      </c>
      <c r="Y430" s="1" t="str">
        <f>IFERROR(__xludf.DUMMYFUNCTION("""COMPUTED_VALUE"""),"")</f>
        <v/>
      </c>
      <c r="Z430" s="1" t="str">
        <f>IFERROR(__xludf.DUMMYFUNCTION("""COMPUTED_VALUE"""),"Unknown")</f>
        <v>Unknown</v>
      </c>
      <c r="AA430" s="1" t="str">
        <f>IFERROR(__xludf.DUMMYFUNCTION("""COMPUTED_VALUE"""),"")</f>
        <v/>
      </c>
      <c r="AB430" s="1" t="str">
        <f>IFERROR(__xludf.DUMMYFUNCTION("""COMPUTED_VALUE"""),"")</f>
        <v/>
      </c>
      <c r="AC430" s="1" t="str">
        <f>IFERROR(__xludf.DUMMYFUNCTION("""COMPUTED_VALUE"""),"")</f>
        <v/>
      </c>
      <c r="AD430" s="1" t="str">
        <f>IFERROR(__xludf.DUMMYFUNCTION("""COMPUTED_VALUE"""),"")</f>
        <v/>
      </c>
      <c r="AE430" s="1" t="str">
        <f>IFERROR(__xludf.DUMMYFUNCTION("""COMPUTED_VALUE"""),"")</f>
        <v/>
      </c>
      <c r="AF430" s="1" t="str">
        <f>IFERROR(__xludf.DUMMYFUNCTION("""COMPUTED_VALUE"""),"")</f>
        <v/>
      </c>
      <c r="AG430" s="1" t="str">
        <f>IFERROR(__xludf.DUMMYFUNCTION("""COMPUTED_VALUE"""),"")</f>
        <v/>
      </c>
      <c r="AH430" s="1" t="str">
        <f>IFERROR(__xludf.DUMMYFUNCTION("""COMPUTED_VALUE"""),"Media Monitoring")</f>
        <v>Media Monitoring</v>
      </c>
      <c r="AI430" s="2" t="str">
        <f>IFERROR(__xludf.DUMMYFUNCTION("""COMPUTED_VALUE"""),"https://advocatenews.net/everett/news/city-councillors-question-plan-for-data-center-in-docklands-innovation-district/")</f>
        <v>https://advocatenews.net/everett/news/city-councillors-question-plan-for-data-center-in-docklands-innovation-district/</v>
      </c>
      <c r="AJ430" s="1" t="str">
        <f>IFERROR(__xludf.DUMMYFUNCTION("""COMPUTED_VALUE"""),"")</f>
        <v/>
      </c>
      <c r="AK430" s="1" t="str">
        <f>IFERROR(__xludf.DUMMYFUNCTION("""COMPUTED_VALUE"""),"")</f>
        <v/>
      </c>
      <c r="AL430" s="1" t="str">
        <f>IFERROR(__xludf.DUMMYFUNCTION("""COMPUTED_VALUE"""),"")</f>
        <v/>
      </c>
      <c r="AM430" s="1" t="str">
        <f>IFERROR(__xludf.DUMMYFUNCTION("""COMPUTED_VALUE"""),"")</f>
        <v/>
      </c>
      <c r="AN430" s="1" t="str">
        <f>IFERROR(__xludf.DUMMYFUNCTION("""COMPUTED_VALUE"""),"")</f>
        <v/>
      </c>
      <c r="AO430" s="1" t="str">
        <f>IFERROR(__xludf.DUMMYFUNCTION("""COMPUTED_VALUE"""),"")</f>
        <v/>
      </c>
      <c r="AP430" s="1" t="str">
        <f>IFERROR(__xludf.DUMMYFUNCTION("""COMPUTED_VALUE"""),"")</f>
        <v/>
      </c>
      <c r="AQ430" s="1" t="str">
        <f>IFERROR(__xludf.DUMMYFUNCTION("""COMPUTED_VALUE"""),"01/22/2026")</f>
        <v>01/22/2026</v>
      </c>
      <c r="AR430" s="1" t="str">
        <f>IFERROR(__xludf.DUMMYFUNCTION("""COMPUTED_VALUE"""),"01/22/2026")</f>
        <v>01/22/2026</v>
      </c>
    </row>
    <row r="431">
      <c r="A431" s="1" t="str">
        <f>IFERROR(__xludf.DUMMYFUNCTION("""COMPUTED_VALUE"""),"Markely Data Center")</f>
        <v>Markely Data Center</v>
      </c>
      <c r="B431" s="1" t="str">
        <f>IFERROR(__xludf.DUMMYFUNCTION("""COMPUTED_VALUE"""),"1 Markley Way")</f>
        <v>1 Markley Way</v>
      </c>
      <c r="C431" s="1" t="str">
        <f>IFERROR(__xludf.DUMMYFUNCTION("""COMPUTED_VALUE"""),"Lowell")</f>
        <v>Lowell</v>
      </c>
      <c r="D431" s="1" t="str">
        <f>IFERROR(__xludf.DUMMYFUNCTION("""COMPUTED_VALUE"""),"MA")</f>
        <v>MA</v>
      </c>
      <c r="E431" s="1" t="str">
        <f>IFERROR(__xludf.DUMMYFUNCTION("""COMPUTED_VALUE"""),"01852")</f>
        <v>01852</v>
      </c>
      <c r="F431" s="1" t="str">
        <f>IFERROR(__xludf.DUMMYFUNCTION("""COMPUTED_VALUE"""),"Middlesex")</f>
        <v>Middlesex</v>
      </c>
      <c r="G431" s="1" t="str">
        <f>IFERROR(__xludf.DUMMYFUNCTION("""COMPUTED_VALUE"""),"42.6302")</f>
        <v>42.6302</v>
      </c>
      <c r="H431" s="1" t="str">
        <f>IFERROR(__xludf.DUMMYFUNCTION("""COMPUTED_VALUE"""),"-71.304825")</f>
        <v>-71.304825</v>
      </c>
      <c r="I431" s="1" t="str">
        <f>IFERROR(__xludf.DUMMYFUNCTION("""COMPUTED_VALUE"""),"Expanding")</f>
        <v>Expanding</v>
      </c>
      <c r="J431" s="1" t="str">
        <f>IFERROR(__xludf.DUMMYFUNCTION("""COMPUTED_VALUE"""),"High")</f>
        <v>High</v>
      </c>
      <c r="K431" s="1" t="str">
        <f>IFERROR(__xludf.DUMMYFUNCTION("""COMPUTED_VALUE"""),"")</f>
        <v/>
      </c>
      <c r="L431" s="1" t="str">
        <f>IFERROR(__xludf.DUMMYFUNCTION("""COMPUTED_VALUE"""),"")</f>
        <v/>
      </c>
      <c r="M431" s="1" t="str">
        <f>IFERROR(__xludf.DUMMYFUNCTION("""COMPUTED_VALUE"""),"")</f>
        <v/>
      </c>
      <c r="N431" s="1" t="str">
        <f>IFERROR(__xludf.DUMMYFUNCTION("""COMPUTED_VALUE"""),"")</f>
        <v/>
      </c>
      <c r="O431" s="1" t="str">
        <f>IFERROR(__xludf.DUMMYFUNCTION("""COMPUTED_VALUE"""),"Unknown")</f>
        <v>Unknown</v>
      </c>
      <c r="P431" s="1" t="str">
        <f>IFERROR(__xludf.DUMMYFUNCTION("""COMPUTED_VALUE"""),"")</f>
        <v/>
      </c>
      <c r="Q431" s="1" t="str">
        <f>IFERROR(__xludf.DUMMYFUNCTION("""COMPUTED_VALUE"""),"")</f>
        <v/>
      </c>
      <c r="R431" s="1" t="str">
        <f>IFERROR(__xludf.DUMMYFUNCTION("""COMPUTED_VALUE"""),"")</f>
        <v/>
      </c>
      <c r="S431" s="1" t="str">
        <f>IFERROR(__xludf.DUMMYFUNCTION("""COMPUTED_VALUE"""),"11")</f>
        <v>11</v>
      </c>
      <c r="T431" s="1" t="str">
        <f>IFERROR(__xludf.DUMMYFUNCTION("""COMPUTED_VALUE"""),"")</f>
        <v/>
      </c>
      <c r="U431" s="1" t="str">
        <f>IFERROR(__xludf.DUMMYFUNCTION("""COMPUTED_VALUE"""),"")</f>
        <v/>
      </c>
      <c r="V431" s="1" t="str">
        <f>IFERROR(__xludf.DUMMYFUNCTION("""COMPUTED_VALUE"""),"352,000")</f>
        <v>352,000</v>
      </c>
      <c r="W431" s="1" t="str">
        <f>IFERROR(__xludf.DUMMYFUNCTION("""COMPUTED_VALUE"""),"14")</f>
        <v>14</v>
      </c>
      <c r="X431" s="1" t="str">
        <f>IFERROR(__xludf.DUMMYFUNCTION("""COMPUTED_VALUE"""),"")</f>
        <v/>
      </c>
      <c r="Y431" s="1" t="str">
        <f>IFERROR(__xludf.DUMMYFUNCTION("""COMPUTED_VALUE"""),"")</f>
        <v/>
      </c>
      <c r="Z431" s="1" t="str">
        <f>IFERROR(__xludf.DUMMYFUNCTION("""COMPUTED_VALUE"""),"Yes")</f>
        <v>Yes</v>
      </c>
      <c r="AA431" s="1" t="str">
        <f>IFERROR(__xludf.DUMMYFUNCTION("""COMPUTED_VALUE"""),"Honest Future for Lowell")</f>
        <v>Honest Future for Lowell</v>
      </c>
      <c r="AB431" s="1" t="str">
        <f>IFERROR(__xludf.DUMMYFUNCTION("""COMPUTED_VALUE"""),"")</f>
        <v/>
      </c>
      <c r="AC431" s="1" t="str">
        <f>IFERROR(__xludf.DUMMYFUNCTION("""COMPUTED_VALUE"""),"")</f>
        <v/>
      </c>
      <c r="AD431" s="1" t="str">
        <f>IFERROR(__xludf.DUMMYFUNCTION("""COMPUTED_VALUE"""),"")</f>
        <v/>
      </c>
      <c r="AE431" s="1" t="str">
        <f>IFERROR(__xludf.DUMMYFUNCTION("""COMPUTED_VALUE"""),"")</f>
        <v/>
      </c>
      <c r="AF431" s="1" t="str">
        <f>IFERROR(__xludf.DUMMYFUNCTION("""COMPUTED_VALUE"""),"")</f>
        <v/>
      </c>
      <c r="AG431" s="1" t="str">
        <f>IFERROR(__xludf.DUMMYFUNCTION("""COMPUTED_VALUE"""),"")</f>
        <v/>
      </c>
      <c r="AH431" s="1" t="str">
        <f>IFERROR(__xludf.DUMMYFUNCTION("""COMPUTED_VALUE"""),"Media Monitoring")</f>
        <v>Media Monitoring</v>
      </c>
      <c r="AI431" s="2" t="str">
        <f>IFERROR(__xludf.DUMMYFUNCTION("""COMPUTED_VALUE"""),"https://www.markleygroup.com/data-center")</f>
        <v>https://www.markleygroup.com/data-center</v>
      </c>
      <c r="AJ431" s="2" t="str">
        <f>IFERROR(__xludf.DUMMYFUNCTION("""COMPUTED_VALUE"""),"https://www.datacenters.com/markley-group-boston")</f>
        <v>https://www.datacenters.com/markley-group-boston</v>
      </c>
      <c r="AK431" s="2" t="str">
        <f>IFERROR(__xludf.DUMMYFUNCTION("""COMPUTED_VALUE"""),"https://www.govtech.com/analytics/massachusetts-residents-protest-data-farm-expansion")</f>
        <v>https://www.govtech.com/analytics/massachusetts-residents-protest-data-farm-expansion</v>
      </c>
      <c r="AL431" s="2" t="str">
        <f>IFERROR(__xludf.DUMMYFUNCTION("""COMPUTED_VALUE"""),"https://www.lowellsun.com/2025/06/25/lowell-city-council-approves-markley-groups-diesel-fueled-expansion/")</f>
        <v>https://www.lowellsun.com/2025/06/25/lowell-city-council-approves-markley-groups-diesel-fueled-expansion/</v>
      </c>
      <c r="AM431" s="2" t="str">
        <f>IFERROR(__xludf.DUMMYFUNCTION("""COMPUTED_VALUE"""),"https://www.yahoo.com/news/articles/25-investigates-raised-concerns-mass-230539627.html")</f>
        <v>https://www.yahoo.com/news/articles/25-investigates-raised-concerns-mass-230539627.html</v>
      </c>
      <c r="AN431" s="2" t="str">
        <f>IFERROR(__xludf.DUMMYFUNCTION("""COMPUTED_VALUE"""),"https://www.cbsnews.com/boston/news/inside-lowell-markley-data-center")</f>
        <v>https://www.cbsnews.com/boston/news/inside-lowell-markley-data-center</v>
      </c>
      <c r="AO431" s="1" t="str">
        <f>IFERROR(__xludf.DUMMYFUNCTION("""COMPUTED_VALUE"""),"")</f>
        <v/>
      </c>
      <c r="AP431" s="1" t="str">
        <f>IFERROR(__xludf.DUMMYFUNCTION("""COMPUTED_VALUE"""),"")</f>
        <v/>
      </c>
      <c r="AQ431" s="1" t="str">
        <f>IFERROR(__xludf.DUMMYFUNCTION("""COMPUTED_VALUE"""),"01/20/2026")</f>
        <v>01/20/2026</v>
      </c>
      <c r="AR431" s="1" t="str">
        <f>IFERROR(__xludf.DUMMYFUNCTION("""COMPUTED_VALUE"""),"06/23/2026")</f>
        <v>06/23/2026</v>
      </c>
    </row>
    <row r="432">
      <c r="A432" s="1" t="str">
        <f>IFERROR(__xludf.DUMMYFUNCTION("""COMPUTED_VALUE"""),"Medford Data Center")</f>
        <v>Medford Data Center</v>
      </c>
      <c r="B432" s="1" t="str">
        <f>IFERROR(__xludf.DUMMYFUNCTION("""COMPUTED_VALUE"""),"1 Cabot Rd")</f>
        <v>1 Cabot Rd</v>
      </c>
      <c r="C432" s="1" t="str">
        <f>IFERROR(__xludf.DUMMYFUNCTION("""COMPUTED_VALUE"""),"Medford")</f>
        <v>Medford</v>
      </c>
      <c r="D432" s="1" t="str">
        <f>IFERROR(__xludf.DUMMYFUNCTION("""COMPUTED_VALUE"""),"MA")</f>
        <v>MA</v>
      </c>
      <c r="E432" s="1" t="str">
        <f>IFERROR(__xludf.DUMMYFUNCTION("""COMPUTED_VALUE"""),"02155")</f>
        <v>02155</v>
      </c>
      <c r="F432" s="1" t="str">
        <f>IFERROR(__xludf.DUMMYFUNCTION("""COMPUTED_VALUE"""),"Middlesex")</f>
        <v>Middlesex</v>
      </c>
      <c r="G432" s="1" t="str">
        <f>IFERROR(__xludf.DUMMYFUNCTION("""COMPUTED_VALUE"""),"42.40601")</f>
        <v>42.40601</v>
      </c>
      <c r="H432" s="1" t="str">
        <f>IFERROR(__xludf.DUMMYFUNCTION("""COMPUTED_VALUE"""),"-71.0752")</f>
        <v>-71.0752</v>
      </c>
      <c r="I432" s="1" t="str">
        <f>IFERROR(__xludf.DUMMYFUNCTION("""COMPUTED_VALUE"""),"Operating")</f>
        <v>Operating</v>
      </c>
      <c r="J432" s="1" t="str">
        <f>IFERROR(__xludf.DUMMYFUNCTION("""COMPUTED_VALUE"""),"High")</f>
        <v>High</v>
      </c>
      <c r="K432" s="1" t="str">
        <f>IFERROR(__xludf.DUMMYFUNCTION("""COMPUTED_VALUE"""),"")</f>
        <v/>
      </c>
      <c r="L432" s="1" t="str">
        <f>IFERROR(__xludf.DUMMYFUNCTION("""COMPUTED_VALUE"""),"")</f>
        <v/>
      </c>
      <c r="M432" s="1" t="str">
        <f>IFERROR(__xludf.DUMMYFUNCTION("""COMPUTED_VALUE"""),"")</f>
        <v/>
      </c>
      <c r="N432" s="1" t="str">
        <f>IFERROR(__xludf.DUMMYFUNCTION("""COMPUTED_VALUE"""),"3.2")</f>
        <v>3.2</v>
      </c>
      <c r="O432" s="1" t="str">
        <f>IFERROR(__xludf.DUMMYFUNCTION("""COMPUTED_VALUE"""),"Small (0-10 MW)")</f>
        <v>Small (0-10 MW)</v>
      </c>
      <c r="P432" s="1" t="str">
        <f>IFERROR(__xludf.DUMMYFUNCTION("""COMPUTED_VALUE"""),"")</f>
        <v/>
      </c>
      <c r="Q432" s="1" t="str">
        <f>IFERROR(__xludf.DUMMYFUNCTION("""COMPUTED_VALUE"""),"")</f>
        <v/>
      </c>
      <c r="R432" s="1" t="str">
        <f>IFERROR(__xludf.DUMMYFUNCTION("""COMPUTED_VALUE"""),"")</f>
        <v/>
      </c>
      <c r="S432" s="1" t="str">
        <f>IFERROR(__xludf.DUMMYFUNCTION("""COMPUTED_VALUE"""),"")</f>
        <v/>
      </c>
      <c r="T432" s="1" t="str">
        <f>IFERROR(__xludf.DUMMYFUNCTION("""COMPUTED_VALUE"""),"")</f>
        <v/>
      </c>
      <c r="U432" s="1" t="str">
        <f>IFERROR(__xludf.DUMMYFUNCTION("""COMPUTED_VALUE"""),"")</f>
        <v/>
      </c>
      <c r="V432" s="1" t="str">
        <f>IFERROR(__xludf.DUMMYFUNCTION("""COMPUTED_VALUE"""),"40,000")</f>
        <v>40,000</v>
      </c>
      <c r="W432" s="1" t="str">
        <f>IFERROR(__xludf.DUMMYFUNCTION("""COMPUTED_VALUE"""),"")</f>
        <v/>
      </c>
      <c r="X432" s="1" t="str">
        <f>IFERROR(__xludf.DUMMYFUNCTION("""COMPUTED_VALUE"""),"")</f>
        <v/>
      </c>
      <c r="Y432" s="1" t="str">
        <f>IFERROR(__xludf.DUMMYFUNCTION("""COMPUTED_VALUE"""),"")</f>
        <v/>
      </c>
      <c r="Z432" s="1" t="str">
        <f>IFERROR(__xludf.DUMMYFUNCTION("""COMPUTED_VALUE"""),"Unknown")</f>
        <v>Unknown</v>
      </c>
      <c r="AA432" s="1" t="str">
        <f>IFERROR(__xludf.DUMMYFUNCTION("""COMPUTED_VALUE"""),"")</f>
        <v/>
      </c>
      <c r="AB432" s="1" t="str">
        <f>IFERROR(__xludf.DUMMYFUNCTION("""COMPUTED_VALUE"""),"")</f>
        <v/>
      </c>
      <c r="AC432" s="1" t="str">
        <f>IFERROR(__xludf.DUMMYFUNCTION("""COMPUTED_VALUE"""),"")</f>
        <v/>
      </c>
      <c r="AD432" s="1" t="str">
        <f>IFERROR(__xludf.DUMMYFUNCTION("""COMPUTED_VALUE"""),"")</f>
        <v/>
      </c>
      <c r="AE432" s="1" t="str">
        <f>IFERROR(__xludf.DUMMYFUNCTION("""COMPUTED_VALUE"""),"")</f>
        <v/>
      </c>
      <c r="AF432" s="1" t="str">
        <f>IFERROR(__xludf.DUMMYFUNCTION("""COMPUTED_VALUE"""),"")</f>
        <v/>
      </c>
      <c r="AG432" s="1" t="str">
        <f>IFERROR(__xludf.DUMMYFUNCTION("""COMPUTED_VALUE"""),"")</f>
        <v/>
      </c>
      <c r="AH432" s="1" t="str">
        <f>IFERROR(__xludf.DUMMYFUNCTION("""COMPUTED_VALUE"""),"Media Monitoring")</f>
        <v>Media Monitoring</v>
      </c>
      <c r="AI432" s="2" t="str">
        <f>IFERROR(__xludf.DUMMYFUNCTION("""COMPUTED_VALUE"""),"https://www.expedient.com/data-centers/boston/")</f>
        <v>https://www.expedient.com/data-centers/boston/</v>
      </c>
      <c r="AJ432" s="1" t="str">
        <f>IFERROR(__xludf.DUMMYFUNCTION("""COMPUTED_VALUE"""),"")</f>
        <v/>
      </c>
      <c r="AK432" s="1" t="str">
        <f>IFERROR(__xludf.DUMMYFUNCTION("""COMPUTED_VALUE"""),"")</f>
        <v/>
      </c>
      <c r="AL432" s="1" t="str">
        <f>IFERROR(__xludf.DUMMYFUNCTION("""COMPUTED_VALUE"""),"")</f>
        <v/>
      </c>
      <c r="AM432" s="1" t="str">
        <f>IFERROR(__xludf.DUMMYFUNCTION("""COMPUTED_VALUE"""),"")</f>
        <v/>
      </c>
      <c r="AN432" s="1" t="str">
        <f>IFERROR(__xludf.DUMMYFUNCTION("""COMPUTED_VALUE"""),"")</f>
        <v/>
      </c>
      <c r="AO432" s="1" t="str">
        <f>IFERROR(__xludf.DUMMYFUNCTION("""COMPUTED_VALUE"""),"")</f>
        <v/>
      </c>
      <c r="AP432" s="1" t="str">
        <f>IFERROR(__xludf.DUMMYFUNCTION("""COMPUTED_VALUE"""),"")</f>
        <v/>
      </c>
      <c r="AQ432" s="1" t="str">
        <f>IFERROR(__xludf.DUMMYFUNCTION("""COMPUTED_VALUE"""),"09/02/2025")</f>
        <v>09/02/2025</v>
      </c>
      <c r="AR432" s="1" t="str">
        <f>IFERROR(__xludf.DUMMYFUNCTION("""COMPUTED_VALUE"""),"09/02/2025")</f>
        <v>09/02/2025</v>
      </c>
    </row>
    <row r="433">
      <c r="A433" s="1" t="str">
        <f>IFERROR(__xludf.DUMMYFUNCTION("""COMPUTED_VALUE"""),"Servistar Data Center")</f>
        <v>Servistar Data Center</v>
      </c>
      <c r="B433" s="1" t="str">
        <f>IFERROR(__xludf.DUMMYFUNCTION("""COMPUTED_VALUE"""),"199 Servistar Industrial Way")</f>
        <v>199 Servistar Industrial Way</v>
      </c>
      <c r="C433" s="1" t="str">
        <f>IFERROR(__xludf.DUMMYFUNCTION("""COMPUTED_VALUE"""),"Westfield")</f>
        <v>Westfield</v>
      </c>
      <c r="D433" s="1" t="str">
        <f>IFERROR(__xludf.DUMMYFUNCTION("""COMPUTED_VALUE"""),"MA")</f>
        <v>MA</v>
      </c>
      <c r="E433" s="1" t="str">
        <f>IFERROR(__xludf.DUMMYFUNCTION("""COMPUTED_VALUE"""),"01085")</f>
        <v>01085</v>
      </c>
      <c r="F433" s="1" t="str">
        <f>IFERROR(__xludf.DUMMYFUNCTION("""COMPUTED_VALUE"""),"Hampden")</f>
        <v>Hampden</v>
      </c>
      <c r="G433" s="1" t="str">
        <f>IFERROR(__xludf.DUMMYFUNCTION("""COMPUTED_VALUE"""),"42.15831")</f>
        <v>42.15831</v>
      </c>
      <c r="H433" s="1" t="str">
        <f>IFERROR(__xludf.DUMMYFUNCTION("""COMPUTED_VALUE"""),"-72.74108")</f>
        <v>-72.74108</v>
      </c>
      <c r="I433" s="1" t="str">
        <f>IFERROR(__xludf.DUMMYFUNCTION("""COMPUTED_VALUE"""),"Proposed")</f>
        <v>Proposed</v>
      </c>
      <c r="J433" s="1" t="str">
        <f>IFERROR(__xludf.DUMMYFUNCTION("""COMPUTED_VALUE"""),"High")</f>
        <v>High</v>
      </c>
      <c r="K433" s="1" t="str">
        <f>IFERROR(__xludf.DUMMYFUNCTION("""COMPUTED_VALUE"""),"")</f>
        <v/>
      </c>
      <c r="L433" s="1" t="str">
        <f>IFERROR(__xludf.DUMMYFUNCTION("""COMPUTED_VALUE"""),"")</f>
        <v/>
      </c>
      <c r="M433" s="1" t="str">
        <f>IFERROR(__xludf.DUMMYFUNCTION("""COMPUTED_VALUE"""),"")</f>
        <v/>
      </c>
      <c r="N433" s="1" t="str">
        <f>IFERROR(__xludf.DUMMYFUNCTION("""COMPUTED_VALUE"""),"300")</f>
        <v>300</v>
      </c>
      <c r="O433" s="1" t="str">
        <f>IFERROR(__xludf.DUMMYFUNCTION("""COMPUTED_VALUE"""),"Hyperscale (100-999 MW)")</f>
        <v>Hyperscale (100-999 MW)</v>
      </c>
      <c r="P433" s="1" t="str">
        <f>IFERROR(__xludf.DUMMYFUNCTION("""COMPUTED_VALUE"""),"Grid (unspecified mix)")</f>
        <v>Grid (unspecified mix)</v>
      </c>
      <c r="Q433" s="1" t="str">
        <f>IFERROR(__xludf.DUMMYFUNCTION("""COMPUTED_VALUE"""),"")</f>
        <v/>
      </c>
      <c r="R433" s="1" t="str">
        <f>IFERROR(__xludf.DUMMYFUNCTION("""COMPUTED_VALUE"""),"")</f>
        <v/>
      </c>
      <c r="S433" s="1" t="str">
        <f>IFERROR(__xludf.DUMMYFUNCTION("""COMPUTED_VALUE"""),"10")</f>
        <v>10</v>
      </c>
      <c r="T433" s="1" t="str">
        <f>IFERROR(__xludf.DUMMYFUNCTION("""COMPUTED_VALUE"""),"")</f>
        <v/>
      </c>
      <c r="U433" s="1" t="str">
        <f>IFERROR(__xludf.DUMMYFUNCTION("""COMPUTED_VALUE"""),"")</f>
        <v/>
      </c>
      <c r="V433" s="1" t="str">
        <f>IFERROR(__xludf.DUMMYFUNCTION("""COMPUTED_VALUE"""),"2,700,000")</f>
        <v>2,700,000</v>
      </c>
      <c r="W433" s="1" t="str">
        <f>IFERROR(__xludf.DUMMYFUNCTION("""COMPUTED_VALUE"""),"156")</f>
        <v>156</v>
      </c>
      <c r="X433" s="1" t="str">
        <f>IFERROR(__xludf.DUMMYFUNCTION("""COMPUTED_VALUE"""),"")</f>
        <v/>
      </c>
      <c r="Y433" s="1" t="str">
        <f>IFERROR(__xludf.DUMMYFUNCTION("""COMPUTED_VALUE"""),"")</f>
        <v/>
      </c>
      <c r="Z433" s="1" t="str">
        <f>IFERROR(__xludf.DUMMYFUNCTION("""COMPUTED_VALUE"""),"Unknown")</f>
        <v>Unknown</v>
      </c>
      <c r="AA433" s="1" t="str">
        <f>IFERROR(__xludf.DUMMYFUNCTION("""COMPUTED_VALUE"""),"")</f>
        <v/>
      </c>
      <c r="AB433" s="1" t="str">
        <f>IFERROR(__xludf.DUMMYFUNCTION("""COMPUTED_VALUE"""),"")</f>
        <v/>
      </c>
      <c r="AC433" s="1" t="str">
        <f>IFERROR(__xludf.DUMMYFUNCTION("""COMPUTED_VALUE"""),"")</f>
        <v/>
      </c>
      <c r="AD433" s="1" t="str">
        <f>IFERROR(__xludf.DUMMYFUNCTION("""COMPUTED_VALUE"""),"")</f>
        <v/>
      </c>
      <c r="AE433" s="1" t="str">
        <f>IFERROR(__xludf.DUMMYFUNCTION("""COMPUTED_VALUE"""),"")</f>
        <v/>
      </c>
      <c r="AF433" s="1" t="str">
        <f>IFERROR(__xludf.DUMMYFUNCTION("""COMPUTED_VALUE"""),"")</f>
        <v/>
      </c>
      <c r="AG433" s="1" t="str">
        <f>IFERROR(__xludf.DUMMYFUNCTION("""COMPUTED_VALUE"""),"")</f>
        <v/>
      </c>
      <c r="AH433" s="1" t="str">
        <f>IFERROR(__xludf.DUMMYFUNCTION("""COMPUTED_VALUE"""),"Media Monitoring")</f>
        <v>Media Monitoring</v>
      </c>
      <c r="AI433" s="2" t="str">
        <f>IFERROR(__xludf.DUMMYFUNCTION("""COMPUTED_VALUE"""),"https://theshoestring.org/2025/12/30/ai-hallucination-proposed-westfield-data-center-appears-abandoned-by-developers/")</f>
        <v>https://theshoestring.org/2025/12/30/ai-hallucination-proposed-westfield-data-center-appears-abandoned-by-developers/</v>
      </c>
      <c r="AJ433" s="2" t="str">
        <f>IFERROR(__xludf.DUMMYFUNCTION("""COMPUTED_VALUE"""),"https://www.nbcboston.com/news/local/massive-multi-billion-dollar-data-center-campus-planned-in-western-massachusetts/3795016/")</f>
        <v>https://www.nbcboston.com/news/local/massive-multi-billion-dollar-data-center-campus-planned-in-western-massachusetts/3795016/</v>
      </c>
      <c r="AK433" s="1" t="str">
        <f>IFERROR(__xludf.DUMMYFUNCTION("""COMPUTED_VALUE"""),"")</f>
        <v/>
      </c>
      <c r="AL433" s="1" t="str">
        <f>IFERROR(__xludf.DUMMYFUNCTION("""COMPUTED_VALUE"""),"")</f>
        <v/>
      </c>
      <c r="AM433" s="1" t="str">
        <f>IFERROR(__xludf.DUMMYFUNCTION("""COMPUTED_VALUE"""),"")</f>
        <v/>
      </c>
      <c r="AN433" s="1" t="str">
        <f>IFERROR(__xludf.DUMMYFUNCTION("""COMPUTED_VALUE"""),"")</f>
        <v/>
      </c>
      <c r="AO433" s="1" t="str">
        <f>IFERROR(__xludf.DUMMYFUNCTION("""COMPUTED_VALUE"""),"")</f>
        <v/>
      </c>
      <c r="AP433" s="1" t="str">
        <f>IFERROR(__xludf.DUMMYFUNCTION("""COMPUTED_VALUE"""),"")</f>
        <v/>
      </c>
      <c r="AQ433" s="1" t="str">
        <f>IFERROR(__xludf.DUMMYFUNCTION("""COMPUTED_VALUE"""),"01/20/2026")</f>
        <v>01/20/2026</v>
      </c>
      <c r="AR433" s="1" t="str">
        <f>IFERROR(__xludf.DUMMYFUNCTION("""COMPUTED_VALUE"""),"01/20/2026")</f>
        <v>01/20/2026</v>
      </c>
    </row>
    <row r="434">
      <c r="A434" s="1" t="str">
        <f>IFERROR(__xludf.DUMMYFUNCTION("""COMPUTED_VALUE"""),"Tidepoint")</f>
        <v>Tidepoint</v>
      </c>
      <c r="B434" s="1" t="str">
        <f>IFERROR(__xludf.DUMMYFUNCTION("""COMPUTED_VALUE"""),"1050 Hull Street, Suite 150")</f>
        <v>1050 Hull Street, Suite 150</v>
      </c>
      <c r="C434" s="1" t="str">
        <f>IFERROR(__xludf.DUMMYFUNCTION("""COMPUTED_VALUE"""),"Baltimore")</f>
        <v>Baltimore</v>
      </c>
      <c r="D434" s="1" t="str">
        <f>IFERROR(__xludf.DUMMYFUNCTION("""COMPUTED_VALUE"""),"MD")</f>
        <v>MD</v>
      </c>
      <c r="E434" s="1" t="str">
        <f>IFERROR(__xludf.DUMMYFUNCTION("""COMPUTED_VALUE"""),"21230")</f>
        <v>21230</v>
      </c>
      <c r="F434" s="1" t="str">
        <f>IFERROR(__xludf.DUMMYFUNCTION("""COMPUTED_VALUE"""),"Baltimore")</f>
        <v>Baltimore</v>
      </c>
      <c r="G434" s="1" t="str">
        <f>IFERROR(__xludf.DUMMYFUNCTION("""COMPUTED_VALUE"""),"39.27421")</f>
        <v>39.27421</v>
      </c>
      <c r="H434" s="1" t="str">
        <f>IFERROR(__xludf.DUMMYFUNCTION("""COMPUTED_VALUE"""),"-76.5911")</f>
        <v>-76.5911</v>
      </c>
      <c r="I434" s="1" t="str">
        <f>IFERROR(__xludf.DUMMYFUNCTION("""COMPUTED_VALUE"""),"Operating")</f>
        <v>Operating</v>
      </c>
      <c r="J434" s="1" t="str">
        <f>IFERROR(__xludf.DUMMYFUNCTION("""COMPUTED_VALUE"""),"High")</f>
        <v>High</v>
      </c>
      <c r="K434" s="1" t="str">
        <f>IFERROR(__xludf.DUMMYFUNCTION("""COMPUTED_VALUE"""),"")</f>
        <v/>
      </c>
      <c r="L434" s="1" t="str">
        <f>IFERROR(__xludf.DUMMYFUNCTION("""COMPUTED_VALUE"""),"")</f>
        <v/>
      </c>
      <c r="M434" s="1" t="str">
        <f>IFERROR(__xludf.DUMMYFUNCTION("""COMPUTED_VALUE"""),"")</f>
        <v/>
      </c>
      <c r="N434" s="1" t="str">
        <f>IFERROR(__xludf.DUMMYFUNCTION("""COMPUTED_VALUE"""),"1.5")</f>
        <v>1.5</v>
      </c>
      <c r="O434" s="1" t="str">
        <f>IFERROR(__xludf.DUMMYFUNCTION("""COMPUTED_VALUE"""),"Small (0-10 MW)")</f>
        <v>Small (0-10 MW)</v>
      </c>
      <c r="P434" s="1" t="str">
        <f>IFERROR(__xludf.DUMMYFUNCTION("""COMPUTED_VALUE"""),"")</f>
        <v/>
      </c>
      <c r="Q434" s="1" t="str">
        <f>IFERROR(__xludf.DUMMYFUNCTION("""COMPUTED_VALUE"""),"")</f>
        <v/>
      </c>
      <c r="R434" s="1" t="str">
        <f>IFERROR(__xludf.DUMMYFUNCTION("""COMPUTED_VALUE"""),"")</f>
        <v/>
      </c>
      <c r="S434" s="1" t="str">
        <f>IFERROR(__xludf.DUMMYFUNCTION("""COMPUTED_VALUE"""),"")</f>
        <v/>
      </c>
      <c r="T434" s="1" t="str">
        <f>IFERROR(__xludf.DUMMYFUNCTION("""COMPUTED_VALUE"""),"")</f>
        <v/>
      </c>
      <c r="U434" s="1" t="str">
        <f>IFERROR(__xludf.DUMMYFUNCTION("""COMPUTED_VALUE"""),"")</f>
        <v/>
      </c>
      <c r="V434" s="1" t="str">
        <f>IFERROR(__xludf.DUMMYFUNCTION("""COMPUTED_VALUE"""),"23,000")</f>
        <v>23,000</v>
      </c>
      <c r="W434" s="1" t="str">
        <f>IFERROR(__xludf.DUMMYFUNCTION("""COMPUTED_VALUE"""),"")</f>
        <v/>
      </c>
      <c r="X434" s="1" t="str">
        <f>IFERROR(__xludf.DUMMYFUNCTION("""COMPUTED_VALUE"""),"")</f>
        <v/>
      </c>
      <c r="Y434" s="1" t="str">
        <f>IFERROR(__xludf.DUMMYFUNCTION("""COMPUTED_VALUE"""),"")</f>
        <v/>
      </c>
      <c r="Z434" s="1" t="str">
        <f>IFERROR(__xludf.DUMMYFUNCTION("""COMPUTED_VALUE"""),"Unknown")</f>
        <v>Unknown</v>
      </c>
      <c r="AA434" s="1" t="str">
        <f>IFERROR(__xludf.DUMMYFUNCTION("""COMPUTED_VALUE"""),"")</f>
        <v/>
      </c>
      <c r="AB434" s="1" t="str">
        <f>IFERROR(__xludf.DUMMYFUNCTION("""COMPUTED_VALUE"""),"")</f>
        <v/>
      </c>
      <c r="AC434" s="1" t="str">
        <f>IFERROR(__xludf.DUMMYFUNCTION("""COMPUTED_VALUE"""),"")</f>
        <v/>
      </c>
      <c r="AD434" s="1" t="str">
        <f>IFERROR(__xludf.DUMMYFUNCTION("""COMPUTED_VALUE"""),"")</f>
        <v/>
      </c>
      <c r="AE434" s="1" t="str">
        <f>IFERROR(__xludf.DUMMYFUNCTION("""COMPUTED_VALUE"""),"")</f>
        <v/>
      </c>
      <c r="AF434" s="1" t="str">
        <f>IFERROR(__xludf.DUMMYFUNCTION("""COMPUTED_VALUE"""),"")</f>
        <v/>
      </c>
      <c r="AG434" s="1" t="str">
        <f>IFERROR(__xludf.DUMMYFUNCTION("""COMPUTED_VALUE"""),"")</f>
        <v/>
      </c>
      <c r="AH434" s="1" t="str">
        <f>IFERROR(__xludf.DUMMYFUNCTION("""COMPUTED_VALUE"""),"Media Monitoring")</f>
        <v>Media Monitoring</v>
      </c>
      <c r="AI434" s="2" t="str">
        <f>IFERROR(__xludf.DUMMYFUNCTION("""COMPUTED_VALUE"""),"https://www.expedient.com/data-centers/baltimore/")</f>
        <v>https://www.expedient.com/data-centers/baltimore/</v>
      </c>
      <c r="AJ434" s="1" t="str">
        <f>IFERROR(__xludf.DUMMYFUNCTION("""COMPUTED_VALUE"""),"")</f>
        <v/>
      </c>
      <c r="AK434" s="1" t="str">
        <f>IFERROR(__xludf.DUMMYFUNCTION("""COMPUTED_VALUE"""),"")</f>
        <v/>
      </c>
      <c r="AL434" s="1" t="str">
        <f>IFERROR(__xludf.DUMMYFUNCTION("""COMPUTED_VALUE"""),"")</f>
        <v/>
      </c>
      <c r="AM434" s="1" t="str">
        <f>IFERROR(__xludf.DUMMYFUNCTION("""COMPUTED_VALUE"""),"")</f>
        <v/>
      </c>
      <c r="AN434" s="1" t="str">
        <f>IFERROR(__xludf.DUMMYFUNCTION("""COMPUTED_VALUE"""),"")</f>
        <v/>
      </c>
      <c r="AO434" s="1" t="str">
        <f>IFERROR(__xludf.DUMMYFUNCTION("""COMPUTED_VALUE"""),"")</f>
        <v/>
      </c>
      <c r="AP434" s="1" t="str">
        <f>IFERROR(__xludf.DUMMYFUNCTION("""COMPUTED_VALUE"""),"")</f>
        <v/>
      </c>
      <c r="AQ434" s="1" t="str">
        <f>IFERROR(__xludf.DUMMYFUNCTION("""COMPUTED_VALUE"""),"09/02/2025")</f>
        <v>09/02/2025</v>
      </c>
      <c r="AR434" s="1" t="str">
        <f>IFERROR(__xludf.DUMMYFUNCTION("""COMPUTED_VALUE"""),"09/02/2025")</f>
        <v>09/02/2025</v>
      </c>
    </row>
    <row r="435">
      <c r="A435" s="1" t="str">
        <f>IFERROR(__xludf.DUMMYFUNCTION("""COMPUTED_VALUE"""),"Mag Partners Data Centers")</f>
        <v>Mag Partners Data Centers</v>
      </c>
      <c r="B435" s="1" t="str">
        <f>IFERROR(__xludf.DUMMYFUNCTION("""COMPUTED_VALUE"""),"")</f>
        <v/>
      </c>
      <c r="C435" s="1" t="str">
        <f>IFERROR(__xludf.DUMMYFUNCTION("""COMPUTED_VALUE"""),"Baltimore Peninsula/ Port Covington")</f>
        <v>Baltimore Peninsula/ Port Covington</v>
      </c>
      <c r="D435" s="1" t="str">
        <f>IFERROR(__xludf.DUMMYFUNCTION("""COMPUTED_VALUE"""),"MD")</f>
        <v>MD</v>
      </c>
      <c r="E435" s="1" t="str">
        <f>IFERROR(__xludf.DUMMYFUNCTION("""COMPUTED_VALUE"""),"21230")</f>
        <v>21230</v>
      </c>
      <c r="F435" s="1" t="str">
        <f>IFERROR(__xludf.DUMMYFUNCTION("""COMPUTED_VALUE"""),"Baltimore")</f>
        <v>Baltimore</v>
      </c>
      <c r="G435" s="1" t="str">
        <f>IFERROR(__xludf.DUMMYFUNCTION("""COMPUTED_VALUE"""),"39.26509")</f>
        <v>39.26509</v>
      </c>
      <c r="H435" s="1" t="str">
        <f>IFERROR(__xludf.DUMMYFUNCTION("""COMPUTED_VALUE"""),"-76.6127")</f>
        <v>-76.6127</v>
      </c>
      <c r="I435" s="1" t="str">
        <f>IFERROR(__xludf.DUMMYFUNCTION("""COMPUTED_VALUE"""),"Proposed")</f>
        <v>Proposed</v>
      </c>
      <c r="J435" s="1" t="str">
        <f>IFERROR(__xludf.DUMMYFUNCTION("""COMPUTED_VALUE"""),"Medium")</f>
        <v>Medium</v>
      </c>
      <c r="K435" s="1" t="str">
        <f>IFERROR(__xludf.DUMMYFUNCTION("""COMPUTED_VALUE"""),"")</f>
        <v/>
      </c>
      <c r="L435" s="1" t="str">
        <f>IFERROR(__xludf.DUMMYFUNCTION("""COMPUTED_VALUE"""),"")</f>
        <v/>
      </c>
      <c r="M435" s="1" t="str">
        <f>IFERROR(__xludf.DUMMYFUNCTION("""COMPUTED_VALUE"""),"")</f>
        <v/>
      </c>
      <c r="N435" s="1" t="str">
        <f>IFERROR(__xludf.DUMMYFUNCTION("""COMPUTED_VALUE"""),"")</f>
        <v/>
      </c>
      <c r="O435" s="1" t="str">
        <f>IFERROR(__xludf.DUMMYFUNCTION("""COMPUTED_VALUE"""),"Unknown")</f>
        <v>Unknown</v>
      </c>
      <c r="P435" s="1" t="str">
        <f>IFERROR(__xludf.DUMMYFUNCTION("""COMPUTED_VALUE"""),"")</f>
        <v/>
      </c>
      <c r="Q435" s="1" t="str">
        <f>IFERROR(__xludf.DUMMYFUNCTION("""COMPUTED_VALUE"""),"")</f>
        <v/>
      </c>
      <c r="R435" s="1" t="str">
        <f>IFERROR(__xludf.DUMMYFUNCTION("""COMPUTED_VALUE"""),"")</f>
        <v/>
      </c>
      <c r="S435" s="1" t="str">
        <f>IFERROR(__xludf.DUMMYFUNCTION("""COMPUTED_VALUE"""),"")</f>
        <v/>
      </c>
      <c r="T435" s="1" t="str">
        <f>IFERROR(__xludf.DUMMYFUNCTION("""COMPUTED_VALUE"""),"")</f>
        <v/>
      </c>
      <c r="U435" s="1" t="str">
        <f>IFERROR(__xludf.DUMMYFUNCTION("""COMPUTED_VALUE"""),"")</f>
        <v/>
      </c>
      <c r="V435" s="1" t="str">
        <f>IFERROR(__xludf.DUMMYFUNCTION("""COMPUTED_VALUE"""),"")</f>
        <v/>
      </c>
      <c r="W435" s="1" t="str">
        <f>IFERROR(__xludf.DUMMYFUNCTION("""COMPUTED_VALUE"""),"235")</f>
        <v>235</v>
      </c>
      <c r="X435" s="1" t="str">
        <f>IFERROR(__xludf.DUMMYFUNCTION("""COMPUTED_VALUE"""),"")</f>
        <v/>
      </c>
      <c r="Y435" s="1" t="str">
        <f>IFERROR(__xludf.DUMMYFUNCTION("""COMPUTED_VALUE"""),"")</f>
        <v/>
      </c>
      <c r="Z435" s="1" t="str">
        <f>IFERROR(__xludf.DUMMYFUNCTION("""COMPUTED_VALUE"""),"Unknown")</f>
        <v>Unknown</v>
      </c>
      <c r="AA435" s="1" t="str">
        <f>IFERROR(__xludf.DUMMYFUNCTION("""COMPUTED_VALUE"""),"")</f>
        <v/>
      </c>
      <c r="AB435" s="1" t="str">
        <f>IFERROR(__xludf.DUMMYFUNCTION("""COMPUTED_VALUE"""),"")</f>
        <v/>
      </c>
      <c r="AC435" s="1" t="str">
        <f>IFERROR(__xludf.DUMMYFUNCTION("""COMPUTED_VALUE"""),"")</f>
        <v/>
      </c>
      <c r="AD435" s="1" t="str">
        <f>IFERROR(__xludf.DUMMYFUNCTION("""COMPUTED_VALUE"""),"")</f>
        <v/>
      </c>
      <c r="AE435" s="1" t="str">
        <f>IFERROR(__xludf.DUMMYFUNCTION("""COMPUTED_VALUE"""),"")</f>
        <v/>
      </c>
      <c r="AF435" s="1" t="str">
        <f>IFERROR(__xludf.DUMMYFUNCTION("""COMPUTED_VALUE"""),"")</f>
        <v/>
      </c>
      <c r="AG435" s="1" t="str">
        <f>IFERROR(__xludf.DUMMYFUNCTION("""COMPUTED_VALUE"""),"")</f>
        <v/>
      </c>
      <c r="AH435" s="1" t="str">
        <f>IFERROR(__xludf.DUMMYFUNCTION("""COMPUTED_VALUE"""),"Media Monitoring")</f>
        <v>Media Monitoring</v>
      </c>
      <c r="AI435" s="2" t="str">
        <f>IFERROR(__xludf.DUMMYFUNCTION("""COMPUTED_VALUE"""),"https://www.datacenterdynamics.com/en/news/new-york-based-mag-partners-may-build-data-centers-on-235-acre-site-in-baltimore/")</f>
        <v>https://www.datacenterdynamics.com/en/news/new-york-based-mag-partners-may-build-data-centers-on-235-acre-site-in-baltimore/</v>
      </c>
      <c r="AJ435" s="1" t="str">
        <f>IFERROR(__xludf.DUMMYFUNCTION("""COMPUTED_VALUE"""),"")</f>
        <v/>
      </c>
      <c r="AK435" s="1" t="str">
        <f>IFERROR(__xludf.DUMMYFUNCTION("""COMPUTED_VALUE"""),"")</f>
        <v/>
      </c>
      <c r="AL435" s="1" t="str">
        <f>IFERROR(__xludf.DUMMYFUNCTION("""COMPUTED_VALUE"""),"")</f>
        <v/>
      </c>
      <c r="AM435" s="1" t="str">
        <f>IFERROR(__xludf.DUMMYFUNCTION("""COMPUTED_VALUE"""),"")</f>
        <v/>
      </c>
      <c r="AN435" s="1" t="str">
        <f>IFERROR(__xludf.DUMMYFUNCTION("""COMPUTED_VALUE"""),"")</f>
        <v/>
      </c>
      <c r="AO435" s="1" t="str">
        <f>IFERROR(__xludf.DUMMYFUNCTION("""COMPUTED_VALUE"""),"")</f>
        <v/>
      </c>
      <c r="AP435" s="1" t="str">
        <f>IFERROR(__xludf.DUMMYFUNCTION("""COMPUTED_VALUE"""),"")</f>
        <v/>
      </c>
      <c r="AQ435" s="1" t="str">
        <f>IFERROR(__xludf.DUMMYFUNCTION("""COMPUTED_VALUE"""),"08/09/2025")</f>
        <v>08/09/2025</v>
      </c>
      <c r="AR435" s="1" t="str">
        <f>IFERROR(__xludf.DUMMYFUNCTION("""COMPUTED_VALUE"""),"08/09/2025")</f>
        <v>08/09/2025</v>
      </c>
    </row>
    <row r="436">
      <c r="A436" s="1" t="str">
        <f>IFERROR(__xludf.DUMMYFUNCTION("""COMPUTED_VALUE"""),"Dickerson Data Centers")</f>
        <v>Dickerson Data Centers</v>
      </c>
      <c r="B436" s="1" t="str">
        <f>IFERROR(__xludf.DUMMYFUNCTION("""COMPUTED_VALUE"""),"21200 Martinsburg Rd")</f>
        <v>21200 Martinsburg Rd</v>
      </c>
      <c r="C436" s="1" t="str">
        <f>IFERROR(__xludf.DUMMYFUNCTION("""COMPUTED_VALUE"""),"Dickerson")</f>
        <v>Dickerson</v>
      </c>
      <c r="D436" s="1" t="str">
        <f>IFERROR(__xludf.DUMMYFUNCTION("""COMPUTED_VALUE"""),"MD")</f>
        <v>MD</v>
      </c>
      <c r="E436" s="1" t="str">
        <f>IFERROR(__xludf.DUMMYFUNCTION("""COMPUTED_VALUE"""),"20842")</f>
        <v>20842</v>
      </c>
      <c r="F436" s="1" t="str">
        <f>IFERROR(__xludf.DUMMYFUNCTION("""COMPUTED_VALUE"""),"Montgomery")</f>
        <v>Montgomery</v>
      </c>
      <c r="G436" s="1" t="str">
        <f>IFERROR(__xludf.DUMMYFUNCTION("""COMPUTED_VALUE"""),"39.209373")</f>
        <v>39.209373</v>
      </c>
      <c r="H436" s="1" t="str">
        <f>IFERROR(__xludf.DUMMYFUNCTION("""COMPUTED_VALUE"""),"-77.46454")</f>
        <v>-77.46454</v>
      </c>
      <c r="I436" s="1" t="str">
        <f>IFERROR(__xludf.DUMMYFUNCTION("""COMPUTED_VALUE"""),"Proposed")</f>
        <v>Proposed</v>
      </c>
      <c r="J436" s="1" t="str">
        <f>IFERROR(__xludf.DUMMYFUNCTION("""COMPUTED_VALUE"""),"High")</f>
        <v>High</v>
      </c>
      <c r="K436" s="1" t="str">
        <f>IFERROR(__xludf.DUMMYFUNCTION("""COMPUTED_VALUE"""),"")</f>
        <v/>
      </c>
      <c r="L436" s="1" t="str">
        <f>IFERROR(__xludf.DUMMYFUNCTION("""COMPUTED_VALUE"""),"")</f>
        <v/>
      </c>
      <c r="M436" s="1" t="str">
        <f>IFERROR(__xludf.DUMMYFUNCTION("""COMPUTED_VALUE"""),"")</f>
        <v/>
      </c>
      <c r="N436" s="1" t="str">
        <f>IFERROR(__xludf.DUMMYFUNCTION("""COMPUTED_VALUE"""),"300")</f>
        <v>300</v>
      </c>
      <c r="O436" s="1" t="str">
        <f>IFERROR(__xludf.DUMMYFUNCTION("""COMPUTED_VALUE"""),"Mega campus (&gt;1,000 MW)")</f>
        <v>Mega campus (&gt;1,000 MW)</v>
      </c>
      <c r="P436" s="1" t="str">
        <f>IFERROR(__xludf.DUMMYFUNCTION("""COMPUTED_VALUE"""),"Grid (unspecified mix)")</f>
        <v>Grid (unspecified mix)</v>
      </c>
      <c r="Q436" s="1" t="str">
        <f>IFERROR(__xludf.DUMMYFUNCTION("""COMPUTED_VALUE"""),"")</f>
        <v/>
      </c>
      <c r="R436" s="1" t="str">
        <f>IFERROR(__xludf.DUMMYFUNCTION("""COMPUTED_VALUE"""),"1.2 GW diesel")</f>
        <v>1.2 GW diesel</v>
      </c>
      <c r="S436" s="1" t="str">
        <f>IFERROR(__xludf.DUMMYFUNCTION("""COMPUTED_VALUE"""),"5")</f>
        <v>5</v>
      </c>
      <c r="T436" s="1" t="str">
        <f>IFERROR(__xludf.DUMMYFUNCTION("""COMPUTED_VALUE"""),"")</f>
        <v/>
      </c>
      <c r="U436" s="1" t="str">
        <f>IFERROR(__xludf.DUMMYFUNCTION("""COMPUTED_VALUE"""),"")</f>
        <v/>
      </c>
      <c r="V436" s="1" t="str">
        <f>IFERROR(__xludf.DUMMYFUNCTION("""COMPUTED_VALUE"""),"")</f>
        <v/>
      </c>
      <c r="W436" s="1" t="str">
        <f>IFERROR(__xludf.DUMMYFUNCTION("""COMPUTED_VALUE"""),"110")</f>
        <v>110</v>
      </c>
      <c r="X436" s="1" t="str">
        <f>IFERROR(__xludf.DUMMYFUNCTION("""COMPUTED_VALUE"""),"")</f>
        <v/>
      </c>
      <c r="Y436" s="1" t="str">
        <f>IFERROR(__xludf.DUMMYFUNCTION("""COMPUTED_VALUE"""),"")</f>
        <v/>
      </c>
      <c r="Z436" s="1" t="str">
        <f>IFERROR(__xludf.DUMMYFUNCTION("""COMPUTED_VALUE"""),"Yes")</f>
        <v>Yes</v>
      </c>
      <c r="AA436" s="1" t="str">
        <f>IFERROR(__xludf.DUMMYFUNCTION("""COMPUTED_VALUE"""),"")</f>
        <v/>
      </c>
      <c r="AB436" s="1" t="str">
        <f>IFERROR(__xludf.DUMMYFUNCTION("""COMPUTED_VALUE"""),"")</f>
        <v/>
      </c>
      <c r="AC436" s="1" t="str">
        <f>IFERROR(__xludf.DUMMYFUNCTION("""COMPUTED_VALUE"""),"")</f>
        <v/>
      </c>
      <c r="AD436" s="2" t="str">
        <f>IFERROR(__xludf.DUMMYFUNCTION("""COMPUTED_VALUE"""),"https://www.mocoalliance.org/news/dickerson-data-centers-how-much-water-how-much-power-how-much-diesel")</f>
        <v>https://www.mocoalliance.org/news/dickerson-data-centers-how-much-water-how-much-power-how-much-diesel</v>
      </c>
      <c r="AE436" s="2" t="str">
        <f>IFERROR(__xludf.DUMMYFUNCTION("""COMPUTED_VALUE"""),"https://www.facebook.com/groups/283244782323144/")</f>
        <v>https://www.facebook.com/groups/283244782323144/</v>
      </c>
      <c r="AF436" s="1" t="str">
        <f>IFERROR(__xludf.DUMMYFUNCTION("""COMPUTED_VALUE"""),"")</f>
        <v/>
      </c>
      <c r="AG436" s="1" t="str">
        <f>IFERROR(__xludf.DUMMYFUNCTION("""COMPUTED_VALUE"""),"Site of former Dickerson Generating Station")</f>
        <v>Site of former Dickerson Generating Station</v>
      </c>
      <c r="AH436" s="1" t="str">
        <f>IFERROR(__xludf.DUMMYFUNCTION("""COMPUTED_VALUE"""),"Crowdsourced")</f>
        <v>Crowdsourced</v>
      </c>
      <c r="AI436" s="2" t="str">
        <f>IFERROR(__xludf.DUMMYFUNCTION("""COMPUTED_VALUE"""),"https://www.thebanner.com/economy/growth-development/data-centers-agricultural-reserve-development-dickerson-battery-storage-potomac-river-IENOJKGJKJGDLL7DU53KSKMQ2U/")</f>
        <v>https://www.thebanner.com/economy/growth-development/data-centers-agricultural-reserve-development-dickerson-battery-storage-potomac-river-IENOJKGJKJGDLL7DU53KSKMQ2U/</v>
      </c>
      <c r="AJ436" s="2" t="str">
        <f>IFERROR(__xludf.DUMMYFUNCTION("""COMPUTED_VALUE"""),"https://wtop.com/montgomery-county/2026/02/coming-at-us-way-too-fast-public-comment-on-data-centers-in-montgomery-county/")</f>
        <v>https://wtop.com/montgomery-county/2026/02/coming-at-us-way-too-fast-public-comment-on-data-centers-in-montgomery-county/</v>
      </c>
      <c r="AK436" s="1" t="str">
        <f>IFERROR(__xludf.DUMMYFUNCTION("""COMPUTED_VALUE"""),"")</f>
        <v/>
      </c>
      <c r="AL436" s="1" t="str">
        <f>IFERROR(__xludf.DUMMYFUNCTION("""COMPUTED_VALUE"""),"")</f>
        <v/>
      </c>
      <c r="AM436" s="1" t="str">
        <f>IFERROR(__xludf.DUMMYFUNCTION("""COMPUTED_VALUE"""),"")</f>
        <v/>
      </c>
      <c r="AN436" s="1" t="str">
        <f>IFERROR(__xludf.DUMMYFUNCTION("""COMPUTED_VALUE"""),"")</f>
        <v/>
      </c>
      <c r="AO436" s="1" t="str">
        <f>IFERROR(__xludf.DUMMYFUNCTION("""COMPUTED_VALUE"""),"")</f>
        <v/>
      </c>
      <c r="AP436" s="1" t="str">
        <f>IFERROR(__xludf.DUMMYFUNCTION("""COMPUTED_VALUE"""),"")</f>
        <v/>
      </c>
      <c r="AQ436" s="1" t="str">
        <f>IFERROR(__xludf.DUMMYFUNCTION("""COMPUTED_VALUE"""),"02/25/2026")</f>
        <v>02/25/2026</v>
      </c>
      <c r="AR436" s="1" t="str">
        <f>IFERROR(__xludf.DUMMYFUNCTION("""COMPUTED_VALUE"""),"02/27/2026")</f>
        <v>02/27/2026</v>
      </c>
    </row>
    <row r="437">
      <c r="A437" s="1" t="str">
        <f>IFERROR(__xludf.DUMMYFUNCTION("""COMPUTED_VALUE"""),"Aligned IAD-06 ")</f>
        <v>Aligned IAD-06 </v>
      </c>
      <c r="B437" s="1" t="str">
        <f>IFERROR(__xludf.DUMMYFUNCTION("""COMPUTED_VALUE"""),"Near 5601 Manor Woods Rd")</f>
        <v>Near 5601 Manor Woods Rd</v>
      </c>
      <c r="C437" s="1" t="str">
        <f>IFERROR(__xludf.DUMMYFUNCTION("""COMPUTED_VALUE"""),"Frederick")</f>
        <v>Frederick</v>
      </c>
      <c r="D437" s="1" t="str">
        <f>IFERROR(__xludf.DUMMYFUNCTION("""COMPUTED_VALUE"""),"MD")</f>
        <v>MD</v>
      </c>
      <c r="E437" s="1" t="str">
        <f>IFERROR(__xludf.DUMMYFUNCTION("""COMPUTED_VALUE"""),"21703")</f>
        <v>21703</v>
      </c>
      <c r="F437" s="1" t="str">
        <f>IFERROR(__xludf.DUMMYFUNCTION("""COMPUTED_VALUE"""),"Frederick")</f>
        <v>Frederick</v>
      </c>
      <c r="G437" s="1" t="str">
        <f>IFERROR(__xludf.DUMMYFUNCTION("""COMPUTED_VALUE"""),"39.33511")</f>
        <v>39.33511</v>
      </c>
      <c r="H437" s="1" t="str">
        <f>IFERROR(__xludf.DUMMYFUNCTION("""COMPUTED_VALUE"""),"-77.46484")</f>
        <v>-77.46484</v>
      </c>
      <c r="I437" s="1" t="str">
        <f>IFERROR(__xludf.DUMMYFUNCTION("""COMPUTED_VALUE"""),"Approved/Permitted/Under construction")</f>
        <v>Approved/Permitted/Under construction</v>
      </c>
      <c r="J437" s="1" t="str">
        <f>IFERROR(__xludf.DUMMYFUNCTION("""COMPUTED_VALUE"""),"Medium")</f>
        <v>Medium</v>
      </c>
      <c r="K437" s="1" t="str">
        <f>IFERROR(__xludf.DUMMYFUNCTION("""COMPUTED_VALUE"""),"")</f>
        <v/>
      </c>
      <c r="L437" s="1" t="str">
        <f>IFERROR(__xludf.DUMMYFUNCTION("""COMPUTED_VALUE"""),"")</f>
        <v/>
      </c>
      <c r="M437" s="1" t="str">
        <f>IFERROR(__xludf.DUMMYFUNCTION("""COMPUTED_VALUE"""),"")</f>
        <v/>
      </c>
      <c r="N437" s="1" t="str">
        <f>IFERROR(__xludf.DUMMYFUNCTION("""COMPUTED_VALUE"""),"72")</f>
        <v>72</v>
      </c>
      <c r="O437" s="1" t="str">
        <f>IFERROR(__xludf.DUMMYFUNCTION("""COMPUTED_VALUE"""),"Large (51-99 MW)")</f>
        <v>Large (51-99 MW)</v>
      </c>
      <c r="P437" s="1" t="str">
        <f>IFERROR(__xludf.DUMMYFUNCTION("""COMPUTED_VALUE"""),"")</f>
        <v/>
      </c>
      <c r="Q437" s="1" t="str">
        <f>IFERROR(__xludf.DUMMYFUNCTION("""COMPUTED_VALUE"""),"")</f>
        <v/>
      </c>
      <c r="R437" s="1" t="str">
        <f>IFERROR(__xludf.DUMMYFUNCTION("""COMPUTED_VALUE"""),"")</f>
        <v/>
      </c>
      <c r="S437" s="1" t="str">
        <f>IFERROR(__xludf.DUMMYFUNCTION("""COMPUTED_VALUE"""),"")</f>
        <v/>
      </c>
      <c r="T437" s="1" t="str">
        <f>IFERROR(__xludf.DUMMYFUNCTION("""COMPUTED_VALUE"""),"")</f>
        <v/>
      </c>
      <c r="U437" s="1" t="str">
        <f>IFERROR(__xludf.DUMMYFUNCTION("""COMPUTED_VALUE"""),"")</f>
        <v/>
      </c>
      <c r="V437" s="1" t="str">
        <f>IFERROR(__xludf.DUMMYFUNCTION("""COMPUTED_VALUE"""),"450,000")</f>
        <v>450,000</v>
      </c>
      <c r="W437" s="1" t="str">
        <f>IFERROR(__xludf.DUMMYFUNCTION("""COMPUTED_VALUE"""),"75")</f>
        <v>75</v>
      </c>
      <c r="X437" s="1" t="str">
        <f>IFERROR(__xludf.DUMMYFUNCTION("""COMPUTED_VALUE"""),"")</f>
        <v/>
      </c>
      <c r="Y437" s="1" t="str">
        <f>IFERROR(__xludf.DUMMYFUNCTION("""COMPUTED_VALUE"""),"")</f>
        <v/>
      </c>
      <c r="Z437" s="1" t="str">
        <f>IFERROR(__xludf.DUMMYFUNCTION("""COMPUTED_VALUE"""),"Unknown")</f>
        <v>Unknown</v>
      </c>
      <c r="AA437" s="1" t="str">
        <f>IFERROR(__xludf.DUMMYFUNCTION("""COMPUTED_VALUE"""),"")</f>
        <v/>
      </c>
      <c r="AB437" s="1" t="str">
        <f>IFERROR(__xludf.DUMMYFUNCTION("""COMPUTED_VALUE"""),"")</f>
        <v/>
      </c>
      <c r="AC437" s="1" t="str">
        <f>IFERROR(__xludf.DUMMYFUNCTION("""COMPUTED_VALUE"""),"")</f>
        <v/>
      </c>
      <c r="AD437" s="1" t="str">
        <f>IFERROR(__xludf.DUMMYFUNCTION("""COMPUTED_VALUE"""),"")</f>
        <v/>
      </c>
      <c r="AE437" s="1" t="str">
        <f>IFERROR(__xludf.DUMMYFUNCTION("""COMPUTED_VALUE"""),"")</f>
        <v/>
      </c>
      <c r="AF437" s="1" t="str">
        <f>IFERROR(__xludf.DUMMYFUNCTION("""COMPUTED_VALUE"""),"")</f>
        <v/>
      </c>
      <c r="AG437" s="1" t="str">
        <f>IFERROR(__xludf.DUMMYFUNCTION("""COMPUTED_VALUE"""),"Within same area as Quantum Frederick")</f>
        <v>Within same area as Quantum Frederick</v>
      </c>
      <c r="AH437" s="1" t="str">
        <f>IFERROR(__xludf.DUMMYFUNCTION("""COMPUTED_VALUE"""),"Media Monitoring")</f>
        <v>Media Monitoring</v>
      </c>
      <c r="AI437" s="2" t="str">
        <f>IFERROR(__xludf.DUMMYFUNCTION("""COMPUTED_VALUE"""),"https://www.datacenterdynamics.com/en/news/aligned-tops-out-maryland-data-center/")</f>
        <v>https://www.datacenterdynamics.com/en/news/aligned-tops-out-maryland-data-center/</v>
      </c>
      <c r="AJ437" s="1" t="str">
        <f>IFERROR(__xludf.DUMMYFUNCTION("""COMPUTED_VALUE"""),"")</f>
        <v/>
      </c>
      <c r="AK437" s="1" t="str">
        <f>IFERROR(__xludf.DUMMYFUNCTION("""COMPUTED_VALUE"""),"")</f>
        <v/>
      </c>
      <c r="AL437" s="1" t="str">
        <f>IFERROR(__xludf.DUMMYFUNCTION("""COMPUTED_VALUE"""),"")</f>
        <v/>
      </c>
      <c r="AM437" s="1" t="str">
        <f>IFERROR(__xludf.DUMMYFUNCTION("""COMPUTED_VALUE"""),"")</f>
        <v/>
      </c>
      <c r="AN437" s="1" t="str">
        <f>IFERROR(__xludf.DUMMYFUNCTION("""COMPUTED_VALUE"""),"")</f>
        <v/>
      </c>
      <c r="AO437" s="1" t="str">
        <f>IFERROR(__xludf.DUMMYFUNCTION("""COMPUTED_VALUE"""),"")</f>
        <v/>
      </c>
      <c r="AP437" s="1" t="str">
        <f>IFERROR(__xludf.DUMMYFUNCTION("""COMPUTED_VALUE"""),"")</f>
        <v/>
      </c>
      <c r="AQ437" s="1" t="str">
        <f>IFERROR(__xludf.DUMMYFUNCTION("""COMPUTED_VALUE"""),"03/19/2026")</f>
        <v>03/19/2026</v>
      </c>
      <c r="AR437" s="1" t="str">
        <f>IFERROR(__xludf.DUMMYFUNCTION("""COMPUTED_VALUE"""),"03/19/2026")</f>
        <v>03/19/2026</v>
      </c>
    </row>
    <row r="438">
      <c r="A438" s="1" t="str">
        <f>IFERROR(__xludf.DUMMYFUNCTION("""COMPUTED_VALUE"""),"Quantum Frederick")</f>
        <v>Quantum Frederick</v>
      </c>
      <c r="B438" s="1" t="str">
        <f>IFERROR(__xludf.DUMMYFUNCTION("""COMPUTED_VALUE"""),"5601 Manor Woods Rd")</f>
        <v>5601 Manor Woods Rd</v>
      </c>
      <c r="C438" s="1" t="str">
        <f>IFERROR(__xludf.DUMMYFUNCTION("""COMPUTED_VALUE"""),"Frederick")</f>
        <v>Frederick</v>
      </c>
      <c r="D438" s="1" t="str">
        <f>IFERROR(__xludf.DUMMYFUNCTION("""COMPUTED_VALUE"""),"MD")</f>
        <v>MD</v>
      </c>
      <c r="E438" s="1" t="str">
        <f>IFERROR(__xludf.DUMMYFUNCTION("""COMPUTED_VALUE"""),"21703")</f>
        <v>21703</v>
      </c>
      <c r="F438" s="1" t="str">
        <f>IFERROR(__xludf.DUMMYFUNCTION("""COMPUTED_VALUE"""),"Frederick")</f>
        <v>Frederick</v>
      </c>
      <c r="G438" s="1" t="str">
        <f>IFERROR(__xludf.DUMMYFUNCTION("""COMPUTED_VALUE"""),"39.3343")</f>
        <v>39.3343</v>
      </c>
      <c r="H438" s="1" t="str">
        <f>IFERROR(__xludf.DUMMYFUNCTION("""COMPUTED_VALUE"""),"-77.4679")</f>
        <v>-77.4679</v>
      </c>
      <c r="I438" s="1" t="str">
        <f>IFERROR(__xludf.DUMMYFUNCTION("""COMPUTED_VALUE"""),"Proposed")</f>
        <v>Proposed</v>
      </c>
      <c r="J438" s="1" t="str">
        <f>IFERROR(__xludf.DUMMYFUNCTION("""COMPUTED_VALUE"""),"High")</f>
        <v>High</v>
      </c>
      <c r="K438" s="1" t="str">
        <f>IFERROR(__xludf.DUMMYFUNCTION("""COMPUTED_VALUE"""),"")</f>
        <v/>
      </c>
      <c r="L438" s="1" t="str">
        <f>IFERROR(__xludf.DUMMYFUNCTION("""COMPUTED_VALUE"""),"")</f>
        <v/>
      </c>
      <c r="M438" s="1" t="str">
        <f>IFERROR(__xludf.DUMMYFUNCTION("""COMPUTED_VALUE"""),"")</f>
        <v/>
      </c>
      <c r="N438" s="1" t="str">
        <f>IFERROR(__xludf.DUMMYFUNCTION("""COMPUTED_VALUE"""),"264-2,400")</f>
        <v>264-2,400</v>
      </c>
      <c r="O438" s="1" t="str">
        <f>IFERROR(__xludf.DUMMYFUNCTION("""COMPUTED_VALUE"""),"Mega campus (&gt;1,000 MW)")</f>
        <v>Mega campus (&gt;1,000 MW)</v>
      </c>
      <c r="P438" s="1" t="str">
        <f>IFERROR(__xludf.DUMMYFUNCTION("""COMPUTED_VALUE"""),"")</f>
        <v/>
      </c>
      <c r="Q438" s="1" t="str">
        <f>IFERROR(__xludf.DUMMYFUNCTION("""COMPUTED_VALUE"""),"")</f>
        <v/>
      </c>
      <c r="R438" s="1" t="str">
        <f>IFERROR(__xludf.DUMMYFUNCTION("""COMPUTED_VALUE"""),"")</f>
        <v/>
      </c>
      <c r="S438" s="1" t="str">
        <f>IFERROR(__xludf.DUMMYFUNCTION("""COMPUTED_VALUE"""),"")</f>
        <v/>
      </c>
      <c r="T438" s="1" t="str">
        <f>IFERROR(__xludf.DUMMYFUNCTION("""COMPUTED_VALUE"""),"")</f>
        <v/>
      </c>
      <c r="U438" s="1" t="str">
        <f>IFERROR(__xludf.DUMMYFUNCTION("""COMPUTED_VALUE"""),"")</f>
        <v/>
      </c>
      <c r="V438" s="1" t="str">
        <f>IFERROR(__xludf.DUMMYFUNCTION("""COMPUTED_VALUE"""),"1,100,000")</f>
        <v>1,100,000</v>
      </c>
      <c r="W438" s="1" t="str">
        <f>IFERROR(__xludf.DUMMYFUNCTION("""COMPUTED_VALUE"""),"2100")</f>
        <v>2100</v>
      </c>
      <c r="X438" s="1" t="str">
        <f>IFERROR(__xludf.DUMMYFUNCTION("""COMPUTED_VALUE"""),"")</f>
        <v/>
      </c>
      <c r="Y438" s="1" t="str">
        <f>IFERROR(__xludf.DUMMYFUNCTION("""COMPUTED_VALUE"""),"")</f>
        <v/>
      </c>
      <c r="Z438" s="1" t="str">
        <f>IFERROR(__xludf.DUMMYFUNCTION("""COMPUTED_VALUE"""),"Yes")</f>
        <v>Yes</v>
      </c>
      <c r="AA438" s="1" t="str">
        <f>IFERROR(__xludf.DUMMYFUNCTION("""COMPUTED_VALUE"""),"")</f>
        <v/>
      </c>
      <c r="AB438" s="1" t="str">
        <f>IFERROR(__xludf.DUMMYFUNCTION("""COMPUTED_VALUE"""),"")</f>
        <v/>
      </c>
      <c r="AC438" s="1" t="str">
        <f>IFERROR(__xludf.DUMMYFUNCTION("""COMPUTED_VALUE"""),"")</f>
        <v/>
      </c>
      <c r="AD438" s="2" t="str">
        <f>IFERROR(__xludf.DUMMYFUNCTION("""COMPUTED_VALUE"""),"https://www.sugarloaf-alliance.com/")</f>
        <v>https://www.sugarloaf-alliance.com/</v>
      </c>
      <c r="AE438" s="1" t="str">
        <f>IFERROR(__xludf.DUMMYFUNCTION("""COMPUTED_VALUE"""),"")</f>
        <v/>
      </c>
      <c r="AF438" s="2" t="str">
        <f>IFERROR(__xludf.DUMMYFUNCTION("""COMPUTED_VALUE"""),"https://www.change.org/p/prohibit-data-centers-in-the-sugarloaf-plan-area/u/33486187")</f>
        <v>https://www.change.org/p/prohibit-data-centers-in-the-sugarloaf-plan-area/u/33486187</v>
      </c>
      <c r="AG438" s="1" t="str">
        <f>IFERROR(__xludf.DUMMYFUNCTION("""COMPUTED_VALUE"""),"Former site of Alcoa Eastalco Works")</f>
        <v>Former site of Alcoa Eastalco Works</v>
      </c>
      <c r="AH438" s="1" t="str">
        <f>IFERROR(__xludf.DUMMYFUNCTION("""COMPUTED_VALUE"""),"Media Monitoring")</f>
        <v>Media Monitoring</v>
      </c>
      <c r="AI438" s="2" t="str">
        <f>IFERROR(__xludf.DUMMYFUNCTION("""COMPUTED_VALUE"""),"https://www.datacenterdynamics.com/en/news/aligned-looks-to-develop-three-more-data-centers-at-quantum-frederick-park-in-maryland/")</f>
        <v>https://www.datacenterdynamics.com/en/news/aligned-looks-to-develop-three-more-data-centers-at-quantum-frederick-park-in-maryland/</v>
      </c>
      <c r="AJ438" s="2" t="str">
        <f>IFERROR(__xludf.DUMMYFUNCTION("""COMPUTED_VALUE"""),"https://news.alcoa.com/press-releases/press-release-details/2021/Alcoa-Sells-Former-Eastalco-Site-for-100-Million-Buyer-to-Use-Repurposed-Land-for-Next-Generation-Data-Centers/default.aspx")</f>
        <v>https://news.alcoa.com/press-releases/press-release-details/2021/Alcoa-Sells-Former-Eastalco-Site-for-100-Million-Buyer-to-Use-Repurposed-Land-for-Next-Generation-Data-Centers/default.aspx</v>
      </c>
      <c r="AK438" s="2" t="str">
        <f>IFERROR(__xludf.DUMMYFUNCTION("""COMPUTED_VALUE"""),"https://www.wypr.org/wypr-news/2025-09-19/maryland-organizations-put-spotlight-on-data-center-industry")</f>
        <v>https://www.wypr.org/wypr-news/2025-09-19/maryland-organizations-put-spotlight-on-data-center-industry</v>
      </c>
      <c r="AL438" s="1" t="str">
        <f>IFERROR(__xludf.DUMMYFUNCTION("""COMPUTED_VALUE"""),"")</f>
        <v/>
      </c>
      <c r="AM438" s="1" t="str">
        <f>IFERROR(__xludf.DUMMYFUNCTION("""COMPUTED_VALUE"""),"")</f>
        <v/>
      </c>
      <c r="AN438" s="1" t="str">
        <f>IFERROR(__xludf.DUMMYFUNCTION("""COMPUTED_VALUE"""),"")</f>
        <v/>
      </c>
      <c r="AO438" s="1" t="str">
        <f>IFERROR(__xludf.DUMMYFUNCTION("""COMPUTED_VALUE"""),"")</f>
        <v/>
      </c>
      <c r="AP438" s="1" t="str">
        <f>IFERROR(__xludf.DUMMYFUNCTION("""COMPUTED_VALUE"""),"")</f>
        <v/>
      </c>
      <c r="AQ438" s="1" t="str">
        <f>IFERROR(__xludf.DUMMYFUNCTION("""COMPUTED_VALUE"""),"05/24/2025")</f>
        <v>05/24/2025</v>
      </c>
      <c r="AR438" s="1" t="str">
        <f>IFERROR(__xludf.DUMMYFUNCTION("""COMPUTED_VALUE"""),"02/27/2026")</f>
        <v>02/27/2026</v>
      </c>
    </row>
    <row r="439">
      <c r="A439" s="1" t="str">
        <f>IFERROR(__xludf.DUMMYFUNCTION("""COMPUTED_VALUE"""),"Brightseat Tech Park Data Center")</f>
        <v>Brightseat Tech Park Data Center</v>
      </c>
      <c r="B439" s="1" t="str">
        <f>IFERROR(__xludf.DUMMYFUNCTION("""COMPUTED_VALUE"""),"site of former Landover Mall")</f>
        <v>site of former Landover Mall</v>
      </c>
      <c r="C439" s="1" t="str">
        <f>IFERROR(__xludf.DUMMYFUNCTION("""COMPUTED_VALUE"""),"Hyattsville")</f>
        <v>Hyattsville</v>
      </c>
      <c r="D439" s="1" t="str">
        <f>IFERROR(__xludf.DUMMYFUNCTION("""COMPUTED_VALUE"""),"MD")</f>
        <v>MD</v>
      </c>
      <c r="E439" s="1" t="str">
        <f>IFERROR(__xludf.DUMMYFUNCTION("""COMPUTED_VALUE"""),"20785")</f>
        <v>20785</v>
      </c>
      <c r="F439" s="1" t="str">
        <f>IFERROR(__xludf.DUMMYFUNCTION("""COMPUTED_VALUE"""),"Prince George's")</f>
        <v>Prince George's</v>
      </c>
      <c r="G439" s="1" t="str">
        <f>IFERROR(__xludf.DUMMYFUNCTION("""COMPUTED_VALUE"""),"38.91977")</f>
        <v>38.91977</v>
      </c>
      <c r="H439" s="1" t="str">
        <f>IFERROR(__xludf.DUMMYFUNCTION("""COMPUTED_VALUE"""),"-76.8565")</f>
        <v>-76.8565</v>
      </c>
      <c r="I439" s="1" t="str">
        <f>IFERROR(__xludf.DUMMYFUNCTION("""COMPUTED_VALUE"""),"Suspended")</f>
        <v>Suspended</v>
      </c>
      <c r="J439" s="1" t="str">
        <f>IFERROR(__xludf.DUMMYFUNCTION("""COMPUTED_VALUE"""),"High")</f>
        <v>High</v>
      </c>
      <c r="K439" s="1" t="str">
        <f>IFERROR(__xludf.DUMMYFUNCTION("""COMPUTED_VALUE"""),"")</f>
        <v/>
      </c>
      <c r="L439" s="1" t="str">
        <f>IFERROR(__xludf.DUMMYFUNCTION("""COMPUTED_VALUE"""),"")</f>
        <v/>
      </c>
      <c r="M439" s="1" t="str">
        <f>IFERROR(__xludf.DUMMYFUNCTION("""COMPUTED_VALUE"""),"")</f>
        <v/>
      </c>
      <c r="N439" s="1" t="str">
        <f>IFERROR(__xludf.DUMMYFUNCTION("""COMPUTED_VALUE"""),"820")</f>
        <v>820</v>
      </c>
      <c r="O439" s="1" t="str">
        <f>IFERROR(__xludf.DUMMYFUNCTION("""COMPUTED_VALUE"""),"Hyperscale (100-999 MW)")</f>
        <v>Hyperscale (100-999 MW)</v>
      </c>
      <c r="P439" s="1" t="str">
        <f>IFERROR(__xludf.DUMMYFUNCTION("""COMPUTED_VALUE"""),"")</f>
        <v/>
      </c>
      <c r="Q439" s="1" t="str">
        <f>IFERROR(__xludf.DUMMYFUNCTION("""COMPUTED_VALUE"""),"")</f>
        <v/>
      </c>
      <c r="R439" s="1" t="str">
        <f>IFERROR(__xludf.DUMMYFUNCTION("""COMPUTED_VALUE"""),"")</f>
        <v/>
      </c>
      <c r="S439" s="1" t="str">
        <f>IFERROR(__xludf.DUMMYFUNCTION("""COMPUTED_VALUE"""),"")</f>
        <v/>
      </c>
      <c r="T439" s="1" t="str">
        <f>IFERROR(__xludf.DUMMYFUNCTION("""COMPUTED_VALUE"""),"")</f>
        <v/>
      </c>
      <c r="U439" s="1" t="str">
        <f>IFERROR(__xludf.DUMMYFUNCTION("""COMPUTED_VALUE"""),"")</f>
        <v/>
      </c>
      <c r="V439" s="1" t="str">
        <f>IFERROR(__xludf.DUMMYFUNCTION("""COMPUTED_VALUE"""),"4,100,000")</f>
        <v>4,100,000</v>
      </c>
      <c r="W439" s="1" t="str">
        <f>IFERROR(__xludf.DUMMYFUNCTION("""COMPUTED_VALUE"""),"")</f>
        <v/>
      </c>
      <c r="X439" s="1" t="str">
        <f>IFERROR(__xludf.DUMMYFUNCTION("""COMPUTED_VALUE"""),"$5 billion")</f>
        <v>$5 billion</v>
      </c>
      <c r="Y439" s="1" t="str">
        <f>IFERROR(__xludf.DUMMYFUNCTION("""COMPUTED_VALUE"""),"")</f>
        <v/>
      </c>
      <c r="Z439" s="1" t="str">
        <f>IFERROR(__xludf.DUMMYFUNCTION("""COMPUTED_VALUE"""),"Yes")</f>
        <v>Yes</v>
      </c>
      <c r="AA439" s="1" t="str">
        <f>IFERROR(__xludf.DUMMYFUNCTION("""COMPUTED_VALUE"""),"")</f>
        <v/>
      </c>
      <c r="AB439" s="1" t="str">
        <f>IFERROR(__xludf.DUMMYFUNCTION("""COMPUTED_VALUE"""),"")</f>
        <v/>
      </c>
      <c r="AC439" s="1" t="str">
        <f>IFERROR(__xludf.DUMMYFUNCTION("""COMPUTED_VALUE"""),"")</f>
        <v/>
      </c>
      <c r="AD439" s="1" t="str">
        <f>IFERROR(__xludf.DUMMYFUNCTION("""COMPUTED_VALUE"""),"")</f>
        <v/>
      </c>
      <c r="AE439" s="1" t="str">
        <f>IFERROR(__xludf.DUMMYFUNCTION("""COMPUTED_VALUE"""),"")</f>
        <v/>
      </c>
      <c r="AF439" s="2" t="str">
        <f>IFERROR(__xludf.DUMMYFUNCTION("""COMPUTED_VALUE""")," https://www.change.org/p/stop-data-center-at-former-landover-mall-site")</f>
        <v> https://www.change.org/p/stop-data-center-at-former-landover-mall-site</v>
      </c>
      <c r="AG439" s="1" t="str">
        <f>IFERROR(__xludf.DUMMYFUNCTION("""COMPUTED_VALUE"""),"")</f>
        <v/>
      </c>
      <c r="AH439" s="1" t="str">
        <f>IFERROR(__xludf.DUMMYFUNCTION("""COMPUTED_VALUE"""),"Media Monitoring")</f>
        <v>Media Monitoring</v>
      </c>
      <c r="AI439" s="2" t="str">
        <f>IFERROR(__xludf.DUMMYFUNCTION("""COMPUTED_VALUE"""),"https://www.nbcwashington.com/news/local/prince-georges-county-to-pause-data-center-development/3988847/")</f>
        <v>https://www.nbcwashington.com/news/local/prince-georges-county-to-pause-data-center-development/3988847/</v>
      </c>
      <c r="AJ439" s="2" t="str">
        <f>IFERROR(__xludf.DUMMYFUNCTION("""COMPUTED_VALUE"""),"https://www.washingtoninformer.com/landover-data-center-protest/")</f>
        <v>https://www.washingtoninformer.com/landover-data-center-protest/</v>
      </c>
      <c r="AK439" s="2" t="str">
        <f>IFERROR(__xludf.DUMMYFUNCTION("""COMPUTED_VALUE"""),"https://web.archive.org/web/20250401004408/https://www.pgcedc.com/latest-pgcedc-news/2024/10/29/5b-data-center-campus-on-former-landover-mall-footprint-could-break-ground-by-2026")</f>
        <v>https://web.archive.org/web/20250401004408/https://www.pgcedc.com/latest-pgcedc-news/2024/10/29/5b-data-center-campus-on-former-landover-mall-footprint-could-break-ground-by-2026</v>
      </c>
      <c r="AL439" s="2" t="str">
        <f>IFERROR(__xludf.DUMMYFUNCTION("""COMPUTED_VALUE"""),"https://www.washingtoninformer.com/landover-data-center-protest/")</f>
        <v>https://www.washingtoninformer.com/landover-data-center-protest/</v>
      </c>
      <c r="AM439" s="1" t="str">
        <f>IFERROR(__xludf.DUMMYFUNCTION("""COMPUTED_VALUE"""),"")</f>
        <v/>
      </c>
      <c r="AN439" s="1" t="str">
        <f>IFERROR(__xludf.DUMMYFUNCTION("""COMPUTED_VALUE"""),"")</f>
        <v/>
      </c>
      <c r="AO439" s="1" t="str">
        <f>IFERROR(__xludf.DUMMYFUNCTION("""COMPUTED_VALUE"""),"")</f>
        <v/>
      </c>
      <c r="AP439" s="1" t="str">
        <f>IFERROR(__xludf.DUMMYFUNCTION("""COMPUTED_VALUE"""),"")</f>
        <v/>
      </c>
      <c r="AQ439" s="1" t="str">
        <f>IFERROR(__xludf.DUMMYFUNCTION("""COMPUTED_VALUE"""),"09/17/2025")</f>
        <v>09/17/2025</v>
      </c>
      <c r="AR439" s="1" t="str">
        <f>IFERROR(__xludf.DUMMYFUNCTION("""COMPUTED_VALUE"""),"02/27/2026")</f>
        <v>02/27/2026</v>
      </c>
    </row>
    <row r="440">
      <c r="A440" s="1" t="str">
        <f>IFERROR(__xludf.DUMMYFUNCTION("""COMPUTED_VALUE"""),"Eternal Rings Data Center")</f>
        <v>Eternal Rings Data Center</v>
      </c>
      <c r="B440" s="1" t="str">
        <f>IFERROR(__xludf.DUMMYFUNCTION("""COMPUTED_VALUE"""),"9800 S Eternal Rings Dr")</f>
        <v>9800 S Eternal Rings Dr</v>
      </c>
      <c r="C440" s="1" t="str">
        <f>IFERROR(__xludf.DUMMYFUNCTION("""COMPUTED_VALUE"""),"Laurel")</f>
        <v>Laurel</v>
      </c>
      <c r="D440" s="1" t="str">
        <f>IFERROR(__xludf.DUMMYFUNCTION("""COMPUTED_VALUE"""),"MD")</f>
        <v>MD</v>
      </c>
      <c r="E440" s="1" t="str">
        <f>IFERROR(__xludf.DUMMYFUNCTION("""COMPUTED_VALUE"""),"20723")</f>
        <v>20723</v>
      </c>
      <c r="F440" s="1" t="str">
        <f>IFERROR(__xludf.DUMMYFUNCTION("""COMPUTED_VALUE"""),"Prince George's")</f>
        <v>Prince George's</v>
      </c>
      <c r="G440" s="1" t="str">
        <f>IFERROR(__xludf.DUMMYFUNCTION("""COMPUTED_VALUE"""),"39.133514")</f>
        <v>39.133514</v>
      </c>
      <c r="H440" s="1" t="str">
        <f>IFERROR(__xludf.DUMMYFUNCTION("""COMPUTED_VALUE"""),"-76.85197")</f>
        <v>-76.85197</v>
      </c>
      <c r="I440" s="1" t="str">
        <f>IFERROR(__xludf.DUMMYFUNCTION("""COMPUTED_VALUE"""),"Proposed")</f>
        <v>Proposed</v>
      </c>
      <c r="J440" s="1" t="str">
        <f>IFERROR(__xludf.DUMMYFUNCTION("""COMPUTED_VALUE"""),"High")</f>
        <v>High</v>
      </c>
      <c r="K440" s="1" t="str">
        <f>IFERROR(__xludf.DUMMYFUNCTION("""COMPUTED_VALUE"""),"")</f>
        <v/>
      </c>
      <c r="L440" s="1" t="str">
        <f>IFERROR(__xludf.DUMMYFUNCTION("""COMPUTED_VALUE"""),"")</f>
        <v/>
      </c>
      <c r="M440" s="1" t="str">
        <f>IFERROR(__xludf.DUMMYFUNCTION("""COMPUTED_VALUE"""),"")</f>
        <v/>
      </c>
      <c r="N440" s="1" t="str">
        <f>IFERROR(__xludf.DUMMYFUNCTION("""COMPUTED_VALUE"""),"")</f>
        <v/>
      </c>
      <c r="O440" s="1" t="str">
        <f>IFERROR(__xludf.DUMMYFUNCTION("""COMPUTED_VALUE"""),"Unknown")</f>
        <v>Unknown</v>
      </c>
      <c r="P440" s="1" t="str">
        <f>IFERROR(__xludf.DUMMYFUNCTION("""COMPUTED_VALUE"""),"")</f>
        <v/>
      </c>
      <c r="Q440" s="1" t="str">
        <f>IFERROR(__xludf.DUMMYFUNCTION("""COMPUTED_VALUE"""),"")</f>
        <v/>
      </c>
      <c r="R440" s="1" t="str">
        <f>IFERROR(__xludf.DUMMYFUNCTION("""COMPUTED_VALUE"""),"")</f>
        <v/>
      </c>
      <c r="S440" s="1" t="str">
        <f>IFERROR(__xludf.DUMMYFUNCTION("""COMPUTED_VALUE"""),"")</f>
        <v/>
      </c>
      <c r="T440" s="1" t="str">
        <f>IFERROR(__xludf.DUMMYFUNCTION("""COMPUTED_VALUE"""),"")</f>
        <v/>
      </c>
      <c r="U440" s="1" t="str">
        <f>IFERROR(__xludf.DUMMYFUNCTION("""COMPUTED_VALUE"""),"")</f>
        <v/>
      </c>
      <c r="V440" s="1" t="str">
        <f>IFERROR(__xludf.DUMMYFUNCTION("""COMPUTED_VALUE"""),"")</f>
        <v/>
      </c>
      <c r="W440" s="1" t="str">
        <f>IFERROR(__xludf.DUMMYFUNCTION("""COMPUTED_VALUE"""),"")</f>
        <v/>
      </c>
      <c r="X440" s="1" t="str">
        <f>IFERROR(__xludf.DUMMYFUNCTION("""COMPUTED_VALUE"""),"")</f>
        <v/>
      </c>
      <c r="Y440" s="1" t="str">
        <f>IFERROR(__xludf.DUMMYFUNCTION("""COMPUTED_VALUE"""),"")</f>
        <v/>
      </c>
      <c r="Z440" s="1" t="str">
        <f>IFERROR(__xludf.DUMMYFUNCTION("""COMPUTED_VALUE"""),"Unknown")</f>
        <v>Unknown</v>
      </c>
      <c r="AA440" s="1" t="str">
        <f>IFERROR(__xludf.DUMMYFUNCTION("""COMPUTED_VALUE"""),"")</f>
        <v/>
      </c>
      <c r="AB440" s="1" t="str">
        <f>IFERROR(__xludf.DUMMYFUNCTION("""COMPUTED_VALUE"""),"")</f>
        <v/>
      </c>
      <c r="AC440" s="1" t="str">
        <f>IFERROR(__xludf.DUMMYFUNCTION("""COMPUTED_VALUE"""),"")</f>
        <v/>
      </c>
      <c r="AD440" s="1" t="str">
        <f>IFERROR(__xludf.DUMMYFUNCTION("""COMPUTED_VALUE"""),"")</f>
        <v/>
      </c>
      <c r="AE440" s="1" t="str">
        <f>IFERROR(__xludf.DUMMYFUNCTION("""COMPUTED_VALUE"""),"")</f>
        <v/>
      </c>
      <c r="AF440" s="1" t="str">
        <f>IFERROR(__xludf.DUMMYFUNCTION("""COMPUTED_VALUE"""),"")</f>
        <v/>
      </c>
      <c r="AG440" s="1" t="str">
        <f>IFERROR(__xludf.DUMMYFUNCTION("""COMPUTED_VALUE"""),"")</f>
        <v/>
      </c>
      <c r="AH440" s="1" t="str">
        <f>IFERROR(__xludf.DUMMYFUNCTION("""COMPUTED_VALUE"""),"Media Monitoring")</f>
        <v>Media Monitoring</v>
      </c>
      <c r="AI440" s="2" t="str">
        <f>IFERROR(__xludf.DUMMYFUNCTION("""COMPUTED_VALUE"""),"https://www.datacenterdynamics.com/en/news/harrison-street-sells-two-powered-shell-data-center-sites-in-maryland/")</f>
        <v>https://www.datacenterdynamics.com/en/news/harrison-street-sells-two-powered-shell-data-center-sites-in-maryland/</v>
      </c>
      <c r="AJ440" s="1" t="str">
        <f>IFERROR(__xludf.DUMMYFUNCTION("""COMPUTED_VALUE"""),"")</f>
        <v/>
      </c>
      <c r="AK440" s="1" t="str">
        <f>IFERROR(__xludf.DUMMYFUNCTION("""COMPUTED_VALUE"""),"")</f>
        <v/>
      </c>
      <c r="AL440" s="1" t="str">
        <f>IFERROR(__xludf.DUMMYFUNCTION("""COMPUTED_VALUE"""),"")</f>
        <v/>
      </c>
      <c r="AM440" s="1" t="str">
        <f>IFERROR(__xludf.DUMMYFUNCTION("""COMPUTED_VALUE"""),"")</f>
        <v/>
      </c>
      <c r="AN440" s="1" t="str">
        <f>IFERROR(__xludf.DUMMYFUNCTION("""COMPUTED_VALUE"""),"")</f>
        <v/>
      </c>
      <c r="AO440" s="1" t="str">
        <f>IFERROR(__xludf.DUMMYFUNCTION("""COMPUTED_VALUE"""),"")</f>
        <v/>
      </c>
      <c r="AP440" s="1" t="str">
        <f>IFERROR(__xludf.DUMMYFUNCTION("""COMPUTED_VALUE"""),"")</f>
        <v/>
      </c>
      <c r="AQ440" s="1" t="str">
        <f>IFERROR(__xludf.DUMMYFUNCTION("""COMPUTED_VALUE"""),"03/19/2026")</f>
        <v>03/19/2026</v>
      </c>
      <c r="AR440" s="1" t="str">
        <f>IFERROR(__xludf.DUMMYFUNCTION("""COMPUTED_VALUE"""),"03/19/2026")</f>
        <v>03/19/2026</v>
      </c>
    </row>
    <row r="441">
      <c r="A441" s="1" t="str">
        <f>IFERROR(__xludf.DUMMYFUNCTION("""COMPUTED_VALUE"""),"Amazon Lusby Data Center")</f>
        <v>Amazon Lusby Data Center</v>
      </c>
      <c r="B441" s="1" t="str">
        <f>IFERROR(__xludf.DUMMYFUNCTION("""COMPUTED_VALUE"""),"Adjacent to Calvert Cliffs Nuclear Power Plant. 1650 Calvert Cliffs Pkwy")</f>
        <v>Adjacent to Calvert Cliffs Nuclear Power Plant. 1650 Calvert Cliffs Pkwy</v>
      </c>
      <c r="C441" s="1" t="str">
        <f>IFERROR(__xludf.DUMMYFUNCTION("""COMPUTED_VALUE"""),"Lusby")</f>
        <v>Lusby</v>
      </c>
      <c r="D441" s="1" t="str">
        <f>IFERROR(__xludf.DUMMYFUNCTION("""COMPUTED_VALUE"""),"MD")</f>
        <v>MD</v>
      </c>
      <c r="E441" s="1" t="str">
        <f>IFERROR(__xludf.DUMMYFUNCTION("""COMPUTED_VALUE"""),"20657")</f>
        <v>20657</v>
      </c>
      <c r="F441" s="1" t="str">
        <f>IFERROR(__xludf.DUMMYFUNCTION("""COMPUTED_VALUE"""),"Calvert")</f>
        <v>Calvert</v>
      </c>
      <c r="G441" s="1" t="str">
        <f>IFERROR(__xludf.DUMMYFUNCTION("""COMPUTED_VALUE"""),"38.42979")</f>
        <v>38.42979</v>
      </c>
      <c r="H441" s="1" t="str">
        <f>IFERROR(__xludf.DUMMYFUNCTION("""COMPUTED_VALUE"""),"-76.45836")</f>
        <v>-76.45836</v>
      </c>
      <c r="I441" s="1" t="str">
        <f>IFERROR(__xludf.DUMMYFUNCTION("""COMPUTED_VALUE"""),"Proposed")</f>
        <v>Proposed</v>
      </c>
      <c r="J441" s="1" t="str">
        <f>IFERROR(__xludf.DUMMYFUNCTION("""COMPUTED_VALUE"""),"Medium")</f>
        <v>Medium</v>
      </c>
      <c r="K441" s="1" t="str">
        <f>IFERROR(__xludf.DUMMYFUNCTION("""COMPUTED_VALUE"""),"")</f>
        <v/>
      </c>
      <c r="L441" s="1" t="str">
        <f>IFERROR(__xludf.DUMMYFUNCTION("""COMPUTED_VALUE"""),"Amazon")</f>
        <v>Amazon</v>
      </c>
      <c r="M441" s="1" t="str">
        <f>IFERROR(__xludf.DUMMYFUNCTION("""COMPUTED_VALUE"""),"")</f>
        <v/>
      </c>
      <c r="N441" s="1" t="str">
        <f>IFERROR(__xludf.DUMMYFUNCTION("""COMPUTED_VALUE"""),"")</f>
        <v/>
      </c>
      <c r="O441" s="1" t="str">
        <f>IFERROR(__xludf.DUMMYFUNCTION("""COMPUTED_VALUE"""),"Unknown")</f>
        <v>Unknown</v>
      </c>
      <c r="P441" s="1" t="str">
        <f>IFERROR(__xludf.DUMMYFUNCTION("""COMPUTED_VALUE"""),"Nuclear")</f>
        <v>Nuclear</v>
      </c>
      <c r="Q441" s="1" t="str">
        <f>IFERROR(__xludf.DUMMYFUNCTION("""COMPUTED_VALUE"""),"")</f>
        <v/>
      </c>
      <c r="R441" s="1" t="str">
        <f>IFERROR(__xludf.DUMMYFUNCTION("""COMPUTED_VALUE"""),"")</f>
        <v/>
      </c>
      <c r="S441" s="1" t="str">
        <f>IFERROR(__xludf.DUMMYFUNCTION("""COMPUTED_VALUE"""),"")</f>
        <v/>
      </c>
      <c r="T441" s="1" t="str">
        <f>IFERROR(__xludf.DUMMYFUNCTION("""COMPUTED_VALUE"""),"")</f>
        <v/>
      </c>
      <c r="U441" s="1" t="str">
        <f>IFERROR(__xludf.DUMMYFUNCTION("""COMPUTED_VALUE"""),"")</f>
        <v/>
      </c>
      <c r="V441" s="1" t="str">
        <f>IFERROR(__xludf.DUMMYFUNCTION("""COMPUTED_VALUE"""),"")</f>
        <v/>
      </c>
      <c r="W441" s="1" t="str">
        <f>IFERROR(__xludf.DUMMYFUNCTION("""COMPUTED_VALUE"""),"")</f>
        <v/>
      </c>
      <c r="X441" s="1" t="str">
        <f>IFERROR(__xludf.DUMMYFUNCTION("""COMPUTED_VALUE"""),"")</f>
        <v/>
      </c>
      <c r="Y441" s="1" t="str">
        <f>IFERROR(__xludf.DUMMYFUNCTION("""COMPUTED_VALUE"""),"")</f>
        <v/>
      </c>
      <c r="Z441" s="1" t="str">
        <f>IFERROR(__xludf.DUMMYFUNCTION("""COMPUTED_VALUE"""),"Unknown")</f>
        <v>Unknown</v>
      </c>
      <c r="AA441" s="1" t="str">
        <f>IFERROR(__xludf.DUMMYFUNCTION("""COMPUTED_VALUE"""),"")</f>
        <v/>
      </c>
      <c r="AB441" s="1" t="str">
        <f>IFERROR(__xludf.DUMMYFUNCTION("""COMPUTED_VALUE"""),"")</f>
        <v/>
      </c>
      <c r="AC441" s="1" t="str">
        <f>IFERROR(__xludf.DUMMYFUNCTION("""COMPUTED_VALUE"""),"")</f>
        <v/>
      </c>
      <c r="AD441" s="1" t="str">
        <f>IFERROR(__xludf.DUMMYFUNCTION("""COMPUTED_VALUE"""),"")</f>
        <v/>
      </c>
      <c r="AE441" s="1" t="str">
        <f>IFERROR(__xludf.DUMMYFUNCTION("""COMPUTED_VALUE"""),"")</f>
        <v/>
      </c>
      <c r="AF441" s="1" t="str">
        <f>IFERROR(__xludf.DUMMYFUNCTION("""COMPUTED_VALUE"""),"")</f>
        <v/>
      </c>
      <c r="AG441" s="1" t="str">
        <f>IFERROR(__xludf.DUMMYFUNCTION("""COMPUTED_VALUE"""),"")</f>
        <v/>
      </c>
      <c r="AH441" s="1" t="str">
        <f>IFERROR(__xludf.DUMMYFUNCTION("""COMPUTED_VALUE"""),"Media Monitoring")</f>
        <v>Media Monitoring</v>
      </c>
      <c r="AI441" s="2" t="str">
        <f>IFERROR(__xludf.DUMMYFUNCTION("""COMPUTED_VALUE"""),"https://www.datacenterdynamics.com/en/news/aws-proposes-data-center-campus-next-to-nuclear-plant-in-calvert-county-maryland/")</f>
        <v>https://www.datacenterdynamics.com/en/news/aws-proposes-data-center-campus-next-to-nuclear-plant-in-calvert-county-maryland/</v>
      </c>
      <c r="AJ441" s="1" t="str">
        <f>IFERROR(__xludf.DUMMYFUNCTION("""COMPUTED_VALUE"""),"")</f>
        <v/>
      </c>
      <c r="AK441" s="1" t="str">
        <f>IFERROR(__xludf.DUMMYFUNCTION("""COMPUTED_VALUE"""),"")</f>
        <v/>
      </c>
      <c r="AL441" s="1" t="str">
        <f>IFERROR(__xludf.DUMMYFUNCTION("""COMPUTED_VALUE"""),"")</f>
        <v/>
      </c>
      <c r="AM441" s="1" t="str">
        <f>IFERROR(__xludf.DUMMYFUNCTION("""COMPUTED_VALUE"""),"")</f>
        <v/>
      </c>
      <c r="AN441" s="1" t="str">
        <f>IFERROR(__xludf.DUMMYFUNCTION("""COMPUTED_VALUE"""),"")</f>
        <v/>
      </c>
      <c r="AO441" s="1" t="str">
        <f>IFERROR(__xludf.DUMMYFUNCTION("""COMPUTED_VALUE"""),"")</f>
        <v/>
      </c>
      <c r="AP441" s="1" t="str">
        <f>IFERROR(__xludf.DUMMYFUNCTION("""COMPUTED_VALUE"""),"")</f>
        <v/>
      </c>
      <c r="AQ441" s="1" t="str">
        <f>IFERROR(__xludf.DUMMYFUNCTION("""COMPUTED_VALUE"""),"04/01/2026")</f>
        <v>04/01/2026</v>
      </c>
      <c r="AR441" s="1" t="str">
        <f>IFERROR(__xludf.DUMMYFUNCTION("""COMPUTED_VALUE"""),"04/01/2026")</f>
        <v>04/01/2026</v>
      </c>
    </row>
    <row r="442">
      <c r="A442" s="1" t="str">
        <f>IFERROR(__xludf.DUMMYFUNCTION("""COMPUTED_VALUE"""),"Morgantown Data Center")</f>
        <v>Morgantown Data Center</v>
      </c>
      <c r="B442" s="1" t="str">
        <f>IFERROR(__xludf.DUMMYFUNCTION("""COMPUTED_VALUE"""),"12620 Crain Highway ")</f>
        <v>12620 Crain Highway </v>
      </c>
      <c r="C442" s="1" t="str">
        <f>IFERROR(__xludf.DUMMYFUNCTION("""COMPUTED_VALUE"""),"Newburg")</f>
        <v>Newburg</v>
      </c>
      <c r="D442" s="1" t="str">
        <f>IFERROR(__xludf.DUMMYFUNCTION("""COMPUTED_VALUE"""),"MD")</f>
        <v>MD</v>
      </c>
      <c r="E442" s="1" t="str">
        <f>IFERROR(__xludf.DUMMYFUNCTION("""COMPUTED_VALUE"""),"20664")</f>
        <v>20664</v>
      </c>
      <c r="F442" s="1" t="str">
        <f>IFERROR(__xludf.DUMMYFUNCTION("""COMPUTED_VALUE"""),"Charles")</f>
        <v>Charles</v>
      </c>
      <c r="G442" s="1" t="str">
        <f>IFERROR(__xludf.DUMMYFUNCTION("""COMPUTED_VALUE"""),"38.3596")</f>
        <v>38.3596</v>
      </c>
      <c r="H442" s="1" t="str">
        <f>IFERROR(__xludf.DUMMYFUNCTION("""COMPUTED_VALUE"""),"-76.9757")</f>
        <v>-76.9757</v>
      </c>
      <c r="I442" s="1" t="str">
        <f>IFERROR(__xludf.DUMMYFUNCTION("""COMPUTED_VALUE"""),"Proposed")</f>
        <v>Proposed</v>
      </c>
      <c r="J442" s="1" t="str">
        <f>IFERROR(__xludf.DUMMYFUNCTION("""COMPUTED_VALUE"""),"High ")</f>
        <v>High </v>
      </c>
      <c r="K442" s="1" t="str">
        <f>IFERROR(__xludf.DUMMYFUNCTION("""COMPUTED_VALUE"""),"data centers, high-performance computing (HPC), and bitcoin mining")</f>
        <v>data centers, high-performance computing (HPC), and bitcoin mining</v>
      </c>
      <c r="L442" s="1" t="str">
        <f>IFERROR(__xludf.DUMMYFUNCTION("""COMPUTED_VALUE"""),"TeraWulf, Inc. ")</f>
        <v>TeraWulf, Inc. </v>
      </c>
      <c r="M442" s="1" t="str">
        <f>IFERROR(__xludf.DUMMYFUNCTION("""COMPUTED_VALUE"""),"")</f>
        <v/>
      </c>
      <c r="N442" s="1" t="str">
        <f>IFERROR(__xludf.DUMMYFUNCTION("""COMPUTED_VALUE"""),"210-500")</f>
        <v>210-500</v>
      </c>
      <c r="O442" s="1" t="str">
        <f>IFERROR(__xludf.DUMMYFUNCTION("""COMPUTED_VALUE"""),"Hyperscale (100-999 MW)")</f>
        <v>Hyperscale (100-999 MW)</v>
      </c>
      <c r="P442" s="1" t="str">
        <f>IFERROR(__xludf.DUMMYFUNCTION("""COMPUTED_VALUE"""),"")</f>
        <v/>
      </c>
      <c r="Q442" s="1" t="str">
        <f>IFERROR(__xludf.DUMMYFUNCTION("""COMPUTED_VALUE"""),"")</f>
        <v/>
      </c>
      <c r="R442" s="1" t="str">
        <f>IFERROR(__xludf.DUMMYFUNCTION("""COMPUTED_VALUE"""),"")</f>
        <v/>
      </c>
      <c r="S442" s="1" t="str">
        <f>IFERROR(__xludf.DUMMYFUNCTION("""COMPUTED_VALUE"""),"")</f>
        <v/>
      </c>
      <c r="T442" s="1" t="str">
        <f>IFERROR(__xludf.DUMMYFUNCTION("""COMPUTED_VALUE"""),"")</f>
        <v/>
      </c>
      <c r="U442" s="1" t="str">
        <f>IFERROR(__xludf.DUMMYFUNCTION("""COMPUTED_VALUE"""),"")</f>
        <v/>
      </c>
      <c r="V442" s="1" t="str">
        <f>IFERROR(__xludf.DUMMYFUNCTION("""COMPUTED_VALUE"""),"")</f>
        <v/>
      </c>
      <c r="W442" s="1" t="str">
        <f>IFERROR(__xludf.DUMMYFUNCTION("""COMPUTED_VALUE"""),"250")</f>
        <v>250</v>
      </c>
      <c r="X442" s="1" t="str">
        <f>IFERROR(__xludf.DUMMYFUNCTION("""COMPUTED_VALUE"""),"")</f>
        <v/>
      </c>
      <c r="Y442" s="1" t="str">
        <f>IFERROR(__xludf.DUMMYFUNCTION("""COMPUTED_VALUE"""),"")</f>
        <v/>
      </c>
      <c r="Z442" s="1" t="str">
        <f>IFERROR(__xludf.DUMMYFUNCTION("""COMPUTED_VALUE"""),"Yes")</f>
        <v>Yes</v>
      </c>
      <c r="AA442" s="1" t="str">
        <f>IFERROR(__xludf.DUMMYFUNCTION("""COMPUTED_VALUE"""),"")</f>
        <v/>
      </c>
      <c r="AB442" s="1" t="str">
        <f>IFERROR(__xludf.DUMMYFUNCTION("""COMPUTED_VALUE"""),"")</f>
        <v/>
      </c>
      <c r="AC442" s="1" t="str">
        <f>IFERROR(__xludf.DUMMYFUNCTION("""COMPUTED_VALUE"""),"")</f>
        <v/>
      </c>
      <c r="AD442" s="2" t="str">
        <f>IFERROR(__xludf.DUMMYFUNCTION("""COMPUTED_VALUE"""),"https://actionnetwork.org/groups/charles-county-against-data-centers")</f>
        <v>https://actionnetwork.org/groups/charles-county-against-data-centers</v>
      </c>
      <c r="AE442" s="1" t="str">
        <f>IFERROR(__xludf.DUMMYFUNCTION("""COMPUTED_VALUE"""),"")</f>
        <v/>
      </c>
      <c r="AF442" s="2" t="str">
        <f>IFERROR(__xludf.DUMMYFUNCTION("""COMPUTED_VALUE"""),"https://www.change.org/p/reject-zta-25-187-data-centers-we-want-more-transparency-and-community-involvement")</f>
        <v>https://www.change.org/p/reject-zta-25-187-data-centers-we-want-more-transparency-and-community-involvement</v>
      </c>
      <c r="AG442" s="1" t="str">
        <f>IFERROR(__xludf.DUMMYFUNCTION("""COMPUTED_VALUE"""),"Large former coal plant on ~334-acre industrial riverfront parcel")</f>
        <v>Large former coal plant on ~334-acre industrial riverfront parcel</v>
      </c>
      <c r="AH442" s="1" t="str">
        <f>IFERROR(__xludf.DUMMYFUNCTION("""COMPUTED_VALUE"""),"Media Monitoring")</f>
        <v>Media Monitoring</v>
      </c>
      <c r="AI442" s="2" t="str">
        <f>IFERROR(__xludf.DUMMYFUNCTION("""COMPUTED_VALUE"""),"https://thebaynet.com/charles-countys-morgantown-plant-being-bought-by-data-infrastructure-company/")</f>
        <v>https://thebaynet.com/charles-countys-morgantown-plant-being-bought-by-data-infrastructure-company/</v>
      </c>
      <c r="AJ442" s="1" t="str">
        <f>IFERROR(__xludf.DUMMYFUNCTION("""COMPUTED_VALUE"""),"")</f>
        <v/>
      </c>
      <c r="AK442" s="1" t="str">
        <f>IFERROR(__xludf.DUMMYFUNCTION("""COMPUTED_VALUE"""),"")</f>
        <v/>
      </c>
      <c r="AL442" s="1" t="str">
        <f>IFERROR(__xludf.DUMMYFUNCTION("""COMPUTED_VALUE"""),"")</f>
        <v/>
      </c>
      <c r="AM442" s="1" t="str">
        <f>IFERROR(__xludf.DUMMYFUNCTION("""COMPUTED_VALUE"""),"")</f>
        <v/>
      </c>
      <c r="AN442" s="1" t="str">
        <f>IFERROR(__xludf.DUMMYFUNCTION("""COMPUTED_VALUE"""),"")</f>
        <v/>
      </c>
      <c r="AO442" s="1" t="str">
        <f>IFERROR(__xludf.DUMMYFUNCTION("""COMPUTED_VALUE"""),"")</f>
        <v/>
      </c>
      <c r="AP442" s="1" t="str">
        <f>IFERROR(__xludf.DUMMYFUNCTION("""COMPUTED_VALUE"""),"")</f>
        <v/>
      </c>
      <c r="AQ442" s="1" t="str">
        <f>IFERROR(__xludf.DUMMYFUNCTION("""COMPUTED_VALUE"""),"02/27/2026")</f>
        <v>02/27/2026</v>
      </c>
      <c r="AR442" s="1" t="str">
        <f>IFERROR(__xludf.DUMMYFUNCTION("""COMPUTED_VALUE"""),"02/27/2026")</f>
        <v>02/27/2026</v>
      </c>
    </row>
    <row r="443">
      <c r="A443" s="1" t="str">
        <f>IFERROR(__xludf.DUMMYFUNCTION("""COMPUTED_VALUE"""),"TeraWulf Data Center")</f>
        <v>TeraWulf Data Center</v>
      </c>
      <c r="B443" s="1" t="str">
        <f>IFERROR(__xludf.DUMMYFUNCTION("""COMPUTED_VALUE"""),"12620 Crain Hwy")</f>
        <v>12620 Crain Hwy</v>
      </c>
      <c r="C443" s="1" t="str">
        <f>IFERROR(__xludf.DUMMYFUNCTION("""COMPUTED_VALUE"""),"Newburg")</f>
        <v>Newburg</v>
      </c>
      <c r="D443" s="1" t="str">
        <f>IFERROR(__xludf.DUMMYFUNCTION("""COMPUTED_VALUE"""),"MD")</f>
        <v>MD</v>
      </c>
      <c r="E443" s="1" t="str">
        <f>IFERROR(__xludf.DUMMYFUNCTION("""COMPUTED_VALUE"""),"20664")</f>
        <v>20664</v>
      </c>
      <c r="F443" s="1" t="str">
        <f>IFERROR(__xludf.DUMMYFUNCTION("""COMPUTED_VALUE"""),"Charles")</f>
        <v>Charles</v>
      </c>
      <c r="G443" s="1" t="str">
        <f>IFERROR(__xludf.DUMMYFUNCTION("""COMPUTED_VALUE"""),"38.365482")</f>
        <v>38.365482</v>
      </c>
      <c r="H443" s="1" t="str">
        <f>IFERROR(__xludf.DUMMYFUNCTION("""COMPUTED_VALUE"""),"-76.96935")</f>
        <v>-76.96935</v>
      </c>
      <c r="I443" s="1" t="str">
        <f>IFERROR(__xludf.DUMMYFUNCTION("""COMPUTED_VALUE"""),"Proposed")</f>
        <v>Proposed</v>
      </c>
      <c r="J443" s="1" t="str">
        <f>IFERROR(__xludf.DUMMYFUNCTION("""COMPUTED_VALUE"""),"High")</f>
        <v>High</v>
      </c>
      <c r="K443" s="1" t="str">
        <f>IFERROR(__xludf.DUMMYFUNCTION("""COMPUTED_VALUE"""),"")</f>
        <v/>
      </c>
      <c r="L443" s="1" t="str">
        <f>IFERROR(__xludf.DUMMYFUNCTION("""COMPUTED_VALUE"""),"TeraWulf")</f>
        <v>TeraWulf</v>
      </c>
      <c r="M443" s="1" t="str">
        <f>IFERROR(__xludf.DUMMYFUNCTION("""COMPUTED_VALUE"""),"")</f>
        <v/>
      </c>
      <c r="N443" s="1" t="str">
        <f>IFERROR(__xludf.DUMMYFUNCTION("""COMPUTED_VALUE"""),"500-1,000")</f>
        <v>500-1,000</v>
      </c>
      <c r="O443" s="1" t="str">
        <f>IFERROR(__xludf.DUMMYFUNCTION("""COMPUTED_VALUE"""),"Hyperscale (100-999 MW)")</f>
        <v>Hyperscale (100-999 MW)</v>
      </c>
      <c r="P443" s="1" t="str">
        <f>IFERROR(__xludf.DUMMYFUNCTION("""COMPUTED_VALUE"""),"")</f>
        <v/>
      </c>
      <c r="Q443" s="1" t="str">
        <f>IFERROR(__xludf.DUMMYFUNCTION("""COMPUTED_VALUE"""),"")</f>
        <v/>
      </c>
      <c r="R443" s="1" t="str">
        <f>IFERROR(__xludf.DUMMYFUNCTION("""COMPUTED_VALUE"""),"")</f>
        <v/>
      </c>
      <c r="S443" s="1" t="str">
        <f>IFERROR(__xludf.DUMMYFUNCTION("""COMPUTED_VALUE"""),"")</f>
        <v/>
      </c>
      <c r="T443" s="1" t="str">
        <f>IFERROR(__xludf.DUMMYFUNCTION("""COMPUTED_VALUE"""),"")</f>
        <v/>
      </c>
      <c r="U443" s="1" t="str">
        <f>IFERROR(__xludf.DUMMYFUNCTION("""COMPUTED_VALUE"""),"")</f>
        <v/>
      </c>
      <c r="V443" s="1" t="str">
        <f>IFERROR(__xludf.DUMMYFUNCTION("""COMPUTED_VALUE"""),"")</f>
        <v/>
      </c>
      <c r="W443" s="1" t="str">
        <f>IFERROR(__xludf.DUMMYFUNCTION("""COMPUTED_VALUE"""),"250")</f>
        <v>250</v>
      </c>
      <c r="X443" s="1" t="str">
        <f>IFERROR(__xludf.DUMMYFUNCTION("""COMPUTED_VALUE"""),"")</f>
        <v/>
      </c>
      <c r="Y443" s="1" t="str">
        <f>IFERROR(__xludf.DUMMYFUNCTION("""COMPUTED_VALUE"""),"")</f>
        <v/>
      </c>
      <c r="Z443" s="1" t="str">
        <f>IFERROR(__xludf.DUMMYFUNCTION("""COMPUTED_VALUE"""),"Unknown")</f>
        <v>Unknown</v>
      </c>
      <c r="AA443" s="1" t="str">
        <f>IFERROR(__xludf.DUMMYFUNCTION("""COMPUTED_VALUE"""),"")</f>
        <v/>
      </c>
      <c r="AB443" s="1" t="str">
        <f>IFERROR(__xludf.DUMMYFUNCTION("""COMPUTED_VALUE"""),"")</f>
        <v/>
      </c>
      <c r="AC443" s="1" t="str">
        <f>IFERROR(__xludf.DUMMYFUNCTION("""COMPUTED_VALUE"""),"")</f>
        <v/>
      </c>
      <c r="AD443" s="1" t="str">
        <f>IFERROR(__xludf.DUMMYFUNCTION("""COMPUTED_VALUE"""),"")</f>
        <v/>
      </c>
      <c r="AE443" s="1" t="str">
        <f>IFERROR(__xludf.DUMMYFUNCTION("""COMPUTED_VALUE"""),"")</f>
        <v/>
      </c>
      <c r="AF443" s="1" t="str">
        <f>IFERROR(__xludf.DUMMYFUNCTION("""COMPUTED_VALUE"""),"")</f>
        <v/>
      </c>
      <c r="AG443" s="1" t="str">
        <f>IFERROR(__xludf.DUMMYFUNCTION("""COMPUTED_VALUE"""),"")</f>
        <v/>
      </c>
      <c r="AH443" s="1" t="str">
        <f>IFERROR(__xludf.DUMMYFUNCTION("""COMPUTED_VALUE"""),"Media Monitoring")</f>
        <v>Media Monitoring</v>
      </c>
      <c r="AI443" s="2" t="str">
        <f>IFERROR(__xludf.DUMMYFUNCTION("""COMPUTED_VALUE"""),"https://investors.terawulf.com/news-events/press-releases/detail/129/terawulf-expands-digital-and-power-infrastructure-portfolio")</f>
        <v>https://investors.terawulf.com/news-events/press-releases/detail/129/terawulf-expands-digital-and-power-infrastructure-portfolio</v>
      </c>
      <c r="AJ443" s="1" t="str">
        <f>IFERROR(__xludf.DUMMYFUNCTION("""COMPUTED_VALUE"""),"")</f>
        <v/>
      </c>
      <c r="AK443" s="1" t="str">
        <f>IFERROR(__xludf.DUMMYFUNCTION("""COMPUTED_VALUE"""),"")</f>
        <v/>
      </c>
      <c r="AL443" s="1" t="str">
        <f>IFERROR(__xludf.DUMMYFUNCTION("""COMPUTED_VALUE"""),"")</f>
        <v/>
      </c>
      <c r="AM443" s="1" t="str">
        <f>IFERROR(__xludf.DUMMYFUNCTION("""COMPUTED_VALUE"""),"")</f>
        <v/>
      </c>
      <c r="AN443" s="1" t="str">
        <f>IFERROR(__xludf.DUMMYFUNCTION("""COMPUTED_VALUE"""),"")</f>
        <v/>
      </c>
      <c r="AO443" s="1" t="str">
        <f>IFERROR(__xludf.DUMMYFUNCTION("""COMPUTED_VALUE"""),"")</f>
        <v/>
      </c>
      <c r="AP443" s="1" t="str">
        <f>IFERROR(__xludf.DUMMYFUNCTION("""COMPUTED_VALUE"""),"")</f>
        <v/>
      </c>
      <c r="AQ443" s="1" t="str">
        <f>IFERROR(__xludf.DUMMYFUNCTION("""COMPUTED_VALUE"""),"02/03/2026")</f>
        <v>02/03/2026</v>
      </c>
      <c r="AR443" s="1" t="str">
        <f>IFERROR(__xludf.DUMMYFUNCTION("""COMPUTED_VALUE"""),"02/03/2026")</f>
        <v>02/03/2026</v>
      </c>
    </row>
    <row r="444">
      <c r="A444" s="1" t="str">
        <f>IFERROR(__xludf.DUMMYFUNCTION("""COMPUTED_VALUE"""),"BWI1")</f>
        <v>BWI1</v>
      </c>
      <c r="B444" s="1" t="str">
        <f>IFERROR(__xludf.DUMMYFUNCTION("""COMPUTED_VALUE"""),"11155 Red Run Blvd #200")</f>
        <v>11155 Red Run Blvd #200</v>
      </c>
      <c r="C444" s="1" t="str">
        <f>IFERROR(__xludf.DUMMYFUNCTION("""COMPUTED_VALUE"""),"Owings Mills")</f>
        <v>Owings Mills</v>
      </c>
      <c r="D444" s="1" t="str">
        <f>IFERROR(__xludf.DUMMYFUNCTION("""COMPUTED_VALUE"""),"MD")</f>
        <v>MD</v>
      </c>
      <c r="E444" s="1" t="str">
        <f>IFERROR(__xludf.DUMMYFUNCTION("""COMPUTED_VALUE"""),"21117")</f>
        <v>21117</v>
      </c>
      <c r="F444" s="1" t="str">
        <f>IFERROR(__xludf.DUMMYFUNCTION("""COMPUTED_VALUE"""),"Baltimore")</f>
        <v>Baltimore</v>
      </c>
      <c r="G444" s="1" t="str">
        <f>IFERROR(__xludf.DUMMYFUNCTION("""COMPUTED_VALUE"""),"39.42716")</f>
        <v>39.42716</v>
      </c>
      <c r="H444" s="1" t="str">
        <f>IFERROR(__xludf.DUMMYFUNCTION("""COMPUTED_VALUE"""),"-76.8118")</f>
        <v>-76.8118</v>
      </c>
      <c r="I444" s="1" t="str">
        <f>IFERROR(__xludf.DUMMYFUNCTION("""COMPUTED_VALUE"""),"Operating")</f>
        <v>Operating</v>
      </c>
      <c r="J444" s="1" t="str">
        <f>IFERROR(__xludf.DUMMYFUNCTION("""COMPUTED_VALUE"""),"High")</f>
        <v>High</v>
      </c>
      <c r="K444" s="1" t="str">
        <f>IFERROR(__xludf.DUMMYFUNCTION("""COMPUTED_VALUE"""),"")</f>
        <v/>
      </c>
      <c r="L444" s="1" t="str">
        <f>IFERROR(__xludf.DUMMYFUNCTION("""COMPUTED_VALUE"""),"")</f>
        <v/>
      </c>
      <c r="M444" s="1" t="str">
        <f>IFERROR(__xludf.DUMMYFUNCTION("""COMPUTED_VALUE"""),"")</f>
        <v/>
      </c>
      <c r="N444" s="1" t="str">
        <f>IFERROR(__xludf.DUMMYFUNCTION("""COMPUTED_VALUE"""),"0.8")</f>
        <v>0.8</v>
      </c>
      <c r="O444" s="1" t="str">
        <f>IFERROR(__xludf.DUMMYFUNCTION("""COMPUTED_VALUE"""),"Small (0-10 MW)")</f>
        <v>Small (0-10 MW)</v>
      </c>
      <c r="P444" s="1" t="str">
        <f>IFERROR(__xludf.DUMMYFUNCTION("""COMPUTED_VALUE"""),"")</f>
        <v/>
      </c>
      <c r="Q444" s="1" t="str">
        <f>IFERROR(__xludf.DUMMYFUNCTION("""COMPUTED_VALUE"""),"")</f>
        <v/>
      </c>
      <c r="R444" s="1" t="str">
        <f>IFERROR(__xludf.DUMMYFUNCTION("""COMPUTED_VALUE"""),"")</f>
        <v/>
      </c>
      <c r="S444" s="1" t="str">
        <f>IFERROR(__xludf.DUMMYFUNCTION("""COMPUTED_VALUE"""),"")</f>
        <v/>
      </c>
      <c r="T444" s="1" t="str">
        <f>IFERROR(__xludf.DUMMYFUNCTION("""COMPUTED_VALUE"""),"")</f>
        <v/>
      </c>
      <c r="U444" s="1" t="str">
        <f>IFERROR(__xludf.DUMMYFUNCTION("""COMPUTED_VALUE"""),"")</f>
        <v/>
      </c>
      <c r="V444" s="1" t="str">
        <f>IFERROR(__xludf.DUMMYFUNCTION("""COMPUTED_VALUE"""),"22,000")</f>
        <v>22,000</v>
      </c>
      <c r="W444" s="1" t="str">
        <f>IFERROR(__xludf.DUMMYFUNCTION("""COMPUTED_VALUE"""),"")</f>
        <v/>
      </c>
      <c r="X444" s="1" t="str">
        <f>IFERROR(__xludf.DUMMYFUNCTION("""COMPUTED_VALUE"""),"")</f>
        <v/>
      </c>
      <c r="Y444" s="1" t="str">
        <f>IFERROR(__xludf.DUMMYFUNCTION("""COMPUTED_VALUE"""),"")</f>
        <v/>
      </c>
      <c r="Z444" s="1" t="str">
        <f>IFERROR(__xludf.DUMMYFUNCTION("""COMPUTED_VALUE"""),"Unknown")</f>
        <v>Unknown</v>
      </c>
      <c r="AA444" s="1" t="str">
        <f>IFERROR(__xludf.DUMMYFUNCTION("""COMPUTED_VALUE"""),"")</f>
        <v/>
      </c>
      <c r="AB444" s="1" t="str">
        <f>IFERROR(__xludf.DUMMYFUNCTION("""COMPUTED_VALUE"""),"")</f>
        <v/>
      </c>
      <c r="AC444" s="1" t="str">
        <f>IFERROR(__xludf.DUMMYFUNCTION("""COMPUTED_VALUE"""),"")</f>
        <v/>
      </c>
      <c r="AD444" s="1" t="str">
        <f>IFERROR(__xludf.DUMMYFUNCTION("""COMPUTED_VALUE"""),"")</f>
        <v/>
      </c>
      <c r="AE444" s="1" t="str">
        <f>IFERROR(__xludf.DUMMYFUNCTION("""COMPUTED_VALUE"""),"")</f>
        <v/>
      </c>
      <c r="AF444" s="1" t="str">
        <f>IFERROR(__xludf.DUMMYFUNCTION("""COMPUTED_VALUE"""),"")</f>
        <v/>
      </c>
      <c r="AG444" s="1" t="str">
        <f>IFERROR(__xludf.DUMMYFUNCTION("""COMPUTED_VALUE"""),"")</f>
        <v/>
      </c>
      <c r="AH444" s="1" t="str">
        <f>IFERROR(__xludf.DUMMYFUNCTION("""COMPUTED_VALUE"""),"Media Monitoring")</f>
        <v>Media Monitoring</v>
      </c>
      <c r="AI444" s="2" t="str">
        <f>IFERROR(__xludf.DUMMYFUNCTION("""COMPUTED_VALUE"""),"https://www.expedient.com/data-centers/baltimore/")</f>
        <v>https://www.expedient.com/data-centers/baltimore/</v>
      </c>
      <c r="AJ444" s="1" t="str">
        <f>IFERROR(__xludf.DUMMYFUNCTION("""COMPUTED_VALUE"""),"")</f>
        <v/>
      </c>
      <c r="AK444" s="1" t="str">
        <f>IFERROR(__xludf.DUMMYFUNCTION("""COMPUTED_VALUE"""),"")</f>
        <v/>
      </c>
      <c r="AL444" s="1" t="str">
        <f>IFERROR(__xludf.DUMMYFUNCTION("""COMPUTED_VALUE"""),"")</f>
        <v/>
      </c>
      <c r="AM444" s="1" t="str">
        <f>IFERROR(__xludf.DUMMYFUNCTION("""COMPUTED_VALUE"""),"")</f>
        <v/>
      </c>
      <c r="AN444" s="1" t="str">
        <f>IFERROR(__xludf.DUMMYFUNCTION("""COMPUTED_VALUE"""),"")</f>
        <v/>
      </c>
      <c r="AO444" s="1" t="str">
        <f>IFERROR(__xludf.DUMMYFUNCTION("""COMPUTED_VALUE"""),"")</f>
        <v/>
      </c>
      <c r="AP444" s="1" t="str">
        <f>IFERROR(__xludf.DUMMYFUNCTION("""COMPUTED_VALUE"""),"")</f>
        <v/>
      </c>
      <c r="AQ444" s="1" t="str">
        <f>IFERROR(__xludf.DUMMYFUNCTION("""COMPUTED_VALUE"""),"09/02/2025")</f>
        <v>09/02/2025</v>
      </c>
      <c r="AR444" s="1" t="str">
        <f>IFERROR(__xludf.DUMMYFUNCTION("""COMPUTED_VALUE"""),"09/02/2025")</f>
        <v>09/02/2025</v>
      </c>
    </row>
    <row r="445">
      <c r="A445" s="1" t="str">
        <f>IFERROR(__xludf.DUMMYFUNCTION("""COMPUTED_VALUE"""),"Sandy Farms Data Center")</f>
        <v>Sandy Farms Data Center</v>
      </c>
      <c r="B445" s="1" t="str">
        <f>IFERROR(__xludf.DUMMYFUNCTION("""COMPUTED_VALUE"""),"7665 Sandy Farm Rd")</f>
        <v>7665 Sandy Farm Rd</v>
      </c>
      <c r="C445" s="1" t="str">
        <f>IFERROR(__xludf.DUMMYFUNCTION("""COMPUTED_VALUE"""),"Severn")</f>
        <v>Severn</v>
      </c>
      <c r="D445" s="1" t="str">
        <f>IFERROR(__xludf.DUMMYFUNCTION("""COMPUTED_VALUE"""),"MD")</f>
        <v>MD</v>
      </c>
      <c r="E445" s="1" t="str">
        <f>IFERROR(__xludf.DUMMYFUNCTION("""COMPUTED_VALUE"""),"21144")</f>
        <v>21144</v>
      </c>
      <c r="F445" s="1" t="str">
        <f>IFERROR(__xludf.DUMMYFUNCTION("""COMPUTED_VALUE"""),"Anne Arundel")</f>
        <v>Anne Arundel</v>
      </c>
      <c r="G445" s="1" t="str">
        <f>IFERROR(__xludf.DUMMYFUNCTION("""COMPUTED_VALUE"""),"39.14969")</f>
        <v>39.14969</v>
      </c>
      <c r="H445" s="1" t="str">
        <f>IFERROR(__xludf.DUMMYFUNCTION("""COMPUTED_VALUE"""),"-76.679955")</f>
        <v>-76.679955</v>
      </c>
      <c r="I445" s="1" t="str">
        <f>IFERROR(__xludf.DUMMYFUNCTION("""COMPUTED_VALUE"""),"Proposed")</f>
        <v>Proposed</v>
      </c>
      <c r="J445" s="1" t="str">
        <f>IFERROR(__xludf.DUMMYFUNCTION("""COMPUTED_VALUE"""),"High")</f>
        <v>High</v>
      </c>
      <c r="K445" s="1" t="str">
        <f>IFERROR(__xludf.DUMMYFUNCTION("""COMPUTED_VALUE"""),"")</f>
        <v/>
      </c>
      <c r="L445" s="1" t="str">
        <f>IFERROR(__xludf.DUMMYFUNCTION("""COMPUTED_VALUE"""),"")</f>
        <v/>
      </c>
      <c r="M445" s="1" t="str">
        <f>IFERROR(__xludf.DUMMYFUNCTION("""COMPUTED_VALUE"""),"")</f>
        <v/>
      </c>
      <c r="N445" s="1" t="str">
        <f>IFERROR(__xludf.DUMMYFUNCTION("""COMPUTED_VALUE"""),"")</f>
        <v/>
      </c>
      <c r="O445" s="1" t="str">
        <f>IFERROR(__xludf.DUMMYFUNCTION("""COMPUTED_VALUE"""),"Unknown")</f>
        <v>Unknown</v>
      </c>
      <c r="P445" s="1" t="str">
        <f>IFERROR(__xludf.DUMMYFUNCTION("""COMPUTED_VALUE"""),"")</f>
        <v/>
      </c>
      <c r="Q445" s="1" t="str">
        <f>IFERROR(__xludf.DUMMYFUNCTION("""COMPUTED_VALUE"""),"")</f>
        <v/>
      </c>
      <c r="R445" s="1" t="str">
        <f>IFERROR(__xludf.DUMMYFUNCTION("""COMPUTED_VALUE"""),"")</f>
        <v/>
      </c>
      <c r="S445" s="1" t="str">
        <f>IFERROR(__xludf.DUMMYFUNCTION("""COMPUTED_VALUE"""),"")</f>
        <v/>
      </c>
      <c r="T445" s="1" t="str">
        <f>IFERROR(__xludf.DUMMYFUNCTION("""COMPUTED_VALUE"""),"")</f>
        <v/>
      </c>
      <c r="U445" s="1" t="str">
        <f>IFERROR(__xludf.DUMMYFUNCTION("""COMPUTED_VALUE"""),"")</f>
        <v/>
      </c>
      <c r="V445" s="1" t="str">
        <f>IFERROR(__xludf.DUMMYFUNCTION("""COMPUTED_VALUE"""),"")</f>
        <v/>
      </c>
      <c r="W445" s="1" t="str">
        <f>IFERROR(__xludf.DUMMYFUNCTION("""COMPUTED_VALUE"""),"")</f>
        <v/>
      </c>
      <c r="X445" s="1" t="str">
        <f>IFERROR(__xludf.DUMMYFUNCTION("""COMPUTED_VALUE"""),"")</f>
        <v/>
      </c>
      <c r="Y445" s="1" t="str">
        <f>IFERROR(__xludf.DUMMYFUNCTION("""COMPUTED_VALUE"""),"")</f>
        <v/>
      </c>
      <c r="Z445" s="1" t="str">
        <f>IFERROR(__xludf.DUMMYFUNCTION("""COMPUTED_VALUE"""),"Unknown")</f>
        <v>Unknown</v>
      </c>
      <c r="AA445" s="1" t="str">
        <f>IFERROR(__xludf.DUMMYFUNCTION("""COMPUTED_VALUE"""),"")</f>
        <v/>
      </c>
      <c r="AB445" s="1" t="str">
        <f>IFERROR(__xludf.DUMMYFUNCTION("""COMPUTED_VALUE"""),"")</f>
        <v/>
      </c>
      <c r="AC445" s="1" t="str">
        <f>IFERROR(__xludf.DUMMYFUNCTION("""COMPUTED_VALUE"""),"")</f>
        <v/>
      </c>
      <c r="AD445" s="1" t="str">
        <f>IFERROR(__xludf.DUMMYFUNCTION("""COMPUTED_VALUE"""),"")</f>
        <v/>
      </c>
      <c r="AE445" s="1" t="str">
        <f>IFERROR(__xludf.DUMMYFUNCTION("""COMPUTED_VALUE"""),"")</f>
        <v/>
      </c>
      <c r="AF445" s="1" t="str">
        <f>IFERROR(__xludf.DUMMYFUNCTION("""COMPUTED_VALUE"""),"")</f>
        <v/>
      </c>
      <c r="AG445" s="1" t="str">
        <f>IFERROR(__xludf.DUMMYFUNCTION("""COMPUTED_VALUE"""),"")</f>
        <v/>
      </c>
      <c r="AH445" s="1" t="str">
        <f>IFERROR(__xludf.DUMMYFUNCTION("""COMPUTED_VALUE"""),"Media Monitoring")</f>
        <v>Media Monitoring</v>
      </c>
      <c r="AI445" s="2" t="str">
        <f>IFERROR(__xludf.DUMMYFUNCTION("""COMPUTED_VALUE"""),"https://www.datacenterdynamics.com/en/news/harrison-street-sells-two-powered-shell-data-center-sites-in-maryland/")</f>
        <v>https://www.datacenterdynamics.com/en/news/harrison-street-sells-two-powered-shell-data-center-sites-in-maryland/</v>
      </c>
      <c r="AJ445" s="1" t="str">
        <f>IFERROR(__xludf.DUMMYFUNCTION("""COMPUTED_VALUE"""),"")</f>
        <v/>
      </c>
      <c r="AK445" s="1" t="str">
        <f>IFERROR(__xludf.DUMMYFUNCTION("""COMPUTED_VALUE"""),"")</f>
        <v/>
      </c>
      <c r="AL445" s="1" t="str">
        <f>IFERROR(__xludf.DUMMYFUNCTION("""COMPUTED_VALUE"""),"")</f>
        <v/>
      </c>
      <c r="AM445" s="1" t="str">
        <f>IFERROR(__xludf.DUMMYFUNCTION("""COMPUTED_VALUE"""),"")</f>
        <v/>
      </c>
      <c r="AN445" s="1" t="str">
        <f>IFERROR(__xludf.DUMMYFUNCTION("""COMPUTED_VALUE"""),"")</f>
        <v/>
      </c>
      <c r="AO445" s="1" t="str">
        <f>IFERROR(__xludf.DUMMYFUNCTION("""COMPUTED_VALUE"""),"")</f>
        <v/>
      </c>
      <c r="AP445" s="1" t="str">
        <f>IFERROR(__xludf.DUMMYFUNCTION("""COMPUTED_VALUE"""),"")</f>
        <v/>
      </c>
      <c r="AQ445" s="1" t="str">
        <f>IFERROR(__xludf.DUMMYFUNCTION("""COMPUTED_VALUE"""),"03/19/2026")</f>
        <v>03/19/2026</v>
      </c>
      <c r="AR445" s="1" t="str">
        <f>IFERROR(__xludf.DUMMYFUNCTION("""COMPUTED_VALUE"""),"03/19/2026")</f>
        <v>03/19/2026</v>
      </c>
    </row>
    <row r="446">
      <c r="A446" s="1" t="str">
        <f>IFERROR(__xludf.DUMMYFUNCTION("""COMPUTED_VALUE"""),"Prosperity Drive Data Center")</f>
        <v>Prosperity Drive Data Center</v>
      </c>
      <c r="B446" s="1" t="str">
        <f>IFERROR(__xludf.DUMMYFUNCTION("""COMPUTED_VALUE"""),"12401 Prosperity Dr")</f>
        <v>12401 Prosperity Dr</v>
      </c>
      <c r="C446" s="1" t="str">
        <f>IFERROR(__xludf.DUMMYFUNCTION("""COMPUTED_VALUE"""),"Silver Spring")</f>
        <v>Silver Spring</v>
      </c>
      <c r="D446" s="1" t="str">
        <f>IFERROR(__xludf.DUMMYFUNCTION("""COMPUTED_VALUE"""),"MD")</f>
        <v>MD</v>
      </c>
      <c r="E446" s="1" t="str">
        <f>IFERROR(__xludf.DUMMYFUNCTION("""COMPUTED_VALUE"""),"20904")</f>
        <v>20904</v>
      </c>
      <c r="F446" s="1" t="str">
        <f>IFERROR(__xludf.DUMMYFUNCTION("""COMPUTED_VALUE"""),"Montgomery")</f>
        <v>Montgomery</v>
      </c>
      <c r="G446" s="1" t="str">
        <f>IFERROR(__xludf.DUMMYFUNCTION("""COMPUTED_VALUE"""),"39.05859")</f>
        <v>39.05859</v>
      </c>
      <c r="H446" s="1" t="str">
        <f>IFERROR(__xludf.DUMMYFUNCTION("""COMPUTED_VALUE"""),"-76.9644")</f>
        <v>-76.9644</v>
      </c>
      <c r="I446" s="1" t="str">
        <f>IFERROR(__xludf.DUMMYFUNCTION("""COMPUTED_VALUE"""),"Operating")</f>
        <v>Operating</v>
      </c>
      <c r="J446" s="1" t="str">
        <f>IFERROR(__xludf.DUMMYFUNCTION("""COMPUTED_VALUE"""),"High")</f>
        <v>High</v>
      </c>
      <c r="K446" s="1" t="str">
        <f>IFERROR(__xludf.DUMMYFUNCTION("""COMPUTED_VALUE"""),"")</f>
        <v/>
      </c>
      <c r="L446" s="1" t="str">
        <f>IFERROR(__xludf.DUMMYFUNCTION("""COMPUTED_VALUE"""),"")</f>
        <v/>
      </c>
      <c r="M446" s="1" t="str">
        <f>IFERROR(__xludf.DUMMYFUNCTION("""COMPUTED_VALUE"""),"")</f>
        <v/>
      </c>
      <c r="N446" s="1" t="str">
        <f>IFERROR(__xludf.DUMMYFUNCTION("""COMPUTED_VALUE"""),"5-100")</f>
        <v>5-100</v>
      </c>
      <c r="O446" s="1" t="str">
        <f>IFERROR(__xludf.DUMMYFUNCTION("""COMPUTED_VALUE"""),"Unknown")</f>
        <v>Unknown</v>
      </c>
      <c r="P446" s="1" t="str">
        <f>IFERROR(__xludf.DUMMYFUNCTION("""COMPUTED_VALUE"""),"")</f>
        <v/>
      </c>
      <c r="Q446" s="1" t="str">
        <f>IFERROR(__xludf.DUMMYFUNCTION("""COMPUTED_VALUE"""),"")</f>
        <v/>
      </c>
      <c r="R446" s="1" t="str">
        <f>IFERROR(__xludf.DUMMYFUNCTION("""COMPUTED_VALUE"""),"")</f>
        <v/>
      </c>
      <c r="S446" s="1" t="str">
        <f>IFERROR(__xludf.DUMMYFUNCTION("""COMPUTED_VALUE"""),"")</f>
        <v/>
      </c>
      <c r="T446" s="1" t="str">
        <f>IFERROR(__xludf.DUMMYFUNCTION("""COMPUTED_VALUE"""),"")</f>
        <v/>
      </c>
      <c r="U446" s="1" t="str">
        <f>IFERROR(__xludf.DUMMYFUNCTION("""COMPUTED_VALUE"""),"")</f>
        <v/>
      </c>
      <c r="V446" s="1" t="str">
        <f>IFERROR(__xludf.DUMMYFUNCTION("""COMPUTED_VALUE"""),"214,000")</f>
        <v>214,000</v>
      </c>
      <c r="W446" s="1" t="str">
        <f>IFERROR(__xludf.DUMMYFUNCTION("""COMPUTED_VALUE"""),"")</f>
        <v/>
      </c>
      <c r="X446" s="1" t="str">
        <f>IFERROR(__xludf.DUMMYFUNCTION("""COMPUTED_VALUE"""),"")</f>
        <v/>
      </c>
      <c r="Y446" s="1" t="str">
        <f>IFERROR(__xludf.DUMMYFUNCTION("""COMPUTED_VALUE"""),"")</f>
        <v/>
      </c>
      <c r="Z446" s="1" t="str">
        <f>IFERROR(__xludf.DUMMYFUNCTION("""COMPUTED_VALUE"""),"Unknown")</f>
        <v>Unknown</v>
      </c>
      <c r="AA446" s="1" t="str">
        <f>IFERROR(__xludf.DUMMYFUNCTION("""COMPUTED_VALUE"""),"")</f>
        <v/>
      </c>
      <c r="AB446" s="1" t="str">
        <f>IFERROR(__xludf.DUMMYFUNCTION("""COMPUTED_VALUE"""),"")</f>
        <v/>
      </c>
      <c r="AC446" s="1" t="str">
        <f>IFERROR(__xludf.DUMMYFUNCTION("""COMPUTED_VALUE"""),"")</f>
        <v/>
      </c>
      <c r="AD446" s="1" t="str">
        <f>IFERROR(__xludf.DUMMYFUNCTION("""COMPUTED_VALUE"""),"")</f>
        <v/>
      </c>
      <c r="AE446" s="1" t="str">
        <f>IFERROR(__xludf.DUMMYFUNCTION("""COMPUTED_VALUE"""),"")</f>
        <v/>
      </c>
      <c r="AF446" s="1" t="str">
        <f>IFERROR(__xludf.DUMMYFUNCTION("""COMPUTED_VALUE"""),"")</f>
        <v/>
      </c>
      <c r="AG446" s="1" t="str">
        <f>IFERROR(__xludf.DUMMYFUNCTION("""COMPUTED_VALUE"""),"")</f>
        <v/>
      </c>
      <c r="AH446" s="1" t="str">
        <f>IFERROR(__xludf.DUMMYFUNCTION("""COMPUTED_VALUE"""),"Media Monitoring")</f>
        <v>Media Monitoring</v>
      </c>
      <c r="AI446" s="2" t="str">
        <f>IFERROR(__xludf.DUMMYFUNCTION("""COMPUTED_VALUE"""),"https://www.datacenterdynamics.com/en/news/data-center-in-maryland-sold-to-local-real-estate-group/")</f>
        <v>https://www.datacenterdynamics.com/en/news/data-center-in-maryland-sold-to-local-real-estate-group/</v>
      </c>
      <c r="AJ446" s="1" t="str">
        <f>IFERROR(__xludf.DUMMYFUNCTION("""COMPUTED_VALUE"""),"")</f>
        <v/>
      </c>
      <c r="AK446" s="1" t="str">
        <f>IFERROR(__xludf.DUMMYFUNCTION("""COMPUTED_VALUE"""),"")</f>
        <v/>
      </c>
      <c r="AL446" s="1" t="str">
        <f>IFERROR(__xludf.DUMMYFUNCTION("""COMPUTED_VALUE"""),"")</f>
        <v/>
      </c>
      <c r="AM446" s="1" t="str">
        <f>IFERROR(__xludf.DUMMYFUNCTION("""COMPUTED_VALUE"""),"")</f>
        <v/>
      </c>
      <c r="AN446" s="1" t="str">
        <f>IFERROR(__xludf.DUMMYFUNCTION("""COMPUTED_VALUE"""),"")</f>
        <v/>
      </c>
      <c r="AO446" s="1" t="str">
        <f>IFERROR(__xludf.DUMMYFUNCTION("""COMPUTED_VALUE"""),"")</f>
        <v/>
      </c>
      <c r="AP446" s="1" t="str">
        <f>IFERROR(__xludf.DUMMYFUNCTION("""COMPUTED_VALUE"""),"")</f>
        <v/>
      </c>
      <c r="AQ446" s="1" t="str">
        <f>IFERROR(__xludf.DUMMYFUNCTION("""COMPUTED_VALUE"""),"08/19/2025")</f>
        <v>08/19/2025</v>
      </c>
      <c r="AR446" s="1" t="str">
        <f>IFERROR(__xludf.DUMMYFUNCTION("""COMPUTED_VALUE"""),"08/19/2025")</f>
        <v>08/19/2025</v>
      </c>
    </row>
    <row r="447">
      <c r="A447" s="1" t="str">
        <f>IFERROR(__xludf.DUMMYFUNCTION("""COMPUTED_VALUE"""),"Security Land and Development LLC Data Center")</f>
        <v>Security Land and Development LLC Data Center</v>
      </c>
      <c r="B447" s="1" t="str">
        <f>IFERROR(__xludf.DUMMYFUNCTION("""COMPUTED_VALUE"""),"")</f>
        <v/>
      </c>
      <c r="C447" s="1" t="str">
        <f>IFERROR(__xludf.DUMMYFUNCTION("""COMPUTED_VALUE"""),"Woodlawn")</f>
        <v>Woodlawn</v>
      </c>
      <c r="D447" s="1" t="str">
        <f>IFERROR(__xludf.DUMMYFUNCTION("""COMPUTED_VALUE"""),"MD")</f>
        <v>MD</v>
      </c>
      <c r="E447" s="1" t="str">
        <f>IFERROR(__xludf.DUMMYFUNCTION("""COMPUTED_VALUE"""),"")</f>
        <v/>
      </c>
      <c r="F447" s="1" t="str">
        <f>IFERROR(__xludf.DUMMYFUNCTION("""COMPUTED_VALUE"""),"Baltimore")</f>
        <v>Baltimore</v>
      </c>
      <c r="G447" s="1" t="str">
        <f>IFERROR(__xludf.DUMMYFUNCTION("""COMPUTED_VALUE"""),"39.319317")</f>
        <v>39.319317</v>
      </c>
      <c r="H447" s="1" t="str">
        <f>IFERROR(__xludf.DUMMYFUNCTION("""COMPUTED_VALUE"""),"-76.74747")</f>
        <v>-76.74747</v>
      </c>
      <c r="I447" s="1" t="str">
        <f>IFERROR(__xludf.DUMMYFUNCTION("""COMPUTED_VALUE"""),"Proposed")</f>
        <v>Proposed</v>
      </c>
      <c r="J447" s="1" t="str">
        <f>IFERROR(__xludf.DUMMYFUNCTION("""COMPUTED_VALUE"""),"Low")</f>
        <v>Low</v>
      </c>
      <c r="K447" s="1" t="str">
        <f>IFERROR(__xludf.DUMMYFUNCTION("""COMPUTED_VALUE"""),"")</f>
        <v/>
      </c>
      <c r="L447" s="1" t="str">
        <f>IFERROR(__xludf.DUMMYFUNCTION("""COMPUTED_VALUE"""),"")</f>
        <v/>
      </c>
      <c r="M447" s="1" t="str">
        <f>IFERROR(__xludf.DUMMYFUNCTION("""COMPUTED_VALUE"""),"")</f>
        <v/>
      </c>
      <c r="N447" s="1" t="str">
        <f>IFERROR(__xludf.DUMMYFUNCTION("""COMPUTED_VALUE"""),"150")</f>
        <v>150</v>
      </c>
      <c r="O447" s="1" t="str">
        <f>IFERROR(__xludf.DUMMYFUNCTION("""COMPUTED_VALUE"""),"Hyperscale (100-999 MW)")</f>
        <v>Hyperscale (100-999 MW)</v>
      </c>
      <c r="P447" s="1" t="str">
        <f>IFERROR(__xludf.DUMMYFUNCTION("""COMPUTED_VALUE"""),"")</f>
        <v/>
      </c>
      <c r="Q447" s="1" t="str">
        <f>IFERROR(__xludf.DUMMYFUNCTION("""COMPUTED_VALUE"""),"")</f>
        <v/>
      </c>
      <c r="R447" s="1" t="str">
        <f>IFERROR(__xludf.DUMMYFUNCTION("""COMPUTED_VALUE"""),"")</f>
        <v/>
      </c>
      <c r="S447" s="1" t="str">
        <f>IFERROR(__xludf.DUMMYFUNCTION("""COMPUTED_VALUE"""),"")</f>
        <v/>
      </c>
      <c r="T447" s="1" t="str">
        <f>IFERROR(__xludf.DUMMYFUNCTION("""COMPUTED_VALUE"""),"")</f>
        <v/>
      </c>
      <c r="U447" s="1" t="str">
        <f>IFERROR(__xludf.DUMMYFUNCTION("""COMPUTED_VALUE"""),"")</f>
        <v/>
      </c>
      <c r="V447" s="1" t="str">
        <f>IFERROR(__xludf.DUMMYFUNCTION("""COMPUTED_VALUE"""),"")</f>
        <v/>
      </c>
      <c r="W447" s="1" t="str">
        <f>IFERROR(__xludf.DUMMYFUNCTION("""COMPUTED_VALUE"""),"42")</f>
        <v>42</v>
      </c>
      <c r="X447" s="1" t="str">
        <f>IFERROR(__xludf.DUMMYFUNCTION("""COMPUTED_VALUE"""),"")</f>
        <v/>
      </c>
      <c r="Y447" s="1" t="str">
        <f>IFERROR(__xludf.DUMMYFUNCTION("""COMPUTED_VALUE"""),"")</f>
        <v/>
      </c>
      <c r="Z447" s="1" t="str">
        <f>IFERROR(__xludf.DUMMYFUNCTION("""COMPUTED_VALUE"""),"Unknown")</f>
        <v>Unknown</v>
      </c>
      <c r="AA447" s="1" t="str">
        <f>IFERROR(__xludf.DUMMYFUNCTION("""COMPUTED_VALUE"""),"")</f>
        <v/>
      </c>
      <c r="AB447" s="1" t="str">
        <f>IFERROR(__xludf.DUMMYFUNCTION("""COMPUTED_VALUE"""),"")</f>
        <v/>
      </c>
      <c r="AC447" s="1" t="str">
        <f>IFERROR(__xludf.DUMMYFUNCTION("""COMPUTED_VALUE"""),"")</f>
        <v/>
      </c>
      <c r="AD447" s="1" t="str">
        <f>IFERROR(__xludf.DUMMYFUNCTION("""COMPUTED_VALUE"""),"")</f>
        <v/>
      </c>
      <c r="AE447" s="1" t="str">
        <f>IFERROR(__xludf.DUMMYFUNCTION("""COMPUTED_VALUE"""),"")</f>
        <v/>
      </c>
      <c r="AF447" s="1" t="str">
        <f>IFERROR(__xludf.DUMMYFUNCTION("""COMPUTED_VALUE"""),"")</f>
        <v/>
      </c>
      <c r="AG447" s="1" t="str">
        <f>IFERROR(__xludf.DUMMYFUNCTION("""COMPUTED_VALUE"""),"")</f>
        <v/>
      </c>
      <c r="AH447" s="1" t="str">
        <f>IFERROR(__xludf.DUMMYFUNCTION("""COMPUTED_VALUE"""),"Media Monitoring")</f>
        <v>Media Monitoring</v>
      </c>
      <c r="AI447" s="2" t="str">
        <f>IFERROR(__xludf.DUMMYFUNCTION("""COMPUTED_VALUE"""),"https://www.datacenterdynamics.com/en/news/150mw-data-center-proposed-for-baltimore-county-maryland/")</f>
        <v>https://www.datacenterdynamics.com/en/news/150mw-data-center-proposed-for-baltimore-county-maryland/</v>
      </c>
      <c r="AJ447" s="1" t="str">
        <f>IFERROR(__xludf.DUMMYFUNCTION("""COMPUTED_VALUE"""),"")</f>
        <v/>
      </c>
      <c r="AK447" s="1" t="str">
        <f>IFERROR(__xludf.DUMMYFUNCTION("""COMPUTED_VALUE"""),"")</f>
        <v/>
      </c>
      <c r="AL447" s="1" t="str">
        <f>IFERROR(__xludf.DUMMYFUNCTION("""COMPUTED_VALUE"""),"")</f>
        <v/>
      </c>
      <c r="AM447" s="1" t="str">
        <f>IFERROR(__xludf.DUMMYFUNCTION("""COMPUTED_VALUE"""),"")</f>
        <v/>
      </c>
      <c r="AN447" s="1" t="str">
        <f>IFERROR(__xludf.DUMMYFUNCTION("""COMPUTED_VALUE"""),"")</f>
        <v/>
      </c>
      <c r="AO447" s="1" t="str">
        <f>IFERROR(__xludf.DUMMYFUNCTION("""COMPUTED_VALUE"""),"")</f>
        <v/>
      </c>
      <c r="AP447" s="1" t="str">
        <f>IFERROR(__xludf.DUMMYFUNCTION("""COMPUTED_VALUE"""),"")</f>
        <v/>
      </c>
      <c r="AQ447" s="1" t="str">
        <f>IFERROR(__xludf.DUMMYFUNCTION("""COMPUTED_VALUE"""),"12/11/2025")</f>
        <v>12/11/2025</v>
      </c>
      <c r="AR447" s="1" t="str">
        <f>IFERROR(__xludf.DUMMYFUNCTION("""COMPUTED_VALUE"""),"12/11/2025")</f>
        <v>12/11/2025</v>
      </c>
    </row>
    <row r="448">
      <c r="A448" s="1" t="str">
        <f>IFERROR(__xludf.DUMMYFUNCTION("""COMPUTED_VALUE"""),"DeepGreen Western Passage SPV LLC  Data Center")</f>
        <v>DeepGreen Western Passage SPV LLC  Data Center</v>
      </c>
      <c r="B448" s="1" t="str">
        <f>IFERROR(__xludf.DUMMYFUNCTION("""COMPUTED_VALUE"""),"Western Passage")</f>
        <v>Western Passage</v>
      </c>
      <c r="C448" s="1" t="str">
        <f>IFERROR(__xludf.DUMMYFUNCTION("""COMPUTED_VALUE"""),"Eastport")</f>
        <v>Eastport</v>
      </c>
      <c r="D448" s="1" t="str">
        <f>IFERROR(__xludf.DUMMYFUNCTION("""COMPUTED_VALUE"""),"ME")</f>
        <v>ME</v>
      </c>
      <c r="E448" s="1" t="str">
        <f>IFERROR(__xludf.DUMMYFUNCTION("""COMPUTED_VALUE"""),"04631")</f>
        <v>04631</v>
      </c>
      <c r="F448" s="1" t="str">
        <f>IFERROR(__xludf.DUMMYFUNCTION("""COMPUTED_VALUE"""),"Washington")</f>
        <v>Washington</v>
      </c>
      <c r="G448" s="1" t="str">
        <f>IFERROR(__xludf.DUMMYFUNCTION("""COMPUTED_VALUE"""),"44.94704")</f>
        <v>44.94704</v>
      </c>
      <c r="H448" s="1" t="str">
        <f>IFERROR(__xludf.DUMMYFUNCTION("""COMPUTED_VALUE"""),"-67.01703")</f>
        <v>-67.01703</v>
      </c>
      <c r="I448" s="1" t="str">
        <f>IFERROR(__xludf.DUMMYFUNCTION("""COMPUTED_VALUE"""),"Proposed")</f>
        <v>Proposed</v>
      </c>
      <c r="J448" s="1" t="str">
        <f>IFERROR(__xludf.DUMMYFUNCTION("""COMPUTED_VALUE"""),"Medium")</f>
        <v>Medium</v>
      </c>
      <c r="K448" s="1" t="str">
        <f>IFERROR(__xludf.DUMMYFUNCTION("""COMPUTED_VALUE"""),"")</f>
        <v/>
      </c>
      <c r="L448" s="1" t="str">
        <f>IFERROR(__xludf.DUMMYFUNCTION("""COMPUTED_VALUE"""),"DeepGreen Western Passage SPV LLC ")</f>
        <v>DeepGreen Western Passage SPV LLC </v>
      </c>
      <c r="M448" s="1" t="str">
        <f>IFERROR(__xludf.DUMMYFUNCTION("""COMPUTED_VALUE"""),"")</f>
        <v/>
      </c>
      <c r="N448" s="1" t="str">
        <f>IFERROR(__xludf.DUMMYFUNCTION("""COMPUTED_VALUE"""),"51")</f>
        <v>51</v>
      </c>
      <c r="O448" s="1" t="str">
        <f>IFERROR(__xludf.DUMMYFUNCTION("""COMPUTED_VALUE"""),"Large (51-99 MW)")</f>
        <v>Large (51-99 MW)</v>
      </c>
      <c r="P448" s="1" t="str">
        <f>IFERROR(__xludf.DUMMYFUNCTION("""COMPUTED_VALUE"""),"")</f>
        <v/>
      </c>
      <c r="Q448" s="1" t="str">
        <f>IFERROR(__xludf.DUMMYFUNCTION("""COMPUTED_VALUE"""),"")</f>
        <v/>
      </c>
      <c r="R448" s="1" t="str">
        <f>IFERROR(__xludf.DUMMYFUNCTION("""COMPUTED_VALUE"""),"")</f>
        <v/>
      </c>
      <c r="S448" s="1" t="str">
        <f>IFERROR(__xludf.DUMMYFUNCTION("""COMPUTED_VALUE"""),"")</f>
        <v/>
      </c>
      <c r="T448" s="1" t="str">
        <f>IFERROR(__xludf.DUMMYFUNCTION("""COMPUTED_VALUE"""),"")</f>
        <v/>
      </c>
      <c r="U448" s="1" t="str">
        <f>IFERROR(__xludf.DUMMYFUNCTION("""COMPUTED_VALUE"""),"")</f>
        <v/>
      </c>
      <c r="V448" s="1" t="str">
        <f>IFERROR(__xludf.DUMMYFUNCTION("""COMPUTED_VALUE"""),"")</f>
        <v/>
      </c>
      <c r="W448" s="1" t="str">
        <f>IFERROR(__xludf.DUMMYFUNCTION("""COMPUTED_VALUE"""),"")</f>
        <v/>
      </c>
      <c r="X448" s="1" t="str">
        <f>IFERROR(__xludf.DUMMYFUNCTION("""COMPUTED_VALUE"""),"$415 million")</f>
        <v>$415 million</v>
      </c>
      <c r="Y448" s="1" t="str">
        <f>IFERROR(__xludf.DUMMYFUNCTION("""COMPUTED_VALUE"""),"")</f>
        <v/>
      </c>
      <c r="Z448" s="1" t="str">
        <f>IFERROR(__xludf.DUMMYFUNCTION("""COMPUTED_VALUE"""),"Unknown")</f>
        <v>Unknown</v>
      </c>
      <c r="AA448" s="1" t="str">
        <f>IFERROR(__xludf.DUMMYFUNCTION("""COMPUTED_VALUE"""),"")</f>
        <v/>
      </c>
      <c r="AB448" s="1" t="str">
        <f>IFERROR(__xludf.DUMMYFUNCTION("""COMPUTED_VALUE"""),"")</f>
        <v/>
      </c>
      <c r="AC448" s="1" t="str">
        <f>IFERROR(__xludf.DUMMYFUNCTION("""COMPUTED_VALUE"""),"")</f>
        <v/>
      </c>
      <c r="AD448" s="2" t="str">
        <f>IFERROR(__xludf.DUMMYFUNCTION("""COMPUTED_VALUE"""),"https://www.facebook.com/groups/286077786303933/posts/1307011727543862/")</f>
        <v>https://www.facebook.com/groups/286077786303933/posts/1307011727543862/</v>
      </c>
      <c r="AE448" s="1" t="str">
        <f>IFERROR(__xludf.DUMMYFUNCTION("""COMPUTED_VALUE"""),"")</f>
        <v/>
      </c>
      <c r="AF448" s="1" t="str">
        <f>IFERROR(__xludf.DUMMYFUNCTION("""COMPUTED_VALUE"""),"")</f>
        <v/>
      </c>
      <c r="AG448" s="1" t="str">
        <f>IFERROR(__xludf.DUMMYFUNCTION("""COMPUTED_VALUE"""),"Underwater site, powered by tides, 70 turbines and 34 data center pods")</f>
        <v>Underwater site, powered by tides, 70 turbines and 34 data center pods</v>
      </c>
      <c r="AH448" s="1" t="str">
        <f>IFERROR(__xludf.DUMMYFUNCTION("""COMPUTED_VALUE"""),"Media Monitoring")</f>
        <v>Media Monitoring</v>
      </c>
      <c r="AI448" s="2" t="str">
        <f>IFERROR(__xludf.DUMMYFUNCTION("""COMPUTED_VALUE"""),"https://www.datacenterdynamics.com/en/news/underwater-data-center-powered-by-tidal-energy-proposed-off-the-coast-of-maine/")</f>
        <v>https://www.datacenterdynamics.com/en/news/underwater-data-center-powered-by-tidal-energy-proposed-off-the-coast-of-maine/</v>
      </c>
      <c r="AJ448" s="1" t="str">
        <f>IFERROR(__xludf.DUMMYFUNCTION("""COMPUTED_VALUE"""),"")</f>
        <v/>
      </c>
      <c r="AK448" s="1" t="str">
        <f>IFERROR(__xludf.DUMMYFUNCTION("""COMPUTED_VALUE"""),"")</f>
        <v/>
      </c>
      <c r="AL448" s="1" t="str">
        <f>IFERROR(__xludf.DUMMYFUNCTION("""COMPUTED_VALUE"""),"")</f>
        <v/>
      </c>
      <c r="AM448" s="1" t="str">
        <f>IFERROR(__xludf.DUMMYFUNCTION("""COMPUTED_VALUE"""),"")</f>
        <v/>
      </c>
      <c r="AN448" s="1" t="str">
        <f>IFERROR(__xludf.DUMMYFUNCTION("""COMPUTED_VALUE"""),"")</f>
        <v/>
      </c>
      <c r="AO448" s="1" t="str">
        <f>IFERROR(__xludf.DUMMYFUNCTION("""COMPUTED_VALUE"""),"")</f>
        <v/>
      </c>
      <c r="AP448" s="1" t="str">
        <f>IFERROR(__xludf.DUMMYFUNCTION("""COMPUTED_VALUE"""),"")</f>
        <v/>
      </c>
      <c r="AQ448" s="1" t="str">
        <f>IFERROR(__xludf.DUMMYFUNCTION("""COMPUTED_VALUE"""),"03/13/2026")</f>
        <v>03/13/2026</v>
      </c>
      <c r="AR448" s="1" t="str">
        <f>IFERROR(__xludf.DUMMYFUNCTION("""COMPUTED_VALUE"""),"03/13/2026")</f>
        <v>03/13/2026</v>
      </c>
    </row>
    <row r="449">
      <c r="A449" s="1" t="str">
        <f>IFERROR(__xludf.DUMMYFUNCTION("""COMPUTED_VALUE"""),"Tier III AI Data Center")</f>
        <v>Tier III AI Data Center</v>
      </c>
      <c r="B449" s="1" t="str">
        <f>IFERROR(__xludf.DUMMYFUNCTION("""COMPUTED_VALUE"""),"140 Mill Street")</f>
        <v>140 Mill Street</v>
      </c>
      <c r="C449" s="1" t="str">
        <f>IFERROR(__xludf.DUMMYFUNCTION("""COMPUTED_VALUE"""),"Lewiston")</f>
        <v>Lewiston</v>
      </c>
      <c r="D449" s="1" t="str">
        <f>IFERROR(__xludf.DUMMYFUNCTION("""COMPUTED_VALUE"""),"ME")</f>
        <v>ME</v>
      </c>
      <c r="E449" s="1" t="str">
        <f>IFERROR(__xludf.DUMMYFUNCTION("""COMPUTED_VALUE"""),"04240")</f>
        <v>04240</v>
      </c>
      <c r="F449" s="1" t="str">
        <f>IFERROR(__xludf.DUMMYFUNCTION("""COMPUTED_VALUE"""),"Androscoggin")</f>
        <v>Androscoggin</v>
      </c>
      <c r="G449" s="1" t="str">
        <f>IFERROR(__xludf.DUMMYFUNCTION("""COMPUTED_VALUE"""),"44.094273")</f>
        <v>44.094273</v>
      </c>
      <c r="H449" s="1" t="str">
        <f>IFERROR(__xludf.DUMMYFUNCTION("""COMPUTED_VALUE"""),"-70.21859")</f>
        <v>-70.21859</v>
      </c>
      <c r="I449" s="1" t="str">
        <f>IFERROR(__xludf.DUMMYFUNCTION("""COMPUTED_VALUE"""),"Cancelled")</f>
        <v>Cancelled</v>
      </c>
      <c r="J449" s="1" t="str">
        <f>IFERROR(__xludf.DUMMYFUNCTION("""COMPUTED_VALUE"""),"High")</f>
        <v>High</v>
      </c>
      <c r="K449" s="1" t="str">
        <f>IFERROR(__xludf.DUMMYFUNCTION("""COMPUTED_VALUE"""),"AI")</f>
        <v>AI</v>
      </c>
      <c r="L449" s="1" t="str">
        <f>IFERROR(__xludf.DUMMYFUNCTION("""COMPUTED_VALUE"""),"MillCompute LLC")</f>
        <v>MillCompute LLC</v>
      </c>
      <c r="M449" s="1" t="str">
        <f>IFERROR(__xludf.DUMMYFUNCTION("""COMPUTED_VALUE"""),"")</f>
        <v/>
      </c>
      <c r="N449" s="1" t="str">
        <f>IFERROR(__xludf.DUMMYFUNCTION("""COMPUTED_VALUE"""),"")</f>
        <v/>
      </c>
      <c r="O449" s="1" t="str">
        <f>IFERROR(__xludf.DUMMYFUNCTION("""COMPUTED_VALUE"""),"Unknown")</f>
        <v>Unknown</v>
      </c>
      <c r="P449" s="1" t="str">
        <f>IFERROR(__xludf.DUMMYFUNCTION("""COMPUTED_VALUE"""),"")</f>
        <v/>
      </c>
      <c r="Q449" s="1" t="str">
        <f>IFERROR(__xludf.DUMMYFUNCTION("""COMPUTED_VALUE"""),"")</f>
        <v/>
      </c>
      <c r="R449" s="1" t="str">
        <f>IFERROR(__xludf.DUMMYFUNCTION("""COMPUTED_VALUE"""),"")</f>
        <v/>
      </c>
      <c r="S449" s="1" t="str">
        <f>IFERROR(__xludf.DUMMYFUNCTION("""COMPUTED_VALUE"""),"")</f>
        <v/>
      </c>
      <c r="T449" s="1" t="str">
        <f>IFERROR(__xludf.DUMMYFUNCTION("""COMPUTED_VALUE"""),"")</f>
        <v/>
      </c>
      <c r="U449" s="1" t="str">
        <f>IFERROR(__xludf.DUMMYFUNCTION("""COMPUTED_VALUE"""),"")</f>
        <v/>
      </c>
      <c r="V449" s="1" t="str">
        <f>IFERROR(__xludf.DUMMYFUNCTION("""COMPUTED_VALUE"""),"85,000")</f>
        <v>85,000</v>
      </c>
      <c r="W449" s="1" t="str">
        <f>IFERROR(__xludf.DUMMYFUNCTION("""COMPUTED_VALUE"""),"")</f>
        <v/>
      </c>
      <c r="X449" s="1" t="str">
        <f>IFERROR(__xludf.DUMMYFUNCTION("""COMPUTED_VALUE"""),"$300 million")</f>
        <v>$300 million</v>
      </c>
      <c r="Y449" s="1" t="str">
        <f>IFERROR(__xludf.DUMMYFUNCTION("""COMPUTED_VALUE"""),"")</f>
        <v/>
      </c>
      <c r="Z449" s="1" t="str">
        <f>IFERROR(__xludf.DUMMYFUNCTION("""COMPUTED_VALUE"""),"Yes")</f>
        <v>Yes</v>
      </c>
      <c r="AA449" s="1" t="str">
        <f>IFERROR(__xludf.DUMMYFUNCTION("""COMPUTED_VALUE"""),"")</f>
        <v/>
      </c>
      <c r="AB449" s="1" t="str">
        <f>IFERROR(__xludf.DUMMYFUNCTION("""COMPUTED_VALUE"""),"")</f>
        <v/>
      </c>
      <c r="AC449" s="1" t="str">
        <f>IFERROR(__xludf.DUMMYFUNCTION("""COMPUTED_VALUE"""),"")</f>
        <v/>
      </c>
      <c r="AD449" s="2" t="str">
        <f>IFERROR(__xludf.DUMMYFUNCTION("""COMPUTED_VALUE"""),"https://www.facebook.com/groups/881401921000636/")</f>
        <v>https://www.facebook.com/groups/881401921000636/</v>
      </c>
      <c r="AE449" s="1" t="str">
        <f>IFERROR(__xludf.DUMMYFUNCTION("""COMPUTED_VALUE"""),"")</f>
        <v/>
      </c>
      <c r="AF449" s="1" t="str">
        <f>IFERROR(__xludf.DUMMYFUNCTION("""COMPUTED_VALUE"""),"")</f>
        <v/>
      </c>
      <c r="AG449" s="1" t="str">
        <f>IFERROR(__xludf.DUMMYFUNCTION("""COMPUTED_VALUE"""),"The proposed data center would have taken up the first two floors of Bates Mill No.3. On 12/16/25, Lewiston city councilors unanimously rejected the proposal")</f>
        <v>The proposed data center would have taken up the first two floors of Bates Mill No.3. On 12/16/25, Lewiston city councilors unanimously rejected the proposal</v>
      </c>
      <c r="AH449" s="1" t="str">
        <f>IFERROR(__xludf.DUMMYFUNCTION("""COMPUTED_VALUE"""),"Media Monitoring")</f>
        <v>Media Monitoring</v>
      </c>
      <c r="AI449" s="2" t="str">
        <f>IFERROR(__xludf.DUMMYFUNCTION("""COMPUTED_VALUE"""),"https://www.datacenterdynamics.com/en/news/tier-iii-ai-data-center-proposed-for-lewiston-bates-mill-in-maine/")</f>
        <v>https://www.datacenterdynamics.com/en/news/tier-iii-ai-data-center-proposed-for-lewiston-bates-mill-in-maine/</v>
      </c>
      <c r="AJ449" s="2" t="str">
        <f>IFERROR(__xludf.DUMMYFUNCTION("""COMPUTED_VALUE"""),"https://www.mainepublic.org/business-and-economy/2025-12-17/lewiston-city-council-shoots-down-data-center-proposal")</f>
        <v>https://www.mainepublic.org/business-and-economy/2025-12-17/lewiston-city-council-shoots-down-data-center-proposal</v>
      </c>
      <c r="AK449" s="2" t="str">
        <f>IFERROR(__xludf.DUMMYFUNCTION("""COMPUTED_VALUE"""),"https://www.newscentermaine.com/article/news/local/lewiston-auburn/lewiston-city-councilors-unanimously-vote-down-ai-data-center-proposal/97-392ae679-b55b-430c-b1b3-8dd641dd3489")</f>
        <v>https://www.newscentermaine.com/article/news/local/lewiston-auburn/lewiston-city-councilors-unanimously-vote-down-ai-data-center-proposal/97-392ae679-b55b-430c-b1b3-8dd641dd3489</v>
      </c>
      <c r="AL449" s="1" t="str">
        <f>IFERROR(__xludf.DUMMYFUNCTION("""COMPUTED_VALUE"""),"")</f>
        <v/>
      </c>
      <c r="AM449" s="1" t="str">
        <f>IFERROR(__xludf.DUMMYFUNCTION("""COMPUTED_VALUE"""),"")</f>
        <v/>
      </c>
      <c r="AN449" s="1" t="str">
        <f>IFERROR(__xludf.DUMMYFUNCTION("""COMPUTED_VALUE"""),"")</f>
        <v/>
      </c>
      <c r="AO449" s="1" t="str">
        <f>IFERROR(__xludf.DUMMYFUNCTION("""COMPUTED_VALUE"""),"")</f>
        <v/>
      </c>
      <c r="AP449" s="1" t="str">
        <f>IFERROR(__xludf.DUMMYFUNCTION("""COMPUTED_VALUE"""),"")</f>
        <v/>
      </c>
      <c r="AQ449" s="1" t="str">
        <f>IFERROR(__xludf.DUMMYFUNCTION("""COMPUTED_VALUE"""),"12/18/2025")</f>
        <v>12/18/2025</v>
      </c>
      <c r="AR449" s="1" t="str">
        <f>IFERROR(__xludf.DUMMYFUNCTION("""COMPUTED_VALUE"""),"12/19/2025")</f>
        <v>12/19/2025</v>
      </c>
    </row>
    <row r="450">
      <c r="A450" s="1" t="str">
        <f>IFERROR(__xludf.DUMMYFUNCTION("""COMPUTED_VALUE"""),"Loring Commerce Center Data center")</f>
        <v>Loring Commerce Center Data center</v>
      </c>
      <c r="B450" s="1" t="str">
        <f>IFERROR(__xludf.DUMMYFUNCTION("""COMPUTED_VALUE"""),"near Georgia Rd")</f>
        <v>near Georgia Rd</v>
      </c>
      <c r="C450" s="1" t="str">
        <f>IFERROR(__xludf.DUMMYFUNCTION("""COMPUTED_VALUE"""),"Limestone")</f>
        <v>Limestone</v>
      </c>
      <c r="D450" s="1" t="str">
        <f>IFERROR(__xludf.DUMMYFUNCTION("""COMPUTED_VALUE"""),"ME")</f>
        <v>ME</v>
      </c>
      <c r="E450" s="1" t="str">
        <f>IFERROR(__xludf.DUMMYFUNCTION("""COMPUTED_VALUE"""),"04750")</f>
        <v>04750</v>
      </c>
      <c r="F450" s="1" t="str">
        <f>IFERROR(__xludf.DUMMYFUNCTION("""COMPUTED_VALUE"""),"Aroostook")</f>
        <v>Aroostook</v>
      </c>
      <c r="G450" s="1" t="str">
        <f>IFERROR(__xludf.DUMMYFUNCTION("""COMPUTED_VALUE"""),"46.94933")</f>
        <v>46.94933</v>
      </c>
      <c r="H450" s="1" t="str">
        <f>IFERROR(__xludf.DUMMYFUNCTION("""COMPUTED_VALUE"""),"-67.8927")</f>
        <v>-67.8927</v>
      </c>
      <c r="I450" s="1" t="str">
        <f>IFERROR(__xludf.DUMMYFUNCTION("""COMPUTED_VALUE"""),"Proposed")</f>
        <v>Proposed</v>
      </c>
      <c r="J450" s="1" t="str">
        <f>IFERROR(__xludf.DUMMYFUNCTION("""COMPUTED_VALUE"""),"Medium")</f>
        <v>Medium</v>
      </c>
      <c r="K450" s="1" t="str">
        <f>IFERROR(__xludf.DUMMYFUNCTION("""COMPUTED_VALUE"""),"")</f>
        <v/>
      </c>
      <c r="L450" s="1" t="str">
        <f>IFERROR(__xludf.DUMMYFUNCTION("""COMPUTED_VALUE"""),"")</f>
        <v/>
      </c>
      <c r="M450" s="1" t="str">
        <f>IFERROR(__xludf.DUMMYFUNCTION("""COMPUTED_VALUE"""),"")</f>
        <v/>
      </c>
      <c r="N450" s="1" t="str">
        <f>IFERROR(__xludf.DUMMYFUNCTION("""COMPUTED_VALUE"""),"6")</f>
        <v>6</v>
      </c>
      <c r="O450" s="1" t="str">
        <f>IFERROR(__xludf.DUMMYFUNCTION("""COMPUTED_VALUE"""),"Medium (11-50 MW)")</f>
        <v>Medium (11-50 MW)</v>
      </c>
      <c r="P450" s="1" t="str">
        <f>IFERROR(__xludf.DUMMYFUNCTION("""COMPUTED_VALUE"""),"Hydroelectric, Grid (unspecified mix)")</f>
        <v>Hydroelectric, Grid (unspecified mix)</v>
      </c>
      <c r="Q450" s="1" t="str">
        <f>IFERROR(__xludf.DUMMYFUNCTION("""COMPUTED_VALUE"""),"")</f>
        <v/>
      </c>
      <c r="R450" s="1" t="str">
        <f>IFERROR(__xludf.DUMMYFUNCTION("""COMPUTED_VALUE"""),"")</f>
        <v/>
      </c>
      <c r="S450" s="1" t="str">
        <f>IFERROR(__xludf.DUMMYFUNCTION("""COMPUTED_VALUE"""),"")</f>
        <v/>
      </c>
      <c r="T450" s="1" t="str">
        <f>IFERROR(__xludf.DUMMYFUNCTION("""COMPUTED_VALUE"""),"")</f>
        <v/>
      </c>
      <c r="U450" s="1" t="str">
        <f>IFERROR(__xludf.DUMMYFUNCTION("""COMPUTED_VALUE"""),"")</f>
        <v/>
      </c>
      <c r="V450" s="1" t="str">
        <f>IFERROR(__xludf.DUMMYFUNCTION("""COMPUTED_VALUE"""),"")</f>
        <v/>
      </c>
      <c r="W450" s="1" t="str">
        <f>IFERROR(__xludf.DUMMYFUNCTION("""COMPUTED_VALUE"""),"")</f>
        <v/>
      </c>
      <c r="X450" s="1" t="str">
        <f>IFERROR(__xludf.DUMMYFUNCTION("""COMPUTED_VALUE"""),"")</f>
        <v/>
      </c>
      <c r="Y450" s="1" t="str">
        <f>IFERROR(__xludf.DUMMYFUNCTION("""COMPUTED_VALUE"""),"")</f>
        <v/>
      </c>
      <c r="Z450" s="1" t="str">
        <f>IFERROR(__xludf.DUMMYFUNCTION("""COMPUTED_VALUE"""),"")</f>
        <v/>
      </c>
      <c r="AA450" s="1" t="str">
        <f>IFERROR(__xludf.DUMMYFUNCTION("""COMPUTED_VALUE"""),"")</f>
        <v/>
      </c>
      <c r="AB450" s="1" t="str">
        <f>IFERROR(__xludf.DUMMYFUNCTION("""COMPUTED_VALUE"""),"")</f>
        <v/>
      </c>
      <c r="AC450" s="1" t="str">
        <f>IFERROR(__xludf.DUMMYFUNCTION("""COMPUTED_VALUE"""),"")</f>
        <v/>
      </c>
      <c r="AD450" s="1" t="str">
        <f>IFERROR(__xludf.DUMMYFUNCTION("""COMPUTED_VALUE"""),"")</f>
        <v/>
      </c>
      <c r="AE450" s="1" t="str">
        <f>IFERROR(__xludf.DUMMYFUNCTION("""COMPUTED_VALUE"""),"")</f>
        <v/>
      </c>
      <c r="AF450" s="1" t="str">
        <f>IFERROR(__xludf.DUMMYFUNCTION("""COMPUTED_VALUE"""),"")</f>
        <v/>
      </c>
      <c r="AG450" s="1" t="str">
        <f>IFERROR(__xludf.DUMMYFUNCTION("""COMPUTED_VALUE"""),"")</f>
        <v/>
      </c>
      <c r="AH450" s="1" t="str">
        <f>IFERROR(__xludf.DUMMYFUNCTION("""COMPUTED_VALUE"""),"Media Monitoring")</f>
        <v>Media Monitoring</v>
      </c>
      <c r="AI450" s="2" t="str">
        <f>IFERROR(__xludf.DUMMYFUNCTION("""COMPUTED_VALUE"""),"https://insideclimatenews.org/news/26112025/maine-data-center-green-innovation")</f>
        <v>https://insideclimatenews.org/news/26112025/maine-data-center-green-innovation</v>
      </c>
      <c r="AJ450" s="1" t="str">
        <f>IFERROR(__xludf.DUMMYFUNCTION("""COMPUTED_VALUE"""),"")</f>
        <v/>
      </c>
      <c r="AK450" s="1" t="str">
        <f>IFERROR(__xludf.DUMMYFUNCTION("""COMPUTED_VALUE"""),"")</f>
        <v/>
      </c>
      <c r="AL450" s="1" t="str">
        <f>IFERROR(__xludf.DUMMYFUNCTION("""COMPUTED_VALUE"""),"")</f>
        <v/>
      </c>
      <c r="AM450" s="1" t="str">
        <f>IFERROR(__xludf.DUMMYFUNCTION("""COMPUTED_VALUE"""),"")</f>
        <v/>
      </c>
      <c r="AN450" s="1" t="str">
        <f>IFERROR(__xludf.DUMMYFUNCTION("""COMPUTED_VALUE"""),"")</f>
        <v/>
      </c>
      <c r="AO450" s="1" t="str">
        <f>IFERROR(__xludf.DUMMYFUNCTION("""COMPUTED_VALUE"""),"")</f>
        <v/>
      </c>
      <c r="AP450" s="1" t="str">
        <f>IFERROR(__xludf.DUMMYFUNCTION("""COMPUTED_VALUE"""),"")</f>
        <v/>
      </c>
      <c r="AQ450" s="1" t="str">
        <f>IFERROR(__xludf.DUMMYFUNCTION("""COMPUTED_VALUE"""),"07/01/2026")</f>
        <v>07/01/2026</v>
      </c>
      <c r="AR450" s="1" t="str">
        <f>IFERROR(__xludf.DUMMYFUNCTION("""COMPUTED_VALUE"""),"07/01/2026")</f>
        <v>07/01/2026</v>
      </c>
    </row>
    <row r="451">
      <c r="A451" s="1" t="str">
        <f>IFERROR(__xludf.DUMMYFUNCTION("""COMPUTED_VALUE"""),"Yankee Nuclear Power Plant Data Center")</f>
        <v>Yankee Nuclear Power Plant Data Center</v>
      </c>
      <c r="B451" s="1" t="str">
        <f>IFERROR(__xludf.DUMMYFUNCTION("""COMPUTED_VALUE"""),"321 Old Ferry Rd")</f>
        <v>321 Old Ferry Rd</v>
      </c>
      <c r="C451" s="1" t="str">
        <f>IFERROR(__xludf.DUMMYFUNCTION("""COMPUTED_VALUE"""),"Wicasset")</f>
        <v>Wicasset</v>
      </c>
      <c r="D451" s="1" t="str">
        <f>IFERROR(__xludf.DUMMYFUNCTION("""COMPUTED_VALUE"""),"ME")</f>
        <v>ME</v>
      </c>
      <c r="E451" s="1" t="str">
        <f>IFERROR(__xludf.DUMMYFUNCTION("""COMPUTED_VALUE"""),"04578")</f>
        <v>04578</v>
      </c>
      <c r="F451" s="1" t="str">
        <f>IFERROR(__xludf.DUMMYFUNCTION("""COMPUTED_VALUE"""),"Lincoln")</f>
        <v>Lincoln</v>
      </c>
      <c r="G451" s="1" t="str">
        <f>IFERROR(__xludf.DUMMYFUNCTION("""COMPUTED_VALUE"""),"43.95572")</f>
        <v>43.95572</v>
      </c>
      <c r="H451" s="1" t="str">
        <f>IFERROR(__xludf.DUMMYFUNCTION("""COMPUTED_VALUE"""),"-69.69428")</f>
        <v>-69.69428</v>
      </c>
      <c r="I451" s="1" t="str">
        <f>IFERROR(__xludf.DUMMYFUNCTION("""COMPUTED_VALUE"""),"Proposed")</f>
        <v>Proposed</v>
      </c>
      <c r="J451" s="1" t="str">
        <f>IFERROR(__xludf.DUMMYFUNCTION("""COMPUTED_VALUE"""),"High")</f>
        <v>High</v>
      </c>
      <c r="K451" s="1" t="str">
        <f>IFERROR(__xludf.DUMMYFUNCTION("""COMPUTED_VALUE"""),"")</f>
        <v/>
      </c>
      <c r="L451" s="1" t="str">
        <f>IFERROR(__xludf.DUMMYFUNCTION("""COMPUTED_VALUE"""),"")</f>
        <v/>
      </c>
      <c r="M451" s="1" t="str">
        <f>IFERROR(__xludf.DUMMYFUNCTION("""COMPUTED_VALUE"""),"")</f>
        <v/>
      </c>
      <c r="N451" s="1" t="str">
        <f>IFERROR(__xludf.DUMMYFUNCTION("""COMPUTED_VALUE"""),"")</f>
        <v/>
      </c>
      <c r="O451" s="1" t="str">
        <f>IFERROR(__xludf.DUMMYFUNCTION("""COMPUTED_VALUE"""),"Unknown")</f>
        <v>Unknown</v>
      </c>
      <c r="P451" s="1" t="str">
        <f>IFERROR(__xludf.DUMMYFUNCTION("""COMPUTED_VALUE"""),"")</f>
        <v/>
      </c>
      <c r="Q451" s="1" t="str">
        <f>IFERROR(__xludf.DUMMYFUNCTION("""COMPUTED_VALUE"""),"")</f>
        <v/>
      </c>
      <c r="R451" s="1" t="str">
        <f>IFERROR(__xludf.DUMMYFUNCTION("""COMPUTED_VALUE"""),"")</f>
        <v/>
      </c>
      <c r="S451" s="1" t="str">
        <f>IFERROR(__xludf.DUMMYFUNCTION("""COMPUTED_VALUE"""),"")</f>
        <v/>
      </c>
      <c r="T451" s="1" t="str">
        <f>IFERROR(__xludf.DUMMYFUNCTION("""COMPUTED_VALUE"""),"")</f>
        <v/>
      </c>
      <c r="U451" s="1" t="str">
        <f>IFERROR(__xludf.DUMMYFUNCTION("""COMPUTED_VALUE"""),"")</f>
        <v/>
      </c>
      <c r="V451" s="1" t="str">
        <f>IFERROR(__xludf.DUMMYFUNCTION("""COMPUTED_VALUE"""),"")</f>
        <v/>
      </c>
      <c r="W451" s="1" t="str">
        <f>IFERROR(__xludf.DUMMYFUNCTION("""COMPUTED_VALUE"""),"")</f>
        <v/>
      </c>
      <c r="X451" s="1" t="str">
        <f>IFERROR(__xludf.DUMMYFUNCTION("""COMPUTED_VALUE"""),"")</f>
        <v/>
      </c>
      <c r="Y451" s="1" t="str">
        <f>IFERROR(__xludf.DUMMYFUNCTION("""COMPUTED_VALUE"""),"")</f>
        <v/>
      </c>
      <c r="Z451" s="1" t="str">
        <f>IFERROR(__xludf.DUMMYFUNCTION("""COMPUTED_VALUE"""),"Unknown")</f>
        <v>Unknown</v>
      </c>
      <c r="AA451" s="1" t="str">
        <f>IFERROR(__xludf.DUMMYFUNCTION("""COMPUTED_VALUE"""),"")</f>
        <v/>
      </c>
      <c r="AB451" s="1" t="str">
        <f>IFERROR(__xludf.DUMMYFUNCTION("""COMPUTED_VALUE"""),"")</f>
        <v/>
      </c>
      <c r="AC451" s="1" t="str">
        <f>IFERROR(__xludf.DUMMYFUNCTION("""COMPUTED_VALUE"""),"")</f>
        <v/>
      </c>
      <c r="AD451" s="1" t="str">
        <f>IFERROR(__xludf.DUMMYFUNCTION("""COMPUTED_VALUE"""),"")</f>
        <v/>
      </c>
      <c r="AE451" s="1" t="str">
        <f>IFERROR(__xludf.DUMMYFUNCTION("""COMPUTED_VALUE"""),"")</f>
        <v/>
      </c>
      <c r="AF451" s="1" t="str">
        <f>IFERROR(__xludf.DUMMYFUNCTION("""COMPUTED_VALUE"""),"")</f>
        <v/>
      </c>
      <c r="AG451" s="1" t="str">
        <f>IFERROR(__xludf.DUMMYFUNCTION("""COMPUTED_VALUE"""),"")</f>
        <v/>
      </c>
      <c r="AH451" s="1" t="str">
        <f>IFERROR(__xludf.DUMMYFUNCTION("""COMPUTED_VALUE"""),"Media Monitoring")</f>
        <v>Media Monitoring</v>
      </c>
      <c r="AI451" s="2" t="str">
        <f>IFERROR(__xludf.DUMMYFUNCTION("""COMPUTED_VALUE"""),"https://www.datacenterdynamics.com/en/news/vampire-data-center-scheme-irks-residents-in-wiscasset-maine/")</f>
        <v>https://www.datacenterdynamics.com/en/news/vampire-data-center-scheme-irks-residents-in-wiscasset-maine/</v>
      </c>
      <c r="AJ451" s="1" t="str">
        <f>IFERROR(__xludf.DUMMYFUNCTION("""COMPUTED_VALUE"""),"")</f>
        <v/>
      </c>
      <c r="AK451" s="1" t="str">
        <f>IFERROR(__xludf.DUMMYFUNCTION("""COMPUTED_VALUE"""),"")</f>
        <v/>
      </c>
      <c r="AL451" s="1" t="str">
        <f>IFERROR(__xludf.DUMMYFUNCTION("""COMPUTED_VALUE"""),"")</f>
        <v/>
      </c>
      <c r="AM451" s="1" t="str">
        <f>IFERROR(__xludf.DUMMYFUNCTION("""COMPUTED_VALUE"""),"")</f>
        <v/>
      </c>
      <c r="AN451" s="1" t="str">
        <f>IFERROR(__xludf.DUMMYFUNCTION("""COMPUTED_VALUE"""),"")</f>
        <v/>
      </c>
      <c r="AO451" s="1" t="str">
        <f>IFERROR(__xludf.DUMMYFUNCTION("""COMPUTED_VALUE"""),"")</f>
        <v/>
      </c>
      <c r="AP451" s="1" t="str">
        <f>IFERROR(__xludf.DUMMYFUNCTION("""COMPUTED_VALUE"""),"")</f>
        <v/>
      </c>
      <c r="AQ451" s="1" t="str">
        <f>IFERROR(__xludf.DUMMYFUNCTION("""COMPUTED_VALUE"""),"10/15/2025")</f>
        <v>10/15/2025</v>
      </c>
      <c r="AR451" s="1" t="str">
        <f>IFERROR(__xludf.DUMMYFUNCTION("""COMPUTED_VALUE"""),"10/15/2025")</f>
        <v>10/15/2025</v>
      </c>
    </row>
    <row r="452">
      <c r="A452" s="1" t="str">
        <f>IFERROR(__xludf.DUMMYFUNCTION("""COMPUTED_VALUE"""),"Solstice Data Center")</f>
        <v>Solstice Data Center</v>
      </c>
      <c r="B452" s="1" t="str">
        <f>IFERROR(__xludf.DUMMYFUNCTION("""COMPUTED_VALUE"""),"Enterprise Drive")</f>
        <v>Enterprise Drive</v>
      </c>
      <c r="C452" s="1" t="str">
        <f>IFERROR(__xludf.DUMMYFUNCTION("""COMPUTED_VALUE"""),"Allen Park")</f>
        <v>Allen Park</v>
      </c>
      <c r="D452" s="1" t="str">
        <f>IFERROR(__xludf.DUMMYFUNCTION("""COMPUTED_VALUE"""),"MI")</f>
        <v>MI</v>
      </c>
      <c r="E452" s="1" t="str">
        <f>IFERROR(__xludf.DUMMYFUNCTION("""COMPUTED_VALUE"""),"")</f>
        <v/>
      </c>
      <c r="F452" s="1" t="str">
        <f>IFERROR(__xludf.DUMMYFUNCTION("""COMPUTED_VALUE"""),"Wayne")</f>
        <v>Wayne</v>
      </c>
      <c r="G452" s="1" t="str">
        <f>IFERROR(__xludf.DUMMYFUNCTION("""COMPUTED_VALUE"""),"42.268654")</f>
        <v>42.268654</v>
      </c>
      <c r="H452" s="1" t="str">
        <f>IFERROR(__xludf.DUMMYFUNCTION("""COMPUTED_VALUE"""),"-83.208176")</f>
        <v>-83.208176</v>
      </c>
      <c r="I452" s="1" t="str">
        <f>IFERROR(__xludf.DUMMYFUNCTION("""COMPUTED_VALUE"""),"Suspended")</f>
        <v>Suspended</v>
      </c>
      <c r="J452" s="1" t="str">
        <f>IFERROR(__xludf.DUMMYFUNCTION("""COMPUTED_VALUE"""),"High")</f>
        <v>High</v>
      </c>
      <c r="K452" s="1" t="str">
        <f>IFERROR(__xludf.DUMMYFUNCTION("""COMPUTED_VALUE"""),"")</f>
        <v/>
      </c>
      <c r="L452" s="1" t="str">
        <f>IFERROR(__xludf.DUMMYFUNCTION("""COMPUTED_VALUE"""),"Solstice")</f>
        <v>Solstice</v>
      </c>
      <c r="M452" s="1" t="str">
        <f>IFERROR(__xludf.DUMMYFUNCTION("""COMPUTED_VALUE"""),"")</f>
        <v/>
      </c>
      <c r="N452" s="1" t="str">
        <f>IFERROR(__xludf.DUMMYFUNCTION("""COMPUTED_VALUE"""),"26")</f>
        <v>26</v>
      </c>
      <c r="O452" s="1" t="str">
        <f>IFERROR(__xludf.DUMMYFUNCTION("""COMPUTED_VALUE"""),"Medium (11-50 MW)")</f>
        <v>Medium (11-50 MW)</v>
      </c>
      <c r="P452" s="1" t="str">
        <f>IFERROR(__xludf.DUMMYFUNCTION("""COMPUTED_VALUE"""),"")</f>
        <v/>
      </c>
      <c r="Q452" s="1" t="str">
        <f>IFERROR(__xludf.DUMMYFUNCTION("""COMPUTED_VALUE"""),"")</f>
        <v/>
      </c>
      <c r="R452" s="1" t="str">
        <f>IFERROR(__xludf.DUMMYFUNCTION("""COMPUTED_VALUE"""),"12")</f>
        <v>12</v>
      </c>
      <c r="S452" s="1" t="str">
        <f>IFERROR(__xludf.DUMMYFUNCTION("""COMPUTED_VALUE"""),"")</f>
        <v/>
      </c>
      <c r="T452" s="1" t="str">
        <f>IFERROR(__xludf.DUMMYFUNCTION("""COMPUTED_VALUE"""),"")</f>
        <v/>
      </c>
      <c r="U452" s="1" t="str">
        <f>IFERROR(__xludf.DUMMYFUNCTION("""COMPUTED_VALUE"""),"")</f>
        <v/>
      </c>
      <c r="V452" s="1" t="str">
        <f>IFERROR(__xludf.DUMMYFUNCTION("""COMPUTED_VALUE"""),"45,400")</f>
        <v>45,400</v>
      </c>
      <c r="W452" s="1" t="str">
        <f>IFERROR(__xludf.DUMMYFUNCTION("""COMPUTED_VALUE"""),"")</f>
        <v/>
      </c>
      <c r="X452" s="1" t="str">
        <f>IFERROR(__xludf.DUMMYFUNCTION("""COMPUTED_VALUE"""),"")</f>
        <v/>
      </c>
      <c r="Y452" s="1" t="str">
        <f>IFERROR(__xludf.DUMMYFUNCTION("""COMPUTED_VALUE"""),"")</f>
        <v/>
      </c>
      <c r="Z452" s="1" t="str">
        <f>IFERROR(__xludf.DUMMYFUNCTION("""COMPUTED_VALUE"""),"Yes")</f>
        <v>Yes</v>
      </c>
      <c r="AA452" s="1" t="str">
        <f>IFERROR(__xludf.DUMMYFUNCTION("""COMPUTED_VALUE"""),"")</f>
        <v/>
      </c>
      <c r="AB452" s="1" t="str">
        <f>IFERROR(__xludf.DUMMYFUNCTION("""COMPUTED_VALUE"""),"")</f>
        <v/>
      </c>
      <c r="AC452" s="1" t="str">
        <f>IFERROR(__xludf.DUMMYFUNCTION("""COMPUTED_VALUE"""),"")</f>
        <v/>
      </c>
      <c r="AD452" s="2" t="str">
        <f>IFERROR(__xludf.DUMMYFUNCTION("""COMPUTED_VALUE"""),"https://tockify.com/miresistevents/detail/1285/1767913200000")</f>
        <v>https://tockify.com/miresistevents/detail/1285/1767913200000</v>
      </c>
      <c r="AE452" s="1" t="str">
        <f>IFERROR(__xludf.DUMMYFUNCTION("""COMPUTED_VALUE"""),"")</f>
        <v/>
      </c>
      <c r="AF452" s="2" t="str">
        <f>IFERROR(__xludf.DUMMYFUNCTION("""COMPUTED_VALUE"""),"https://www.change.org/p/non-allen-park-mi-residents-help-keep-ai-data-centers-out-of-wayne-county-cities-listed")</f>
        <v>https://www.change.org/p/non-allen-park-mi-residents-help-keep-ai-data-centers-out-of-wayne-county-cities-listed</v>
      </c>
      <c r="AG452" s="1" t="str">
        <f>IFERROR(__xludf.DUMMYFUNCTION("""COMPUTED_VALUE"""),"")</f>
        <v/>
      </c>
      <c r="AH452" s="1" t="str">
        <f>IFERROR(__xludf.DUMMYFUNCTION("""COMPUTED_VALUE"""),"Crowdsourced")</f>
        <v>Crowdsourced</v>
      </c>
      <c r="AI452" s="2" t="str">
        <f>IFERROR(__xludf.DUMMYFUNCTION("""COMPUTED_VALUE"""),"https://www.thenewsherald.com/2025/12/08/data-center-proposed-in-allen-park-to-be-considered-by-planners/")</f>
        <v>https://www.thenewsherald.com/2025/12/08/data-center-proposed-in-allen-park-to-be-considered-by-planners/</v>
      </c>
      <c r="AJ452" s="2" t="str">
        <f>IFERROR(__xludf.DUMMYFUNCTION("""COMPUTED_VALUE"""),"https://cityofallenpark.org/departments/building_and_engineering/faq.php#collapse23880b2")</f>
        <v>https://cityofallenpark.org/departments/building_and_engineering/faq.php#collapse23880b2</v>
      </c>
      <c r="AK452" s="2" t="str">
        <f>IFERROR(__xludf.DUMMYFUNCTION("""COMPUTED_VALUE"""),"https://cms3.revize.com/revize/allenparkmi/Documents/Departments/Building%20and%20Engineering/Development%20Projects%20&amp;%20Public%20Hearings/2026/2026.01.08%20Data%20Center/SD-SPBG01-ZZ-Z-BGT-RP-Z-80412%20Report%20for%20PC.pdf?t=202601051514460&amp;t=20260105"&amp;"1514460")</f>
        <v>https://cms3.revize.com/revize/allenparkmi/Documents/Departments/Building%20and%20Engineering/Development%20Projects%20&amp;%20Public%20Hearings/2026/2026.01.08%20Data%20Center/SD-SPBG01-ZZ-Z-BGT-RP-Z-80412%20Report%20for%20PC.pdf?t=202601051514460&amp;t=202601051514460</v>
      </c>
      <c r="AL452" s="2" t="str">
        <f>IFERROR(__xludf.DUMMYFUNCTION("""COMPUTED_VALUE"""),"https://planetdetroit.org/2026/01/allen-park-data-center-proposal/")</f>
        <v>https://planetdetroit.org/2026/01/allen-park-data-center-proposal/</v>
      </c>
      <c r="AM452" s="2" t="str">
        <f>IFERROR(__xludf.DUMMYFUNCTION("""COMPUTED_VALUE"""),"https://planetdetroit.org/2026/01/allen-park-postpones-data-center-decision/")</f>
        <v>https://planetdetroit.org/2026/01/allen-park-postpones-data-center-decision/</v>
      </c>
      <c r="AN452" s="1" t="str">
        <f>IFERROR(__xludf.DUMMYFUNCTION("""COMPUTED_VALUE"""),"")</f>
        <v/>
      </c>
      <c r="AO452" s="1" t="str">
        <f>IFERROR(__xludf.DUMMYFUNCTION("""COMPUTED_VALUE"""),"")</f>
        <v/>
      </c>
      <c r="AP452" s="1" t="str">
        <f>IFERROR(__xludf.DUMMYFUNCTION("""COMPUTED_VALUE"""),"")</f>
        <v/>
      </c>
      <c r="AQ452" s="1" t="str">
        <f>IFERROR(__xludf.DUMMYFUNCTION("""COMPUTED_VALUE"""),"01/08/2026")</f>
        <v>01/08/2026</v>
      </c>
      <c r="AR452" s="1" t="str">
        <f>IFERROR(__xludf.DUMMYFUNCTION("""COMPUTED_VALUE"""),"01/09/2026")</f>
        <v>01/09/2026</v>
      </c>
    </row>
    <row r="453">
      <c r="A453" s="1" t="str">
        <f>IFERROR(__xludf.DUMMYFUNCTION("""COMPUTED_VALUE"""),"Oppidan Data Center")</f>
        <v>Oppidan Data Center</v>
      </c>
      <c r="B453" s="1" t="str">
        <f>IFERROR(__xludf.DUMMYFUNCTION("""COMPUTED_VALUE"""),"Btwn Pilot Knob Rd, 150th St, and Flagstaff Ave")</f>
        <v>Btwn Pilot Knob Rd, 150th St, and Flagstaff Ave</v>
      </c>
      <c r="C453" s="1" t="str">
        <f>IFERROR(__xludf.DUMMYFUNCTION("""COMPUTED_VALUE"""),"Apple Valley")</f>
        <v>Apple Valley</v>
      </c>
      <c r="D453" s="1" t="str">
        <f>IFERROR(__xludf.DUMMYFUNCTION("""COMPUTED_VALUE"""),"MI")</f>
        <v>MI</v>
      </c>
      <c r="E453" s="1" t="str">
        <f>IFERROR(__xludf.DUMMYFUNCTION("""COMPUTED_VALUE"""),"55124")</f>
        <v>55124</v>
      </c>
      <c r="F453" s="1" t="str">
        <f>IFERROR(__xludf.DUMMYFUNCTION("""COMPUTED_VALUE"""),"Dakota")</f>
        <v>Dakota</v>
      </c>
      <c r="G453" s="1" t="str">
        <f>IFERROR(__xludf.DUMMYFUNCTION("""COMPUTED_VALUE"""),"44.72743")</f>
        <v>44.72743</v>
      </c>
      <c r="H453" s="1" t="str">
        <f>IFERROR(__xludf.DUMMYFUNCTION("""COMPUTED_VALUE"""),"-93.18794")</f>
        <v>-93.18794</v>
      </c>
      <c r="I453" s="1" t="str">
        <f>IFERROR(__xludf.DUMMYFUNCTION("""COMPUTED_VALUE"""),"Cancelled")</f>
        <v>Cancelled</v>
      </c>
      <c r="J453" s="1" t="str">
        <f>IFERROR(__xludf.DUMMYFUNCTION("""COMPUTED_VALUE"""),"High")</f>
        <v>High</v>
      </c>
      <c r="K453" s="1" t="str">
        <f>IFERROR(__xludf.DUMMYFUNCTION("""COMPUTED_VALUE"""),"")</f>
        <v/>
      </c>
      <c r="L453" s="1" t="str">
        <f>IFERROR(__xludf.DUMMYFUNCTION("""COMPUTED_VALUE"""),"")</f>
        <v/>
      </c>
      <c r="M453" s="1" t="str">
        <f>IFERROR(__xludf.DUMMYFUNCTION("""COMPUTED_VALUE"""),"")</f>
        <v/>
      </c>
      <c r="N453" s="1" t="str">
        <f>IFERROR(__xludf.DUMMYFUNCTION("""COMPUTED_VALUE"""),"250-300")</f>
        <v>250-300</v>
      </c>
      <c r="O453" s="1" t="str">
        <f>IFERROR(__xludf.DUMMYFUNCTION("""COMPUTED_VALUE"""),"Hyperscale (100-999 MW)")</f>
        <v>Hyperscale (100-999 MW)</v>
      </c>
      <c r="P453" s="1" t="str">
        <f>IFERROR(__xludf.DUMMYFUNCTION("""COMPUTED_VALUE"""),"")</f>
        <v/>
      </c>
      <c r="Q453" s="1" t="str">
        <f>IFERROR(__xludf.DUMMYFUNCTION("""COMPUTED_VALUE"""),"")</f>
        <v/>
      </c>
      <c r="R453" s="1" t="str">
        <f>IFERROR(__xludf.DUMMYFUNCTION("""COMPUTED_VALUE"""),"")</f>
        <v/>
      </c>
      <c r="S453" s="1" t="str">
        <f>IFERROR(__xludf.DUMMYFUNCTION("""COMPUTED_VALUE"""),"")</f>
        <v/>
      </c>
      <c r="T453" s="1" t="str">
        <f>IFERROR(__xludf.DUMMYFUNCTION("""COMPUTED_VALUE"""),"")</f>
        <v/>
      </c>
      <c r="U453" s="1" t="str">
        <f>IFERROR(__xludf.DUMMYFUNCTION("""COMPUTED_VALUE"""),"")</f>
        <v/>
      </c>
      <c r="V453" s="1" t="str">
        <f>IFERROR(__xludf.DUMMYFUNCTION("""COMPUTED_VALUE"""),"1,050,000")</f>
        <v>1,050,000</v>
      </c>
      <c r="W453" s="1" t="str">
        <f>IFERROR(__xludf.DUMMYFUNCTION("""COMPUTED_VALUE"""),"134")</f>
        <v>134</v>
      </c>
      <c r="X453" s="1" t="str">
        <f>IFERROR(__xludf.DUMMYFUNCTION("""COMPUTED_VALUE"""),"")</f>
        <v/>
      </c>
      <c r="Y453" s="1" t="str">
        <f>IFERROR(__xludf.DUMMYFUNCTION("""COMPUTED_VALUE"""),"")</f>
        <v/>
      </c>
      <c r="Z453" s="1" t="str">
        <f>IFERROR(__xludf.DUMMYFUNCTION("""COMPUTED_VALUE"""),"Unknown")</f>
        <v>Unknown</v>
      </c>
      <c r="AA453" s="1" t="str">
        <f>IFERROR(__xludf.DUMMYFUNCTION("""COMPUTED_VALUE"""),"")</f>
        <v/>
      </c>
      <c r="AB453" s="1" t="str">
        <f>IFERROR(__xludf.DUMMYFUNCTION("""COMPUTED_VALUE"""),"")</f>
        <v/>
      </c>
      <c r="AC453" s="1" t="str">
        <f>IFERROR(__xludf.DUMMYFUNCTION("""COMPUTED_VALUE"""),"")</f>
        <v/>
      </c>
      <c r="AD453" s="1" t="str">
        <f>IFERROR(__xludf.DUMMYFUNCTION("""COMPUTED_VALUE"""),"")</f>
        <v/>
      </c>
      <c r="AE453" s="1" t="str">
        <f>IFERROR(__xludf.DUMMYFUNCTION("""COMPUTED_VALUE"""),"")</f>
        <v/>
      </c>
      <c r="AF453" s="1" t="str">
        <f>IFERROR(__xludf.DUMMYFUNCTION("""COMPUTED_VALUE"""),"")</f>
        <v/>
      </c>
      <c r="AG453" s="1" t="str">
        <f>IFERROR(__xludf.DUMMYFUNCTION("""COMPUTED_VALUE"""),"Rejected by city council")</f>
        <v>Rejected by city council</v>
      </c>
      <c r="AH453" s="1" t="str">
        <f>IFERROR(__xludf.DUMMYFUNCTION("""COMPUTED_VALUE"""),"Media Monitoring")</f>
        <v>Media Monitoring</v>
      </c>
      <c r="AI453" s="2" t="str">
        <f>IFERROR(__xludf.DUMMYFUNCTION("""COMPUTED_VALUE"""),"https://www.datacenterdynamics.com/en/news/oppidan-data-center-outside-minneapolis-rejected/")</f>
        <v>https://www.datacenterdynamics.com/en/news/oppidan-data-center-outside-minneapolis-rejected/</v>
      </c>
      <c r="AJ453" s="1" t="str">
        <f>IFERROR(__xludf.DUMMYFUNCTION("""COMPUTED_VALUE"""),"")</f>
        <v/>
      </c>
      <c r="AK453" s="1" t="str">
        <f>IFERROR(__xludf.DUMMYFUNCTION("""COMPUTED_VALUE"""),"")</f>
        <v/>
      </c>
      <c r="AL453" s="1" t="str">
        <f>IFERROR(__xludf.DUMMYFUNCTION("""COMPUTED_VALUE"""),"")</f>
        <v/>
      </c>
      <c r="AM453" s="1" t="str">
        <f>IFERROR(__xludf.DUMMYFUNCTION("""COMPUTED_VALUE"""),"")</f>
        <v/>
      </c>
      <c r="AN453" s="1" t="str">
        <f>IFERROR(__xludf.DUMMYFUNCTION("""COMPUTED_VALUE"""),"")</f>
        <v/>
      </c>
      <c r="AO453" s="1" t="str">
        <f>IFERROR(__xludf.DUMMYFUNCTION("""COMPUTED_VALUE"""),"")</f>
        <v/>
      </c>
      <c r="AP453" s="1" t="str">
        <f>IFERROR(__xludf.DUMMYFUNCTION("""COMPUTED_VALUE"""),"")</f>
        <v/>
      </c>
      <c r="AQ453" s="1" t="str">
        <f>IFERROR(__xludf.DUMMYFUNCTION("""COMPUTED_VALUE"""),"04/01/2026")</f>
        <v>04/01/2026</v>
      </c>
      <c r="AR453" s="1" t="str">
        <f>IFERROR(__xludf.DUMMYFUNCTION("""COMPUTED_VALUE"""),"04/01/2026")</f>
        <v>04/01/2026</v>
      </c>
    </row>
    <row r="454">
      <c r="A454" s="1" t="str">
        <f>IFERROR(__xludf.DUMMYFUNCTION("""COMPUTED_VALUE"""),"Thor Equities Data Center")</f>
        <v>Thor Equities Data Center</v>
      </c>
      <c r="B454" s="1" t="str">
        <f>IFERROR(__xludf.DUMMYFUNCTION("""COMPUTED_VALUE"""),"Between Milan-Oakville Rd and Arkona Rds")</f>
        <v>Between Milan-Oakville Rd and Arkona Rds</v>
      </c>
      <c r="C454" s="1" t="str">
        <f>IFERROR(__xludf.DUMMYFUNCTION("""COMPUTED_VALUE"""),"Augusta Township")</f>
        <v>Augusta Township</v>
      </c>
      <c r="D454" s="1" t="str">
        <f>IFERROR(__xludf.DUMMYFUNCTION("""COMPUTED_VALUE"""),"MI")</f>
        <v>MI</v>
      </c>
      <c r="E454" s="1" t="str">
        <f>IFERROR(__xludf.DUMMYFUNCTION("""COMPUTED_VALUE"""),"48160")</f>
        <v>48160</v>
      </c>
      <c r="F454" s="1" t="str">
        <f>IFERROR(__xludf.DUMMYFUNCTION("""COMPUTED_VALUE"""),"Washtenaw")</f>
        <v>Washtenaw</v>
      </c>
      <c r="G454" s="1" t="str">
        <f>IFERROR(__xludf.DUMMYFUNCTION("""COMPUTED_VALUE"""),"42.091705")</f>
        <v>42.091705</v>
      </c>
      <c r="H454" s="1" t="str">
        <f>IFERROR(__xludf.DUMMYFUNCTION("""COMPUTED_VALUE"""),"-83.63743")</f>
        <v>-83.63743</v>
      </c>
      <c r="I454" s="1" t="str">
        <f>IFERROR(__xludf.DUMMYFUNCTION("""COMPUTED_VALUE"""),"Proposed")</f>
        <v>Proposed</v>
      </c>
      <c r="J454" s="1" t="str">
        <f>IFERROR(__xludf.DUMMYFUNCTION("""COMPUTED_VALUE"""),"Medium")</f>
        <v>Medium</v>
      </c>
      <c r="K454" s="1" t="str">
        <f>IFERROR(__xludf.DUMMYFUNCTION("""COMPUTED_VALUE"""),"")</f>
        <v/>
      </c>
      <c r="L454" s="1" t="str">
        <f>IFERROR(__xludf.DUMMYFUNCTION("""COMPUTED_VALUE"""),"")</f>
        <v/>
      </c>
      <c r="M454" s="1" t="str">
        <f>IFERROR(__xludf.DUMMYFUNCTION("""COMPUTED_VALUE"""),"")</f>
        <v/>
      </c>
      <c r="N454" s="1" t="str">
        <f>IFERROR(__xludf.DUMMYFUNCTION("""COMPUTED_VALUE"""),"")</f>
        <v/>
      </c>
      <c r="O454" s="1" t="str">
        <f>IFERROR(__xludf.DUMMYFUNCTION("""COMPUTED_VALUE"""),"Hyperscale (100-999 MW)")</f>
        <v>Hyperscale (100-999 MW)</v>
      </c>
      <c r="P454" s="1" t="str">
        <f>IFERROR(__xludf.DUMMYFUNCTION("""COMPUTED_VALUE"""),"")</f>
        <v/>
      </c>
      <c r="Q454" s="1" t="str">
        <f>IFERROR(__xludf.DUMMYFUNCTION("""COMPUTED_VALUE"""),"")</f>
        <v/>
      </c>
      <c r="R454" s="1" t="str">
        <f>IFERROR(__xludf.DUMMYFUNCTION("""COMPUTED_VALUE"""),"")</f>
        <v/>
      </c>
      <c r="S454" s="1" t="str">
        <f>IFERROR(__xludf.DUMMYFUNCTION("""COMPUTED_VALUE"""),"5+")</f>
        <v>5+</v>
      </c>
      <c r="T454" s="1" t="str">
        <f>IFERROR(__xludf.DUMMYFUNCTION("""COMPUTED_VALUE"""),"")</f>
        <v/>
      </c>
      <c r="U454" s="1" t="str">
        <f>IFERROR(__xludf.DUMMYFUNCTION("""COMPUTED_VALUE"""),"")</f>
        <v/>
      </c>
      <c r="V454" s="1" t="str">
        <f>IFERROR(__xludf.DUMMYFUNCTION("""COMPUTED_VALUE"""),"")</f>
        <v/>
      </c>
      <c r="W454" s="1" t="str">
        <f>IFERROR(__xludf.DUMMYFUNCTION("""COMPUTED_VALUE"""),"822")</f>
        <v>822</v>
      </c>
      <c r="X454" s="1" t="str">
        <f>IFERROR(__xludf.DUMMYFUNCTION("""COMPUTED_VALUE"""),"$1 billion")</f>
        <v>$1 billion</v>
      </c>
      <c r="Y454" s="1" t="str">
        <f>IFERROR(__xludf.DUMMYFUNCTION("""COMPUTED_VALUE"""),"")</f>
        <v/>
      </c>
      <c r="Z454" s="1" t="str">
        <f>IFERROR(__xludf.DUMMYFUNCTION("""COMPUTED_VALUE"""),"Yes")</f>
        <v>Yes</v>
      </c>
      <c r="AA454" s="1" t="str">
        <f>IFERROR(__xludf.DUMMYFUNCTION("""COMPUTED_VALUE"""),"")</f>
        <v/>
      </c>
      <c r="AB454" s="1" t="str">
        <f>IFERROR(__xludf.DUMMYFUNCTION("""COMPUTED_VALUE"""),"")</f>
        <v/>
      </c>
      <c r="AC454" s="1" t="str">
        <f>IFERROR(__xludf.DUMMYFUNCTION("""COMPUTED_VALUE"""),"")</f>
        <v/>
      </c>
      <c r="AD454" s="1" t="str">
        <f>IFERROR(__xludf.DUMMYFUNCTION("""COMPUTED_VALUE"""),"")</f>
        <v/>
      </c>
      <c r="AE454" s="1" t="str">
        <f>IFERROR(__xludf.DUMMYFUNCTION("""COMPUTED_VALUE"""),"")</f>
        <v/>
      </c>
      <c r="AF454" s="1" t="str">
        <f>IFERROR(__xludf.DUMMYFUNCTION("""COMPUTED_VALUE"""),"")</f>
        <v/>
      </c>
      <c r="AG454" s="1" t="str">
        <f>IFERROR(__xludf.DUMMYFUNCTION("""COMPUTED_VALUE"""),"")</f>
        <v/>
      </c>
      <c r="AH454" s="1" t="str">
        <f>IFERROR(__xludf.DUMMYFUNCTION("""COMPUTED_VALUE"""),"Media Monitoring")</f>
        <v>Media Monitoring</v>
      </c>
      <c r="AI454" s="2" t="str">
        <f>IFERROR(__xludf.DUMMYFUNCTION("""COMPUTED_VALUE"""),"https://www.mlive.com/news/ann-arbor/2025/07/farmland-rezoned-for-proposed-1b-data-center-in-southeast-washtenaw-county.html")</f>
        <v>https://www.mlive.com/news/ann-arbor/2025/07/farmland-rezoned-for-proposed-1b-data-center-in-southeast-washtenaw-county.html</v>
      </c>
      <c r="AJ454" s="2" t="str">
        <f>IFERROR(__xludf.DUMMYFUNCTION("""COMPUTED_VALUE"""),"https://www.datacenterdynamics.com/en/news/local-officials-recommend-denial-of-thor-equities-data-center-in-michigan/")</f>
        <v>https://www.datacenterdynamics.com/en/news/local-officials-recommend-denial-of-thor-equities-data-center-in-michigan/</v>
      </c>
      <c r="AK454" s="2" t="str">
        <f>IFERROR(__xludf.DUMMYFUNCTION("""COMPUTED_VALUE"""),"https://augustatownship.org/wp-content/uploads/2025/05/Data_Center_Review.pdf")</f>
        <v>https://augustatownship.org/wp-content/uploads/2025/05/Data_Center_Review.pdf</v>
      </c>
      <c r="AL454" s="2" t="str">
        <f>IFERROR(__xludf.DUMMYFUNCTION("""COMPUTED_VALUE"""),"https://bridgemi.com/michigan-environment-watch/tiny-michigan-town-hopes-to-stop-data-center-with-ballot-initiative/")</f>
        <v>https://bridgemi.com/michigan-environment-watch/tiny-michigan-town-hopes-to-stop-data-center-with-ballot-initiative/</v>
      </c>
      <c r="AM454" s="1" t="str">
        <f>IFERROR(__xludf.DUMMYFUNCTION("""COMPUTED_VALUE"""),"")</f>
        <v/>
      </c>
      <c r="AN454" s="1" t="str">
        <f>IFERROR(__xludf.DUMMYFUNCTION("""COMPUTED_VALUE"""),"")</f>
        <v/>
      </c>
      <c r="AO454" s="1" t="str">
        <f>IFERROR(__xludf.DUMMYFUNCTION("""COMPUTED_VALUE"""),"")</f>
        <v/>
      </c>
      <c r="AP454" s="1" t="str">
        <f>IFERROR(__xludf.DUMMYFUNCTION("""COMPUTED_VALUE"""),"")</f>
        <v/>
      </c>
      <c r="AQ454" s="1" t="str">
        <f>IFERROR(__xludf.DUMMYFUNCTION("""COMPUTED_VALUE"""),"11/16/2025")</f>
        <v>11/16/2025</v>
      </c>
      <c r="AR454" s="1" t="str">
        <f>IFERROR(__xludf.DUMMYFUNCTION("""COMPUTED_VALUE"""),"11/16/2025")</f>
        <v>11/16/2025</v>
      </c>
    </row>
    <row r="455">
      <c r="A455" s="1" t="str">
        <f>IFERROR(__xludf.DUMMYFUNCTION("""COMPUTED_VALUE"""),"US Signal Data Center")</f>
        <v>US Signal Data Center</v>
      </c>
      <c r="B455" s="1" t="str">
        <f>IFERROR(__xludf.DUMMYFUNCTION("""COMPUTED_VALUE"""),"9275 Haggerty Road")</f>
        <v>9275 Haggerty Road</v>
      </c>
      <c r="C455" s="1" t="str">
        <f>IFERROR(__xludf.DUMMYFUNCTION("""COMPUTED_VALUE"""),"Belleville")</f>
        <v>Belleville</v>
      </c>
      <c r="D455" s="1" t="str">
        <f>IFERROR(__xludf.DUMMYFUNCTION("""COMPUTED_VALUE"""),"MI")</f>
        <v>MI</v>
      </c>
      <c r="E455" s="1" t="str">
        <f>IFERROR(__xludf.DUMMYFUNCTION("""COMPUTED_VALUE"""),"48111")</f>
        <v>48111</v>
      </c>
      <c r="F455" s="1" t="str">
        <f>IFERROR(__xludf.DUMMYFUNCTION("""COMPUTED_VALUE"""),"Wayne")</f>
        <v>Wayne</v>
      </c>
      <c r="G455" s="1" t="str">
        <f>IFERROR(__xludf.DUMMYFUNCTION("""COMPUTED_VALUE"""),"42.23536")</f>
        <v>42.23536</v>
      </c>
      <c r="H455" s="1" t="str">
        <f>IFERROR(__xludf.DUMMYFUNCTION("""COMPUTED_VALUE"""),"-83.4441")</f>
        <v>-83.4441</v>
      </c>
      <c r="I455" s="1" t="str">
        <f>IFERROR(__xludf.DUMMYFUNCTION("""COMPUTED_VALUE"""),"Expanding")</f>
        <v>Expanding</v>
      </c>
      <c r="J455" s="1" t="str">
        <f>IFERROR(__xludf.DUMMYFUNCTION("""COMPUTED_VALUE"""),"High")</f>
        <v>High</v>
      </c>
      <c r="K455" s="1" t="str">
        <f>IFERROR(__xludf.DUMMYFUNCTION("""COMPUTED_VALUE"""),"")</f>
        <v/>
      </c>
      <c r="L455" s="1" t="str">
        <f>IFERROR(__xludf.DUMMYFUNCTION("""COMPUTED_VALUE"""),"")</f>
        <v/>
      </c>
      <c r="M455" s="1" t="str">
        <f>IFERROR(__xludf.DUMMYFUNCTION("""COMPUTED_VALUE"""),"")</f>
        <v/>
      </c>
      <c r="N455" s="1" t="str">
        <f>IFERROR(__xludf.DUMMYFUNCTION("""COMPUTED_VALUE"""),"1.5")</f>
        <v>1.5</v>
      </c>
      <c r="O455" s="1" t="str">
        <f>IFERROR(__xludf.DUMMYFUNCTION("""COMPUTED_VALUE"""),"Small (0-10 MW)")</f>
        <v>Small (0-10 MW)</v>
      </c>
      <c r="P455" s="1" t="str">
        <f>IFERROR(__xludf.DUMMYFUNCTION("""COMPUTED_VALUE"""),"")</f>
        <v/>
      </c>
      <c r="Q455" s="1" t="str">
        <f>IFERROR(__xludf.DUMMYFUNCTION("""COMPUTED_VALUE"""),"")</f>
        <v/>
      </c>
      <c r="R455" s="1" t="str">
        <f>IFERROR(__xludf.DUMMYFUNCTION("""COMPUTED_VALUE"""),"")</f>
        <v/>
      </c>
      <c r="S455" s="1" t="str">
        <f>IFERROR(__xludf.DUMMYFUNCTION("""COMPUTED_VALUE"""),"")</f>
        <v/>
      </c>
      <c r="T455" s="1" t="str">
        <f>IFERROR(__xludf.DUMMYFUNCTION("""COMPUTED_VALUE"""),"")</f>
        <v/>
      </c>
      <c r="U455" s="1" t="str">
        <f>IFERROR(__xludf.DUMMYFUNCTION("""COMPUTED_VALUE"""),"")</f>
        <v/>
      </c>
      <c r="V455" s="1" t="str">
        <f>IFERROR(__xludf.DUMMYFUNCTION("""COMPUTED_VALUE"""),"87,100")</f>
        <v>87,100</v>
      </c>
      <c r="W455" s="1" t="str">
        <f>IFERROR(__xludf.DUMMYFUNCTION("""COMPUTED_VALUE"""),"")</f>
        <v/>
      </c>
      <c r="X455" s="1" t="str">
        <f>IFERROR(__xludf.DUMMYFUNCTION("""COMPUTED_VALUE"""),"")</f>
        <v/>
      </c>
      <c r="Y455" s="1" t="str">
        <f>IFERROR(__xludf.DUMMYFUNCTION("""COMPUTED_VALUE"""),"")</f>
        <v/>
      </c>
      <c r="Z455" s="1" t="str">
        <f>IFERROR(__xludf.DUMMYFUNCTION("""COMPUTED_VALUE"""),"Unknown")</f>
        <v>Unknown</v>
      </c>
      <c r="AA455" s="1" t="str">
        <f>IFERROR(__xludf.DUMMYFUNCTION("""COMPUTED_VALUE"""),"")</f>
        <v/>
      </c>
      <c r="AB455" s="1" t="str">
        <f>IFERROR(__xludf.DUMMYFUNCTION("""COMPUTED_VALUE"""),"")</f>
        <v/>
      </c>
      <c r="AC455" s="1" t="str">
        <f>IFERROR(__xludf.DUMMYFUNCTION("""COMPUTED_VALUE"""),"")</f>
        <v/>
      </c>
      <c r="AD455" s="1" t="str">
        <f>IFERROR(__xludf.DUMMYFUNCTION("""COMPUTED_VALUE"""),"")</f>
        <v/>
      </c>
      <c r="AE455" s="1" t="str">
        <f>IFERROR(__xludf.DUMMYFUNCTION("""COMPUTED_VALUE"""),"")</f>
        <v/>
      </c>
      <c r="AF455" s="1" t="str">
        <f>IFERROR(__xludf.DUMMYFUNCTION("""COMPUTED_VALUE"""),"")</f>
        <v/>
      </c>
      <c r="AG455" s="1" t="str">
        <f>IFERROR(__xludf.DUMMYFUNCTION("""COMPUTED_VALUE"""),"Purported to add 3MW of commercial power")</f>
        <v>Purported to add 3MW of commercial power</v>
      </c>
      <c r="AH455" s="1" t="str">
        <f>IFERROR(__xludf.DUMMYFUNCTION("""COMPUTED_VALUE"""),"Media Monitoring")</f>
        <v>Media Monitoring</v>
      </c>
      <c r="AI455" s="2" t="str">
        <f>IFERROR(__xludf.DUMMYFUNCTION("""COMPUTED_VALUE"""),"https://www.datacenterdynamics.com/en/news/us-signal-to-expand-capacity-at-data-centers-in-michigan-detroit/")</f>
        <v>https://www.datacenterdynamics.com/en/news/us-signal-to-expand-capacity-at-data-centers-in-michigan-detroit/</v>
      </c>
      <c r="AJ455" s="2" t="str">
        <f>IFERROR(__xludf.DUMMYFUNCTION("""COMPUTED_VALUE"""),"https://ussignal.com/data-centers/mi03-detroit/")</f>
        <v>https://ussignal.com/data-centers/mi03-detroit/</v>
      </c>
      <c r="AK455" s="2" t="str">
        <f>IFERROR(__xludf.DUMMYFUNCTION("""COMPUTED_VALUE"""),"https://www.datacenterdynamics.com/en/news/panattoni-looks-to-develop-1gw-data-center-campus-outside-detroit-michigan/")</f>
        <v>https://www.datacenterdynamics.com/en/news/panattoni-looks-to-develop-1gw-data-center-campus-outside-detroit-michigan/</v>
      </c>
      <c r="AL455" s="1" t="str">
        <f>IFERROR(__xludf.DUMMYFUNCTION("""COMPUTED_VALUE"""),"")</f>
        <v/>
      </c>
      <c r="AM455" s="1" t="str">
        <f>IFERROR(__xludf.DUMMYFUNCTION("""COMPUTED_VALUE"""),"")</f>
        <v/>
      </c>
      <c r="AN455" s="1" t="str">
        <f>IFERROR(__xludf.DUMMYFUNCTION("""COMPUTED_VALUE"""),"")</f>
        <v/>
      </c>
      <c r="AO455" s="1" t="str">
        <f>IFERROR(__xludf.DUMMYFUNCTION("""COMPUTED_VALUE"""),"")</f>
        <v/>
      </c>
      <c r="AP455" s="1" t="str">
        <f>IFERROR(__xludf.DUMMYFUNCTION("""COMPUTED_VALUE"""),"")</f>
        <v/>
      </c>
      <c r="AQ455" s="1" t="str">
        <f>IFERROR(__xludf.DUMMYFUNCTION("""COMPUTED_VALUE"""),"06/09/2025")</f>
        <v>06/09/2025</v>
      </c>
      <c r="AR455" s="1" t="str">
        <f>IFERROR(__xludf.DUMMYFUNCTION("""COMPUTED_VALUE"""),"01/08/2026")</f>
        <v>01/08/2026</v>
      </c>
    </row>
    <row r="456">
      <c r="A456" s="1" t="str">
        <f>IFERROR(__xludf.DUMMYFUNCTION("""COMPUTED_VALUE"""),"Microsoft Caledonia Data Center")</f>
        <v>Microsoft Caledonia Data Center</v>
      </c>
      <c r="B456" s="1" t="str">
        <f>IFERROR(__xludf.DUMMYFUNCTION("""COMPUTED_VALUE"""),"4100 68th St SE")</f>
        <v>4100 68th St SE</v>
      </c>
      <c r="C456" s="1" t="str">
        <f>IFERROR(__xludf.DUMMYFUNCTION("""COMPUTED_VALUE"""),"Caledonia")</f>
        <v>Caledonia</v>
      </c>
      <c r="D456" s="1" t="str">
        <f>IFERROR(__xludf.DUMMYFUNCTION("""COMPUTED_VALUE"""),"MI")</f>
        <v>MI</v>
      </c>
      <c r="E456" s="1" t="str">
        <f>IFERROR(__xludf.DUMMYFUNCTION("""COMPUTED_VALUE"""),"49316")</f>
        <v>49316</v>
      </c>
      <c r="F456" s="1" t="str">
        <f>IFERROR(__xludf.DUMMYFUNCTION("""COMPUTED_VALUE"""),"Kent")</f>
        <v>Kent</v>
      </c>
      <c r="G456" s="1" t="str">
        <f>IFERROR(__xludf.DUMMYFUNCTION("""COMPUTED_VALUE"""),"42.839203")</f>
        <v>42.839203</v>
      </c>
      <c r="H456" s="1" t="str">
        <f>IFERROR(__xludf.DUMMYFUNCTION("""COMPUTED_VALUE"""),"-85.56194")</f>
        <v>-85.56194</v>
      </c>
      <c r="I456" s="1" t="str">
        <f>IFERROR(__xludf.DUMMYFUNCTION("""COMPUTED_VALUE"""),"Proposed")</f>
        <v>Proposed</v>
      </c>
      <c r="J456" s="1" t="str">
        <f>IFERROR(__xludf.DUMMYFUNCTION("""COMPUTED_VALUE"""),"High")</f>
        <v>High</v>
      </c>
      <c r="K456" s="1" t="str">
        <f>IFERROR(__xludf.DUMMYFUNCTION("""COMPUTED_VALUE"""),"")</f>
        <v/>
      </c>
      <c r="L456" s="1" t="str">
        <f>IFERROR(__xludf.DUMMYFUNCTION("""COMPUTED_VALUE"""),"Microsoft")</f>
        <v>Microsoft</v>
      </c>
      <c r="M456" s="1" t="str">
        <f>IFERROR(__xludf.DUMMYFUNCTION("""COMPUTED_VALUE"""),"")</f>
        <v/>
      </c>
      <c r="N456" s="1" t="str">
        <f>IFERROR(__xludf.DUMMYFUNCTION("""COMPUTED_VALUE"""),"")</f>
        <v/>
      </c>
      <c r="O456" s="1" t="str">
        <f>IFERROR(__xludf.DUMMYFUNCTION("""COMPUTED_VALUE"""),"Unknown")</f>
        <v>Unknown</v>
      </c>
      <c r="P456" s="1" t="str">
        <f>IFERROR(__xludf.DUMMYFUNCTION("""COMPUTED_VALUE"""),"")</f>
        <v/>
      </c>
      <c r="Q456" s="1" t="str">
        <f>IFERROR(__xludf.DUMMYFUNCTION("""COMPUTED_VALUE"""),"")</f>
        <v/>
      </c>
      <c r="R456" s="1" t="str">
        <f>IFERROR(__xludf.DUMMYFUNCTION("""COMPUTED_VALUE"""),"")</f>
        <v/>
      </c>
      <c r="S456" s="1" t="str">
        <f>IFERROR(__xludf.DUMMYFUNCTION("""COMPUTED_VALUE"""),"")</f>
        <v/>
      </c>
      <c r="T456" s="1" t="str">
        <f>IFERROR(__xludf.DUMMYFUNCTION("""COMPUTED_VALUE"""),"")</f>
        <v/>
      </c>
      <c r="U456" s="1" t="str">
        <f>IFERROR(__xludf.DUMMYFUNCTION("""COMPUTED_VALUE"""),"")</f>
        <v/>
      </c>
      <c r="V456" s="1" t="str">
        <f>IFERROR(__xludf.DUMMYFUNCTION("""COMPUTED_VALUE"""),"")</f>
        <v/>
      </c>
      <c r="W456" s="1" t="str">
        <f>IFERROR(__xludf.DUMMYFUNCTION("""COMPUTED_VALUE"""),"414")</f>
        <v>414</v>
      </c>
      <c r="X456" s="1" t="str">
        <f>IFERROR(__xludf.DUMMYFUNCTION("""COMPUTED_VALUE"""),"")</f>
        <v/>
      </c>
      <c r="Y456" s="1" t="str">
        <f>IFERROR(__xludf.DUMMYFUNCTION("""COMPUTED_VALUE"""),"")</f>
        <v/>
      </c>
      <c r="Z456" s="1" t="str">
        <f>IFERROR(__xludf.DUMMYFUNCTION("""COMPUTED_VALUE"""),"Unknown")</f>
        <v>Unknown</v>
      </c>
      <c r="AA456" s="1" t="str">
        <f>IFERROR(__xludf.DUMMYFUNCTION("""COMPUTED_VALUE"""),"")</f>
        <v/>
      </c>
      <c r="AB456" s="1" t="str">
        <f>IFERROR(__xludf.DUMMYFUNCTION("""COMPUTED_VALUE"""),"")</f>
        <v/>
      </c>
      <c r="AC456" s="1" t="str">
        <f>IFERROR(__xludf.DUMMYFUNCTION("""COMPUTED_VALUE"""),"")</f>
        <v/>
      </c>
      <c r="AD456" s="1" t="str">
        <f>IFERROR(__xludf.DUMMYFUNCTION("""COMPUTED_VALUE"""),"")</f>
        <v/>
      </c>
      <c r="AE456" s="1" t="str">
        <f>IFERROR(__xludf.DUMMYFUNCTION("""COMPUTED_VALUE"""),"")</f>
        <v/>
      </c>
      <c r="AF456" s="1" t="str">
        <f>IFERROR(__xludf.DUMMYFUNCTION("""COMPUTED_VALUE"""),"")</f>
        <v/>
      </c>
      <c r="AG456" s="1" t="str">
        <f>IFERROR(__xludf.DUMMYFUNCTION("""COMPUTED_VALUE"""),"")</f>
        <v/>
      </c>
      <c r="AH456" s="1" t="str">
        <f>IFERROR(__xludf.DUMMYFUNCTION("""COMPUTED_VALUE"""),"Media Monitoring")</f>
        <v>Media Monitoring</v>
      </c>
      <c r="AI456" s="2" t="str">
        <f>IFERROR(__xludf.DUMMYFUNCTION("""COMPUTED_VALUE"""),"https://www.datacenterdynamics.com/en/news/microsoft-looks-to-buy-578-additional-acres-in-gaines-township-michigan/")</f>
        <v>https://www.datacenterdynamics.com/en/news/microsoft-looks-to-buy-578-additional-acres-in-gaines-township-michigan/</v>
      </c>
      <c r="AJ456" s="1" t="str">
        <f>IFERROR(__xludf.DUMMYFUNCTION("""COMPUTED_VALUE"""),"")</f>
        <v/>
      </c>
      <c r="AK456" s="1" t="str">
        <f>IFERROR(__xludf.DUMMYFUNCTION("""COMPUTED_VALUE"""),"")</f>
        <v/>
      </c>
      <c r="AL456" s="1" t="str">
        <f>IFERROR(__xludf.DUMMYFUNCTION("""COMPUTED_VALUE"""),"")</f>
        <v/>
      </c>
      <c r="AM456" s="1" t="str">
        <f>IFERROR(__xludf.DUMMYFUNCTION("""COMPUTED_VALUE"""),"")</f>
        <v/>
      </c>
      <c r="AN456" s="1" t="str">
        <f>IFERROR(__xludf.DUMMYFUNCTION("""COMPUTED_VALUE"""),"")</f>
        <v/>
      </c>
      <c r="AO456" s="1" t="str">
        <f>IFERROR(__xludf.DUMMYFUNCTION("""COMPUTED_VALUE"""),"")</f>
        <v/>
      </c>
      <c r="AP456" s="1" t="str">
        <f>IFERROR(__xludf.DUMMYFUNCTION("""COMPUTED_VALUE"""),"")</f>
        <v/>
      </c>
      <c r="AQ456" s="1" t="str">
        <f>IFERROR(__xludf.DUMMYFUNCTION("""COMPUTED_VALUE"""),"04/02/2026")</f>
        <v>04/02/2026</v>
      </c>
      <c r="AR456" s="1" t="str">
        <f>IFERROR(__xludf.DUMMYFUNCTION("""COMPUTED_VALUE"""),"04/02/2026")</f>
        <v>04/02/2026</v>
      </c>
    </row>
    <row r="457">
      <c r="A457" s="1" t="str">
        <f>IFERROR(__xludf.DUMMYFUNCTION("""COMPUTED_VALUE"""),"Switch Pyramid Data Center")</f>
        <v>Switch Pyramid Data Center</v>
      </c>
      <c r="B457" s="1" t="str">
        <f>IFERROR(__xludf.DUMMYFUNCTION("""COMPUTED_VALUE"""),"6100 E Paris Ave SE")</f>
        <v>6100 E Paris Ave SE</v>
      </c>
      <c r="C457" s="1" t="str">
        <f>IFERROR(__xludf.DUMMYFUNCTION("""COMPUTED_VALUE"""),"Caledonia")</f>
        <v>Caledonia</v>
      </c>
      <c r="D457" s="1" t="str">
        <f>IFERROR(__xludf.DUMMYFUNCTION("""COMPUTED_VALUE"""),"MI")</f>
        <v>MI</v>
      </c>
      <c r="E457" s="1" t="str">
        <f>IFERROR(__xludf.DUMMYFUNCTION("""COMPUTED_VALUE"""),"49316")</f>
        <v>49316</v>
      </c>
      <c r="F457" s="1" t="str">
        <f>IFERROR(__xludf.DUMMYFUNCTION("""COMPUTED_VALUE"""),"Kent")</f>
        <v>Kent</v>
      </c>
      <c r="G457" s="1" t="str">
        <f>IFERROR(__xludf.DUMMYFUNCTION("""COMPUTED_VALUE"""),"42.852547")</f>
        <v>42.852547</v>
      </c>
      <c r="H457" s="1" t="str">
        <f>IFERROR(__xludf.DUMMYFUNCTION("""COMPUTED_VALUE"""),"-85.560104")</f>
        <v>-85.560104</v>
      </c>
      <c r="I457" s="1" t="str">
        <f>IFERROR(__xludf.DUMMYFUNCTION("""COMPUTED_VALUE"""),"Approved/Permitted/Under construction")</f>
        <v>Approved/Permitted/Under construction</v>
      </c>
      <c r="J457" s="1" t="str">
        <f>IFERROR(__xludf.DUMMYFUNCTION("""COMPUTED_VALUE"""),"High")</f>
        <v>High</v>
      </c>
      <c r="K457" s="1" t="str">
        <f>IFERROR(__xludf.DUMMYFUNCTION("""COMPUTED_VALUE"""),"")</f>
        <v/>
      </c>
      <c r="L457" s="1" t="str">
        <f>IFERROR(__xludf.DUMMYFUNCTION("""COMPUTED_VALUE"""),"Switch")</f>
        <v>Switch</v>
      </c>
      <c r="M457" s="1" t="str">
        <f>IFERROR(__xludf.DUMMYFUNCTION("""COMPUTED_VALUE"""),"")</f>
        <v/>
      </c>
      <c r="N457" s="1" t="str">
        <f>IFERROR(__xludf.DUMMYFUNCTION("""COMPUTED_VALUE"""),"320")</f>
        <v>320</v>
      </c>
      <c r="O457" s="1" t="str">
        <f>IFERROR(__xludf.DUMMYFUNCTION("""COMPUTED_VALUE"""),"Hyperscale (100-999 MW)")</f>
        <v>Hyperscale (100-999 MW)</v>
      </c>
      <c r="P457" s="1" t="str">
        <f>IFERROR(__xludf.DUMMYFUNCTION("""COMPUTED_VALUE"""),"")</f>
        <v/>
      </c>
      <c r="Q457" s="1" t="str">
        <f>IFERROR(__xludf.DUMMYFUNCTION("""COMPUTED_VALUE"""),"")</f>
        <v/>
      </c>
      <c r="R457" s="1" t="str">
        <f>IFERROR(__xludf.DUMMYFUNCTION("""COMPUTED_VALUE"""),"")</f>
        <v/>
      </c>
      <c r="S457" s="1" t="str">
        <f>IFERROR(__xludf.DUMMYFUNCTION("""COMPUTED_VALUE"""),"3")</f>
        <v>3</v>
      </c>
      <c r="T457" s="1" t="str">
        <f>IFERROR(__xludf.DUMMYFUNCTION("""COMPUTED_VALUE"""),"")</f>
        <v/>
      </c>
      <c r="U457" s="1" t="str">
        <f>IFERROR(__xludf.DUMMYFUNCTION("""COMPUTED_VALUE"""),"")</f>
        <v/>
      </c>
      <c r="V457" s="1" t="str">
        <f>IFERROR(__xludf.DUMMYFUNCTION("""COMPUTED_VALUE"""),"1,800,000")</f>
        <v>1,800,000</v>
      </c>
      <c r="W457" s="1" t="str">
        <f>IFERROR(__xludf.DUMMYFUNCTION("""COMPUTED_VALUE"""),"")</f>
        <v/>
      </c>
      <c r="X457" s="1" t="str">
        <f>IFERROR(__xludf.DUMMYFUNCTION("""COMPUTED_VALUE"""),"$5 billion")</f>
        <v>$5 billion</v>
      </c>
      <c r="Y457" s="1" t="str">
        <f>IFERROR(__xludf.DUMMYFUNCTION("""COMPUTED_VALUE"""),"")</f>
        <v/>
      </c>
      <c r="Z457" s="1" t="str">
        <f>IFERROR(__xludf.DUMMYFUNCTION("""COMPUTED_VALUE"""),"Unknown")</f>
        <v>Unknown</v>
      </c>
      <c r="AA457" s="1" t="str">
        <f>IFERROR(__xludf.DUMMYFUNCTION("""COMPUTED_VALUE"""),"")</f>
        <v/>
      </c>
      <c r="AB457" s="1" t="str">
        <f>IFERROR(__xludf.DUMMYFUNCTION("""COMPUTED_VALUE"""),"")</f>
        <v/>
      </c>
      <c r="AC457" s="1" t="str">
        <f>IFERROR(__xludf.DUMMYFUNCTION("""COMPUTED_VALUE"""),"")</f>
        <v/>
      </c>
      <c r="AD457" s="1" t="str">
        <f>IFERROR(__xludf.DUMMYFUNCTION("""COMPUTED_VALUE"""),"")</f>
        <v/>
      </c>
      <c r="AE457" s="1" t="str">
        <f>IFERROR(__xludf.DUMMYFUNCTION("""COMPUTED_VALUE"""),"")</f>
        <v/>
      </c>
      <c r="AF457" s="1" t="str">
        <f>IFERROR(__xludf.DUMMYFUNCTION("""COMPUTED_VALUE"""),"")</f>
        <v/>
      </c>
      <c r="AG457" s="1" t="str">
        <f>IFERROR(__xludf.DUMMYFUNCTION("""COMPUTED_VALUE"""),"Expanding; adding third building")</f>
        <v>Expanding; adding third building</v>
      </c>
      <c r="AH457" s="1" t="str">
        <f>IFERROR(__xludf.DUMMYFUNCTION("""COMPUTED_VALUE"""),"Crowdsourced")</f>
        <v>Crowdsourced</v>
      </c>
      <c r="AI457" s="2" t="str">
        <f>IFERROR(__xludf.DUMMYFUNCTION("""COMPUTED_VALUE"""),"https://www.datacenterdynamics.com/en/news/switch-plans-second-expansion-of-pyramid-data-center-campus-in-grand-rapids-michigan/")</f>
        <v>https://www.datacenterdynamics.com/en/news/switch-plans-second-expansion-of-pyramid-data-center-campus-in-grand-rapids-michigan/</v>
      </c>
      <c r="AJ457" s="1" t="str">
        <f>IFERROR(__xludf.DUMMYFUNCTION("""COMPUTED_VALUE"""),"")</f>
        <v/>
      </c>
      <c r="AK457" s="1" t="str">
        <f>IFERROR(__xludf.DUMMYFUNCTION("""COMPUTED_VALUE"""),"")</f>
        <v/>
      </c>
      <c r="AL457" s="1" t="str">
        <f>IFERROR(__xludf.DUMMYFUNCTION("""COMPUTED_VALUE"""),"")</f>
        <v/>
      </c>
      <c r="AM457" s="1" t="str">
        <f>IFERROR(__xludf.DUMMYFUNCTION("""COMPUTED_VALUE"""),"")</f>
        <v/>
      </c>
      <c r="AN457" s="1" t="str">
        <f>IFERROR(__xludf.DUMMYFUNCTION("""COMPUTED_VALUE"""),"")</f>
        <v/>
      </c>
      <c r="AO457" s="1" t="str">
        <f>IFERROR(__xludf.DUMMYFUNCTION("""COMPUTED_VALUE"""),"")</f>
        <v/>
      </c>
      <c r="AP457" s="1" t="str">
        <f>IFERROR(__xludf.DUMMYFUNCTION("""COMPUTED_VALUE"""),"")</f>
        <v/>
      </c>
      <c r="AQ457" s="1" t="str">
        <f>IFERROR(__xludf.DUMMYFUNCTION("""COMPUTED_VALUE"""),"12/10/2025")</f>
        <v>12/10/2025</v>
      </c>
      <c r="AR457" s="1" t="str">
        <f>IFERROR(__xludf.DUMMYFUNCTION("""COMPUTED_VALUE"""),"12/10/2025")</f>
        <v>12/10/2025</v>
      </c>
    </row>
    <row r="458">
      <c r="A458" s="1" t="str">
        <f>IFERROR(__xludf.DUMMYFUNCTION("""COMPUTED_VALUE"""),"""Project Peninsula"" Data Center")</f>
        <v>"Project Peninsula" Data Center</v>
      </c>
      <c r="B458" s="1" t="str">
        <f>IFERROR(__xludf.DUMMYFUNCTION("""COMPUTED_VALUE"""),"near US-131 and 17 Mile Rd")</f>
        <v>near US-131 and 17 Mile Rd</v>
      </c>
      <c r="C458" s="1" t="str">
        <f>IFERROR(__xludf.DUMMYFUNCTION("""COMPUTED_VALUE"""),"Cedar Springs")</f>
        <v>Cedar Springs</v>
      </c>
      <c r="D458" s="1" t="str">
        <f>IFERROR(__xludf.DUMMYFUNCTION("""COMPUTED_VALUE"""),"MI")</f>
        <v>MI</v>
      </c>
      <c r="E458" s="1" t="str">
        <f>IFERROR(__xludf.DUMMYFUNCTION("""COMPUTED_VALUE"""),"49319")</f>
        <v>49319</v>
      </c>
      <c r="F458" s="1" t="str">
        <f>IFERROR(__xludf.DUMMYFUNCTION("""COMPUTED_VALUE"""),"Kent")</f>
        <v>Kent</v>
      </c>
      <c r="G458" s="1" t="str">
        <f>IFERROR(__xludf.DUMMYFUNCTION("""COMPUTED_VALUE"""),"43.207657")</f>
        <v>43.207657</v>
      </c>
      <c r="H458" s="1" t="str">
        <f>IFERROR(__xludf.DUMMYFUNCTION("""COMPUTED_VALUE"""),"-85.595345")</f>
        <v>-85.595345</v>
      </c>
      <c r="I458" s="1" t="str">
        <f>IFERROR(__xludf.DUMMYFUNCTION("""COMPUTED_VALUE"""),"Proposed")</f>
        <v>Proposed</v>
      </c>
      <c r="J458" s="1" t="str">
        <f>IFERROR(__xludf.DUMMYFUNCTION("""COMPUTED_VALUE"""),"")</f>
        <v/>
      </c>
      <c r="K458" s="1" t="str">
        <f>IFERROR(__xludf.DUMMYFUNCTION("""COMPUTED_VALUE"""),"")</f>
        <v/>
      </c>
      <c r="L458" s="1" t="str">
        <f>IFERROR(__xludf.DUMMYFUNCTION("""COMPUTED_VALUE"""),"Venerly LLC?")</f>
        <v>Venerly LLC?</v>
      </c>
      <c r="M458" s="1" t="str">
        <f>IFERROR(__xludf.DUMMYFUNCTION("""COMPUTED_VALUE"""),"")</f>
        <v/>
      </c>
      <c r="N458" s="1" t="str">
        <f>IFERROR(__xludf.DUMMYFUNCTION("""COMPUTED_VALUE"""),"")</f>
        <v/>
      </c>
      <c r="O458" s="1" t="str">
        <f>IFERROR(__xludf.DUMMYFUNCTION("""COMPUTED_VALUE"""),"Unknown")</f>
        <v>Unknown</v>
      </c>
      <c r="P458" s="1" t="str">
        <f>IFERROR(__xludf.DUMMYFUNCTION("""COMPUTED_VALUE"""),"")</f>
        <v/>
      </c>
      <c r="Q458" s="1" t="str">
        <f>IFERROR(__xludf.DUMMYFUNCTION("""COMPUTED_VALUE"""),"")</f>
        <v/>
      </c>
      <c r="R458" s="1" t="str">
        <f>IFERROR(__xludf.DUMMYFUNCTION("""COMPUTED_VALUE"""),"")</f>
        <v/>
      </c>
      <c r="S458" s="1" t="str">
        <f>IFERROR(__xludf.DUMMYFUNCTION("""COMPUTED_VALUE"""),"")</f>
        <v/>
      </c>
      <c r="T458" s="1" t="str">
        <f>IFERROR(__xludf.DUMMYFUNCTION("""COMPUTED_VALUE"""),"")</f>
        <v/>
      </c>
      <c r="U458" s="1" t="str">
        <f>IFERROR(__xludf.DUMMYFUNCTION("""COMPUTED_VALUE"""),"")</f>
        <v/>
      </c>
      <c r="V458" s="1" t="str">
        <f>IFERROR(__xludf.DUMMYFUNCTION("""COMPUTED_VALUE"""),"800,000")</f>
        <v>800,000</v>
      </c>
      <c r="W458" s="1" t="str">
        <f>IFERROR(__xludf.DUMMYFUNCTION("""COMPUTED_VALUE"""),"800")</f>
        <v>800</v>
      </c>
      <c r="X458" s="1" t="str">
        <f>IFERROR(__xludf.DUMMYFUNCTION("""COMPUTED_VALUE"""),"$1 billion")</f>
        <v>$1 billion</v>
      </c>
      <c r="Y458" s="1" t="str">
        <f>IFERROR(__xludf.DUMMYFUNCTION("""COMPUTED_VALUE"""),"")</f>
        <v/>
      </c>
      <c r="Z458" s="1" t="str">
        <f>IFERROR(__xludf.DUMMYFUNCTION("""COMPUTED_VALUE"""),"Unknown")</f>
        <v>Unknown</v>
      </c>
      <c r="AA458" s="1" t="str">
        <f>IFERROR(__xludf.DUMMYFUNCTION("""COMPUTED_VALUE"""),"")</f>
        <v/>
      </c>
      <c r="AB458" s="1" t="str">
        <f>IFERROR(__xludf.DUMMYFUNCTION("""COMPUTED_VALUE"""),"")</f>
        <v/>
      </c>
      <c r="AC458" s="1" t="str">
        <f>IFERROR(__xludf.DUMMYFUNCTION("""COMPUTED_VALUE"""),"Yes")</f>
        <v>Yes</v>
      </c>
      <c r="AD458" s="1" t="str">
        <f>IFERROR(__xludf.DUMMYFUNCTION("""COMPUTED_VALUE"""),"")</f>
        <v/>
      </c>
      <c r="AE458" s="1" t="str">
        <f>IFERROR(__xludf.DUMMYFUNCTION("""COMPUTED_VALUE"""),"")</f>
        <v/>
      </c>
      <c r="AF458" s="1" t="str">
        <f>IFERROR(__xludf.DUMMYFUNCTION("""COMPUTED_VALUE"""),"")</f>
        <v/>
      </c>
      <c r="AG458" s="1" t="str">
        <f>IFERROR(__xludf.DUMMYFUNCTION("""COMPUTED_VALUE"""),"")</f>
        <v/>
      </c>
      <c r="AH458" s="1" t="str">
        <f>IFERROR(__xludf.DUMMYFUNCTION("""COMPUTED_VALUE"""),"Media Monitoring")</f>
        <v>Media Monitoring</v>
      </c>
      <c r="AI458" s="2" t="str">
        <f>IFERROR(__xludf.DUMMYFUNCTION("""COMPUTED_VALUE"""),"https://www.datacenterdynamics.com/en/news/mystery-tech-firm-looks-to-build-800-acre-data-center-campus-outside-grand-rapids-michigan/")</f>
        <v>https://www.datacenterdynamics.com/en/news/mystery-tech-firm-looks-to-build-800-acre-data-center-campus-outside-grand-rapids-michigan/</v>
      </c>
      <c r="AJ458" s="1" t="str">
        <f>IFERROR(__xludf.DUMMYFUNCTION("""COMPUTED_VALUE"""),"")</f>
        <v/>
      </c>
      <c r="AK458" s="1" t="str">
        <f>IFERROR(__xludf.DUMMYFUNCTION("""COMPUTED_VALUE"""),"")</f>
        <v/>
      </c>
      <c r="AL458" s="1" t="str">
        <f>IFERROR(__xludf.DUMMYFUNCTION("""COMPUTED_VALUE"""),"")</f>
        <v/>
      </c>
      <c r="AM458" s="1" t="str">
        <f>IFERROR(__xludf.DUMMYFUNCTION("""COMPUTED_VALUE"""),"")</f>
        <v/>
      </c>
      <c r="AN458" s="1" t="str">
        <f>IFERROR(__xludf.DUMMYFUNCTION("""COMPUTED_VALUE"""),"")</f>
        <v/>
      </c>
      <c r="AO458" s="1" t="str">
        <f>IFERROR(__xludf.DUMMYFUNCTION("""COMPUTED_VALUE"""),"")</f>
        <v/>
      </c>
      <c r="AP458" s="1" t="str">
        <f>IFERROR(__xludf.DUMMYFUNCTION("""COMPUTED_VALUE"""),"")</f>
        <v/>
      </c>
      <c r="AQ458" s="1" t="str">
        <f>IFERROR(__xludf.DUMMYFUNCTION("""COMPUTED_VALUE"""),"06/29/2026")</f>
        <v>06/29/2026</v>
      </c>
      <c r="AR458" s="1" t="str">
        <f>IFERROR(__xludf.DUMMYFUNCTION("""COMPUTED_VALUE"""),"06/29/2026")</f>
        <v>06/29/2026</v>
      </c>
    </row>
    <row r="459">
      <c r="A459" s="1" t="str">
        <f>IFERROR(__xludf.DUMMYFUNCTION("""COMPUTED_VALUE"""),"Charlevoix Big Rock Data Center and Small Modular Nuclear Reactors")</f>
        <v>Charlevoix Big Rock Data Center and Small Modular Nuclear Reactors</v>
      </c>
      <c r="B459" s="1" t="str">
        <f>IFERROR(__xludf.DUMMYFUNCTION("""COMPUTED_VALUE"""),"Big Rock Point, west of Rt 31")</f>
        <v>Big Rock Point, west of Rt 31</v>
      </c>
      <c r="C459" s="1" t="str">
        <f>IFERROR(__xludf.DUMMYFUNCTION("""COMPUTED_VALUE"""),"Charlevoix")</f>
        <v>Charlevoix</v>
      </c>
      <c r="D459" s="1" t="str">
        <f>IFERROR(__xludf.DUMMYFUNCTION("""COMPUTED_VALUE"""),"MI")</f>
        <v>MI</v>
      </c>
      <c r="E459" s="1" t="str">
        <f>IFERROR(__xludf.DUMMYFUNCTION("""COMPUTED_VALUE"""),"49720")</f>
        <v>49720</v>
      </c>
      <c r="F459" s="1" t="str">
        <f>IFERROR(__xludf.DUMMYFUNCTION("""COMPUTED_VALUE"""),"Charlevoix")</f>
        <v>Charlevoix</v>
      </c>
      <c r="G459" s="1" t="str">
        <f>IFERROR(__xludf.DUMMYFUNCTION("""COMPUTED_VALUE"""),"45.359146")</f>
        <v>45.359146</v>
      </c>
      <c r="H459" s="1" t="str">
        <f>IFERROR(__xludf.DUMMYFUNCTION("""COMPUTED_VALUE"""),"-85.19614")</f>
        <v>-85.19614</v>
      </c>
      <c r="I459" s="1" t="str">
        <f>IFERROR(__xludf.DUMMYFUNCTION("""COMPUTED_VALUE"""),"Cancelled")</f>
        <v>Cancelled</v>
      </c>
      <c r="J459" s="1" t="str">
        <f>IFERROR(__xludf.DUMMYFUNCTION("""COMPUTED_VALUE"""),"High")</f>
        <v>High</v>
      </c>
      <c r="K459" s="1" t="str">
        <f>IFERROR(__xludf.DUMMYFUNCTION("""COMPUTED_VALUE"""),"")</f>
        <v/>
      </c>
      <c r="L459" s="1" t="str">
        <f>IFERROR(__xludf.DUMMYFUNCTION("""COMPUTED_VALUE"""),"Holtec")</f>
        <v>Holtec</v>
      </c>
      <c r="M459" s="1" t="str">
        <f>IFERROR(__xludf.DUMMYFUNCTION("""COMPUTED_VALUE"""),"")</f>
        <v/>
      </c>
      <c r="N459" s="1" t="str">
        <f>IFERROR(__xludf.DUMMYFUNCTION("""COMPUTED_VALUE"""),"")</f>
        <v/>
      </c>
      <c r="O459" s="1" t="str">
        <f>IFERROR(__xludf.DUMMYFUNCTION("""COMPUTED_VALUE"""),"Unknown")</f>
        <v>Unknown</v>
      </c>
      <c r="P459" s="1" t="str">
        <f>IFERROR(__xludf.DUMMYFUNCTION("""COMPUTED_VALUE"""),"")</f>
        <v/>
      </c>
      <c r="Q459" s="1" t="str">
        <f>IFERROR(__xludf.DUMMYFUNCTION("""COMPUTED_VALUE"""),"")</f>
        <v/>
      </c>
      <c r="R459" s="1" t="str">
        <f>IFERROR(__xludf.DUMMYFUNCTION("""COMPUTED_VALUE"""),"")</f>
        <v/>
      </c>
      <c r="S459" s="1" t="str">
        <f>IFERROR(__xludf.DUMMYFUNCTION("""COMPUTED_VALUE"""),"")</f>
        <v/>
      </c>
      <c r="T459" s="1" t="str">
        <f>IFERROR(__xludf.DUMMYFUNCTION("""COMPUTED_VALUE"""),"")</f>
        <v/>
      </c>
      <c r="U459" s="1" t="str">
        <f>IFERROR(__xludf.DUMMYFUNCTION("""COMPUTED_VALUE"""),"")</f>
        <v/>
      </c>
      <c r="V459" s="1" t="str">
        <f>IFERROR(__xludf.DUMMYFUNCTION("""COMPUTED_VALUE"""),"")</f>
        <v/>
      </c>
      <c r="W459" s="1" t="str">
        <f>IFERROR(__xludf.DUMMYFUNCTION("""COMPUTED_VALUE"""),"500")</f>
        <v>500</v>
      </c>
      <c r="X459" s="1" t="str">
        <f>IFERROR(__xludf.DUMMYFUNCTION("""COMPUTED_VALUE"""),"")</f>
        <v/>
      </c>
      <c r="Y459" s="1" t="str">
        <f>IFERROR(__xludf.DUMMYFUNCTION("""COMPUTED_VALUE"""),"")</f>
        <v/>
      </c>
      <c r="Z459" s="1" t="str">
        <f>IFERROR(__xludf.DUMMYFUNCTION("""COMPUTED_VALUE"""),"Unknown")</f>
        <v>Unknown</v>
      </c>
      <c r="AA459" s="1" t="str">
        <f>IFERROR(__xludf.DUMMYFUNCTION("""COMPUTED_VALUE"""),"")</f>
        <v/>
      </c>
      <c r="AB459" s="1" t="str">
        <f>IFERROR(__xludf.DUMMYFUNCTION("""COMPUTED_VALUE"""),"Organized Advocacy")</f>
        <v>Organized Advocacy</v>
      </c>
      <c r="AC459" s="1" t="str">
        <f>IFERROR(__xludf.DUMMYFUNCTION("""COMPUTED_VALUE"""),"")</f>
        <v/>
      </c>
      <c r="AD459" s="2" t="str">
        <f>IFERROR(__xludf.DUMMYFUNCTION("""COMPUTED_VALUE"""),"https://nocharlevoixdatacenter.org/")</f>
        <v>https://nocharlevoixdatacenter.org/</v>
      </c>
      <c r="AE459" s="1" t="str">
        <f>IFERROR(__xludf.DUMMYFUNCTION("""COMPUTED_VALUE"""),"")</f>
        <v/>
      </c>
      <c r="AF459" s="1" t="str">
        <f>IFERROR(__xludf.DUMMYFUNCTION("""COMPUTED_VALUE"""),"")</f>
        <v/>
      </c>
      <c r="AG459" s="1" t="str">
        <f>IFERROR(__xludf.DUMMYFUNCTION("""COMPUTED_VALUE"""),"")</f>
        <v/>
      </c>
      <c r="AH459" s="1" t="str">
        <f>IFERROR(__xludf.DUMMYFUNCTION("""COMPUTED_VALUE"""),"Crowdsourced")</f>
        <v>Crowdsourced</v>
      </c>
      <c r="AI459" s="2" t="str">
        <f>IFERROR(__xludf.DUMMYFUNCTION("""COMPUTED_VALUE"""),"https://www.mlive.com/environment/2026/02/former-nuclear-plant-site-draws-data-center-concerns-in-northern-michigan.html")</f>
        <v>https://www.mlive.com/environment/2026/02/former-nuclear-plant-site-draws-data-center-concerns-in-northern-michigan.html</v>
      </c>
      <c r="AJ459" s="2" t="str">
        <f>IFERROR(__xludf.DUMMYFUNCTION("""COMPUTED_VALUE"""),"https://www.mlive.com/environment/2026/03/northern-michigan-township-extends-data-center-pause-amid-concerns-over-big-rock-point.html")</f>
        <v>https://www.mlive.com/environment/2026/03/northern-michigan-township-extends-data-center-pause-amid-concerns-over-big-rock-point.html</v>
      </c>
      <c r="AK459" s="2" t="str">
        <f>IFERROR(__xludf.DUMMYFUNCTION("""COMPUTED_VALUE"""),"https://docs.google.com/viewerng/viewer?url=https://www.hayestownshipmi.gov/wp-content/uploads/2026/06/PSA-and-E-mail-Response_Hayes-Twp_FINAL-1.pdf&amp;hl=en_US")</f>
        <v>https://docs.google.com/viewerng/viewer?url=https://www.hayestownshipmi.gov/wp-content/uploads/2026/06/PSA-and-E-mail-Response_Hayes-Twp_FINAL-1.pdf&amp;hl=en_US</v>
      </c>
      <c r="AL459" s="1" t="str">
        <f>IFERROR(__xludf.DUMMYFUNCTION("""COMPUTED_VALUE"""),"")</f>
        <v/>
      </c>
      <c r="AM459" s="1" t="str">
        <f>IFERROR(__xludf.DUMMYFUNCTION("""COMPUTED_VALUE"""),"")</f>
        <v/>
      </c>
      <c r="AN459" s="1" t="str">
        <f>IFERROR(__xludf.DUMMYFUNCTION("""COMPUTED_VALUE"""),"")</f>
        <v/>
      </c>
      <c r="AO459" s="1" t="str">
        <f>IFERROR(__xludf.DUMMYFUNCTION("""COMPUTED_VALUE"""),"")</f>
        <v/>
      </c>
      <c r="AP459" s="1" t="str">
        <f>IFERROR(__xludf.DUMMYFUNCTION("""COMPUTED_VALUE"""),"")</f>
        <v/>
      </c>
      <c r="AQ459" s="1" t="str">
        <f>IFERROR(__xludf.DUMMYFUNCTION("""COMPUTED_VALUE"""),"06/26/2026")</f>
        <v>06/26/2026</v>
      </c>
      <c r="AR459" s="1" t="str">
        <f>IFERROR(__xludf.DUMMYFUNCTION("""COMPUTED_VALUE"""),"06/26/2026")</f>
        <v>06/26/2026</v>
      </c>
    </row>
    <row r="460">
      <c r="A460" s="1" t="str">
        <f>IFERROR(__xludf.DUMMYFUNCTION("""COMPUTED_VALUE"""),"Microsoft Dorr Data Center")</f>
        <v>Microsoft Dorr Data Center</v>
      </c>
      <c r="B460" s="1" t="str">
        <f>IFERROR(__xludf.DUMMYFUNCTION("""COMPUTED_VALUE"""),"near 144th Ave and Hwy 131")</f>
        <v>near 144th Ave and Hwy 131</v>
      </c>
      <c r="C460" s="1" t="str">
        <f>IFERROR(__xludf.DUMMYFUNCTION("""COMPUTED_VALUE"""),"Dorr")</f>
        <v>Dorr</v>
      </c>
      <c r="D460" s="1" t="str">
        <f>IFERROR(__xludf.DUMMYFUNCTION("""COMPUTED_VALUE"""),"MI")</f>
        <v>MI</v>
      </c>
      <c r="E460" s="1" t="str">
        <f>IFERROR(__xludf.DUMMYFUNCTION("""COMPUTED_VALUE"""),"49323")</f>
        <v>49323</v>
      </c>
      <c r="F460" s="1" t="str">
        <f>IFERROR(__xludf.DUMMYFUNCTION("""COMPUTED_VALUE"""),"Allegan")</f>
        <v>Allegan</v>
      </c>
      <c r="G460" s="1" t="str">
        <f>IFERROR(__xludf.DUMMYFUNCTION("""COMPUTED_VALUE"""),"42.737343")</f>
        <v>42.737343</v>
      </c>
      <c r="H460" s="1" t="str">
        <f>IFERROR(__xludf.DUMMYFUNCTION("""COMPUTED_VALUE"""),"-85.68578")</f>
        <v>-85.68578</v>
      </c>
      <c r="I460" s="1" t="str">
        <f>IFERROR(__xludf.DUMMYFUNCTION("""COMPUTED_VALUE"""),"Proposed")</f>
        <v>Proposed</v>
      </c>
      <c r="J460" s="1" t="str">
        <f>IFERROR(__xludf.DUMMYFUNCTION("""COMPUTED_VALUE"""),"High ")</f>
        <v>High </v>
      </c>
      <c r="K460" s="1" t="str">
        <f>IFERROR(__xludf.DUMMYFUNCTION("""COMPUTED_VALUE"""),"")</f>
        <v/>
      </c>
      <c r="L460" s="1" t="str">
        <f>IFERROR(__xludf.DUMMYFUNCTION("""COMPUTED_VALUE"""),"Microsoft")</f>
        <v>Microsoft</v>
      </c>
      <c r="M460" s="1" t="str">
        <f>IFERROR(__xludf.DUMMYFUNCTION("""COMPUTED_VALUE"""),"")</f>
        <v/>
      </c>
      <c r="N460" s="1" t="str">
        <f>IFERROR(__xludf.DUMMYFUNCTION("""COMPUTED_VALUE"""),"")</f>
        <v/>
      </c>
      <c r="O460" s="1" t="str">
        <f>IFERROR(__xludf.DUMMYFUNCTION("""COMPUTED_VALUE"""),"Unknown")</f>
        <v>Unknown</v>
      </c>
      <c r="P460" s="1" t="str">
        <f>IFERROR(__xludf.DUMMYFUNCTION("""COMPUTED_VALUE"""),"")</f>
        <v/>
      </c>
      <c r="Q460" s="1" t="str">
        <f>IFERROR(__xludf.DUMMYFUNCTION("""COMPUTED_VALUE"""),"")</f>
        <v/>
      </c>
      <c r="R460" s="1" t="str">
        <f>IFERROR(__xludf.DUMMYFUNCTION("""COMPUTED_VALUE"""),"")</f>
        <v/>
      </c>
      <c r="S460" s="1" t="str">
        <f>IFERROR(__xludf.DUMMYFUNCTION("""COMPUTED_VALUE"""),"")</f>
        <v/>
      </c>
      <c r="T460" s="1" t="str">
        <f>IFERROR(__xludf.DUMMYFUNCTION("""COMPUTED_VALUE"""),"")</f>
        <v/>
      </c>
      <c r="U460" s="1" t="str">
        <f>IFERROR(__xludf.DUMMYFUNCTION("""COMPUTED_VALUE"""),"")</f>
        <v/>
      </c>
      <c r="V460" s="1" t="str">
        <f>IFERROR(__xludf.DUMMYFUNCTION("""COMPUTED_VALUE"""),"")</f>
        <v/>
      </c>
      <c r="W460" s="1" t="str">
        <f>IFERROR(__xludf.DUMMYFUNCTION("""COMPUTED_VALUE"""),"272")</f>
        <v>272</v>
      </c>
      <c r="X460" s="1" t="str">
        <f>IFERROR(__xludf.DUMMYFUNCTION("""COMPUTED_VALUE"""),"")</f>
        <v/>
      </c>
      <c r="Y460" s="1" t="str">
        <f>IFERROR(__xludf.DUMMYFUNCTION("""COMPUTED_VALUE"""),"")</f>
        <v/>
      </c>
      <c r="Z460" s="1" t="str">
        <f>IFERROR(__xludf.DUMMYFUNCTION("""COMPUTED_VALUE"""),"Unknown")</f>
        <v>Unknown</v>
      </c>
      <c r="AA460" s="1" t="str">
        <f>IFERROR(__xludf.DUMMYFUNCTION("""COMPUTED_VALUE"""),"")</f>
        <v/>
      </c>
      <c r="AB460" s="1" t="str">
        <f>IFERROR(__xludf.DUMMYFUNCTION("""COMPUTED_VALUE"""),"")</f>
        <v/>
      </c>
      <c r="AC460" s="1" t="str">
        <f>IFERROR(__xludf.DUMMYFUNCTION("""COMPUTED_VALUE"""),"")</f>
        <v/>
      </c>
      <c r="AD460" s="1" t="str">
        <f>IFERROR(__xludf.DUMMYFUNCTION("""COMPUTED_VALUE"""),"")</f>
        <v/>
      </c>
      <c r="AE460" s="1" t="str">
        <f>IFERROR(__xludf.DUMMYFUNCTION("""COMPUTED_VALUE"""),"")</f>
        <v/>
      </c>
      <c r="AF460" s="1" t="str">
        <f>IFERROR(__xludf.DUMMYFUNCTION("""COMPUTED_VALUE"""),"")</f>
        <v/>
      </c>
      <c r="AG460" s="1" t="str">
        <f>IFERROR(__xludf.DUMMYFUNCTION("""COMPUTED_VALUE"""),"")</f>
        <v/>
      </c>
      <c r="AH460" s="1" t="str">
        <f>IFERROR(__xludf.DUMMYFUNCTION("""COMPUTED_VALUE"""),"Media Monitoring")</f>
        <v>Media Monitoring</v>
      </c>
      <c r="AI460" s="2" t="str">
        <f>IFERROR(__xludf.DUMMYFUNCTION("""COMPUTED_VALUE"""),"https://www.datacenterdynamics.com/en/news/microsoft-plans-data-centers-in-dorr-and-lowell-townships-applies-for-property-rezoning-in-gaines-townships/")</f>
        <v>https://www.datacenterdynamics.com/en/news/microsoft-plans-data-centers-in-dorr-and-lowell-townships-applies-for-property-rezoning-in-gaines-townships/</v>
      </c>
      <c r="AJ460" s="1" t="str">
        <f>IFERROR(__xludf.DUMMYFUNCTION("""COMPUTED_VALUE"""),"")</f>
        <v/>
      </c>
      <c r="AK460" s="1" t="str">
        <f>IFERROR(__xludf.DUMMYFUNCTION("""COMPUTED_VALUE"""),"")</f>
        <v/>
      </c>
      <c r="AL460" s="1" t="str">
        <f>IFERROR(__xludf.DUMMYFUNCTION("""COMPUTED_VALUE"""),"")</f>
        <v/>
      </c>
      <c r="AM460" s="1" t="str">
        <f>IFERROR(__xludf.DUMMYFUNCTION("""COMPUTED_VALUE"""),"")</f>
        <v/>
      </c>
      <c r="AN460" s="1" t="str">
        <f>IFERROR(__xludf.DUMMYFUNCTION("""COMPUTED_VALUE"""),"")</f>
        <v/>
      </c>
      <c r="AO460" s="1" t="str">
        <f>IFERROR(__xludf.DUMMYFUNCTION("""COMPUTED_VALUE"""),"")</f>
        <v/>
      </c>
      <c r="AP460" s="1" t="str">
        <f>IFERROR(__xludf.DUMMYFUNCTION("""COMPUTED_VALUE"""),"")</f>
        <v/>
      </c>
      <c r="AQ460" s="1" t="str">
        <f>IFERROR(__xludf.DUMMYFUNCTION("""COMPUTED_VALUE"""),"04/02/2026")</f>
        <v>04/02/2026</v>
      </c>
      <c r="AR460" s="1" t="str">
        <f>IFERROR(__xludf.DUMMYFUNCTION("""COMPUTED_VALUE"""),"04/02/2026")</f>
        <v>04/02/2026</v>
      </c>
    </row>
    <row r="461">
      <c r="A461" s="1" t="str">
        <f>IFERROR(__xludf.DUMMYFUNCTION("""COMPUTED_VALUE"""),"Hyperscale Data Michigan Data Center")</f>
        <v>Hyperscale Data Michigan Data Center</v>
      </c>
      <c r="B461" s="1" t="str">
        <f>IFERROR(__xludf.DUMMYFUNCTION("""COMPUTED_VALUE"""),"415 East Prairie Ronde Street")</f>
        <v>415 East Prairie Ronde Street</v>
      </c>
      <c r="C461" s="1" t="str">
        <f>IFERROR(__xludf.DUMMYFUNCTION("""COMPUTED_VALUE"""),"Dowagiac")</f>
        <v>Dowagiac</v>
      </c>
      <c r="D461" s="1" t="str">
        <f>IFERROR(__xludf.DUMMYFUNCTION("""COMPUTED_VALUE"""),"MI")</f>
        <v>MI</v>
      </c>
      <c r="E461" s="1" t="str">
        <f>IFERROR(__xludf.DUMMYFUNCTION("""COMPUTED_VALUE"""),"49047")</f>
        <v>49047</v>
      </c>
      <c r="F461" s="1" t="str">
        <f>IFERROR(__xludf.DUMMYFUNCTION("""COMPUTED_VALUE"""),"Cass")</f>
        <v>Cass</v>
      </c>
      <c r="G461" s="1" t="str">
        <f>IFERROR(__xludf.DUMMYFUNCTION("""COMPUTED_VALUE"""),"41.992455")</f>
        <v>41.992455</v>
      </c>
      <c r="H461" s="1" t="str">
        <f>IFERROR(__xludf.DUMMYFUNCTION("""COMPUTED_VALUE"""),"-86.098976")</f>
        <v>-86.098976</v>
      </c>
      <c r="I461" s="1" t="str">
        <f>IFERROR(__xludf.DUMMYFUNCTION("""COMPUTED_VALUE"""),"Operating")</f>
        <v>Operating</v>
      </c>
      <c r="J461" s="1" t="str">
        <f>IFERROR(__xludf.DUMMYFUNCTION("""COMPUTED_VALUE"""),"High")</f>
        <v>High</v>
      </c>
      <c r="K461" s="1" t="str">
        <f>IFERROR(__xludf.DUMMYFUNCTION("""COMPUTED_VALUE"""),"")</f>
        <v/>
      </c>
      <c r="L461" s="1" t="str">
        <f>IFERROR(__xludf.DUMMYFUNCTION("""COMPUTED_VALUE"""),"")</f>
        <v/>
      </c>
      <c r="M461" s="1" t="str">
        <f>IFERROR(__xludf.DUMMYFUNCTION("""COMPUTED_VALUE"""),"")</f>
        <v/>
      </c>
      <c r="N461" s="1" t="str">
        <f>IFERROR(__xludf.DUMMYFUNCTION("""COMPUTED_VALUE"""),"30")</f>
        <v>30</v>
      </c>
      <c r="O461" s="1" t="str">
        <f>IFERROR(__xludf.DUMMYFUNCTION("""COMPUTED_VALUE"""),"Hyperscale (100-999 MW)")</f>
        <v>Hyperscale (100-999 MW)</v>
      </c>
      <c r="P461" s="1" t="str">
        <f>IFERROR(__xludf.DUMMYFUNCTION("""COMPUTED_VALUE"""),"")</f>
        <v/>
      </c>
      <c r="Q461" s="1" t="str">
        <f>IFERROR(__xludf.DUMMYFUNCTION("""COMPUTED_VALUE"""),"")</f>
        <v/>
      </c>
      <c r="R461" s="1" t="str">
        <f>IFERROR(__xludf.DUMMYFUNCTION("""COMPUTED_VALUE"""),"")</f>
        <v/>
      </c>
      <c r="S461" s="1" t="str">
        <f>IFERROR(__xludf.DUMMYFUNCTION("""COMPUTED_VALUE"""),"")</f>
        <v/>
      </c>
      <c r="T461" s="1" t="str">
        <f>IFERROR(__xludf.DUMMYFUNCTION("""COMPUTED_VALUE"""),"")</f>
        <v/>
      </c>
      <c r="U461" s="1" t="str">
        <f>IFERROR(__xludf.DUMMYFUNCTION("""COMPUTED_VALUE"""),"")</f>
        <v/>
      </c>
      <c r="V461" s="1" t="str">
        <f>IFERROR(__xludf.DUMMYFUNCTION("""COMPUTED_VALUE"""),"617,000")</f>
        <v>617,000</v>
      </c>
      <c r="W461" s="1" t="str">
        <f>IFERROR(__xludf.DUMMYFUNCTION("""COMPUTED_VALUE"""),"34")</f>
        <v>34</v>
      </c>
      <c r="X461" s="1" t="str">
        <f>IFERROR(__xludf.DUMMYFUNCTION("""COMPUTED_VALUE"""),"")</f>
        <v/>
      </c>
      <c r="Y461" s="1" t="str">
        <f>IFERROR(__xludf.DUMMYFUNCTION("""COMPUTED_VALUE"""),"2029")</f>
        <v>2029</v>
      </c>
      <c r="Z461" s="1" t="str">
        <f>IFERROR(__xludf.DUMMYFUNCTION("""COMPUTED_VALUE"""),"Unknown")</f>
        <v>Unknown</v>
      </c>
      <c r="AA461" s="1" t="str">
        <f>IFERROR(__xludf.DUMMYFUNCTION("""COMPUTED_VALUE"""),"")</f>
        <v/>
      </c>
      <c r="AB461" s="1" t="str">
        <f>IFERROR(__xludf.DUMMYFUNCTION("""COMPUTED_VALUE"""),"")</f>
        <v/>
      </c>
      <c r="AC461" s="1" t="str">
        <f>IFERROR(__xludf.DUMMYFUNCTION("""COMPUTED_VALUE"""),"")</f>
        <v/>
      </c>
      <c r="AD461" s="1" t="str">
        <f>IFERROR(__xludf.DUMMYFUNCTION("""COMPUTED_VALUE"""),"")</f>
        <v/>
      </c>
      <c r="AE461" s="1" t="str">
        <f>IFERROR(__xludf.DUMMYFUNCTION("""COMPUTED_VALUE"""),"")</f>
        <v/>
      </c>
      <c r="AF461" s="1" t="str">
        <f>IFERROR(__xludf.DUMMYFUNCTION("""COMPUTED_VALUE"""),"")</f>
        <v/>
      </c>
      <c r="AG461" s="1" t="str">
        <f>IFERROR(__xludf.DUMMYFUNCTION("""COMPUTED_VALUE"""),"Currently used mostly for cryptomining, but moving towards AI")</f>
        <v>Currently used mostly for cryptomining, but moving towards AI</v>
      </c>
      <c r="AH461" s="1" t="str">
        <f>IFERROR(__xludf.DUMMYFUNCTION("""COMPUTED_VALUE"""),"Crowdsourced")</f>
        <v>Crowdsourced</v>
      </c>
      <c r="AI461" s="2" t="str">
        <f>IFERROR(__xludf.DUMMYFUNCTION("""COMPUTED_VALUE"""),"https://www.dbusiness.com/daily-news/hyperscale-data-planning-major-expansion-of-michigan-ai-data-center-by-2029/")</f>
        <v>https://www.dbusiness.com/daily-news/hyperscale-data-planning-major-expansion-of-michigan-ai-data-center-by-2029/</v>
      </c>
      <c r="AJ461" s="2" t="str">
        <f>IFERROR(__xludf.DUMMYFUNCTION("""COMPUTED_VALUE"""),"https://www.datacenterdynamics.com/en/news/hyperscale-data-purchases-485-acres-in-southwest-michigan-to-expand-data-center-campus/")</f>
        <v>https://www.datacenterdynamics.com/en/news/hyperscale-data-purchases-485-acres-in-southwest-michigan-to-expand-data-center-campus/</v>
      </c>
      <c r="AK461" s="2" t="str">
        <f>IFERROR(__xludf.DUMMYFUNCTION("""COMPUTED_VALUE"""),"https://www.mlive.com/news/kalamazoo/2026/06/a-prison-in-our-own-yard-life-next-to-a-data-center-and-its-never-ending-noise.html")</f>
        <v>https://www.mlive.com/news/kalamazoo/2026/06/a-prison-in-our-own-yard-life-next-to-a-data-center-and-its-never-ending-noise.html</v>
      </c>
      <c r="AL461" s="2" t="str">
        <f>IFERROR(__xludf.DUMMYFUNCTION("""COMPUTED_VALUE"""),"https://www.datacenterdynamics.com/en/news/hyperscale-data-signs-20mw-capacity-agreement-with-neocloud-customer-at-its-michigan-data-center/")</f>
        <v>https://www.datacenterdynamics.com/en/news/hyperscale-data-signs-20mw-capacity-agreement-with-neocloud-customer-at-its-michigan-data-center/</v>
      </c>
      <c r="AM461" s="2" t="str">
        <f>IFERROR(__xludf.DUMMYFUNCTION("""COMPUTED_VALUE"""),"https://www.datacenterdynamics.com/en/news/hyperscale-data-completes-land-acquisition-to-expand-michigan-campus/")</f>
        <v>https://www.datacenterdynamics.com/en/news/hyperscale-data-completes-land-acquisition-to-expand-michigan-campus/</v>
      </c>
      <c r="AN461" s="1" t="str">
        <f>IFERROR(__xludf.DUMMYFUNCTION("""COMPUTED_VALUE"""),"")</f>
        <v/>
      </c>
      <c r="AO461" s="1" t="str">
        <f>IFERROR(__xludf.DUMMYFUNCTION("""COMPUTED_VALUE"""),"")</f>
        <v/>
      </c>
      <c r="AP461" s="1" t="str">
        <f>IFERROR(__xludf.DUMMYFUNCTION("""COMPUTED_VALUE"""),"")</f>
        <v/>
      </c>
      <c r="AQ461" s="1" t="str">
        <f>IFERROR(__xludf.DUMMYFUNCTION("""COMPUTED_VALUE"""),"12/24/2025")</f>
        <v>12/24/2025</v>
      </c>
      <c r="AR461" s="1" t="str">
        <f>IFERROR(__xludf.DUMMYFUNCTION("""COMPUTED_VALUE"""),"06/30/2026")</f>
        <v>06/30/2026</v>
      </c>
    </row>
    <row r="462">
      <c r="A462" s="1" t="str">
        <f>IFERROR(__xludf.DUMMYFUNCTION("""COMPUTED_VALUE"""),"Cloverleaf Infrastructure Data Center")</f>
        <v>Cloverleaf Infrastructure Data Center</v>
      </c>
      <c r="B462" s="1" t="str">
        <f>IFERROR(__xludf.DUMMYFUNCTION("""COMPUTED_VALUE"""),"~15398 Day Rd")</f>
        <v>~15398 Day Rd</v>
      </c>
      <c r="C462" s="1" t="str">
        <f>IFERROR(__xludf.DUMMYFUNCTION("""COMPUTED_VALUE"""),"Dundee")</f>
        <v>Dundee</v>
      </c>
      <c r="D462" s="1" t="str">
        <f>IFERROR(__xludf.DUMMYFUNCTION("""COMPUTED_VALUE"""),"MI")</f>
        <v>MI</v>
      </c>
      <c r="E462" s="1" t="str">
        <f>IFERROR(__xludf.DUMMYFUNCTION("""COMPUTED_VALUE"""),"48131")</f>
        <v>48131</v>
      </c>
      <c r="F462" s="1" t="str">
        <f>IFERROR(__xludf.DUMMYFUNCTION("""COMPUTED_VALUE"""),"Monroe")</f>
        <v>Monroe</v>
      </c>
      <c r="G462" s="1" t="str">
        <f>IFERROR(__xludf.DUMMYFUNCTION("""COMPUTED_VALUE"""),"41.997276")</f>
        <v>41.997276</v>
      </c>
      <c r="H462" s="1" t="str">
        <f>IFERROR(__xludf.DUMMYFUNCTION("""COMPUTED_VALUE"""),"-83.66742")</f>
        <v>-83.66742</v>
      </c>
      <c r="I462" s="1" t="str">
        <f>IFERROR(__xludf.DUMMYFUNCTION("""COMPUTED_VALUE"""),"Suspended")</f>
        <v>Suspended</v>
      </c>
      <c r="J462" s="1" t="str">
        <f>IFERROR(__xludf.DUMMYFUNCTION("""COMPUTED_VALUE"""),"High")</f>
        <v>High</v>
      </c>
      <c r="K462" s="1" t="str">
        <f>IFERROR(__xludf.DUMMYFUNCTION("""COMPUTED_VALUE"""),"")</f>
        <v/>
      </c>
      <c r="L462" s="1" t="str">
        <f>IFERROR(__xludf.DUMMYFUNCTION("""COMPUTED_VALUE"""),"")</f>
        <v/>
      </c>
      <c r="M462" s="1" t="str">
        <f>IFERROR(__xludf.DUMMYFUNCTION("""COMPUTED_VALUE"""),"")</f>
        <v/>
      </c>
      <c r="N462" s="1" t="str">
        <f>IFERROR(__xludf.DUMMYFUNCTION("""COMPUTED_VALUE"""),"")</f>
        <v/>
      </c>
      <c r="O462" s="1" t="str">
        <f>IFERROR(__xludf.DUMMYFUNCTION("""COMPUTED_VALUE"""),"Unknown")</f>
        <v>Unknown</v>
      </c>
      <c r="P462" s="1" t="str">
        <f>IFERROR(__xludf.DUMMYFUNCTION("""COMPUTED_VALUE"""),"")</f>
        <v/>
      </c>
      <c r="Q462" s="1" t="str">
        <f>IFERROR(__xludf.DUMMYFUNCTION("""COMPUTED_VALUE"""),"")</f>
        <v/>
      </c>
      <c r="R462" s="1" t="str">
        <f>IFERROR(__xludf.DUMMYFUNCTION("""COMPUTED_VALUE"""),"")</f>
        <v/>
      </c>
      <c r="S462" s="1" t="str">
        <f>IFERROR(__xludf.DUMMYFUNCTION("""COMPUTED_VALUE"""),"")</f>
        <v/>
      </c>
      <c r="T462" s="1" t="str">
        <f>IFERROR(__xludf.DUMMYFUNCTION("""COMPUTED_VALUE"""),"")</f>
        <v/>
      </c>
      <c r="U462" s="1" t="str">
        <f>IFERROR(__xludf.DUMMYFUNCTION("""COMPUTED_VALUE"""),"")</f>
        <v/>
      </c>
      <c r="V462" s="1" t="str">
        <f>IFERROR(__xludf.DUMMYFUNCTION("""COMPUTED_VALUE"""),"")</f>
        <v/>
      </c>
      <c r="W462" s="1" t="str">
        <f>IFERROR(__xludf.DUMMYFUNCTION("""COMPUTED_VALUE"""),"750")</f>
        <v>750</v>
      </c>
      <c r="X462" s="1" t="str">
        <f>IFERROR(__xludf.DUMMYFUNCTION("""COMPUTED_VALUE"""),"")</f>
        <v/>
      </c>
      <c r="Y462" s="1" t="str">
        <f>IFERROR(__xludf.DUMMYFUNCTION("""COMPUTED_VALUE"""),"")</f>
        <v/>
      </c>
      <c r="Z462" s="1" t="str">
        <f>IFERROR(__xludf.DUMMYFUNCTION("""COMPUTED_VALUE"""),"Yes")</f>
        <v>Yes</v>
      </c>
      <c r="AA462" s="1" t="str">
        <f>IFERROR(__xludf.DUMMYFUNCTION("""COMPUTED_VALUE"""),"")</f>
        <v/>
      </c>
      <c r="AB462" s="1" t="str">
        <f>IFERROR(__xludf.DUMMYFUNCTION("""COMPUTED_VALUE"""),"")</f>
        <v/>
      </c>
      <c r="AC462" s="1" t="str">
        <f>IFERROR(__xludf.DUMMYFUNCTION("""COMPUTED_VALUE"""),"")</f>
        <v/>
      </c>
      <c r="AD462" s="1" t="str">
        <f>IFERROR(__xludf.DUMMYFUNCTION("""COMPUTED_VALUE"""),"")</f>
        <v/>
      </c>
      <c r="AE462" s="1" t="str">
        <f>IFERROR(__xludf.DUMMYFUNCTION("""COMPUTED_VALUE"""),"")</f>
        <v/>
      </c>
      <c r="AF462" s="2" t="str">
        <f>IFERROR(__xludf.DUMMYFUNCTION("""COMPUTED_VALUE"""),"https://www.change.org/p/prevent-the-construction-of-a-data-center-in-dundee-mi")</f>
        <v>https://www.change.org/p/prevent-the-construction-of-a-data-center-in-dundee-mi</v>
      </c>
      <c r="AG462" s="1" t="str">
        <f>IFERROR(__xludf.DUMMYFUNCTION("""COMPUTED_VALUE"""),"")</f>
        <v/>
      </c>
      <c r="AH462" s="1" t="str">
        <f>IFERROR(__xludf.DUMMYFUNCTION("""COMPUTED_VALUE"""),"Media Monitoring")</f>
        <v>Media Monitoring</v>
      </c>
      <c r="AI462" s="2" t="str">
        <f>IFERROR(__xludf.DUMMYFUNCTION("""COMPUTED_VALUE"""),"https://www.datacenterdynamics.com/en/news/cloverleaf-drops-initial-plans-for-michigan-data-center-council-votes-to-block-water-supply/")</f>
        <v>https://www.datacenterdynamics.com/en/news/cloverleaf-drops-initial-plans-for-michigan-data-center-council-votes-to-block-water-supply/</v>
      </c>
      <c r="AJ462" s="1" t="str">
        <f>IFERROR(__xludf.DUMMYFUNCTION("""COMPUTED_VALUE"""),"")</f>
        <v/>
      </c>
      <c r="AK462" s="1" t="str">
        <f>IFERROR(__xludf.DUMMYFUNCTION("""COMPUTED_VALUE"""),"")</f>
        <v/>
      </c>
      <c r="AL462" s="1" t="str">
        <f>IFERROR(__xludf.DUMMYFUNCTION("""COMPUTED_VALUE"""),"")</f>
        <v/>
      </c>
      <c r="AM462" s="1" t="str">
        <f>IFERROR(__xludf.DUMMYFUNCTION("""COMPUTED_VALUE"""),"")</f>
        <v/>
      </c>
      <c r="AN462" s="1" t="str">
        <f>IFERROR(__xludf.DUMMYFUNCTION("""COMPUTED_VALUE"""),"")</f>
        <v/>
      </c>
      <c r="AO462" s="1" t="str">
        <f>IFERROR(__xludf.DUMMYFUNCTION("""COMPUTED_VALUE"""),"")</f>
        <v/>
      </c>
      <c r="AP462" s="1" t="str">
        <f>IFERROR(__xludf.DUMMYFUNCTION("""COMPUTED_VALUE"""),"")</f>
        <v/>
      </c>
      <c r="AQ462" s="1" t="str">
        <f>IFERROR(__xludf.DUMMYFUNCTION("""COMPUTED_VALUE"""),"11/03/2025")</f>
        <v>11/03/2025</v>
      </c>
      <c r="AR462" s="1" t="str">
        <f>IFERROR(__xludf.DUMMYFUNCTION("""COMPUTED_VALUE"""),"11/03/2025")</f>
        <v>11/03/2025</v>
      </c>
    </row>
    <row r="463">
      <c r="A463" s="1" t="str">
        <f>IFERROR(__xludf.DUMMYFUNCTION("""COMPUTED_VALUE"""),"Southfield Data Center")</f>
        <v>Southfield Data Center</v>
      </c>
      <c r="B463" s="1" t="str">
        <f>IFERROR(__xludf.DUMMYFUNCTION("""COMPUTED_VALUE"""),"Inkster Road between 11 Mile and 696")</f>
        <v>Inkster Road between 11 Mile and 696</v>
      </c>
      <c r="C463" s="1" t="str">
        <f>IFERROR(__xludf.DUMMYFUNCTION("""COMPUTED_VALUE"""),"Farmington Hills")</f>
        <v>Farmington Hills</v>
      </c>
      <c r="D463" s="1" t="str">
        <f>IFERROR(__xludf.DUMMYFUNCTION("""COMPUTED_VALUE"""),"MI")</f>
        <v>MI</v>
      </c>
      <c r="E463" s="1" t="str">
        <f>IFERROR(__xludf.DUMMYFUNCTION("""COMPUTED_VALUE"""),"48334")</f>
        <v>48334</v>
      </c>
      <c r="F463" s="1" t="str">
        <f>IFERROR(__xludf.DUMMYFUNCTION("""COMPUTED_VALUE"""),"Oakland")</f>
        <v>Oakland</v>
      </c>
      <c r="G463" s="1" t="str">
        <f>IFERROR(__xludf.DUMMYFUNCTION("""COMPUTED_VALUE"""),"42.488056")</f>
        <v>42.488056</v>
      </c>
      <c r="H463" s="1" t="str">
        <f>IFERROR(__xludf.DUMMYFUNCTION("""COMPUTED_VALUE"""),"-83.31892")</f>
        <v>-83.31892</v>
      </c>
      <c r="I463" s="1" t="str">
        <f>IFERROR(__xludf.DUMMYFUNCTION("""COMPUTED_VALUE"""),"Proposed")</f>
        <v>Proposed</v>
      </c>
      <c r="J463" s="1" t="str">
        <f>IFERROR(__xludf.DUMMYFUNCTION("""COMPUTED_VALUE"""),"Medium")</f>
        <v>Medium</v>
      </c>
      <c r="K463" s="1" t="str">
        <f>IFERROR(__xludf.DUMMYFUNCTION("""COMPUTED_VALUE"""),"")</f>
        <v/>
      </c>
      <c r="L463" s="1" t="str">
        <f>IFERROR(__xludf.DUMMYFUNCTION("""COMPUTED_VALUE"""),"Metrobloks")</f>
        <v>Metrobloks</v>
      </c>
      <c r="M463" s="1" t="str">
        <f>IFERROR(__xludf.DUMMYFUNCTION("""COMPUTED_VALUE"""),"")</f>
        <v/>
      </c>
      <c r="N463" s="1" t="str">
        <f>IFERROR(__xludf.DUMMYFUNCTION("""COMPUTED_VALUE"""),"100")</f>
        <v>100</v>
      </c>
      <c r="O463" s="1" t="str">
        <f>IFERROR(__xludf.DUMMYFUNCTION("""COMPUTED_VALUE"""),"Hyperscale (100-999 MW)")</f>
        <v>Hyperscale (100-999 MW)</v>
      </c>
      <c r="P463" s="1" t="str">
        <f>IFERROR(__xludf.DUMMYFUNCTION("""COMPUTED_VALUE"""),"Grid (unspecified mix)")</f>
        <v>Grid (unspecified mix)</v>
      </c>
      <c r="Q463" s="1" t="str">
        <f>IFERROR(__xludf.DUMMYFUNCTION("""COMPUTED_VALUE"""),"")</f>
        <v/>
      </c>
      <c r="R463" s="1" t="str">
        <f>IFERROR(__xludf.DUMMYFUNCTION("""COMPUTED_VALUE"""),"")</f>
        <v/>
      </c>
      <c r="S463" s="1" t="str">
        <f>IFERROR(__xludf.DUMMYFUNCTION("""COMPUTED_VALUE"""),"")</f>
        <v/>
      </c>
      <c r="T463" s="1" t="str">
        <f>IFERROR(__xludf.DUMMYFUNCTION("""COMPUTED_VALUE"""),"")</f>
        <v/>
      </c>
      <c r="U463" s="1" t="str">
        <f>IFERROR(__xludf.DUMMYFUNCTION("""COMPUTED_VALUE"""),"")</f>
        <v/>
      </c>
      <c r="V463" s="1" t="str">
        <f>IFERROR(__xludf.DUMMYFUNCTION("""COMPUTED_VALUE"""),"110,000")</f>
        <v>110,000</v>
      </c>
      <c r="W463" s="1" t="str">
        <f>IFERROR(__xludf.DUMMYFUNCTION("""COMPUTED_VALUE"""),"")</f>
        <v/>
      </c>
      <c r="X463" s="1" t="str">
        <f>IFERROR(__xludf.DUMMYFUNCTION("""COMPUTED_VALUE"""),"")</f>
        <v/>
      </c>
      <c r="Y463" s="1" t="str">
        <f>IFERROR(__xludf.DUMMYFUNCTION("""COMPUTED_VALUE"""),"")</f>
        <v/>
      </c>
      <c r="Z463" s="1" t="str">
        <f>IFERROR(__xludf.DUMMYFUNCTION("""COMPUTED_VALUE"""),"Yes")</f>
        <v>Yes</v>
      </c>
      <c r="AA463" s="1" t="str">
        <f>IFERROR(__xludf.DUMMYFUNCTION("""COMPUTED_VALUE"""),"")</f>
        <v/>
      </c>
      <c r="AB463" s="1" t="str">
        <f>IFERROR(__xludf.DUMMYFUNCTION("""COMPUTED_VALUE"""),"")</f>
        <v/>
      </c>
      <c r="AC463" s="1" t="str">
        <f>IFERROR(__xludf.DUMMYFUNCTION("""COMPUTED_VALUE"""),"")</f>
        <v/>
      </c>
      <c r="AD463" s="1" t="str">
        <f>IFERROR(__xludf.DUMMYFUNCTION("""COMPUTED_VALUE"""),"")</f>
        <v/>
      </c>
      <c r="AE463" s="1" t="str">
        <f>IFERROR(__xludf.DUMMYFUNCTION("""COMPUTED_VALUE"""),"")</f>
        <v/>
      </c>
      <c r="AF463" s="1" t="str">
        <f>IFERROR(__xludf.DUMMYFUNCTION("""COMPUTED_VALUE"""),"")</f>
        <v/>
      </c>
      <c r="AG463" s="1" t="str">
        <f>IFERROR(__xludf.DUMMYFUNCTION("""COMPUTED_VALUE"""),"")</f>
        <v/>
      </c>
      <c r="AH463" s="1" t="str">
        <f>IFERROR(__xludf.DUMMYFUNCTION("""COMPUTED_VALUE"""),"Media Monitoring")</f>
        <v>Media Monitoring</v>
      </c>
      <c r="AI463" s="2" t="str">
        <f>IFERROR(__xludf.DUMMYFUNCTION("""COMPUTED_VALUE"""),"https://www.fox2detroit.com/news/new-ai-data-center-proposed-southfield-amid-others-across-metro-detroit")</f>
        <v>https://www.fox2detroit.com/news/new-ai-data-center-proposed-southfield-amid-others-across-metro-detroit</v>
      </c>
      <c r="AJ463" s="2" t="str">
        <f>IFERROR(__xludf.DUMMYFUNCTION("""COMPUTED_VALUE"""),"https://www.cbsnews.com/detroit/news/southfield-data-center-proposal-city-council-vote/")</f>
        <v>https://www.cbsnews.com/detroit/news/southfield-data-center-proposal-city-council-vote/</v>
      </c>
      <c r="AK463" s="2" t="str">
        <f>IFERROR(__xludf.DUMMYFUNCTION("""COMPUTED_VALUE"""),"https://planetdetroit.org/2025/12/southfield-data-center-approval/")</f>
        <v>https://planetdetroit.org/2025/12/southfield-data-center-approval/</v>
      </c>
      <c r="AL463" s="2" t="str">
        <f>IFERROR(__xludf.DUMMYFUNCTION("""COMPUTED_VALUE"""),"https://www.wxyz.com/news/southfield-residents-voice-concerns-over-proposed-data-center-at-packed-council-meeting")</f>
        <v>https://www.wxyz.com/news/southfield-residents-voice-concerns-over-proposed-data-center-at-packed-council-meeting</v>
      </c>
      <c r="AM463" s="1" t="str">
        <f>IFERROR(__xludf.DUMMYFUNCTION("""COMPUTED_VALUE"""),"")</f>
        <v/>
      </c>
      <c r="AN463" s="1" t="str">
        <f>IFERROR(__xludf.DUMMYFUNCTION("""COMPUTED_VALUE"""),"")</f>
        <v/>
      </c>
      <c r="AO463" s="1" t="str">
        <f>IFERROR(__xludf.DUMMYFUNCTION("""COMPUTED_VALUE"""),"")</f>
        <v/>
      </c>
      <c r="AP463" s="1" t="str">
        <f>IFERROR(__xludf.DUMMYFUNCTION("""COMPUTED_VALUE"""),"")</f>
        <v/>
      </c>
      <c r="AQ463" s="1" t="str">
        <f>IFERROR(__xludf.DUMMYFUNCTION("""COMPUTED_VALUE"""),"01/04/2026")</f>
        <v>01/04/2026</v>
      </c>
      <c r="AR463" s="1" t="str">
        <f>IFERROR(__xludf.DUMMYFUNCTION("""COMPUTED_VALUE"""),"01/04/2026")</f>
        <v>01/04/2026</v>
      </c>
    </row>
    <row r="464">
      <c r="A464" s="1" t="str">
        <f>IFERROR(__xludf.DUMMYFUNCTION("""COMPUTED_VALUE"""),"Howell Data Center")</f>
        <v>Howell Data Center</v>
      </c>
      <c r="B464" s="1" t="str">
        <f>IFERROR(__xludf.DUMMYFUNCTION("""COMPUTED_VALUE"""),"5781 Grand River Ave")</f>
        <v>5781 Grand River Ave</v>
      </c>
      <c r="C464" s="1" t="str">
        <f>IFERROR(__xludf.DUMMYFUNCTION("""COMPUTED_VALUE"""),"Fowlerville")</f>
        <v>Fowlerville</v>
      </c>
      <c r="D464" s="1" t="str">
        <f>IFERROR(__xludf.DUMMYFUNCTION("""COMPUTED_VALUE"""),"MI")</f>
        <v>MI</v>
      </c>
      <c r="E464" s="1" t="str">
        <f>IFERROR(__xludf.DUMMYFUNCTION("""COMPUTED_VALUE"""),"48836")</f>
        <v>48836</v>
      </c>
      <c r="F464" s="1" t="str">
        <f>IFERROR(__xludf.DUMMYFUNCTION("""COMPUTED_VALUE"""),"Livingston")</f>
        <v>Livingston</v>
      </c>
      <c r="G464" s="1" t="str">
        <f>IFERROR(__xludf.DUMMYFUNCTION("""COMPUTED_VALUE"""),"42.655422")</f>
        <v>42.655422</v>
      </c>
      <c r="H464" s="1" t="str">
        <f>IFERROR(__xludf.DUMMYFUNCTION("""COMPUTED_VALUE"""),"-84.02875")</f>
        <v>-84.02875</v>
      </c>
      <c r="I464" s="1" t="str">
        <f>IFERROR(__xludf.DUMMYFUNCTION("""COMPUTED_VALUE"""),"Cancelled")</f>
        <v>Cancelled</v>
      </c>
      <c r="J464" s="1" t="str">
        <f>IFERROR(__xludf.DUMMYFUNCTION("""COMPUTED_VALUE"""),"High")</f>
        <v>High</v>
      </c>
      <c r="K464" s="1" t="str">
        <f>IFERROR(__xludf.DUMMYFUNCTION("""COMPUTED_VALUE"""),"")</f>
        <v/>
      </c>
      <c r="L464" s="1" t="str">
        <f>IFERROR(__xludf.DUMMYFUNCTION("""COMPUTED_VALUE"""),"Santec Consulting/Meta")</f>
        <v>Santec Consulting/Meta</v>
      </c>
      <c r="M464" s="1" t="str">
        <f>IFERROR(__xludf.DUMMYFUNCTION("""COMPUTED_VALUE"""),"")</f>
        <v/>
      </c>
      <c r="N464" s="1" t="str">
        <f>IFERROR(__xludf.DUMMYFUNCTION("""COMPUTED_VALUE"""),"")</f>
        <v/>
      </c>
      <c r="O464" s="1" t="str">
        <f>IFERROR(__xludf.DUMMYFUNCTION("""COMPUTED_VALUE"""),"Hyperscale (100-999 MW)")</f>
        <v>Hyperscale (100-999 MW)</v>
      </c>
      <c r="P464" s="1" t="str">
        <f>IFERROR(__xludf.DUMMYFUNCTION("""COMPUTED_VALUE"""),"")</f>
        <v/>
      </c>
      <c r="Q464" s="1" t="str">
        <f>IFERROR(__xludf.DUMMYFUNCTION("""COMPUTED_VALUE"""),"")</f>
        <v/>
      </c>
      <c r="R464" s="1" t="str">
        <f>IFERROR(__xludf.DUMMYFUNCTION("""COMPUTED_VALUE"""),"")</f>
        <v/>
      </c>
      <c r="S464" s="1" t="str">
        <f>IFERROR(__xludf.DUMMYFUNCTION("""COMPUTED_VALUE"""),"")</f>
        <v/>
      </c>
      <c r="T464" s="1" t="str">
        <f>IFERROR(__xludf.DUMMYFUNCTION("""COMPUTED_VALUE"""),"")</f>
        <v/>
      </c>
      <c r="U464" s="1" t="str">
        <f>IFERROR(__xludf.DUMMYFUNCTION("""COMPUTED_VALUE"""),"")</f>
        <v/>
      </c>
      <c r="V464" s="1" t="str">
        <f>IFERROR(__xludf.DUMMYFUNCTION("""COMPUTED_VALUE"""),"")</f>
        <v/>
      </c>
      <c r="W464" s="1" t="str">
        <f>IFERROR(__xludf.DUMMYFUNCTION("""COMPUTED_VALUE"""),"1077")</f>
        <v>1077</v>
      </c>
      <c r="X464" s="1" t="str">
        <f>IFERROR(__xludf.DUMMYFUNCTION("""COMPUTED_VALUE"""),"$1 billion")</f>
        <v>$1 billion</v>
      </c>
      <c r="Y464" s="1" t="str">
        <f>IFERROR(__xludf.DUMMYFUNCTION("""COMPUTED_VALUE"""),"")</f>
        <v/>
      </c>
      <c r="Z464" s="1" t="str">
        <f>IFERROR(__xludf.DUMMYFUNCTION("""COMPUTED_VALUE"""),"Yes")</f>
        <v>Yes</v>
      </c>
      <c r="AA464" s="1" t="str">
        <f>IFERROR(__xludf.DUMMYFUNCTION("""COMPUTED_VALUE"""),"")</f>
        <v/>
      </c>
      <c r="AB464" s="1" t="str">
        <f>IFERROR(__xludf.DUMMYFUNCTION("""COMPUTED_VALUE"""),"")</f>
        <v/>
      </c>
      <c r="AC464" s="1" t="str">
        <f>IFERROR(__xludf.DUMMYFUNCTION("""COMPUTED_VALUE"""),"")</f>
        <v/>
      </c>
      <c r="AD464" s="2" t="str">
        <f>IFERROR(__xludf.DUMMYFUNCTION("""COMPUTED_VALUE"""),"https://www.facebook.com/groups/1890995838502334/")</f>
        <v>https://www.facebook.com/groups/1890995838502334/</v>
      </c>
      <c r="AE464" s="2" t="str">
        <f>IFERROR(__xludf.DUMMYFUNCTION("""COMPUTED_VALUE"""),"https://www.change.org/p/stop-the-construction-of-michigan-s-largest-data-center-in-howell")</f>
        <v>https://www.change.org/p/stop-the-construction-of-michigan-s-largest-data-center-in-howell</v>
      </c>
      <c r="AF464" s="2" t="str">
        <f>IFERROR(__xludf.DUMMYFUNCTION("""COMPUTED_VALUE"""),"https://www.change.org/p/demand-the-howell-township-board-enact-a-6-month-moratorium-on-rezoning")</f>
        <v>https://www.change.org/p/demand-the-howell-township-board-enact-a-6-month-moratorium-on-rezoning</v>
      </c>
      <c r="AG464" s="1" t="str">
        <f>IFERROR(__xludf.DUMMYFUNCTION("""COMPUTED_VALUE"""),"6 month Howell Township moratorium on data centers proposals does not apply to this facility")</f>
        <v>6 month Howell Township moratorium on data centers proposals does not apply to this facility</v>
      </c>
      <c r="AH464" s="1" t="str">
        <f>IFERROR(__xludf.DUMMYFUNCTION("""COMPUTED_VALUE"""),"Media Monitoring")</f>
        <v>Media Monitoring</v>
      </c>
      <c r="AI464" s="2" t="str">
        <f>IFERROR(__xludf.DUMMYFUNCTION("""COMPUTED_VALUE"""),"https://www.datacenterdynamics.com/en/news/1000-acre-data-center-campus-planned-outside-detroit-michigan-set-to-be-blocked/")</f>
        <v>https://www.datacenterdynamics.com/en/news/1000-acre-data-center-campus-planned-outside-detroit-michigan-set-to-be-blocked/</v>
      </c>
      <c r="AJ464" s="2" t="str">
        <f>IFERROR(__xludf.DUMMYFUNCTION("""COMPUTED_VALUE"""),"https://planetdetroit.org/2025/09/data-center-rezoning-howell/")</f>
        <v>https://planetdetroit.org/2025/09/data-center-rezoning-howell/</v>
      </c>
      <c r="AK464" s="2" t="str">
        <f>IFERROR(__xludf.DUMMYFUNCTION("""COMPUTED_VALUE"""),"https://www.cbsnews.com/detroit/news/howell-township-data-center-developer-withdraws-project-application/")</f>
        <v>https://www.cbsnews.com/detroit/news/howell-township-data-center-developer-withdraws-project-application/</v>
      </c>
      <c r="AL464" s="2" t="str">
        <f>IFERROR(__xludf.DUMMYFUNCTION("""COMPUTED_VALUE"""),"https://michiganadvance.com/2025/11/21/local-michigan-township-trustee-says-meta-is-behind-data-center-project-planned-near-howell/")</f>
        <v>https://michiganadvance.com/2025/11/21/local-michigan-township-trustee-says-meta-is-behind-data-center-project-planned-near-howell/</v>
      </c>
      <c r="AM464" s="2" t="str">
        <f>IFERROR(__xludf.DUMMYFUNCTION("""COMPUTED_VALUE"""),"https://www.mlive.com/news/ann-arbor/2025/11/meta-behind-1b-data-center-project-near-howell-trustee-confirms.html")</f>
        <v>https://www.mlive.com/news/ann-arbor/2025/11/meta-behind-1b-data-center-project-near-howell-trustee-confirms.html</v>
      </c>
      <c r="AN464" s="2" t="str">
        <f>IFERROR(__xludf.DUMMYFUNCTION("""COMPUTED_VALUE"""),"https://www.whmi.com/news/article/developers-withdraw-re-zoning-application-for-proposed-data-center-in-howell-twp?fbclid=IwY2xjawOjxD5leHRuA2FlbQIxMABicmlkETFGTWdNTnFwVzhHUFAxcXRrc3J0YwZhcHBfaWQQMjIyMDM5MTc4ODIwMDg5MgABHqbt42SjPESM_B2BmdYNZGnBkWqqW2rX4bX"&amp;"uiVk3lYnyLj84qbo_n3pDm2Yp_aem_SOH2yzjxxo5bOquwuYeBEw")</f>
        <v>https://www.whmi.com/news/article/developers-withdraw-re-zoning-application-for-proposed-data-center-in-howell-twp?fbclid=IwY2xjawOjxD5leHRuA2FlbQIxMABicmlkETFGTWdNTnFwVzhHUFAxcXRrc3J0YwZhcHBfaWQQMjIyMDM5MTc4ODIwMDg5MgABHqbt42SjPESM_B2BmdYNZGnBkWqqW2rX4bXuiVk3lYnyLj84qbo_n3pDm2Yp_aem_SOH2yzjxxo5bOquwuYeBEw</v>
      </c>
      <c r="AO464" s="2" t="str">
        <f>IFERROR(__xludf.DUMMYFUNCTION("""COMPUTED_VALUE"""),"https://www.whmi.com/news/article/vangilder-family-farm-data-center")</f>
        <v>https://www.whmi.com/news/article/vangilder-family-farm-data-center</v>
      </c>
      <c r="AP464" s="2" t="str">
        <f>IFERROR(__xludf.DUMMYFUNCTION("""COMPUTED_VALUE"""),"https://planetdetroit.org/2025/12/billion-dollar-data-center-paused/")</f>
        <v>https://planetdetroit.org/2025/12/billion-dollar-data-center-paused/</v>
      </c>
      <c r="AQ464" s="1" t="str">
        <f>IFERROR(__xludf.DUMMYFUNCTION("""COMPUTED_VALUE"""),"11/16/2025")</f>
        <v>11/16/2025</v>
      </c>
      <c r="AR464" s="1" t="str">
        <f>IFERROR(__xludf.DUMMYFUNCTION("""COMPUTED_VALUE"""),"11/24/2025")</f>
        <v>11/24/2025</v>
      </c>
    </row>
    <row r="465">
      <c r="A465" s="1" t="str">
        <f>IFERROR(__xludf.DUMMYFUNCTION("""COMPUTED_VALUE"""),"Microsoft Grand Rapids Data Center")</f>
        <v>Microsoft Grand Rapids Data Center</v>
      </c>
      <c r="B465" s="1" t="str">
        <f>IFERROR(__xludf.DUMMYFUNCTION("""COMPUTED_VALUE"""),"7174 Patterson Ave SE")</f>
        <v>7174 Patterson Ave SE</v>
      </c>
      <c r="C465" s="1" t="str">
        <f>IFERROR(__xludf.DUMMYFUNCTION("""COMPUTED_VALUE"""),"Grand Rapids")</f>
        <v>Grand Rapids</v>
      </c>
      <c r="D465" s="1" t="str">
        <f>IFERROR(__xludf.DUMMYFUNCTION("""COMPUTED_VALUE"""),"MI")</f>
        <v>MI</v>
      </c>
      <c r="E465" s="1" t="str">
        <f>IFERROR(__xludf.DUMMYFUNCTION("""COMPUTED_VALUE"""),"49512")</f>
        <v>49512</v>
      </c>
      <c r="F465" s="1" t="str">
        <f>IFERROR(__xludf.DUMMYFUNCTION("""COMPUTED_VALUE"""),"Kent")</f>
        <v>Kent</v>
      </c>
      <c r="G465" s="1" t="str">
        <f>IFERROR(__xludf.DUMMYFUNCTION("""COMPUTED_VALUE"""),"42.85125")</f>
        <v>42.85125</v>
      </c>
      <c r="H465" s="1" t="str">
        <f>IFERROR(__xludf.DUMMYFUNCTION("""COMPUTED_VALUE"""),"-85.54604")</f>
        <v>-85.54604</v>
      </c>
      <c r="I465" s="1" t="str">
        <f>IFERROR(__xludf.DUMMYFUNCTION("""COMPUTED_VALUE"""),"Proposed")</f>
        <v>Proposed</v>
      </c>
      <c r="J465" s="1" t="str">
        <f>IFERROR(__xludf.DUMMYFUNCTION("""COMPUTED_VALUE"""),"High")</f>
        <v>High</v>
      </c>
      <c r="K465" s="1" t="str">
        <f>IFERROR(__xludf.DUMMYFUNCTION("""COMPUTED_VALUE"""),"")</f>
        <v/>
      </c>
      <c r="L465" s="1" t="str">
        <f>IFERROR(__xludf.DUMMYFUNCTION("""COMPUTED_VALUE"""),"Microsoft")</f>
        <v>Microsoft</v>
      </c>
      <c r="M465" s="1" t="str">
        <f>IFERROR(__xludf.DUMMYFUNCTION("""COMPUTED_VALUE"""),"")</f>
        <v/>
      </c>
      <c r="N465" s="1" t="str">
        <f>IFERROR(__xludf.DUMMYFUNCTION("""COMPUTED_VALUE"""),"")</f>
        <v/>
      </c>
      <c r="O465" s="1" t="str">
        <f>IFERROR(__xludf.DUMMYFUNCTION("""COMPUTED_VALUE"""),"Unknown")</f>
        <v>Unknown</v>
      </c>
      <c r="P465" s="1" t="str">
        <f>IFERROR(__xludf.DUMMYFUNCTION("""COMPUTED_VALUE"""),"")</f>
        <v/>
      </c>
      <c r="Q465" s="1" t="str">
        <f>IFERROR(__xludf.DUMMYFUNCTION("""COMPUTED_VALUE"""),"")</f>
        <v/>
      </c>
      <c r="R465" s="1" t="str">
        <f>IFERROR(__xludf.DUMMYFUNCTION("""COMPUTED_VALUE"""),"")</f>
        <v/>
      </c>
      <c r="S465" s="1" t="str">
        <f>IFERROR(__xludf.DUMMYFUNCTION("""COMPUTED_VALUE"""),"")</f>
        <v/>
      </c>
      <c r="T465" s="1" t="str">
        <f>IFERROR(__xludf.DUMMYFUNCTION("""COMPUTED_VALUE"""),"")</f>
        <v/>
      </c>
      <c r="U465" s="1" t="str">
        <f>IFERROR(__xludf.DUMMYFUNCTION("""COMPUTED_VALUE"""),"")</f>
        <v/>
      </c>
      <c r="V465" s="1" t="str">
        <f>IFERROR(__xludf.DUMMYFUNCTION("""COMPUTED_VALUE"""),"")</f>
        <v/>
      </c>
      <c r="W465" s="1" t="str">
        <f>IFERROR(__xludf.DUMMYFUNCTION("""COMPUTED_VALUE"""),"316")</f>
        <v>316</v>
      </c>
      <c r="X465" s="1" t="str">
        <f>IFERROR(__xludf.DUMMYFUNCTION("""COMPUTED_VALUE"""),"")</f>
        <v/>
      </c>
      <c r="Y465" s="1" t="str">
        <f>IFERROR(__xludf.DUMMYFUNCTION("""COMPUTED_VALUE"""),"")</f>
        <v/>
      </c>
      <c r="Z465" s="1" t="str">
        <f>IFERROR(__xludf.DUMMYFUNCTION("""COMPUTED_VALUE"""),"Unknown")</f>
        <v>Unknown</v>
      </c>
      <c r="AA465" s="1" t="str">
        <f>IFERROR(__xludf.DUMMYFUNCTION("""COMPUTED_VALUE"""),"")</f>
        <v/>
      </c>
      <c r="AB465" s="1" t="str">
        <f>IFERROR(__xludf.DUMMYFUNCTION("""COMPUTED_VALUE"""),"")</f>
        <v/>
      </c>
      <c r="AC465" s="1" t="str">
        <f>IFERROR(__xludf.DUMMYFUNCTION("""COMPUTED_VALUE"""),"")</f>
        <v/>
      </c>
      <c r="AD465" s="1" t="str">
        <f>IFERROR(__xludf.DUMMYFUNCTION("""COMPUTED_VALUE"""),"")</f>
        <v/>
      </c>
      <c r="AE465" s="1" t="str">
        <f>IFERROR(__xludf.DUMMYFUNCTION("""COMPUTED_VALUE"""),"")</f>
        <v/>
      </c>
      <c r="AF465" s="1" t="str">
        <f>IFERROR(__xludf.DUMMYFUNCTION("""COMPUTED_VALUE"""),"")</f>
        <v/>
      </c>
      <c r="AG465" s="1" t="str">
        <f>IFERROR(__xludf.DUMMYFUNCTION("""COMPUTED_VALUE"""),"")</f>
        <v/>
      </c>
      <c r="AH465" s="1" t="str">
        <f>IFERROR(__xludf.DUMMYFUNCTION("""COMPUTED_VALUE"""),"Media Monitoring")</f>
        <v>Media Monitoring</v>
      </c>
      <c r="AI465" s="2" t="str">
        <f>IFERROR(__xludf.DUMMYFUNCTION("""COMPUTED_VALUE"""),"https://www.datacenterdynamics.com/en/news/microsoft-confirms-plans-for-data-center-in-grand-rapids-michigan/")</f>
        <v>https://www.datacenterdynamics.com/en/news/microsoft-confirms-plans-for-data-center-in-grand-rapids-michigan/</v>
      </c>
      <c r="AJ465" s="1" t="str">
        <f>IFERROR(__xludf.DUMMYFUNCTION("""COMPUTED_VALUE"""),"")</f>
        <v/>
      </c>
      <c r="AK465" s="1" t="str">
        <f>IFERROR(__xludf.DUMMYFUNCTION("""COMPUTED_VALUE"""),"")</f>
        <v/>
      </c>
      <c r="AL465" s="1" t="str">
        <f>IFERROR(__xludf.DUMMYFUNCTION("""COMPUTED_VALUE"""),"")</f>
        <v/>
      </c>
      <c r="AM465" s="1" t="str">
        <f>IFERROR(__xludf.DUMMYFUNCTION("""COMPUTED_VALUE"""),"")</f>
        <v/>
      </c>
      <c r="AN465" s="1" t="str">
        <f>IFERROR(__xludf.DUMMYFUNCTION("""COMPUTED_VALUE"""),"")</f>
        <v/>
      </c>
      <c r="AO465" s="1" t="str">
        <f>IFERROR(__xludf.DUMMYFUNCTION("""COMPUTED_VALUE"""),"")</f>
        <v/>
      </c>
      <c r="AP465" s="1" t="str">
        <f>IFERROR(__xludf.DUMMYFUNCTION("""COMPUTED_VALUE"""),"")</f>
        <v/>
      </c>
      <c r="AQ465" s="1" t="str">
        <f>IFERROR(__xludf.DUMMYFUNCTION("""COMPUTED_VALUE"""),"12/18/2025")</f>
        <v>12/18/2025</v>
      </c>
      <c r="AR465" s="1" t="str">
        <f>IFERROR(__xludf.DUMMYFUNCTION("""COMPUTED_VALUE"""),"12/18/2025")</f>
        <v>12/18/2025</v>
      </c>
    </row>
    <row r="466">
      <c r="A466" s="1" t="str">
        <f>IFERROR(__xludf.DUMMYFUNCTION("""COMPUTED_VALUE"""),"Harbor Farmz Data Center")</f>
        <v>Harbor Farmz Data Center</v>
      </c>
      <c r="B466" s="1" t="str">
        <f>IFERROR(__xludf.DUMMYFUNCTION("""COMPUTED_VALUE"""),"2839 Full Circle Dr")</f>
        <v>2839 Full Circle Dr</v>
      </c>
      <c r="C466" s="1" t="str">
        <f>IFERROR(__xludf.DUMMYFUNCTION("""COMPUTED_VALUE"""),"Kalamazoo")</f>
        <v>Kalamazoo</v>
      </c>
      <c r="D466" s="1" t="str">
        <f>IFERROR(__xludf.DUMMYFUNCTION("""COMPUTED_VALUE"""),"MI")</f>
        <v>MI</v>
      </c>
      <c r="E466" s="1" t="str">
        <f>IFERROR(__xludf.DUMMYFUNCTION("""COMPUTED_VALUE"""),"49001")</f>
        <v>49001</v>
      </c>
      <c r="F466" s="1" t="str">
        <f>IFERROR(__xludf.DUMMYFUNCTION("""COMPUTED_VALUE"""),"Kalamazoo")</f>
        <v>Kalamazoo</v>
      </c>
      <c r="G466" s="1" t="str">
        <f>IFERROR(__xludf.DUMMYFUNCTION("""COMPUTED_VALUE"""),"42.262714")</f>
        <v>42.262714</v>
      </c>
      <c r="H466" s="1" t="str">
        <f>IFERROR(__xludf.DUMMYFUNCTION("""COMPUTED_VALUE"""),"-85.54166")</f>
        <v>-85.54166</v>
      </c>
      <c r="I466" s="1" t="str">
        <f>IFERROR(__xludf.DUMMYFUNCTION("""COMPUTED_VALUE"""),"Proposed")</f>
        <v>Proposed</v>
      </c>
      <c r="J466" s="1" t="str">
        <f>IFERROR(__xludf.DUMMYFUNCTION("""COMPUTED_VALUE"""),"High")</f>
        <v>High</v>
      </c>
      <c r="K466" s="1" t="str">
        <f>IFERROR(__xludf.DUMMYFUNCTION("""COMPUTED_VALUE"""),"")</f>
        <v/>
      </c>
      <c r="L466" s="1" t="str">
        <f>IFERROR(__xludf.DUMMYFUNCTION("""COMPUTED_VALUE"""),"")</f>
        <v/>
      </c>
      <c r="M466" s="1" t="str">
        <f>IFERROR(__xludf.DUMMYFUNCTION("""COMPUTED_VALUE"""),"")</f>
        <v/>
      </c>
      <c r="N466" s="1" t="str">
        <f>IFERROR(__xludf.DUMMYFUNCTION("""COMPUTED_VALUE"""),"1")</f>
        <v>1</v>
      </c>
      <c r="O466" s="1" t="str">
        <f>IFERROR(__xludf.DUMMYFUNCTION("""COMPUTED_VALUE"""),"Small (0-10 MW)")</f>
        <v>Small (0-10 MW)</v>
      </c>
      <c r="P466" s="1" t="str">
        <f>IFERROR(__xludf.DUMMYFUNCTION("""COMPUTED_VALUE"""),"")</f>
        <v/>
      </c>
      <c r="Q466" s="1" t="str">
        <f>IFERROR(__xludf.DUMMYFUNCTION("""COMPUTED_VALUE"""),"")</f>
        <v/>
      </c>
      <c r="R466" s="1" t="str">
        <f>IFERROR(__xludf.DUMMYFUNCTION("""COMPUTED_VALUE"""),"")</f>
        <v/>
      </c>
      <c r="S466" s="1" t="str">
        <f>IFERROR(__xludf.DUMMYFUNCTION("""COMPUTED_VALUE"""),"")</f>
        <v/>
      </c>
      <c r="T466" s="1" t="str">
        <f>IFERROR(__xludf.DUMMYFUNCTION("""COMPUTED_VALUE"""),"")</f>
        <v/>
      </c>
      <c r="U466" s="1" t="str">
        <f>IFERROR(__xludf.DUMMYFUNCTION("""COMPUTED_VALUE"""),"")</f>
        <v/>
      </c>
      <c r="V466" s="1" t="str">
        <f>IFERROR(__xludf.DUMMYFUNCTION("""COMPUTED_VALUE"""),"")</f>
        <v/>
      </c>
      <c r="W466" s="1" t="str">
        <f>IFERROR(__xludf.DUMMYFUNCTION("""COMPUTED_VALUE"""),"")</f>
        <v/>
      </c>
      <c r="X466" s="1" t="str">
        <f>IFERROR(__xludf.DUMMYFUNCTION("""COMPUTED_VALUE"""),"")</f>
        <v/>
      </c>
      <c r="Y466" s="1" t="str">
        <f>IFERROR(__xludf.DUMMYFUNCTION("""COMPUTED_VALUE"""),"")</f>
        <v/>
      </c>
      <c r="Z466" s="1" t="str">
        <f>IFERROR(__xludf.DUMMYFUNCTION("""COMPUTED_VALUE"""),"Unknown")</f>
        <v>Unknown</v>
      </c>
      <c r="AA466" s="1" t="str">
        <f>IFERROR(__xludf.DUMMYFUNCTION("""COMPUTED_VALUE"""),"")</f>
        <v/>
      </c>
      <c r="AB466" s="1" t="str">
        <f>IFERROR(__xludf.DUMMYFUNCTION("""COMPUTED_VALUE"""),"")</f>
        <v/>
      </c>
      <c r="AC466" s="1" t="str">
        <f>IFERROR(__xludf.DUMMYFUNCTION("""COMPUTED_VALUE"""),"")</f>
        <v/>
      </c>
      <c r="AD466" s="1" t="str">
        <f>IFERROR(__xludf.DUMMYFUNCTION("""COMPUTED_VALUE"""),"")</f>
        <v/>
      </c>
      <c r="AE466" s="1" t="str">
        <f>IFERROR(__xludf.DUMMYFUNCTION("""COMPUTED_VALUE"""),"")</f>
        <v/>
      </c>
      <c r="AF466" s="1" t="str">
        <f>IFERROR(__xludf.DUMMYFUNCTION("""COMPUTED_VALUE"""),"")</f>
        <v/>
      </c>
      <c r="AG466" s="1" t="str">
        <f>IFERROR(__xludf.DUMMYFUNCTION("""COMPUTED_VALUE"""),"")</f>
        <v/>
      </c>
      <c r="AH466" s="1" t="str">
        <f>IFERROR(__xludf.DUMMYFUNCTION("""COMPUTED_VALUE"""),"Media Monitoring")</f>
        <v>Media Monitoring</v>
      </c>
      <c r="AI466" s="2" t="str">
        <f>IFERROR(__xludf.DUMMYFUNCTION("""COMPUTED_VALUE"""),"https://www.datacenterdynamics.com/en/news/owners-of-indoor-cannabis-farm-in-michigan-offer-site-up-for-data-center-use/")</f>
        <v>https://www.datacenterdynamics.com/en/news/owners-of-indoor-cannabis-farm-in-michigan-offer-site-up-for-data-center-use/</v>
      </c>
      <c r="AJ466" s="1" t="str">
        <f>IFERROR(__xludf.DUMMYFUNCTION("""COMPUTED_VALUE"""),"")</f>
        <v/>
      </c>
      <c r="AK466" s="1" t="str">
        <f>IFERROR(__xludf.DUMMYFUNCTION("""COMPUTED_VALUE"""),"")</f>
        <v/>
      </c>
      <c r="AL466" s="1" t="str">
        <f>IFERROR(__xludf.DUMMYFUNCTION("""COMPUTED_VALUE"""),"")</f>
        <v/>
      </c>
      <c r="AM466" s="1" t="str">
        <f>IFERROR(__xludf.DUMMYFUNCTION("""COMPUTED_VALUE"""),"")</f>
        <v/>
      </c>
      <c r="AN466" s="1" t="str">
        <f>IFERROR(__xludf.DUMMYFUNCTION("""COMPUTED_VALUE"""),"")</f>
        <v/>
      </c>
      <c r="AO466" s="1" t="str">
        <f>IFERROR(__xludf.DUMMYFUNCTION("""COMPUTED_VALUE"""),"")</f>
        <v/>
      </c>
      <c r="AP466" s="1" t="str">
        <f>IFERROR(__xludf.DUMMYFUNCTION("""COMPUTED_VALUE"""),"")</f>
        <v/>
      </c>
      <c r="AQ466" s="1" t="str">
        <f>IFERROR(__xludf.DUMMYFUNCTION("""COMPUTED_VALUE"""),"06/12/2026")</f>
        <v>06/12/2026</v>
      </c>
      <c r="AR466" s="1" t="str">
        <f>IFERROR(__xludf.DUMMYFUNCTION("""COMPUTED_VALUE"""),"06/12/2026")</f>
        <v>06/12/2026</v>
      </c>
    </row>
    <row r="467">
      <c r="A467" s="1" t="str">
        <f>IFERROR(__xludf.DUMMYFUNCTION("""COMPUTED_VALUE"""),"Kalamazoo County Data Center")</f>
        <v>Kalamazoo County Data Center</v>
      </c>
      <c r="B467" s="1" t="str">
        <f>IFERROR(__xludf.DUMMYFUNCTION("""COMPUTED_VALUE"""),"S 26th Street and E N Avenue")</f>
        <v>S 26th Street and E N Avenue</v>
      </c>
      <c r="C467" s="1" t="str">
        <f>IFERROR(__xludf.DUMMYFUNCTION("""COMPUTED_VALUE"""),"Kalamazoo")</f>
        <v>Kalamazoo</v>
      </c>
      <c r="D467" s="1" t="str">
        <f>IFERROR(__xludf.DUMMYFUNCTION("""COMPUTED_VALUE"""),"MI")</f>
        <v>MI</v>
      </c>
      <c r="E467" s="1" t="str">
        <f>IFERROR(__xludf.DUMMYFUNCTION("""COMPUTED_VALUE"""),"49048")</f>
        <v>49048</v>
      </c>
      <c r="F467" s="1" t="str">
        <f>IFERROR(__xludf.DUMMYFUNCTION("""COMPUTED_VALUE"""),"Kalamazoo")</f>
        <v>Kalamazoo</v>
      </c>
      <c r="G467" s="1" t="str">
        <f>IFERROR(__xludf.DUMMYFUNCTION("""COMPUTED_VALUE"""),"42.243793")</f>
        <v>42.243793</v>
      </c>
      <c r="H467" s="1" t="str">
        <f>IFERROR(__xludf.DUMMYFUNCTION("""COMPUTED_VALUE"""),"-85.51012")</f>
        <v>-85.51012</v>
      </c>
      <c r="I467" s="1" t="str">
        <f>IFERROR(__xludf.DUMMYFUNCTION("""COMPUTED_VALUE"""),"Suspended")</f>
        <v>Suspended</v>
      </c>
      <c r="J467" s="1" t="str">
        <f>IFERROR(__xludf.DUMMYFUNCTION("""COMPUTED_VALUE"""),"High")</f>
        <v>High</v>
      </c>
      <c r="K467" s="1" t="str">
        <f>IFERROR(__xludf.DUMMYFUNCTION("""COMPUTED_VALUE"""),"")</f>
        <v/>
      </c>
      <c r="L467" s="1" t="str">
        <f>IFERROR(__xludf.DUMMYFUNCTION("""COMPUTED_VALUE"""),"")</f>
        <v/>
      </c>
      <c r="M467" s="1" t="str">
        <f>IFERROR(__xludf.DUMMYFUNCTION("""COMPUTED_VALUE"""),"")</f>
        <v/>
      </c>
      <c r="N467" s="1" t="str">
        <f>IFERROR(__xludf.DUMMYFUNCTION("""COMPUTED_VALUE"""),"")</f>
        <v/>
      </c>
      <c r="O467" s="1" t="str">
        <f>IFERROR(__xludf.DUMMYFUNCTION("""COMPUTED_VALUE"""),"Unknown")</f>
        <v>Unknown</v>
      </c>
      <c r="P467" s="1" t="str">
        <f>IFERROR(__xludf.DUMMYFUNCTION("""COMPUTED_VALUE"""),"")</f>
        <v/>
      </c>
      <c r="Q467" s="1" t="str">
        <f>IFERROR(__xludf.DUMMYFUNCTION("""COMPUTED_VALUE"""),"")</f>
        <v/>
      </c>
      <c r="R467" s="1" t="str">
        <f>IFERROR(__xludf.DUMMYFUNCTION("""COMPUTED_VALUE"""),"")</f>
        <v/>
      </c>
      <c r="S467" s="1" t="str">
        <f>IFERROR(__xludf.DUMMYFUNCTION("""COMPUTED_VALUE"""),"")</f>
        <v/>
      </c>
      <c r="T467" s="1" t="str">
        <f>IFERROR(__xludf.DUMMYFUNCTION("""COMPUTED_VALUE"""),"")</f>
        <v/>
      </c>
      <c r="U467" s="1" t="str">
        <f>IFERROR(__xludf.DUMMYFUNCTION("""COMPUTED_VALUE"""),"")</f>
        <v/>
      </c>
      <c r="V467" s="1" t="str">
        <f>IFERROR(__xludf.DUMMYFUNCTION("""COMPUTED_VALUE"""),"")</f>
        <v/>
      </c>
      <c r="W467" s="1" t="str">
        <f>IFERROR(__xludf.DUMMYFUNCTION("""COMPUTED_VALUE"""),"")</f>
        <v/>
      </c>
      <c r="X467" s="1" t="str">
        <f>IFERROR(__xludf.DUMMYFUNCTION("""COMPUTED_VALUE"""),"")</f>
        <v/>
      </c>
      <c r="Y467" s="1" t="str">
        <f>IFERROR(__xludf.DUMMYFUNCTION("""COMPUTED_VALUE"""),"")</f>
        <v/>
      </c>
      <c r="Z467" s="1" t="str">
        <f>IFERROR(__xludf.DUMMYFUNCTION("""COMPUTED_VALUE"""),"Yes")</f>
        <v>Yes</v>
      </c>
      <c r="AA467" s="1" t="str">
        <f>IFERROR(__xludf.DUMMYFUNCTION("""COMPUTED_VALUE"""),"Advocacy against the Franklin Partners LLC data center in Pavilion Township was primarily driven by a rapid grassroots movement of local residents. Concerned neighbors quickly organized to challenge the proposed zoning changes, leading to packed town hall"&amp;" meetings and an eventual project withdrawal in late 2025.")</f>
        <v>Advocacy against the Franklin Partners LLC data center in Pavilion Township was primarily driven by a rapid grassroots movement of local residents. Concerned neighbors quickly organized to challenge the proposed zoning changes, leading to packed town hall meetings and an eventual project withdrawal in late 2025.</v>
      </c>
      <c r="AB467" s="1" t="str">
        <f>IFERROR(__xludf.DUMMYFUNCTION("""COMPUTED_VALUE"""),"")</f>
        <v/>
      </c>
      <c r="AC467" s="1" t="str">
        <f>IFERROR(__xludf.DUMMYFUNCTION("""COMPUTED_VALUE"""),"")</f>
        <v/>
      </c>
      <c r="AD467" s="2" t="str">
        <f>IFERROR(__xludf.DUMMYFUNCTION("""COMPUTED_VALUE"""),"https://www.facebook.com/groups/1291506282276814/")</f>
        <v>https://www.facebook.com/groups/1291506282276814/</v>
      </c>
      <c r="AE467" s="1" t="str">
        <f>IFERROR(__xludf.DUMMYFUNCTION("""COMPUTED_VALUE"""),"")</f>
        <v/>
      </c>
      <c r="AF467" s="1" t="str">
        <f>IFERROR(__xludf.DUMMYFUNCTION("""COMPUTED_VALUE"""),"")</f>
        <v/>
      </c>
      <c r="AG467" s="1" t="str">
        <f>IFERROR(__xludf.DUMMYFUNCTION("""COMPUTED_VALUE"""),"Developer Don Shoemaker: ""Public displeasure is not our way of doing business. We want to be sure our interests are aligned with the community.""")</f>
        <v>Developer Don Shoemaker: "Public displeasure is not our way of doing business. We want to be sure our interests are aligned with the community."</v>
      </c>
      <c r="AH467" s="1" t="str">
        <f>IFERROR(__xludf.DUMMYFUNCTION("""COMPUTED_VALUE"""),"Media Monitoring")</f>
        <v>Media Monitoring</v>
      </c>
      <c r="AI467" s="2" t="str">
        <f>IFERROR(__xludf.DUMMYFUNCTION("""COMPUTED_VALUE"""),"https://www.youtube.com/watch?v=7TLuvv42Hjo")</f>
        <v>https://www.youtube.com/watch?v=7TLuvv42Hjo</v>
      </c>
      <c r="AJ467" s="2" t="str">
        <f>IFERROR(__xludf.DUMMYFUNCTION("""COMPUTED_VALUE"""),"https://wwmt.com/news/local/data-center-indistrial-hub-pavilion-township-community-concerns-halt-project-kalamazoo-county-franklin-partners-llc")</f>
        <v>https://wwmt.com/news/local/data-center-indistrial-hub-pavilion-township-community-concerns-halt-project-kalamazoo-county-franklin-partners-llc</v>
      </c>
      <c r="AK467" s="1" t="str">
        <f>IFERROR(__xludf.DUMMYFUNCTION("""COMPUTED_VALUE"""),"")</f>
        <v/>
      </c>
      <c r="AL467" s="1" t="str">
        <f>IFERROR(__xludf.DUMMYFUNCTION("""COMPUTED_VALUE"""),"")</f>
        <v/>
      </c>
      <c r="AM467" s="1" t="str">
        <f>IFERROR(__xludf.DUMMYFUNCTION("""COMPUTED_VALUE"""),"")</f>
        <v/>
      </c>
      <c r="AN467" s="1" t="str">
        <f>IFERROR(__xludf.DUMMYFUNCTION("""COMPUTED_VALUE"""),"")</f>
        <v/>
      </c>
      <c r="AO467" s="1" t="str">
        <f>IFERROR(__xludf.DUMMYFUNCTION("""COMPUTED_VALUE"""),"")</f>
        <v/>
      </c>
      <c r="AP467" s="1" t="str">
        <f>IFERROR(__xludf.DUMMYFUNCTION("""COMPUTED_VALUE"""),"")</f>
        <v/>
      </c>
      <c r="AQ467" s="1" t="str">
        <f>IFERROR(__xludf.DUMMYFUNCTION("""COMPUTED_VALUE"""),"11/03/2025")</f>
        <v>11/03/2025</v>
      </c>
      <c r="AR467" s="1" t="str">
        <f>IFERROR(__xludf.DUMMYFUNCTION("""COMPUTED_VALUE"""),"03/24/2026")</f>
        <v>03/24/2026</v>
      </c>
    </row>
    <row r="468">
      <c r="A468" s="1" t="str">
        <f>IFERROR(__xludf.DUMMYFUNCTION("""COMPUTED_VALUE"""),"Kalkaska Data Center")</f>
        <v>Kalkaska Data Center</v>
      </c>
      <c r="B468" s="1" t="str">
        <f>IFERROR(__xludf.DUMMYFUNCTION("""COMPUTED_VALUE"""),"Island Lake and South River Rds")</f>
        <v>Island Lake and South River Rds</v>
      </c>
      <c r="C468" s="1" t="str">
        <f>IFERROR(__xludf.DUMMYFUNCTION("""COMPUTED_VALUE"""),"Kalkaska Township")</f>
        <v>Kalkaska Township</v>
      </c>
      <c r="D468" s="1" t="str">
        <f>IFERROR(__xludf.DUMMYFUNCTION("""COMPUTED_VALUE"""),"MI")</f>
        <v>MI</v>
      </c>
      <c r="E468" s="1" t="str">
        <f>IFERROR(__xludf.DUMMYFUNCTION("""COMPUTED_VALUE"""),"49646")</f>
        <v>49646</v>
      </c>
      <c r="F468" s="1" t="str">
        <f>IFERROR(__xludf.DUMMYFUNCTION("""COMPUTED_VALUE"""),"Kalkaska")</f>
        <v>Kalkaska</v>
      </c>
      <c r="G468" s="1" t="str">
        <f>IFERROR(__xludf.DUMMYFUNCTION("""COMPUTED_VALUE"""),"44.728703")</f>
        <v>44.728703</v>
      </c>
      <c r="H468" s="1" t="str">
        <f>IFERROR(__xludf.DUMMYFUNCTION("""COMPUTED_VALUE"""),"-85.216324")</f>
        <v>-85.216324</v>
      </c>
      <c r="I468" s="1" t="str">
        <f>IFERROR(__xludf.DUMMYFUNCTION("""COMPUTED_VALUE"""),"Cancelled")</f>
        <v>Cancelled</v>
      </c>
      <c r="J468" s="1" t="str">
        <f>IFERROR(__xludf.DUMMYFUNCTION("""COMPUTED_VALUE"""),"Medium")</f>
        <v>Medium</v>
      </c>
      <c r="K468" s="1" t="str">
        <f>IFERROR(__xludf.DUMMYFUNCTION("""COMPUTED_VALUE"""),"")</f>
        <v/>
      </c>
      <c r="L468" s="1" t="str">
        <f>IFERROR(__xludf.DUMMYFUNCTION("""COMPUTED_VALUE"""),"")</f>
        <v/>
      </c>
      <c r="M468" s="1" t="str">
        <f>IFERROR(__xludf.DUMMYFUNCTION("""COMPUTED_VALUE"""),"")</f>
        <v/>
      </c>
      <c r="N468" s="1" t="str">
        <f>IFERROR(__xludf.DUMMYFUNCTION("""COMPUTED_VALUE"""),"1000")</f>
        <v>1000</v>
      </c>
      <c r="O468" s="1" t="str">
        <f>IFERROR(__xludf.DUMMYFUNCTION("""COMPUTED_VALUE"""),"Mega campus (&gt;1,000 MW)")</f>
        <v>Mega campus (&gt;1,000 MW)</v>
      </c>
      <c r="P468" s="1" t="str">
        <f>IFERROR(__xludf.DUMMYFUNCTION("""COMPUTED_VALUE"""),"")</f>
        <v/>
      </c>
      <c r="Q468" s="1" t="str">
        <f>IFERROR(__xludf.DUMMYFUNCTION("""COMPUTED_VALUE"""),"")</f>
        <v/>
      </c>
      <c r="R468" s="1" t="str">
        <f>IFERROR(__xludf.DUMMYFUNCTION("""COMPUTED_VALUE"""),"")</f>
        <v/>
      </c>
      <c r="S468" s="1" t="str">
        <f>IFERROR(__xludf.DUMMYFUNCTION("""COMPUTED_VALUE"""),"")</f>
        <v/>
      </c>
      <c r="T468" s="1" t="str">
        <f>IFERROR(__xludf.DUMMYFUNCTION("""COMPUTED_VALUE"""),"")</f>
        <v/>
      </c>
      <c r="U468" s="1" t="str">
        <f>IFERROR(__xludf.DUMMYFUNCTION("""COMPUTED_VALUE"""),"")</f>
        <v/>
      </c>
      <c r="V468" s="1" t="str">
        <f>IFERROR(__xludf.DUMMYFUNCTION("""COMPUTED_VALUE"""),"")</f>
        <v/>
      </c>
      <c r="W468" s="1" t="str">
        <f>IFERROR(__xludf.DUMMYFUNCTION("""COMPUTED_VALUE"""),"1440")</f>
        <v>1440</v>
      </c>
      <c r="X468" s="1" t="str">
        <f>IFERROR(__xludf.DUMMYFUNCTION("""COMPUTED_VALUE"""),"")</f>
        <v/>
      </c>
      <c r="Y468" s="1" t="str">
        <f>IFERROR(__xludf.DUMMYFUNCTION("""COMPUTED_VALUE"""),"")</f>
        <v/>
      </c>
      <c r="Z468" s="1" t="str">
        <f>IFERROR(__xludf.DUMMYFUNCTION("""COMPUTED_VALUE"""),"Yes")</f>
        <v>Yes</v>
      </c>
      <c r="AA468" s="1" t="str">
        <f>IFERROR(__xludf.DUMMYFUNCTION("""COMPUTED_VALUE"""),"")</f>
        <v/>
      </c>
      <c r="AB468" s="1" t="str">
        <f>IFERROR(__xludf.DUMMYFUNCTION("""COMPUTED_VALUE"""),"")</f>
        <v/>
      </c>
      <c r="AC468" s="1" t="str">
        <f>IFERROR(__xludf.DUMMYFUNCTION("""COMPUTED_VALUE"""),"")</f>
        <v/>
      </c>
      <c r="AD468" s="1" t="str">
        <f>IFERROR(__xludf.DUMMYFUNCTION("""COMPUTED_VALUE"""),"")</f>
        <v/>
      </c>
      <c r="AE468" s="1" t="str">
        <f>IFERROR(__xludf.DUMMYFUNCTION("""COMPUTED_VALUE"""),"")</f>
        <v/>
      </c>
      <c r="AF468" s="1" t="str">
        <f>IFERROR(__xludf.DUMMYFUNCTION("""COMPUTED_VALUE"""),"")</f>
        <v/>
      </c>
      <c r="AG468" s="1" t="str">
        <f>IFERROR(__xludf.DUMMYFUNCTION("""COMPUTED_VALUE"""),"")</f>
        <v/>
      </c>
      <c r="AH468" s="1" t="str">
        <f>IFERROR(__xludf.DUMMYFUNCTION("""COMPUTED_VALUE"""),"Media Monitoring")</f>
        <v>Media Monitoring</v>
      </c>
      <c r="AI468" s="2" t="str">
        <f>IFERROR(__xludf.DUMMYFUNCTION("""COMPUTED_VALUE"""),"https://www.datacenterdynamics.com/en/news/opposition-leads-developer-to-withdraw-data-center-proposal-in-kalkaska-county-michigan/")</f>
        <v>https://www.datacenterdynamics.com/en/news/opposition-leads-developer-to-withdraw-data-center-proposal-in-kalkaska-county-michigan/</v>
      </c>
      <c r="AJ468" s="2" t="str">
        <f>IFERROR(__xludf.DUMMYFUNCTION("""COMPUTED_VALUE"""),"https://www.interlochenpublicradio.org/2025-11-19/yall-should-stop-crowd-gives-cold-response-to-kalkaska-data-center-idea")</f>
        <v>https://www.interlochenpublicradio.org/2025-11-19/yall-should-stop-crowd-gives-cold-response-to-kalkaska-data-center-idea</v>
      </c>
      <c r="AK468" s="2" t="str">
        <f>IFERROR(__xludf.DUMMYFUNCTION("""COMPUTED_VALUE"""),"https://www.9and10news.com/2025/11/17/residents-voice-concerns-over-proposed-data-center-in-kalkaska-county")</f>
        <v>https://www.9and10news.com/2025/11/17/residents-voice-concerns-over-proposed-data-center-in-kalkaska-county</v>
      </c>
      <c r="AL468" s="1" t="str">
        <f>IFERROR(__xludf.DUMMYFUNCTION("""COMPUTED_VALUE"""),"")</f>
        <v/>
      </c>
      <c r="AM468" s="1" t="str">
        <f>IFERROR(__xludf.DUMMYFUNCTION("""COMPUTED_VALUE"""),"")</f>
        <v/>
      </c>
      <c r="AN468" s="1" t="str">
        <f>IFERROR(__xludf.DUMMYFUNCTION("""COMPUTED_VALUE"""),"")</f>
        <v/>
      </c>
      <c r="AO468" s="1" t="str">
        <f>IFERROR(__xludf.DUMMYFUNCTION("""COMPUTED_VALUE"""),"")</f>
        <v/>
      </c>
      <c r="AP468" s="1" t="str">
        <f>IFERROR(__xludf.DUMMYFUNCTION("""COMPUTED_VALUE"""),"")</f>
        <v/>
      </c>
      <c r="AQ468" s="1" t="str">
        <f>IFERROR(__xludf.DUMMYFUNCTION("""COMPUTED_VALUE"""),"11/27/2025")</f>
        <v>11/27/2025</v>
      </c>
      <c r="AR468" s="1" t="str">
        <f>IFERROR(__xludf.DUMMYFUNCTION("""COMPUTED_VALUE"""),"07/19/2026")</f>
        <v>07/19/2026</v>
      </c>
    </row>
    <row r="469">
      <c r="A469" s="1" t="str">
        <f>IFERROR(__xludf.DUMMYFUNCTION("""COMPUTED_VALUE"""),"Deep Green Data Center")</f>
        <v>Deep Green Data Center</v>
      </c>
      <c r="B469" s="1" t="str">
        <f>IFERROR(__xludf.DUMMYFUNCTION("""COMPUTED_VALUE"""),"229 S Cedar St")</f>
        <v>229 S Cedar St</v>
      </c>
      <c r="C469" s="1" t="str">
        <f>IFERROR(__xludf.DUMMYFUNCTION("""COMPUTED_VALUE"""),"Lansing")</f>
        <v>Lansing</v>
      </c>
      <c r="D469" s="1" t="str">
        <f>IFERROR(__xludf.DUMMYFUNCTION("""COMPUTED_VALUE"""),"MI")</f>
        <v>MI</v>
      </c>
      <c r="E469" s="1" t="str">
        <f>IFERROR(__xludf.DUMMYFUNCTION("""COMPUTED_VALUE"""),"48912")</f>
        <v>48912</v>
      </c>
      <c r="F469" s="1" t="str">
        <f>IFERROR(__xludf.DUMMYFUNCTION("""COMPUTED_VALUE"""),"Ingham")</f>
        <v>Ingham</v>
      </c>
      <c r="G469" s="1" t="str">
        <f>IFERROR(__xludf.DUMMYFUNCTION("""COMPUTED_VALUE"""),"42.731003")</f>
        <v>42.731003</v>
      </c>
      <c r="H469" s="1" t="str">
        <f>IFERROR(__xludf.DUMMYFUNCTION("""COMPUTED_VALUE"""),"-84.545654")</f>
        <v>-84.545654</v>
      </c>
      <c r="I469" s="1" t="str">
        <f>IFERROR(__xludf.DUMMYFUNCTION("""COMPUTED_VALUE"""),"Cancelled")</f>
        <v>Cancelled</v>
      </c>
      <c r="J469" s="1" t="str">
        <f>IFERROR(__xludf.DUMMYFUNCTION("""COMPUTED_VALUE"""),"High")</f>
        <v>High</v>
      </c>
      <c r="K469" s="1" t="str">
        <f>IFERROR(__xludf.DUMMYFUNCTION("""COMPUTED_VALUE"""),"")</f>
        <v/>
      </c>
      <c r="L469" s="1" t="str">
        <f>IFERROR(__xludf.DUMMYFUNCTION("""COMPUTED_VALUE"""),"Deep Green")</f>
        <v>Deep Green</v>
      </c>
      <c r="M469" s="1" t="str">
        <f>IFERROR(__xludf.DUMMYFUNCTION("""COMPUTED_VALUE"""),"")</f>
        <v/>
      </c>
      <c r="N469" s="1" t="str">
        <f>IFERROR(__xludf.DUMMYFUNCTION("""COMPUTED_VALUE"""),"24")</f>
        <v>24</v>
      </c>
      <c r="O469" s="1" t="str">
        <f>IFERROR(__xludf.DUMMYFUNCTION("""COMPUTED_VALUE"""),"Medium (11-50 MW)")</f>
        <v>Medium (11-50 MW)</v>
      </c>
      <c r="P469" s="1" t="str">
        <f>IFERROR(__xludf.DUMMYFUNCTION("""COMPUTED_VALUE"""),"")</f>
        <v/>
      </c>
      <c r="Q469" s="1" t="str">
        <f>IFERROR(__xludf.DUMMYFUNCTION("""COMPUTED_VALUE"""),"")</f>
        <v/>
      </c>
      <c r="R469" s="1" t="str">
        <f>IFERROR(__xludf.DUMMYFUNCTION("""COMPUTED_VALUE"""),"")</f>
        <v/>
      </c>
      <c r="S469" s="1" t="str">
        <f>IFERROR(__xludf.DUMMYFUNCTION("""COMPUTED_VALUE"""),"1")</f>
        <v>1</v>
      </c>
      <c r="T469" s="1" t="str">
        <f>IFERROR(__xludf.DUMMYFUNCTION("""COMPUTED_VALUE"""),"")</f>
        <v/>
      </c>
      <c r="U469" s="1" t="str">
        <f>IFERROR(__xludf.DUMMYFUNCTION("""COMPUTED_VALUE"""),"")</f>
        <v/>
      </c>
      <c r="V469" s="1" t="str">
        <f>IFERROR(__xludf.DUMMYFUNCTION("""COMPUTED_VALUE"""),"25,000")</f>
        <v>25,000</v>
      </c>
      <c r="W469" s="1" t="str">
        <f>IFERROR(__xludf.DUMMYFUNCTION("""COMPUTED_VALUE"""),"3")</f>
        <v>3</v>
      </c>
      <c r="X469" s="1" t="str">
        <f>IFERROR(__xludf.DUMMYFUNCTION("""COMPUTED_VALUE"""),"$120 million")</f>
        <v>$120 million</v>
      </c>
      <c r="Y469" s="1" t="str">
        <f>IFERROR(__xludf.DUMMYFUNCTION("""COMPUTED_VALUE"""),"")</f>
        <v/>
      </c>
      <c r="Z469" s="1" t="str">
        <f>IFERROR(__xludf.DUMMYFUNCTION("""COMPUTED_VALUE"""),"Unknown")</f>
        <v>Unknown</v>
      </c>
      <c r="AA469" s="1" t="str">
        <f>IFERROR(__xludf.DUMMYFUNCTION("""COMPUTED_VALUE"""),"")</f>
        <v/>
      </c>
      <c r="AB469" s="1" t="str">
        <f>IFERROR(__xludf.DUMMYFUNCTION("""COMPUTED_VALUE"""),"")</f>
        <v/>
      </c>
      <c r="AC469" s="1" t="str">
        <f>IFERROR(__xludf.DUMMYFUNCTION("""COMPUTED_VALUE"""),"")</f>
        <v/>
      </c>
      <c r="AD469" s="1" t="str">
        <f>IFERROR(__xludf.DUMMYFUNCTION("""COMPUTED_VALUE"""),"")</f>
        <v/>
      </c>
      <c r="AE469" s="1" t="str">
        <f>IFERROR(__xludf.DUMMYFUNCTION("""COMPUTED_VALUE"""),"")</f>
        <v/>
      </c>
      <c r="AF469" s="1" t="str">
        <f>IFERROR(__xludf.DUMMYFUNCTION("""COMPUTED_VALUE"""),"")</f>
        <v/>
      </c>
      <c r="AG469" s="1" t="str">
        <f>IFERROR(__xludf.DUMMYFUNCTION("""COMPUTED_VALUE"""),"")</f>
        <v/>
      </c>
      <c r="AH469" s="1" t="str">
        <f>IFERROR(__xludf.DUMMYFUNCTION("""COMPUTED_VALUE"""),"Media Monitoring")</f>
        <v>Media Monitoring</v>
      </c>
      <c r="AI469" s="2" t="str">
        <f>IFERROR(__xludf.DUMMYFUNCTION("""COMPUTED_VALUE"""),"https://www.lansingstatejournal.com/story/money/business/2025/11/05/lansing-data-center-deep-green-bwl/87051236007/")</f>
        <v>https://www.lansingstatejournal.com/story/money/business/2025/11/05/lansing-data-center-deep-green-bwl/87051236007/</v>
      </c>
      <c r="AJ469" s="2" t="str">
        <f>IFERROR(__xludf.DUMMYFUNCTION("""COMPUTED_VALUE"""),"https://www.wilx.com/2025/11/19/citizens-call-data-center-contract-transparency-lansing/")</f>
        <v>https://www.wilx.com/2025/11/19/citizens-call-data-center-contract-transparency-lansing/</v>
      </c>
      <c r="AK469" s="2" t="str">
        <f>IFERROR(__xludf.DUMMYFUNCTION("""COMPUTED_VALUE"""),"https://www.datacenterdynamics.com/en/news/lansing-michigan-sends-mixed-messages-regarding-120m-data-center/")</f>
        <v>https://www.datacenterdynamics.com/en/news/lansing-michigan-sends-mixed-messages-regarding-120m-data-center/</v>
      </c>
      <c r="AL469" s="2" t="str">
        <f>IFERROR(__xludf.DUMMYFUNCTION("""COMPUTED_VALUE"""),"https://www.datacenterdynamics.com/en/news/uks-deep-green-withdraws-proposals-for-data-center-project-in-michigan/")</f>
        <v>https://www.datacenterdynamics.com/en/news/uks-deep-green-withdraws-proposals-for-data-center-project-in-michigan/</v>
      </c>
      <c r="AM469" s="1" t="str">
        <f>IFERROR(__xludf.DUMMYFUNCTION("""COMPUTED_VALUE"""),"")</f>
        <v/>
      </c>
      <c r="AN469" s="1" t="str">
        <f>IFERROR(__xludf.DUMMYFUNCTION("""COMPUTED_VALUE"""),"")</f>
        <v/>
      </c>
      <c r="AO469" s="1" t="str">
        <f>IFERROR(__xludf.DUMMYFUNCTION("""COMPUTED_VALUE"""),"")</f>
        <v/>
      </c>
      <c r="AP469" s="1" t="str">
        <f>IFERROR(__xludf.DUMMYFUNCTION("""COMPUTED_VALUE"""),"")</f>
        <v/>
      </c>
      <c r="AQ469" s="1" t="str">
        <f>IFERROR(__xludf.DUMMYFUNCTION("""COMPUTED_VALUE"""),"12/01/2025")</f>
        <v>12/01/2025</v>
      </c>
      <c r="AR469" s="1" t="str">
        <f>IFERROR(__xludf.DUMMYFUNCTION("""COMPUTED_VALUE"""),"04/09/2026")</f>
        <v>04/09/2026</v>
      </c>
    </row>
    <row r="470">
      <c r="A470" s="1" t="str">
        <f>IFERROR(__xludf.DUMMYFUNCTION("""COMPUTED_VALUE"""),"Lowell Covenant Business Park Data Center ")</f>
        <v>Lowell Covenant Business Park Data Center </v>
      </c>
      <c r="B470" s="1" t="str">
        <f>IFERROR(__xludf.DUMMYFUNCTION("""COMPUTED_VALUE"""),"4714-4400 Bancroft Ave SE")</f>
        <v>4714-4400 Bancroft Ave SE</v>
      </c>
      <c r="C470" s="1" t="str">
        <f>IFERROR(__xludf.DUMMYFUNCTION("""COMPUTED_VALUE"""),"Lowell")</f>
        <v>Lowell</v>
      </c>
      <c r="D470" s="1" t="str">
        <f>IFERROR(__xludf.DUMMYFUNCTION("""COMPUTED_VALUE"""),"MI")</f>
        <v>MI</v>
      </c>
      <c r="E470" s="1" t="str">
        <f>IFERROR(__xludf.DUMMYFUNCTION("""COMPUTED_VALUE"""),"49331")</f>
        <v>49331</v>
      </c>
      <c r="F470" s="1" t="str">
        <f>IFERROR(__xludf.DUMMYFUNCTION("""COMPUTED_VALUE"""),"Kent")</f>
        <v>Kent</v>
      </c>
      <c r="G470" s="1" t="str">
        <f>IFERROR(__xludf.DUMMYFUNCTION("""COMPUTED_VALUE"""),"42.880783")</f>
        <v>42.880783</v>
      </c>
      <c r="H470" s="1" t="str">
        <f>IFERROR(__xludf.DUMMYFUNCTION("""COMPUTED_VALUE"""),"-85.376175")</f>
        <v>-85.376175</v>
      </c>
      <c r="I470" s="1" t="str">
        <f>IFERROR(__xludf.DUMMYFUNCTION("""COMPUTED_VALUE"""),"Suspended")</f>
        <v>Suspended</v>
      </c>
      <c r="J470" s="1" t="str">
        <f>IFERROR(__xludf.DUMMYFUNCTION("""COMPUTED_VALUE"""),"High")</f>
        <v>High</v>
      </c>
      <c r="K470" s="1" t="str">
        <f>IFERROR(__xludf.DUMMYFUNCTION("""COMPUTED_VALUE"""),"")</f>
        <v/>
      </c>
      <c r="L470" s="1" t="str">
        <f>IFERROR(__xludf.DUMMYFUNCTION("""COMPUTED_VALUE"""),"Franklin Partners/Microsoft")</f>
        <v>Franklin Partners/Microsoft</v>
      </c>
      <c r="M470" s="1" t="str">
        <f>IFERROR(__xludf.DUMMYFUNCTION("""COMPUTED_VALUE"""),"")</f>
        <v/>
      </c>
      <c r="N470" s="1" t="str">
        <f>IFERROR(__xludf.DUMMYFUNCTION("""COMPUTED_VALUE"""),"")</f>
        <v/>
      </c>
      <c r="O470" s="1" t="str">
        <f>IFERROR(__xludf.DUMMYFUNCTION("""COMPUTED_VALUE"""),"Hyperscale (100-999 MW)")</f>
        <v>Hyperscale (100-999 MW)</v>
      </c>
      <c r="P470" s="1" t="str">
        <f>IFERROR(__xludf.DUMMYFUNCTION("""COMPUTED_VALUE"""),"")</f>
        <v/>
      </c>
      <c r="Q470" s="1" t="str">
        <f>IFERROR(__xludf.DUMMYFUNCTION("""COMPUTED_VALUE"""),"")</f>
        <v/>
      </c>
      <c r="R470" s="1" t="str">
        <f>IFERROR(__xludf.DUMMYFUNCTION("""COMPUTED_VALUE"""),"")</f>
        <v/>
      </c>
      <c r="S470" s="1" t="str">
        <f>IFERROR(__xludf.DUMMYFUNCTION("""COMPUTED_VALUE"""),"")</f>
        <v/>
      </c>
      <c r="T470" s="1" t="str">
        <f>IFERROR(__xludf.DUMMYFUNCTION("""COMPUTED_VALUE"""),"")</f>
        <v/>
      </c>
      <c r="U470" s="1" t="str">
        <f>IFERROR(__xludf.DUMMYFUNCTION("""COMPUTED_VALUE"""),"")</f>
        <v/>
      </c>
      <c r="V470" s="1" t="str">
        <f>IFERROR(__xludf.DUMMYFUNCTION("""COMPUTED_VALUE"""),"")</f>
        <v/>
      </c>
      <c r="W470" s="1" t="str">
        <f>IFERROR(__xludf.DUMMYFUNCTION("""COMPUTED_VALUE"""),"237")</f>
        <v>237</v>
      </c>
      <c r="X470" s="1" t="str">
        <f>IFERROR(__xludf.DUMMYFUNCTION("""COMPUTED_VALUE"""),"")</f>
        <v/>
      </c>
      <c r="Y470" s="1" t="str">
        <f>IFERROR(__xludf.DUMMYFUNCTION("""COMPUTED_VALUE"""),"")</f>
        <v/>
      </c>
      <c r="Z470" s="1" t="str">
        <f>IFERROR(__xludf.DUMMYFUNCTION("""COMPUTED_VALUE"""),"Yes")</f>
        <v>Yes</v>
      </c>
      <c r="AA470" s="1" t="str">
        <f>IFERROR(__xludf.DUMMYFUNCTION("""COMPUTED_VALUE"""),"")</f>
        <v/>
      </c>
      <c r="AB470" s="1" t="str">
        <f>IFERROR(__xludf.DUMMYFUNCTION("""COMPUTED_VALUE"""),"")</f>
        <v/>
      </c>
      <c r="AC470" s="1" t="str">
        <f>IFERROR(__xludf.DUMMYFUNCTION("""COMPUTED_VALUE"""),"")</f>
        <v/>
      </c>
      <c r="AD470" s="2" t="str">
        <f>IFERROR(__xludf.DUMMYFUNCTION("""COMPUTED_VALUE"""),"https://www.facebook.com/residentsunitedlowell")</f>
        <v>https://www.facebook.com/residentsunitedlowell</v>
      </c>
      <c r="AE470" s="2" t="str">
        <f>IFERROR(__xludf.DUMMYFUNCTION("""COMPUTED_VALUE"""),"https://linktr.ee/residentsunitedlowell")</f>
        <v>https://linktr.ee/residentsunitedlowell</v>
      </c>
      <c r="AF470" s="2" t="str">
        <f>IFERROR(__xludf.DUMMYFUNCTION("""COMPUTED_VALUE""")," https://www.change.org/p/no-lowell-data-center")</f>
        <v> https://www.change.org/p/no-lowell-data-center</v>
      </c>
      <c r="AG470" s="1" t="str">
        <f>IFERROR(__xludf.DUMMYFUNCTION("""COMPUTED_VALUE"""),"")</f>
        <v/>
      </c>
      <c r="AH470" s="1" t="str">
        <f>IFERROR(__xludf.DUMMYFUNCTION("""COMPUTED_VALUE"""),"Media Monitoring")</f>
        <v>Media Monitoring</v>
      </c>
      <c r="AI470" s="2" t="str">
        <f>IFERROR(__xludf.DUMMYFUNCTION("""COMPUTED_VALUE"""),"https://www.mlive.com/news/grand-rapids/2025/12/why-a-top-10-company-is-eyeing-a-data-center-in-this-west-michigan-town.html")</f>
        <v>https://www.mlive.com/news/grand-rapids/2025/12/why-a-top-10-company-is-eyeing-a-data-center-in-this-west-michigan-town.html</v>
      </c>
      <c r="AJ470" s="2" t="str">
        <f>IFERROR(__xludf.DUMMYFUNCTION("""COMPUTED_VALUE"""),"https://www.change.org/p/big-tech-wants-our-community-lowell-mi-and-great-lakes-allies-say-no")</f>
        <v>https://www.change.org/p/big-tech-wants-our-community-lowell-mi-and-great-lakes-allies-say-no</v>
      </c>
      <c r="AK470" s="2" t="str">
        <f>IFERROR(__xludf.DUMMYFUNCTION("""COMPUTED_VALUE"""),"https://www.datacenterdynamics.com/en/news/developer-in-lowell-township-michigan-withdraws-data-center-application-following-opposition/")</f>
        <v>https://www.datacenterdynamics.com/en/news/developer-in-lowell-township-michigan-withdraws-data-center-application-following-opposition/</v>
      </c>
      <c r="AL470" s="2" t="str">
        <f>IFERROR(__xludf.DUMMYFUNCTION("""COMPUTED_VALUE"""),"https://www.wzzm13.com/article/news/local/microsoft-proposed-lowell-data-center/69-7cdddbc3-6793-4fbc-bd27-1d99f2a76e8e")</f>
        <v>https://www.wzzm13.com/article/news/local/microsoft-proposed-lowell-data-center/69-7cdddbc3-6793-4fbc-bd27-1d99f2a76e8e</v>
      </c>
      <c r="AM470" s="2" t="str">
        <f>IFERROR(__xludf.DUMMYFUNCTION("""COMPUTED_VALUE"""),"https://www.datacenterdynamics.com/en/news/microsoft-plans-data-centers-in-dorr-and-lowell-townships-applies-for-property-rezoning-in-gaines-townships/")</f>
        <v>https://www.datacenterdynamics.com/en/news/microsoft-plans-data-centers-in-dorr-and-lowell-townships-applies-for-property-rezoning-in-gaines-townships/</v>
      </c>
      <c r="AN470" s="1" t="str">
        <f>IFERROR(__xludf.DUMMYFUNCTION("""COMPUTED_VALUE"""),"")</f>
        <v/>
      </c>
      <c r="AO470" s="1" t="str">
        <f>IFERROR(__xludf.DUMMYFUNCTION("""COMPUTED_VALUE"""),"")</f>
        <v/>
      </c>
      <c r="AP470" s="1" t="str">
        <f>IFERROR(__xludf.DUMMYFUNCTION("""COMPUTED_VALUE"""),"")</f>
        <v/>
      </c>
      <c r="AQ470" s="1" t="str">
        <f>IFERROR(__xludf.DUMMYFUNCTION("""COMPUTED_VALUE"""),"12/08/2025")</f>
        <v>12/08/2025</v>
      </c>
      <c r="AR470" s="1" t="str">
        <f>IFERROR(__xludf.DUMMYFUNCTION("""COMPUTED_VALUE"""),"02/26/2026")</f>
        <v>02/26/2026</v>
      </c>
    </row>
    <row r="471">
      <c r="A471" s="1" t="str">
        <f>IFERROR(__xludf.DUMMYFUNCTION("""COMPUTED_VALUE"""),"Lower Peninsula Data Center")</f>
        <v>Lower Peninsula Data Center</v>
      </c>
      <c r="B471" s="1" t="str">
        <f>IFERROR(__xludf.DUMMYFUNCTION("""COMPUTED_VALUE"""),"Lower Peninsula")</f>
        <v>Lower Peninsula</v>
      </c>
      <c r="C471" s="1" t="str">
        <f>IFERROR(__xludf.DUMMYFUNCTION("""COMPUTED_VALUE"""),"Lower Peninsula")</f>
        <v>Lower Peninsula</v>
      </c>
      <c r="D471" s="1" t="str">
        <f>IFERROR(__xludf.DUMMYFUNCTION("""COMPUTED_VALUE"""),"MI")</f>
        <v>MI</v>
      </c>
      <c r="E471" s="1" t="str">
        <f>IFERROR(__xludf.DUMMYFUNCTION("""COMPUTED_VALUE"""),"")</f>
        <v/>
      </c>
      <c r="F471" s="1" t="str">
        <f>IFERROR(__xludf.DUMMYFUNCTION("""COMPUTED_VALUE"""),"Isabella")</f>
        <v>Isabella</v>
      </c>
      <c r="G471" s="1" t="str">
        <f>IFERROR(__xludf.DUMMYFUNCTION("""COMPUTED_VALUE"""),"43.66056")</f>
        <v>43.66056</v>
      </c>
      <c r="H471" s="1" t="str">
        <f>IFERROR(__xludf.DUMMYFUNCTION("""COMPUTED_VALUE"""),"-84.6665")</f>
        <v>-84.6665</v>
      </c>
      <c r="I471" s="1" t="str">
        <f>IFERROR(__xludf.DUMMYFUNCTION("""COMPUTED_VALUE"""),"Proposed")</f>
        <v>Proposed</v>
      </c>
      <c r="J471" s="1" t="str">
        <f>IFERROR(__xludf.DUMMYFUNCTION("""COMPUTED_VALUE"""),"Low")</f>
        <v>Low</v>
      </c>
      <c r="K471" s="1" t="str">
        <f>IFERROR(__xludf.DUMMYFUNCTION("""COMPUTED_VALUE"""),"")</f>
        <v/>
      </c>
      <c r="L471" s="1" t="str">
        <f>IFERROR(__xludf.DUMMYFUNCTION("""COMPUTED_VALUE"""),"")</f>
        <v/>
      </c>
      <c r="M471" s="1" t="str">
        <f>IFERROR(__xludf.DUMMYFUNCTION("""COMPUTED_VALUE"""),"")</f>
        <v/>
      </c>
      <c r="N471" s="1" t="str">
        <f>IFERROR(__xludf.DUMMYFUNCTION("""COMPUTED_VALUE"""),"1000")</f>
        <v>1000</v>
      </c>
      <c r="O471" s="1" t="str">
        <f>IFERROR(__xludf.DUMMYFUNCTION("""COMPUTED_VALUE"""),"Mega campus (&gt;1,000 MW)")</f>
        <v>Mega campus (&gt;1,000 MW)</v>
      </c>
      <c r="P471" s="1" t="str">
        <f>IFERROR(__xludf.DUMMYFUNCTION("""COMPUTED_VALUE"""),"")</f>
        <v/>
      </c>
      <c r="Q471" s="1" t="str">
        <f>IFERROR(__xludf.DUMMYFUNCTION("""COMPUTED_VALUE"""),"")</f>
        <v/>
      </c>
      <c r="R471" s="1" t="str">
        <f>IFERROR(__xludf.DUMMYFUNCTION("""COMPUTED_VALUE"""),"")</f>
        <v/>
      </c>
      <c r="S471" s="1" t="str">
        <f>IFERROR(__xludf.DUMMYFUNCTION("""COMPUTED_VALUE"""),"")</f>
        <v/>
      </c>
      <c r="T471" s="1" t="str">
        <f>IFERROR(__xludf.DUMMYFUNCTION("""COMPUTED_VALUE"""),"")</f>
        <v/>
      </c>
      <c r="U471" s="1" t="str">
        <f>IFERROR(__xludf.DUMMYFUNCTION("""COMPUTED_VALUE"""),"")</f>
        <v/>
      </c>
      <c r="V471" s="1" t="str">
        <f>IFERROR(__xludf.DUMMYFUNCTION("""COMPUTED_VALUE"""),"")</f>
        <v/>
      </c>
      <c r="W471" s="1" t="str">
        <f>IFERROR(__xludf.DUMMYFUNCTION("""COMPUTED_VALUE"""),"")</f>
        <v/>
      </c>
      <c r="X471" s="1" t="str">
        <f>IFERROR(__xludf.DUMMYFUNCTION("""COMPUTED_VALUE"""),"")</f>
        <v/>
      </c>
      <c r="Y471" s="1" t="str">
        <f>IFERROR(__xludf.DUMMYFUNCTION("""COMPUTED_VALUE"""),"")</f>
        <v/>
      </c>
      <c r="Z471" s="1" t="str">
        <f>IFERROR(__xludf.DUMMYFUNCTION("""COMPUTED_VALUE"""),"Unknown")</f>
        <v>Unknown</v>
      </c>
      <c r="AA471" s="1" t="str">
        <f>IFERROR(__xludf.DUMMYFUNCTION("""COMPUTED_VALUE"""),"")</f>
        <v/>
      </c>
      <c r="AB471" s="1" t="str">
        <f>IFERROR(__xludf.DUMMYFUNCTION("""COMPUTED_VALUE"""),"")</f>
        <v/>
      </c>
      <c r="AC471" s="1" t="str">
        <f>IFERROR(__xludf.DUMMYFUNCTION("""COMPUTED_VALUE"""),"")</f>
        <v/>
      </c>
      <c r="AD471" s="1" t="str">
        <f>IFERROR(__xludf.DUMMYFUNCTION("""COMPUTED_VALUE"""),"")</f>
        <v/>
      </c>
      <c r="AE471" s="1" t="str">
        <f>IFERROR(__xludf.DUMMYFUNCTION("""COMPUTED_VALUE"""),"")</f>
        <v/>
      </c>
      <c r="AF471" s="1" t="str">
        <f>IFERROR(__xludf.DUMMYFUNCTION("""COMPUTED_VALUE"""),"")</f>
        <v/>
      </c>
      <c r="AG471" s="1" t="str">
        <f>IFERROR(__xludf.DUMMYFUNCTION("""COMPUTED_VALUE"""),"Consumers Energy (CMS) is set to provide the energy for this data center")</f>
        <v>Consumers Energy (CMS) is set to provide the energy for this data center</v>
      </c>
      <c r="AH471" s="1" t="str">
        <f>IFERROR(__xludf.DUMMYFUNCTION("""COMPUTED_VALUE"""),"Media Monitoring")</f>
        <v>Media Monitoring</v>
      </c>
      <c r="AI471" s="2" t="str">
        <f>IFERROR(__xludf.DUMMYFUNCTION("""COMPUTED_VALUE"""),"https://www.datacenterdynamics.com/en/news/michigan-utility-consumers-energy-to-provide-1gw-of-power-to-new-hyperscale-data-center/")</f>
        <v>https://www.datacenterdynamics.com/en/news/michigan-utility-consumers-energy-to-provide-1gw-of-power-to-new-hyperscale-data-center/</v>
      </c>
      <c r="AJ471" s="1" t="str">
        <f>IFERROR(__xludf.DUMMYFUNCTION("""COMPUTED_VALUE"""),"")</f>
        <v/>
      </c>
      <c r="AK471" s="1" t="str">
        <f>IFERROR(__xludf.DUMMYFUNCTION("""COMPUTED_VALUE"""),"")</f>
        <v/>
      </c>
      <c r="AL471" s="1" t="str">
        <f>IFERROR(__xludf.DUMMYFUNCTION("""COMPUTED_VALUE"""),"")</f>
        <v/>
      </c>
      <c r="AM471" s="1" t="str">
        <f>IFERROR(__xludf.DUMMYFUNCTION("""COMPUTED_VALUE"""),"")</f>
        <v/>
      </c>
      <c r="AN471" s="1" t="str">
        <f>IFERROR(__xludf.DUMMYFUNCTION("""COMPUTED_VALUE"""),"")</f>
        <v/>
      </c>
      <c r="AO471" s="1" t="str">
        <f>IFERROR(__xludf.DUMMYFUNCTION("""COMPUTED_VALUE"""),"")</f>
        <v/>
      </c>
      <c r="AP471" s="1" t="str">
        <f>IFERROR(__xludf.DUMMYFUNCTION("""COMPUTED_VALUE"""),"")</f>
        <v/>
      </c>
      <c r="AQ471" s="1" t="str">
        <f>IFERROR(__xludf.DUMMYFUNCTION("""COMPUTED_VALUE"""),"08/07/2025")</f>
        <v>08/07/2025</v>
      </c>
      <c r="AR471" s="1" t="str">
        <f>IFERROR(__xludf.DUMMYFUNCTION("""COMPUTED_VALUE"""),"08/07/2025")</f>
        <v>08/07/2025</v>
      </c>
    </row>
    <row r="472">
      <c r="A472" s="1" t="str">
        <f>IFERROR(__xludf.DUMMYFUNCTION("""COMPUTED_VALUE"""),"Alterra Development Corporation Data Center")</f>
        <v>Alterra Development Corporation Data Center</v>
      </c>
      <c r="B472" s="1" t="str">
        <f>IFERROR(__xludf.DUMMYFUNCTION("""COMPUTED_VALUE"""),"Brooks Industrial Park")</f>
        <v>Brooks Industrial Park</v>
      </c>
      <c r="C472" s="1" t="str">
        <f>IFERROR(__xludf.DUMMYFUNCTION("""COMPUTED_VALUE"""),"Marshall")</f>
        <v>Marshall</v>
      </c>
      <c r="D472" s="1" t="str">
        <f>IFERROR(__xludf.DUMMYFUNCTION("""COMPUTED_VALUE"""),"MI")</f>
        <v>MI</v>
      </c>
      <c r="E472" s="1" t="str">
        <f>IFERROR(__xludf.DUMMYFUNCTION("""COMPUTED_VALUE"""),"49068")</f>
        <v>49068</v>
      </c>
      <c r="F472" s="1" t="str">
        <f>IFERROR(__xludf.DUMMYFUNCTION("""COMPUTED_VALUE"""),"Calhoun")</f>
        <v>Calhoun</v>
      </c>
      <c r="G472" s="1" t="str">
        <f>IFERROR(__xludf.DUMMYFUNCTION("""COMPUTED_VALUE"""),"42.239025")</f>
        <v>42.239025</v>
      </c>
      <c r="H472" s="1" t="str">
        <f>IFERROR(__xludf.DUMMYFUNCTION("""COMPUTED_VALUE"""),"-84.955826")</f>
        <v>-84.955826</v>
      </c>
      <c r="I472" s="1" t="str">
        <f>IFERROR(__xludf.DUMMYFUNCTION("""COMPUTED_VALUE"""),"Proposed")</f>
        <v>Proposed</v>
      </c>
      <c r="J472" s="1" t="str">
        <f>IFERROR(__xludf.DUMMYFUNCTION("""COMPUTED_VALUE"""),"Medium")</f>
        <v>Medium</v>
      </c>
      <c r="K472" s="1" t="str">
        <f>IFERROR(__xludf.DUMMYFUNCTION("""COMPUTED_VALUE"""),"")</f>
        <v/>
      </c>
      <c r="L472" s="1" t="str">
        <f>IFERROR(__xludf.DUMMYFUNCTION("""COMPUTED_VALUE"""),"Alterra Development")</f>
        <v>Alterra Development</v>
      </c>
      <c r="M472" s="1" t="str">
        <f>IFERROR(__xludf.DUMMYFUNCTION("""COMPUTED_VALUE"""),"")</f>
        <v/>
      </c>
      <c r="N472" s="1" t="str">
        <f>IFERROR(__xludf.DUMMYFUNCTION("""COMPUTED_VALUE"""),"")</f>
        <v/>
      </c>
      <c r="O472" s="1" t="str">
        <f>IFERROR(__xludf.DUMMYFUNCTION("""COMPUTED_VALUE"""),"Mega campus (&gt;1,000 MW)")</f>
        <v>Mega campus (&gt;1,000 MW)</v>
      </c>
      <c r="P472" s="1" t="str">
        <f>IFERROR(__xludf.DUMMYFUNCTION("""COMPUTED_VALUE"""),"Grid (unspecified mix)")</f>
        <v>Grid (unspecified mix)</v>
      </c>
      <c r="Q472" s="1" t="str">
        <f>IFERROR(__xludf.DUMMYFUNCTION("""COMPUTED_VALUE"""),"")</f>
        <v/>
      </c>
      <c r="R472" s="1" t="str">
        <f>IFERROR(__xludf.DUMMYFUNCTION("""COMPUTED_VALUE"""),"")</f>
        <v/>
      </c>
      <c r="S472" s="1" t="str">
        <f>IFERROR(__xludf.DUMMYFUNCTION("""COMPUTED_VALUE"""),"")</f>
        <v/>
      </c>
      <c r="T472" s="1" t="str">
        <f>IFERROR(__xludf.DUMMYFUNCTION("""COMPUTED_VALUE"""),"")</f>
        <v/>
      </c>
      <c r="U472" s="1" t="str">
        <f>IFERROR(__xludf.DUMMYFUNCTION("""COMPUTED_VALUE"""),"Closed loop")</f>
        <v>Closed loop</v>
      </c>
      <c r="V472" s="1" t="str">
        <f>IFERROR(__xludf.DUMMYFUNCTION("""COMPUTED_VALUE"""),"")</f>
        <v/>
      </c>
      <c r="W472" s="1" t="str">
        <f>IFERROR(__xludf.DUMMYFUNCTION("""COMPUTED_VALUE"""),"112")</f>
        <v>112</v>
      </c>
      <c r="X472" s="1" t="str">
        <f>IFERROR(__xludf.DUMMYFUNCTION("""COMPUTED_VALUE"""),"$1.12 million")</f>
        <v>$1.12 million</v>
      </c>
      <c r="Y472" s="1" t="str">
        <f>IFERROR(__xludf.DUMMYFUNCTION("""COMPUTED_VALUE"""),"")</f>
        <v/>
      </c>
      <c r="Z472" s="1" t="str">
        <f>IFERROR(__xludf.DUMMYFUNCTION("""COMPUTED_VALUE"""),"Unknown")</f>
        <v>Unknown</v>
      </c>
      <c r="AA472" s="1" t="str">
        <f>IFERROR(__xludf.DUMMYFUNCTION("""COMPUTED_VALUE"""),"")</f>
        <v/>
      </c>
      <c r="AB472" s="1" t="str">
        <f>IFERROR(__xludf.DUMMYFUNCTION("""COMPUTED_VALUE"""),"")</f>
        <v/>
      </c>
      <c r="AC472" s="1" t="str">
        <f>IFERROR(__xludf.DUMMYFUNCTION("""COMPUTED_VALUE"""),"")</f>
        <v/>
      </c>
      <c r="AD472" s="1" t="str">
        <f>IFERROR(__xludf.DUMMYFUNCTION("""COMPUTED_VALUE"""),"")</f>
        <v/>
      </c>
      <c r="AE472" s="1" t="str">
        <f>IFERROR(__xludf.DUMMYFUNCTION("""COMPUTED_VALUE"""),"")</f>
        <v/>
      </c>
      <c r="AF472" s="1" t="str">
        <f>IFERROR(__xludf.DUMMYFUNCTION("""COMPUTED_VALUE"""),"")</f>
        <v/>
      </c>
      <c r="AG472" s="1" t="str">
        <f>IFERROR(__xludf.DUMMYFUNCTION("""COMPUTED_VALUE"""),"Also includes gas plant")</f>
        <v>Also includes gas plant</v>
      </c>
      <c r="AH472" s="1" t="str">
        <f>IFERROR(__xludf.DUMMYFUNCTION("""COMPUTED_VALUE"""),"Crowdsourced")</f>
        <v>Crowdsourced</v>
      </c>
      <c r="AI472" s="2" t="str">
        <f>IFERROR(__xludf.DUMMYFUNCTION("""COMPUTED_VALUE"""),"https://www.mlive.com/news/jackson/2025/12/marshall-approves-112m-land-sale-for-data-center-gas-plant-project.html")</f>
        <v>https://www.mlive.com/news/jackson/2025/12/marshall-approves-112m-land-sale-for-data-center-gas-plant-project.html</v>
      </c>
      <c r="AJ472" s="2" t="str">
        <f>IFERROR(__xludf.DUMMYFUNCTION("""COMPUTED_VALUE"""),"https://choose-marshall.s3.amazonaws.com/images/economic-development-images/BrooksIndParkINFASTRUCTURE.jpg?v=1757959619")</f>
        <v>https://choose-marshall.s3.amazonaws.com/images/economic-development-images/BrooksIndParkINFASTRUCTURE.jpg?v=1757959619</v>
      </c>
      <c r="AK472" s="1" t="str">
        <f>IFERROR(__xludf.DUMMYFUNCTION("""COMPUTED_VALUE"""),"")</f>
        <v/>
      </c>
      <c r="AL472" s="1" t="str">
        <f>IFERROR(__xludf.DUMMYFUNCTION("""COMPUTED_VALUE"""),"")</f>
        <v/>
      </c>
      <c r="AM472" s="1" t="str">
        <f>IFERROR(__xludf.DUMMYFUNCTION("""COMPUTED_VALUE"""),"")</f>
        <v/>
      </c>
      <c r="AN472" s="1" t="str">
        <f>IFERROR(__xludf.DUMMYFUNCTION("""COMPUTED_VALUE"""),"")</f>
        <v/>
      </c>
      <c r="AO472" s="1" t="str">
        <f>IFERROR(__xludf.DUMMYFUNCTION("""COMPUTED_VALUE"""),"")</f>
        <v/>
      </c>
      <c r="AP472" s="1" t="str">
        <f>IFERROR(__xludf.DUMMYFUNCTION("""COMPUTED_VALUE"""),"")</f>
        <v/>
      </c>
      <c r="AQ472" s="1" t="str">
        <f>IFERROR(__xludf.DUMMYFUNCTION("""COMPUTED_VALUE"""),"12/20/2025")</f>
        <v>12/20/2025</v>
      </c>
      <c r="AR472" s="1" t="str">
        <f>IFERROR(__xludf.DUMMYFUNCTION("""COMPUTED_VALUE"""),"12/20/2025")</f>
        <v>12/20/2025</v>
      </c>
    </row>
    <row r="473">
      <c r="A473" s="1" t="str">
        <f>IFERROR(__xludf.DUMMYFUNCTION("""COMPUTED_VALUE"""),"Lyon Township Data Center/ Project Flex")</f>
        <v>Lyon Township Data Center/ Project Flex</v>
      </c>
      <c r="B473" s="1" t="str">
        <f>IFERROR(__xludf.DUMMYFUNCTION("""COMPUTED_VALUE"""),"29134-29282 Milford Rd")</f>
        <v>29134-29282 Milford Rd</v>
      </c>
      <c r="C473" s="1" t="str">
        <f>IFERROR(__xludf.DUMMYFUNCTION("""COMPUTED_VALUE"""),"New Hudson")</f>
        <v>New Hudson</v>
      </c>
      <c r="D473" s="1" t="str">
        <f>IFERROR(__xludf.DUMMYFUNCTION("""COMPUTED_VALUE"""),"MI")</f>
        <v>MI</v>
      </c>
      <c r="E473" s="1" t="str">
        <f>IFERROR(__xludf.DUMMYFUNCTION("""COMPUTED_VALUE"""),"48165")</f>
        <v>48165</v>
      </c>
      <c r="F473" s="1" t="str">
        <f>IFERROR(__xludf.DUMMYFUNCTION("""COMPUTED_VALUE"""),"Oakland")</f>
        <v>Oakland</v>
      </c>
      <c r="G473" s="1" t="str">
        <f>IFERROR(__xludf.DUMMYFUNCTION("""COMPUTED_VALUE"""),"42.50185")</f>
        <v>42.50185</v>
      </c>
      <c r="H473" s="1" t="str">
        <f>IFERROR(__xludf.DUMMYFUNCTION("""COMPUTED_VALUE"""),"-83.61119")</f>
        <v>-83.61119</v>
      </c>
      <c r="I473" s="1" t="str">
        <f>IFERROR(__xludf.DUMMYFUNCTION("""COMPUTED_VALUE"""),"Approved/Permitted/Under construction")</f>
        <v>Approved/Permitted/Under construction</v>
      </c>
      <c r="J473" s="1" t="str">
        <f>IFERROR(__xludf.DUMMYFUNCTION("""COMPUTED_VALUE"""),"High")</f>
        <v>High</v>
      </c>
      <c r="K473" s="1" t="str">
        <f>IFERROR(__xludf.DUMMYFUNCTION("""COMPUTED_VALUE"""),"AI and Cloud Computing")</f>
        <v>AI and Cloud Computing</v>
      </c>
      <c r="L473" s="1" t="str">
        <f>IFERROR(__xludf.DUMMYFUNCTION("""COMPUTED_VALUE"""),"Verrus/Anthropic")</f>
        <v>Verrus/Anthropic</v>
      </c>
      <c r="M473" s="1" t="str">
        <f>IFERROR(__xludf.DUMMYFUNCTION("""COMPUTED_VALUE"""),"")</f>
        <v/>
      </c>
      <c r="N473" s="1" t="str">
        <f>IFERROR(__xludf.DUMMYFUNCTION("""COMPUTED_VALUE"""),"200-525")</f>
        <v>200-525</v>
      </c>
      <c r="O473" s="1" t="str">
        <f>IFERROR(__xludf.DUMMYFUNCTION("""COMPUTED_VALUE"""),"Hyperscale (100-999 MW)")</f>
        <v>Hyperscale (100-999 MW)</v>
      </c>
      <c r="P473" s="1" t="str">
        <f>IFERROR(__xludf.DUMMYFUNCTION("""COMPUTED_VALUE"""),"Grid (unspecified mix)")</f>
        <v>Grid (unspecified mix)</v>
      </c>
      <c r="Q473" s="1" t="str">
        <f>IFERROR(__xludf.DUMMYFUNCTION("""COMPUTED_VALUE"""),"")</f>
        <v/>
      </c>
      <c r="R473" s="1" t="str">
        <f>IFERROR(__xludf.DUMMYFUNCTION("""COMPUTED_VALUE"""),"")</f>
        <v/>
      </c>
      <c r="S473" s="1" t="str">
        <f>IFERROR(__xludf.DUMMYFUNCTION("""COMPUTED_VALUE"""),"6")</f>
        <v>6</v>
      </c>
      <c r="T473" s="1" t="str">
        <f>IFERROR(__xludf.DUMMYFUNCTION("""COMPUTED_VALUE"""),"")</f>
        <v/>
      </c>
      <c r="U473" s="1" t="str">
        <f>IFERROR(__xludf.DUMMYFUNCTION("""COMPUTED_VALUE"""),"")</f>
        <v/>
      </c>
      <c r="V473" s="1" t="str">
        <f>IFERROR(__xludf.DUMMYFUNCTION("""COMPUTED_VALUE"""),"1,800,000")</f>
        <v>1,800,000</v>
      </c>
      <c r="W473" s="1" t="str">
        <f>IFERROR(__xludf.DUMMYFUNCTION("""COMPUTED_VALUE"""),"172")</f>
        <v>172</v>
      </c>
      <c r="X473" s="1" t="str">
        <f>IFERROR(__xludf.DUMMYFUNCTION("""COMPUTED_VALUE"""),"")</f>
        <v/>
      </c>
      <c r="Y473" s="1" t="str">
        <f>IFERROR(__xludf.DUMMYFUNCTION("""COMPUTED_VALUE"""),"")</f>
        <v/>
      </c>
      <c r="Z473" s="1" t="str">
        <f>IFERROR(__xludf.DUMMYFUNCTION("""COMPUTED_VALUE"""),"Yes")</f>
        <v>Yes</v>
      </c>
      <c r="AA473" s="1" t="str">
        <f>IFERROR(__xludf.DUMMYFUNCTION("""COMPUTED_VALUE"""),"")</f>
        <v/>
      </c>
      <c r="AB473" s="1" t="str">
        <f>IFERROR(__xludf.DUMMYFUNCTION("""COMPUTED_VALUE"""),"")</f>
        <v/>
      </c>
      <c r="AC473" s="1" t="str">
        <f>IFERROR(__xludf.DUMMYFUNCTION("""COMPUTED_VALUE"""),"No")</f>
        <v>No</v>
      </c>
      <c r="AD473" s="2" t="str">
        <f>IFERROR(__xludf.DUMMYFUNCTION("""COMPUTED_VALUE"""),"https://www.facebook.com/groups/nodatacenterinlyontownship/?sorting_setting=CHRONOLOGICAL")</f>
        <v>https://www.facebook.com/groups/nodatacenterinlyontownship/?sorting_setting=CHRONOLOGICAL</v>
      </c>
      <c r="AE473" s="1" t="str">
        <f>IFERROR(__xludf.DUMMYFUNCTION("""COMPUTED_VALUE"""),"")</f>
        <v/>
      </c>
      <c r="AF473" s="1" t="str">
        <f>IFERROR(__xludf.DUMMYFUNCTION("""COMPUTED_VALUE"""),"")</f>
        <v/>
      </c>
      <c r="AG473" s="1" t="str">
        <f>IFERROR(__xludf.DUMMYFUNCTION("""COMPUTED_VALUE"""),"Purporting to utilize BESS instead of diesel backup generators; local engineers reviewing the site plan believe generators could be added later")</f>
        <v>Purporting to utilize BESS instead of diesel backup generators; local engineers reviewing the site plan believe generators could be added later</v>
      </c>
      <c r="AH473" s="1" t="str">
        <f>IFERROR(__xludf.DUMMYFUNCTION("""COMPUTED_VALUE"""),"Crowdsourced")</f>
        <v>Crowdsourced</v>
      </c>
      <c r="AI473" s="2" t="str">
        <f>IFERROR(__xludf.DUMMYFUNCTION("""COMPUTED_VALUE"""),"https://www.wxyz.com/news/region/oakland-county/lyon-township-residents-blindsided-by-ai-data-center-approval-near-homes")</f>
        <v>https://www.wxyz.com/news/region/oakland-county/lyon-township-residents-blindsided-by-ai-data-center-approval-near-homes</v>
      </c>
      <c r="AJ473" s="2" t="str">
        <f>IFERROR(__xludf.DUMMYFUNCTION("""COMPUTED_VALUE"""),"https://www.hometownlife.com/story/news/2025/12/12/lyon-township-data-center-business-park/87734299007/")</f>
        <v>https://www.hometownlife.com/story/news/2025/12/12/lyon-township-data-center-business-park/87734299007/</v>
      </c>
      <c r="AK473" s="2" t="str">
        <f>IFERROR(__xludf.DUMMYFUNCTION("""COMPUTED_VALUE"""),"https://planetdetroit.org/2025/12/michigan-data-center-news-roundup/")</f>
        <v>https://planetdetroit.org/2025/12/michigan-data-center-news-roundup/</v>
      </c>
      <c r="AL473" s="2" t="str">
        <f>IFERROR(__xludf.DUMMYFUNCTION("""COMPUTED_VALUE"""),"https://planetdetroit.org/2026/01/lyon-township-data-center-plan/")</f>
        <v>https://planetdetroit.org/2026/01/lyon-township-data-center-plan/</v>
      </c>
      <c r="AM473" s="2" t="str">
        <f>IFERROR(__xludf.DUMMYFUNCTION("""COMPUTED_VALUE"""),"https://www.datacenterdynamics.com/en/news/180-acre-data-center-set-to-be-built-in-lyon-township-michigan/")</f>
        <v>https://www.datacenterdynamics.com/en/news/180-acre-data-center-set-to-be-built-in-lyon-township-michigan/</v>
      </c>
      <c r="AN473" s="2" t="str">
        <f>IFERROR(__xludf.DUMMYFUNCTION("""COMPUTED_VALUE"""),"https://www.crainsdetroit.com/technology/cdb-anthropic-projectflex-datacenter-20260414/?utm_id=gfta-ur-260414&amp;share-code=F4JNH5GIING7NDXCBOJBJ5QVZM&amp;user_id=9885400&amp;customer_secondary_source=cdb_articleGifting&amp;fbclid=IwdGRjcARLdD9jbGNrBEt0NmV4dG4DYWVtAjExA"&amp;"HNydGMGYXBwX2lkDDM1MDY4NTUzMTcyOAABHuy4NDQbhkRm0MqYKNA8xHVyzE_IEbw7Q63iYC4OtY7wS2VOuDb-HW1V_hun_aem_aeBEd6Vy6DKHXUxdtutdIw")</f>
        <v>https://www.crainsdetroit.com/technology/cdb-anthropic-projectflex-datacenter-20260414/?utm_id=gfta-ur-260414&amp;share-code=F4JNH5GIING7NDXCBOJBJ5QVZM&amp;user_id=9885400&amp;customer_secondary_source=cdb_articleGifting&amp;fbclid=IwdGRjcARLdD9jbGNrBEt0NmV4dG4DYWVtAjExAHNydGMGYXBwX2lkDDM1MDY4NTUzMTcyOAABHuy4NDQbhkRm0MqYKNA8xHVyzE_IEbw7Q63iYC4OtY7wS2VOuDb-HW1V_hun_aem_aeBEd6Vy6DKHXUxdtutdIw</v>
      </c>
      <c r="AO473" s="2" t="str">
        <f>IFERROR(__xludf.DUMMYFUNCTION("""COMPUTED_VALUE"""),"https://www.datacenterdynamics.com/en/news/alphabet-spin-out-verrus-plans-three-building-data-center-campus-outside-portland-oregon/")</f>
        <v>https://www.datacenterdynamics.com/en/news/alphabet-spin-out-verrus-plans-three-building-data-center-campus-outside-portland-oregon/</v>
      </c>
      <c r="AP473" s="1" t="str">
        <f>IFERROR(__xludf.DUMMYFUNCTION("""COMPUTED_VALUE"""),"")</f>
        <v/>
      </c>
      <c r="AQ473" s="1" t="str">
        <f>IFERROR(__xludf.DUMMYFUNCTION("""COMPUTED_VALUE"""),"12/15/2025")</f>
        <v>12/15/2025</v>
      </c>
      <c r="AR473" s="1" t="str">
        <f>IFERROR(__xludf.DUMMYFUNCTION("""COMPUTED_VALUE"""),"04/28/2026")</f>
        <v>04/28/2026</v>
      </c>
    </row>
    <row r="474">
      <c r="A474" s="1" t="str">
        <f>IFERROR(__xludf.DUMMYFUNCTION("""COMPUTED_VALUE"""),"Oakland University Data Center")</f>
        <v>Oakland University Data Center</v>
      </c>
      <c r="B474" s="1" t="str">
        <f>IFERROR(__xludf.DUMMYFUNCTION("""COMPUTED_VALUE""")," 253 Pioneer Dr")</f>
        <v> 253 Pioneer Dr</v>
      </c>
      <c r="C474" s="1" t="str">
        <f>IFERROR(__xludf.DUMMYFUNCTION("""COMPUTED_VALUE"""),"Rochester")</f>
        <v>Rochester</v>
      </c>
      <c r="D474" s="1" t="str">
        <f>IFERROR(__xludf.DUMMYFUNCTION("""COMPUTED_VALUE"""),"MI")</f>
        <v>MI</v>
      </c>
      <c r="E474" s="1" t="str">
        <f>IFERROR(__xludf.DUMMYFUNCTION("""COMPUTED_VALUE"""),"48309")</f>
        <v>48309</v>
      </c>
      <c r="F474" s="1" t="str">
        <f>IFERROR(__xludf.DUMMYFUNCTION("""COMPUTED_VALUE"""),"Oakland")</f>
        <v>Oakland</v>
      </c>
      <c r="G474" s="1" t="str">
        <f>IFERROR(__xludf.DUMMYFUNCTION("""COMPUTED_VALUE"""),"42.67439")</f>
        <v>42.67439</v>
      </c>
      <c r="H474" s="1" t="str">
        <f>IFERROR(__xludf.DUMMYFUNCTION("""COMPUTED_VALUE"""),"-83.20664")</f>
        <v>-83.20664</v>
      </c>
      <c r="I474" s="1" t="str">
        <f>IFERROR(__xludf.DUMMYFUNCTION("""COMPUTED_VALUE"""),"Proposed")</f>
        <v>Proposed</v>
      </c>
      <c r="J474" s="1" t="str">
        <f>IFERROR(__xludf.DUMMYFUNCTION("""COMPUTED_VALUE"""),"")</f>
        <v/>
      </c>
      <c r="K474" s="1" t="str">
        <f>IFERROR(__xludf.DUMMYFUNCTION("""COMPUTED_VALUE"""),"")</f>
        <v/>
      </c>
      <c r="L474" s="1" t="str">
        <f>IFERROR(__xludf.DUMMYFUNCTION("""COMPUTED_VALUE"""),"")</f>
        <v/>
      </c>
      <c r="M474" s="1" t="str">
        <f>IFERROR(__xludf.DUMMYFUNCTION("""COMPUTED_VALUE"""),"")</f>
        <v/>
      </c>
      <c r="N474" s="1" t="str">
        <f>IFERROR(__xludf.DUMMYFUNCTION("""COMPUTED_VALUE"""),"26")</f>
        <v>26</v>
      </c>
      <c r="O474" s="1" t="str">
        <f>IFERROR(__xludf.DUMMYFUNCTION("""COMPUTED_VALUE"""),"Medium (11-50 MW)")</f>
        <v>Medium (11-50 MW)</v>
      </c>
      <c r="P474" s="1" t="str">
        <f>IFERROR(__xludf.DUMMYFUNCTION("""COMPUTED_VALUE"""),"")</f>
        <v/>
      </c>
      <c r="Q474" s="1" t="str">
        <f>IFERROR(__xludf.DUMMYFUNCTION("""COMPUTED_VALUE"""),"")</f>
        <v/>
      </c>
      <c r="R474" s="1" t="str">
        <f>IFERROR(__xludf.DUMMYFUNCTION("""COMPUTED_VALUE"""),"")</f>
        <v/>
      </c>
      <c r="S474" s="1" t="str">
        <f>IFERROR(__xludf.DUMMYFUNCTION("""COMPUTED_VALUE"""),"")</f>
        <v/>
      </c>
      <c r="T474" s="1" t="str">
        <f>IFERROR(__xludf.DUMMYFUNCTION("""COMPUTED_VALUE"""),"")</f>
        <v/>
      </c>
      <c r="U474" s="1" t="str">
        <f>IFERROR(__xludf.DUMMYFUNCTION("""COMPUTED_VALUE"""),"")</f>
        <v/>
      </c>
      <c r="V474" s="1" t="str">
        <f>IFERROR(__xludf.DUMMYFUNCTION("""COMPUTED_VALUE"""),"")</f>
        <v/>
      </c>
      <c r="W474" s="1" t="str">
        <f>IFERROR(__xludf.DUMMYFUNCTION("""COMPUTED_VALUE"""),"")</f>
        <v/>
      </c>
      <c r="X474" s="1" t="str">
        <f>IFERROR(__xludf.DUMMYFUNCTION("""COMPUTED_VALUE"""),"")</f>
        <v/>
      </c>
      <c r="Y474" s="1" t="str">
        <f>IFERROR(__xludf.DUMMYFUNCTION("""COMPUTED_VALUE"""),"")</f>
        <v/>
      </c>
      <c r="Z474" s="1" t="str">
        <f>IFERROR(__xludf.DUMMYFUNCTION("""COMPUTED_VALUE"""),"Unknown")</f>
        <v>Unknown</v>
      </c>
      <c r="AA474" s="1" t="str">
        <f>IFERROR(__xludf.DUMMYFUNCTION("""COMPUTED_VALUE"""),"")</f>
        <v/>
      </c>
      <c r="AB474" s="1" t="str">
        <f>IFERROR(__xludf.DUMMYFUNCTION("""COMPUTED_VALUE"""),"")</f>
        <v/>
      </c>
      <c r="AC474" s="1" t="str">
        <f>IFERROR(__xludf.DUMMYFUNCTION("""COMPUTED_VALUE"""),"")</f>
        <v/>
      </c>
      <c r="AD474" s="1" t="str">
        <f>IFERROR(__xludf.DUMMYFUNCTION("""COMPUTED_VALUE"""),"")</f>
        <v/>
      </c>
      <c r="AE474" s="1" t="str">
        <f>IFERROR(__xludf.DUMMYFUNCTION("""COMPUTED_VALUE"""),"")</f>
        <v/>
      </c>
      <c r="AF474" s="1" t="str">
        <f>IFERROR(__xludf.DUMMYFUNCTION("""COMPUTED_VALUE"""),"")</f>
        <v/>
      </c>
      <c r="AG474" s="1" t="str">
        <f>IFERROR(__xludf.DUMMYFUNCTION("""COMPUTED_VALUE"""),"")</f>
        <v/>
      </c>
      <c r="AH474" s="1" t="str">
        <f>IFERROR(__xludf.DUMMYFUNCTION("""COMPUTED_VALUE"""),"Media Monitoring")</f>
        <v>Media Monitoring</v>
      </c>
      <c r="AI474" s="2" t="str">
        <f>IFERROR(__xludf.DUMMYFUNCTION("""COMPUTED_VALUE"""),"https://www.datacenterdynamics.com/en/news/michigans-oakland-university-puts-out-call-for-data-center-proposals/")</f>
        <v>https://www.datacenterdynamics.com/en/news/michigans-oakland-university-puts-out-call-for-data-center-proposals/</v>
      </c>
      <c r="AJ474" s="2" t="str">
        <f>IFERROR(__xludf.DUMMYFUNCTION("""COMPUTED_VALUE"""),"https://www.datacenterdynamics.com/en/news/michigans-oakland-university-board-votes-to-move-ahead-with-data-center-project/")</f>
        <v>https://www.datacenterdynamics.com/en/news/michigans-oakland-university-board-votes-to-move-ahead-with-data-center-project/</v>
      </c>
      <c r="AK474" s="1" t="str">
        <f>IFERROR(__xludf.DUMMYFUNCTION("""COMPUTED_VALUE"""),"")</f>
        <v/>
      </c>
      <c r="AL474" s="1" t="str">
        <f>IFERROR(__xludf.DUMMYFUNCTION("""COMPUTED_VALUE"""),"")</f>
        <v/>
      </c>
      <c r="AM474" s="1" t="str">
        <f>IFERROR(__xludf.DUMMYFUNCTION("""COMPUTED_VALUE"""),"")</f>
        <v/>
      </c>
      <c r="AN474" s="1" t="str">
        <f>IFERROR(__xludf.DUMMYFUNCTION("""COMPUTED_VALUE"""),"")</f>
        <v/>
      </c>
      <c r="AO474" s="1" t="str">
        <f>IFERROR(__xludf.DUMMYFUNCTION("""COMPUTED_VALUE"""),"")</f>
        <v/>
      </c>
      <c r="AP474" s="1" t="str">
        <f>IFERROR(__xludf.DUMMYFUNCTION("""COMPUTED_VALUE"""),"")</f>
        <v/>
      </c>
      <c r="AQ474" s="1" t="str">
        <f>IFERROR(__xludf.DUMMYFUNCTION("""COMPUTED_VALUE"""),"06/30/2026")</f>
        <v>06/30/2026</v>
      </c>
      <c r="AR474" s="1" t="str">
        <f>IFERROR(__xludf.DUMMYFUNCTION("""COMPUTED_VALUE"""),"06/30/2026")</f>
        <v>06/30/2026</v>
      </c>
    </row>
    <row r="475">
      <c r="A475" s="1" t="str">
        <f>IFERROR(__xludf.DUMMYFUNCTION("""COMPUTED_VALUE"""),"Related Digital/The Barn")</f>
        <v>Related Digital/The Barn</v>
      </c>
      <c r="B475" s="1" t="str">
        <f>IFERROR(__xludf.DUMMYFUNCTION("""COMPUTED_VALUE"""),"NW side of US-12, near Willow Rd")</f>
        <v>NW side of US-12, near Willow Rd</v>
      </c>
      <c r="C475" s="1" t="str">
        <f>IFERROR(__xludf.DUMMYFUNCTION("""COMPUTED_VALUE"""),"Saline")</f>
        <v>Saline</v>
      </c>
      <c r="D475" s="1" t="str">
        <f>IFERROR(__xludf.DUMMYFUNCTION("""COMPUTED_VALUE"""),"MI")</f>
        <v>MI</v>
      </c>
      <c r="E475" s="1" t="str">
        <f>IFERROR(__xludf.DUMMYFUNCTION("""COMPUTED_VALUE"""),"48176")</f>
        <v>48176</v>
      </c>
      <c r="F475" s="1" t="str">
        <f>IFERROR(__xludf.DUMMYFUNCTION("""COMPUTED_VALUE"""),"Washtenaw")</f>
        <v>Washtenaw</v>
      </c>
      <c r="G475" s="1" t="str">
        <f>IFERROR(__xludf.DUMMYFUNCTION("""COMPUTED_VALUE"""),"42.112755")</f>
        <v>42.112755</v>
      </c>
      <c r="H475" s="1" t="str">
        <f>IFERROR(__xludf.DUMMYFUNCTION("""COMPUTED_VALUE"""),"-83.88956")</f>
        <v>-83.88956</v>
      </c>
      <c r="I475" s="1" t="str">
        <f>IFERROR(__xludf.DUMMYFUNCTION("""COMPUTED_VALUE"""),"Approved/Permitted/Under construction")</f>
        <v>Approved/Permitted/Under construction</v>
      </c>
      <c r="J475" s="1" t="str">
        <f>IFERROR(__xludf.DUMMYFUNCTION("""COMPUTED_VALUE"""),"Medium")</f>
        <v>Medium</v>
      </c>
      <c r="K475" s="1" t="str">
        <f>IFERROR(__xludf.DUMMYFUNCTION("""COMPUTED_VALUE"""),"")</f>
        <v/>
      </c>
      <c r="L475" s="1" t="str">
        <f>IFERROR(__xludf.DUMMYFUNCTION("""COMPUTED_VALUE"""),"Related Digital/Open AI/Oracle")</f>
        <v>Related Digital/Open AI/Oracle</v>
      </c>
      <c r="M475" s="1" t="str">
        <f>IFERROR(__xludf.DUMMYFUNCTION("""COMPUTED_VALUE"""),"")</f>
        <v/>
      </c>
      <c r="N475" s="1" t="str">
        <f>IFERROR(__xludf.DUMMYFUNCTION("""COMPUTED_VALUE"""),"1400")</f>
        <v>1400</v>
      </c>
      <c r="O475" s="1" t="str">
        <f>IFERROR(__xludf.DUMMYFUNCTION("""COMPUTED_VALUE"""),"Mega campus (&gt;1,000 MW)")</f>
        <v>Mega campus (&gt;1,000 MW)</v>
      </c>
      <c r="P475" s="1" t="str">
        <f>IFERROR(__xludf.DUMMYFUNCTION("""COMPUTED_VALUE"""),"Grid (unspecified mix)")</f>
        <v>Grid (unspecified mix)</v>
      </c>
      <c r="Q475" s="1" t="str">
        <f>IFERROR(__xludf.DUMMYFUNCTION("""COMPUTED_VALUE"""),"")</f>
        <v/>
      </c>
      <c r="R475" s="1" t="str">
        <f>IFERROR(__xludf.DUMMYFUNCTION("""COMPUTED_VALUE"""),"")</f>
        <v/>
      </c>
      <c r="S475" s="1" t="str">
        <f>IFERROR(__xludf.DUMMYFUNCTION("""COMPUTED_VALUE"""),"3 large, 1 small")</f>
        <v>3 large, 1 small</v>
      </c>
      <c r="T475" s="1" t="str">
        <f>IFERROR(__xludf.DUMMYFUNCTION("""COMPUTED_VALUE"""),"")</f>
        <v/>
      </c>
      <c r="U475" s="1" t="str">
        <f>IFERROR(__xludf.DUMMYFUNCTION("""COMPUTED_VALUE"""),"")</f>
        <v/>
      </c>
      <c r="V475" s="1" t="str">
        <f>IFERROR(__xludf.DUMMYFUNCTION("""COMPUTED_VALUE"""),"2,200,000")</f>
        <v>2,200,000</v>
      </c>
      <c r="W475" s="1" t="str">
        <f>IFERROR(__xludf.DUMMYFUNCTION("""COMPUTED_VALUE"""),"575")</f>
        <v>575</v>
      </c>
      <c r="X475" s="1" t="str">
        <f>IFERROR(__xludf.DUMMYFUNCTION("""COMPUTED_VALUE"""),"$7-10 billion")</f>
        <v>$7-10 billion</v>
      </c>
      <c r="Y475" s="1" t="str">
        <f>IFERROR(__xludf.DUMMYFUNCTION("""COMPUTED_VALUE"""),"")</f>
        <v/>
      </c>
      <c r="Z475" s="1" t="str">
        <f>IFERROR(__xludf.DUMMYFUNCTION("""COMPUTED_VALUE"""),"Yes")</f>
        <v>Yes</v>
      </c>
      <c r="AA475" s="1" t="str">
        <f>IFERROR(__xludf.DUMMYFUNCTION("""COMPUTED_VALUE"""),"")</f>
        <v/>
      </c>
      <c r="AB475" s="1" t="str">
        <f>IFERROR(__xludf.DUMMYFUNCTION("""COMPUTED_VALUE"""),"")</f>
        <v/>
      </c>
      <c r="AC475" s="1" t="str">
        <f>IFERROR(__xludf.DUMMYFUNCTION("""COMPUTED_VALUE"""),"")</f>
        <v/>
      </c>
      <c r="AD475" s="2" t="str">
        <f>IFERROR(__xludf.DUMMYFUNCTION("""COMPUTED_VALUE"""),"https://thesalinepost.com/g/saline-mi/n/358617/city-saline-institutes-temporary-moratorium-data-centers")</f>
        <v>https://thesalinepost.com/g/saline-mi/n/358617/city-saline-institutes-temporary-moratorium-data-centers</v>
      </c>
      <c r="AE475" s="2" t="str">
        <f>IFERROR(__xludf.DUMMYFUNCTION("""COMPUTED_VALUE"""),"https://www.datacenterdynamics.com/en/news/oracle-and-openai-start-construction-on-stargate-data-center-campus-in-saline-township-michigan/")</f>
        <v>https://www.datacenterdynamics.com/en/news/oracle-and-openai-start-construction-on-stargate-data-center-campus-in-saline-township-michigan/</v>
      </c>
      <c r="AF475" s="1" t="str">
        <f>IFERROR(__xludf.DUMMYFUNCTION("""COMPUTED_VALUE"""),"")</f>
        <v/>
      </c>
      <c r="AG475" s="1" t="str">
        <f>IFERROR(__xludf.DUMMYFUNCTION("""COMPUTED_VALUE"""),"DTE is set to provide the energy for this data center. Proposal to rezone from ag to industrial.")</f>
        <v>DTE is set to provide the energy for this data center. Proposal to rezone from ag to industrial.</v>
      </c>
      <c r="AH475" s="1" t="str">
        <f>IFERROR(__xludf.DUMMYFUNCTION("""COMPUTED_VALUE"""),"Media Monitoring")</f>
        <v>Media Monitoring</v>
      </c>
      <c r="AI475" s="2" t="str">
        <f>IFERROR(__xludf.DUMMYFUNCTION("""COMPUTED_VALUE"""),"https://www.datacenterdynamics.com/en/news/related-pitches-575-acre-data-center-campus-outside-detroit-michigan/")</f>
        <v>https://www.datacenterdynamics.com/en/news/related-pitches-575-acre-data-center-campus-outside-detroit-michigan/</v>
      </c>
      <c r="AJ475" s="2" t="str">
        <f>IFERROR(__xludf.DUMMYFUNCTION("""COMPUTED_VALUE"""),"https://www.msn.com/en-us/money/realestate/proposal-to-build-computer-data-center-near-saline-sparks-debate/ar-AA1KqiDZ?apiversion=v2&amp;noservercache=1&amp;domshim=1&amp;renderwebcomponents=1&amp;wcseo=1&amp;batchservertelemetry=1&amp;noservertelemetry=1")</f>
        <v>https://www.msn.com/en-us/money/realestate/proposal-to-build-computer-data-center-near-saline-sparks-debate/ar-AA1KqiDZ?apiversion=v2&amp;noservercache=1&amp;domshim=1&amp;renderwebcomponents=1&amp;wcseo=1&amp;batchservertelemetry=1&amp;noservertelemetry=1</v>
      </c>
      <c r="AK475" s="2" t="str">
        <f>IFERROR(__xludf.DUMMYFUNCTION("""COMPUTED_VALUE"""),"https://www.mlive.com/news/ann-arbor/2025/09/data-center-for-ai-computing-rejected-in-farming-community-near-ann-arbor.html")</f>
        <v>https://www.mlive.com/news/ann-arbor/2025/09/data-center-for-ai-computing-rejected-in-farming-community-near-ann-arbor.html</v>
      </c>
      <c r="AL475" s="2" t="str">
        <f>IFERROR(__xludf.DUMMYFUNCTION("""COMPUTED_VALUE"""),"https://www.mlive.com/news/ann-arbor/2025/10/rural-residents-in-an-uproar-over-openais-massive-data-center-project-in-saline-township.html")</f>
        <v>https://www.mlive.com/news/ann-arbor/2025/10/rural-residents-in-an-uproar-over-openais-massive-data-center-project-in-saline-township.html</v>
      </c>
      <c r="AM475" s="2" t="str">
        <f>IFERROR(__xludf.DUMMYFUNCTION("""COMPUTED_VALUE"""),"https://www.mlive.com/news/2025/11/dte-asks-to-rush-approval-of-massive-data-center-deal-avoiding-hearings.html")</f>
        <v>https://www.mlive.com/news/2025/11/dte-asks-to-rush-approval-of-massive-data-center-deal-avoiding-hearings.html</v>
      </c>
      <c r="AN475" s="2" t="str">
        <f>IFERROR(__xludf.DUMMYFUNCTION("""COMPUTED_VALUE"""),"https://planetdetroit.org/2026/02/saline-data-center-air-wetlands-permits/")</f>
        <v>https://planetdetroit.org/2026/02/saline-data-center-air-wetlands-permits/</v>
      </c>
      <c r="AO475" s="2" t="str">
        <f>IFERROR(__xludf.DUMMYFUNCTION("""COMPUTED_VALUE"""),"https://www.datacenterdynamics.com/en/news/or/")</f>
        <v>https://www.datacenterdynamics.com/en/news/or/</v>
      </c>
      <c r="AP475" s="1" t="str">
        <f>IFERROR(__xludf.DUMMYFUNCTION("""COMPUTED_VALUE"""),"")</f>
        <v/>
      </c>
      <c r="AQ475" s="1" t="str">
        <f>IFERROR(__xludf.DUMMYFUNCTION("""COMPUTED_VALUE"""),"09/14/2025")</f>
        <v>09/14/2025</v>
      </c>
      <c r="AR475" s="1" t="str">
        <f>IFERROR(__xludf.DUMMYFUNCTION("""COMPUTED_VALUE"""),"05/05/2026")</f>
        <v>05/05/2026</v>
      </c>
    </row>
    <row r="476">
      <c r="A476" s="1" t="str">
        <f>IFERROR(__xludf.DUMMYFUNCTION("""COMPUTED_VALUE"""),"Panattoni Project Cannoli")</f>
        <v>Panattoni Project Cannoli</v>
      </c>
      <c r="B476" s="1" t="str">
        <f>IFERROR(__xludf.DUMMYFUNCTION("""COMPUTED_VALUE"""),"along I-94 from Haggerty to Hannan Roads")</f>
        <v>along I-94 from Haggerty to Hannan Roads</v>
      </c>
      <c r="C476" s="1" t="str">
        <f>IFERROR(__xludf.DUMMYFUNCTION("""COMPUTED_VALUE"""),"Van Buren Township")</f>
        <v>Van Buren Township</v>
      </c>
      <c r="D476" s="1" t="str">
        <f>IFERROR(__xludf.DUMMYFUNCTION("""COMPUTED_VALUE"""),"MI")</f>
        <v>MI</v>
      </c>
      <c r="E476" s="1" t="str">
        <f>IFERROR(__xludf.DUMMYFUNCTION("""COMPUTED_VALUE"""),"48111")</f>
        <v>48111</v>
      </c>
      <c r="F476" s="1" t="str">
        <f>IFERROR(__xludf.DUMMYFUNCTION("""COMPUTED_VALUE"""),"Wayne")</f>
        <v>Wayne</v>
      </c>
      <c r="G476" s="1" t="str">
        <f>IFERROR(__xludf.DUMMYFUNCTION("""COMPUTED_VALUE"""),"42.22704")</f>
        <v>42.22704</v>
      </c>
      <c r="H476" s="1" t="str">
        <f>IFERROR(__xludf.DUMMYFUNCTION("""COMPUTED_VALUE"""),"-83.43421")</f>
        <v>-83.43421</v>
      </c>
      <c r="I476" s="1" t="str">
        <f>IFERROR(__xludf.DUMMYFUNCTION("""COMPUTED_VALUE"""),"Proposed")</f>
        <v>Proposed</v>
      </c>
      <c r="J476" s="1" t="str">
        <f>IFERROR(__xludf.DUMMYFUNCTION("""COMPUTED_VALUE"""),"High")</f>
        <v>High</v>
      </c>
      <c r="K476" s="1" t="str">
        <f>IFERROR(__xludf.DUMMYFUNCTION("""COMPUTED_VALUE"""),"")</f>
        <v/>
      </c>
      <c r="L476" s="1" t="str">
        <f>IFERROR(__xludf.DUMMYFUNCTION("""COMPUTED_VALUE"""),"Google")</f>
        <v>Google</v>
      </c>
      <c r="M476" s="1" t="str">
        <f>IFERROR(__xludf.DUMMYFUNCTION("""COMPUTED_VALUE"""),"")</f>
        <v/>
      </c>
      <c r="N476" s="1" t="str">
        <f>IFERROR(__xludf.DUMMYFUNCTION("""COMPUTED_VALUE"""),"1000")</f>
        <v>1000</v>
      </c>
      <c r="O476" s="1" t="str">
        <f>IFERROR(__xludf.DUMMYFUNCTION("""COMPUTED_VALUE"""),"Mega campus (&gt;1,000 MW)")</f>
        <v>Mega campus (&gt;1,000 MW)</v>
      </c>
      <c r="P476" s="1" t="str">
        <f>IFERROR(__xludf.DUMMYFUNCTION("""COMPUTED_VALUE"""),"")</f>
        <v/>
      </c>
      <c r="Q476" s="1" t="str">
        <f>IFERROR(__xludf.DUMMYFUNCTION("""COMPUTED_VALUE"""),"")</f>
        <v/>
      </c>
      <c r="R476" s="1" t="str">
        <f>IFERROR(__xludf.DUMMYFUNCTION("""COMPUTED_VALUE"""),"")</f>
        <v/>
      </c>
      <c r="S476" s="1" t="str">
        <f>IFERROR(__xludf.DUMMYFUNCTION("""COMPUTED_VALUE"""),"3")</f>
        <v>3</v>
      </c>
      <c r="T476" s="1" t="str">
        <f>IFERROR(__xludf.DUMMYFUNCTION("""COMPUTED_VALUE"""),"Water")</f>
        <v>Water</v>
      </c>
      <c r="U476" s="1" t="str">
        <f>IFERROR(__xludf.DUMMYFUNCTION("""COMPUTED_VALUE"""),"")</f>
        <v/>
      </c>
      <c r="V476" s="1" t="str">
        <f>IFERROR(__xludf.DUMMYFUNCTION("""COMPUTED_VALUE"""),"800,000")</f>
        <v>800,000</v>
      </c>
      <c r="W476" s="1" t="str">
        <f>IFERROR(__xludf.DUMMYFUNCTION("""COMPUTED_VALUE"""),"282")</f>
        <v>282</v>
      </c>
      <c r="X476" s="1" t="str">
        <f>IFERROR(__xludf.DUMMYFUNCTION("""COMPUTED_VALUE"""),"")</f>
        <v/>
      </c>
      <c r="Y476" s="1" t="str">
        <f>IFERROR(__xludf.DUMMYFUNCTION("""COMPUTED_VALUE"""),"")</f>
        <v/>
      </c>
      <c r="Z476" s="1" t="str">
        <f>IFERROR(__xludf.DUMMYFUNCTION("""COMPUTED_VALUE"""),"Yes")</f>
        <v>Yes</v>
      </c>
      <c r="AA476" s="1" t="str">
        <f>IFERROR(__xludf.DUMMYFUNCTION("""COMPUTED_VALUE"""),"")</f>
        <v/>
      </c>
      <c r="AB476" s="1" t="str">
        <f>IFERROR(__xludf.DUMMYFUNCTION("""COMPUTED_VALUE"""),"")</f>
        <v/>
      </c>
      <c r="AC476" s="1" t="str">
        <f>IFERROR(__xludf.DUMMYFUNCTION("""COMPUTED_VALUE"""),"")</f>
        <v/>
      </c>
      <c r="AD476" s="1" t="str">
        <f>IFERROR(__xludf.DUMMYFUNCTION("""COMPUTED_VALUE"""),"")</f>
        <v/>
      </c>
      <c r="AE476" s="1" t="str">
        <f>IFERROR(__xludf.DUMMYFUNCTION("""COMPUTED_VALUE"""),"")</f>
        <v/>
      </c>
      <c r="AF476" s="2" t="str">
        <f>IFERROR(__xludf.DUMMYFUNCTION("""COMPUTED_VALUE"""),"https://www.change.org/p/stop-the-massive-data-center-in-van-buren-township-michigan")</f>
        <v>https://www.change.org/p/stop-the-massive-data-center-in-van-buren-township-michigan</v>
      </c>
      <c r="AG476" s="1" t="str">
        <f>IFERROR(__xludf.DUMMYFUNCTION("""COMPUTED_VALUE"""),"2-3.6 million gal/day for cooling, diesel backup generators")</f>
        <v>2-3.6 million gal/day for cooling, diesel backup generators</v>
      </c>
      <c r="AH476" s="1" t="str">
        <f>IFERROR(__xludf.DUMMYFUNCTION("""COMPUTED_VALUE"""),"Media Monitoring")</f>
        <v>Media Monitoring</v>
      </c>
      <c r="AI476" s="2" t="str">
        <f>IFERROR(__xludf.DUMMYFUNCTION("""COMPUTED_VALUE"""),"https://www.datacenterdynamics.com/en/news/panattoni-looks-to-develop-1gw-data-center-campus-outside-detroit-michigan/")</f>
        <v>https://www.datacenterdynamics.com/en/news/panattoni-looks-to-develop-1gw-data-center-campus-outside-detroit-michigan/</v>
      </c>
      <c r="AJ476" s="2" t="str">
        <f>IFERROR(__xludf.DUMMYFUNCTION("""COMPUTED_VALUE"""),"https://www.wemu.org/wemu-news/2025-12-12/big-crowd-in-van-buren-township-looks-for-answers-on-proposed-data-center")</f>
        <v>https://www.wemu.org/wemu-news/2025-12-12/big-crowd-in-van-buren-township-looks-for-answers-on-proposed-data-center</v>
      </c>
      <c r="AK476" s="2" t="str">
        <f>IFERROR(__xludf.DUMMYFUNCTION("""COMPUTED_VALUE"""),"https://planetdetroit.org/2025/12/van-buren-data-center-pitch/")</f>
        <v>https://planetdetroit.org/2025/12/van-buren-data-center-pitch/</v>
      </c>
      <c r="AL476" s="2" t="str">
        <f>IFERROR(__xludf.DUMMYFUNCTION("""COMPUTED_VALUE"""),"https://planetdetroit.org/2026/01/van-buren-data-center-protest/")</f>
        <v>https://planetdetroit.org/2026/01/van-buren-data-center-protest/</v>
      </c>
      <c r="AM476" s="2" t="str">
        <f>IFERROR(__xludf.DUMMYFUNCTION("""COMPUTED_VALUE"""),"https://planetdetroit.org/2026/02/project-cannoli-preliminary-site-plan/")</f>
        <v>https://planetdetroit.org/2026/02/project-cannoli-preliminary-site-plan/</v>
      </c>
      <c r="AN476" s="2" t="str">
        <f>IFERROR(__xludf.DUMMYFUNCTION("""COMPUTED_VALUE"""),"https://planetdetroit.org/2026/03/google-dte-data-center-van-buren/")</f>
        <v>https://planetdetroit.org/2026/03/google-dte-data-center-van-buren/</v>
      </c>
      <c r="AO476" s="2" t="str">
        <f>IFERROR(__xludf.DUMMYFUNCTION("""COMPUTED_VALUE"""),"https://www.datacenterdynamics.com/en/news/google-confirms-1gw-data-center-campus-near-detroit-michigan-partners-with-dte-energy-on-27gw-power-generation/")</f>
        <v>https://www.datacenterdynamics.com/en/news/google-confirms-1gw-data-center-campus-near-detroit-michigan-partners-with-dte-energy-on-27gw-power-generation/</v>
      </c>
      <c r="AP476" s="1" t="str">
        <f>IFERROR(__xludf.DUMMYFUNCTION("""COMPUTED_VALUE"""),"")</f>
        <v/>
      </c>
      <c r="AQ476" s="1" t="str">
        <f>IFERROR(__xludf.DUMMYFUNCTION("""COMPUTED_VALUE"""),"02/12/2026")</f>
        <v>02/12/2026</v>
      </c>
      <c r="AR476" s="1" t="str">
        <f>IFERROR(__xludf.DUMMYFUNCTION("""COMPUTED_VALUE"""),"03/20/2026")</f>
        <v>03/20/2026</v>
      </c>
    </row>
    <row r="477">
      <c r="A477" s="1" t="str">
        <f>IFERROR(__xludf.DUMMYFUNCTION("""COMPUTED_VALUE"""),"Washington Township Data Center")</f>
        <v>Washington Township Data Center</v>
      </c>
      <c r="B477" s="1" t="str">
        <f>IFERROR(__xludf.DUMMYFUNCTION("""COMPUTED_VALUE"""),"on the south side of 32 Mile Road, between M-53 and Powell Road")</f>
        <v>on the south side of 32 Mile Road, between M-53 and Powell Road</v>
      </c>
      <c r="C477" s="1" t="str">
        <f>IFERROR(__xludf.DUMMYFUNCTION("""COMPUTED_VALUE"""),"Washington Township")</f>
        <v>Washington Township</v>
      </c>
      <c r="D477" s="1" t="str">
        <f>IFERROR(__xludf.DUMMYFUNCTION("""COMPUTED_VALUE"""),"MI")</f>
        <v>MI</v>
      </c>
      <c r="E477" s="1" t="str">
        <f>IFERROR(__xludf.DUMMYFUNCTION("""COMPUTED_VALUE"""),"48095")</f>
        <v>48095</v>
      </c>
      <c r="F477" s="1" t="str">
        <f>IFERROR(__xludf.DUMMYFUNCTION("""COMPUTED_VALUE"""),"Macomb")</f>
        <v>Macomb</v>
      </c>
      <c r="G477" s="1" t="str">
        <f>IFERROR(__xludf.DUMMYFUNCTION("""COMPUTED_VALUE"""),"42.80183")</f>
        <v>42.80183</v>
      </c>
      <c r="H477" s="1" t="str">
        <f>IFERROR(__xludf.DUMMYFUNCTION("""COMPUTED_VALUE"""),"-82.99235")</f>
        <v>-82.99235</v>
      </c>
      <c r="I477" s="1" t="str">
        <f>IFERROR(__xludf.DUMMYFUNCTION("""COMPUTED_VALUE"""),"Proposed")</f>
        <v>Proposed</v>
      </c>
      <c r="J477" s="1" t="str">
        <f>IFERROR(__xludf.DUMMYFUNCTION("""COMPUTED_VALUE"""),"Medium")</f>
        <v>Medium</v>
      </c>
      <c r="K477" s="1" t="str">
        <f>IFERROR(__xludf.DUMMYFUNCTION("""COMPUTED_VALUE"""),"")</f>
        <v/>
      </c>
      <c r="L477" s="1" t="str">
        <f>IFERROR(__xludf.DUMMYFUNCTION("""COMPUTED_VALUE"""),"Prologis")</f>
        <v>Prologis</v>
      </c>
      <c r="M477" s="1" t="str">
        <f>IFERROR(__xludf.DUMMYFUNCTION("""COMPUTED_VALUE"""),"")</f>
        <v/>
      </c>
      <c r="N477" s="1" t="str">
        <f>IFERROR(__xludf.DUMMYFUNCTION("""COMPUTED_VALUE"""),"")</f>
        <v/>
      </c>
      <c r="O477" s="1" t="str">
        <f>IFERROR(__xludf.DUMMYFUNCTION("""COMPUTED_VALUE"""),"Unknown")</f>
        <v>Unknown</v>
      </c>
      <c r="P477" s="1" t="str">
        <f>IFERROR(__xludf.DUMMYFUNCTION("""COMPUTED_VALUE"""),"")</f>
        <v/>
      </c>
      <c r="Q477" s="1" t="str">
        <f>IFERROR(__xludf.DUMMYFUNCTION("""COMPUTED_VALUE"""),"")</f>
        <v/>
      </c>
      <c r="R477" s="1" t="str">
        <f>IFERROR(__xludf.DUMMYFUNCTION("""COMPUTED_VALUE"""),"")</f>
        <v/>
      </c>
      <c r="S477" s="1" t="str">
        <f>IFERROR(__xludf.DUMMYFUNCTION("""COMPUTED_VALUE"""),"")</f>
        <v/>
      </c>
      <c r="T477" s="1" t="str">
        <f>IFERROR(__xludf.DUMMYFUNCTION("""COMPUTED_VALUE"""),"")</f>
        <v/>
      </c>
      <c r="U477" s="1" t="str">
        <f>IFERROR(__xludf.DUMMYFUNCTION("""COMPUTED_VALUE"""),"")</f>
        <v/>
      </c>
      <c r="V477" s="1" t="str">
        <f>IFERROR(__xludf.DUMMYFUNCTION("""COMPUTED_VALUE"""),"")</f>
        <v/>
      </c>
      <c r="W477" s="1" t="str">
        <f>IFERROR(__xludf.DUMMYFUNCTION("""COMPUTED_VALUE"""),"")</f>
        <v/>
      </c>
      <c r="X477" s="1" t="str">
        <f>IFERROR(__xludf.DUMMYFUNCTION("""COMPUTED_VALUE"""),"")</f>
        <v/>
      </c>
      <c r="Y477" s="1" t="str">
        <f>IFERROR(__xludf.DUMMYFUNCTION("""COMPUTED_VALUE"""),"")</f>
        <v/>
      </c>
      <c r="Z477" s="1" t="str">
        <f>IFERROR(__xludf.DUMMYFUNCTION("""COMPUTED_VALUE"""),"Yes")</f>
        <v>Yes</v>
      </c>
      <c r="AA477" s="1" t="str">
        <f>IFERROR(__xludf.DUMMYFUNCTION("""COMPUTED_VALUE"""),"")</f>
        <v/>
      </c>
      <c r="AB477" s="1" t="str">
        <f>IFERROR(__xludf.DUMMYFUNCTION("""COMPUTED_VALUE"""),"")</f>
        <v/>
      </c>
      <c r="AC477" s="1" t="str">
        <f>IFERROR(__xludf.DUMMYFUNCTION("""COMPUTED_VALUE"""),"")</f>
        <v/>
      </c>
      <c r="AD477" s="2" t="str">
        <f>IFERROR(__xludf.DUMMYFUNCTION("""COMPUTED_VALUE"""),"https://www.facebook.com/groups/1507890697089577/")</f>
        <v>https://www.facebook.com/groups/1507890697089577/</v>
      </c>
      <c r="AE477" s="1" t="str">
        <f>IFERROR(__xludf.DUMMYFUNCTION("""COMPUTED_VALUE"""),"")</f>
        <v/>
      </c>
      <c r="AF477" s="1" t="str">
        <f>IFERROR(__xludf.DUMMYFUNCTION("""COMPUTED_VALUE"""),"")</f>
        <v/>
      </c>
      <c r="AG477" s="1" t="str">
        <f>IFERROR(__xludf.DUMMYFUNCTION("""COMPUTED_VALUE"""),"Rezoning application pending")</f>
        <v>Rezoning application pending</v>
      </c>
      <c r="AH477" s="1" t="str">
        <f>IFERROR(__xludf.DUMMYFUNCTION("""COMPUTED_VALUE"""),"Media Monitoring")</f>
        <v>Media Monitoring</v>
      </c>
      <c r="AI477" s="2" t="str">
        <f>IFERROR(__xludf.DUMMYFUNCTION("""COMPUTED_VALUE"""),"https://planetdetroit.org/2025/12/washington-township-data-center-hearing/")</f>
        <v>https://planetdetroit.org/2025/12/washington-township-data-center-hearing/</v>
      </c>
      <c r="AJ477" s="1" t="str">
        <f>IFERROR(__xludf.DUMMYFUNCTION("""COMPUTED_VALUE"""),"")</f>
        <v/>
      </c>
      <c r="AK477" s="1" t="str">
        <f>IFERROR(__xludf.DUMMYFUNCTION("""COMPUTED_VALUE"""),"")</f>
        <v/>
      </c>
      <c r="AL477" s="1" t="str">
        <f>IFERROR(__xludf.DUMMYFUNCTION("""COMPUTED_VALUE"""),"")</f>
        <v/>
      </c>
      <c r="AM477" s="1" t="str">
        <f>IFERROR(__xludf.DUMMYFUNCTION("""COMPUTED_VALUE"""),"")</f>
        <v/>
      </c>
      <c r="AN477" s="1" t="str">
        <f>IFERROR(__xludf.DUMMYFUNCTION("""COMPUTED_VALUE"""),"")</f>
        <v/>
      </c>
      <c r="AO477" s="1" t="str">
        <f>IFERROR(__xludf.DUMMYFUNCTION("""COMPUTED_VALUE"""),"")</f>
        <v/>
      </c>
      <c r="AP477" s="1" t="str">
        <f>IFERROR(__xludf.DUMMYFUNCTION("""COMPUTED_VALUE"""),"")</f>
        <v/>
      </c>
      <c r="AQ477" s="1" t="str">
        <f>IFERROR(__xludf.DUMMYFUNCTION("""COMPUTED_VALUE"""),"01/04/2026")</f>
        <v>01/04/2026</v>
      </c>
      <c r="AR477" s="1" t="str">
        <f>IFERROR(__xludf.DUMMYFUNCTION("""COMPUTED_VALUE"""),"01/04/2026")</f>
        <v>01/04/2026</v>
      </c>
    </row>
    <row r="478">
      <c r="A478" s="1" t="str">
        <f>IFERROR(__xludf.DUMMYFUNCTION("""COMPUTED_VALUE"""),"University of Michigan Los Alamos Data Center")</f>
        <v>University of Michigan Los Alamos Data Center</v>
      </c>
      <c r="B478" s="1" t="str">
        <f>IFERROR(__xludf.DUMMYFUNCTION("""COMPUTED_VALUE"""),"10221 Textile Road")</f>
        <v>10221 Textile Road</v>
      </c>
      <c r="C478" s="1" t="str">
        <f>IFERROR(__xludf.DUMMYFUNCTION("""COMPUTED_VALUE"""),"Ypsilanti")</f>
        <v>Ypsilanti</v>
      </c>
      <c r="D478" s="1" t="str">
        <f>IFERROR(__xludf.DUMMYFUNCTION("""COMPUTED_VALUE"""),"MI")</f>
        <v>MI</v>
      </c>
      <c r="E478" s="1" t="str">
        <f>IFERROR(__xludf.DUMMYFUNCTION("""COMPUTED_VALUE"""),"48197")</f>
        <v>48197</v>
      </c>
      <c r="F478" s="1" t="str">
        <f>IFERROR(__xludf.DUMMYFUNCTION("""COMPUTED_VALUE"""),"Washtenaw")</f>
        <v>Washtenaw</v>
      </c>
      <c r="G478" s="1" t="str">
        <f>IFERROR(__xludf.DUMMYFUNCTION("""COMPUTED_VALUE"""),"42.20446")</f>
        <v>42.20446</v>
      </c>
      <c r="H478" s="1" t="str">
        <f>IFERROR(__xludf.DUMMYFUNCTION("""COMPUTED_VALUE"""),"-83.5551")</f>
        <v>-83.5551</v>
      </c>
      <c r="I478" s="1" t="str">
        <f>IFERROR(__xludf.DUMMYFUNCTION("""COMPUTED_VALUE"""),"Proposed")</f>
        <v>Proposed</v>
      </c>
      <c r="J478" s="1" t="str">
        <f>IFERROR(__xludf.DUMMYFUNCTION("""COMPUTED_VALUE"""),"High")</f>
        <v>High</v>
      </c>
      <c r="K478" s="1" t="str">
        <f>IFERROR(__xludf.DUMMYFUNCTION("""COMPUTED_VALUE"""),"AI for Nuclear Research")</f>
        <v>AI for Nuclear Research</v>
      </c>
      <c r="L478" s="1" t="str">
        <f>IFERROR(__xludf.DUMMYFUNCTION("""COMPUTED_VALUE"""),"Los Alamos National Laboratory")</f>
        <v>Los Alamos National Laboratory</v>
      </c>
      <c r="M478" s="1" t="str">
        <f>IFERROR(__xludf.DUMMYFUNCTION("""COMPUTED_VALUE"""),"")</f>
        <v/>
      </c>
      <c r="N478" s="1" t="str">
        <f>IFERROR(__xludf.DUMMYFUNCTION("""COMPUTED_VALUE"""),"")</f>
        <v/>
      </c>
      <c r="O478" s="1" t="str">
        <f>IFERROR(__xludf.DUMMYFUNCTION("""COMPUTED_VALUE"""),"Unknown")</f>
        <v>Unknown</v>
      </c>
      <c r="P478" s="1" t="str">
        <f>IFERROR(__xludf.DUMMYFUNCTION("""COMPUTED_VALUE"""),"")</f>
        <v/>
      </c>
      <c r="Q478" s="1" t="str">
        <f>IFERROR(__xludf.DUMMYFUNCTION("""COMPUTED_VALUE"""),"")</f>
        <v/>
      </c>
      <c r="R478" s="1" t="str">
        <f>IFERROR(__xludf.DUMMYFUNCTION("""COMPUTED_VALUE"""),"")</f>
        <v/>
      </c>
      <c r="S478" s="1" t="str">
        <f>IFERROR(__xludf.DUMMYFUNCTION("""COMPUTED_VALUE"""),"")</f>
        <v/>
      </c>
      <c r="T478" s="1" t="str">
        <f>IFERROR(__xludf.DUMMYFUNCTION("""COMPUTED_VALUE"""),"")</f>
        <v/>
      </c>
      <c r="U478" s="1" t="str">
        <f>IFERROR(__xludf.DUMMYFUNCTION("""COMPUTED_VALUE"""),"")</f>
        <v/>
      </c>
      <c r="V478" s="1" t="str">
        <f>IFERROR(__xludf.DUMMYFUNCTION("""COMPUTED_VALUE"""),"")</f>
        <v/>
      </c>
      <c r="W478" s="1" t="str">
        <f>IFERROR(__xludf.DUMMYFUNCTION("""COMPUTED_VALUE"""),"")</f>
        <v/>
      </c>
      <c r="X478" s="1" t="str">
        <f>IFERROR(__xludf.DUMMYFUNCTION("""COMPUTED_VALUE"""),"$1.2 billion")</f>
        <v>$1.2 billion</v>
      </c>
      <c r="Y478" s="1" t="str">
        <f>IFERROR(__xludf.DUMMYFUNCTION("""COMPUTED_VALUE"""),"")</f>
        <v/>
      </c>
      <c r="Z478" s="1" t="str">
        <f>IFERROR(__xludf.DUMMYFUNCTION("""COMPUTED_VALUE"""),"Unknown")</f>
        <v>Unknown</v>
      </c>
      <c r="AA478" s="1" t="str">
        <f>IFERROR(__xludf.DUMMYFUNCTION("""COMPUTED_VALUE"""),"")</f>
        <v/>
      </c>
      <c r="AB478" s="1" t="str">
        <f>IFERROR(__xludf.DUMMYFUNCTION("""COMPUTED_VALUE"""),"")</f>
        <v/>
      </c>
      <c r="AC478" s="1" t="str">
        <f>IFERROR(__xludf.DUMMYFUNCTION("""COMPUTED_VALUE"""),"")</f>
        <v/>
      </c>
      <c r="AD478" s="1" t="str">
        <f>IFERROR(__xludf.DUMMYFUNCTION("""COMPUTED_VALUE"""),"")</f>
        <v/>
      </c>
      <c r="AE478" s="1" t="str">
        <f>IFERROR(__xludf.DUMMYFUNCTION("""COMPUTED_VALUE"""),"")</f>
        <v/>
      </c>
      <c r="AF478" s="1" t="str">
        <f>IFERROR(__xludf.DUMMYFUNCTION("""COMPUTED_VALUE"""),"")</f>
        <v/>
      </c>
      <c r="AG478" s="1" t="str">
        <f>IFERROR(__xludf.DUMMYFUNCTION("""COMPUTED_VALUE"""),"Being pressured to relocate")</f>
        <v>Being pressured to relocate</v>
      </c>
      <c r="AH478" s="1" t="str">
        <f>IFERROR(__xludf.DUMMYFUNCTION("""COMPUTED_VALUE"""),"Media Monitoring")</f>
        <v>Media Monitoring</v>
      </c>
      <c r="AI478" s="2" t="str">
        <f>IFERROR(__xludf.DUMMYFUNCTION("""COMPUTED_VALUE"""),"https://www.mlive.com/news/2025/05/protesters-disrupt-talk-on-university-of-michigans-proposed-12b-data-center.html")</f>
        <v>https://www.mlive.com/news/2025/05/protesters-disrupt-talk-on-university-of-michigans-proposed-12b-data-center.html</v>
      </c>
      <c r="AJ478" s="2" t="str">
        <f>IFERROR(__xludf.DUMMYFUNCTION("""COMPUTED_VALUE"""),"https://www.mlive.com/news/ann-arbor/2024/12/price-tag-is-12b-for-university-of-michigan-los-alamos-project-to-build-fastest-computer.html")</f>
        <v>https://www.mlive.com/news/ann-arbor/2024/12/price-tag-is-12b-for-university-of-michigan-los-alamos-project-to-build-fastest-computer.html</v>
      </c>
      <c r="AK478" s="2" t="str">
        <f>IFERROR(__xludf.DUMMYFUNCTION("""COMPUTED_VALUE"""),"https://www.datacenterdynamics.com/en/news/opposition-calls-to-relocate-12bn-university-of-michigan-data-centers/")</f>
        <v>https://www.datacenterdynamics.com/en/news/opposition-calls-to-relocate-12bn-university-of-michigan-data-centers/</v>
      </c>
      <c r="AL478" s="2" t="str">
        <f>IFERROR(__xludf.DUMMYFUNCTION("""COMPUTED_VALUE"""),"https://planetdetroit.org/2025/12/university-of-michigan-data-center-funding/")</f>
        <v>https://planetdetroit.org/2025/12/university-of-michigan-data-center-funding/</v>
      </c>
      <c r="AM478" s="2" t="str">
        <f>IFERROR(__xludf.DUMMYFUNCTION("""COMPUTED_VALUE"""),"https://www.michigandaily.com/news/news-briefs/los-alamos-confirms-umich-data-center-to-be-used-for-nuclear-weapons-research/")</f>
        <v>https://www.michigandaily.com/news/news-briefs/los-alamos-confirms-umich-data-center-to-be-used-for-nuclear-weapons-research/</v>
      </c>
      <c r="AN478" s="1" t="str">
        <f>IFERROR(__xludf.DUMMYFUNCTION("""COMPUTED_VALUE"""),"")</f>
        <v/>
      </c>
      <c r="AO478" s="1" t="str">
        <f>IFERROR(__xludf.DUMMYFUNCTION("""COMPUTED_VALUE"""),"")</f>
        <v/>
      </c>
      <c r="AP478" s="1" t="str">
        <f>IFERROR(__xludf.DUMMYFUNCTION("""COMPUTED_VALUE"""),"")</f>
        <v/>
      </c>
      <c r="AQ478" s="1" t="str">
        <f>IFERROR(__xludf.DUMMYFUNCTION("""COMPUTED_VALUE"""),"08/22/2025")</f>
        <v>08/22/2025</v>
      </c>
      <c r="AR478" s="1" t="str">
        <f>IFERROR(__xludf.DUMMYFUNCTION("""COMPUTED_VALUE"""),"02/03/2026")</f>
        <v>02/03/2026</v>
      </c>
    </row>
    <row r="479">
      <c r="A479" s="1" t="str">
        <f>IFERROR(__xludf.DUMMYFUNCTION("""COMPUTED_VALUE"""),"Amazon Becker Data Center")</f>
        <v>Amazon Becker Data Center</v>
      </c>
      <c r="B479" s="1" t="str">
        <f>IFERROR(__xludf.DUMMYFUNCTION("""COMPUTED_VALUE"""),"")</f>
        <v/>
      </c>
      <c r="C479" s="1" t="str">
        <f>IFERROR(__xludf.DUMMYFUNCTION("""COMPUTED_VALUE"""),"Becker")</f>
        <v>Becker</v>
      </c>
      <c r="D479" s="1" t="str">
        <f>IFERROR(__xludf.DUMMYFUNCTION("""COMPUTED_VALUE"""),"MN")</f>
        <v>MN</v>
      </c>
      <c r="E479" s="1" t="str">
        <f>IFERROR(__xludf.DUMMYFUNCTION("""COMPUTED_VALUE"""),"55308")</f>
        <v>55308</v>
      </c>
      <c r="F479" s="1" t="str">
        <f>IFERROR(__xludf.DUMMYFUNCTION("""COMPUTED_VALUE"""),"Sherburne")</f>
        <v>Sherburne</v>
      </c>
      <c r="G479" s="1" t="str">
        <f>IFERROR(__xludf.DUMMYFUNCTION("""COMPUTED_VALUE"""),"45.38527")</f>
        <v>45.38527</v>
      </c>
      <c r="H479" s="1" t="str">
        <f>IFERROR(__xludf.DUMMYFUNCTION("""COMPUTED_VALUE"""),"-93.8805")</f>
        <v>-93.8805</v>
      </c>
      <c r="I479" s="1" t="str">
        <f>IFERROR(__xludf.DUMMYFUNCTION("""COMPUTED_VALUE"""),"Suspended")</f>
        <v>Suspended</v>
      </c>
      <c r="J479" s="1" t="str">
        <f>IFERROR(__xludf.DUMMYFUNCTION("""COMPUTED_VALUE"""),"Medium")</f>
        <v>Medium</v>
      </c>
      <c r="K479" s="1" t="str">
        <f>IFERROR(__xludf.DUMMYFUNCTION("""COMPUTED_VALUE"""),"")</f>
        <v/>
      </c>
      <c r="L479" s="1" t="str">
        <f>IFERROR(__xludf.DUMMYFUNCTION("""COMPUTED_VALUE"""),"Amazon")</f>
        <v>Amazon</v>
      </c>
      <c r="M479" s="1" t="str">
        <f>IFERROR(__xludf.DUMMYFUNCTION("""COMPUTED_VALUE"""),"")</f>
        <v/>
      </c>
      <c r="N479" s="1" t="str">
        <f>IFERROR(__xludf.DUMMYFUNCTION("""COMPUTED_VALUE"""),"")</f>
        <v/>
      </c>
      <c r="O479" s="1" t="str">
        <f>IFERROR(__xludf.DUMMYFUNCTION("""COMPUTED_VALUE"""),"Unknown")</f>
        <v>Unknown</v>
      </c>
      <c r="P479" s="1" t="str">
        <f>IFERROR(__xludf.DUMMYFUNCTION("""COMPUTED_VALUE"""),"")</f>
        <v/>
      </c>
      <c r="Q479" s="1" t="str">
        <f>IFERROR(__xludf.DUMMYFUNCTION("""COMPUTED_VALUE"""),"")</f>
        <v/>
      </c>
      <c r="R479" s="1" t="str">
        <f>IFERROR(__xludf.DUMMYFUNCTION("""COMPUTED_VALUE"""),"")</f>
        <v/>
      </c>
      <c r="S479" s="1" t="str">
        <f>IFERROR(__xludf.DUMMYFUNCTION("""COMPUTED_VALUE"""),"")</f>
        <v/>
      </c>
      <c r="T479" s="1" t="str">
        <f>IFERROR(__xludf.DUMMYFUNCTION("""COMPUTED_VALUE"""),"")</f>
        <v/>
      </c>
      <c r="U479" s="1" t="str">
        <f>IFERROR(__xludf.DUMMYFUNCTION("""COMPUTED_VALUE"""),"")</f>
        <v/>
      </c>
      <c r="V479" s="1" t="str">
        <f>IFERROR(__xludf.DUMMYFUNCTION("""COMPUTED_VALUE"""),"")</f>
        <v/>
      </c>
      <c r="W479" s="1" t="str">
        <f>IFERROR(__xludf.DUMMYFUNCTION("""COMPUTED_VALUE"""),"")</f>
        <v/>
      </c>
      <c r="X479" s="1" t="str">
        <f>IFERROR(__xludf.DUMMYFUNCTION("""COMPUTED_VALUE"""),"")</f>
        <v/>
      </c>
      <c r="Y479" s="1" t="str">
        <f>IFERROR(__xludf.DUMMYFUNCTION("""COMPUTED_VALUE"""),"")</f>
        <v/>
      </c>
      <c r="Z479" s="1" t="str">
        <f>IFERROR(__xludf.DUMMYFUNCTION("""COMPUTED_VALUE"""),"Unknown")</f>
        <v>Unknown</v>
      </c>
      <c r="AA479" s="1" t="str">
        <f>IFERROR(__xludf.DUMMYFUNCTION("""COMPUTED_VALUE"""),"")</f>
        <v/>
      </c>
      <c r="AB479" s="1" t="str">
        <f>IFERROR(__xludf.DUMMYFUNCTION("""COMPUTED_VALUE"""),"")</f>
        <v/>
      </c>
      <c r="AC479" s="1" t="str">
        <f>IFERROR(__xludf.DUMMYFUNCTION("""COMPUTED_VALUE"""),"")</f>
        <v/>
      </c>
      <c r="AD479" s="1" t="str">
        <f>IFERROR(__xludf.DUMMYFUNCTION("""COMPUTED_VALUE"""),"")</f>
        <v/>
      </c>
      <c r="AE479" s="1" t="str">
        <f>IFERROR(__xludf.DUMMYFUNCTION("""COMPUTED_VALUE"""),"")</f>
        <v/>
      </c>
      <c r="AF479" s="1" t="str">
        <f>IFERROR(__xludf.DUMMYFUNCTION("""COMPUTED_VALUE"""),"")</f>
        <v/>
      </c>
      <c r="AG479" s="1" t="str">
        <f>IFERROR(__xludf.DUMMYFUNCTION("""COMPUTED_VALUE"""),"")</f>
        <v/>
      </c>
      <c r="AH479" s="1" t="str">
        <f>IFERROR(__xludf.DUMMYFUNCTION("""COMPUTED_VALUE"""),"Media Monitoring")</f>
        <v>Media Monitoring</v>
      </c>
      <c r="AI479" s="2" t="str">
        <f>IFERROR(__xludf.DUMMYFUNCTION("""COMPUTED_VALUE"""),"https://www.msn.com/en-us/money/companies/amazon-suspends-minnesota-data-center-as-lawmakers-plan-to-reduce-big-tech-tax-breaks/ar-AA1Fj3re")</f>
        <v>https://www.msn.com/en-us/money/companies/amazon-suspends-minnesota-data-center-as-lawmakers-plan-to-reduce-big-tech-tax-breaks/ar-AA1Fj3re</v>
      </c>
      <c r="AJ479" s="2" t="str">
        <f>IFERROR(__xludf.DUMMYFUNCTION("""COMPUTED_VALUE"""),"https://www.fox9.com/news/amazon-becker-data-center")</f>
        <v>https://www.fox9.com/news/amazon-becker-data-center</v>
      </c>
      <c r="AK479" s="2" t="str">
        <f>IFERROR(__xludf.DUMMYFUNCTION("""COMPUTED_VALUE"""),"https://www.datacenterdynamics.com/en/news/amazon-web-services-suspends-plans-for-minnesota-data-center/")</f>
        <v>https://www.datacenterdynamics.com/en/news/amazon-web-services-suspends-plans-for-minnesota-data-center/</v>
      </c>
      <c r="AL479" s="1" t="str">
        <f>IFERROR(__xludf.DUMMYFUNCTION("""COMPUTED_VALUE"""),"")</f>
        <v/>
      </c>
      <c r="AM479" s="1" t="str">
        <f>IFERROR(__xludf.DUMMYFUNCTION("""COMPUTED_VALUE"""),"")</f>
        <v/>
      </c>
      <c r="AN479" s="1" t="str">
        <f>IFERROR(__xludf.DUMMYFUNCTION("""COMPUTED_VALUE"""),"")</f>
        <v/>
      </c>
      <c r="AO479" s="1" t="str">
        <f>IFERROR(__xludf.DUMMYFUNCTION("""COMPUTED_VALUE"""),"")</f>
        <v/>
      </c>
      <c r="AP479" s="1" t="str">
        <f>IFERROR(__xludf.DUMMYFUNCTION("""COMPUTED_VALUE"""),"")</f>
        <v/>
      </c>
      <c r="AQ479" s="1" t="str">
        <f>IFERROR(__xludf.DUMMYFUNCTION("""COMPUTED_VALUE"""),"05/23/2025")</f>
        <v>05/23/2025</v>
      </c>
      <c r="AR479" s="1" t="str">
        <f>IFERROR(__xludf.DUMMYFUNCTION("""COMPUTED_VALUE"""),"05/23/2025")</f>
        <v>05/23/2025</v>
      </c>
    </row>
    <row r="480">
      <c r="A480" s="1" t="str">
        <f>IFERROR(__xludf.DUMMYFUNCTION("""COMPUTED_VALUE"""),"TRACT Data Center")</f>
        <v>TRACT Data Center</v>
      </c>
      <c r="B480" s="1" t="str">
        <f>IFERROR(__xludf.DUMMYFUNCTION("""COMPUTED_VALUE"""),"betw Rochester Blvd and Hwy 52")</f>
        <v>betw Rochester Blvd and Hwy 52</v>
      </c>
      <c r="C480" s="1" t="str">
        <f>IFERROR(__xludf.DUMMYFUNCTION("""COMPUTED_VALUE"""),"Cannon Falls")</f>
        <v>Cannon Falls</v>
      </c>
      <c r="D480" s="1" t="str">
        <f>IFERROR(__xludf.DUMMYFUNCTION("""COMPUTED_VALUE"""),"MN")</f>
        <v>MN</v>
      </c>
      <c r="E480" s="1" t="str">
        <f>IFERROR(__xludf.DUMMYFUNCTION("""COMPUTED_VALUE"""),"55065")</f>
        <v>55065</v>
      </c>
      <c r="F480" s="1" t="str">
        <f>IFERROR(__xludf.DUMMYFUNCTION("""COMPUTED_VALUE"""),"Dakota")</f>
        <v>Dakota</v>
      </c>
      <c r="G480" s="1" t="str">
        <f>IFERROR(__xludf.DUMMYFUNCTION("""COMPUTED_VALUE"""),"44.53196")</f>
        <v>44.53196</v>
      </c>
      <c r="H480" s="1" t="str">
        <f>IFERROR(__xludf.DUMMYFUNCTION("""COMPUTED_VALUE"""),"-92.9268")</f>
        <v>-92.9268</v>
      </c>
      <c r="I480" s="1" t="str">
        <f>IFERROR(__xludf.DUMMYFUNCTION("""COMPUTED_VALUE"""),"Proposed")</f>
        <v>Proposed</v>
      </c>
      <c r="J480" s="1" t="str">
        <f>IFERROR(__xludf.DUMMYFUNCTION("""COMPUTED_VALUE"""),"High")</f>
        <v>High</v>
      </c>
      <c r="K480" s="1" t="str">
        <f>IFERROR(__xludf.DUMMYFUNCTION("""COMPUTED_VALUE"""),"")</f>
        <v/>
      </c>
      <c r="L480" s="1" t="str">
        <f>IFERROR(__xludf.DUMMYFUNCTION("""COMPUTED_VALUE"""),"")</f>
        <v/>
      </c>
      <c r="M480" s="1" t="str">
        <f>IFERROR(__xludf.DUMMYFUNCTION("""COMPUTED_VALUE"""),"")</f>
        <v/>
      </c>
      <c r="N480" s="1" t="str">
        <f>IFERROR(__xludf.DUMMYFUNCTION("""COMPUTED_VALUE"""),"")</f>
        <v/>
      </c>
      <c r="O480" s="1" t="str">
        <f>IFERROR(__xludf.DUMMYFUNCTION("""COMPUTED_VALUE"""),"Unknown")</f>
        <v>Unknown</v>
      </c>
      <c r="P480" s="1" t="str">
        <f>IFERROR(__xludf.DUMMYFUNCTION("""COMPUTED_VALUE"""),"")</f>
        <v/>
      </c>
      <c r="Q480" s="1" t="str">
        <f>IFERROR(__xludf.DUMMYFUNCTION("""COMPUTED_VALUE"""),"")</f>
        <v/>
      </c>
      <c r="R480" s="1" t="str">
        <f>IFERROR(__xludf.DUMMYFUNCTION("""COMPUTED_VALUE"""),"")</f>
        <v/>
      </c>
      <c r="S480" s="1" t="str">
        <f>IFERROR(__xludf.DUMMYFUNCTION("""COMPUTED_VALUE"""),"")</f>
        <v/>
      </c>
      <c r="T480" s="1" t="str">
        <f>IFERROR(__xludf.DUMMYFUNCTION("""COMPUTED_VALUE"""),"")</f>
        <v/>
      </c>
      <c r="U480" s="1" t="str">
        <f>IFERROR(__xludf.DUMMYFUNCTION("""COMPUTED_VALUE"""),"")</f>
        <v/>
      </c>
      <c r="V480" s="1" t="str">
        <f>IFERROR(__xludf.DUMMYFUNCTION("""COMPUTED_VALUE"""),"1,750,000")</f>
        <v>1,750,000</v>
      </c>
      <c r="W480" s="1" t="str">
        <f>IFERROR(__xludf.DUMMYFUNCTION("""COMPUTED_VALUE"""),"253")</f>
        <v>253</v>
      </c>
      <c r="X480" s="1" t="str">
        <f>IFERROR(__xludf.DUMMYFUNCTION("""COMPUTED_VALUE"""),"")</f>
        <v/>
      </c>
      <c r="Y480" s="1" t="str">
        <f>IFERROR(__xludf.DUMMYFUNCTION("""COMPUTED_VALUE"""),"")</f>
        <v/>
      </c>
      <c r="Z480" s="1" t="str">
        <f>IFERROR(__xludf.DUMMYFUNCTION("""COMPUTED_VALUE"""),"Unknown")</f>
        <v>Unknown</v>
      </c>
      <c r="AA480" s="1" t="str">
        <f>IFERROR(__xludf.DUMMYFUNCTION("""COMPUTED_VALUE"""),"")</f>
        <v/>
      </c>
      <c r="AB480" s="1" t="str">
        <f>IFERROR(__xludf.DUMMYFUNCTION("""COMPUTED_VALUE"""),"")</f>
        <v/>
      </c>
      <c r="AC480" s="1" t="str">
        <f>IFERROR(__xludf.DUMMYFUNCTION("""COMPUTED_VALUE"""),"")</f>
        <v/>
      </c>
      <c r="AD480" s="1" t="str">
        <f>IFERROR(__xludf.DUMMYFUNCTION("""COMPUTED_VALUE"""),"")</f>
        <v/>
      </c>
      <c r="AE480" s="1" t="str">
        <f>IFERROR(__xludf.DUMMYFUNCTION("""COMPUTED_VALUE"""),"")</f>
        <v/>
      </c>
      <c r="AF480" s="1" t="str">
        <f>IFERROR(__xludf.DUMMYFUNCTION("""COMPUTED_VALUE"""),"")</f>
        <v/>
      </c>
      <c r="AG480" s="1" t="str">
        <f>IFERROR(__xludf.DUMMYFUNCTION("""COMPUTED_VALUE"""),"")</f>
        <v/>
      </c>
      <c r="AH480" s="1" t="str">
        <f>IFERROR(__xludf.DUMMYFUNCTION("""COMPUTED_VALUE"""),"Media Monitoring")</f>
        <v>Media Monitoring</v>
      </c>
      <c r="AI480" s="2" t="str">
        <f>IFERROR(__xludf.DUMMYFUNCTION("""COMPUTED_VALUE"""),"https://www.kttc.com/2025/08/27/cannon-falls-explores-major-data-center-project-following-land-annexation/")</f>
        <v>https://www.kttc.com/2025/08/27/cannon-falls-explores-major-data-center-project-following-land-annexation/</v>
      </c>
      <c r="AJ480" s="2" t="str">
        <f>IFERROR(__xludf.DUMMYFUNCTION("""COMPUTED_VALUE"""),"https://finance-commerce.com/2025/07/cannon-falls-data-center-tract-auar-review/")</f>
        <v>https://finance-commerce.com/2025/07/cannon-falls-data-center-tract-auar-review/</v>
      </c>
      <c r="AK480" s="1" t="str">
        <f>IFERROR(__xludf.DUMMYFUNCTION("""COMPUTED_VALUE"""),"")</f>
        <v/>
      </c>
      <c r="AL480" s="1" t="str">
        <f>IFERROR(__xludf.DUMMYFUNCTION("""COMPUTED_VALUE"""),"")</f>
        <v/>
      </c>
      <c r="AM480" s="1" t="str">
        <f>IFERROR(__xludf.DUMMYFUNCTION("""COMPUTED_VALUE"""),"")</f>
        <v/>
      </c>
      <c r="AN480" s="1" t="str">
        <f>IFERROR(__xludf.DUMMYFUNCTION("""COMPUTED_VALUE"""),"")</f>
        <v/>
      </c>
      <c r="AO480" s="1" t="str">
        <f>IFERROR(__xludf.DUMMYFUNCTION("""COMPUTED_VALUE"""),"")</f>
        <v/>
      </c>
      <c r="AP480" s="1" t="str">
        <f>IFERROR(__xludf.DUMMYFUNCTION("""COMPUTED_VALUE"""),"")</f>
        <v/>
      </c>
      <c r="AQ480" s="1" t="str">
        <f>IFERROR(__xludf.DUMMYFUNCTION("""COMPUTED_VALUE"""),"09/02/2025")</f>
        <v>09/02/2025</v>
      </c>
      <c r="AR480" s="1" t="str">
        <f>IFERROR(__xludf.DUMMYFUNCTION("""COMPUTED_VALUE"""),"09/02/2025")</f>
        <v>09/02/2025</v>
      </c>
    </row>
    <row r="481">
      <c r="A481" s="1" t="str">
        <f>IFERROR(__xludf.DUMMYFUNCTION("""COMPUTED_VALUE"""),"Cielo Digital Infrastructure")</f>
        <v>Cielo Digital Infrastructure</v>
      </c>
      <c r="B481" s="1" t="str">
        <f>IFERROR(__xludf.DUMMYFUNCTION("""COMPUTED_VALUE"""),"")</f>
        <v/>
      </c>
      <c r="C481" s="1" t="str">
        <f>IFERROR(__xludf.DUMMYFUNCTION("""COMPUTED_VALUE"""),"Chisago")</f>
        <v>Chisago</v>
      </c>
      <c r="D481" s="1" t="str">
        <f>IFERROR(__xludf.DUMMYFUNCTION("""COMPUTED_VALUE"""),"MN")</f>
        <v>MN</v>
      </c>
      <c r="E481" s="1" t="str">
        <f>IFERROR(__xludf.DUMMYFUNCTION("""COMPUTED_VALUE"""),"55013")</f>
        <v>55013</v>
      </c>
      <c r="F481" s="1" t="str">
        <f>IFERROR(__xludf.DUMMYFUNCTION("""COMPUTED_VALUE"""),"Chisago")</f>
        <v>Chisago</v>
      </c>
      <c r="G481" s="1" t="str">
        <f>IFERROR(__xludf.DUMMYFUNCTION("""COMPUTED_VALUE"""),"45.3618")</f>
        <v>45.3618</v>
      </c>
      <c r="H481" s="1" t="str">
        <f>IFERROR(__xludf.DUMMYFUNCTION("""COMPUTED_VALUE"""),"-92.9186")</f>
        <v>-92.9186</v>
      </c>
      <c r="I481" s="1" t="str">
        <f>IFERROR(__xludf.DUMMYFUNCTION("""COMPUTED_VALUE"""),"Proposed")</f>
        <v>Proposed</v>
      </c>
      <c r="J481" s="1" t="str">
        <f>IFERROR(__xludf.DUMMYFUNCTION("""COMPUTED_VALUE"""),"Low")</f>
        <v>Low</v>
      </c>
      <c r="K481" s="1" t="str">
        <f>IFERROR(__xludf.DUMMYFUNCTION("""COMPUTED_VALUE"""),"")</f>
        <v/>
      </c>
      <c r="L481" s="1" t="str">
        <f>IFERROR(__xludf.DUMMYFUNCTION("""COMPUTED_VALUE"""),"")</f>
        <v/>
      </c>
      <c r="M481" s="1" t="str">
        <f>IFERROR(__xludf.DUMMYFUNCTION("""COMPUTED_VALUE"""),"")</f>
        <v/>
      </c>
      <c r="N481" s="1" t="str">
        <f>IFERROR(__xludf.DUMMYFUNCTION("""COMPUTED_VALUE"""),"300")</f>
        <v>300</v>
      </c>
      <c r="O481" s="1" t="str">
        <f>IFERROR(__xludf.DUMMYFUNCTION("""COMPUTED_VALUE"""),"Hyperscale (100-999 MW)")</f>
        <v>Hyperscale (100-999 MW)</v>
      </c>
      <c r="P481" s="1" t="str">
        <f>IFERROR(__xludf.DUMMYFUNCTION("""COMPUTED_VALUE"""),"")</f>
        <v/>
      </c>
      <c r="Q481" s="1" t="str">
        <f>IFERROR(__xludf.DUMMYFUNCTION("""COMPUTED_VALUE"""),"")</f>
        <v/>
      </c>
      <c r="R481" s="1" t="str">
        <f>IFERROR(__xludf.DUMMYFUNCTION("""COMPUTED_VALUE"""),"")</f>
        <v/>
      </c>
      <c r="S481" s="1" t="str">
        <f>IFERROR(__xludf.DUMMYFUNCTION("""COMPUTED_VALUE"""),"")</f>
        <v/>
      </c>
      <c r="T481" s="1" t="str">
        <f>IFERROR(__xludf.DUMMYFUNCTION("""COMPUTED_VALUE"""),"")</f>
        <v/>
      </c>
      <c r="U481" s="1" t="str">
        <f>IFERROR(__xludf.DUMMYFUNCTION("""COMPUTED_VALUE"""),"")</f>
        <v/>
      </c>
      <c r="V481" s="1" t="str">
        <f>IFERROR(__xludf.DUMMYFUNCTION("""COMPUTED_VALUE"""),"")</f>
        <v/>
      </c>
      <c r="W481" s="1" t="str">
        <f>IFERROR(__xludf.DUMMYFUNCTION("""COMPUTED_VALUE"""),"157")</f>
        <v>157</v>
      </c>
      <c r="X481" s="1" t="str">
        <f>IFERROR(__xludf.DUMMYFUNCTION("""COMPUTED_VALUE"""),"")</f>
        <v/>
      </c>
      <c r="Y481" s="1" t="str">
        <f>IFERROR(__xludf.DUMMYFUNCTION("""COMPUTED_VALUE"""),"")</f>
        <v/>
      </c>
      <c r="Z481" s="1" t="str">
        <f>IFERROR(__xludf.DUMMYFUNCTION("""COMPUTED_VALUE"""),"Unknown")</f>
        <v>Unknown</v>
      </c>
      <c r="AA481" s="1" t="str">
        <f>IFERROR(__xludf.DUMMYFUNCTION("""COMPUTED_VALUE"""),"")</f>
        <v/>
      </c>
      <c r="AB481" s="1" t="str">
        <f>IFERROR(__xludf.DUMMYFUNCTION("""COMPUTED_VALUE"""),"")</f>
        <v/>
      </c>
      <c r="AC481" s="1" t="str">
        <f>IFERROR(__xludf.DUMMYFUNCTION("""COMPUTED_VALUE"""),"")</f>
        <v/>
      </c>
      <c r="AD481" s="1" t="str">
        <f>IFERROR(__xludf.DUMMYFUNCTION("""COMPUTED_VALUE"""),"")</f>
        <v/>
      </c>
      <c r="AE481" s="1" t="str">
        <f>IFERROR(__xludf.DUMMYFUNCTION("""COMPUTED_VALUE"""),"")</f>
        <v/>
      </c>
      <c r="AF481" s="1" t="str">
        <f>IFERROR(__xludf.DUMMYFUNCTION("""COMPUTED_VALUE"""),"")</f>
        <v/>
      </c>
      <c r="AG481" s="1" t="str">
        <f>IFERROR(__xludf.DUMMYFUNCTION("""COMPUTED_VALUE"""),"")</f>
        <v/>
      </c>
      <c r="AH481" s="1" t="str">
        <f>IFERROR(__xludf.DUMMYFUNCTION("""COMPUTED_VALUE"""),"Media Monitoring")</f>
        <v>Media Monitoring</v>
      </c>
      <c r="AI481" s="2" t="str">
        <f>IFERROR(__xludf.DUMMYFUNCTION("""COMPUTED_VALUE"""),"https://www.datacenterdynamics.com/en/news/cielo-digital-infrastructure-plans-300mw-data-center-campus-in-south-carolina/")</f>
        <v>https://www.datacenterdynamics.com/en/news/cielo-digital-infrastructure-plans-300mw-data-center-campus-in-south-carolina/</v>
      </c>
      <c r="AJ481" s="1" t="str">
        <f>IFERROR(__xludf.DUMMYFUNCTION("""COMPUTED_VALUE"""),"")</f>
        <v/>
      </c>
      <c r="AK481" s="1" t="str">
        <f>IFERROR(__xludf.DUMMYFUNCTION("""COMPUTED_VALUE"""),"")</f>
        <v/>
      </c>
      <c r="AL481" s="1" t="str">
        <f>IFERROR(__xludf.DUMMYFUNCTION("""COMPUTED_VALUE"""),"")</f>
        <v/>
      </c>
      <c r="AM481" s="1" t="str">
        <f>IFERROR(__xludf.DUMMYFUNCTION("""COMPUTED_VALUE"""),"")</f>
        <v/>
      </c>
      <c r="AN481" s="1" t="str">
        <f>IFERROR(__xludf.DUMMYFUNCTION("""COMPUTED_VALUE"""),"")</f>
        <v/>
      </c>
      <c r="AO481" s="1" t="str">
        <f>IFERROR(__xludf.DUMMYFUNCTION("""COMPUTED_VALUE"""),"")</f>
        <v/>
      </c>
      <c r="AP481" s="1" t="str">
        <f>IFERROR(__xludf.DUMMYFUNCTION("""COMPUTED_VALUE"""),"")</f>
        <v/>
      </c>
      <c r="AQ481" s="1" t="str">
        <f>IFERROR(__xludf.DUMMYFUNCTION("""COMPUTED_VALUE"""),"06/24/2025")</f>
        <v>06/24/2025</v>
      </c>
      <c r="AR481" s="1" t="str">
        <f>IFERROR(__xludf.DUMMYFUNCTION("""COMPUTED_VALUE"""),"06/24/2025")</f>
        <v>06/24/2025</v>
      </c>
    </row>
    <row r="482">
      <c r="A482" s="1" t="str">
        <f>IFERROR(__xludf.DUMMYFUNCTION("""COMPUTED_VALUE"""),"MSP1 Data Center")</f>
        <v>MSP1 Data Center</v>
      </c>
      <c r="B482" s="1" t="str">
        <f>IFERROR(__xludf.DUMMYFUNCTION("""COMPUTED_VALUE"""),"610 Opperman Dr")</f>
        <v>610 Opperman Dr</v>
      </c>
      <c r="C482" s="1" t="str">
        <f>IFERROR(__xludf.DUMMYFUNCTION("""COMPUTED_VALUE"""),"Eagan")</f>
        <v>Eagan</v>
      </c>
      <c r="D482" s="1" t="str">
        <f>IFERROR(__xludf.DUMMYFUNCTION("""COMPUTED_VALUE"""),"MN")</f>
        <v>MN</v>
      </c>
      <c r="E482" s="1" t="str">
        <f>IFERROR(__xludf.DUMMYFUNCTION("""COMPUTED_VALUE"""),"55123")</f>
        <v>55123</v>
      </c>
      <c r="F482" s="1" t="str">
        <f>IFERROR(__xludf.DUMMYFUNCTION("""COMPUTED_VALUE"""),"Dakota")</f>
        <v>Dakota</v>
      </c>
      <c r="G482" s="1" t="str">
        <f>IFERROR(__xludf.DUMMYFUNCTION("""COMPUTED_VALUE"""),"44.82953")</f>
        <v>44.82953</v>
      </c>
      <c r="H482" s="1" t="str">
        <f>IFERROR(__xludf.DUMMYFUNCTION("""COMPUTED_VALUE"""),"-93.1176")</f>
        <v>-93.1176</v>
      </c>
      <c r="I482" s="1" t="str">
        <f>IFERROR(__xludf.DUMMYFUNCTION("""COMPUTED_VALUE"""),"Approved/Permitted/Under construction")</f>
        <v>Approved/Permitted/Under construction</v>
      </c>
      <c r="J482" s="1" t="str">
        <f>IFERROR(__xludf.DUMMYFUNCTION("""COMPUTED_VALUE"""),"High")</f>
        <v>High</v>
      </c>
      <c r="K482" s="1" t="str">
        <f>IFERROR(__xludf.DUMMYFUNCTION("""COMPUTED_VALUE"""),"")</f>
        <v/>
      </c>
      <c r="L482" s="1" t="str">
        <f>IFERROR(__xludf.DUMMYFUNCTION("""COMPUTED_VALUE"""),"")</f>
        <v/>
      </c>
      <c r="M482" s="1" t="str">
        <f>IFERROR(__xludf.DUMMYFUNCTION("""COMPUTED_VALUE"""),"")</f>
        <v/>
      </c>
      <c r="N482" s="1" t="str">
        <f>IFERROR(__xludf.DUMMYFUNCTION("""COMPUTED_VALUE"""),"12")</f>
        <v>12</v>
      </c>
      <c r="O482" s="1" t="str">
        <f>IFERROR(__xludf.DUMMYFUNCTION("""COMPUTED_VALUE"""),"Medium (11-50 MW)")</f>
        <v>Medium (11-50 MW)</v>
      </c>
      <c r="P482" s="1" t="str">
        <f>IFERROR(__xludf.DUMMYFUNCTION("""COMPUTED_VALUE"""),"")</f>
        <v/>
      </c>
      <c r="Q482" s="1" t="str">
        <f>IFERROR(__xludf.DUMMYFUNCTION("""COMPUTED_VALUE"""),"")</f>
        <v/>
      </c>
      <c r="R482" s="1" t="str">
        <f>IFERROR(__xludf.DUMMYFUNCTION("""COMPUTED_VALUE"""),"")</f>
        <v/>
      </c>
      <c r="S482" s="1" t="str">
        <f>IFERROR(__xludf.DUMMYFUNCTION("""COMPUTED_VALUE"""),"")</f>
        <v/>
      </c>
      <c r="T482" s="1" t="str">
        <f>IFERROR(__xludf.DUMMYFUNCTION("""COMPUTED_VALUE"""),"")</f>
        <v/>
      </c>
      <c r="U482" s="1" t="str">
        <f>IFERROR(__xludf.DUMMYFUNCTION("""COMPUTED_VALUE"""),"")</f>
        <v/>
      </c>
      <c r="V482" s="1" t="str">
        <f>IFERROR(__xludf.DUMMYFUNCTION("""COMPUTED_VALUE"""),"")</f>
        <v/>
      </c>
      <c r="W482" s="1" t="str">
        <f>IFERROR(__xludf.DUMMYFUNCTION("""COMPUTED_VALUE"""),"")</f>
        <v/>
      </c>
      <c r="X482" s="1" t="str">
        <f>IFERROR(__xludf.DUMMYFUNCTION("""COMPUTED_VALUE"""),"")</f>
        <v/>
      </c>
      <c r="Y482" s="1" t="str">
        <f>IFERROR(__xludf.DUMMYFUNCTION("""COMPUTED_VALUE"""),"")</f>
        <v/>
      </c>
      <c r="Z482" s="1" t="str">
        <f>IFERROR(__xludf.DUMMYFUNCTION("""COMPUTED_VALUE"""),"Unknown")</f>
        <v>Unknown</v>
      </c>
      <c r="AA482" s="1" t="str">
        <f>IFERROR(__xludf.DUMMYFUNCTION("""COMPUTED_VALUE"""),"")</f>
        <v/>
      </c>
      <c r="AB482" s="1" t="str">
        <f>IFERROR(__xludf.DUMMYFUNCTION("""COMPUTED_VALUE"""),"")</f>
        <v/>
      </c>
      <c r="AC482" s="1" t="str">
        <f>IFERROR(__xludf.DUMMYFUNCTION("""COMPUTED_VALUE"""),"")</f>
        <v/>
      </c>
      <c r="AD482" s="1" t="str">
        <f>IFERROR(__xludf.DUMMYFUNCTION("""COMPUTED_VALUE"""),"")</f>
        <v/>
      </c>
      <c r="AE482" s="1" t="str">
        <f>IFERROR(__xludf.DUMMYFUNCTION("""COMPUTED_VALUE"""),"")</f>
        <v/>
      </c>
      <c r="AF482" s="1" t="str">
        <f>IFERROR(__xludf.DUMMYFUNCTION("""COMPUTED_VALUE"""),"")</f>
        <v/>
      </c>
      <c r="AG482" s="1" t="str">
        <f>IFERROR(__xludf.DUMMYFUNCTION("""COMPUTED_VALUE"""),"")</f>
        <v/>
      </c>
      <c r="AH482" s="1" t="str">
        <f>IFERROR(__xludf.DUMMYFUNCTION("""COMPUTED_VALUE"""),"Media Monitoring")</f>
        <v>Media Monitoring</v>
      </c>
      <c r="AI482" s="2" t="str">
        <f>IFERROR(__xludf.DUMMYFUNCTION("""COMPUTED_VALUE"""),"https://www.datacenterdynamics.com/en/news/centra-breaks-ground-on-data-center-redevelopment-in-minneapolis-minnesota/")</f>
        <v>https://www.datacenterdynamics.com/en/news/centra-breaks-ground-on-data-center-redevelopment-in-minneapolis-minnesota/</v>
      </c>
      <c r="AJ482" s="1" t="str">
        <f>IFERROR(__xludf.DUMMYFUNCTION("""COMPUTED_VALUE"""),"")</f>
        <v/>
      </c>
      <c r="AK482" s="1" t="str">
        <f>IFERROR(__xludf.DUMMYFUNCTION("""COMPUTED_VALUE"""),"")</f>
        <v/>
      </c>
      <c r="AL482" s="1" t="str">
        <f>IFERROR(__xludf.DUMMYFUNCTION("""COMPUTED_VALUE"""),"")</f>
        <v/>
      </c>
      <c r="AM482" s="1" t="str">
        <f>IFERROR(__xludf.DUMMYFUNCTION("""COMPUTED_VALUE"""),"")</f>
        <v/>
      </c>
      <c r="AN482" s="1" t="str">
        <f>IFERROR(__xludf.DUMMYFUNCTION("""COMPUTED_VALUE"""),"")</f>
        <v/>
      </c>
      <c r="AO482" s="1" t="str">
        <f>IFERROR(__xludf.DUMMYFUNCTION("""COMPUTED_VALUE"""),"")</f>
        <v/>
      </c>
      <c r="AP482" s="1" t="str">
        <f>IFERROR(__xludf.DUMMYFUNCTION("""COMPUTED_VALUE"""),"")</f>
        <v/>
      </c>
      <c r="AQ482" s="1" t="str">
        <f>IFERROR(__xludf.DUMMYFUNCTION("""COMPUTED_VALUE"""),"08/06/2025")</f>
        <v>08/06/2025</v>
      </c>
      <c r="AR482" s="1" t="str">
        <f>IFERROR(__xludf.DUMMYFUNCTION("""COMPUTED_VALUE"""),"08/06/2025")</f>
        <v>08/06/2025</v>
      </c>
    </row>
    <row r="483">
      <c r="A483" s="1" t="str">
        <f>IFERROR(__xludf.DUMMYFUNCTION("""COMPUTED_VALUE"""),"Irongate Data Center (Swervo)")</f>
        <v>Irongate Data Center (Swervo)</v>
      </c>
      <c r="B483" s="1" t="str">
        <f>IFERROR(__xludf.DUMMYFUNCTION("""COMPUTED_VALUE"""),"19178 Industrial Blvd NW")</f>
        <v>19178 Industrial Blvd NW</v>
      </c>
      <c r="C483" s="1" t="str">
        <f>IFERROR(__xludf.DUMMYFUNCTION("""COMPUTED_VALUE"""),"Elk River")</f>
        <v>Elk River</v>
      </c>
      <c r="D483" s="1" t="str">
        <f>IFERROR(__xludf.DUMMYFUNCTION("""COMPUTED_VALUE"""),"MN")</f>
        <v>MN</v>
      </c>
      <c r="E483" s="1" t="str">
        <f>IFERROR(__xludf.DUMMYFUNCTION("""COMPUTED_VALUE"""),"55330")</f>
        <v>55330</v>
      </c>
      <c r="F483" s="1" t="str">
        <f>IFERROR(__xludf.DUMMYFUNCTION("""COMPUTED_VALUE"""),"Sherburne")</f>
        <v>Sherburne</v>
      </c>
      <c r="G483" s="1" t="str">
        <f>IFERROR(__xludf.DUMMYFUNCTION("""COMPUTED_VALUE"""),"45.318893")</f>
        <v>45.318893</v>
      </c>
      <c r="H483" s="1" t="str">
        <f>IFERROR(__xludf.DUMMYFUNCTION("""COMPUTED_VALUE"""),"-93.58708")</f>
        <v>-93.58708</v>
      </c>
      <c r="I483" s="1" t="str">
        <f>IFERROR(__xludf.DUMMYFUNCTION("""COMPUTED_VALUE"""),"Suspended")</f>
        <v>Suspended</v>
      </c>
      <c r="J483" s="1" t="str">
        <f>IFERROR(__xludf.DUMMYFUNCTION("""COMPUTED_VALUE"""),"High")</f>
        <v>High</v>
      </c>
      <c r="K483" s="1" t="str">
        <f>IFERROR(__xludf.DUMMYFUNCTION("""COMPUTED_VALUE"""),"")</f>
        <v/>
      </c>
      <c r="L483" s="1" t="str">
        <f>IFERROR(__xludf.DUMMYFUNCTION("""COMPUTED_VALUE"""),"")</f>
        <v/>
      </c>
      <c r="M483" s="1" t="str">
        <f>IFERROR(__xludf.DUMMYFUNCTION("""COMPUTED_VALUE"""),"")</f>
        <v/>
      </c>
      <c r="N483" s="1" t="str">
        <f>IFERROR(__xludf.DUMMYFUNCTION("""COMPUTED_VALUE"""),"33")</f>
        <v>33</v>
      </c>
      <c r="O483" s="1" t="str">
        <f>IFERROR(__xludf.DUMMYFUNCTION("""COMPUTED_VALUE"""),"Medium (11-50 MW)")</f>
        <v>Medium (11-50 MW)</v>
      </c>
      <c r="P483" s="1" t="str">
        <f>IFERROR(__xludf.DUMMYFUNCTION("""COMPUTED_VALUE"""),"")</f>
        <v/>
      </c>
      <c r="Q483" s="1" t="str">
        <f>IFERROR(__xludf.DUMMYFUNCTION("""COMPUTED_VALUE"""),"")</f>
        <v/>
      </c>
      <c r="R483" s="1" t="str">
        <f>IFERROR(__xludf.DUMMYFUNCTION("""COMPUTED_VALUE"""),"")</f>
        <v/>
      </c>
      <c r="S483" s="1" t="str">
        <f>IFERROR(__xludf.DUMMYFUNCTION("""COMPUTED_VALUE"""),"")</f>
        <v/>
      </c>
      <c r="T483" s="1" t="str">
        <f>IFERROR(__xludf.DUMMYFUNCTION("""COMPUTED_VALUE"""),"")</f>
        <v/>
      </c>
      <c r="U483" s="1" t="str">
        <f>IFERROR(__xludf.DUMMYFUNCTION("""COMPUTED_VALUE"""),"")</f>
        <v/>
      </c>
      <c r="V483" s="1" t="str">
        <f>IFERROR(__xludf.DUMMYFUNCTION("""COMPUTED_VALUE"""),"60,000")</f>
        <v>60,000</v>
      </c>
      <c r="W483" s="1" t="str">
        <f>IFERROR(__xludf.DUMMYFUNCTION("""COMPUTED_VALUE"""),"3")</f>
        <v>3</v>
      </c>
      <c r="X483" s="1" t="str">
        <f>IFERROR(__xludf.DUMMYFUNCTION("""COMPUTED_VALUE"""),"")</f>
        <v/>
      </c>
      <c r="Y483" s="1" t="str">
        <f>IFERROR(__xludf.DUMMYFUNCTION("""COMPUTED_VALUE"""),"")</f>
        <v/>
      </c>
      <c r="Z483" s="1" t="str">
        <f>IFERROR(__xludf.DUMMYFUNCTION("""COMPUTED_VALUE"""),"")</f>
        <v/>
      </c>
      <c r="AA483" s="1" t="str">
        <f>IFERROR(__xludf.DUMMYFUNCTION("""COMPUTED_VALUE"""),"")</f>
        <v/>
      </c>
      <c r="AB483" s="1" t="str">
        <f>IFERROR(__xludf.DUMMYFUNCTION("""COMPUTED_VALUE"""),"Emerging Concern")</f>
        <v>Emerging Concern</v>
      </c>
      <c r="AC483" s="1" t="str">
        <f>IFERROR(__xludf.DUMMYFUNCTION("""COMPUTED_VALUE"""),"")</f>
        <v/>
      </c>
      <c r="AD483" s="1" t="str">
        <f>IFERROR(__xludf.DUMMYFUNCTION("""COMPUTED_VALUE"""),"")</f>
        <v/>
      </c>
      <c r="AE483" s="1" t="str">
        <f>IFERROR(__xludf.DUMMYFUNCTION("""COMPUTED_VALUE"""),"")</f>
        <v/>
      </c>
      <c r="AF483" s="1" t="str">
        <f>IFERROR(__xludf.DUMMYFUNCTION("""COMPUTED_VALUE"""),"")</f>
        <v/>
      </c>
      <c r="AG483" s="1" t="str">
        <f>IFERROR(__xludf.DUMMYFUNCTION("""COMPUTED_VALUE"""),"")</f>
        <v/>
      </c>
      <c r="AH483" s="1" t="str">
        <f>IFERROR(__xludf.DUMMYFUNCTION("""COMPUTED_VALUE"""),"Media Monitoring")</f>
        <v>Media Monitoring</v>
      </c>
      <c r="AI483" s="2" t="str">
        <f>IFERROR(__xludf.DUMMYFUNCTION("""COMPUTED_VALUE"""),"https://www.datacenterdynamics.com/en/news/officials-in-elk-river-minnesota-deny-data-center-application-consider-moratorium/")</f>
        <v>https://www.datacenterdynamics.com/en/news/officials-in-elk-river-minnesota-deny-data-center-application-consider-moratorium/</v>
      </c>
      <c r="AJ483" s="1" t="str">
        <f>IFERROR(__xludf.DUMMYFUNCTION("""COMPUTED_VALUE"""),"")</f>
        <v/>
      </c>
      <c r="AK483" s="1" t="str">
        <f>IFERROR(__xludf.DUMMYFUNCTION("""COMPUTED_VALUE"""),"")</f>
        <v/>
      </c>
      <c r="AL483" s="1" t="str">
        <f>IFERROR(__xludf.DUMMYFUNCTION("""COMPUTED_VALUE"""),"")</f>
        <v/>
      </c>
      <c r="AM483" s="1" t="str">
        <f>IFERROR(__xludf.DUMMYFUNCTION("""COMPUTED_VALUE"""),"")</f>
        <v/>
      </c>
      <c r="AN483" s="1" t="str">
        <f>IFERROR(__xludf.DUMMYFUNCTION("""COMPUTED_VALUE"""),"")</f>
        <v/>
      </c>
      <c r="AO483" s="1" t="str">
        <f>IFERROR(__xludf.DUMMYFUNCTION("""COMPUTED_VALUE"""),"")</f>
        <v/>
      </c>
      <c r="AP483" s="1" t="str">
        <f>IFERROR(__xludf.DUMMYFUNCTION("""COMPUTED_VALUE"""),"")</f>
        <v/>
      </c>
      <c r="AQ483" s="1" t="str">
        <f>IFERROR(__xludf.DUMMYFUNCTION("""COMPUTED_VALUE"""),"07/11/2026")</f>
        <v>07/11/2026</v>
      </c>
      <c r="AR483" s="1" t="str">
        <f>IFERROR(__xludf.DUMMYFUNCTION("""COMPUTED_VALUE"""),"07/11/2026")</f>
        <v>07/11/2026</v>
      </c>
    </row>
    <row r="484">
      <c r="A484" s="1" t="str">
        <f>IFERROR(__xludf.DUMMYFUNCTION("""COMPUTED_VALUE"""),"TRACT Data Center")</f>
        <v>TRACT Data Center</v>
      </c>
      <c r="B484" s="1" t="str">
        <f>IFERROR(__xludf.DUMMYFUNCTION("""COMPUTED_VALUE"""),"near 2800 220th St W")</f>
        <v>near 2800 220th St W</v>
      </c>
      <c r="C484" s="1" t="str">
        <f>IFERROR(__xludf.DUMMYFUNCTION("""COMPUTED_VALUE"""),"Farmington")</f>
        <v>Farmington</v>
      </c>
      <c r="D484" s="1" t="str">
        <f>IFERROR(__xludf.DUMMYFUNCTION("""COMPUTED_VALUE"""),"MN")</f>
        <v>MN</v>
      </c>
      <c r="E484" s="1" t="str">
        <f>IFERROR(__xludf.DUMMYFUNCTION("""COMPUTED_VALUE"""),"55024")</f>
        <v>55024</v>
      </c>
      <c r="F484" s="1" t="str">
        <f>IFERROR(__xludf.DUMMYFUNCTION("""COMPUTED_VALUE"""),"Dakota")</f>
        <v>Dakota</v>
      </c>
      <c r="G484" s="1" t="str">
        <f>IFERROR(__xludf.DUMMYFUNCTION("""COMPUTED_VALUE"""),"44.62754")</f>
        <v>44.62754</v>
      </c>
      <c r="H484" s="1" t="str">
        <f>IFERROR(__xludf.DUMMYFUNCTION("""COMPUTED_VALUE"""),"-93.1229")</f>
        <v>-93.1229</v>
      </c>
      <c r="I484" s="1" t="str">
        <f>IFERROR(__xludf.DUMMYFUNCTION("""COMPUTED_VALUE"""),"Proposed")</f>
        <v>Proposed</v>
      </c>
      <c r="J484" s="1" t="str">
        <f>IFERROR(__xludf.DUMMYFUNCTION("""COMPUTED_VALUE"""),"High")</f>
        <v>High</v>
      </c>
      <c r="K484" s="1" t="str">
        <f>IFERROR(__xludf.DUMMYFUNCTION("""COMPUTED_VALUE"""),"")</f>
        <v/>
      </c>
      <c r="L484" s="1" t="str">
        <f>IFERROR(__xludf.DUMMYFUNCTION("""COMPUTED_VALUE"""),"")</f>
        <v/>
      </c>
      <c r="M484" s="1" t="str">
        <f>IFERROR(__xludf.DUMMYFUNCTION("""COMPUTED_VALUE"""),"")</f>
        <v/>
      </c>
      <c r="N484" s="1" t="str">
        <f>IFERROR(__xludf.DUMMYFUNCTION("""COMPUTED_VALUE"""),"")</f>
        <v/>
      </c>
      <c r="O484" s="1" t="str">
        <f>IFERROR(__xludf.DUMMYFUNCTION("""COMPUTED_VALUE"""),"Unknown")</f>
        <v>Unknown</v>
      </c>
      <c r="P484" s="1" t="str">
        <f>IFERROR(__xludf.DUMMYFUNCTION("""COMPUTED_VALUE"""),"")</f>
        <v/>
      </c>
      <c r="Q484" s="1" t="str">
        <f>IFERROR(__xludf.DUMMYFUNCTION("""COMPUTED_VALUE"""),"")</f>
        <v/>
      </c>
      <c r="R484" s="1" t="str">
        <f>IFERROR(__xludf.DUMMYFUNCTION("""COMPUTED_VALUE"""),"")</f>
        <v/>
      </c>
      <c r="S484" s="1" t="str">
        <f>IFERROR(__xludf.DUMMYFUNCTION("""COMPUTED_VALUE"""),"12")</f>
        <v>12</v>
      </c>
      <c r="T484" s="1" t="str">
        <f>IFERROR(__xludf.DUMMYFUNCTION("""COMPUTED_VALUE"""),"")</f>
        <v/>
      </c>
      <c r="U484" s="1" t="str">
        <f>IFERROR(__xludf.DUMMYFUNCTION("""COMPUTED_VALUE"""),"")</f>
        <v/>
      </c>
      <c r="V484" s="1" t="str">
        <f>IFERROR(__xludf.DUMMYFUNCTION("""COMPUTED_VALUE"""),"2,600,000")</f>
        <v>2,600,000</v>
      </c>
      <c r="W484" s="1" t="str">
        <f>IFERROR(__xludf.DUMMYFUNCTION("""COMPUTED_VALUE"""),"342")</f>
        <v>342</v>
      </c>
      <c r="X484" s="1" t="str">
        <f>IFERROR(__xludf.DUMMYFUNCTION("""COMPUTED_VALUE"""),"")</f>
        <v/>
      </c>
      <c r="Y484" s="1" t="str">
        <f>IFERROR(__xludf.DUMMYFUNCTION("""COMPUTED_VALUE"""),"")</f>
        <v/>
      </c>
      <c r="Z484" s="1" t="str">
        <f>IFERROR(__xludf.DUMMYFUNCTION("""COMPUTED_VALUE"""),"Unknown")</f>
        <v>Unknown</v>
      </c>
      <c r="AA484" s="1" t="str">
        <f>IFERROR(__xludf.DUMMYFUNCTION("""COMPUTED_VALUE"""),"")</f>
        <v/>
      </c>
      <c r="AB484" s="1" t="str">
        <f>IFERROR(__xludf.DUMMYFUNCTION("""COMPUTED_VALUE"""),"")</f>
        <v/>
      </c>
      <c r="AC484" s="1" t="str">
        <f>IFERROR(__xludf.DUMMYFUNCTION("""COMPUTED_VALUE"""),"")</f>
        <v/>
      </c>
      <c r="AD484" s="1" t="str">
        <f>IFERROR(__xludf.DUMMYFUNCTION("""COMPUTED_VALUE"""),"")</f>
        <v/>
      </c>
      <c r="AE484" s="1" t="str">
        <f>IFERROR(__xludf.DUMMYFUNCTION("""COMPUTED_VALUE"""),"")</f>
        <v/>
      </c>
      <c r="AF484" s="1" t="str">
        <f>IFERROR(__xludf.DUMMYFUNCTION("""COMPUTED_VALUE"""),"")</f>
        <v/>
      </c>
      <c r="AG484" s="1" t="str">
        <f>IFERROR(__xludf.DUMMYFUNCTION("""COMPUTED_VALUE"""),"2 campuses")</f>
        <v>2 campuses</v>
      </c>
      <c r="AH484" s="1" t="str">
        <f>IFERROR(__xludf.DUMMYFUNCTION("""COMPUTED_VALUE"""),"Media Monitoring")</f>
        <v>Media Monitoring</v>
      </c>
      <c r="AI484" s="2" t="str">
        <f>IFERROR(__xludf.DUMMYFUNCTION("""COMPUTED_VALUE"""),"https://finance-commerce.com/2025/07/cannon-falls-data-center-tract-auar-review/")</f>
        <v>https://finance-commerce.com/2025/07/cannon-falls-data-center-tract-auar-review/</v>
      </c>
      <c r="AJ484" s="1" t="str">
        <f>IFERROR(__xludf.DUMMYFUNCTION("""COMPUTED_VALUE"""),"")</f>
        <v/>
      </c>
      <c r="AK484" s="1" t="str">
        <f>IFERROR(__xludf.DUMMYFUNCTION("""COMPUTED_VALUE"""),"")</f>
        <v/>
      </c>
      <c r="AL484" s="1" t="str">
        <f>IFERROR(__xludf.DUMMYFUNCTION("""COMPUTED_VALUE"""),"")</f>
        <v/>
      </c>
      <c r="AM484" s="1" t="str">
        <f>IFERROR(__xludf.DUMMYFUNCTION("""COMPUTED_VALUE"""),"")</f>
        <v/>
      </c>
      <c r="AN484" s="1" t="str">
        <f>IFERROR(__xludf.DUMMYFUNCTION("""COMPUTED_VALUE"""),"")</f>
        <v/>
      </c>
      <c r="AO484" s="1" t="str">
        <f>IFERROR(__xludf.DUMMYFUNCTION("""COMPUTED_VALUE"""),"")</f>
        <v/>
      </c>
      <c r="AP484" s="1" t="str">
        <f>IFERROR(__xludf.DUMMYFUNCTION("""COMPUTED_VALUE"""),"")</f>
        <v/>
      </c>
      <c r="AQ484" s="1" t="str">
        <f>IFERROR(__xludf.DUMMYFUNCTION("""COMPUTED_VALUE"""),"09/02/2025")</f>
        <v>09/02/2025</v>
      </c>
      <c r="AR484" s="1" t="str">
        <f>IFERROR(__xludf.DUMMYFUNCTION("""COMPUTED_VALUE"""),"09/02/2025")</f>
        <v>09/02/2025</v>
      </c>
    </row>
    <row r="485">
      <c r="A485" s="1" t="str">
        <f>IFERROR(__xludf.DUMMYFUNCTION("""COMPUTED_VALUE"""),"Project Loon")</f>
        <v>Project Loon</v>
      </c>
      <c r="B485" s="1" t="str">
        <f>IFERROR(__xludf.DUMMYFUNCTION("""COMPUTED_VALUE"""),"~3688 Co Hwy 13")</f>
        <v>~3688 Co Hwy 13</v>
      </c>
      <c r="C485" s="1" t="str">
        <f>IFERROR(__xludf.DUMMYFUNCTION("""COMPUTED_VALUE"""),"Hermantown")</f>
        <v>Hermantown</v>
      </c>
      <c r="D485" s="1" t="str">
        <f>IFERROR(__xludf.DUMMYFUNCTION("""COMPUTED_VALUE"""),"MN")</f>
        <v>MN</v>
      </c>
      <c r="E485" s="1" t="str">
        <f>IFERROR(__xludf.DUMMYFUNCTION("""COMPUTED_VALUE"""),"55810")</f>
        <v>55810</v>
      </c>
      <c r="F485" s="1" t="str">
        <f>IFERROR(__xludf.DUMMYFUNCTION("""COMPUTED_VALUE"""),"St. Louis")</f>
        <v>St. Louis</v>
      </c>
      <c r="G485" s="1" t="str">
        <f>IFERROR(__xludf.DUMMYFUNCTION("""COMPUTED_VALUE"""),"46.77741")</f>
        <v>46.77741</v>
      </c>
      <c r="H485" s="1" t="str">
        <f>IFERROR(__xludf.DUMMYFUNCTION("""COMPUTED_VALUE"""),"-92.28186")</f>
        <v>-92.28186</v>
      </c>
      <c r="I485" s="1" t="str">
        <f>IFERROR(__xludf.DUMMYFUNCTION("""COMPUTED_VALUE"""),"Suspended")</f>
        <v>Suspended</v>
      </c>
      <c r="J485" s="1" t="str">
        <f>IFERROR(__xludf.DUMMYFUNCTION("""COMPUTED_VALUE"""),"High")</f>
        <v>High</v>
      </c>
      <c r="K485" s="1" t="str">
        <f>IFERROR(__xludf.DUMMYFUNCTION("""COMPUTED_VALUE"""),"")</f>
        <v/>
      </c>
      <c r="L485" s="1" t="str">
        <f>IFERROR(__xludf.DUMMYFUNCTION("""COMPUTED_VALUE"""),"Google")</f>
        <v>Google</v>
      </c>
      <c r="M485" s="1" t="str">
        <f>IFERROR(__xludf.DUMMYFUNCTION("""COMPUTED_VALUE"""),"")</f>
        <v/>
      </c>
      <c r="N485" s="1" t="str">
        <f>IFERROR(__xludf.DUMMYFUNCTION("""COMPUTED_VALUE"""),"")</f>
        <v/>
      </c>
      <c r="O485" s="1" t="str">
        <f>IFERROR(__xludf.DUMMYFUNCTION("""COMPUTED_VALUE"""),"Hyperscale (100-999 MW)")</f>
        <v>Hyperscale (100-999 MW)</v>
      </c>
      <c r="P485" s="1" t="str">
        <f>IFERROR(__xludf.DUMMYFUNCTION("""COMPUTED_VALUE"""),"")</f>
        <v/>
      </c>
      <c r="Q485" s="1" t="str">
        <f>IFERROR(__xludf.DUMMYFUNCTION("""COMPUTED_VALUE"""),"")</f>
        <v/>
      </c>
      <c r="R485" s="1" t="str">
        <f>IFERROR(__xludf.DUMMYFUNCTION("""COMPUTED_VALUE"""),"")</f>
        <v/>
      </c>
      <c r="S485" s="1" t="str">
        <f>IFERROR(__xludf.DUMMYFUNCTION("""COMPUTED_VALUE"""),"4")</f>
        <v>4</v>
      </c>
      <c r="T485" s="1" t="str">
        <f>IFERROR(__xludf.DUMMYFUNCTION("""COMPUTED_VALUE"""),"Water")</f>
        <v>Water</v>
      </c>
      <c r="U485" s="1" t="str">
        <f>IFERROR(__xludf.DUMMYFUNCTION("""COMPUTED_VALUE"""),"Open loop")</f>
        <v>Open loop</v>
      </c>
      <c r="V485" s="1" t="str">
        <f>IFERROR(__xludf.DUMMYFUNCTION("""COMPUTED_VALUE"""),"1,800,000")</f>
        <v>1,800,000</v>
      </c>
      <c r="W485" s="1" t="str">
        <f>IFERROR(__xludf.DUMMYFUNCTION("""COMPUTED_VALUE"""),"403")</f>
        <v>403</v>
      </c>
      <c r="X485" s="1" t="str">
        <f>IFERROR(__xludf.DUMMYFUNCTION("""COMPUTED_VALUE"""),"$650 million")</f>
        <v>$650 million</v>
      </c>
      <c r="Y485" s="1" t="str">
        <f>IFERROR(__xludf.DUMMYFUNCTION("""COMPUTED_VALUE"""),"")</f>
        <v/>
      </c>
      <c r="Z485" s="1" t="str">
        <f>IFERROR(__xludf.DUMMYFUNCTION("""COMPUTED_VALUE"""),"Yes")</f>
        <v>Yes</v>
      </c>
      <c r="AA485" s="1" t="str">
        <f>IFERROR(__xludf.DUMMYFUNCTION("""COMPUTED_VALUE"""),"")</f>
        <v/>
      </c>
      <c r="AB485" s="1" t="str">
        <f>IFERROR(__xludf.DUMMYFUNCTION("""COMPUTED_VALUE"""),"")</f>
        <v/>
      </c>
      <c r="AC485" s="1" t="str">
        <f>IFERROR(__xludf.DUMMYFUNCTION("""COMPUTED_VALUE"""),"")</f>
        <v/>
      </c>
      <c r="AD485" s="2" t="str">
        <f>IFERROR(__xludf.DUMMYFUNCTION("""COMPUTED_VALUE"""),"https://stopthehermantowndatacenter.org/")</f>
        <v>https://stopthehermantowndatacenter.org/</v>
      </c>
      <c r="AE485" s="1" t="str">
        <f>IFERROR(__xludf.DUMMYFUNCTION("""COMPUTED_VALUE"""),"")</f>
        <v/>
      </c>
      <c r="AF485" s="2" t="str">
        <f>IFERROR(__xludf.DUMMYFUNCTION("""COMPUTED_VALUE"""),"https://www.change.org/p/stop-the-hermantown-data-center-protect-our-community-and-environment")</f>
        <v>https://www.change.org/p/stop-the-hermantown-data-center-protect-our-community-and-environment</v>
      </c>
      <c r="AG485" s="1" t="str">
        <f>IFERROR(__xludf.DUMMYFUNCTION("""COMPUTED_VALUE"""),"Developer has put project on hold in order to hold an open house to address community concerns, while city officials decide whether an additional environmental review is warranted. Minnesota Center for Environmental Advocacy filed a lawsuit with the citiz"&amp;"en group ""Stop the Hermantown Data Center"" against the city of Hermantown, challenging their environmental review")</f>
        <v>Developer has put project on hold in order to hold an open house to address community concerns, while city officials decide whether an additional environmental review is warranted. Minnesota Center for Environmental Advocacy filed a lawsuit with the citizen group "Stop the Hermantown Data Center" against the city of Hermantown, challenging their environmental review</v>
      </c>
      <c r="AH485" s="1" t="str">
        <f>IFERROR(__xludf.DUMMYFUNCTION("""COMPUTED_VALUE"""),"Media Monitoring")</f>
        <v>Media Monitoring</v>
      </c>
      <c r="AI485" s="2" t="str">
        <f>IFERROR(__xludf.DUMMYFUNCTION("""COMPUTED_VALUE"""),"https://web.archive.org/web/20250923222004/https://www.startribune.com/northern-minnesota-mystery-project-identified-as-data-center-in-communications-to-city/601477059")</f>
        <v>https://web.archive.org/web/20250923222004/https://www.startribune.com/northern-minnesota-mystery-project-identified-as-data-center-in-communications-to-city/601477059</v>
      </c>
      <c r="AJ485" s="2" t="str">
        <f>IFERROR(__xludf.DUMMYFUNCTION("""COMPUTED_VALUE"""),"https://hermantownmn.com/project/#1760042903195-d604f6bd-60cc")</f>
        <v>https://hermantownmn.com/project/#1760042903195-d604f6bd-60cc</v>
      </c>
      <c r="AK485" s="2" t="str">
        <f>IFERROR(__xludf.DUMMYFUNCTION("""COMPUTED_VALUE"""),"https://www.fox9.com/news/hermantown-city-council-data-center")</f>
        <v>https://www.fox9.com/news/hermantown-city-council-data-center</v>
      </c>
      <c r="AL485" s="2" t="str">
        <f>IFERROR(__xludf.DUMMYFUNCTION("""COMPUTED_VALUE"""),"https://www.duluthnewstribune.com/news/local/charged-debate-over-hermantown-data-center-draws-crowd")</f>
        <v>https://www.duluthnewstribune.com/news/local/charged-debate-over-hermantown-data-center-draws-crowd</v>
      </c>
      <c r="AM485" s="2" t="str">
        <f>IFERROR(__xludf.DUMMYFUNCTION("""COMPUTED_VALUE"""),"https://www.mprnews.org/story/2025/10/21/hermantown-data-center-moves-forward-despite-opposition")</f>
        <v>https://www.mprnews.org/story/2025/10/21/hermantown-data-center-moves-forward-despite-opposition</v>
      </c>
      <c r="AN485" s="2" t="str">
        <f>IFERROR(__xludf.DUMMYFUNCTION("""COMPUTED_VALUE"""),"https://www.mprnews.org/story/2025/10/22/hermantown-delays-permits-for-disputed-data-center")</f>
        <v>https://www.mprnews.org/story/2025/10/22/hermantown-delays-permits-for-disputed-data-center</v>
      </c>
      <c r="AO485" s="2" t="str">
        <f>IFERROR(__xludf.DUMMYFUNCTION("""COMPUTED_VALUE"""),"https://www.mprnews.org/story/2025/11/14/hermantown-data-center-developer-plans-public-meeting")</f>
        <v>https://www.mprnews.org/story/2025/11/14/hermantown-data-center-developer-plans-public-meeting</v>
      </c>
      <c r="AP485" s="2" t="str">
        <f>IFERROR(__xludf.DUMMYFUNCTION("""COMPUTED_VALUE"""),"https://www.datacenterdynamics.com/en/news/google-confirms-it-is-behind-403-acre-data-center-campus-in-hermantown-minnesota/")</f>
        <v>https://www.datacenterdynamics.com/en/news/google-confirms-it-is-behind-403-acre-data-center-campus-in-hermantown-minnesota/</v>
      </c>
      <c r="AQ485" s="1" t="str">
        <f>IFERROR(__xludf.DUMMYFUNCTION("""COMPUTED_VALUE"""),"10/21/2025")</f>
        <v>10/21/2025</v>
      </c>
      <c r="AR485" s="1" t="str">
        <f>IFERROR(__xludf.DUMMYFUNCTION("""COMPUTED_VALUE"""),"03/14/2026")</f>
        <v>03/14/2026</v>
      </c>
    </row>
    <row r="486">
      <c r="A486" s="1" t="str">
        <f>IFERROR(__xludf.DUMMYFUNCTION("""COMPUTED_VALUE"""),"US Internet Data Center")</f>
        <v>US Internet Data Center</v>
      </c>
      <c r="B486" s="1" t="str">
        <f>IFERROR(__xludf.DUMMYFUNCTION("""COMPUTED_VALUE"""),"3819 W Broadway")</f>
        <v>3819 W Broadway</v>
      </c>
      <c r="C486" s="1" t="str">
        <f>IFERROR(__xludf.DUMMYFUNCTION("""COMPUTED_VALUE"""),"Minneapolis")</f>
        <v>Minneapolis</v>
      </c>
      <c r="D486" s="1" t="str">
        <f>IFERROR(__xludf.DUMMYFUNCTION("""COMPUTED_VALUE"""),"MN")</f>
        <v>MN</v>
      </c>
      <c r="E486" s="1" t="str">
        <f>IFERROR(__xludf.DUMMYFUNCTION("""COMPUTED_VALUE"""),"55422")</f>
        <v>55422</v>
      </c>
      <c r="F486" s="1" t="str">
        <f>IFERROR(__xludf.DUMMYFUNCTION("""COMPUTED_VALUE"""),"Hennepin")</f>
        <v>Hennepin</v>
      </c>
      <c r="G486" s="1" t="str">
        <f>IFERROR(__xludf.DUMMYFUNCTION("""COMPUTED_VALUE"""),"45.02485")</f>
        <v>45.02485</v>
      </c>
      <c r="H486" s="1" t="str">
        <f>IFERROR(__xludf.DUMMYFUNCTION("""COMPUTED_VALUE"""),"-93.3328")</f>
        <v>-93.3328</v>
      </c>
      <c r="I486" s="1" t="str">
        <f>IFERROR(__xludf.DUMMYFUNCTION("""COMPUTED_VALUE"""),"Proposed")</f>
        <v>Proposed</v>
      </c>
      <c r="J486" s="1" t="str">
        <f>IFERROR(__xludf.DUMMYFUNCTION("""COMPUTED_VALUE"""),"High")</f>
        <v>High</v>
      </c>
      <c r="K486" s="1" t="str">
        <f>IFERROR(__xludf.DUMMYFUNCTION("""COMPUTED_VALUE"""),"")</f>
        <v/>
      </c>
      <c r="L486" s="1" t="str">
        <f>IFERROR(__xludf.DUMMYFUNCTION("""COMPUTED_VALUE"""),"")</f>
        <v/>
      </c>
      <c r="M486" s="1" t="str">
        <f>IFERROR(__xludf.DUMMYFUNCTION("""COMPUTED_VALUE"""),"")</f>
        <v/>
      </c>
      <c r="N486" s="1" t="str">
        <f>IFERROR(__xludf.DUMMYFUNCTION("""COMPUTED_VALUE"""),"")</f>
        <v/>
      </c>
      <c r="O486" s="1" t="str">
        <f>IFERROR(__xludf.DUMMYFUNCTION("""COMPUTED_VALUE"""),"Unknown")</f>
        <v>Unknown</v>
      </c>
      <c r="P486" s="1" t="str">
        <f>IFERROR(__xludf.DUMMYFUNCTION("""COMPUTED_VALUE"""),"")</f>
        <v/>
      </c>
      <c r="Q486" s="1" t="str">
        <f>IFERROR(__xludf.DUMMYFUNCTION("""COMPUTED_VALUE"""),"")</f>
        <v/>
      </c>
      <c r="R486" s="1" t="str">
        <f>IFERROR(__xludf.DUMMYFUNCTION("""COMPUTED_VALUE"""),"")</f>
        <v/>
      </c>
      <c r="S486" s="1" t="str">
        <f>IFERROR(__xludf.DUMMYFUNCTION("""COMPUTED_VALUE"""),"")</f>
        <v/>
      </c>
      <c r="T486" s="1" t="str">
        <f>IFERROR(__xludf.DUMMYFUNCTION("""COMPUTED_VALUE"""),"")</f>
        <v/>
      </c>
      <c r="U486" s="1" t="str">
        <f>IFERROR(__xludf.DUMMYFUNCTION("""COMPUTED_VALUE"""),"")</f>
        <v/>
      </c>
      <c r="V486" s="1" t="str">
        <f>IFERROR(__xludf.DUMMYFUNCTION("""COMPUTED_VALUE"""),"4,000")</f>
        <v>4,000</v>
      </c>
      <c r="W486" s="1" t="str">
        <f>IFERROR(__xludf.DUMMYFUNCTION("""COMPUTED_VALUE"""),"")</f>
        <v/>
      </c>
      <c r="X486" s="1" t="str">
        <f>IFERROR(__xludf.DUMMYFUNCTION("""COMPUTED_VALUE"""),"")</f>
        <v/>
      </c>
      <c r="Y486" s="1" t="str">
        <f>IFERROR(__xludf.DUMMYFUNCTION("""COMPUTED_VALUE"""),"")</f>
        <v/>
      </c>
      <c r="Z486" s="1" t="str">
        <f>IFERROR(__xludf.DUMMYFUNCTION("""COMPUTED_VALUE"""),"Unknown")</f>
        <v>Unknown</v>
      </c>
      <c r="AA486" s="1" t="str">
        <f>IFERROR(__xludf.DUMMYFUNCTION("""COMPUTED_VALUE"""),"")</f>
        <v/>
      </c>
      <c r="AB486" s="1" t="str">
        <f>IFERROR(__xludf.DUMMYFUNCTION("""COMPUTED_VALUE"""),"")</f>
        <v/>
      </c>
      <c r="AC486" s="1" t="str">
        <f>IFERROR(__xludf.DUMMYFUNCTION("""COMPUTED_VALUE"""),"")</f>
        <v/>
      </c>
      <c r="AD486" s="1" t="str">
        <f>IFERROR(__xludf.DUMMYFUNCTION("""COMPUTED_VALUE"""),"")</f>
        <v/>
      </c>
      <c r="AE486" s="1" t="str">
        <f>IFERROR(__xludf.DUMMYFUNCTION("""COMPUTED_VALUE"""),"")</f>
        <v/>
      </c>
      <c r="AF486" s="1" t="str">
        <f>IFERROR(__xludf.DUMMYFUNCTION("""COMPUTED_VALUE"""),"")</f>
        <v/>
      </c>
      <c r="AG486" s="1" t="str">
        <f>IFERROR(__xludf.DUMMYFUNCTION("""COMPUTED_VALUE"""),"former abortion clinic")</f>
        <v>former abortion clinic</v>
      </c>
      <c r="AH486" s="1" t="str">
        <f>IFERROR(__xludf.DUMMYFUNCTION("""COMPUTED_VALUE"""),"Media Monitoring")</f>
        <v>Media Monitoring</v>
      </c>
      <c r="AI486" s="2" t="str">
        <f>IFERROR(__xludf.DUMMYFUNCTION("""COMPUTED_VALUE"""),"https://www.datacenterdynamics.com/en/news/minnesota-abortion-clinic-site-set-to-be-turned-into-data-center-pro-life-memorial-held/")</f>
        <v>https://www.datacenterdynamics.com/en/news/minnesota-abortion-clinic-site-set-to-be-turned-into-data-center-pro-life-memorial-held/</v>
      </c>
      <c r="AJ486" s="1" t="str">
        <f>IFERROR(__xludf.DUMMYFUNCTION("""COMPUTED_VALUE"""),"")</f>
        <v/>
      </c>
      <c r="AK486" s="1" t="str">
        <f>IFERROR(__xludf.DUMMYFUNCTION("""COMPUTED_VALUE"""),"")</f>
        <v/>
      </c>
      <c r="AL486" s="1" t="str">
        <f>IFERROR(__xludf.DUMMYFUNCTION("""COMPUTED_VALUE"""),"")</f>
        <v/>
      </c>
      <c r="AM486" s="1" t="str">
        <f>IFERROR(__xludf.DUMMYFUNCTION("""COMPUTED_VALUE"""),"")</f>
        <v/>
      </c>
      <c r="AN486" s="1" t="str">
        <f>IFERROR(__xludf.DUMMYFUNCTION("""COMPUTED_VALUE"""),"")</f>
        <v/>
      </c>
      <c r="AO486" s="1" t="str">
        <f>IFERROR(__xludf.DUMMYFUNCTION("""COMPUTED_VALUE"""),"")</f>
        <v/>
      </c>
      <c r="AP486" s="1" t="str">
        <f>IFERROR(__xludf.DUMMYFUNCTION("""COMPUTED_VALUE"""),"")</f>
        <v/>
      </c>
      <c r="AQ486" s="1" t="str">
        <f>IFERROR(__xludf.DUMMYFUNCTION("""COMPUTED_VALUE"""),"08/01/2025")</f>
        <v>08/01/2025</v>
      </c>
      <c r="AR486" s="1" t="str">
        <f>IFERROR(__xludf.DUMMYFUNCTION("""COMPUTED_VALUE"""),"08/01/2025")</f>
        <v>08/01/2025</v>
      </c>
    </row>
    <row r="487">
      <c r="A487" s="1" t="str">
        <f>IFERROR(__xludf.DUMMYFUNCTION("""COMPUTED_VALUE"""),"Monitcello Data Center/Project Groundhog")</f>
        <v>Monitcello Data Center/Project Groundhog</v>
      </c>
      <c r="B487" s="1" t="str">
        <f>IFERROR(__xludf.DUMMYFUNCTION("""COMPUTED_VALUE"""),"south of 85th Street and east of Highway 25")</f>
        <v>south of 85th Street and east of Highway 25</v>
      </c>
      <c r="C487" s="1" t="str">
        <f>IFERROR(__xludf.DUMMYFUNCTION("""COMPUTED_VALUE"""),"Monticello")</f>
        <v>Monticello</v>
      </c>
      <c r="D487" s="1" t="str">
        <f>IFERROR(__xludf.DUMMYFUNCTION("""COMPUTED_VALUE"""),"MN")</f>
        <v>MN</v>
      </c>
      <c r="E487" s="1" t="str">
        <f>IFERROR(__xludf.DUMMYFUNCTION("""COMPUTED_VALUE"""),"55362")</f>
        <v>55362</v>
      </c>
      <c r="F487" s="1" t="str">
        <f>IFERROR(__xludf.DUMMYFUNCTION("""COMPUTED_VALUE"""),"Wright")</f>
        <v>Wright</v>
      </c>
      <c r="G487" s="1" t="str">
        <f>IFERROR(__xludf.DUMMYFUNCTION("""COMPUTED_VALUE"""),"45.275093")</f>
        <v>45.275093</v>
      </c>
      <c r="H487" s="1" t="str">
        <f>IFERROR(__xludf.DUMMYFUNCTION("""COMPUTED_VALUE"""),"-93.81535")</f>
        <v>-93.81535</v>
      </c>
      <c r="I487" s="1" t="str">
        <f>IFERROR(__xludf.DUMMYFUNCTION("""COMPUTED_VALUE"""),"Proposed")</f>
        <v>Proposed</v>
      </c>
      <c r="J487" s="1" t="str">
        <f>IFERROR(__xludf.DUMMYFUNCTION("""COMPUTED_VALUE"""),"Medium ")</f>
        <v>Medium </v>
      </c>
      <c r="K487" s="1" t="str">
        <f>IFERROR(__xludf.DUMMYFUNCTION("""COMPUTED_VALUE"""),"")</f>
        <v/>
      </c>
      <c r="L487" s="1" t="str">
        <f>IFERROR(__xludf.DUMMYFUNCTION("""COMPUTED_VALUE"""),"Monticello Tech, LLC, Frattalone")</f>
        <v>Monticello Tech, LLC, Frattalone</v>
      </c>
      <c r="M487" s="1" t="str">
        <f>IFERROR(__xludf.DUMMYFUNCTION("""COMPUTED_VALUE"""),"")</f>
        <v/>
      </c>
      <c r="N487" s="1" t="str">
        <f>IFERROR(__xludf.DUMMYFUNCTION("""COMPUTED_VALUE"""),"")</f>
        <v/>
      </c>
      <c r="O487" s="1" t="str">
        <f>IFERROR(__xludf.DUMMYFUNCTION("""COMPUTED_VALUE"""),"Unknown")</f>
        <v>Unknown</v>
      </c>
      <c r="P487" s="1" t="str">
        <f>IFERROR(__xludf.DUMMYFUNCTION("""COMPUTED_VALUE"""),"")</f>
        <v/>
      </c>
      <c r="Q487" s="1" t="str">
        <f>IFERROR(__xludf.DUMMYFUNCTION("""COMPUTED_VALUE"""),"")</f>
        <v/>
      </c>
      <c r="R487" s="1" t="str">
        <f>IFERROR(__xludf.DUMMYFUNCTION("""COMPUTED_VALUE"""),"")</f>
        <v/>
      </c>
      <c r="S487" s="1" t="str">
        <f>IFERROR(__xludf.DUMMYFUNCTION("""COMPUTED_VALUE"""),"")</f>
        <v/>
      </c>
      <c r="T487" s="1" t="str">
        <f>IFERROR(__xludf.DUMMYFUNCTION("""COMPUTED_VALUE"""),"")</f>
        <v/>
      </c>
      <c r="U487" s="1" t="str">
        <f>IFERROR(__xludf.DUMMYFUNCTION("""COMPUTED_VALUE"""),"")</f>
        <v/>
      </c>
      <c r="V487" s="1" t="str">
        <f>IFERROR(__xludf.DUMMYFUNCTION("""COMPUTED_VALUE"""),"3,000,000")</f>
        <v>3,000,000</v>
      </c>
      <c r="W487" s="1" t="str">
        <f>IFERROR(__xludf.DUMMYFUNCTION("""COMPUTED_VALUE"""),"550")</f>
        <v>550</v>
      </c>
      <c r="X487" s="1" t="str">
        <f>IFERROR(__xludf.DUMMYFUNCTION("""COMPUTED_VALUE"""),"$5 billion")</f>
        <v>$5 billion</v>
      </c>
      <c r="Y487" s="1" t="str">
        <f>IFERROR(__xludf.DUMMYFUNCTION("""COMPUTED_VALUE"""),"")</f>
        <v/>
      </c>
      <c r="Z487" s="1" t="str">
        <f>IFERROR(__xludf.DUMMYFUNCTION("""COMPUTED_VALUE"""),"Yes")</f>
        <v>Yes</v>
      </c>
      <c r="AA487" s="1" t="str">
        <f>IFERROR(__xludf.DUMMYFUNCTION("""COMPUTED_VALUE"""),"")</f>
        <v/>
      </c>
      <c r="AB487" s="1" t="str">
        <f>IFERROR(__xludf.DUMMYFUNCTION("""COMPUTED_VALUE"""),"")</f>
        <v/>
      </c>
      <c r="AC487" s="1" t="str">
        <f>IFERROR(__xludf.DUMMYFUNCTION("""COMPUTED_VALUE"""),"")</f>
        <v/>
      </c>
      <c r="AD487" s="1" t="str">
        <f>IFERROR(__xludf.DUMMYFUNCTION("""COMPUTED_VALUE"""),"")</f>
        <v/>
      </c>
      <c r="AE487" s="1" t="str">
        <f>IFERROR(__xludf.DUMMYFUNCTION("""COMPUTED_VALUE"""),"")</f>
        <v/>
      </c>
      <c r="AF487" s="2" t="str">
        <f>IFERROR(__xludf.DUMMYFUNCTION("""COMPUTED_VALUE"""),"https://www.change.org/p/no-data-center-monticello-mn")</f>
        <v>https://www.change.org/p/no-data-center-monticello-mn</v>
      </c>
      <c r="AG487" s="1" t="str">
        <f>IFERROR(__xludf.DUMMYFUNCTION("""COMPUTED_VALUE"""),"")</f>
        <v/>
      </c>
      <c r="AH487" s="1" t="str">
        <f>IFERROR(__xludf.DUMMYFUNCTION("""COMPUTED_VALUE"""),"Media Monitoring")</f>
        <v>Media Monitoring</v>
      </c>
      <c r="AI487" s="2" t="str">
        <f>IFERROR(__xludf.DUMMYFUNCTION("""COMPUTED_VALUE"""),"https://www.datacenterdynamics.com/en/news/two-data-center-projects-planned-for-monticello-minnesota/")</f>
        <v>https://www.datacenterdynamics.com/en/news/two-data-center-projects-planned-for-monticello-minnesota/</v>
      </c>
      <c r="AJ487" s="2" t="str">
        <f>IFERROR(__xludf.DUMMYFUNCTION("""COMPUTED_VALUE"""),"https://www.hometownsource.com/monticello_times/data-center-proposal-still-in-discovery-phase-as-key-decisions-loom/article_376c5bca-1104-47c5-8204-32de45982728.html")</f>
        <v>https://www.hometownsource.com/monticello_times/data-center-proposal-still-in-discovery-phase-as-key-decisions-loom/article_376c5bca-1104-47c5-8204-32de45982728.html</v>
      </c>
      <c r="AK487" s="1" t="str">
        <f>IFERROR(__xludf.DUMMYFUNCTION("""COMPUTED_VALUE"""),"")</f>
        <v/>
      </c>
      <c r="AL487" s="1" t="str">
        <f>IFERROR(__xludf.DUMMYFUNCTION("""COMPUTED_VALUE"""),"")</f>
        <v/>
      </c>
      <c r="AM487" s="1" t="str">
        <f>IFERROR(__xludf.DUMMYFUNCTION("""COMPUTED_VALUE"""),"")</f>
        <v/>
      </c>
      <c r="AN487" s="1" t="str">
        <f>IFERROR(__xludf.DUMMYFUNCTION("""COMPUTED_VALUE"""),"")</f>
        <v/>
      </c>
      <c r="AO487" s="1" t="str">
        <f>IFERROR(__xludf.DUMMYFUNCTION("""COMPUTED_VALUE"""),"")</f>
        <v/>
      </c>
      <c r="AP487" s="1" t="str">
        <f>IFERROR(__xludf.DUMMYFUNCTION("""COMPUTED_VALUE"""),"")</f>
        <v/>
      </c>
      <c r="AQ487" s="1" t="str">
        <f>IFERROR(__xludf.DUMMYFUNCTION("""COMPUTED_VALUE"""),"02/26/2026")</f>
        <v>02/26/2026</v>
      </c>
      <c r="AR487" s="1" t="str">
        <f>IFERROR(__xludf.DUMMYFUNCTION("""COMPUTED_VALUE"""),"02/26/2026")</f>
        <v>02/26/2026</v>
      </c>
    </row>
    <row r="488">
      <c r="A488" s="1" t="str">
        <f>IFERROR(__xludf.DUMMYFUNCTION("""COMPUTED_VALUE"""),"Project Skyway")</f>
        <v>Project Skyway</v>
      </c>
      <c r="B488" s="1" t="str">
        <f>IFERROR(__xludf.DUMMYFUNCTION("""COMPUTED_VALUE"""),"49199-49821 195th Ave")</f>
        <v>49199-49821 195th Ave</v>
      </c>
      <c r="C488" s="1" t="str">
        <f>IFERROR(__xludf.DUMMYFUNCTION("""COMPUTED_VALUE"""),"Pine Island")</f>
        <v>Pine Island</v>
      </c>
      <c r="D488" s="1" t="str">
        <f>IFERROR(__xludf.DUMMYFUNCTION("""COMPUTED_VALUE"""),"MN")</f>
        <v>MN</v>
      </c>
      <c r="E488" s="1" t="str">
        <f>IFERROR(__xludf.DUMMYFUNCTION("""COMPUTED_VALUE"""),"55963")</f>
        <v>55963</v>
      </c>
      <c r="F488" s="1" t="str">
        <f>IFERROR(__xludf.DUMMYFUNCTION("""COMPUTED_VALUE"""),"Goodhue")</f>
        <v>Goodhue</v>
      </c>
      <c r="G488" s="1" t="str">
        <f>IFERROR(__xludf.DUMMYFUNCTION("""COMPUTED_VALUE"""),"44.22483")</f>
        <v>44.22483</v>
      </c>
      <c r="H488" s="1" t="str">
        <f>IFERROR(__xludf.DUMMYFUNCTION("""COMPUTED_VALUE"""),"-92.6442")</f>
        <v>-92.6442</v>
      </c>
      <c r="I488" s="1" t="str">
        <f>IFERROR(__xludf.DUMMYFUNCTION("""COMPUTED_VALUE"""),"Proposed")</f>
        <v>Proposed</v>
      </c>
      <c r="J488" s="1" t="str">
        <f>IFERROR(__xludf.DUMMYFUNCTION("""COMPUTED_VALUE"""),"High")</f>
        <v>High</v>
      </c>
      <c r="K488" s="1" t="str">
        <f>IFERROR(__xludf.DUMMYFUNCTION("""COMPUTED_VALUE"""),"")</f>
        <v/>
      </c>
      <c r="L488" s="1" t="str">
        <f>IFERROR(__xludf.DUMMYFUNCTION("""COMPUTED_VALUE"""),"Ryan Companies US, Inc/Google")</f>
        <v>Ryan Companies US, Inc/Google</v>
      </c>
      <c r="M488" s="1" t="str">
        <f>IFERROR(__xludf.DUMMYFUNCTION("""COMPUTED_VALUE"""),"")</f>
        <v/>
      </c>
      <c r="N488" s="1" t="str">
        <f>IFERROR(__xludf.DUMMYFUNCTION("""COMPUTED_VALUE"""),"1200-19600")</f>
        <v>1200-19600</v>
      </c>
      <c r="O488" s="1" t="str">
        <f>IFERROR(__xludf.DUMMYFUNCTION("""COMPUTED_VALUE"""),"Mega campus (&gt;1,000 MW)")</f>
        <v>Mega campus (&gt;1,000 MW)</v>
      </c>
      <c r="P488" s="1" t="str">
        <f>IFERROR(__xludf.DUMMYFUNCTION("""COMPUTED_VALUE"""),"Hybrid (onsite and grid)")</f>
        <v>Hybrid (onsite and grid)</v>
      </c>
      <c r="Q488" s="1" t="str">
        <f>IFERROR(__xludf.DUMMYFUNCTION("""COMPUTED_VALUE"""),"")</f>
        <v/>
      </c>
      <c r="R488" s="1" t="str">
        <f>IFERROR(__xludf.DUMMYFUNCTION("""COMPUTED_VALUE"""),"")</f>
        <v/>
      </c>
      <c r="S488" s="1" t="str">
        <f>IFERROR(__xludf.DUMMYFUNCTION("""COMPUTED_VALUE"""),"")</f>
        <v/>
      </c>
      <c r="T488" s="1" t="str">
        <f>IFERROR(__xludf.DUMMYFUNCTION("""COMPUTED_VALUE"""),"")</f>
        <v/>
      </c>
      <c r="U488" s="1" t="str">
        <f>IFERROR(__xludf.DUMMYFUNCTION("""COMPUTED_VALUE"""),"")</f>
        <v/>
      </c>
      <c r="V488" s="1" t="str">
        <f>IFERROR(__xludf.DUMMYFUNCTION("""COMPUTED_VALUE"""),"3,000,000")</f>
        <v>3,000,000</v>
      </c>
      <c r="W488" s="1" t="str">
        <f>IFERROR(__xludf.DUMMYFUNCTION("""COMPUTED_VALUE"""),"482")</f>
        <v>482</v>
      </c>
      <c r="X488" s="1" t="str">
        <f>IFERROR(__xludf.DUMMYFUNCTION("""COMPUTED_VALUE"""),"")</f>
        <v/>
      </c>
      <c r="Y488" s="1" t="str">
        <f>IFERROR(__xludf.DUMMYFUNCTION("""COMPUTED_VALUE"""),"")</f>
        <v/>
      </c>
      <c r="Z488" s="1" t="str">
        <f>IFERROR(__xludf.DUMMYFUNCTION("""COMPUTED_VALUE"""),"Yes")</f>
        <v>Yes</v>
      </c>
      <c r="AA488" s="1" t="str">
        <f>IFERROR(__xludf.DUMMYFUNCTION("""COMPUTED_VALUE"""),"Local opposition has emerged regarding Project Skyway. Community members have raised concerns about environmental impacts and scale. A lawsuit was filed seeking to pause the project pending further review. See KTTC coverage (DEC 2025) and the City of Pine"&amp;" Island AUAR materials. ")</f>
        <v>Local opposition has emerged regarding Project Skyway. Community members have raised concerns about environmental impacts and scale. A lawsuit was filed seeking to pause the project pending further review. See KTTC coverage (DEC 2025) and the City of Pine Island AUAR materials. </v>
      </c>
      <c r="AB488" s="1" t="str">
        <f>IFERROR(__xludf.DUMMYFUNCTION("""COMPUTED_VALUE"""),"Emerging Concern")</f>
        <v>Emerging Concern</v>
      </c>
      <c r="AC488" s="1" t="str">
        <f>IFERROR(__xludf.DUMMYFUNCTION("""COMPUTED_VALUE"""),"")</f>
        <v/>
      </c>
      <c r="AD488" s="2" t="str">
        <f>IFERROR(__xludf.DUMMYFUNCTION("""COMPUTED_VALUE"""),"https://www.facebook.com/groups/1117176807284432/about/")</f>
        <v>https://www.facebook.com/groups/1117176807284432/about/</v>
      </c>
      <c r="AE488" s="1" t="str">
        <f>IFERROR(__xludf.DUMMYFUNCTION("""COMPUTED_VALUE"""),"")</f>
        <v/>
      </c>
      <c r="AF488" s="2" t="str">
        <f>IFERROR(__xludf.DUMMYFUNCTION("""COMPUTED_VALUE"""),"https://www.change.org/decision-makers/colton-wright-pine-island-city-council")</f>
        <v>https://www.change.org/decision-makers/colton-wright-pine-island-city-council</v>
      </c>
      <c r="AG488" s="1" t="str">
        <f>IFERROR(__xludf.DUMMYFUNCTION("""COMPUTED_VALUE"""),"Technology center to include data center. Facility size could be 600,000-3,000,000 sq feet. Will include 1,400 MW of wind, 200 MW of solar, and 300 MW of battery storage")</f>
        <v>Technology center to include data center. Facility size could be 600,000-3,000,000 sq feet. Will include 1,400 MW of wind, 200 MW of solar, and 300 MW of battery storage</v>
      </c>
      <c r="AH488" s="1" t="str">
        <f>IFERROR(__xludf.DUMMYFUNCTION("""COMPUTED_VALUE"""),"Media Monitoring")</f>
        <v>Media Monitoring</v>
      </c>
      <c r="AI488" s="2" t="str">
        <f>IFERROR(__xludf.DUMMYFUNCTION("""COMPUTED_VALUE"""),"https://finance-commerce.com/2025/03/ryan-cos-tech-industrial-hub-pine-island/")</f>
        <v>https://finance-commerce.com/2025/03/ryan-cos-tech-industrial-hub-pine-island/</v>
      </c>
      <c r="AJ488" s="2" t="str">
        <f>IFERROR(__xludf.DUMMYFUNCTION("""COMPUTED_VALUE"""),"https://pineislandmn.gov/vertical/sites/%7B52A5D060-3422-4069-8E86-A961C2752B7F%7D/uploads/Project_Skyway_Scoping_EAW-Appendices_2025.02.27.pdf")</f>
        <v>https://pineislandmn.gov/vertical/sites/%7B52A5D060-3422-4069-8E86-A961C2752B7F%7D/uploads/Project_Skyway_Scoping_EAW-Appendices_2025.02.27.pdf</v>
      </c>
      <c r="AK488" s="2" t="str">
        <f>IFERROR(__xludf.DUMMYFUNCTION("""COMPUTED_VALUE"""),"https://www.kttc.com/2026/02/05/pine-island-city-council-approves-financial-incentives-data-center-project/")</f>
        <v>https://www.kttc.com/2026/02/05/pine-island-city-council-approves-financial-incentives-data-center-project/</v>
      </c>
      <c r="AL488" s="2" t="str">
        <f>IFERROR(__xludf.DUMMYFUNCTION("""COMPUTED_VALUE"""),"https://www.datacenterdynamics.com/en/news/google-announces-first-data-center-in-minnesota/")</f>
        <v>https://www.datacenterdynamics.com/en/news/google-announces-first-data-center-in-minnesota/</v>
      </c>
      <c r="AM488" s="1" t="str">
        <f>IFERROR(__xludf.DUMMYFUNCTION("""COMPUTED_VALUE"""),"")</f>
        <v/>
      </c>
      <c r="AN488" s="1" t="str">
        <f>IFERROR(__xludf.DUMMYFUNCTION("""COMPUTED_VALUE"""),"")</f>
        <v/>
      </c>
      <c r="AO488" s="1" t="str">
        <f>IFERROR(__xludf.DUMMYFUNCTION("""COMPUTED_VALUE"""),"")</f>
        <v/>
      </c>
      <c r="AP488" s="1" t="str">
        <f>IFERROR(__xludf.DUMMYFUNCTION("""COMPUTED_VALUE"""),"")</f>
        <v/>
      </c>
      <c r="AQ488" s="1" t="str">
        <f>IFERROR(__xludf.DUMMYFUNCTION("""COMPUTED_VALUE"""),"07/28/2025")</f>
        <v>07/28/2025</v>
      </c>
      <c r="AR488" s="1" t="str">
        <f>IFERROR(__xludf.DUMMYFUNCTION("""COMPUTED_VALUE"""),"05/21/2026")</f>
        <v>05/21/2026</v>
      </c>
    </row>
    <row r="489">
      <c r="A489" s="1" t="str">
        <f>IFERROR(__xludf.DUMMYFUNCTION("""COMPUTED_VALUE"""),"Geronimo Power Data Center")</f>
        <v>Geronimo Power Data Center</v>
      </c>
      <c r="B489" s="1" t="str">
        <f>IFERROR(__xludf.DUMMYFUNCTION("""COMPUTED_VALUE"""),"Between 190th and 200th St")</f>
        <v>Between 190th and 200th St</v>
      </c>
      <c r="C489" s="1" t="str">
        <f>IFERROR(__xludf.DUMMYFUNCTION("""COMPUTED_VALUE"""),"Reading")</f>
        <v>Reading</v>
      </c>
      <c r="D489" s="1" t="str">
        <f>IFERROR(__xludf.DUMMYFUNCTION("""COMPUTED_VALUE"""),"MN")</f>
        <v>MN</v>
      </c>
      <c r="E489" s="1" t="str">
        <f>IFERROR(__xludf.DUMMYFUNCTION("""COMPUTED_VALUE"""),"56165")</f>
        <v>56165</v>
      </c>
      <c r="F489" s="1" t="str">
        <f>IFERROR(__xludf.DUMMYFUNCTION("""COMPUTED_VALUE"""),"Nobles")</f>
        <v>Nobles</v>
      </c>
      <c r="G489" s="1" t="str">
        <f>IFERROR(__xludf.DUMMYFUNCTION("""COMPUTED_VALUE"""),"43.711044")</f>
        <v>43.711044</v>
      </c>
      <c r="H489" s="1" t="str">
        <f>IFERROR(__xludf.DUMMYFUNCTION("""COMPUTED_VALUE"""),"-95.6839")</f>
        <v>-95.6839</v>
      </c>
      <c r="I489" s="1" t="str">
        <f>IFERROR(__xludf.DUMMYFUNCTION("""COMPUTED_VALUE"""),"Suspended")</f>
        <v>Suspended</v>
      </c>
      <c r="J489" s="1" t="str">
        <f>IFERROR(__xludf.DUMMYFUNCTION("""COMPUTED_VALUE"""),"High")</f>
        <v>High</v>
      </c>
      <c r="K489" s="1" t="str">
        <f>IFERROR(__xludf.DUMMYFUNCTION("""COMPUTED_VALUE"""),"")</f>
        <v/>
      </c>
      <c r="L489" s="1" t="str">
        <f>IFERROR(__xludf.DUMMYFUNCTION("""COMPUTED_VALUE"""),"")</f>
        <v/>
      </c>
      <c r="M489" s="1" t="str">
        <f>IFERROR(__xludf.DUMMYFUNCTION("""COMPUTED_VALUE"""),"")</f>
        <v/>
      </c>
      <c r="N489" s="1" t="str">
        <f>IFERROR(__xludf.DUMMYFUNCTION("""COMPUTED_VALUE"""),"400-500")</f>
        <v>400-500</v>
      </c>
      <c r="O489" s="1" t="str">
        <f>IFERROR(__xludf.DUMMYFUNCTION("""COMPUTED_VALUE"""),"Hyperscale (100-999 MW)")</f>
        <v>Hyperscale (100-999 MW)</v>
      </c>
      <c r="P489" s="1" t="str">
        <f>IFERROR(__xludf.DUMMYFUNCTION("""COMPUTED_VALUE"""),"Hybrid (onsite and grid)")</f>
        <v>Hybrid (onsite and grid)</v>
      </c>
      <c r="Q489" s="1" t="str">
        <f>IFERROR(__xludf.DUMMYFUNCTION("""COMPUTED_VALUE"""),"")</f>
        <v/>
      </c>
      <c r="R489" s="1" t="str">
        <f>IFERROR(__xludf.DUMMYFUNCTION("""COMPUTED_VALUE"""),"")</f>
        <v/>
      </c>
      <c r="S489" s="1" t="str">
        <f>IFERROR(__xludf.DUMMYFUNCTION("""COMPUTED_VALUE"""),"")</f>
        <v/>
      </c>
      <c r="T489" s="1" t="str">
        <f>IFERROR(__xludf.DUMMYFUNCTION("""COMPUTED_VALUE"""),"")</f>
        <v/>
      </c>
      <c r="U489" s="1" t="str">
        <f>IFERROR(__xludf.DUMMYFUNCTION("""COMPUTED_VALUE"""),"")</f>
        <v/>
      </c>
      <c r="V489" s="1" t="str">
        <f>IFERROR(__xludf.DUMMYFUNCTION("""COMPUTED_VALUE"""),"")</f>
        <v/>
      </c>
      <c r="W489" s="1" t="str">
        <f>IFERROR(__xludf.DUMMYFUNCTION("""COMPUTED_VALUE"""),"")</f>
        <v/>
      </c>
      <c r="X489" s="1" t="str">
        <f>IFERROR(__xludf.DUMMYFUNCTION("""COMPUTED_VALUE"""),"")</f>
        <v/>
      </c>
      <c r="Y489" s="1" t="str">
        <f>IFERROR(__xludf.DUMMYFUNCTION("""COMPUTED_VALUE"""),"2030")</f>
        <v>2030</v>
      </c>
      <c r="Z489" s="1" t="str">
        <f>IFERROR(__xludf.DUMMYFUNCTION("""COMPUTED_VALUE"""),"Unknown")</f>
        <v>Unknown</v>
      </c>
      <c r="AA489" s="1" t="str">
        <f>IFERROR(__xludf.DUMMYFUNCTION("""COMPUTED_VALUE"""),"")</f>
        <v/>
      </c>
      <c r="AB489" s="1" t="str">
        <f>IFERROR(__xludf.DUMMYFUNCTION("""COMPUTED_VALUE"""),"")</f>
        <v/>
      </c>
      <c r="AC489" s="1" t="str">
        <f>IFERROR(__xludf.DUMMYFUNCTION("""COMPUTED_VALUE"""),"")</f>
        <v/>
      </c>
      <c r="AD489" s="1" t="str">
        <f>IFERROR(__xludf.DUMMYFUNCTION("""COMPUTED_VALUE"""),"")</f>
        <v/>
      </c>
      <c r="AE489" s="1" t="str">
        <f>IFERROR(__xludf.DUMMYFUNCTION("""COMPUTED_VALUE"""),"")</f>
        <v/>
      </c>
      <c r="AF489" s="1" t="str">
        <f>IFERROR(__xludf.DUMMYFUNCTION("""COMPUTED_VALUE"""),"")</f>
        <v/>
      </c>
      <c r="AG489" s="1" t="str">
        <f>IFERROR(__xludf.DUMMYFUNCTION("""COMPUTED_VALUE"""),"")</f>
        <v/>
      </c>
      <c r="AH489" s="1" t="str">
        <f>IFERROR(__xludf.DUMMYFUNCTION("""COMPUTED_VALUE"""),"Media Monitoring")</f>
        <v>Media Monitoring</v>
      </c>
      <c r="AI489" s="2" t="str">
        <f>IFERROR(__xludf.DUMMYFUNCTION("""COMPUTED_VALUE"""),"https://www.datacenterdynamics.com/en/news/geronimo-power-proposes-data-center-in-nobles-county-minnesota/")</f>
        <v>https://www.datacenterdynamics.com/en/news/geronimo-power-proposes-data-center-in-nobles-county-minnesota/</v>
      </c>
      <c r="AJ489" s="2" t="str">
        <f>IFERROR(__xludf.DUMMYFUNCTION("""COMPUTED_VALUE"""),"https://www.datacenterdynamics.com/en/news/4bn-data-center-rejected-by-nobles-county-minnesota/")</f>
        <v>https://www.datacenterdynamics.com/en/news/4bn-data-center-rejected-by-nobles-county-minnesota/</v>
      </c>
      <c r="AK489" s="1" t="str">
        <f>IFERROR(__xludf.DUMMYFUNCTION("""COMPUTED_VALUE"""),"")</f>
        <v/>
      </c>
      <c r="AL489" s="1" t="str">
        <f>IFERROR(__xludf.DUMMYFUNCTION("""COMPUTED_VALUE"""),"")</f>
        <v/>
      </c>
      <c r="AM489" s="1" t="str">
        <f>IFERROR(__xludf.DUMMYFUNCTION("""COMPUTED_VALUE"""),"")</f>
        <v/>
      </c>
      <c r="AN489" s="1" t="str">
        <f>IFERROR(__xludf.DUMMYFUNCTION("""COMPUTED_VALUE"""),"")</f>
        <v/>
      </c>
      <c r="AO489" s="1" t="str">
        <f>IFERROR(__xludf.DUMMYFUNCTION("""COMPUTED_VALUE"""),"")</f>
        <v/>
      </c>
      <c r="AP489" s="1" t="str">
        <f>IFERROR(__xludf.DUMMYFUNCTION("""COMPUTED_VALUE"""),"")</f>
        <v/>
      </c>
      <c r="AQ489" s="1" t="str">
        <f>IFERROR(__xludf.DUMMYFUNCTION("""COMPUTED_VALUE"""),"12/08/2025")</f>
        <v>12/08/2025</v>
      </c>
      <c r="AR489" s="1" t="str">
        <f>IFERROR(__xludf.DUMMYFUNCTION("""COMPUTED_VALUE"""),"05/05/2026")</f>
        <v>05/05/2026</v>
      </c>
    </row>
    <row r="490">
      <c r="A490" s="1" t="str">
        <f>IFERROR(__xludf.DUMMYFUNCTION("""COMPUTED_VALUE"""),"Columbia Data Center")</f>
        <v>Columbia Data Center</v>
      </c>
      <c r="B490" s="1" t="str">
        <f>IFERROR(__xludf.DUMMYFUNCTION("""COMPUTED_VALUE"""),"3815 N Hinkson Creek Rd")</f>
        <v>3815 N Hinkson Creek Rd</v>
      </c>
      <c r="C490" s="1" t="str">
        <f>IFERROR(__xludf.DUMMYFUNCTION("""COMPUTED_VALUE"""),"Columbia")</f>
        <v>Columbia</v>
      </c>
      <c r="D490" s="1" t="str">
        <f>IFERROR(__xludf.DUMMYFUNCTION("""COMPUTED_VALUE"""),"MO")</f>
        <v>MO</v>
      </c>
      <c r="E490" s="1" t="str">
        <f>IFERROR(__xludf.DUMMYFUNCTION("""COMPUTED_VALUE"""),"65202")</f>
        <v>65202</v>
      </c>
      <c r="F490" s="1" t="str">
        <f>IFERROR(__xludf.DUMMYFUNCTION("""COMPUTED_VALUE"""),"Boone")</f>
        <v>Boone</v>
      </c>
      <c r="G490" s="1" t="str">
        <f>IFERROR(__xludf.DUMMYFUNCTION("""COMPUTED_VALUE"""),"38.989983")</f>
        <v>38.989983</v>
      </c>
      <c r="H490" s="1" t="str">
        <f>IFERROR(__xludf.DUMMYFUNCTION("""COMPUTED_VALUE"""),"-92.2809")</f>
        <v>-92.2809</v>
      </c>
      <c r="I490" s="1" t="str">
        <f>IFERROR(__xludf.DUMMYFUNCTION("""COMPUTED_VALUE"""),"Proposed")</f>
        <v>Proposed</v>
      </c>
      <c r="J490" s="1" t="str">
        <f>IFERROR(__xludf.DUMMYFUNCTION("""COMPUTED_VALUE"""),"High")</f>
        <v>High</v>
      </c>
      <c r="K490" s="1" t="str">
        <f>IFERROR(__xludf.DUMMYFUNCTION("""COMPUTED_VALUE"""),"")</f>
        <v/>
      </c>
      <c r="L490" s="1" t="str">
        <f>IFERROR(__xludf.DUMMYFUNCTION("""COMPUTED_VALUE"""),"")</f>
        <v/>
      </c>
      <c r="M490" s="1" t="str">
        <f>IFERROR(__xludf.DUMMYFUNCTION("""COMPUTED_VALUE"""),"")</f>
        <v/>
      </c>
      <c r="N490" s="1" t="str">
        <f>IFERROR(__xludf.DUMMYFUNCTION("""COMPUTED_VALUE"""),"")</f>
        <v/>
      </c>
      <c r="O490" s="1" t="str">
        <f>IFERROR(__xludf.DUMMYFUNCTION("""COMPUTED_VALUE"""),"Unknown")</f>
        <v>Unknown</v>
      </c>
      <c r="P490" s="1" t="str">
        <f>IFERROR(__xludf.DUMMYFUNCTION("""COMPUTED_VALUE"""),"")</f>
        <v/>
      </c>
      <c r="Q490" s="1" t="str">
        <f>IFERROR(__xludf.DUMMYFUNCTION("""COMPUTED_VALUE"""),"")</f>
        <v/>
      </c>
      <c r="R490" s="1" t="str">
        <f>IFERROR(__xludf.DUMMYFUNCTION("""COMPUTED_VALUE"""),"")</f>
        <v/>
      </c>
      <c r="S490" s="1" t="str">
        <f>IFERROR(__xludf.DUMMYFUNCTION("""COMPUTED_VALUE"""),"")</f>
        <v/>
      </c>
      <c r="T490" s="1" t="str">
        <f>IFERROR(__xludf.DUMMYFUNCTION("""COMPUTED_VALUE"""),"")</f>
        <v/>
      </c>
      <c r="U490" s="1" t="str">
        <f>IFERROR(__xludf.DUMMYFUNCTION("""COMPUTED_VALUE"""),"")</f>
        <v/>
      </c>
      <c r="V490" s="1" t="str">
        <f>IFERROR(__xludf.DUMMYFUNCTION("""COMPUTED_VALUE"""),"")</f>
        <v/>
      </c>
      <c r="W490" s="1" t="str">
        <f>IFERROR(__xludf.DUMMYFUNCTION("""COMPUTED_VALUE"""),"63")</f>
        <v>63</v>
      </c>
      <c r="X490" s="1" t="str">
        <f>IFERROR(__xludf.DUMMYFUNCTION("""COMPUTED_VALUE"""),"")</f>
        <v/>
      </c>
      <c r="Y490" s="1" t="str">
        <f>IFERROR(__xludf.DUMMYFUNCTION("""COMPUTED_VALUE"""),"")</f>
        <v/>
      </c>
      <c r="Z490" s="1" t="str">
        <f>IFERROR(__xludf.DUMMYFUNCTION("""COMPUTED_VALUE"""),"Yes")</f>
        <v>Yes</v>
      </c>
      <c r="AA490" s="1" t="str">
        <f>IFERROR(__xludf.DUMMYFUNCTION("""COMPUTED_VALUE"""),"")</f>
        <v/>
      </c>
      <c r="AB490" s="1" t="str">
        <f>IFERROR(__xludf.DUMMYFUNCTION("""COMPUTED_VALUE"""),"")</f>
        <v/>
      </c>
      <c r="AC490" s="1" t="str">
        <f>IFERROR(__xludf.DUMMYFUNCTION("""COMPUTED_VALUE"""),"")</f>
        <v/>
      </c>
      <c r="AD490" s="1" t="str">
        <f>IFERROR(__xludf.DUMMYFUNCTION("""COMPUTED_VALUE"""),"")</f>
        <v/>
      </c>
      <c r="AE490" s="1" t="str">
        <f>IFERROR(__xludf.DUMMYFUNCTION("""COMPUTED_VALUE"""),"")</f>
        <v/>
      </c>
      <c r="AF490" s="1" t="str">
        <f>IFERROR(__xludf.DUMMYFUNCTION("""COMPUTED_VALUE"""),"")</f>
        <v/>
      </c>
      <c r="AG490" s="1" t="str">
        <f>IFERROR(__xludf.DUMMYFUNCTION("""COMPUTED_VALUE"""),"")</f>
        <v/>
      </c>
      <c r="AH490" s="1" t="str">
        <f>IFERROR(__xludf.DUMMYFUNCTION("""COMPUTED_VALUE"""),"Media Monitoring")</f>
        <v>Media Monitoring</v>
      </c>
      <c r="AI490" s="2" t="str">
        <f>IFERROR(__xludf.DUMMYFUNCTION("""COMPUTED_VALUE"""),"https://gocolumbiamo.legistar.com/View.ashx?M=F&amp;ID=14838831&amp;GUID=CD9D24B9-05B4-4203-B9BA-8DC02DA95B03")</f>
        <v>https://gocolumbiamo.legistar.com/View.ashx?M=F&amp;ID=14838831&amp;GUID=CD9D24B9-05B4-4203-B9BA-8DC02DA95B03</v>
      </c>
      <c r="AJ490" s="2" t="str">
        <f>IFERROR(__xludf.DUMMYFUNCTION("""COMPUTED_VALUE"""),"https://www.komu.com/news/midmissourinews/columbia-residents-speak-against-rezoning-farm-land-for-possible-data-center/article_c4429655-ed89-51d3-a5df-6e57681b2548.html")</f>
        <v>https://www.komu.com/news/midmissourinews/columbia-residents-speak-against-rezoning-farm-land-for-possible-data-center/article_c4429655-ed89-51d3-a5df-6e57681b2548.html</v>
      </c>
      <c r="AK490" s="1" t="str">
        <f>IFERROR(__xludf.DUMMYFUNCTION("""COMPUTED_VALUE"""),"")</f>
        <v/>
      </c>
      <c r="AL490" s="1" t="str">
        <f>IFERROR(__xludf.DUMMYFUNCTION("""COMPUTED_VALUE"""),"")</f>
        <v/>
      </c>
      <c r="AM490" s="1" t="str">
        <f>IFERROR(__xludf.DUMMYFUNCTION("""COMPUTED_VALUE"""),"")</f>
        <v/>
      </c>
      <c r="AN490" s="1" t="str">
        <f>IFERROR(__xludf.DUMMYFUNCTION("""COMPUTED_VALUE"""),"")</f>
        <v/>
      </c>
      <c r="AO490" s="1" t="str">
        <f>IFERROR(__xludf.DUMMYFUNCTION("""COMPUTED_VALUE"""),"")</f>
        <v/>
      </c>
      <c r="AP490" s="1" t="str">
        <f>IFERROR(__xludf.DUMMYFUNCTION("""COMPUTED_VALUE"""),"")</f>
        <v/>
      </c>
      <c r="AQ490" s="1" t="str">
        <f>IFERROR(__xludf.DUMMYFUNCTION("""COMPUTED_VALUE"""),"11/16/2025")</f>
        <v>11/16/2025</v>
      </c>
      <c r="AR490" s="1" t="str">
        <f>IFERROR(__xludf.DUMMYFUNCTION("""COMPUTED_VALUE"""),"11/16/2025")</f>
        <v>11/16/2025</v>
      </c>
    </row>
    <row r="491">
      <c r="A491" s="1" t="str">
        <f>IFERROR(__xludf.DUMMYFUNCTION("""COMPUTED_VALUE"""),"Festus Data Center")</f>
        <v>Festus Data Center</v>
      </c>
      <c r="B491" s="1" t="str">
        <f>IFERROR(__xludf.DUMMYFUNCTION("""COMPUTED_VALUE"""),"Old England Rd &amp; US-67")</f>
        <v>Old England Rd &amp; US-67</v>
      </c>
      <c r="C491" s="1" t="str">
        <f>IFERROR(__xludf.DUMMYFUNCTION("""COMPUTED_VALUE"""),"Festus")</f>
        <v>Festus</v>
      </c>
      <c r="D491" s="1" t="str">
        <f>IFERROR(__xludf.DUMMYFUNCTION("""COMPUTED_VALUE"""),"MO")</f>
        <v>MO</v>
      </c>
      <c r="E491" s="1" t="str">
        <f>IFERROR(__xludf.DUMMYFUNCTION("""COMPUTED_VALUE"""),"63028")</f>
        <v>63028</v>
      </c>
      <c r="F491" s="1" t="str">
        <f>IFERROR(__xludf.DUMMYFUNCTION("""COMPUTED_VALUE"""),"Jefferson")</f>
        <v>Jefferson</v>
      </c>
      <c r="G491" s="1" t="str">
        <f>IFERROR(__xludf.DUMMYFUNCTION("""COMPUTED_VALUE"""),"38.19273")</f>
        <v>38.19273</v>
      </c>
      <c r="H491" s="1" t="str">
        <f>IFERROR(__xludf.DUMMYFUNCTION("""COMPUTED_VALUE"""),"-90.41881")</f>
        <v>-90.41881</v>
      </c>
      <c r="I491" s="1" t="str">
        <f>IFERROR(__xludf.DUMMYFUNCTION("""COMPUTED_VALUE"""),"Proposed")</f>
        <v>Proposed</v>
      </c>
      <c r="J491" s="1" t="str">
        <f>IFERROR(__xludf.DUMMYFUNCTION("""COMPUTED_VALUE"""),"Medium ")</f>
        <v>Medium </v>
      </c>
      <c r="K491" s="1" t="str">
        <f>IFERROR(__xludf.DUMMYFUNCTION("""COMPUTED_VALUE"""),"")</f>
        <v/>
      </c>
      <c r="L491" s="1" t="str">
        <f>IFERROR(__xludf.DUMMYFUNCTION("""COMPUTED_VALUE"""),"CRG")</f>
        <v>CRG</v>
      </c>
      <c r="M491" s="1" t="str">
        <f>IFERROR(__xludf.DUMMYFUNCTION("""COMPUTED_VALUE"""),"")</f>
        <v/>
      </c>
      <c r="N491" s="1" t="str">
        <f>IFERROR(__xludf.DUMMYFUNCTION("""COMPUTED_VALUE"""),"")</f>
        <v/>
      </c>
      <c r="O491" s="1" t="str">
        <f>IFERROR(__xludf.DUMMYFUNCTION("""COMPUTED_VALUE"""),"Hyperscale (100-999 MW)")</f>
        <v>Hyperscale (100-999 MW)</v>
      </c>
      <c r="P491" s="1" t="str">
        <f>IFERROR(__xludf.DUMMYFUNCTION("""COMPUTED_VALUE"""),"")</f>
        <v/>
      </c>
      <c r="Q491" s="1" t="str">
        <f>IFERROR(__xludf.DUMMYFUNCTION("""COMPUTED_VALUE"""),"")</f>
        <v/>
      </c>
      <c r="R491" s="1" t="str">
        <f>IFERROR(__xludf.DUMMYFUNCTION("""COMPUTED_VALUE"""),"")</f>
        <v/>
      </c>
      <c r="S491" s="1" t="str">
        <f>IFERROR(__xludf.DUMMYFUNCTION("""COMPUTED_VALUE"""),"")</f>
        <v/>
      </c>
      <c r="T491" s="1" t="str">
        <f>IFERROR(__xludf.DUMMYFUNCTION("""COMPUTED_VALUE"""),"")</f>
        <v/>
      </c>
      <c r="U491" s="1" t="str">
        <f>IFERROR(__xludf.DUMMYFUNCTION("""COMPUTED_VALUE"""),"")</f>
        <v/>
      </c>
      <c r="V491" s="1" t="str">
        <f>IFERROR(__xludf.DUMMYFUNCTION("""COMPUTED_VALUE"""),"")</f>
        <v/>
      </c>
      <c r="W491" s="1" t="str">
        <f>IFERROR(__xludf.DUMMYFUNCTION("""COMPUTED_VALUE"""),"360")</f>
        <v>360</v>
      </c>
      <c r="X491" s="1" t="str">
        <f>IFERROR(__xludf.DUMMYFUNCTION("""COMPUTED_VALUE"""),"$6 billion")</f>
        <v>$6 billion</v>
      </c>
      <c r="Y491" s="1" t="str">
        <f>IFERROR(__xludf.DUMMYFUNCTION("""COMPUTED_VALUE"""),"")</f>
        <v/>
      </c>
      <c r="Z491" s="1" t="str">
        <f>IFERROR(__xludf.DUMMYFUNCTION("""COMPUTED_VALUE"""),"Yes")</f>
        <v>Yes</v>
      </c>
      <c r="AA491" s="1" t="str">
        <f>IFERROR(__xludf.DUMMYFUNCTION("""COMPUTED_VALUE"""),"Wake Up JeffCo ")</f>
        <v>Wake Up JeffCo </v>
      </c>
      <c r="AB491" s="1" t="str">
        <f>IFERROR(__xludf.DUMMYFUNCTION("""COMPUTED_VALUE"""),"")</f>
        <v/>
      </c>
      <c r="AC491" s="1" t="str">
        <f>IFERROR(__xludf.DUMMYFUNCTION("""COMPUTED_VALUE"""),"")</f>
        <v/>
      </c>
      <c r="AD491" s="1" t="str">
        <f>IFERROR(__xludf.DUMMYFUNCTION("""COMPUTED_VALUE"""),"")</f>
        <v/>
      </c>
      <c r="AE491" s="1" t="str">
        <f>IFERROR(__xludf.DUMMYFUNCTION("""COMPUTED_VALUE"""),"")</f>
        <v/>
      </c>
      <c r="AF491" s="1" t="str">
        <f>IFERROR(__xludf.DUMMYFUNCTION("""COMPUTED_VALUE"""),"")</f>
        <v/>
      </c>
      <c r="AG491" s="1" t="str">
        <f>IFERROR(__xludf.DUMMYFUNCTION("""COMPUTED_VALUE"""),"Pushback from public resulted in overturning entire city council in election.  Citizen group lawsuit")</f>
        <v>Pushback from public resulted in overturning entire city council in election.  Citizen group lawsuit</v>
      </c>
      <c r="AH491" s="1" t="str">
        <f>IFERROR(__xludf.DUMMYFUNCTION("""COMPUTED_VALUE"""),"Media Monitoring")</f>
        <v>Media Monitoring</v>
      </c>
      <c r="AI491" s="2" t="str">
        <f>IFERROR(__xludf.DUMMYFUNCTION("""COMPUTED_VALUE"""),"https://www.stlpr.org/government-politics-issues/2026-02-27/festus-leaders-next-step-approving-proposed-data-center")</f>
        <v>https://www.stlpr.org/government-politics-issues/2026-02-27/festus-leaders-next-step-approving-proposed-data-center</v>
      </c>
      <c r="AJ491" s="2" t="str">
        <f>IFERROR(__xludf.DUMMYFUNCTION("""COMPUTED_VALUE"""),"https://www.stlpr.org/government-politics-issues/2026-02-27/festus-leaders-next-step-approving-proposed-data-center")</f>
        <v>https://www.stlpr.org/government-politics-issues/2026-02-27/festus-leaders-next-step-approving-proposed-data-center</v>
      </c>
      <c r="AK491" s="2" t="str">
        <f>IFERROR(__xludf.DUMMYFUNCTION("""COMPUTED_VALUE"""),"https://www.stlpr.org/government-politics-issues/2026-04-10/data-center-opposition-group-sues-city-festus-proposed-developer")</f>
        <v>https://www.stlpr.org/government-politics-issues/2026-04-10/data-center-opposition-group-sues-city-festus-proposed-developer</v>
      </c>
      <c r="AL491" s="1" t="str">
        <f>IFERROR(__xludf.DUMMYFUNCTION("""COMPUTED_VALUE"""),"")</f>
        <v/>
      </c>
      <c r="AM491" s="1" t="str">
        <f>IFERROR(__xludf.DUMMYFUNCTION("""COMPUTED_VALUE"""),"")</f>
        <v/>
      </c>
      <c r="AN491" s="1" t="str">
        <f>IFERROR(__xludf.DUMMYFUNCTION("""COMPUTED_VALUE"""),"")</f>
        <v/>
      </c>
      <c r="AO491" s="1" t="str">
        <f>IFERROR(__xludf.DUMMYFUNCTION("""COMPUTED_VALUE"""),"")</f>
        <v/>
      </c>
      <c r="AP491" s="1" t="str">
        <f>IFERROR(__xludf.DUMMYFUNCTION("""COMPUTED_VALUE"""),"")</f>
        <v/>
      </c>
      <c r="AQ491" s="1" t="str">
        <f>IFERROR(__xludf.DUMMYFUNCTION("""COMPUTED_VALUE"""),"04/12/2026")</f>
        <v>04/12/2026</v>
      </c>
      <c r="AR491" s="1" t="str">
        <f>IFERROR(__xludf.DUMMYFUNCTION("""COMPUTED_VALUE"""),"04/12/2026")</f>
        <v>04/12/2026</v>
      </c>
    </row>
    <row r="492">
      <c r="A492" s="1" t="str">
        <f>IFERROR(__xludf.DUMMYFUNCTION("""COMPUTED_VALUE"""),"Nebius Data Center")</f>
        <v>Nebius Data Center</v>
      </c>
      <c r="B492" s="1" t="str">
        <f>IFERROR(__xludf.DUMMYFUNCTION("""COMPUTED_VALUE"""),"2501 E Necessary Rd")</f>
        <v>2501 E Necessary Rd</v>
      </c>
      <c r="C492" s="1" t="str">
        <f>IFERROR(__xludf.DUMMYFUNCTION("""COMPUTED_VALUE"""),"Independence")</f>
        <v>Independence</v>
      </c>
      <c r="D492" s="1" t="str">
        <f>IFERROR(__xludf.DUMMYFUNCTION("""COMPUTED_VALUE"""),"MO")</f>
        <v>MO</v>
      </c>
      <c r="E492" s="1" t="str">
        <f>IFERROR(__xludf.DUMMYFUNCTION("""COMPUTED_VALUE"""),"64057")</f>
        <v>64057</v>
      </c>
      <c r="F492" s="1" t="str">
        <f>IFERROR(__xludf.DUMMYFUNCTION("""COMPUTED_VALUE"""),"Jackson")</f>
        <v>Jackson</v>
      </c>
      <c r="G492" s="1" t="str">
        <f>IFERROR(__xludf.DUMMYFUNCTION("""COMPUTED_VALUE"""),"39.073467")</f>
        <v>39.073467</v>
      </c>
      <c r="H492" s="1" t="str">
        <f>IFERROR(__xludf.DUMMYFUNCTION("""COMPUTED_VALUE"""),"-94.332855")</f>
        <v>-94.332855</v>
      </c>
      <c r="I492" s="1" t="str">
        <f>IFERROR(__xludf.DUMMYFUNCTION("""COMPUTED_VALUE"""),"Approved/Permitted/Under construction")</f>
        <v>Approved/Permitted/Under construction</v>
      </c>
      <c r="J492" s="1" t="str">
        <f>IFERROR(__xludf.DUMMYFUNCTION("""COMPUTED_VALUE"""),"High")</f>
        <v>High</v>
      </c>
      <c r="K492" s="1" t="str">
        <f>IFERROR(__xludf.DUMMYFUNCTION("""COMPUTED_VALUE"""),"cloud, high-density compute, software and data center solutions.")</f>
        <v>cloud, high-density compute, software and data center solutions.</v>
      </c>
      <c r="L492" s="1" t="str">
        <f>IFERROR(__xludf.DUMMYFUNCTION("""COMPUTED_VALUE"""),"Patmos")</f>
        <v>Patmos</v>
      </c>
      <c r="M492" s="1" t="str">
        <f>IFERROR(__xludf.DUMMYFUNCTION("""COMPUTED_VALUE"""),"")</f>
        <v/>
      </c>
      <c r="N492" s="1" t="str">
        <f>IFERROR(__xludf.DUMMYFUNCTION("""COMPUTED_VALUE"""),"880")</f>
        <v>880</v>
      </c>
      <c r="O492" s="1" t="str">
        <f>IFERROR(__xludf.DUMMYFUNCTION("""COMPUTED_VALUE"""),"Hyperscale (100-999 MW)")</f>
        <v>Hyperscale (100-999 MW)</v>
      </c>
      <c r="P492" s="1" t="str">
        <f>IFERROR(__xludf.DUMMYFUNCTION("""COMPUTED_VALUE"""),"")</f>
        <v/>
      </c>
      <c r="Q492" s="1" t="str">
        <f>IFERROR(__xludf.DUMMYFUNCTION("""COMPUTED_VALUE"""),"")</f>
        <v/>
      </c>
      <c r="R492" s="1" t="str">
        <f>IFERROR(__xludf.DUMMYFUNCTION("""COMPUTED_VALUE"""),"")</f>
        <v/>
      </c>
      <c r="S492" s="1" t="str">
        <f>IFERROR(__xludf.DUMMYFUNCTION("""COMPUTED_VALUE"""),"10")</f>
        <v>10</v>
      </c>
      <c r="T492" s="1" t="str">
        <f>IFERROR(__xludf.DUMMYFUNCTION("""COMPUTED_VALUE"""),"")</f>
        <v/>
      </c>
      <c r="U492" s="1" t="str">
        <f>IFERROR(__xludf.DUMMYFUNCTION("""COMPUTED_VALUE"""),"Closed loop")</f>
        <v>Closed loop</v>
      </c>
      <c r="V492" s="1" t="str">
        <f>IFERROR(__xludf.DUMMYFUNCTION("""COMPUTED_VALUE"""),"2,500,000")</f>
        <v>2,500,000</v>
      </c>
      <c r="W492" s="1" t="str">
        <f>IFERROR(__xludf.DUMMYFUNCTION("""COMPUTED_VALUE"""),"")</f>
        <v/>
      </c>
      <c r="X492" s="1" t="str">
        <f>IFERROR(__xludf.DUMMYFUNCTION("""COMPUTED_VALUE"""),"$150 billion")</f>
        <v>$150 billion</v>
      </c>
      <c r="Y492" s="1" t="str">
        <f>IFERROR(__xludf.DUMMYFUNCTION("""COMPUTED_VALUE"""),"")</f>
        <v/>
      </c>
      <c r="Z492" s="1" t="str">
        <f>IFERROR(__xludf.DUMMYFUNCTION("""COMPUTED_VALUE"""),"Yes")</f>
        <v>Yes</v>
      </c>
      <c r="AA492" s="1" t="str">
        <f>IFERROR(__xludf.DUMMYFUNCTION("""COMPUTED_VALUE"""),"")</f>
        <v/>
      </c>
      <c r="AB492" s="1" t="str">
        <f>IFERROR(__xludf.DUMMYFUNCTION("""COMPUTED_VALUE"""),"")</f>
        <v/>
      </c>
      <c r="AC492" s="1" t="str">
        <f>IFERROR(__xludf.DUMMYFUNCTION("""COMPUTED_VALUE"""),"")</f>
        <v/>
      </c>
      <c r="AD492" s="1" t="str">
        <f>IFERROR(__xludf.DUMMYFUNCTION("""COMPUTED_VALUE"""),"")</f>
        <v/>
      </c>
      <c r="AE492" s="1" t="str">
        <f>IFERROR(__xludf.DUMMYFUNCTION("""COMPUTED_VALUE"""),"")</f>
        <v/>
      </c>
      <c r="AF492" s="2" t="str">
        <f>IFERROR(__xludf.DUMMYFUNCTION("""COMPUTED_VALUE"""),"https://www.change.org/p/stop-the-ai-datacenter-in-independence-missouri")</f>
        <v>https://www.change.org/p/stop-the-ai-datacenter-in-independence-missouri</v>
      </c>
      <c r="AG492" s="1" t="str">
        <f>IFERROR(__xludf.DUMMYFUNCTION("""COMPUTED_VALUE"""),"98% property tax abatement")</f>
        <v>98% property tax abatement</v>
      </c>
      <c r="AH492" s="1" t="str">
        <f>IFERROR(__xludf.DUMMYFUNCTION("""COMPUTED_VALUE"""),"Media Monitoring")</f>
        <v>Media Monitoring</v>
      </c>
      <c r="AI492" s="2" t="str">
        <f>IFERROR(__xludf.DUMMYFUNCTION("""COMPUTED_VALUE"""),"https://www.datacenterdynamics.com/en/news/nebius-plans-800mw-data-center-campus-in-kansas-city-missouri/")</f>
        <v>https://www.datacenterdynamics.com/en/news/nebius-plans-800mw-data-center-campus-in-kansas-city-missouri/</v>
      </c>
      <c r="AJ492" s="2" t="str">
        <f>IFERROR(__xludf.DUMMYFUNCTION("""COMPUTED_VALUE"""),"https://www.kmbc.com/article/independence-nebius-data-center-construction-electricity-approval-resident-concerns/70082962")</f>
        <v>https://www.kmbc.com/article/independence-nebius-data-center-construction-electricity-approval-resident-concerns/70082962</v>
      </c>
      <c r="AK492" s="2" t="str">
        <f>IFERROR(__xludf.DUMMYFUNCTION("""COMPUTED_VALUE"""),"https://nebius.com/blog/posts/nebius-opens-first-availability-zone-in-us")</f>
        <v>https://nebius.com/blog/posts/nebius-opens-first-availability-zone-in-us</v>
      </c>
      <c r="AL492" s="2" t="str">
        <f>IFERROR(__xludf.DUMMYFUNCTION("""COMPUTED_VALUE"""),"https://www.datacenterdynamics.com/en/news/150bn-in-industrial-development-revenue-bonds-tax-breaks-approved-for-800mw-nebius-data-center-in-missouri/")</f>
        <v>https://www.datacenterdynamics.com/en/news/150bn-in-industrial-development-revenue-bonds-tax-breaks-approved-for-800mw-nebius-data-center-in-missouri/</v>
      </c>
      <c r="AM492" s="2" t="str">
        <f>IFERROR(__xludf.DUMMYFUNCTION("""COMPUTED_VALUE"""),"https://www.datacenterdynamics.com/en/news/nebius-breaks-ground-on-400-acre-data-center-campus-in-independence-missouri/")</f>
        <v>https://www.datacenterdynamics.com/en/news/nebius-breaks-ground-on-400-acre-data-center-campus-in-independence-missouri/</v>
      </c>
      <c r="AN492" s="1" t="str">
        <f>IFERROR(__xludf.DUMMYFUNCTION("""COMPUTED_VALUE"""),"")</f>
        <v/>
      </c>
      <c r="AO492" s="1" t="str">
        <f>IFERROR(__xludf.DUMMYFUNCTION("""COMPUTED_VALUE"""),"")</f>
        <v/>
      </c>
      <c r="AP492" s="1" t="str">
        <f>IFERROR(__xludf.DUMMYFUNCTION("""COMPUTED_VALUE"""),"")</f>
        <v/>
      </c>
      <c r="AQ492" s="1" t="str">
        <f>IFERROR(__xludf.DUMMYFUNCTION("""COMPUTED_VALUE"""),"01/13/2026")</f>
        <v>01/13/2026</v>
      </c>
      <c r="AR492" s="1" t="str">
        <f>IFERROR(__xludf.DUMMYFUNCTION("""COMPUTED_VALUE"""),"05/17/2026")</f>
        <v>05/17/2026</v>
      </c>
    </row>
    <row r="493">
      <c r="A493" s="1" t="str">
        <f>IFERROR(__xludf.DUMMYFUNCTION("""COMPUTED_VALUE"""),"Patmos Data Center")</f>
        <v>Patmos Data Center</v>
      </c>
      <c r="B493" s="1" t="str">
        <f>IFERROR(__xludf.DUMMYFUNCTION("""COMPUTED_VALUE"""),"2500 Little Blue Parkway")</f>
        <v>2500 Little Blue Parkway</v>
      </c>
      <c r="C493" s="1" t="str">
        <f>IFERROR(__xludf.DUMMYFUNCTION("""COMPUTED_VALUE"""),"Independence")</f>
        <v>Independence</v>
      </c>
      <c r="D493" s="1" t="str">
        <f>IFERROR(__xludf.DUMMYFUNCTION("""COMPUTED_VALUE"""),"MO")</f>
        <v>MO</v>
      </c>
      <c r="E493" s="1" t="str">
        <f>IFERROR(__xludf.DUMMYFUNCTION("""COMPUTED_VALUE"""),"64057")</f>
        <v>64057</v>
      </c>
      <c r="F493" s="1" t="str">
        <f>IFERROR(__xludf.DUMMYFUNCTION("""COMPUTED_VALUE"""),"Jackson")</f>
        <v>Jackson</v>
      </c>
      <c r="G493" s="1" t="str">
        <f>IFERROR(__xludf.DUMMYFUNCTION("""COMPUTED_VALUE"""),"39.07151")</f>
        <v>39.07151</v>
      </c>
      <c r="H493" s="1" t="str">
        <f>IFERROR(__xludf.DUMMYFUNCTION("""COMPUTED_VALUE"""),"-94.32874")</f>
        <v>-94.32874</v>
      </c>
      <c r="I493" s="1" t="str">
        <f>IFERROR(__xludf.DUMMYFUNCTION("""COMPUTED_VALUE"""),"Proposed")</f>
        <v>Proposed</v>
      </c>
      <c r="J493" s="1" t="str">
        <f>IFERROR(__xludf.DUMMYFUNCTION("""COMPUTED_VALUE"""),"High")</f>
        <v>High</v>
      </c>
      <c r="K493" s="1" t="str">
        <f>IFERROR(__xludf.DUMMYFUNCTION("""COMPUTED_VALUE"""),"")</f>
        <v/>
      </c>
      <c r="L493" s="1" t="str">
        <f>IFERROR(__xludf.DUMMYFUNCTION("""COMPUTED_VALUE"""),"")</f>
        <v/>
      </c>
      <c r="M493" s="1" t="str">
        <f>IFERROR(__xludf.DUMMYFUNCTION("""COMPUTED_VALUE"""),"")</f>
        <v/>
      </c>
      <c r="N493" s="1" t="str">
        <f>IFERROR(__xludf.DUMMYFUNCTION("""COMPUTED_VALUE"""),"")</f>
        <v/>
      </c>
      <c r="O493" s="1" t="str">
        <f>IFERROR(__xludf.DUMMYFUNCTION("""COMPUTED_VALUE"""),"Unknown")</f>
        <v>Unknown</v>
      </c>
      <c r="P493" s="1" t="str">
        <f>IFERROR(__xludf.DUMMYFUNCTION("""COMPUTED_VALUE"""),"")</f>
        <v/>
      </c>
      <c r="Q493" s="1" t="str">
        <f>IFERROR(__xludf.DUMMYFUNCTION("""COMPUTED_VALUE"""),"")</f>
        <v/>
      </c>
      <c r="R493" s="1" t="str">
        <f>IFERROR(__xludf.DUMMYFUNCTION("""COMPUTED_VALUE"""),"")</f>
        <v/>
      </c>
      <c r="S493" s="1" t="str">
        <f>IFERROR(__xludf.DUMMYFUNCTION("""COMPUTED_VALUE"""),"")</f>
        <v/>
      </c>
      <c r="T493" s="1" t="str">
        <f>IFERROR(__xludf.DUMMYFUNCTION("""COMPUTED_VALUE"""),"")</f>
        <v/>
      </c>
      <c r="U493" s="1" t="str">
        <f>IFERROR(__xludf.DUMMYFUNCTION("""COMPUTED_VALUE"""),"")</f>
        <v/>
      </c>
      <c r="V493" s="1" t="str">
        <f>IFERROR(__xludf.DUMMYFUNCTION("""COMPUTED_VALUE"""),"")</f>
        <v/>
      </c>
      <c r="W493" s="1" t="str">
        <f>IFERROR(__xludf.DUMMYFUNCTION("""COMPUTED_VALUE"""),"")</f>
        <v/>
      </c>
      <c r="X493" s="1" t="str">
        <f>IFERROR(__xludf.DUMMYFUNCTION("""COMPUTED_VALUE"""),"$107 million")</f>
        <v>$107 million</v>
      </c>
      <c r="Y493" s="1" t="str">
        <f>IFERROR(__xludf.DUMMYFUNCTION("""COMPUTED_VALUE"""),"")</f>
        <v/>
      </c>
      <c r="Z493" s="1" t="str">
        <f>IFERROR(__xludf.DUMMYFUNCTION("""COMPUTED_VALUE"""),"Unknown")</f>
        <v>Unknown</v>
      </c>
      <c r="AA493" s="1" t="str">
        <f>IFERROR(__xludf.DUMMYFUNCTION("""COMPUTED_VALUE"""),"")</f>
        <v/>
      </c>
      <c r="AB493" s="1" t="str">
        <f>IFERROR(__xludf.DUMMYFUNCTION("""COMPUTED_VALUE"""),"")</f>
        <v/>
      </c>
      <c r="AC493" s="1" t="str">
        <f>IFERROR(__xludf.DUMMYFUNCTION("""COMPUTED_VALUE"""),"")</f>
        <v/>
      </c>
      <c r="AD493" s="1" t="str">
        <f>IFERROR(__xludf.DUMMYFUNCTION("""COMPUTED_VALUE"""),"")</f>
        <v/>
      </c>
      <c r="AE493" s="1" t="str">
        <f>IFERROR(__xludf.DUMMYFUNCTION("""COMPUTED_VALUE"""),"")</f>
        <v/>
      </c>
      <c r="AF493" s="1" t="str">
        <f>IFERROR(__xludf.DUMMYFUNCTION("""COMPUTED_VALUE"""),"")</f>
        <v/>
      </c>
      <c r="AG493" s="1" t="str">
        <f>IFERROR(__xludf.DUMMYFUNCTION("""COMPUTED_VALUE"""),"")</f>
        <v/>
      </c>
      <c r="AH493" s="1" t="str">
        <f>IFERROR(__xludf.DUMMYFUNCTION("""COMPUTED_VALUE"""),"Media Monitoring")</f>
        <v>Media Monitoring</v>
      </c>
      <c r="AI493" s="2" t="str">
        <f>IFERROR(__xludf.DUMMYFUNCTION("""COMPUTED_VALUE"""),"https://www.datacenterdynamics.com/en/news/patmos-to-build-new-data-center-in-independence-missouri-as-city-moratorium-discussed/")</f>
        <v>https://www.datacenterdynamics.com/en/news/patmos-to-build-new-data-center-in-independence-missouri-as-city-moratorium-discussed/</v>
      </c>
      <c r="AJ493" s="1" t="str">
        <f>IFERROR(__xludf.DUMMYFUNCTION("""COMPUTED_VALUE"""),"")</f>
        <v/>
      </c>
      <c r="AK493" s="1" t="str">
        <f>IFERROR(__xludf.DUMMYFUNCTION("""COMPUTED_VALUE"""),"")</f>
        <v/>
      </c>
      <c r="AL493" s="1" t="str">
        <f>IFERROR(__xludf.DUMMYFUNCTION("""COMPUTED_VALUE"""),"")</f>
        <v/>
      </c>
      <c r="AM493" s="1" t="str">
        <f>IFERROR(__xludf.DUMMYFUNCTION("""COMPUTED_VALUE"""),"")</f>
        <v/>
      </c>
      <c r="AN493" s="1" t="str">
        <f>IFERROR(__xludf.DUMMYFUNCTION("""COMPUTED_VALUE"""),"")</f>
        <v/>
      </c>
      <c r="AO493" s="1" t="str">
        <f>IFERROR(__xludf.DUMMYFUNCTION("""COMPUTED_VALUE"""),"")</f>
        <v/>
      </c>
      <c r="AP493" s="1" t="str">
        <f>IFERROR(__xludf.DUMMYFUNCTION("""COMPUTED_VALUE"""),"")</f>
        <v/>
      </c>
      <c r="AQ493" s="1" t="str">
        <f>IFERROR(__xludf.DUMMYFUNCTION("""COMPUTED_VALUE"""),"06/29/2026")</f>
        <v>06/29/2026</v>
      </c>
      <c r="AR493" s="1" t="str">
        <f>IFERROR(__xludf.DUMMYFUNCTION("""COMPUTED_VALUE"""),"06/29/2026")</f>
        <v>06/29/2026</v>
      </c>
    </row>
    <row r="494">
      <c r="A494" s="1" t="str">
        <f>IFERROR(__xludf.DUMMYFUNCTION("""COMPUTED_VALUE"""),"Wildwood Ranch Data Center")</f>
        <v>Wildwood Ranch Data Center</v>
      </c>
      <c r="B494" s="1" t="str">
        <f>IFERROR(__xludf.DUMMYFUNCTION("""COMPUTED_VALUE"""),"W 20th St")</f>
        <v>W 20th St</v>
      </c>
      <c r="C494" s="1" t="str">
        <f>IFERROR(__xludf.DUMMYFUNCTION("""COMPUTED_VALUE"""),"Joplin")</f>
        <v>Joplin</v>
      </c>
      <c r="D494" s="1" t="str">
        <f>IFERROR(__xludf.DUMMYFUNCTION("""COMPUTED_VALUE"""),"MO")</f>
        <v>MO</v>
      </c>
      <c r="E494" s="1" t="str">
        <f>IFERROR(__xludf.DUMMYFUNCTION("""COMPUTED_VALUE"""),"64804")</f>
        <v>64804</v>
      </c>
      <c r="F494" s="1" t="str">
        <f>IFERROR(__xludf.DUMMYFUNCTION("""COMPUTED_VALUE"""),"Jasper")</f>
        <v>Jasper</v>
      </c>
      <c r="G494" s="1" t="str">
        <f>IFERROR(__xludf.DUMMYFUNCTION("""COMPUTED_VALUE"""),"37.06882")</f>
        <v>37.06882</v>
      </c>
      <c r="H494" s="1" t="str">
        <f>IFERROR(__xludf.DUMMYFUNCTION("""COMPUTED_VALUE"""),"-94.60008")</f>
        <v>-94.60008</v>
      </c>
      <c r="I494" s="1" t="str">
        <f>IFERROR(__xludf.DUMMYFUNCTION("""COMPUTED_VALUE"""),"Approved/Permitted/Under construction")</f>
        <v>Approved/Permitted/Under construction</v>
      </c>
      <c r="J494" s="1" t="str">
        <f>IFERROR(__xludf.DUMMYFUNCTION("""COMPUTED_VALUE"""),"High")</f>
        <v>High</v>
      </c>
      <c r="K494" s="1" t="str">
        <f>IFERROR(__xludf.DUMMYFUNCTION("""COMPUTED_VALUE"""),"")</f>
        <v/>
      </c>
      <c r="L494" s="1" t="str">
        <f>IFERROR(__xludf.DUMMYFUNCTION("""COMPUTED_VALUE"""),"")</f>
        <v/>
      </c>
      <c r="M494" s="1" t="str">
        <f>IFERROR(__xludf.DUMMYFUNCTION("""COMPUTED_VALUE"""),"")</f>
        <v/>
      </c>
      <c r="N494" s="1" t="str">
        <f>IFERROR(__xludf.DUMMYFUNCTION("""COMPUTED_VALUE"""),"200")</f>
        <v>200</v>
      </c>
      <c r="O494" s="1" t="str">
        <f>IFERROR(__xludf.DUMMYFUNCTION("""COMPUTED_VALUE"""),"Hyperscale (100-999 MW)")</f>
        <v>Hyperscale (100-999 MW)</v>
      </c>
      <c r="P494" s="1" t="str">
        <f>IFERROR(__xludf.DUMMYFUNCTION("""COMPUTED_VALUE"""),"")</f>
        <v/>
      </c>
      <c r="Q494" s="1" t="str">
        <f>IFERROR(__xludf.DUMMYFUNCTION("""COMPUTED_VALUE"""),"")</f>
        <v/>
      </c>
      <c r="R494" s="1" t="str">
        <f>IFERROR(__xludf.DUMMYFUNCTION("""COMPUTED_VALUE"""),"")</f>
        <v/>
      </c>
      <c r="S494" s="1" t="str">
        <f>IFERROR(__xludf.DUMMYFUNCTION("""COMPUTED_VALUE"""),"")</f>
        <v/>
      </c>
      <c r="T494" s="1" t="str">
        <f>IFERROR(__xludf.DUMMYFUNCTION("""COMPUTED_VALUE"""),"")</f>
        <v/>
      </c>
      <c r="U494" s="1" t="str">
        <f>IFERROR(__xludf.DUMMYFUNCTION("""COMPUTED_VALUE"""),"")</f>
        <v/>
      </c>
      <c r="V494" s="1" t="str">
        <f>IFERROR(__xludf.DUMMYFUNCTION("""COMPUTED_VALUE"""),"")</f>
        <v/>
      </c>
      <c r="W494" s="1" t="str">
        <f>IFERROR(__xludf.DUMMYFUNCTION("""COMPUTED_VALUE"""),"600")</f>
        <v>600</v>
      </c>
      <c r="X494" s="1" t="str">
        <f>IFERROR(__xludf.DUMMYFUNCTION("""COMPUTED_VALUE"""),"")</f>
        <v/>
      </c>
      <c r="Y494" s="1" t="str">
        <f>IFERROR(__xludf.DUMMYFUNCTION("""COMPUTED_VALUE"""),"")</f>
        <v/>
      </c>
      <c r="Z494" s="1" t="str">
        <f>IFERROR(__xludf.DUMMYFUNCTION("""COMPUTED_VALUE"""),"Yes")</f>
        <v>Yes</v>
      </c>
      <c r="AA494" s="1" t="str">
        <f>IFERROR(__xludf.DUMMYFUNCTION("""COMPUTED_VALUE"""),"")</f>
        <v/>
      </c>
      <c r="AB494" s="1" t="str">
        <f>IFERROR(__xludf.DUMMYFUNCTION("""COMPUTED_VALUE"""),"")</f>
        <v/>
      </c>
      <c r="AC494" s="1" t="str">
        <f>IFERROR(__xludf.DUMMYFUNCTION("""COMPUTED_VALUE"""),"")</f>
        <v/>
      </c>
      <c r="AD494" s="1" t="str">
        <f>IFERROR(__xludf.DUMMYFUNCTION("""COMPUTED_VALUE"""),"")</f>
        <v/>
      </c>
      <c r="AE494" s="1" t="str">
        <f>IFERROR(__xludf.DUMMYFUNCTION("""COMPUTED_VALUE"""),"")</f>
        <v/>
      </c>
      <c r="AF494" s="2" t="str">
        <f>IFERROR(__xludf.DUMMYFUNCTION("""COMPUTED_VALUE"""),"https://www.change.org/p/stop-the-wildwood-ranch-data-center-project-in-joplin-mo")</f>
        <v>https://www.change.org/p/stop-the-wildwood-ranch-data-center-project-in-joplin-mo</v>
      </c>
      <c r="AG494" s="1" t="str">
        <f>IFERROR(__xludf.DUMMYFUNCTION("""COMPUTED_VALUE"""),"")</f>
        <v/>
      </c>
      <c r="AH494" s="1" t="str">
        <f>IFERROR(__xludf.DUMMYFUNCTION("""COMPUTED_VALUE"""),"Media Monitoring")</f>
        <v>Media Monitoring</v>
      </c>
      <c r="AI494" s="2" t="str">
        <f>IFERROR(__xludf.DUMMYFUNCTION("""COMPUTED_VALUE"""),"https://www.datacenterdynamics.com/en/news/officials-in-joplin-missouri-greenlight-rezoning-request-for-potential-data-center/")</f>
        <v>https://www.datacenterdynamics.com/en/news/officials-in-joplin-missouri-greenlight-rezoning-request-for-potential-data-center/</v>
      </c>
      <c r="AJ494" s="1" t="str">
        <f>IFERROR(__xludf.DUMMYFUNCTION("""COMPUTED_VALUE"""),"")</f>
        <v/>
      </c>
      <c r="AK494" s="1" t="str">
        <f>IFERROR(__xludf.DUMMYFUNCTION("""COMPUTED_VALUE"""),"")</f>
        <v/>
      </c>
      <c r="AL494" s="1" t="str">
        <f>IFERROR(__xludf.DUMMYFUNCTION("""COMPUTED_VALUE"""),"")</f>
        <v/>
      </c>
      <c r="AM494" s="1" t="str">
        <f>IFERROR(__xludf.DUMMYFUNCTION("""COMPUTED_VALUE"""),"")</f>
        <v/>
      </c>
      <c r="AN494" s="1" t="str">
        <f>IFERROR(__xludf.DUMMYFUNCTION("""COMPUTED_VALUE"""),"")</f>
        <v/>
      </c>
      <c r="AO494" s="1" t="str">
        <f>IFERROR(__xludf.DUMMYFUNCTION("""COMPUTED_VALUE"""),"")</f>
        <v/>
      </c>
      <c r="AP494" s="1" t="str">
        <f>IFERROR(__xludf.DUMMYFUNCTION("""COMPUTED_VALUE"""),"")</f>
        <v/>
      </c>
      <c r="AQ494" s="1" t="str">
        <f>IFERROR(__xludf.DUMMYFUNCTION("""COMPUTED_VALUE"""),"01/23/2026")</f>
        <v>01/23/2026</v>
      </c>
      <c r="AR494" s="1" t="str">
        <f>IFERROR(__xludf.DUMMYFUNCTION("""COMPUTED_VALUE"""),"01/23/2026")</f>
        <v>01/23/2026</v>
      </c>
    </row>
    <row r="495">
      <c r="A495" s="1" t="str">
        <f>IFERROR(__xludf.DUMMYFUNCTION("""COMPUTED_VALUE"""),"Cielo Digital Infrastructure")</f>
        <v>Cielo Digital Infrastructure</v>
      </c>
      <c r="B495" s="1" t="str">
        <f>IFERROR(__xludf.DUMMYFUNCTION("""COMPUTED_VALUE"""),"")</f>
        <v/>
      </c>
      <c r="C495" s="1" t="str">
        <f>IFERROR(__xludf.DUMMYFUNCTION("""COMPUTED_VALUE"""),"Kansas City")</f>
        <v>Kansas City</v>
      </c>
      <c r="D495" s="1" t="str">
        <f>IFERROR(__xludf.DUMMYFUNCTION("""COMPUTED_VALUE"""),"MO")</f>
        <v>MO</v>
      </c>
      <c r="E495" s="1" t="str">
        <f>IFERROR(__xludf.DUMMYFUNCTION("""COMPUTED_VALUE"""),"")</f>
        <v/>
      </c>
      <c r="F495" s="1" t="str">
        <f>IFERROR(__xludf.DUMMYFUNCTION("""COMPUTED_VALUE"""),"Jackson")</f>
        <v>Jackson</v>
      </c>
      <c r="G495" s="1" t="str">
        <f>IFERROR(__xludf.DUMMYFUNCTION("""COMPUTED_VALUE"""),"39.01764")</f>
        <v>39.01764</v>
      </c>
      <c r="H495" s="1" t="str">
        <f>IFERROR(__xludf.DUMMYFUNCTION("""COMPUTED_VALUE"""),"-94.5668")</f>
        <v>-94.5668</v>
      </c>
      <c r="I495" s="1" t="str">
        <f>IFERROR(__xludf.DUMMYFUNCTION("""COMPUTED_VALUE"""),"Proposed")</f>
        <v>Proposed</v>
      </c>
      <c r="J495" s="1" t="str">
        <f>IFERROR(__xludf.DUMMYFUNCTION("""COMPUTED_VALUE"""),"Low")</f>
        <v>Low</v>
      </c>
      <c r="K495" s="1" t="str">
        <f>IFERROR(__xludf.DUMMYFUNCTION("""COMPUTED_VALUE"""),"")</f>
        <v/>
      </c>
      <c r="L495" s="1" t="str">
        <f>IFERROR(__xludf.DUMMYFUNCTION("""COMPUTED_VALUE"""),"")</f>
        <v/>
      </c>
      <c r="M495" s="1" t="str">
        <f>IFERROR(__xludf.DUMMYFUNCTION("""COMPUTED_VALUE"""),"")</f>
        <v/>
      </c>
      <c r="N495" s="1" t="str">
        <f>IFERROR(__xludf.DUMMYFUNCTION("""COMPUTED_VALUE"""),"500")</f>
        <v>500</v>
      </c>
      <c r="O495" s="1" t="str">
        <f>IFERROR(__xludf.DUMMYFUNCTION("""COMPUTED_VALUE"""),"Hyperscale (100-999 MW)")</f>
        <v>Hyperscale (100-999 MW)</v>
      </c>
      <c r="P495" s="1" t="str">
        <f>IFERROR(__xludf.DUMMYFUNCTION("""COMPUTED_VALUE"""),"")</f>
        <v/>
      </c>
      <c r="Q495" s="1" t="str">
        <f>IFERROR(__xludf.DUMMYFUNCTION("""COMPUTED_VALUE"""),"")</f>
        <v/>
      </c>
      <c r="R495" s="1" t="str">
        <f>IFERROR(__xludf.DUMMYFUNCTION("""COMPUTED_VALUE"""),"")</f>
        <v/>
      </c>
      <c r="S495" s="1" t="str">
        <f>IFERROR(__xludf.DUMMYFUNCTION("""COMPUTED_VALUE"""),"")</f>
        <v/>
      </c>
      <c r="T495" s="1" t="str">
        <f>IFERROR(__xludf.DUMMYFUNCTION("""COMPUTED_VALUE"""),"")</f>
        <v/>
      </c>
      <c r="U495" s="1" t="str">
        <f>IFERROR(__xludf.DUMMYFUNCTION("""COMPUTED_VALUE"""),"")</f>
        <v/>
      </c>
      <c r="V495" s="1" t="str">
        <f>IFERROR(__xludf.DUMMYFUNCTION("""COMPUTED_VALUE"""),"")</f>
        <v/>
      </c>
      <c r="W495" s="1" t="str">
        <f>IFERROR(__xludf.DUMMYFUNCTION("""COMPUTED_VALUE"""),"146")</f>
        <v>146</v>
      </c>
      <c r="X495" s="1" t="str">
        <f>IFERROR(__xludf.DUMMYFUNCTION("""COMPUTED_VALUE"""),"")</f>
        <v/>
      </c>
      <c r="Y495" s="1" t="str">
        <f>IFERROR(__xludf.DUMMYFUNCTION("""COMPUTED_VALUE"""),"")</f>
        <v/>
      </c>
      <c r="Z495" s="1" t="str">
        <f>IFERROR(__xludf.DUMMYFUNCTION("""COMPUTED_VALUE"""),"Unknown")</f>
        <v>Unknown</v>
      </c>
      <c r="AA495" s="1" t="str">
        <f>IFERROR(__xludf.DUMMYFUNCTION("""COMPUTED_VALUE"""),"")</f>
        <v/>
      </c>
      <c r="AB495" s="1" t="str">
        <f>IFERROR(__xludf.DUMMYFUNCTION("""COMPUTED_VALUE"""),"")</f>
        <v/>
      </c>
      <c r="AC495" s="1" t="str">
        <f>IFERROR(__xludf.DUMMYFUNCTION("""COMPUTED_VALUE"""),"")</f>
        <v/>
      </c>
      <c r="AD495" s="1" t="str">
        <f>IFERROR(__xludf.DUMMYFUNCTION("""COMPUTED_VALUE"""),"")</f>
        <v/>
      </c>
      <c r="AE495" s="1" t="str">
        <f>IFERROR(__xludf.DUMMYFUNCTION("""COMPUTED_VALUE"""),"")</f>
        <v/>
      </c>
      <c r="AF495" s="1" t="str">
        <f>IFERROR(__xludf.DUMMYFUNCTION("""COMPUTED_VALUE"""),"")</f>
        <v/>
      </c>
      <c r="AG495" s="1" t="str">
        <f>IFERROR(__xludf.DUMMYFUNCTION("""COMPUTED_VALUE"""),"")</f>
        <v/>
      </c>
      <c r="AH495" s="1" t="str">
        <f>IFERROR(__xludf.DUMMYFUNCTION("""COMPUTED_VALUE"""),"Media Monitoring")</f>
        <v>Media Monitoring</v>
      </c>
      <c r="AI495" s="2" t="str">
        <f>IFERROR(__xludf.DUMMYFUNCTION("""COMPUTED_VALUE"""),"https://www.datacenterdynamics.com/en/news/cielo-digital-infrastructure-plans-300mw-data-center-campus-in-south-carolina/")</f>
        <v>https://www.datacenterdynamics.com/en/news/cielo-digital-infrastructure-plans-300mw-data-center-campus-in-south-carolina/</v>
      </c>
      <c r="AJ495" s="1" t="str">
        <f>IFERROR(__xludf.DUMMYFUNCTION("""COMPUTED_VALUE"""),"")</f>
        <v/>
      </c>
      <c r="AK495" s="1" t="str">
        <f>IFERROR(__xludf.DUMMYFUNCTION("""COMPUTED_VALUE"""),"")</f>
        <v/>
      </c>
      <c r="AL495" s="1" t="str">
        <f>IFERROR(__xludf.DUMMYFUNCTION("""COMPUTED_VALUE"""),"")</f>
        <v/>
      </c>
      <c r="AM495" s="1" t="str">
        <f>IFERROR(__xludf.DUMMYFUNCTION("""COMPUTED_VALUE"""),"")</f>
        <v/>
      </c>
      <c r="AN495" s="1" t="str">
        <f>IFERROR(__xludf.DUMMYFUNCTION("""COMPUTED_VALUE"""),"")</f>
        <v/>
      </c>
      <c r="AO495" s="1" t="str">
        <f>IFERROR(__xludf.DUMMYFUNCTION("""COMPUTED_VALUE"""),"")</f>
        <v/>
      </c>
      <c r="AP495" s="1" t="str">
        <f>IFERROR(__xludf.DUMMYFUNCTION("""COMPUTED_VALUE"""),"")</f>
        <v/>
      </c>
      <c r="AQ495" s="1" t="str">
        <f>IFERROR(__xludf.DUMMYFUNCTION("""COMPUTED_VALUE"""),"06/24/2025")</f>
        <v>06/24/2025</v>
      </c>
      <c r="AR495" s="1" t="str">
        <f>IFERROR(__xludf.DUMMYFUNCTION("""COMPUTED_VALUE"""),"06/24/2025")</f>
        <v>06/24/2025</v>
      </c>
    </row>
    <row r="496">
      <c r="A496" s="1" t="str">
        <f>IFERROR(__xludf.DUMMYFUNCTION("""COMPUTED_VALUE"""),"Meta Data Kansas City Center")</f>
        <v>Meta Data Kansas City Center</v>
      </c>
      <c r="B496" s="1" t="str">
        <f>IFERROR(__xludf.DUMMYFUNCTION("""COMPUTED_VALUE"""),"1800 NW 128 St")</f>
        <v>1800 NW 128 St</v>
      </c>
      <c r="C496" s="1" t="str">
        <f>IFERROR(__xludf.DUMMYFUNCTION("""COMPUTED_VALUE"""),"Kansas City")</f>
        <v>Kansas City</v>
      </c>
      <c r="D496" s="1" t="str">
        <f>IFERROR(__xludf.DUMMYFUNCTION("""COMPUTED_VALUE"""),"MO")</f>
        <v>MO</v>
      </c>
      <c r="E496" s="1" t="str">
        <f>IFERROR(__xludf.DUMMYFUNCTION("""COMPUTED_VALUE"""),"64165")</f>
        <v>64165</v>
      </c>
      <c r="F496" s="1" t="str">
        <f>IFERROR(__xludf.DUMMYFUNCTION("""COMPUTED_VALUE"""),"Platte")</f>
        <v>Platte</v>
      </c>
      <c r="G496" s="1" t="str">
        <f>IFERROR(__xludf.DUMMYFUNCTION("""COMPUTED_VALUE"""),"39.32488")</f>
        <v>39.32488</v>
      </c>
      <c r="H496" s="1" t="str">
        <f>IFERROR(__xludf.DUMMYFUNCTION("""COMPUTED_VALUE"""),"-94.6011")</f>
        <v>-94.6011</v>
      </c>
      <c r="I496" s="1" t="str">
        <f>IFERROR(__xludf.DUMMYFUNCTION("""COMPUTED_VALUE"""),"Operating")</f>
        <v>Operating</v>
      </c>
      <c r="J496" s="1" t="str">
        <f>IFERROR(__xludf.DUMMYFUNCTION("""COMPUTED_VALUE"""),"High")</f>
        <v>High</v>
      </c>
      <c r="K496" s="1" t="str">
        <f>IFERROR(__xludf.DUMMYFUNCTION("""COMPUTED_VALUE"""),"")</f>
        <v/>
      </c>
      <c r="L496" s="1" t="str">
        <f>IFERROR(__xludf.DUMMYFUNCTION("""COMPUTED_VALUE"""),"Meta")</f>
        <v>Meta</v>
      </c>
      <c r="M496" s="1" t="str">
        <f>IFERROR(__xludf.DUMMYFUNCTION("""COMPUTED_VALUE"""),"")</f>
        <v/>
      </c>
      <c r="N496" s="1" t="str">
        <f>IFERROR(__xludf.DUMMYFUNCTION("""COMPUTED_VALUE"""),"")</f>
        <v/>
      </c>
      <c r="O496" s="1" t="str">
        <f>IFERROR(__xludf.DUMMYFUNCTION("""COMPUTED_VALUE"""),"Unknown")</f>
        <v>Unknown</v>
      </c>
      <c r="P496" s="1" t="str">
        <f>IFERROR(__xludf.DUMMYFUNCTION("""COMPUTED_VALUE"""),"")</f>
        <v/>
      </c>
      <c r="Q496" s="1" t="str">
        <f>IFERROR(__xludf.DUMMYFUNCTION("""COMPUTED_VALUE"""),"")</f>
        <v/>
      </c>
      <c r="R496" s="1" t="str">
        <f>IFERROR(__xludf.DUMMYFUNCTION("""COMPUTED_VALUE"""),"")</f>
        <v/>
      </c>
      <c r="S496" s="1" t="str">
        <f>IFERROR(__xludf.DUMMYFUNCTION("""COMPUTED_VALUE"""),"")</f>
        <v/>
      </c>
      <c r="T496" s="1" t="str">
        <f>IFERROR(__xludf.DUMMYFUNCTION("""COMPUTED_VALUE"""),"")</f>
        <v/>
      </c>
      <c r="U496" s="1" t="str">
        <f>IFERROR(__xludf.DUMMYFUNCTION("""COMPUTED_VALUE"""),"")</f>
        <v/>
      </c>
      <c r="V496" s="1" t="str">
        <f>IFERROR(__xludf.DUMMYFUNCTION("""COMPUTED_VALUE"""),"1,000,000")</f>
        <v>1,000,000</v>
      </c>
      <c r="W496" s="1" t="str">
        <f>IFERROR(__xludf.DUMMYFUNCTION("""COMPUTED_VALUE"""),"500")</f>
        <v>500</v>
      </c>
      <c r="X496" s="1" t="str">
        <f>IFERROR(__xludf.DUMMYFUNCTION("""COMPUTED_VALUE"""),"$800 million")</f>
        <v>$800 million</v>
      </c>
      <c r="Y496" s="1" t="str">
        <f>IFERROR(__xludf.DUMMYFUNCTION("""COMPUTED_VALUE"""),"")</f>
        <v/>
      </c>
      <c r="Z496" s="1" t="str">
        <f>IFERROR(__xludf.DUMMYFUNCTION("""COMPUTED_VALUE"""),"Unknown")</f>
        <v>Unknown</v>
      </c>
      <c r="AA496" s="1" t="str">
        <f>IFERROR(__xludf.DUMMYFUNCTION("""COMPUTED_VALUE"""),"")</f>
        <v/>
      </c>
      <c r="AB496" s="1" t="str">
        <f>IFERROR(__xludf.DUMMYFUNCTION("""COMPUTED_VALUE"""),"")</f>
        <v/>
      </c>
      <c r="AC496" s="1" t="str">
        <f>IFERROR(__xludf.DUMMYFUNCTION("""COMPUTED_VALUE"""),"")</f>
        <v/>
      </c>
      <c r="AD496" s="1" t="str">
        <f>IFERROR(__xludf.DUMMYFUNCTION("""COMPUTED_VALUE"""),"")</f>
        <v/>
      </c>
      <c r="AE496" s="1" t="str">
        <f>IFERROR(__xludf.DUMMYFUNCTION("""COMPUTED_VALUE"""),"")</f>
        <v/>
      </c>
      <c r="AF496" s="1" t="str">
        <f>IFERROR(__xludf.DUMMYFUNCTION("""COMPUTED_VALUE"""),"")</f>
        <v/>
      </c>
      <c r="AG496" s="1" t="str">
        <f>IFERROR(__xludf.DUMMYFUNCTION("""COMPUTED_VALUE"""),"LEED gold certified, 100% ""green"" energy")</f>
        <v>LEED gold certified, 100% "green" energy</v>
      </c>
      <c r="AH496" s="1" t="str">
        <f>IFERROR(__xludf.DUMMYFUNCTION("""COMPUTED_VALUE"""),"Media Monitoring")</f>
        <v>Media Monitoring</v>
      </c>
      <c r="AI496" s="2" t="str">
        <f>IFERROR(__xludf.DUMMYFUNCTION("""COMPUTED_VALUE"""),"https://about.fb.com/news/2025/08/metas-kansas-city-data-center/")</f>
        <v>https://about.fb.com/news/2025/08/metas-kansas-city-data-center/</v>
      </c>
      <c r="AJ496" s="2" t="str">
        <f>IFERROR(__xludf.DUMMYFUNCTION("""COMPUTED_VALUE"""),"https://baxtel.com/data-center/meta-kansas-city")</f>
        <v>https://baxtel.com/data-center/meta-kansas-city</v>
      </c>
      <c r="AK496" s="2" t="str">
        <f>IFERROR(__xludf.DUMMYFUNCTION("""COMPUTED_VALUE"""),"https://www.datacenterdynamics.com/en/news/meta-acquires-500-more-acres-in-diodes-golden-plains-park-in-kansas-city-missouri/")</f>
        <v>https://www.datacenterdynamics.com/en/news/meta-acquires-500-more-acres-in-diodes-golden-plains-park-in-kansas-city-missouri/</v>
      </c>
      <c r="AL496" s="1" t="str">
        <f>IFERROR(__xludf.DUMMYFUNCTION("""COMPUTED_VALUE"""),"")</f>
        <v/>
      </c>
      <c r="AM496" s="1" t="str">
        <f>IFERROR(__xludf.DUMMYFUNCTION("""COMPUTED_VALUE"""),"")</f>
        <v/>
      </c>
      <c r="AN496" s="1" t="str">
        <f>IFERROR(__xludf.DUMMYFUNCTION("""COMPUTED_VALUE"""),"")</f>
        <v/>
      </c>
      <c r="AO496" s="1" t="str">
        <f>IFERROR(__xludf.DUMMYFUNCTION("""COMPUTED_VALUE"""),"")</f>
        <v/>
      </c>
      <c r="AP496" s="1" t="str">
        <f>IFERROR(__xludf.DUMMYFUNCTION("""COMPUTED_VALUE"""),"")</f>
        <v/>
      </c>
      <c r="AQ496" s="1" t="str">
        <f>IFERROR(__xludf.DUMMYFUNCTION("""COMPUTED_VALUE"""),"08/21/2025")</f>
        <v>08/21/2025</v>
      </c>
      <c r="AR496" s="1" t="str">
        <f>IFERROR(__xludf.DUMMYFUNCTION("""COMPUTED_VALUE"""),"08/21/2025")</f>
        <v>08/21/2025</v>
      </c>
    </row>
    <row r="497">
      <c r="A497" s="1" t="str">
        <f>IFERROR(__xludf.DUMMYFUNCTION("""COMPUTED_VALUE"""),"Project Kestrel ")</f>
        <v>Project Kestrel </v>
      </c>
      <c r="B497" s="1" t="str">
        <f>IFERROR(__xludf.DUMMYFUNCTION("""COMPUTED_VALUE"""),"State Rte 92 &amp; N Winan Rd")</f>
        <v>State Rte 92 &amp; N Winan Rd</v>
      </c>
      <c r="C497" s="1" t="str">
        <f>IFERROR(__xludf.DUMMYFUNCTION("""COMPUTED_VALUE"""),"Kansas City")</f>
        <v>Kansas City</v>
      </c>
      <c r="D497" s="1" t="str">
        <f>IFERROR(__xludf.DUMMYFUNCTION("""COMPUTED_VALUE"""),"MO")</f>
        <v>MO</v>
      </c>
      <c r="E497" s="1" t="str">
        <f>IFERROR(__xludf.DUMMYFUNCTION("""COMPUTED_VALUE"""),"64079")</f>
        <v>64079</v>
      </c>
      <c r="F497" s="1" t="str">
        <f>IFERROR(__xludf.DUMMYFUNCTION("""COMPUTED_VALUE"""),"Platte")</f>
        <v>Platte</v>
      </c>
      <c r="G497" s="1" t="str">
        <f>IFERROR(__xludf.DUMMYFUNCTION("""COMPUTED_VALUE"""),"39.35368")</f>
        <v>39.35368</v>
      </c>
      <c r="H497" s="1" t="str">
        <f>IFERROR(__xludf.DUMMYFUNCTION("""COMPUTED_VALUE"""),"-94.6967")</f>
        <v>-94.6967</v>
      </c>
      <c r="I497" s="1" t="str">
        <f>IFERROR(__xludf.DUMMYFUNCTION("""COMPUTED_VALUE"""),"Proposed")</f>
        <v>Proposed</v>
      </c>
      <c r="J497" s="1" t="str">
        <f>IFERROR(__xludf.DUMMYFUNCTION("""COMPUTED_VALUE"""),"High")</f>
        <v>High</v>
      </c>
      <c r="K497" s="1" t="str">
        <f>IFERROR(__xludf.DUMMYFUNCTION("""COMPUTED_VALUE"""),"")</f>
        <v/>
      </c>
      <c r="L497" s="1" t="str">
        <f>IFERROR(__xludf.DUMMYFUNCTION("""COMPUTED_VALUE"""),"")</f>
        <v/>
      </c>
      <c r="M497" s="1" t="str">
        <f>IFERROR(__xludf.DUMMYFUNCTION("""COMPUTED_VALUE"""),"")</f>
        <v/>
      </c>
      <c r="N497" s="1" t="str">
        <f>IFERROR(__xludf.DUMMYFUNCTION("""COMPUTED_VALUE"""),"")</f>
        <v/>
      </c>
      <c r="O497" s="1" t="str">
        <f>IFERROR(__xludf.DUMMYFUNCTION("""COMPUTED_VALUE"""),"Unknown")</f>
        <v>Unknown</v>
      </c>
      <c r="P497" s="1" t="str">
        <f>IFERROR(__xludf.DUMMYFUNCTION("""COMPUTED_VALUE"""),"")</f>
        <v/>
      </c>
      <c r="Q497" s="1" t="str">
        <f>IFERROR(__xludf.DUMMYFUNCTION("""COMPUTED_VALUE"""),"")</f>
        <v/>
      </c>
      <c r="R497" s="1" t="str">
        <f>IFERROR(__xludf.DUMMYFUNCTION("""COMPUTED_VALUE"""),"")</f>
        <v/>
      </c>
      <c r="S497" s="1" t="str">
        <f>IFERROR(__xludf.DUMMYFUNCTION("""COMPUTED_VALUE"""),"6")</f>
        <v>6</v>
      </c>
      <c r="T497" s="1" t="str">
        <f>IFERROR(__xludf.DUMMYFUNCTION("""COMPUTED_VALUE"""),"")</f>
        <v/>
      </c>
      <c r="U497" s="1" t="str">
        <f>IFERROR(__xludf.DUMMYFUNCTION("""COMPUTED_VALUE"""),"")</f>
        <v/>
      </c>
      <c r="V497" s="1" t="str">
        <f>IFERROR(__xludf.DUMMYFUNCTION("""COMPUTED_VALUE"""),"1,800,000")</f>
        <v>1,800,000</v>
      </c>
      <c r="W497" s="1" t="str">
        <f>IFERROR(__xludf.DUMMYFUNCTION("""COMPUTED_VALUE"""),"810")</f>
        <v>810</v>
      </c>
      <c r="X497" s="1" t="str">
        <f>IFERROR(__xludf.DUMMYFUNCTION("""COMPUTED_VALUE"""),"$100 billion")</f>
        <v>$100 billion</v>
      </c>
      <c r="Y497" s="1" t="str">
        <f>IFERROR(__xludf.DUMMYFUNCTION("""COMPUTED_VALUE"""),"")</f>
        <v/>
      </c>
      <c r="Z497" s="1" t="str">
        <f>IFERROR(__xludf.DUMMYFUNCTION("""COMPUTED_VALUE"""),"Unknown")</f>
        <v>Unknown</v>
      </c>
      <c r="AA497" s="1" t="str">
        <f>IFERROR(__xludf.DUMMYFUNCTION("""COMPUTED_VALUE"""),"")</f>
        <v/>
      </c>
      <c r="AB497" s="1" t="str">
        <f>IFERROR(__xludf.DUMMYFUNCTION("""COMPUTED_VALUE"""),"")</f>
        <v/>
      </c>
      <c r="AC497" s="1" t="str">
        <f>IFERROR(__xludf.DUMMYFUNCTION("""COMPUTED_VALUE"""),"")</f>
        <v/>
      </c>
      <c r="AD497" s="1" t="str">
        <f>IFERROR(__xludf.DUMMYFUNCTION("""COMPUTED_VALUE"""),"")</f>
        <v/>
      </c>
      <c r="AE497" s="1" t="str">
        <f>IFERROR(__xludf.DUMMYFUNCTION("""COMPUTED_VALUE"""),"")</f>
        <v/>
      </c>
      <c r="AF497" s="1" t="str">
        <f>IFERROR(__xludf.DUMMYFUNCTION("""COMPUTED_VALUE"""),"")</f>
        <v/>
      </c>
      <c r="AG497" s="1" t="str">
        <f>IFERROR(__xludf.DUMMYFUNCTION("""COMPUTED_VALUE"""),"On-site substation")</f>
        <v>On-site substation</v>
      </c>
      <c r="AH497" s="1" t="str">
        <f>IFERROR(__xludf.DUMMYFUNCTION("""COMPUTED_VALUE"""),"Media Monitoring")</f>
        <v>Media Monitoring</v>
      </c>
      <c r="AI497" s="2" t="str">
        <f>IFERROR(__xludf.DUMMYFUNCTION("""COMPUTED_VALUE"""),"https://www.kshb.com/news/local-news/tech-firm-eyes-development-for-6-data-centers-north-of-kansas-city-international-airport")</f>
        <v>https://www.kshb.com/news/local-news/tech-firm-eyes-development-for-6-data-centers-north-of-kansas-city-international-airport</v>
      </c>
      <c r="AJ497" s="2" t="str">
        <f>IFERROR(__xludf.DUMMYFUNCTION("""COMPUTED_VALUE"""),"https://fox4kc.com/news/100-billion-data-center-coming-to-kansas-citys-northland/")</f>
        <v>https://fox4kc.com/news/100-billion-data-center-coming-to-kansas-citys-northland/</v>
      </c>
      <c r="AK497" s="2" t="str">
        <f>IFERROR(__xludf.DUMMYFUNCTION("""COMPUTED_VALUE"""),"https://fox4kc.com/news/100-billion-data-center-coming-to-kansas-citys-northland/")</f>
        <v>https://fox4kc.com/news/100-billion-data-center-coming-to-kansas-citys-northland/</v>
      </c>
      <c r="AL497" s="2" t="str">
        <f>IFERROR(__xludf.DUMMYFUNCTION("""COMPUTED_VALUE"""),"https://www.datacenterdynamics.com/en/news/google-affiliated-company-buys-430-acres-of-land-in-kansas-city-missouri/")</f>
        <v>https://www.datacenterdynamics.com/en/news/google-affiliated-company-buys-430-acres-of-land-in-kansas-city-missouri/</v>
      </c>
      <c r="AM497" s="1" t="str">
        <f>IFERROR(__xludf.DUMMYFUNCTION("""COMPUTED_VALUE"""),"")</f>
        <v/>
      </c>
      <c r="AN497" s="1" t="str">
        <f>IFERROR(__xludf.DUMMYFUNCTION("""COMPUTED_VALUE"""),"")</f>
        <v/>
      </c>
      <c r="AO497" s="1" t="str">
        <f>IFERROR(__xludf.DUMMYFUNCTION("""COMPUTED_VALUE"""),"")</f>
        <v/>
      </c>
      <c r="AP497" s="1" t="str">
        <f>IFERROR(__xludf.DUMMYFUNCTION("""COMPUTED_VALUE"""),"")</f>
        <v/>
      </c>
      <c r="AQ497" s="1" t="str">
        <f>IFERROR(__xludf.DUMMYFUNCTION("""COMPUTED_VALUE"""),"09/01/2025")</f>
        <v>09/01/2025</v>
      </c>
      <c r="AR497" s="1" t="str">
        <f>IFERROR(__xludf.DUMMYFUNCTION("""COMPUTED_VALUE"""),"04/02/2026")</f>
        <v>04/02/2026</v>
      </c>
    </row>
    <row r="498">
      <c r="A498" s="1" t="str">
        <f>IFERROR(__xludf.DUMMYFUNCTION("""COMPUTED_VALUE"""),"Project Micah ")</f>
        <v>Project Micah </v>
      </c>
      <c r="B498" s="1" t="str">
        <f>IFERROR(__xludf.DUMMYFUNCTION("""COMPUTED_VALUE"""),"NE corner I-435 and Hwy 169/ Rocky Branch Creek Technology Park")</f>
        <v>NE corner I-435 and Hwy 169/ Rocky Branch Creek Technology Park</v>
      </c>
      <c r="C498" s="1" t="str">
        <f>IFERROR(__xludf.DUMMYFUNCTION("""COMPUTED_VALUE"""),"Kansas City")</f>
        <v>Kansas City</v>
      </c>
      <c r="D498" s="1" t="str">
        <f>IFERROR(__xludf.DUMMYFUNCTION("""COMPUTED_VALUE"""),"MO")</f>
        <v>MO</v>
      </c>
      <c r="E498" s="1" t="str">
        <f>IFERROR(__xludf.DUMMYFUNCTION("""COMPUTED_VALUE"""),"64165")</f>
        <v>64165</v>
      </c>
      <c r="F498" s="1" t="str">
        <f>IFERROR(__xludf.DUMMYFUNCTION("""COMPUTED_VALUE"""),"Clay")</f>
        <v>Clay</v>
      </c>
      <c r="G498" s="1" t="str">
        <f>IFERROR(__xludf.DUMMYFUNCTION("""COMPUTED_VALUE"""),"39.31801")</f>
        <v>39.31801</v>
      </c>
      <c r="H498" s="1" t="str">
        <f>IFERROR(__xludf.DUMMYFUNCTION("""COMPUTED_VALUE"""),"-94.5773")</f>
        <v>-94.5773</v>
      </c>
      <c r="I498" s="1" t="str">
        <f>IFERROR(__xludf.DUMMYFUNCTION("""COMPUTED_VALUE"""),"Approved/Permitted/Under construction")</f>
        <v>Approved/Permitted/Under construction</v>
      </c>
      <c r="J498" s="1" t="str">
        <f>IFERROR(__xludf.DUMMYFUNCTION("""COMPUTED_VALUE"""),"Medium")</f>
        <v>Medium</v>
      </c>
      <c r="K498" s="1" t="str">
        <f>IFERROR(__xludf.DUMMYFUNCTION("""COMPUTED_VALUE"""),"")</f>
        <v/>
      </c>
      <c r="L498" s="1" t="str">
        <f>IFERROR(__xludf.DUMMYFUNCTION("""COMPUTED_VALUE"""),"Google")</f>
        <v>Google</v>
      </c>
      <c r="M498" s="1" t="str">
        <f>IFERROR(__xludf.DUMMYFUNCTION("""COMPUTED_VALUE"""),"")</f>
        <v/>
      </c>
      <c r="N498" s="1" t="str">
        <f>IFERROR(__xludf.DUMMYFUNCTION("""COMPUTED_VALUE"""),"700")</f>
        <v>700</v>
      </c>
      <c r="O498" s="1" t="str">
        <f>IFERROR(__xludf.DUMMYFUNCTION("""COMPUTED_VALUE"""),"Hyperscale (100-999 MW)")</f>
        <v>Hyperscale (100-999 MW)</v>
      </c>
      <c r="P498" s="1" t="str">
        <f>IFERROR(__xludf.DUMMYFUNCTION("""COMPUTED_VALUE"""),"")</f>
        <v/>
      </c>
      <c r="Q498" s="1" t="str">
        <f>IFERROR(__xludf.DUMMYFUNCTION("""COMPUTED_VALUE"""),"")</f>
        <v/>
      </c>
      <c r="R498" s="1" t="str">
        <f>IFERROR(__xludf.DUMMYFUNCTION("""COMPUTED_VALUE"""),"")</f>
        <v/>
      </c>
      <c r="S498" s="1" t="str">
        <f>IFERROR(__xludf.DUMMYFUNCTION("""COMPUTED_VALUE"""),"")</f>
        <v/>
      </c>
      <c r="T498" s="1" t="str">
        <f>IFERROR(__xludf.DUMMYFUNCTION("""COMPUTED_VALUE"""),"")</f>
        <v/>
      </c>
      <c r="U498" s="1" t="str">
        <f>IFERROR(__xludf.DUMMYFUNCTION("""COMPUTED_VALUE"""),"")</f>
        <v/>
      </c>
      <c r="V498" s="1" t="str">
        <f>IFERROR(__xludf.DUMMYFUNCTION("""COMPUTED_VALUE"""),"1,560,000")</f>
        <v>1,560,000</v>
      </c>
      <c r="W498" s="1" t="str">
        <f>IFERROR(__xludf.DUMMYFUNCTION("""COMPUTED_VALUE"""),"500")</f>
        <v>500</v>
      </c>
      <c r="X498" s="1" t="str">
        <f>IFERROR(__xludf.DUMMYFUNCTION("""COMPUTED_VALUE"""),"")</f>
        <v/>
      </c>
      <c r="Y498" s="1" t="str">
        <f>IFERROR(__xludf.DUMMYFUNCTION("""COMPUTED_VALUE"""),"")</f>
        <v/>
      </c>
      <c r="Z498" s="1" t="str">
        <f>IFERROR(__xludf.DUMMYFUNCTION("""COMPUTED_VALUE"""),"Unknown")</f>
        <v>Unknown</v>
      </c>
      <c r="AA498" s="1" t="str">
        <f>IFERROR(__xludf.DUMMYFUNCTION("""COMPUTED_VALUE"""),"")</f>
        <v/>
      </c>
      <c r="AB498" s="1" t="str">
        <f>IFERROR(__xludf.DUMMYFUNCTION("""COMPUTED_VALUE"""),"")</f>
        <v/>
      </c>
      <c r="AC498" s="1" t="str">
        <f>IFERROR(__xludf.DUMMYFUNCTION("""COMPUTED_VALUE"""),"")</f>
        <v/>
      </c>
      <c r="AD498" s="1" t="str">
        <f>IFERROR(__xludf.DUMMYFUNCTION("""COMPUTED_VALUE"""),"")</f>
        <v/>
      </c>
      <c r="AE498" s="1" t="str">
        <f>IFERROR(__xludf.DUMMYFUNCTION("""COMPUTED_VALUE"""),"")</f>
        <v/>
      </c>
      <c r="AF498" s="1" t="str">
        <f>IFERROR(__xludf.DUMMYFUNCTION("""COMPUTED_VALUE"""),"")</f>
        <v/>
      </c>
      <c r="AG498" s="1" t="str">
        <f>IFERROR(__xludf.DUMMYFUNCTION("""COMPUTED_VALUE"""),"$10 billion in tax breaks")</f>
        <v>$10 billion in tax breaks</v>
      </c>
      <c r="AH498" s="1" t="str">
        <f>IFERROR(__xludf.DUMMYFUNCTION("""COMPUTED_VALUE"""),"Media Monitoring")</f>
        <v>Media Monitoring</v>
      </c>
      <c r="AI498" s="2" t="str">
        <f>IFERROR(__xludf.DUMMYFUNCTION("""COMPUTED_VALUE"""),"https://www.datacenterdynamics.com/en/news/google-files-final-plans-for-rocky-branch-creek-technology-park-in-kansas-city-missouri/")</f>
        <v>https://www.datacenterdynamics.com/en/news/google-files-final-plans-for-rocky-branch-creek-technology-park-in-kansas-city-missouri/</v>
      </c>
      <c r="AJ498" s="2" t="str">
        <f>IFERROR(__xludf.DUMMYFUNCTION("""COMPUTED_VALUE"""),"https://baxtel.com/data-center/google-project-mica")</f>
        <v>https://baxtel.com/data-center/google-project-mica</v>
      </c>
      <c r="AK498" s="2" t="str">
        <f>IFERROR(__xludf.DUMMYFUNCTION("""COMPUTED_VALUE"""),"https://www.datacenterdynamics.com/en/news/construction-begins-at-googles-second-data-center-campus-in-kansas-city-missouri/")</f>
        <v>https://www.datacenterdynamics.com/en/news/construction-begins-at-googles-second-data-center-campus-in-kansas-city-missouri/</v>
      </c>
      <c r="AL498" s="2" t="str">
        <f>IFERROR(__xludf.DUMMYFUNCTION("""COMPUTED_VALUE"""),"https://www.datacenterdynamics.com/en/news/officials-grant-data-center-project-in-kansas-city-tax-breaks/")</f>
        <v>https://www.datacenterdynamics.com/en/news/officials-grant-data-center-project-in-kansas-city-tax-breaks/</v>
      </c>
      <c r="AM498" s="2" t="str">
        <f>IFERROR(__xludf.DUMMYFUNCTION("""COMPUTED_VALUE"""),"https://www.datacenterdynamics.com/en/news/google-affiliated-company-buys-430-acres-of-land-in-kansas-city-missouri/")</f>
        <v>https://www.datacenterdynamics.com/en/news/google-affiliated-company-buys-430-acres-of-land-in-kansas-city-missouri/</v>
      </c>
      <c r="AN498" s="1" t="str">
        <f>IFERROR(__xludf.DUMMYFUNCTION("""COMPUTED_VALUE"""),"")</f>
        <v/>
      </c>
      <c r="AO498" s="1" t="str">
        <f>IFERROR(__xludf.DUMMYFUNCTION("""COMPUTED_VALUE"""),"")</f>
        <v/>
      </c>
      <c r="AP498" s="1" t="str">
        <f>IFERROR(__xludf.DUMMYFUNCTION("""COMPUTED_VALUE"""),"")</f>
        <v/>
      </c>
      <c r="AQ498" s="1" t="str">
        <f>IFERROR(__xludf.DUMMYFUNCTION("""COMPUTED_VALUE"""),"08/27/2025")</f>
        <v>08/27/2025</v>
      </c>
      <c r="AR498" s="1" t="str">
        <f>IFERROR(__xludf.DUMMYFUNCTION("""COMPUTED_VALUE"""),"02/16/2026")</f>
        <v>02/16/2026</v>
      </c>
    </row>
    <row r="499">
      <c r="A499" s="1" t="str">
        <f>IFERROR(__xludf.DUMMYFUNCTION("""COMPUTED_VALUE"""),"Revitalization Unlimited Data Center")</f>
        <v>Revitalization Unlimited Data Center</v>
      </c>
      <c r="B499" s="1" t="str">
        <f>IFERROR(__xludf.DUMMYFUNCTION("""COMPUTED_VALUE"""),"304 W. 10th Street")</f>
        <v>304 W. 10th Street</v>
      </c>
      <c r="C499" s="1" t="str">
        <f>IFERROR(__xludf.DUMMYFUNCTION("""COMPUTED_VALUE"""),"Kansas City")</f>
        <v>Kansas City</v>
      </c>
      <c r="D499" s="1" t="str">
        <f>IFERROR(__xludf.DUMMYFUNCTION("""COMPUTED_VALUE"""),"MO")</f>
        <v>MO</v>
      </c>
      <c r="E499" s="1" t="str">
        <f>IFERROR(__xludf.DUMMYFUNCTION("""COMPUTED_VALUE"""),"64105")</f>
        <v>64105</v>
      </c>
      <c r="F499" s="1" t="str">
        <f>IFERROR(__xludf.DUMMYFUNCTION("""COMPUTED_VALUE"""),"Jackson")</f>
        <v>Jackson</v>
      </c>
      <c r="G499" s="1" t="str">
        <f>IFERROR(__xludf.DUMMYFUNCTION("""COMPUTED_VALUE"""),"39.102562")</f>
        <v>39.102562</v>
      </c>
      <c r="H499" s="1" t="str">
        <f>IFERROR(__xludf.DUMMYFUNCTION("""COMPUTED_VALUE"""),"-94.58718")</f>
        <v>-94.58718</v>
      </c>
      <c r="I499" s="1" t="str">
        <f>IFERROR(__xludf.DUMMYFUNCTION("""COMPUTED_VALUE"""),"Proposed")</f>
        <v>Proposed</v>
      </c>
      <c r="J499" s="1" t="str">
        <f>IFERROR(__xludf.DUMMYFUNCTION("""COMPUTED_VALUE"""),"High")</f>
        <v>High</v>
      </c>
      <c r="K499" s="1" t="str">
        <f>IFERROR(__xludf.DUMMYFUNCTION("""COMPUTED_VALUE"""),"")</f>
        <v/>
      </c>
      <c r="L499" s="1" t="str">
        <f>IFERROR(__xludf.DUMMYFUNCTION("""COMPUTED_VALUE"""),"")</f>
        <v/>
      </c>
      <c r="M499" s="1" t="str">
        <f>IFERROR(__xludf.DUMMYFUNCTION("""COMPUTED_VALUE"""),"")</f>
        <v/>
      </c>
      <c r="N499" s="1" t="str">
        <f>IFERROR(__xludf.DUMMYFUNCTION("""COMPUTED_VALUE"""),"30")</f>
        <v>30</v>
      </c>
      <c r="O499" s="1" t="str">
        <f>IFERROR(__xludf.DUMMYFUNCTION("""COMPUTED_VALUE"""),"Medium (11-50 MW)")</f>
        <v>Medium (11-50 MW)</v>
      </c>
      <c r="P499" s="1" t="str">
        <f>IFERROR(__xludf.DUMMYFUNCTION("""COMPUTED_VALUE"""),"Natural gas")</f>
        <v>Natural gas</v>
      </c>
      <c r="Q499" s="1" t="str">
        <f>IFERROR(__xludf.DUMMYFUNCTION("""COMPUTED_VALUE"""),"")</f>
        <v/>
      </c>
      <c r="R499" s="1" t="str">
        <f>IFERROR(__xludf.DUMMYFUNCTION("""COMPUTED_VALUE"""),"")</f>
        <v/>
      </c>
      <c r="S499" s="1" t="str">
        <f>IFERROR(__xludf.DUMMYFUNCTION("""COMPUTED_VALUE"""),"")</f>
        <v/>
      </c>
      <c r="T499" s="1" t="str">
        <f>IFERROR(__xludf.DUMMYFUNCTION("""COMPUTED_VALUE"""),"")</f>
        <v/>
      </c>
      <c r="U499" s="1" t="str">
        <f>IFERROR(__xludf.DUMMYFUNCTION("""COMPUTED_VALUE"""),"")</f>
        <v/>
      </c>
      <c r="V499" s="1" t="str">
        <f>IFERROR(__xludf.DUMMYFUNCTION("""COMPUTED_VALUE"""),"142,085")</f>
        <v>142,085</v>
      </c>
      <c r="W499" s="1" t="str">
        <f>IFERROR(__xludf.DUMMYFUNCTION("""COMPUTED_VALUE"""),"")</f>
        <v/>
      </c>
      <c r="X499" s="1" t="str">
        <f>IFERROR(__xludf.DUMMYFUNCTION("""COMPUTED_VALUE"""),"")</f>
        <v/>
      </c>
      <c r="Y499" s="1" t="str">
        <f>IFERROR(__xludf.DUMMYFUNCTION("""COMPUTED_VALUE"""),"")</f>
        <v/>
      </c>
      <c r="Z499" s="1" t="str">
        <f>IFERROR(__xludf.DUMMYFUNCTION("""COMPUTED_VALUE"""),"Unknown")</f>
        <v>Unknown</v>
      </c>
      <c r="AA499" s="1" t="str">
        <f>IFERROR(__xludf.DUMMYFUNCTION("""COMPUTED_VALUE"""),"")</f>
        <v/>
      </c>
      <c r="AB499" s="1" t="str">
        <f>IFERROR(__xludf.DUMMYFUNCTION("""COMPUTED_VALUE"""),"")</f>
        <v/>
      </c>
      <c r="AC499" s="1" t="str">
        <f>IFERROR(__xludf.DUMMYFUNCTION("""COMPUTED_VALUE"""),"")</f>
        <v/>
      </c>
      <c r="AD499" s="1" t="str">
        <f>IFERROR(__xludf.DUMMYFUNCTION("""COMPUTED_VALUE"""),"")</f>
        <v/>
      </c>
      <c r="AE499" s="1" t="str">
        <f>IFERROR(__xludf.DUMMYFUNCTION("""COMPUTED_VALUE"""),"")</f>
        <v/>
      </c>
      <c r="AF499" s="1" t="str">
        <f>IFERROR(__xludf.DUMMYFUNCTION("""COMPUTED_VALUE"""),"")</f>
        <v/>
      </c>
      <c r="AG499" s="1" t="str">
        <f>IFERROR(__xludf.DUMMYFUNCTION("""COMPUTED_VALUE"""),"")</f>
        <v/>
      </c>
      <c r="AH499" s="1" t="str">
        <f>IFERROR(__xludf.DUMMYFUNCTION("""COMPUTED_VALUE"""),"Media Monitoring")</f>
        <v>Media Monitoring</v>
      </c>
      <c r="AI499" s="2" t="str">
        <f>IFERROR(__xludf.DUMMYFUNCTION("""COMPUTED_VALUE"""),"https://www.datacenterdynamics.com/en/news/former-newspaper-building-in-kansas-city-eyed-for-20-story-data-center-development/")</f>
        <v>https://www.datacenterdynamics.com/en/news/former-newspaper-building-in-kansas-city-eyed-for-20-story-data-center-development/</v>
      </c>
      <c r="AJ499" s="1" t="str">
        <f>IFERROR(__xludf.DUMMYFUNCTION("""COMPUTED_VALUE"""),"")</f>
        <v/>
      </c>
      <c r="AK499" s="1" t="str">
        <f>IFERROR(__xludf.DUMMYFUNCTION("""COMPUTED_VALUE"""),"")</f>
        <v/>
      </c>
      <c r="AL499" s="1" t="str">
        <f>IFERROR(__xludf.DUMMYFUNCTION("""COMPUTED_VALUE"""),"")</f>
        <v/>
      </c>
      <c r="AM499" s="1" t="str">
        <f>IFERROR(__xludf.DUMMYFUNCTION("""COMPUTED_VALUE"""),"")</f>
        <v/>
      </c>
      <c r="AN499" s="1" t="str">
        <f>IFERROR(__xludf.DUMMYFUNCTION("""COMPUTED_VALUE"""),"")</f>
        <v/>
      </c>
      <c r="AO499" s="1" t="str">
        <f>IFERROR(__xludf.DUMMYFUNCTION("""COMPUTED_VALUE"""),"")</f>
        <v/>
      </c>
      <c r="AP499" s="1" t="str">
        <f>IFERROR(__xludf.DUMMYFUNCTION("""COMPUTED_VALUE"""),"")</f>
        <v/>
      </c>
      <c r="AQ499" s="1" t="str">
        <f>IFERROR(__xludf.DUMMYFUNCTION("""COMPUTED_VALUE"""),"04/02/2026")</f>
        <v>04/02/2026</v>
      </c>
      <c r="AR499" s="1" t="str">
        <f>IFERROR(__xludf.DUMMYFUNCTION("""COMPUTED_VALUE"""),"04/02/2026")</f>
        <v>04/02/2026</v>
      </c>
    </row>
    <row r="500">
      <c r="A500" s="1" t="str">
        <f>IFERROR(__xludf.DUMMYFUNCTION("""COMPUTED_VALUE"""),"Shenandoah Computing Data Center")</f>
        <v>Shenandoah Computing Data Center</v>
      </c>
      <c r="B500" s="1" t="str">
        <f>IFERROR(__xludf.DUMMYFUNCTION("""COMPUTED_VALUE"""),"NE of Parvin Rd and Arlington Ave")</f>
        <v>NE of Parvin Rd and Arlington Ave</v>
      </c>
      <c r="C500" s="1" t="str">
        <f>IFERROR(__xludf.DUMMYFUNCTION("""COMPUTED_VALUE"""),"Kansas City")</f>
        <v>Kansas City</v>
      </c>
      <c r="D500" s="1" t="str">
        <f>IFERROR(__xludf.DUMMYFUNCTION("""COMPUTED_VALUE"""),"MO")</f>
        <v>MO</v>
      </c>
      <c r="E500" s="1" t="str">
        <f>IFERROR(__xludf.DUMMYFUNCTION("""COMPUTED_VALUE"""),"64161")</f>
        <v>64161</v>
      </c>
      <c r="F500" s="1" t="str">
        <f>IFERROR(__xludf.DUMMYFUNCTION("""COMPUTED_VALUE"""),"Clay")</f>
        <v>Clay</v>
      </c>
      <c r="G500" s="1" t="str">
        <f>IFERROR(__xludf.DUMMYFUNCTION("""COMPUTED_VALUE"""),"39.17474")</f>
        <v>39.17474</v>
      </c>
      <c r="H500" s="1" t="str">
        <f>IFERROR(__xludf.DUMMYFUNCTION("""COMPUTED_VALUE"""),"-94.46181")</f>
        <v>-94.46181</v>
      </c>
      <c r="I500" s="1" t="str">
        <f>IFERROR(__xludf.DUMMYFUNCTION("""COMPUTED_VALUE"""),"Proposed")</f>
        <v>Proposed</v>
      </c>
      <c r="J500" s="1" t="str">
        <f>IFERROR(__xludf.DUMMYFUNCTION("""COMPUTED_VALUE"""),"High")</f>
        <v>High</v>
      </c>
      <c r="K500" s="1" t="str">
        <f>IFERROR(__xludf.DUMMYFUNCTION("""COMPUTED_VALUE"""),"")</f>
        <v/>
      </c>
      <c r="L500" s="1" t="str">
        <f>IFERROR(__xludf.DUMMYFUNCTION("""COMPUTED_VALUE"""),"Google")</f>
        <v>Google</v>
      </c>
      <c r="M500" s="1" t="str">
        <f>IFERROR(__xludf.DUMMYFUNCTION("""COMPUTED_VALUE"""),"")</f>
        <v/>
      </c>
      <c r="N500" s="1" t="str">
        <f>IFERROR(__xludf.DUMMYFUNCTION("""COMPUTED_VALUE"""),"")</f>
        <v/>
      </c>
      <c r="O500" s="1" t="str">
        <f>IFERROR(__xludf.DUMMYFUNCTION("""COMPUTED_VALUE"""),"Unknown")</f>
        <v>Unknown</v>
      </c>
      <c r="P500" s="1" t="str">
        <f>IFERROR(__xludf.DUMMYFUNCTION("""COMPUTED_VALUE"""),"")</f>
        <v/>
      </c>
      <c r="Q500" s="1" t="str">
        <f>IFERROR(__xludf.DUMMYFUNCTION("""COMPUTED_VALUE"""),"")</f>
        <v/>
      </c>
      <c r="R500" s="1" t="str">
        <f>IFERROR(__xludf.DUMMYFUNCTION("""COMPUTED_VALUE"""),"")</f>
        <v/>
      </c>
      <c r="S500" s="1" t="str">
        <f>IFERROR(__xludf.DUMMYFUNCTION("""COMPUTED_VALUE"""),"")</f>
        <v/>
      </c>
      <c r="T500" s="1" t="str">
        <f>IFERROR(__xludf.DUMMYFUNCTION("""COMPUTED_VALUE"""),"")</f>
        <v/>
      </c>
      <c r="U500" s="1" t="str">
        <f>IFERROR(__xludf.DUMMYFUNCTION("""COMPUTED_VALUE"""),"")</f>
        <v/>
      </c>
      <c r="V500" s="1" t="str">
        <f>IFERROR(__xludf.DUMMYFUNCTION("""COMPUTED_VALUE"""),"1,435,000")</f>
        <v>1,435,000</v>
      </c>
      <c r="W500" s="1" t="str">
        <f>IFERROR(__xludf.DUMMYFUNCTION("""COMPUTED_VALUE"""),"315")</f>
        <v>315</v>
      </c>
      <c r="X500" s="1" t="str">
        <f>IFERROR(__xludf.DUMMYFUNCTION("""COMPUTED_VALUE"""),"")</f>
        <v/>
      </c>
      <c r="Y500" s="1" t="str">
        <f>IFERROR(__xludf.DUMMYFUNCTION("""COMPUTED_VALUE"""),"")</f>
        <v/>
      </c>
      <c r="Z500" s="1" t="str">
        <f>IFERROR(__xludf.DUMMYFUNCTION("""COMPUTED_VALUE"""),"Unknown")</f>
        <v>Unknown</v>
      </c>
      <c r="AA500" s="1" t="str">
        <f>IFERROR(__xludf.DUMMYFUNCTION("""COMPUTED_VALUE"""),"")</f>
        <v/>
      </c>
      <c r="AB500" s="1" t="str">
        <f>IFERROR(__xludf.DUMMYFUNCTION("""COMPUTED_VALUE"""),"")</f>
        <v/>
      </c>
      <c r="AC500" s="1" t="str">
        <f>IFERROR(__xludf.DUMMYFUNCTION("""COMPUTED_VALUE"""),"")</f>
        <v/>
      </c>
      <c r="AD500" s="1" t="str">
        <f>IFERROR(__xludf.DUMMYFUNCTION("""COMPUTED_VALUE"""),"")</f>
        <v/>
      </c>
      <c r="AE500" s="1" t="str">
        <f>IFERROR(__xludf.DUMMYFUNCTION("""COMPUTED_VALUE"""),"")</f>
        <v/>
      </c>
      <c r="AF500" s="1" t="str">
        <f>IFERROR(__xludf.DUMMYFUNCTION("""COMPUTED_VALUE"""),"")</f>
        <v/>
      </c>
      <c r="AG500" s="1" t="str">
        <f>IFERROR(__xludf.DUMMYFUNCTION("""COMPUTED_VALUE"""),"")</f>
        <v/>
      </c>
      <c r="AH500" s="1" t="str">
        <f>IFERROR(__xludf.DUMMYFUNCTION("""COMPUTED_VALUE"""),"Media Monitoring")</f>
        <v>Media Monitoring</v>
      </c>
      <c r="AI500" s="2" t="str">
        <f>IFERROR(__xludf.DUMMYFUNCTION("""COMPUTED_VALUE"""),"https://www.datacenterdynamics.com/en/news/google-affiliated-company-buys-430-acres-of-land-in-kansas-city-missouri/")</f>
        <v>https://www.datacenterdynamics.com/en/news/google-affiliated-company-buys-430-acres-of-land-in-kansas-city-missouri/</v>
      </c>
      <c r="AJ500" s="1" t="str">
        <f>IFERROR(__xludf.DUMMYFUNCTION("""COMPUTED_VALUE"""),"")</f>
        <v/>
      </c>
      <c r="AK500" s="1" t="str">
        <f>IFERROR(__xludf.DUMMYFUNCTION("""COMPUTED_VALUE"""),"")</f>
        <v/>
      </c>
      <c r="AL500" s="1" t="str">
        <f>IFERROR(__xludf.DUMMYFUNCTION("""COMPUTED_VALUE"""),"")</f>
        <v/>
      </c>
      <c r="AM500" s="1" t="str">
        <f>IFERROR(__xludf.DUMMYFUNCTION("""COMPUTED_VALUE"""),"")</f>
        <v/>
      </c>
      <c r="AN500" s="1" t="str">
        <f>IFERROR(__xludf.DUMMYFUNCTION("""COMPUTED_VALUE"""),"")</f>
        <v/>
      </c>
      <c r="AO500" s="1" t="str">
        <f>IFERROR(__xludf.DUMMYFUNCTION("""COMPUTED_VALUE"""),"")</f>
        <v/>
      </c>
      <c r="AP500" s="1" t="str">
        <f>IFERROR(__xludf.DUMMYFUNCTION("""COMPUTED_VALUE"""),"")</f>
        <v/>
      </c>
      <c r="AQ500" s="1" t="str">
        <f>IFERROR(__xludf.DUMMYFUNCTION("""COMPUTED_VALUE"""),"04/02/2026")</f>
        <v>04/02/2026</v>
      </c>
      <c r="AR500" s="1" t="str">
        <f>IFERROR(__xludf.DUMMYFUNCTION("""COMPUTED_VALUE"""),"04/02/2026")</f>
        <v>04/02/2026</v>
      </c>
    </row>
    <row r="501">
      <c r="A501" s="1" t="str">
        <f>IFERROR(__xludf.DUMMYFUNCTION("""COMPUTED_VALUE"""),"Metrobloks data center")</f>
        <v>Metrobloks data center</v>
      </c>
      <c r="B501" s="1" t="str">
        <f>IFERROR(__xludf.DUMMYFUNCTION("""COMPUTED_VALUE"""),"2515 Old Hughes Rd")</f>
        <v>2515 Old Hughes Rd</v>
      </c>
      <c r="C501" s="1" t="str">
        <f>IFERROR(__xludf.DUMMYFUNCTION("""COMPUTED_VALUE"""),"Liberty")</f>
        <v>Liberty</v>
      </c>
      <c r="D501" s="1" t="str">
        <f>IFERROR(__xludf.DUMMYFUNCTION("""COMPUTED_VALUE"""),"MO")</f>
        <v>MO</v>
      </c>
      <c r="E501" s="1" t="str">
        <f>IFERROR(__xludf.DUMMYFUNCTION("""COMPUTED_VALUE"""),"64068")</f>
        <v>64068</v>
      </c>
      <c r="F501" s="1" t="str">
        <f>IFERROR(__xludf.DUMMYFUNCTION("""COMPUTED_VALUE"""),"Clay")</f>
        <v>Clay</v>
      </c>
      <c r="G501" s="1" t="str">
        <f>IFERROR(__xludf.DUMMYFUNCTION("""COMPUTED_VALUE"""),"39.207073")</f>
        <v>39.207073</v>
      </c>
      <c r="H501" s="1" t="str">
        <f>IFERROR(__xludf.DUMMYFUNCTION("""COMPUTED_VALUE"""),"-94.45517")</f>
        <v>-94.45517</v>
      </c>
      <c r="I501" s="1" t="str">
        <f>IFERROR(__xludf.DUMMYFUNCTION("""COMPUTED_VALUE"""),"Proposed")</f>
        <v>Proposed</v>
      </c>
      <c r="J501" s="1" t="str">
        <f>IFERROR(__xludf.DUMMYFUNCTION("""COMPUTED_VALUE"""),"High")</f>
        <v>High</v>
      </c>
      <c r="K501" s="1" t="str">
        <f>IFERROR(__xludf.DUMMYFUNCTION("""COMPUTED_VALUE"""),"")</f>
        <v/>
      </c>
      <c r="L501" s="1" t="str">
        <f>IFERROR(__xludf.DUMMYFUNCTION("""COMPUTED_VALUE"""),"")</f>
        <v/>
      </c>
      <c r="M501" s="1" t="str">
        <f>IFERROR(__xludf.DUMMYFUNCTION("""COMPUTED_VALUE"""),"")</f>
        <v/>
      </c>
      <c r="N501" s="1" t="str">
        <f>IFERROR(__xludf.DUMMYFUNCTION("""COMPUTED_VALUE"""),"")</f>
        <v/>
      </c>
      <c r="O501" s="1" t="str">
        <f>IFERROR(__xludf.DUMMYFUNCTION("""COMPUTED_VALUE"""),"Unknown")</f>
        <v>Unknown</v>
      </c>
      <c r="P501" s="1" t="str">
        <f>IFERROR(__xludf.DUMMYFUNCTION("""COMPUTED_VALUE"""),"")</f>
        <v/>
      </c>
      <c r="Q501" s="1" t="str">
        <f>IFERROR(__xludf.DUMMYFUNCTION("""COMPUTED_VALUE"""),"")</f>
        <v/>
      </c>
      <c r="R501" s="1" t="str">
        <f>IFERROR(__xludf.DUMMYFUNCTION("""COMPUTED_VALUE"""),"")</f>
        <v/>
      </c>
      <c r="S501" s="1" t="str">
        <f>IFERROR(__xludf.DUMMYFUNCTION("""COMPUTED_VALUE"""),"3")</f>
        <v>3</v>
      </c>
      <c r="T501" s="1" t="str">
        <f>IFERROR(__xludf.DUMMYFUNCTION("""COMPUTED_VALUE"""),"")</f>
        <v/>
      </c>
      <c r="U501" s="1" t="str">
        <f>IFERROR(__xludf.DUMMYFUNCTION("""COMPUTED_VALUE"""),"")</f>
        <v/>
      </c>
      <c r="V501" s="1" t="str">
        <f>IFERROR(__xludf.DUMMYFUNCTION("""COMPUTED_VALUE"""),"568,800")</f>
        <v>568,800</v>
      </c>
      <c r="W501" s="1" t="str">
        <f>IFERROR(__xludf.DUMMYFUNCTION("""COMPUTED_VALUE"""),"29")</f>
        <v>29</v>
      </c>
      <c r="X501" s="1" t="str">
        <f>IFERROR(__xludf.DUMMYFUNCTION("""COMPUTED_VALUE"""),"$1.4 billion")</f>
        <v>$1.4 billion</v>
      </c>
      <c r="Y501" s="1" t="str">
        <f>IFERROR(__xludf.DUMMYFUNCTION("""COMPUTED_VALUE"""),"")</f>
        <v/>
      </c>
      <c r="Z501" s="1" t="str">
        <f>IFERROR(__xludf.DUMMYFUNCTION("""COMPUTED_VALUE"""),"Unknown")</f>
        <v>Unknown</v>
      </c>
      <c r="AA501" s="1" t="str">
        <f>IFERROR(__xludf.DUMMYFUNCTION("""COMPUTED_VALUE"""),"")</f>
        <v/>
      </c>
      <c r="AB501" s="1" t="str">
        <f>IFERROR(__xludf.DUMMYFUNCTION("""COMPUTED_VALUE"""),"")</f>
        <v/>
      </c>
      <c r="AC501" s="1" t="str">
        <f>IFERROR(__xludf.DUMMYFUNCTION("""COMPUTED_VALUE"""),"")</f>
        <v/>
      </c>
      <c r="AD501" s="1" t="str">
        <f>IFERROR(__xludf.DUMMYFUNCTION("""COMPUTED_VALUE"""),"")</f>
        <v/>
      </c>
      <c r="AE501" s="1" t="str">
        <f>IFERROR(__xludf.DUMMYFUNCTION("""COMPUTED_VALUE"""),"")</f>
        <v/>
      </c>
      <c r="AF501" s="1" t="str">
        <f>IFERROR(__xludf.DUMMYFUNCTION("""COMPUTED_VALUE"""),"")</f>
        <v/>
      </c>
      <c r="AG501" s="1" t="str">
        <f>IFERROR(__xludf.DUMMYFUNCTION("""COMPUTED_VALUE"""),"")</f>
        <v/>
      </c>
      <c r="AH501" s="1" t="str">
        <f>IFERROR(__xludf.DUMMYFUNCTION("""COMPUTED_VALUE"""),"Media Monitoring")</f>
        <v>Media Monitoring</v>
      </c>
      <c r="AI501" s="2" t="str">
        <f>IFERROR(__xludf.DUMMYFUNCTION("""COMPUTED_VALUE"""),"https://www.datacenterdynamics.com/en/news/metrobloks-announces-plans-for-three-building-data-center-campus-in-kansas-city-missouri/")</f>
        <v>https://www.datacenterdynamics.com/en/news/metrobloks-announces-plans-for-three-building-data-center-campus-in-kansas-city-missouri/</v>
      </c>
      <c r="AJ501" s="1" t="str">
        <f>IFERROR(__xludf.DUMMYFUNCTION("""COMPUTED_VALUE"""),"")</f>
        <v/>
      </c>
      <c r="AK501" s="1" t="str">
        <f>IFERROR(__xludf.DUMMYFUNCTION("""COMPUTED_VALUE"""),"")</f>
        <v/>
      </c>
      <c r="AL501" s="1" t="str">
        <f>IFERROR(__xludf.DUMMYFUNCTION("""COMPUTED_VALUE"""),"")</f>
        <v/>
      </c>
      <c r="AM501" s="1" t="str">
        <f>IFERROR(__xludf.DUMMYFUNCTION("""COMPUTED_VALUE"""),"")</f>
        <v/>
      </c>
      <c r="AN501" s="1" t="str">
        <f>IFERROR(__xludf.DUMMYFUNCTION("""COMPUTED_VALUE"""),"")</f>
        <v/>
      </c>
      <c r="AO501" s="1" t="str">
        <f>IFERROR(__xludf.DUMMYFUNCTION("""COMPUTED_VALUE"""),"")</f>
        <v/>
      </c>
      <c r="AP501" s="1" t="str">
        <f>IFERROR(__xludf.DUMMYFUNCTION("""COMPUTED_VALUE"""),"")</f>
        <v/>
      </c>
      <c r="AQ501" s="1" t="str">
        <f>IFERROR(__xludf.DUMMYFUNCTION("""COMPUTED_VALUE"""),"04/02/2026")</f>
        <v>04/02/2026</v>
      </c>
      <c r="AR501" s="1" t="str">
        <f>IFERROR(__xludf.DUMMYFUNCTION("""COMPUTED_VALUE"""),"04/02/2026")</f>
        <v>04/02/2026</v>
      </c>
    </row>
    <row r="502">
      <c r="A502" s="1" t="str">
        <f>IFERROR(__xludf.DUMMYFUNCTION("""COMPUTED_VALUE"""),"Metrobloks/ Lincoln Data Center")</f>
        <v>Metrobloks/ Lincoln Data Center</v>
      </c>
      <c r="B502" s="1" t="str">
        <f>IFERROR(__xludf.DUMMYFUNCTION("""COMPUTED_VALUE"""),"2515 Old Hughes Rd")</f>
        <v>2515 Old Hughes Rd</v>
      </c>
      <c r="C502" s="1" t="str">
        <f>IFERROR(__xludf.DUMMYFUNCTION("""COMPUTED_VALUE"""),"Liberty")</f>
        <v>Liberty</v>
      </c>
      <c r="D502" s="1" t="str">
        <f>IFERROR(__xludf.DUMMYFUNCTION("""COMPUTED_VALUE"""),"MO")</f>
        <v>MO</v>
      </c>
      <c r="E502" s="1" t="str">
        <f>IFERROR(__xludf.DUMMYFUNCTION("""COMPUTED_VALUE"""),"64068")</f>
        <v>64068</v>
      </c>
      <c r="F502" s="1" t="str">
        <f>IFERROR(__xludf.DUMMYFUNCTION("""COMPUTED_VALUE"""),"Clay")</f>
        <v>Clay</v>
      </c>
      <c r="G502" s="1" t="str">
        <f>IFERROR(__xludf.DUMMYFUNCTION("""COMPUTED_VALUE"""),"39.207115")</f>
        <v>39.207115</v>
      </c>
      <c r="H502" s="1" t="str">
        <f>IFERROR(__xludf.DUMMYFUNCTION("""COMPUTED_VALUE"""),"-94.45515")</f>
        <v>-94.45515</v>
      </c>
      <c r="I502" s="1" t="str">
        <f>IFERROR(__xludf.DUMMYFUNCTION("""COMPUTED_VALUE"""),"Proposed")</f>
        <v>Proposed</v>
      </c>
      <c r="J502" s="1" t="str">
        <f>IFERROR(__xludf.DUMMYFUNCTION("""COMPUTED_VALUE"""),"High")</f>
        <v>High</v>
      </c>
      <c r="K502" s="1" t="str">
        <f>IFERROR(__xludf.DUMMYFUNCTION("""COMPUTED_VALUE"""),"")</f>
        <v/>
      </c>
      <c r="L502" s="1" t="str">
        <f>IFERROR(__xludf.DUMMYFUNCTION("""COMPUTED_VALUE"""),"")</f>
        <v/>
      </c>
      <c r="M502" s="1" t="str">
        <f>IFERROR(__xludf.DUMMYFUNCTION("""COMPUTED_VALUE"""),"")</f>
        <v/>
      </c>
      <c r="N502" s="1" t="str">
        <f>IFERROR(__xludf.DUMMYFUNCTION("""COMPUTED_VALUE"""),"150")</f>
        <v>150</v>
      </c>
      <c r="O502" s="1" t="str">
        <f>IFERROR(__xludf.DUMMYFUNCTION("""COMPUTED_VALUE"""),"Hyperscale (100-999 MW)")</f>
        <v>Hyperscale (100-999 MW)</v>
      </c>
      <c r="P502" s="1" t="str">
        <f>IFERROR(__xludf.DUMMYFUNCTION("""COMPUTED_VALUE"""),"")</f>
        <v/>
      </c>
      <c r="Q502" s="1" t="str">
        <f>IFERROR(__xludf.DUMMYFUNCTION("""COMPUTED_VALUE"""),"")</f>
        <v/>
      </c>
      <c r="R502" s="1" t="str">
        <f>IFERROR(__xludf.DUMMYFUNCTION("""COMPUTED_VALUE"""),"")</f>
        <v/>
      </c>
      <c r="S502" s="1" t="str">
        <f>IFERROR(__xludf.DUMMYFUNCTION("""COMPUTED_VALUE"""),"3")</f>
        <v>3</v>
      </c>
      <c r="T502" s="1" t="str">
        <f>IFERROR(__xludf.DUMMYFUNCTION("""COMPUTED_VALUE"""),"")</f>
        <v/>
      </c>
      <c r="U502" s="1" t="str">
        <f>IFERROR(__xludf.DUMMYFUNCTION("""COMPUTED_VALUE"""),"")</f>
        <v/>
      </c>
      <c r="V502" s="1" t="str">
        <f>IFERROR(__xludf.DUMMYFUNCTION("""COMPUTED_VALUE"""),"568,000")</f>
        <v>568,000</v>
      </c>
      <c r="W502" s="1" t="str">
        <f>IFERROR(__xludf.DUMMYFUNCTION("""COMPUTED_VALUE"""),"30")</f>
        <v>30</v>
      </c>
      <c r="X502" s="1" t="str">
        <f>IFERROR(__xludf.DUMMYFUNCTION("""COMPUTED_VALUE"""),"$1.4 billion")</f>
        <v>$1.4 billion</v>
      </c>
      <c r="Y502" s="1" t="str">
        <f>IFERROR(__xludf.DUMMYFUNCTION("""COMPUTED_VALUE"""),"")</f>
        <v/>
      </c>
      <c r="Z502" s="1" t="str">
        <f>IFERROR(__xludf.DUMMYFUNCTION("""COMPUTED_VALUE"""),"Unknown")</f>
        <v>Unknown</v>
      </c>
      <c r="AA502" s="1" t="str">
        <f>IFERROR(__xludf.DUMMYFUNCTION("""COMPUTED_VALUE"""),"")</f>
        <v/>
      </c>
      <c r="AB502" s="1" t="str">
        <f>IFERROR(__xludf.DUMMYFUNCTION("""COMPUTED_VALUE"""),"")</f>
        <v/>
      </c>
      <c r="AC502" s="1" t="str">
        <f>IFERROR(__xludf.DUMMYFUNCTION("""COMPUTED_VALUE"""),"")</f>
        <v/>
      </c>
      <c r="AD502" s="1" t="str">
        <f>IFERROR(__xludf.DUMMYFUNCTION("""COMPUTED_VALUE"""),"")</f>
        <v/>
      </c>
      <c r="AE502" s="1" t="str">
        <f>IFERROR(__xludf.DUMMYFUNCTION("""COMPUTED_VALUE"""),"")</f>
        <v/>
      </c>
      <c r="AF502" s="1" t="str">
        <f>IFERROR(__xludf.DUMMYFUNCTION("""COMPUTED_VALUE"""),"")</f>
        <v/>
      </c>
      <c r="AG502" s="1" t="str">
        <f>IFERROR(__xludf.DUMMYFUNCTION("""COMPUTED_VALUE"""),"")</f>
        <v/>
      </c>
      <c r="AH502" s="1" t="str">
        <f>IFERROR(__xludf.DUMMYFUNCTION("""COMPUTED_VALUE"""),"Media Monitoring")</f>
        <v>Media Monitoring</v>
      </c>
      <c r="AI502" s="2" t="str">
        <f>IFERROR(__xludf.DUMMYFUNCTION("""COMPUTED_VALUE"""),"https://www.datacenterdynamics.com/en/news/lincoln-property-partners-with-data-center-firm-metrobloks-for-kansas-city-data-center/")</f>
        <v>https://www.datacenterdynamics.com/en/news/lincoln-property-partners-with-data-center-firm-metrobloks-for-kansas-city-data-center/</v>
      </c>
      <c r="AJ502" s="2" t="str">
        <f>IFERROR(__xludf.DUMMYFUNCTION("""COMPUTED_VALUE"""),"https://www.datacenterdynamics.com/en/news/metrobloks-announces-plans-for-three-building-data-center-campus-in-kansas-city-missouri/")</f>
        <v>https://www.datacenterdynamics.com/en/news/metrobloks-announces-plans-for-three-building-data-center-campus-in-kansas-city-missouri/</v>
      </c>
      <c r="AK502" s="1" t="str">
        <f>IFERROR(__xludf.DUMMYFUNCTION("""COMPUTED_VALUE"""),"")</f>
        <v/>
      </c>
      <c r="AL502" s="1" t="str">
        <f>IFERROR(__xludf.DUMMYFUNCTION("""COMPUTED_VALUE"""),"")</f>
        <v/>
      </c>
      <c r="AM502" s="1" t="str">
        <f>IFERROR(__xludf.DUMMYFUNCTION("""COMPUTED_VALUE"""),"")</f>
        <v/>
      </c>
      <c r="AN502" s="1" t="str">
        <f>IFERROR(__xludf.DUMMYFUNCTION("""COMPUTED_VALUE"""),"")</f>
        <v/>
      </c>
      <c r="AO502" s="1" t="str">
        <f>IFERROR(__xludf.DUMMYFUNCTION("""COMPUTED_VALUE"""),"")</f>
        <v/>
      </c>
      <c r="AP502" s="1" t="str">
        <f>IFERROR(__xludf.DUMMYFUNCTION("""COMPUTED_VALUE"""),"")</f>
        <v/>
      </c>
      <c r="AQ502" s="1" t="str">
        <f>IFERROR(__xludf.DUMMYFUNCTION("""COMPUTED_VALUE"""),"05/05/2026")</f>
        <v>05/05/2026</v>
      </c>
      <c r="AR502" s="1" t="str">
        <f>IFERROR(__xludf.DUMMYFUNCTION("""COMPUTED_VALUE"""),"05/05/2026")</f>
        <v>05/05/2026</v>
      </c>
    </row>
    <row r="503">
      <c r="A503" s="1" t="str">
        <f>IFERROR(__xludf.DUMMYFUNCTION("""COMPUTED_VALUE"""),"Lumon Solutions Data Center")</f>
        <v>Lumon Solutions Data Center</v>
      </c>
      <c r="B503" s="1" t="str">
        <f>IFERROR(__xludf.DUMMYFUNCTION("""COMPUTED_VALUE"""),"Rifle Range Rd")</f>
        <v>Rifle Range Rd</v>
      </c>
      <c r="C503" s="1" t="str">
        <f>IFERROR(__xludf.DUMMYFUNCTION("""COMPUTED_VALUE"""),"Marshfield")</f>
        <v>Marshfield</v>
      </c>
      <c r="D503" s="1" t="str">
        <f>IFERROR(__xludf.DUMMYFUNCTION("""COMPUTED_VALUE"""),"MO")</f>
        <v>MO</v>
      </c>
      <c r="E503" s="1" t="str">
        <f>IFERROR(__xludf.DUMMYFUNCTION("""COMPUTED_VALUE"""),"65706")</f>
        <v>65706</v>
      </c>
      <c r="F503" s="1" t="str">
        <f>IFERROR(__xludf.DUMMYFUNCTION("""COMPUTED_VALUE"""),"Webster")</f>
        <v>Webster</v>
      </c>
      <c r="G503" s="1" t="str">
        <f>IFERROR(__xludf.DUMMYFUNCTION("""COMPUTED_VALUE"""),"37.366604")</f>
        <v>37.366604</v>
      </c>
      <c r="H503" s="1" t="str">
        <f>IFERROR(__xludf.DUMMYFUNCTION("""COMPUTED_VALUE"""),"-92.883446")</f>
        <v>-92.883446</v>
      </c>
      <c r="I503" s="1" t="str">
        <f>IFERROR(__xludf.DUMMYFUNCTION("""COMPUTED_VALUE"""),"Proposed")</f>
        <v>Proposed</v>
      </c>
      <c r="J503" s="1" t="str">
        <f>IFERROR(__xludf.DUMMYFUNCTION("""COMPUTED_VALUE"""),"Medium")</f>
        <v>Medium</v>
      </c>
      <c r="K503" s="1" t="str">
        <f>IFERROR(__xludf.DUMMYFUNCTION("""COMPUTED_VALUE"""),"")</f>
        <v/>
      </c>
      <c r="L503" s="1" t="str">
        <f>IFERROR(__xludf.DUMMYFUNCTION("""COMPUTED_VALUE"""),"")</f>
        <v/>
      </c>
      <c r="M503" s="1" t="str">
        <f>IFERROR(__xludf.DUMMYFUNCTION("""COMPUTED_VALUE"""),"")</f>
        <v/>
      </c>
      <c r="N503" s="1" t="str">
        <f>IFERROR(__xludf.DUMMYFUNCTION("""COMPUTED_VALUE"""),"")</f>
        <v/>
      </c>
      <c r="O503" s="1" t="str">
        <f>IFERROR(__xludf.DUMMYFUNCTION("""COMPUTED_VALUE"""),"Small (0-10 MW)")</f>
        <v>Small (0-10 MW)</v>
      </c>
      <c r="P503" s="1" t="str">
        <f>IFERROR(__xludf.DUMMYFUNCTION("""COMPUTED_VALUE"""),"Grid (unspecified mix)")</f>
        <v>Grid (unspecified mix)</v>
      </c>
      <c r="Q503" s="1" t="str">
        <f>IFERROR(__xludf.DUMMYFUNCTION("""COMPUTED_VALUE"""),"")</f>
        <v/>
      </c>
      <c r="R503" s="1" t="str">
        <f>IFERROR(__xludf.DUMMYFUNCTION("""COMPUTED_VALUE"""),"")</f>
        <v/>
      </c>
      <c r="S503" s="1" t="str">
        <f>IFERROR(__xludf.DUMMYFUNCTION("""COMPUTED_VALUE"""),"8")</f>
        <v>8</v>
      </c>
      <c r="T503" s="1" t="str">
        <f>IFERROR(__xludf.DUMMYFUNCTION("""COMPUTED_VALUE"""),"Air")</f>
        <v>Air</v>
      </c>
      <c r="U503" s="1" t="str">
        <f>IFERROR(__xludf.DUMMYFUNCTION("""COMPUTED_VALUE"""),"Closed loop")</f>
        <v>Closed loop</v>
      </c>
      <c r="V503" s="1" t="str">
        <f>IFERROR(__xludf.DUMMYFUNCTION("""COMPUTED_VALUE"""),"4800")</f>
        <v>4800</v>
      </c>
      <c r="W503" s="1" t="str">
        <f>IFERROR(__xludf.DUMMYFUNCTION("""COMPUTED_VALUE"""),"5")</f>
        <v>5</v>
      </c>
      <c r="X503" s="1" t="str">
        <f>IFERROR(__xludf.DUMMYFUNCTION("""COMPUTED_VALUE"""),"")</f>
        <v/>
      </c>
      <c r="Y503" s="1" t="str">
        <f>IFERROR(__xludf.DUMMYFUNCTION("""COMPUTED_VALUE"""),"")</f>
        <v/>
      </c>
      <c r="Z503" s="1" t="str">
        <f>IFERROR(__xludf.DUMMYFUNCTION("""COMPUTED_VALUE"""),"Yes")</f>
        <v>Yes</v>
      </c>
      <c r="AA503" s="1" t="str">
        <f>IFERROR(__xludf.DUMMYFUNCTION("""COMPUTED_VALUE"""),"")</f>
        <v/>
      </c>
      <c r="AB503" s="1" t="str">
        <f>IFERROR(__xludf.DUMMYFUNCTION("""COMPUTED_VALUE"""),"Emerging Concern")</f>
        <v>Emerging Concern</v>
      </c>
      <c r="AC503" s="1" t="str">
        <f>IFERROR(__xludf.DUMMYFUNCTION("""COMPUTED_VALUE"""),"")</f>
        <v/>
      </c>
      <c r="AD503" s="1" t="str">
        <f>IFERROR(__xludf.DUMMYFUNCTION("""COMPUTED_VALUE"""),"")</f>
        <v/>
      </c>
      <c r="AE503" s="1" t="str">
        <f>IFERROR(__xludf.DUMMYFUNCTION("""COMPUTED_VALUE"""),"")</f>
        <v/>
      </c>
      <c r="AF503" s="1" t="str">
        <f>IFERROR(__xludf.DUMMYFUNCTION("""COMPUTED_VALUE"""),"")</f>
        <v/>
      </c>
      <c r="AG503" s="1" t="str">
        <f>IFERROR(__xludf.DUMMYFUNCTION("""COMPUTED_VALUE"""),"Modular units, 10 by 60 feet")</f>
        <v>Modular units, 10 by 60 feet</v>
      </c>
      <c r="AH503" s="1" t="str">
        <f>IFERROR(__xludf.DUMMYFUNCTION("""COMPUTED_VALUE"""),"Media Monitoring")</f>
        <v>Media Monitoring</v>
      </c>
      <c r="AI503" s="2" t="str">
        <f>IFERROR(__xludf.DUMMYFUNCTION("""COMPUTED_VALUE"""),"https://www.datacenterdynamics.com/en/news/developer-lumon-solutions-backing-data-center-project-in-marshfield-missouri/")</f>
        <v>https://www.datacenterdynamics.com/en/news/developer-lumon-solutions-backing-data-center-project-in-marshfield-missouri/</v>
      </c>
      <c r="AJ503" s="2" t="str">
        <f>IFERROR(__xludf.DUMMYFUNCTION("""COMPUTED_VALUE"""),"https://sbj.net/stories/webster-county-data-center,104328")</f>
        <v>https://sbj.net/stories/webster-county-data-center,104328</v>
      </c>
      <c r="AK503" s="1" t="str">
        <f>IFERROR(__xludf.DUMMYFUNCTION("""COMPUTED_VALUE"""),"")</f>
        <v/>
      </c>
      <c r="AL503" s="1" t="str">
        <f>IFERROR(__xludf.DUMMYFUNCTION("""COMPUTED_VALUE"""),"")</f>
        <v/>
      </c>
      <c r="AM503" s="1" t="str">
        <f>IFERROR(__xludf.DUMMYFUNCTION("""COMPUTED_VALUE"""),"")</f>
        <v/>
      </c>
      <c r="AN503" s="1" t="str">
        <f>IFERROR(__xludf.DUMMYFUNCTION("""COMPUTED_VALUE"""),"")</f>
        <v/>
      </c>
      <c r="AO503" s="1" t="str">
        <f>IFERROR(__xludf.DUMMYFUNCTION("""COMPUTED_VALUE"""),"")</f>
        <v/>
      </c>
      <c r="AP503" s="1" t="str">
        <f>IFERROR(__xludf.DUMMYFUNCTION("""COMPUTED_VALUE"""),"")</f>
        <v/>
      </c>
      <c r="AQ503" s="1" t="str">
        <f>IFERROR(__xludf.DUMMYFUNCTION("""COMPUTED_VALUE"""),"05/20/2026")</f>
        <v>05/20/2026</v>
      </c>
      <c r="AR503" s="1" t="str">
        <f>IFERROR(__xludf.DUMMYFUNCTION("""COMPUTED_VALUE"""),"05/20/2026")</f>
        <v>05/20/2026</v>
      </c>
    </row>
    <row r="504">
      <c r="A504" s="1" t="str">
        <f>IFERROR(__xludf.DUMMYFUNCTION("""COMPUTED_VALUE"""),"Swarm Systems Data Center")</f>
        <v>Swarm Systems Data Center</v>
      </c>
      <c r="B504" s="1" t="str">
        <f>IFERROR(__xludf.DUMMYFUNCTION("""COMPUTED_VALUE"""),"630 George Rd")</f>
        <v>630 George Rd</v>
      </c>
      <c r="C504" s="1" t="str">
        <f>IFERROR(__xludf.DUMMYFUNCTION("""COMPUTED_VALUE"""),"Marshfield")</f>
        <v>Marshfield</v>
      </c>
      <c r="D504" s="1" t="str">
        <f>IFERROR(__xludf.DUMMYFUNCTION("""COMPUTED_VALUE"""),"MO")</f>
        <v>MO</v>
      </c>
      <c r="E504" s="1" t="str">
        <f>IFERROR(__xludf.DUMMYFUNCTION("""COMPUTED_VALUE"""),"65706")</f>
        <v>65706</v>
      </c>
      <c r="F504" s="1" t="str">
        <f>IFERROR(__xludf.DUMMYFUNCTION("""COMPUTED_VALUE"""),"Webster")</f>
        <v>Webster</v>
      </c>
      <c r="G504" s="1" t="str">
        <f>IFERROR(__xludf.DUMMYFUNCTION("""COMPUTED_VALUE"""),"37.331158")</f>
        <v>37.331158</v>
      </c>
      <c r="H504" s="1" t="str">
        <f>IFERROR(__xludf.DUMMYFUNCTION("""COMPUTED_VALUE"""),"-92.921234")</f>
        <v>-92.921234</v>
      </c>
      <c r="I504" s="1" t="str">
        <f>IFERROR(__xludf.DUMMYFUNCTION("""COMPUTED_VALUE"""),"Proposed")</f>
        <v>Proposed</v>
      </c>
      <c r="J504" s="1" t="str">
        <f>IFERROR(__xludf.DUMMYFUNCTION("""COMPUTED_VALUE"""),"High")</f>
        <v>High</v>
      </c>
      <c r="K504" s="1" t="str">
        <f>IFERROR(__xludf.DUMMYFUNCTION("""COMPUTED_VALUE"""),"")</f>
        <v/>
      </c>
      <c r="L504" s="1" t="str">
        <f>IFERROR(__xludf.DUMMYFUNCTION("""COMPUTED_VALUE"""),"")</f>
        <v/>
      </c>
      <c r="M504" s="1" t="str">
        <f>IFERROR(__xludf.DUMMYFUNCTION("""COMPUTED_VALUE"""),"")</f>
        <v/>
      </c>
      <c r="N504" s="1" t="str">
        <f>IFERROR(__xludf.DUMMYFUNCTION("""COMPUTED_VALUE"""),"20")</f>
        <v>20</v>
      </c>
      <c r="O504" s="1" t="str">
        <f>IFERROR(__xludf.DUMMYFUNCTION("""COMPUTED_VALUE"""),"Medium (11-50 MW)")</f>
        <v>Medium (11-50 MW)</v>
      </c>
      <c r="P504" s="1" t="str">
        <f>IFERROR(__xludf.DUMMYFUNCTION("""COMPUTED_VALUE"""),"")</f>
        <v/>
      </c>
      <c r="Q504" s="1" t="str">
        <f>IFERROR(__xludf.DUMMYFUNCTION("""COMPUTED_VALUE"""),"")</f>
        <v/>
      </c>
      <c r="R504" s="1" t="str">
        <f>IFERROR(__xludf.DUMMYFUNCTION("""COMPUTED_VALUE"""),"")</f>
        <v/>
      </c>
      <c r="S504" s="1" t="str">
        <f>IFERROR(__xludf.DUMMYFUNCTION("""COMPUTED_VALUE"""),"")</f>
        <v/>
      </c>
      <c r="T504" s="1" t="str">
        <f>IFERROR(__xludf.DUMMYFUNCTION("""COMPUTED_VALUE"""),"")</f>
        <v/>
      </c>
      <c r="U504" s="1" t="str">
        <f>IFERROR(__xludf.DUMMYFUNCTION("""COMPUTED_VALUE"""),"")</f>
        <v/>
      </c>
      <c r="V504" s="1" t="str">
        <f>IFERROR(__xludf.DUMMYFUNCTION("""COMPUTED_VALUE"""),"")</f>
        <v/>
      </c>
      <c r="W504" s="1" t="str">
        <f>IFERROR(__xludf.DUMMYFUNCTION("""COMPUTED_VALUE"""),"")</f>
        <v/>
      </c>
      <c r="X504" s="1" t="str">
        <f>IFERROR(__xludf.DUMMYFUNCTION("""COMPUTED_VALUE"""),"")</f>
        <v/>
      </c>
      <c r="Y504" s="1" t="str">
        <f>IFERROR(__xludf.DUMMYFUNCTION("""COMPUTED_VALUE"""),"2027")</f>
        <v>2027</v>
      </c>
      <c r="Z504" s="1" t="str">
        <f>IFERROR(__xludf.DUMMYFUNCTION("""COMPUTED_VALUE"""),"Unknown")</f>
        <v>Unknown</v>
      </c>
      <c r="AA504" s="1" t="str">
        <f>IFERROR(__xludf.DUMMYFUNCTION("""COMPUTED_VALUE"""),"")</f>
        <v/>
      </c>
      <c r="AB504" s="1" t="str">
        <f>IFERROR(__xludf.DUMMYFUNCTION("""COMPUTED_VALUE"""),"")</f>
        <v/>
      </c>
      <c r="AC504" s="1" t="str">
        <f>IFERROR(__xludf.DUMMYFUNCTION("""COMPUTED_VALUE"""),"")</f>
        <v/>
      </c>
      <c r="AD504" s="1" t="str">
        <f>IFERROR(__xludf.DUMMYFUNCTION("""COMPUTED_VALUE"""),"")</f>
        <v/>
      </c>
      <c r="AE504" s="1" t="str">
        <f>IFERROR(__xludf.DUMMYFUNCTION("""COMPUTED_VALUE"""),"")</f>
        <v/>
      </c>
      <c r="AF504" s="1" t="str">
        <f>IFERROR(__xludf.DUMMYFUNCTION("""COMPUTED_VALUE"""),"")</f>
        <v/>
      </c>
      <c r="AG504" s="1" t="str">
        <f>IFERROR(__xludf.DUMMYFUNCTION("""COMPUTED_VALUE"""),"")</f>
        <v/>
      </c>
      <c r="AH504" s="1" t="str">
        <f>IFERROR(__xludf.DUMMYFUNCTION("""COMPUTED_VALUE"""),"Media Monitoring")</f>
        <v>Media Monitoring</v>
      </c>
      <c r="AI504" s="2" t="str">
        <f>IFERROR(__xludf.DUMMYFUNCTION("""COMPUTED_VALUE"""),"https://sbj.net/stories/webster-county-data-center,104328")</f>
        <v>https://sbj.net/stories/webster-county-data-center,104328</v>
      </c>
      <c r="AJ504" s="1" t="str">
        <f>IFERROR(__xludf.DUMMYFUNCTION("""COMPUTED_VALUE"""),"")</f>
        <v/>
      </c>
      <c r="AK504" s="1" t="str">
        <f>IFERROR(__xludf.DUMMYFUNCTION("""COMPUTED_VALUE"""),"")</f>
        <v/>
      </c>
      <c r="AL504" s="1" t="str">
        <f>IFERROR(__xludf.DUMMYFUNCTION("""COMPUTED_VALUE"""),"")</f>
        <v/>
      </c>
      <c r="AM504" s="1" t="str">
        <f>IFERROR(__xludf.DUMMYFUNCTION("""COMPUTED_VALUE"""),"")</f>
        <v/>
      </c>
      <c r="AN504" s="1" t="str">
        <f>IFERROR(__xludf.DUMMYFUNCTION("""COMPUTED_VALUE"""),"")</f>
        <v/>
      </c>
      <c r="AO504" s="1" t="str">
        <f>IFERROR(__xludf.DUMMYFUNCTION("""COMPUTED_VALUE"""),"")</f>
        <v/>
      </c>
      <c r="AP504" s="1" t="str">
        <f>IFERROR(__xludf.DUMMYFUNCTION("""COMPUTED_VALUE"""),"")</f>
        <v/>
      </c>
      <c r="AQ504" s="1" t="str">
        <f>IFERROR(__xludf.DUMMYFUNCTION("""COMPUTED_VALUE"""),"05/20/2026")</f>
        <v>05/20/2026</v>
      </c>
      <c r="AR504" s="1" t="str">
        <f>IFERROR(__xludf.DUMMYFUNCTION("""COMPUTED_VALUE"""),"05/20/2026")</f>
        <v>05/20/2026</v>
      </c>
    </row>
    <row r="505">
      <c r="A505" s="1" t="str">
        <f>IFERROR(__xludf.DUMMYFUNCTION("""COMPUTED_VALUE"""),"ReLoad Data Center")</f>
        <v>ReLoad Data Center</v>
      </c>
      <c r="B505" s="1" t="str">
        <f>IFERROR(__xludf.DUMMYFUNCTION("""COMPUTED_VALUE"""),"Southern Nodaway County, possibly off Galaxy Rd")</f>
        <v>Southern Nodaway County, possibly off Galaxy Rd</v>
      </c>
      <c r="C505" s="1" t="str">
        <f>IFERROR(__xludf.DUMMYFUNCTION("""COMPUTED_VALUE"""),"Maryville")</f>
        <v>Maryville</v>
      </c>
      <c r="D505" s="1" t="str">
        <f>IFERROR(__xludf.DUMMYFUNCTION("""COMPUTED_VALUE"""),"MO")</f>
        <v>MO</v>
      </c>
      <c r="E505" s="1" t="str">
        <f>IFERROR(__xludf.DUMMYFUNCTION("""COMPUTED_VALUE"""),"")</f>
        <v/>
      </c>
      <c r="F505" s="1" t="str">
        <f>IFERROR(__xludf.DUMMYFUNCTION("""COMPUTED_VALUE"""),"Nodaway")</f>
        <v>Nodaway</v>
      </c>
      <c r="G505" s="1" t="str">
        <f>IFERROR(__xludf.DUMMYFUNCTION("""COMPUTED_VALUE"""),"40.255207")</f>
        <v>40.255207</v>
      </c>
      <c r="H505" s="1" t="str">
        <f>IFERROR(__xludf.DUMMYFUNCTION("""COMPUTED_VALUE"""),"-94.97283")</f>
        <v>-94.97283</v>
      </c>
      <c r="I505" s="1" t="str">
        <f>IFERROR(__xludf.DUMMYFUNCTION("""COMPUTED_VALUE"""),"Proposed")</f>
        <v>Proposed</v>
      </c>
      <c r="J505" s="1" t="str">
        <f>IFERROR(__xludf.DUMMYFUNCTION("""COMPUTED_VALUE"""),"Low")</f>
        <v>Low</v>
      </c>
      <c r="K505" s="1" t="str">
        <f>IFERROR(__xludf.DUMMYFUNCTION("""COMPUTED_VALUE"""),"")</f>
        <v/>
      </c>
      <c r="L505" s="1" t="str">
        <f>IFERROR(__xludf.DUMMYFUNCTION("""COMPUTED_VALUE"""),"ReLoad")</f>
        <v>ReLoad</v>
      </c>
      <c r="M505" s="1" t="str">
        <f>IFERROR(__xludf.DUMMYFUNCTION("""COMPUTED_VALUE"""),"")</f>
        <v/>
      </c>
      <c r="N505" s="1" t="str">
        <f>IFERROR(__xludf.DUMMYFUNCTION("""COMPUTED_VALUE"""),"")</f>
        <v/>
      </c>
      <c r="O505" s="1" t="str">
        <f>IFERROR(__xludf.DUMMYFUNCTION("""COMPUTED_VALUE"""),"Hyperscale (100-999 MW)")</f>
        <v>Hyperscale (100-999 MW)</v>
      </c>
      <c r="P505" s="1" t="str">
        <f>IFERROR(__xludf.DUMMYFUNCTION("""COMPUTED_VALUE"""),"")</f>
        <v/>
      </c>
      <c r="Q505" s="1" t="str">
        <f>IFERROR(__xludf.DUMMYFUNCTION("""COMPUTED_VALUE"""),"")</f>
        <v/>
      </c>
      <c r="R505" s="1" t="str">
        <f>IFERROR(__xludf.DUMMYFUNCTION("""COMPUTED_VALUE"""),"")</f>
        <v/>
      </c>
      <c r="S505" s="1" t="str">
        <f>IFERROR(__xludf.DUMMYFUNCTION("""COMPUTED_VALUE"""),"")</f>
        <v/>
      </c>
      <c r="T505" s="1" t="str">
        <f>IFERROR(__xludf.DUMMYFUNCTION("""COMPUTED_VALUE"""),"")</f>
        <v/>
      </c>
      <c r="U505" s="1" t="str">
        <f>IFERROR(__xludf.DUMMYFUNCTION("""COMPUTED_VALUE"""),"")</f>
        <v/>
      </c>
      <c r="V505" s="1" t="str">
        <f>IFERROR(__xludf.DUMMYFUNCTION("""COMPUTED_VALUE"""),"")</f>
        <v/>
      </c>
      <c r="W505" s="1" t="str">
        <f>IFERROR(__xludf.DUMMYFUNCTION("""COMPUTED_VALUE"""),"")</f>
        <v/>
      </c>
      <c r="X505" s="1" t="str">
        <f>IFERROR(__xludf.DUMMYFUNCTION("""COMPUTED_VALUE"""),"$4 billion")</f>
        <v>$4 billion</v>
      </c>
      <c r="Y505" s="1" t="str">
        <f>IFERROR(__xludf.DUMMYFUNCTION("""COMPUTED_VALUE"""),"")</f>
        <v/>
      </c>
      <c r="Z505" s="1" t="str">
        <f>IFERROR(__xludf.DUMMYFUNCTION("""COMPUTED_VALUE"""),"Yes")</f>
        <v>Yes</v>
      </c>
      <c r="AA505" s="1" t="str">
        <f>IFERROR(__xludf.DUMMYFUNCTION("""COMPUTED_VALUE"""),"")</f>
        <v/>
      </c>
      <c r="AB505" s="1" t="str">
        <f>IFERROR(__xludf.DUMMYFUNCTION("""COMPUTED_VALUE"""),"")</f>
        <v/>
      </c>
      <c r="AC505" s="1" t="str">
        <f>IFERROR(__xludf.DUMMYFUNCTION("""COMPUTED_VALUE"""),"")</f>
        <v/>
      </c>
      <c r="AD505" s="1" t="str">
        <f>IFERROR(__xludf.DUMMYFUNCTION("""COMPUTED_VALUE"""),"")</f>
        <v/>
      </c>
      <c r="AE505" s="1" t="str">
        <f>IFERROR(__xludf.DUMMYFUNCTION("""COMPUTED_VALUE"""),"")</f>
        <v/>
      </c>
      <c r="AF505" s="2" t="str">
        <f>IFERROR(__xludf.DUMMYFUNCTION("""COMPUTED_VALUE"""),"https://www.change.org/p/stop-the-ai-data-center-from-being-built-in-nodaway-county-and-other-missouri-counties")</f>
        <v>https://www.change.org/p/stop-the-ai-data-center-from-being-built-in-nodaway-county-and-other-missouri-counties</v>
      </c>
      <c r="AG505" s="1" t="str">
        <f>IFERROR(__xludf.DUMMYFUNCTION("""COMPUTED_VALUE"""),"Possbly near White Cloud wind farm. Very vague detail.")</f>
        <v>Possbly near White Cloud wind farm. Very vague detail.</v>
      </c>
      <c r="AH505" s="1" t="str">
        <f>IFERROR(__xludf.DUMMYFUNCTION("""COMPUTED_VALUE"""),"Crowdsourced")</f>
        <v>Crowdsourced</v>
      </c>
      <c r="AI505" s="2" t="str">
        <f>IFERROR(__xludf.DUMMYFUNCTION("""COMPUTED_VALUE"""),"https://www.maryvilleforum.com/news/commission-4-billion-ai-data-center-likely-to-go-forward/article_cbbfd4f8-aaad-43b8-8f8a-a3a4e6a6d990.html")</f>
        <v>https://www.maryvilleforum.com/news/commission-4-billion-ai-data-center-likely-to-go-forward/article_cbbfd4f8-aaad-43b8-8f8a-a3a4e6a6d990.html</v>
      </c>
      <c r="AJ505" s="2" t="str">
        <f>IFERROR(__xludf.DUMMYFUNCTION("""COMPUTED_VALUE"""),"https://www.kxcv.org/news/2026-03-11/with-little-public-notice-data-center-developers-consider-nodaway-county")</f>
        <v>https://www.kxcv.org/news/2026-03-11/with-little-public-notice-data-center-developers-consider-nodaway-county</v>
      </c>
      <c r="AK505" s="1" t="str">
        <f>IFERROR(__xludf.DUMMYFUNCTION("""COMPUTED_VALUE"""),"")</f>
        <v/>
      </c>
      <c r="AL505" s="1" t="str">
        <f>IFERROR(__xludf.DUMMYFUNCTION("""COMPUTED_VALUE"""),"")</f>
        <v/>
      </c>
      <c r="AM505" s="1" t="str">
        <f>IFERROR(__xludf.DUMMYFUNCTION("""COMPUTED_VALUE"""),"")</f>
        <v/>
      </c>
      <c r="AN505" s="1" t="str">
        <f>IFERROR(__xludf.DUMMYFUNCTION("""COMPUTED_VALUE"""),"")</f>
        <v/>
      </c>
      <c r="AO505" s="1" t="str">
        <f>IFERROR(__xludf.DUMMYFUNCTION("""COMPUTED_VALUE"""),"")</f>
        <v/>
      </c>
      <c r="AP505" s="1" t="str">
        <f>IFERROR(__xludf.DUMMYFUNCTION("""COMPUTED_VALUE"""),"")</f>
        <v/>
      </c>
      <c r="AQ505" s="1" t="str">
        <f>IFERROR(__xludf.DUMMYFUNCTION("""COMPUTED_VALUE"""),"04/22/2026")</f>
        <v>04/22/2026</v>
      </c>
      <c r="AR505" s="1" t="str">
        <f>IFERROR(__xludf.DUMMYFUNCTION("""COMPUTED_VALUE"""),"04/22/2026")</f>
        <v>04/22/2026</v>
      </c>
    </row>
    <row r="506">
      <c r="A506" s="1" t="str">
        <f>IFERROR(__xludf.DUMMYFUNCTION("""COMPUTED_VALUE"""),"Project Tiger Zou")</f>
        <v>Project Tiger Zou</v>
      </c>
      <c r="B506" s="1" t="str">
        <f>IFERROR(__xludf.DUMMYFUNCTION("""COMPUTED_VALUE"""),"5223 State Hwy AA")</f>
        <v>5223 State Hwy AA</v>
      </c>
      <c r="C506" s="1" t="str">
        <f>IFERROR(__xludf.DUMMYFUNCTION("""COMPUTED_VALUE"""),"Moberly")</f>
        <v>Moberly</v>
      </c>
      <c r="D506" s="1" t="str">
        <f>IFERROR(__xludf.DUMMYFUNCTION("""COMPUTED_VALUE"""),"MO")</f>
        <v>MO</v>
      </c>
      <c r="E506" s="1" t="str">
        <f>IFERROR(__xludf.DUMMYFUNCTION("""COMPUTED_VALUE"""),"65270")</f>
        <v>65270</v>
      </c>
      <c r="F506" s="1" t="str">
        <f>IFERROR(__xludf.DUMMYFUNCTION("""COMPUTED_VALUE"""),"Randolph")</f>
        <v>Randolph</v>
      </c>
      <c r="G506" s="1" t="str">
        <f>IFERROR(__xludf.DUMMYFUNCTION("""COMPUTED_VALUE"""),"39.345898")</f>
        <v>39.345898</v>
      </c>
      <c r="H506" s="1" t="str">
        <f>IFERROR(__xludf.DUMMYFUNCTION("""COMPUTED_VALUE"""),"-92.44693")</f>
        <v>-92.44693</v>
      </c>
      <c r="I506" s="1" t="str">
        <f>IFERROR(__xludf.DUMMYFUNCTION("""COMPUTED_VALUE"""),"Proposed")</f>
        <v>Proposed</v>
      </c>
      <c r="J506" s="1" t="str">
        <f>IFERROR(__xludf.DUMMYFUNCTION("""COMPUTED_VALUE"""),"Medium")</f>
        <v>Medium</v>
      </c>
      <c r="K506" s="1" t="str">
        <f>IFERROR(__xludf.DUMMYFUNCTION("""COMPUTED_VALUE"""),"")</f>
        <v/>
      </c>
      <c r="L506" s="1" t="str">
        <f>IFERROR(__xludf.DUMMYFUNCTION("""COMPUTED_VALUE"""),"")</f>
        <v/>
      </c>
      <c r="M506" s="1" t="str">
        <f>IFERROR(__xludf.DUMMYFUNCTION("""COMPUTED_VALUE"""),"")</f>
        <v/>
      </c>
      <c r="N506" s="1" t="str">
        <f>IFERROR(__xludf.DUMMYFUNCTION("""COMPUTED_VALUE"""),"")</f>
        <v/>
      </c>
      <c r="O506" s="1" t="str">
        <f>IFERROR(__xludf.DUMMYFUNCTION("""COMPUTED_VALUE"""),"Unknown")</f>
        <v>Unknown</v>
      </c>
      <c r="P506" s="1" t="str">
        <f>IFERROR(__xludf.DUMMYFUNCTION("""COMPUTED_VALUE"""),"")</f>
        <v/>
      </c>
      <c r="Q506" s="1" t="str">
        <f>IFERROR(__xludf.DUMMYFUNCTION("""COMPUTED_VALUE"""),"")</f>
        <v/>
      </c>
      <c r="R506" s="1" t="str">
        <f>IFERROR(__xludf.DUMMYFUNCTION("""COMPUTED_VALUE"""),"")</f>
        <v/>
      </c>
      <c r="S506" s="1" t="str">
        <f>IFERROR(__xludf.DUMMYFUNCTION("""COMPUTED_VALUE"""),"")</f>
        <v/>
      </c>
      <c r="T506" s="1" t="str">
        <f>IFERROR(__xludf.DUMMYFUNCTION("""COMPUTED_VALUE"""),"")</f>
        <v/>
      </c>
      <c r="U506" s="1" t="str">
        <f>IFERROR(__xludf.DUMMYFUNCTION("""COMPUTED_VALUE"""),"")</f>
        <v/>
      </c>
      <c r="V506" s="1" t="str">
        <f>IFERROR(__xludf.DUMMYFUNCTION("""COMPUTED_VALUE"""),"")</f>
        <v/>
      </c>
      <c r="W506" s="1" t="str">
        <f>IFERROR(__xludf.DUMMYFUNCTION("""COMPUTED_VALUE"""),"1000")</f>
        <v>1000</v>
      </c>
      <c r="X506" s="1" t="str">
        <f>IFERROR(__xludf.DUMMYFUNCTION("""COMPUTED_VALUE"""),"")</f>
        <v/>
      </c>
      <c r="Y506" s="1" t="str">
        <f>IFERROR(__xludf.DUMMYFUNCTION("""COMPUTED_VALUE"""),"")</f>
        <v/>
      </c>
      <c r="Z506" s="1" t="str">
        <f>IFERROR(__xludf.DUMMYFUNCTION("""COMPUTED_VALUE"""),"Unknown")</f>
        <v>Unknown</v>
      </c>
      <c r="AA506" s="1" t="str">
        <f>IFERROR(__xludf.DUMMYFUNCTION("""COMPUTED_VALUE"""),"")</f>
        <v/>
      </c>
      <c r="AB506" s="1" t="str">
        <f>IFERROR(__xludf.DUMMYFUNCTION("""COMPUTED_VALUE"""),"")</f>
        <v/>
      </c>
      <c r="AC506" s="1" t="str">
        <f>IFERROR(__xludf.DUMMYFUNCTION("""COMPUTED_VALUE"""),"Yes")</f>
        <v>Yes</v>
      </c>
      <c r="AD506" s="1" t="str">
        <f>IFERROR(__xludf.DUMMYFUNCTION("""COMPUTED_VALUE"""),"")</f>
        <v/>
      </c>
      <c r="AE506" s="1" t="str">
        <f>IFERROR(__xludf.DUMMYFUNCTION("""COMPUTED_VALUE"""),"")</f>
        <v/>
      </c>
      <c r="AF506" s="1" t="str">
        <f>IFERROR(__xludf.DUMMYFUNCTION("""COMPUTED_VALUE"""),"")</f>
        <v/>
      </c>
      <c r="AG506" s="1" t="str">
        <f>IFERROR(__xludf.DUMMYFUNCTION("""COMPUTED_VALUE"""),"Very vague details available")</f>
        <v>Very vague details available</v>
      </c>
      <c r="AH506" s="1" t="str">
        <f>IFERROR(__xludf.DUMMYFUNCTION("""COMPUTED_VALUE"""),"Crowdsourced")</f>
        <v>Crowdsourced</v>
      </c>
      <c r="AI506" s="2" t="str">
        <f>IFERROR(__xludf.DUMMYFUNCTION("""COMPUTED_VALUE"""),"https://jeremyhasnoplan.com/notes/missouri-data-center-gold-rush/")</f>
        <v>https://jeremyhasnoplan.com/notes/missouri-data-center-gold-rush/</v>
      </c>
      <c r="AJ506" s="2" t="str">
        <f>IFERROR(__xludf.DUMMYFUNCTION("""COMPUTED_VALUE"""),"https://mccmeetingspublic.blob.core.usgovcloudapi.net/moberly-meet-b1f2d06cb1df41dea662239e37259894/ITEM-Attachment-001-129fe376fd124959923d817f5399c4e1.pdf")</f>
        <v>https://mccmeetingspublic.blob.core.usgovcloudapi.net/moberly-meet-b1f2d06cb1df41dea662239e37259894/ITEM-Attachment-001-129fe376fd124959923d817f5399c4e1.pdf</v>
      </c>
      <c r="AK506" s="1" t="str">
        <f>IFERROR(__xludf.DUMMYFUNCTION("""COMPUTED_VALUE"""),"")</f>
        <v/>
      </c>
      <c r="AL506" s="1" t="str">
        <f>IFERROR(__xludf.DUMMYFUNCTION("""COMPUTED_VALUE"""),"")</f>
        <v/>
      </c>
      <c r="AM506" s="1" t="str">
        <f>IFERROR(__xludf.DUMMYFUNCTION("""COMPUTED_VALUE"""),"")</f>
        <v/>
      </c>
      <c r="AN506" s="1" t="str">
        <f>IFERROR(__xludf.DUMMYFUNCTION("""COMPUTED_VALUE"""),"")</f>
        <v/>
      </c>
      <c r="AO506" s="1" t="str">
        <f>IFERROR(__xludf.DUMMYFUNCTION("""COMPUTED_VALUE"""),"")</f>
        <v/>
      </c>
      <c r="AP506" s="1" t="str">
        <f>IFERROR(__xludf.DUMMYFUNCTION("""COMPUTED_VALUE"""),"")</f>
        <v/>
      </c>
      <c r="AQ506" s="1" t="str">
        <f>IFERROR(__xludf.DUMMYFUNCTION("""COMPUTED_VALUE"""),"04/21/2026")</f>
        <v>04/21/2026</v>
      </c>
      <c r="AR506" s="1" t="str">
        <f>IFERROR(__xludf.DUMMYFUNCTION("""COMPUTED_VALUE"""),"05/17/2026")</f>
        <v>05/17/2026</v>
      </c>
    </row>
    <row r="507">
      <c r="A507" s="1" t="str">
        <f>IFERROR(__xludf.DUMMYFUNCTION("""COMPUTED_VALUE"""),"Project Green ")</f>
        <v>Project Green </v>
      </c>
      <c r="B507" s="1" t="str">
        <f>IFERROR(__xludf.DUMMYFUNCTION("""COMPUTED_VALUE"""),"Lands west of Fairview and Ellis Rds")</f>
        <v>Lands west of Fairview and Ellis Rds</v>
      </c>
      <c r="C507" s="1" t="str">
        <f>IFERROR(__xludf.DUMMYFUNCTION("""COMPUTED_VALUE"""),"New Florence")</f>
        <v>New Florence</v>
      </c>
      <c r="D507" s="1" t="str">
        <f>IFERROR(__xludf.DUMMYFUNCTION("""COMPUTED_VALUE"""),"MO")</f>
        <v>MO</v>
      </c>
      <c r="E507" s="1" t="str">
        <f>IFERROR(__xludf.DUMMYFUNCTION("""COMPUTED_VALUE"""),"63363")</f>
        <v>63363</v>
      </c>
      <c r="F507" s="1" t="str">
        <f>IFERROR(__xludf.DUMMYFUNCTION("""COMPUTED_VALUE"""),"Montgomery")</f>
        <v>Montgomery</v>
      </c>
      <c r="G507" s="1" t="str">
        <f>IFERROR(__xludf.DUMMYFUNCTION("""COMPUTED_VALUE"""),"38.905663")</f>
        <v>38.905663</v>
      </c>
      <c r="H507" s="1" t="str">
        <f>IFERROR(__xludf.DUMMYFUNCTION("""COMPUTED_VALUE"""),"-91.41777")</f>
        <v>-91.41777</v>
      </c>
      <c r="I507" s="1" t="str">
        <f>IFERROR(__xludf.DUMMYFUNCTION("""COMPUTED_VALUE"""),"Proposed")</f>
        <v>Proposed</v>
      </c>
      <c r="J507" s="1" t="str">
        <f>IFERROR(__xludf.DUMMYFUNCTION("""COMPUTED_VALUE"""),"High")</f>
        <v>High</v>
      </c>
      <c r="K507" s="1" t="str">
        <f>IFERROR(__xludf.DUMMYFUNCTION("""COMPUTED_VALUE"""),"")</f>
        <v/>
      </c>
      <c r="L507" s="1" t="str">
        <f>IFERROR(__xludf.DUMMYFUNCTION("""COMPUTED_VALUE"""),"NorthPoint Development/Amazon")</f>
        <v>NorthPoint Development/Amazon</v>
      </c>
      <c r="M507" s="1" t="str">
        <f>IFERROR(__xludf.DUMMYFUNCTION("""COMPUTED_VALUE"""),"")</f>
        <v/>
      </c>
      <c r="N507" s="1" t="str">
        <f>IFERROR(__xludf.DUMMYFUNCTION("""COMPUTED_VALUE"""),"")</f>
        <v/>
      </c>
      <c r="O507" s="1" t="str">
        <f>IFERROR(__xludf.DUMMYFUNCTION("""COMPUTED_VALUE"""),"Hyperscale (100-999 MW)")</f>
        <v>Hyperscale (100-999 MW)</v>
      </c>
      <c r="P507" s="1" t="str">
        <f>IFERROR(__xludf.DUMMYFUNCTION("""COMPUTED_VALUE"""),"")</f>
        <v/>
      </c>
      <c r="Q507" s="1" t="str">
        <f>IFERROR(__xludf.DUMMYFUNCTION("""COMPUTED_VALUE"""),"")</f>
        <v/>
      </c>
      <c r="R507" s="1" t="str">
        <f>IFERROR(__xludf.DUMMYFUNCTION("""COMPUTED_VALUE"""),"")</f>
        <v/>
      </c>
      <c r="S507" s="1" t="str">
        <f>IFERROR(__xludf.DUMMYFUNCTION("""COMPUTED_VALUE"""),"8-24")</f>
        <v>8-24</v>
      </c>
      <c r="T507" s="1" t="str">
        <f>IFERROR(__xludf.DUMMYFUNCTION("""COMPUTED_VALUE"""),"")</f>
        <v/>
      </c>
      <c r="U507" s="1" t="str">
        <f>IFERROR(__xludf.DUMMYFUNCTION("""COMPUTED_VALUE"""),"Closed loop")</f>
        <v>Closed loop</v>
      </c>
      <c r="V507" s="1" t="str">
        <f>IFERROR(__xludf.DUMMYFUNCTION("""COMPUTED_VALUE"""),"3,740,000")</f>
        <v>3,740,000</v>
      </c>
      <c r="W507" s="1" t="str">
        <f>IFERROR(__xludf.DUMMYFUNCTION("""COMPUTED_VALUE"""),"1000")</f>
        <v>1000</v>
      </c>
      <c r="X507" s="1" t="str">
        <f>IFERROR(__xludf.DUMMYFUNCTION("""COMPUTED_VALUE"""),"")</f>
        <v/>
      </c>
      <c r="Y507" s="1" t="str">
        <f>IFERROR(__xludf.DUMMYFUNCTION("""COMPUTED_VALUE"""),"")</f>
        <v/>
      </c>
      <c r="Z507" s="1" t="str">
        <f>IFERROR(__xludf.DUMMYFUNCTION("""COMPUTED_VALUE"""),"Yes")</f>
        <v>Yes</v>
      </c>
      <c r="AA507" s="1" t="str">
        <f>IFERROR(__xludf.DUMMYFUNCTION("""COMPUTED_VALUE"""),"Preserve Montgomery County, LLC files law suit")</f>
        <v>Preserve Montgomery County, LLC files law suit</v>
      </c>
      <c r="AB507" s="1" t="str">
        <f>IFERROR(__xludf.DUMMYFUNCTION("""COMPUTED_VALUE"""),"")</f>
        <v/>
      </c>
      <c r="AC507" s="1" t="str">
        <f>IFERROR(__xludf.DUMMYFUNCTION("""COMPUTED_VALUE"""),"")</f>
        <v/>
      </c>
      <c r="AD507" s="1" t="str">
        <f>IFERROR(__xludf.DUMMYFUNCTION("""COMPUTED_VALUE"""),"")</f>
        <v/>
      </c>
      <c r="AE507" s="1" t="str">
        <f>IFERROR(__xludf.DUMMYFUNCTION("""COMPUTED_VALUE"""),"")</f>
        <v/>
      </c>
      <c r="AF507" s="2" t="str">
        <f>IFERROR(__xludf.DUMMYFUNCTION("""COMPUTED_VALUE"""),"https://www.change.org/p/halt-the-construction-of-server-data-farms-threatening-our-rural-landscape/u/33097052")</f>
        <v>https://www.change.org/p/halt-the-construction-of-server-data-farms-threatening-our-rural-landscape/u/33097052</v>
      </c>
      <c r="AG507" s="1" t="str">
        <f>IFERROR(__xludf.DUMMYFUNCTION("""COMPUTED_VALUE"""),"Facility size could be 880,000-3,740,000 sq feet")</f>
        <v>Facility size could be 880,000-3,740,000 sq feet</v>
      </c>
      <c r="AH507" s="1" t="str">
        <f>IFERROR(__xludf.DUMMYFUNCTION("""COMPUTED_VALUE"""),"Media Monitoring")</f>
        <v>Media Monitoring</v>
      </c>
      <c r="AI507" s="2" t="str">
        <f>IFERROR(__xludf.DUMMYFUNCTION("""COMPUTED_VALUE"""),"https://krcgtv.com/news/local/residents-resist-proposed-amazon-development-data-center-projects-in-montgomery-county")</f>
        <v>https://krcgtv.com/news/local/residents-resist-proposed-amazon-development-data-center-projects-in-montgomery-county</v>
      </c>
      <c r="AJ507" s="2" t="str">
        <f>IFERROR(__xludf.DUMMYFUNCTION("""COMPUTED_VALUE"""),"https://www.datacenterdynamics.com/en/news/1000-acre-aws-data-center-campus-under-consideration-in-montgomery-county-missouri/")</f>
        <v>https://www.datacenterdynamics.com/en/news/1000-acre-aws-data-center-campus-under-consideration-in-montgomery-county-missouri/</v>
      </c>
      <c r="AK507" s="2" t="str">
        <f>IFERROR(__xludf.DUMMYFUNCTION("""COMPUTED_VALUE"""),"https://abc17news.com/news/top-stories/2026/02/17/lawsuit-filed-to-stop-montgomery-county-data-center/")</f>
        <v>https://abc17news.com/news/top-stories/2026/02/17/lawsuit-filed-to-stop-montgomery-county-data-center/</v>
      </c>
      <c r="AL507" s="2" t="str">
        <f>IFERROR(__xludf.DUMMYFUNCTION("""COMPUTED_VALUE"""),"https://abc17news.com/news/montgomery/2025/12/03/montgomery-county-approves-land-for-two-large-scale-projects-on-amazon-data-center-campus/")</f>
        <v>https://abc17news.com/news/montgomery/2025/12/03/montgomery-county-approves-land-for-two-large-scale-projects-on-amazon-data-center-campus/</v>
      </c>
      <c r="AM507" s="2" t="str">
        <f>IFERROR(__xludf.DUMMYFUNCTION("""COMPUTED_VALUE"""),"https://www.datacenterdynamics.com/en/news/amazon-commits-10bn-to-data-center-campus-in-montgomery-city-missouri/")</f>
        <v>https://www.datacenterdynamics.com/en/news/amazon-commits-10bn-to-data-center-campus-in-montgomery-city-missouri/</v>
      </c>
      <c r="AN507" s="1" t="str">
        <f>IFERROR(__xludf.DUMMYFUNCTION("""COMPUTED_VALUE"""),"")</f>
        <v/>
      </c>
      <c r="AO507" s="1" t="str">
        <f>IFERROR(__xludf.DUMMYFUNCTION("""COMPUTED_VALUE"""),"")</f>
        <v/>
      </c>
      <c r="AP507" s="1" t="str">
        <f>IFERROR(__xludf.DUMMYFUNCTION("""COMPUTED_VALUE"""),"")</f>
        <v/>
      </c>
      <c r="AQ507" s="1" t="str">
        <f>IFERROR(__xludf.DUMMYFUNCTION("""COMPUTED_VALUE"""),"12/13/2025")</f>
        <v>12/13/2025</v>
      </c>
      <c r="AR507" s="1" t="str">
        <f>IFERROR(__xludf.DUMMYFUNCTION("""COMPUTED_VALUE"""),"06/22/2026")</f>
        <v>06/22/2026</v>
      </c>
    </row>
    <row r="508">
      <c r="A508" s="1" t="str">
        <f>IFERROR(__xludf.DUMMYFUNCTION("""COMPUTED_VALUE"""),"Project Spade ")</f>
        <v>Project Spade </v>
      </c>
      <c r="B508" s="1" t="str">
        <f>IFERROR(__xludf.DUMMYFUNCTION("""COMPUTED_VALUE"""),"Old Hwy 19")</f>
        <v>Old Hwy 19</v>
      </c>
      <c r="C508" s="1" t="str">
        <f>IFERROR(__xludf.DUMMYFUNCTION("""COMPUTED_VALUE"""),"New Florence")</f>
        <v>New Florence</v>
      </c>
      <c r="D508" s="1" t="str">
        <f>IFERROR(__xludf.DUMMYFUNCTION("""COMPUTED_VALUE"""),"MO")</f>
        <v>MO</v>
      </c>
      <c r="E508" s="1" t="str">
        <f>IFERROR(__xludf.DUMMYFUNCTION("""COMPUTED_VALUE"""),"63363")</f>
        <v>63363</v>
      </c>
      <c r="F508" s="1" t="str">
        <f>IFERROR(__xludf.DUMMYFUNCTION("""COMPUTED_VALUE"""),"Montgomery")</f>
        <v>Montgomery</v>
      </c>
      <c r="G508" s="1" t="str">
        <f>IFERROR(__xludf.DUMMYFUNCTION("""COMPUTED_VALUE"""),"38.8889")</f>
        <v>38.8889</v>
      </c>
      <c r="H508" s="1" t="str">
        <f>IFERROR(__xludf.DUMMYFUNCTION("""COMPUTED_VALUE"""),"-91.440025")</f>
        <v>-91.440025</v>
      </c>
      <c r="I508" s="1" t="str">
        <f>IFERROR(__xludf.DUMMYFUNCTION("""COMPUTED_VALUE"""),"Proposed")</f>
        <v>Proposed</v>
      </c>
      <c r="J508" s="1" t="str">
        <f>IFERROR(__xludf.DUMMYFUNCTION("""COMPUTED_VALUE"""),"High")</f>
        <v>High</v>
      </c>
      <c r="K508" s="1" t="str">
        <f>IFERROR(__xludf.DUMMYFUNCTION("""COMPUTED_VALUE"""),"")</f>
        <v/>
      </c>
      <c r="L508" s="1" t="str">
        <f>IFERROR(__xludf.DUMMYFUNCTION("""COMPUTED_VALUE"""),"Related Digital/Google")</f>
        <v>Related Digital/Google</v>
      </c>
      <c r="M508" s="1" t="str">
        <f>IFERROR(__xludf.DUMMYFUNCTION("""COMPUTED_VALUE"""),"")</f>
        <v/>
      </c>
      <c r="N508" s="1" t="str">
        <f>IFERROR(__xludf.DUMMYFUNCTION("""COMPUTED_VALUE"""),"1200")</f>
        <v>1200</v>
      </c>
      <c r="O508" s="1" t="str">
        <f>IFERROR(__xludf.DUMMYFUNCTION("""COMPUTED_VALUE"""),"Mega campus (&gt;1,000 MW)")</f>
        <v>Mega campus (&gt;1,000 MW)</v>
      </c>
      <c r="P508" s="1" t="str">
        <f>IFERROR(__xludf.DUMMYFUNCTION("""COMPUTED_VALUE"""),"")</f>
        <v/>
      </c>
      <c r="Q508" s="1" t="str">
        <f>IFERROR(__xludf.DUMMYFUNCTION("""COMPUTED_VALUE"""),"")</f>
        <v/>
      </c>
      <c r="R508" s="1" t="str">
        <f>IFERROR(__xludf.DUMMYFUNCTION("""COMPUTED_VALUE"""),"")</f>
        <v/>
      </c>
      <c r="S508" s="1" t="str">
        <f>IFERROR(__xludf.DUMMYFUNCTION("""COMPUTED_VALUE"""),"3")</f>
        <v>3</v>
      </c>
      <c r="T508" s="1" t="str">
        <f>IFERROR(__xludf.DUMMYFUNCTION("""COMPUTED_VALUE"""),"")</f>
        <v/>
      </c>
      <c r="U508" s="1" t="str">
        <f>IFERROR(__xludf.DUMMYFUNCTION("""COMPUTED_VALUE"""),"")</f>
        <v/>
      </c>
      <c r="V508" s="1" t="str">
        <f>IFERROR(__xludf.DUMMYFUNCTION("""COMPUTED_VALUE"""),"3,242,760")</f>
        <v>3,242,760</v>
      </c>
      <c r="W508" s="1" t="str">
        <f>IFERROR(__xludf.DUMMYFUNCTION("""COMPUTED_VALUE"""),"910")</f>
        <v>910</v>
      </c>
      <c r="X508" s="1" t="str">
        <f>IFERROR(__xludf.DUMMYFUNCTION("""COMPUTED_VALUE"""),"")</f>
        <v/>
      </c>
      <c r="Y508" s="1" t="str">
        <f>IFERROR(__xludf.DUMMYFUNCTION("""COMPUTED_VALUE"""),"")</f>
        <v/>
      </c>
      <c r="Z508" s="1" t="str">
        <f>IFERROR(__xludf.DUMMYFUNCTION("""COMPUTED_VALUE"""),"Yes")</f>
        <v>Yes</v>
      </c>
      <c r="AA508" s="1" t="str">
        <f>IFERROR(__xludf.DUMMYFUNCTION("""COMPUTED_VALUE"""),"")</f>
        <v/>
      </c>
      <c r="AB508" s="1" t="str">
        <f>IFERROR(__xludf.DUMMYFUNCTION("""COMPUTED_VALUE"""),"")</f>
        <v/>
      </c>
      <c r="AC508" s="1" t="str">
        <f>IFERROR(__xludf.DUMMYFUNCTION("""COMPUTED_VALUE"""),"")</f>
        <v/>
      </c>
      <c r="AD508" s="1" t="str">
        <f>IFERROR(__xludf.DUMMYFUNCTION("""COMPUTED_VALUE"""),"")</f>
        <v/>
      </c>
      <c r="AE508" s="1" t="str">
        <f>IFERROR(__xludf.DUMMYFUNCTION("""COMPUTED_VALUE"""),"")</f>
        <v/>
      </c>
      <c r="AF508" s="1" t="str">
        <f>IFERROR(__xludf.DUMMYFUNCTION("""COMPUTED_VALUE"""),"")</f>
        <v/>
      </c>
      <c r="AG508" s="1" t="str">
        <f>IFERROR(__xludf.DUMMYFUNCTION("""COMPUTED_VALUE"""),"")</f>
        <v/>
      </c>
      <c r="AH508" s="1" t="str">
        <f>IFERROR(__xludf.DUMMYFUNCTION("""COMPUTED_VALUE"""),"Media Monitoring")</f>
        <v>Media Monitoring</v>
      </c>
      <c r="AI508" s="2" t="str">
        <f>IFERROR(__xludf.DUMMYFUNCTION("""COMPUTED_VALUE"""),"https://krcgtv.com/news/local/residents-resist-proposed-amazon-development-data-center-projects-in-montgomery-county")</f>
        <v>https://krcgtv.com/news/local/residents-resist-proposed-amazon-development-data-center-projects-in-montgomery-county</v>
      </c>
      <c r="AJ508" s="2" t="str">
        <f>IFERROR(__xludf.DUMMYFUNCTION("""COMPUTED_VALUE"""),"https://abc17news.com/news/montgomery/2025/12/03/montgomery-county-approves-land-for-two-large-scale-projects-on-amazon-data-center-campus/")</f>
        <v>https://abc17news.com/news/montgomery/2025/12/03/montgomery-county-approves-land-for-two-large-scale-projects-on-amazon-data-center-campus/</v>
      </c>
      <c r="AK508" s="2" t="str">
        <f>IFERROR(__xludf.DUMMYFUNCTION("""COMPUTED_VALUE"""),"https://www.mystandardnews.com/stories/google-named-as-end-user-for-second-montgomery-county-data-center-site,146028")</f>
        <v>https://www.mystandardnews.com/stories/google-named-as-end-user-for-second-montgomery-county-data-center-site,146028</v>
      </c>
      <c r="AL508" s="1" t="str">
        <f>IFERROR(__xludf.DUMMYFUNCTION("""COMPUTED_VALUE"""),"")</f>
        <v/>
      </c>
      <c r="AM508" s="1" t="str">
        <f>IFERROR(__xludf.DUMMYFUNCTION("""COMPUTED_VALUE"""),"")</f>
        <v/>
      </c>
      <c r="AN508" s="1" t="str">
        <f>IFERROR(__xludf.DUMMYFUNCTION("""COMPUTED_VALUE"""),"")</f>
        <v/>
      </c>
      <c r="AO508" s="1" t="str">
        <f>IFERROR(__xludf.DUMMYFUNCTION("""COMPUTED_VALUE"""),"")</f>
        <v/>
      </c>
      <c r="AP508" s="1" t="str">
        <f>IFERROR(__xludf.DUMMYFUNCTION("""COMPUTED_VALUE"""),"")</f>
        <v/>
      </c>
      <c r="AQ508" s="1" t="str">
        <f>IFERROR(__xludf.DUMMYFUNCTION("""COMPUTED_VALUE"""),"12/13/2025")</f>
        <v>12/13/2025</v>
      </c>
      <c r="AR508" s="1" t="str">
        <f>IFERROR(__xludf.DUMMYFUNCTION("""COMPUTED_VALUE"""),"04/21/2026")</f>
        <v>04/21/2026</v>
      </c>
    </row>
    <row r="509">
      <c r="A509" s="1" t="str">
        <f>IFERROR(__xludf.DUMMYFUNCTION("""COMPUTED_VALUE"""),"BLE Landholdings Data Center")</f>
        <v>BLE Landholdings Data Center</v>
      </c>
      <c r="B509" s="1" t="str">
        <f>IFERROR(__xludf.DUMMYFUNCTION("""COMPUTED_VALUE"""),"684 Phelan Rd")</f>
        <v>684 Phelan Rd</v>
      </c>
      <c r="C509" s="1" t="str">
        <f>IFERROR(__xludf.DUMMYFUNCTION("""COMPUTED_VALUE"""),"Pacific")</f>
        <v>Pacific</v>
      </c>
      <c r="D509" s="1" t="str">
        <f>IFERROR(__xludf.DUMMYFUNCTION("""COMPUTED_VALUE"""),"MO")</f>
        <v>MO</v>
      </c>
      <c r="E509" s="1" t="str">
        <f>IFERROR(__xludf.DUMMYFUNCTION("""COMPUTED_VALUE"""),"63069")</f>
        <v>63069</v>
      </c>
      <c r="F509" s="1" t="str">
        <f>IFERROR(__xludf.DUMMYFUNCTION("""COMPUTED_VALUE"""),"Franklin")</f>
        <v>Franklin</v>
      </c>
      <c r="G509" s="1" t="str">
        <f>IFERROR(__xludf.DUMMYFUNCTION("""COMPUTED_VALUE"""),"38.434536")</f>
        <v>38.434536</v>
      </c>
      <c r="H509" s="1" t="str">
        <f>IFERROR(__xludf.DUMMYFUNCTION("""COMPUTED_VALUE"""),"-90.75512")</f>
        <v>-90.75512</v>
      </c>
      <c r="I509" s="1" t="str">
        <f>IFERROR(__xludf.DUMMYFUNCTION("""COMPUTED_VALUE"""),"Suspended")</f>
        <v>Suspended</v>
      </c>
      <c r="J509" s="1" t="str">
        <f>IFERROR(__xludf.DUMMYFUNCTION("""COMPUTED_VALUE"""),"High")</f>
        <v>High</v>
      </c>
      <c r="K509" s="1" t="str">
        <f>IFERROR(__xludf.DUMMYFUNCTION("""COMPUTED_VALUE"""),"")</f>
        <v/>
      </c>
      <c r="L509" s="1" t="str">
        <f>IFERROR(__xludf.DUMMYFUNCTION("""COMPUTED_VALUE"""),"")</f>
        <v/>
      </c>
      <c r="M509" s="1" t="str">
        <f>IFERROR(__xludf.DUMMYFUNCTION("""COMPUTED_VALUE"""),"")</f>
        <v/>
      </c>
      <c r="N509" s="1" t="str">
        <f>IFERROR(__xludf.DUMMYFUNCTION("""COMPUTED_VALUE"""),"")</f>
        <v/>
      </c>
      <c r="O509" s="1" t="str">
        <f>IFERROR(__xludf.DUMMYFUNCTION("""COMPUTED_VALUE"""),"Unknown")</f>
        <v>Unknown</v>
      </c>
      <c r="P509" s="1" t="str">
        <f>IFERROR(__xludf.DUMMYFUNCTION("""COMPUTED_VALUE"""),"")</f>
        <v/>
      </c>
      <c r="Q509" s="1" t="str">
        <f>IFERROR(__xludf.DUMMYFUNCTION("""COMPUTED_VALUE"""),"")</f>
        <v/>
      </c>
      <c r="R509" s="1" t="str">
        <f>IFERROR(__xludf.DUMMYFUNCTION("""COMPUTED_VALUE"""),"")</f>
        <v/>
      </c>
      <c r="S509" s="1" t="str">
        <f>IFERROR(__xludf.DUMMYFUNCTION("""COMPUTED_VALUE"""),"")</f>
        <v/>
      </c>
      <c r="T509" s="1" t="str">
        <f>IFERROR(__xludf.DUMMYFUNCTION("""COMPUTED_VALUE"""),"")</f>
        <v/>
      </c>
      <c r="U509" s="1" t="str">
        <f>IFERROR(__xludf.DUMMYFUNCTION("""COMPUTED_VALUE"""),"")</f>
        <v/>
      </c>
      <c r="V509" s="1" t="str">
        <f>IFERROR(__xludf.DUMMYFUNCTION("""COMPUTED_VALUE"""),"")</f>
        <v/>
      </c>
      <c r="W509" s="1" t="str">
        <f>IFERROR(__xludf.DUMMYFUNCTION("""COMPUTED_VALUE"""),"490")</f>
        <v>490</v>
      </c>
      <c r="X509" s="1" t="str">
        <f>IFERROR(__xludf.DUMMYFUNCTION("""COMPUTED_VALUE"""),"")</f>
        <v/>
      </c>
      <c r="Y509" s="1" t="str">
        <f>IFERROR(__xludf.DUMMYFUNCTION("""COMPUTED_VALUE"""),"")</f>
        <v/>
      </c>
      <c r="Z509" s="1" t="str">
        <f>IFERROR(__xludf.DUMMYFUNCTION("""COMPUTED_VALUE"""),"Yes")</f>
        <v>Yes</v>
      </c>
      <c r="AA509" s="1" t="str">
        <f>IFERROR(__xludf.DUMMYFUNCTION("""COMPUTED_VALUE"""),"By a 5-4 vote, the commission voted against rezoning the site (also called Crooked Creek) in April 2026")</f>
        <v>By a 5-4 vote, the commission voted against rezoning the site (also called Crooked Creek) in April 2026</v>
      </c>
      <c r="AB509" s="1" t="str">
        <f>IFERROR(__xludf.DUMMYFUNCTION("""COMPUTED_VALUE"""),"")</f>
        <v/>
      </c>
      <c r="AC509" s="1" t="str">
        <f>IFERROR(__xludf.DUMMYFUNCTION("""COMPUTED_VALUE"""),"")</f>
        <v/>
      </c>
      <c r="AD509" s="1" t="str">
        <f>IFERROR(__xludf.DUMMYFUNCTION("""COMPUTED_VALUE"""),"")</f>
        <v/>
      </c>
      <c r="AE509" s="1" t="str">
        <f>IFERROR(__xludf.DUMMYFUNCTION("""COMPUTED_VALUE"""),"")</f>
        <v/>
      </c>
      <c r="AF509" s="2" t="str">
        <f>IFERROR(__xludf.DUMMYFUNCTION("""COMPUTED_VALUE"""),"https://www.facebook.com/groups/883134924331985/")</f>
        <v>https://www.facebook.com/groups/883134924331985/</v>
      </c>
      <c r="AG509" s="1" t="str">
        <f>IFERROR(__xludf.DUMMYFUNCTION("""COMPUTED_VALUE"""),"")</f>
        <v/>
      </c>
      <c r="AH509" s="1" t="str">
        <f>IFERROR(__xludf.DUMMYFUNCTION("""COMPUTED_VALUE"""),"Media Monitoring")</f>
        <v>Media Monitoring</v>
      </c>
      <c r="AI509" s="2" t="str">
        <f>IFERROR(__xludf.DUMMYFUNCTION("""COMPUTED_VALUE"""),"https://www.datacenterdynamics.com/en/news/two-data-center-projects-debated-for-11-hours-at-planning-meeting-in-franklin-county-missouri/")</f>
        <v>https://www.datacenterdynamics.com/en/news/two-data-center-projects-debated-for-11-hours-at-planning-meeting-in-franklin-county-missouri/</v>
      </c>
      <c r="AJ509" s="2" t="str">
        <f>IFERROR(__xludf.DUMMYFUNCTION("""COMPUTED_VALUE"""),"https://www.datacenterdynamics.com/en/news/two-data-center-projects-debated-for-11-hours-at-planning-meeting-in-franklin-county-missouri/")</f>
        <v>https://www.datacenterdynamics.com/en/news/two-data-center-projects-debated-for-11-hours-at-planning-meeting-in-franklin-county-missouri/</v>
      </c>
      <c r="AK509" s="2" t="str">
        <f>IFERROR(__xludf.DUMMYFUNCTION("""COMPUTED_VALUE"""),"https://fox2now.com/news/missouri/split-vote-on-data-center-re-zoning-from-franklin-county-pz/")</f>
        <v>https://fox2now.com/news/missouri/split-vote-on-data-center-re-zoning-from-franklin-county-pz/</v>
      </c>
      <c r="AL509" s="1" t="str">
        <f>IFERROR(__xludf.DUMMYFUNCTION("""COMPUTED_VALUE"""),"")</f>
        <v/>
      </c>
      <c r="AM509" s="1" t="str">
        <f>IFERROR(__xludf.DUMMYFUNCTION("""COMPUTED_VALUE"""),"")</f>
        <v/>
      </c>
      <c r="AN509" s="1" t="str">
        <f>IFERROR(__xludf.DUMMYFUNCTION("""COMPUTED_VALUE"""),"")</f>
        <v/>
      </c>
      <c r="AO509" s="1" t="str">
        <f>IFERROR(__xludf.DUMMYFUNCTION("""COMPUTED_VALUE"""),"")</f>
        <v/>
      </c>
      <c r="AP509" s="1" t="str">
        <f>IFERROR(__xludf.DUMMYFUNCTION("""COMPUTED_VALUE"""),"")</f>
        <v/>
      </c>
      <c r="AQ509" s="1" t="str">
        <f>IFERROR(__xludf.DUMMYFUNCTION("""COMPUTED_VALUE"""),"03/19/2026")</f>
        <v>03/19/2026</v>
      </c>
      <c r="AR509" s="1" t="str">
        <f>IFERROR(__xludf.DUMMYFUNCTION("""COMPUTED_VALUE"""),"04/03/2026")</f>
        <v>04/03/2026</v>
      </c>
    </row>
    <row r="510">
      <c r="A510" s="1" t="str">
        <f>IFERROR(__xludf.DUMMYFUNCTION("""COMPUTED_VALUE"""),"Project Harper")</f>
        <v>Project Harper</v>
      </c>
      <c r="B510" s="1" t="str">
        <f>IFERROR(__xludf.DUMMYFUNCTION("""COMPUTED_VALUE"""),"Harper Road Technology Park, 203rd St and Harper St")</f>
        <v>Harper Road Technology Park, 203rd St and Harper St</v>
      </c>
      <c r="C510" s="1" t="str">
        <f>IFERROR(__xludf.DUMMYFUNCTION("""COMPUTED_VALUE"""),"Peculiar")</f>
        <v>Peculiar</v>
      </c>
      <c r="D510" s="1" t="str">
        <f>IFERROR(__xludf.DUMMYFUNCTION("""COMPUTED_VALUE"""),"MO")</f>
        <v>MO</v>
      </c>
      <c r="E510" s="1" t="str">
        <f>IFERROR(__xludf.DUMMYFUNCTION("""COMPUTED_VALUE"""),"64012")</f>
        <v>64012</v>
      </c>
      <c r="F510" s="1" t="str">
        <f>IFERROR(__xludf.DUMMYFUNCTION("""COMPUTED_VALUE"""),"Cass")</f>
        <v>Cass</v>
      </c>
      <c r="G510" s="1" t="str">
        <f>IFERROR(__xludf.DUMMYFUNCTION("""COMPUTED_VALUE"""),"38.74797")</f>
        <v>38.74797</v>
      </c>
      <c r="H510" s="1" t="str">
        <f>IFERROR(__xludf.DUMMYFUNCTION("""COMPUTED_VALUE"""),"-94.4821")</f>
        <v>-94.4821</v>
      </c>
      <c r="I510" s="1" t="str">
        <f>IFERROR(__xludf.DUMMYFUNCTION("""COMPUTED_VALUE"""),"Cancelled")</f>
        <v>Cancelled</v>
      </c>
      <c r="J510" s="1" t="str">
        <f>IFERROR(__xludf.DUMMYFUNCTION("""COMPUTED_VALUE"""),"Medium")</f>
        <v>Medium</v>
      </c>
      <c r="K510" s="1" t="str">
        <f>IFERROR(__xludf.DUMMYFUNCTION("""COMPUTED_VALUE"""),"")</f>
        <v/>
      </c>
      <c r="L510" s="1" t="str">
        <f>IFERROR(__xludf.DUMMYFUNCTION("""COMPUTED_VALUE"""),"Diode Ventures")</f>
        <v>Diode Ventures</v>
      </c>
      <c r="M510" s="1" t="str">
        <f>IFERROR(__xludf.DUMMYFUNCTION("""COMPUTED_VALUE"""),"")</f>
        <v/>
      </c>
      <c r="N510" s="1" t="str">
        <f>IFERROR(__xludf.DUMMYFUNCTION("""COMPUTED_VALUE"""),"")</f>
        <v/>
      </c>
      <c r="O510" s="1" t="str">
        <f>IFERROR(__xludf.DUMMYFUNCTION("""COMPUTED_VALUE"""),"Hyperscale (100-999 MW)")</f>
        <v>Hyperscale (100-999 MW)</v>
      </c>
      <c r="P510" s="1" t="str">
        <f>IFERROR(__xludf.DUMMYFUNCTION("""COMPUTED_VALUE"""),"")</f>
        <v/>
      </c>
      <c r="Q510" s="1" t="str">
        <f>IFERROR(__xludf.DUMMYFUNCTION("""COMPUTED_VALUE"""),"")</f>
        <v/>
      </c>
      <c r="R510" s="1" t="str">
        <f>IFERROR(__xludf.DUMMYFUNCTION("""COMPUTED_VALUE"""),"")</f>
        <v/>
      </c>
      <c r="S510" s="1" t="str">
        <f>IFERROR(__xludf.DUMMYFUNCTION("""COMPUTED_VALUE"""),"")</f>
        <v/>
      </c>
      <c r="T510" s="1" t="str">
        <f>IFERROR(__xludf.DUMMYFUNCTION("""COMPUTED_VALUE"""),"")</f>
        <v/>
      </c>
      <c r="U510" s="1" t="str">
        <f>IFERROR(__xludf.DUMMYFUNCTION("""COMPUTED_VALUE"""),"")</f>
        <v/>
      </c>
      <c r="V510" s="1" t="str">
        <f>IFERROR(__xludf.DUMMYFUNCTION("""COMPUTED_VALUE"""),"300000")</f>
        <v>300000</v>
      </c>
      <c r="W510" s="1" t="str">
        <f>IFERROR(__xludf.DUMMYFUNCTION("""COMPUTED_VALUE"""),"")</f>
        <v/>
      </c>
      <c r="X510" s="1" t="str">
        <f>IFERROR(__xludf.DUMMYFUNCTION("""COMPUTED_VALUE"""),"$1.5 billion")</f>
        <v>$1.5 billion</v>
      </c>
      <c r="Y510" s="1" t="str">
        <f>IFERROR(__xludf.DUMMYFUNCTION("""COMPUTED_VALUE"""),"")</f>
        <v/>
      </c>
      <c r="Z510" s="1" t="str">
        <f>IFERROR(__xludf.DUMMYFUNCTION("""COMPUTED_VALUE"""),"Yes")</f>
        <v>Yes</v>
      </c>
      <c r="AA510" s="1" t="str">
        <f>IFERROR(__xludf.DUMMYFUNCTION("""COMPUTED_VALUE"""),"")</f>
        <v/>
      </c>
      <c r="AB510" s="1" t="str">
        <f>IFERROR(__xludf.DUMMYFUNCTION("""COMPUTED_VALUE"""),"")</f>
        <v/>
      </c>
      <c r="AC510" s="1" t="str">
        <f>IFERROR(__xludf.DUMMYFUNCTION("""COMPUTED_VALUE"""),"")</f>
        <v/>
      </c>
      <c r="AD510" s="1" t="str">
        <f>IFERROR(__xludf.DUMMYFUNCTION("""COMPUTED_VALUE"""),"")</f>
        <v/>
      </c>
      <c r="AE510" s="1" t="str">
        <f>IFERROR(__xludf.DUMMYFUNCTION("""COMPUTED_VALUE"""),"")</f>
        <v/>
      </c>
      <c r="AF510" s="1" t="str">
        <f>IFERROR(__xludf.DUMMYFUNCTION("""COMPUTED_VALUE"""),"")</f>
        <v/>
      </c>
      <c r="AG510" s="1" t="str">
        <f>IFERROR(__xludf.DUMMYFUNCTION("""COMPUTED_VALUE"""),"")</f>
        <v/>
      </c>
      <c r="AH510" s="1" t="str">
        <f>IFERROR(__xludf.DUMMYFUNCTION("""COMPUTED_VALUE"""),"Media Monitoring")</f>
        <v>Media Monitoring</v>
      </c>
      <c r="AI510" s="2" t="str">
        <f>IFERROR(__xludf.DUMMYFUNCTION("""COMPUTED_VALUE"""),"https://www.datacenterdynamics.com/en/news/peculiar-officials-in-missouri-remove-data-centers-from-ordinance-blocking-15bn-diode-project/")</f>
        <v>https://www.datacenterdynamics.com/en/news/peculiar-officials-in-missouri-remove-data-centers-from-ordinance-blocking-15bn-diode-project/</v>
      </c>
      <c r="AJ510" s="2" t="str">
        <f>IFERROR(__xludf.DUMMYFUNCTION("""COMPUTED_VALUE"""),"https://www.datacenterwatch.org/report")</f>
        <v>https://www.datacenterwatch.org/report</v>
      </c>
      <c r="AK510" s="2" t="str">
        <f>IFERROR(__xludf.DUMMYFUNCTION("""COMPUTED_VALUE"""),"https://www.datacenterdynamics.com/en/news/peculiar-officials-in-missouri-remove-data-centers-from-ordinance-blocking-15bn-diode-project/")</f>
        <v>https://www.datacenterdynamics.com/en/news/peculiar-officials-in-missouri-remove-data-centers-from-ordinance-blocking-15bn-diode-project/</v>
      </c>
      <c r="AL510" s="1" t="str">
        <f>IFERROR(__xludf.DUMMYFUNCTION("""COMPUTED_VALUE"""),"")</f>
        <v/>
      </c>
      <c r="AM510" s="1" t="str">
        <f>IFERROR(__xludf.DUMMYFUNCTION("""COMPUTED_VALUE"""),"")</f>
        <v/>
      </c>
      <c r="AN510" s="1" t="str">
        <f>IFERROR(__xludf.DUMMYFUNCTION("""COMPUTED_VALUE"""),"")</f>
        <v/>
      </c>
      <c r="AO510" s="1" t="str">
        <f>IFERROR(__xludf.DUMMYFUNCTION("""COMPUTED_VALUE"""),"")</f>
        <v/>
      </c>
      <c r="AP510" s="1" t="str">
        <f>IFERROR(__xludf.DUMMYFUNCTION("""COMPUTED_VALUE"""),"")</f>
        <v/>
      </c>
      <c r="AQ510" s="1" t="str">
        <f>IFERROR(__xludf.DUMMYFUNCTION("""COMPUTED_VALUE"""),"05/23/2025")</f>
        <v>05/23/2025</v>
      </c>
      <c r="AR510" s="1" t="str">
        <f>IFERROR(__xludf.DUMMYFUNCTION("""COMPUTED_VALUE"""),"12/01/2025")</f>
        <v>12/01/2025</v>
      </c>
    </row>
    <row r="511">
      <c r="A511" s="1" t="str">
        <f>IFERROR(__xludf.DUMMYFUNCTION("""COMPUTED_VALUE"""),"Sarcoxie Data Center")</f>
        <v>Sarcoxie Data Center</v>
      </c>
      <c r="B511" s="1" t="str">
        <f>IFERROR(__xludf.DUMMYFUNCTION("""COMPUTED_VALUE"""),"County Rd 20, near the Liberty Energy Park near Fir Road and County Road 30")</f>
        <v>County Rd 20, near the Liberty Energy Park near Fir Road and County Road 30</v>
      </c>
      <c r="C511" s="1" t="str">
        <f>IFERROR(__xludf.DUMMYFUNCTION("""COMPUTED_VALUE"""),"Sarcoxie")</f>
        <v>Sarcoxie</v>
      </c>
      <c r="D511" s="1" t="str">
        <f>IFERROR(__xludf.DUMMYFUNCTION("""COMPUTED_VALUE"""),"MO")</f>
        <v>MO</v>
      </c>
      <c r="E511" s="1" t="str">
        <f>IFERROR(__xludf.DUMMYFUNCTION("""COMPUTED_VALUE"""),"64862")</f>
        <v>64862</v>
      </c>
      <c r="F511" s="1" t="str">
        <f>IFERROR(__xludf.DUMMYFUNCTION("""COMPUTED_VALUE"""),"Jasper")</f>
        <v>Jasper</v>
      </c>
      <c r="G511" s="1" t="str">
        <f>IFERROR(__xludf.DUMMYFUNCTION("""COMPUTED_VALUE"""),"37.13561")</f>
        <v>37.13561</v>
      </c>
      <c r="H511" s="1" t="str">
        <f>IFERROR(__xludf.DUMMYFUNCTION("""COMPUTED_VALUE"""),"-94.09406")</f>
        <v>-94.09406</v>
      </c>
      <c r="I511" s="1" t="str">
        <f>IFERROR(__xludf.DUMMYFUNCTION("""COMPUTED_VALUE"""),"Proposed")</f>
        <v>Proposed</v>
      </c>
      <c r="J511" s="1" t="str">
        <f>IFERROR(__xludf.DUMMYFUNCTION("""COMPUTED_VALUE"""),"Medium")</f>
        <v>Medium</v>
      </c>
      <c r="K511" s="1" t="str">
        <f>IFERROR(__xludf.DUMMYFUNCTION("""COMPUTED_VALUE"""),"")</f>
        <v/>
      </c>
      <c r="L511" s="1" t="str">
        <f>IFERROR(__xludf.DUMMYFUNCTION("""COMPUTED_VALUE"""),"")</f>
        <v/>
      </c>
      <c r="M511" s="1" t="str">
        <f>IFERROR(__xludf.DUMMYFUNCTION("""COMPUTED_VALUE"""),"")</f>
        <v/>
      </c>
      <c r="N511" s="1" t="str">
        <f>IFERROR(__xludf.DUMMYFUNCTION("""COMPUTED_VALUE"""),"")</f>
        <v/>
      </c>
      <c r="O511" s="1" t="str">
        <f>IFERROR(__xludf.DUMMYFUNCTION("""COMPUTED_VALUE"""),"Unknown")</f>
        <v>Unknown</v>
      </c>
      <c r="P511" s="1" t="str">
        <f>IFERROR(__xludf.DUMMYFUNCTION("""COMPUTED_VALUE"""),"")</f>
        <v/>
      </c>
      <c r="Q511" s="1" t="str">
        <f>IFERROR(__xludf.DUMMYFUNCTION("""COMPUTED_VALUE"""),"")</f>
        <v/>
      </c>
      <c r="R511" s="1" t="str">
        <f>IFERROR(__xludf.DUMMYFUNCTION("""COMPUTED_VALUE"""),"")</f>
        <v/>
      </c>
      <c r="S511" s="1" t="str">
        <f>IFERROR(__xludf.DUMMYFUNCTION("""COMPUTED_VALUE"""),"")</f>
        <v/>
      </c>
      <c r="T511" s="1" t="str">
        <f>IFERROR(__xludf.DUMMYFUNCTION("""COMPUTED_VALUE"""),"")</f>
        <v/>
      </c>
      <c r="U511" s="1" t="str">
        <f>IFERROR(__xludf.DUMMYFUNCTION("""COMPUTED_VALUE"""),"")</f>
        <v/>
      </c>
      <c r="V511" s="1" t="str">
        <f>IFERROR(__xludf.DUMMYFUNCTION("""COMPUTED_VALUE"""),"")</f>
        <v/>
      </c>
      <c r="W511" s="1" t="str">
        <f>IFERROR(__xludf.DUMMYFUNCTION("""COMPUTED_VALUE"""),"")</f>
        <v/>
      </c>
      <c r="X511" s="1" t="str">
        <f>IFERROR(__xludf.DUMMYFUNCTION("""COMPUTED_VALUE"""),"")</f>
        <v/>
      </c>
      <c r="Y511" s="1" t="str">
        <f>IFERROR(__xludf.DUMMYFUNCTION("""COMPUTED_VALUE"""),"")</f>
        <v/>
      </c>
      <c r="Z511" s="1" t="str">
        <f>IFERROR(__xludf.DUMMYFUNCTION("""COMPUTED_VALUE"""),"Yes")</f>
        <v>Yes</v>
      </c>
      <c r="AA511" s="1" t="str">
        <f>IFERROR(__xludf.DUMMYFUNCTION("""COMPUTED_VALUE"""),"Say No to Data Centers: Keep Jasper and Lawrence Counties Rural")</f>
        <v>Say No to Data Centers: Keep Jasper and Lawrence Counties Rural</v>
      </c>
      <c r="AB511" s="1" t="str">
        <f>IFERROR(__xludf.DUMMYFUNCTION("""COMPUTED_VALUE"""),"")</f>
        <v/>
      </c>
      <c r="AC511" s="1" t="str">
        <f>IFERROR(__xludf.DUMMYFUNCTION("""COMPUTED_VALUE"""),"")</f>
        <v/>
      </c>
      <c r="AD511" s="2" t="str">
        <f>IFERROR(__xludf.DUMMYFUNCTION("""COMPUTED_VALUE"""),"https://www.facebook.com/groups/2348446672336530")</f>
        <v>https://www.facebook.com/groups/2348446672336530</v>
      </c>
      <c r="AE511" s="1" t="str">
        <f>IFERROR(__xludf.DUMMYFUNCTION("""COMPUTED_VALUE"""),"")</f>
        <v/>
      </c>
      <c r="AF511" s="1" t="str">
        <f>IFERROR(__xludf.DUMMYFUNCTION("""COMPUTED_VALUE"""),"")</f>
        <v/>
      </c>
      <c r="AG511" s="1" t="str">
        <f>IFERROR(__xludf.DUMMYFUNCTION("""COMPUTED_VALUE"""),"")</f>
        <v/>
      </c>
      <c r="AH511" s="1" t="str">
        <f>IFERROR(__xludf.DUMMYFUNCTION("""COMPUTED_VALUE"""),"Crowdsourced")</f>
        <v>Crowdsourced</v>
      </c>
      <c r="AI511" s="2" t="str">
        <f>IFERROR(__xludf.DUMMYFUNCTION("""COMPUTED_VALUE"""),"https://www.koamnewsnow.com/news/top-stories/jasper-county-residents-voice-concerns-over-proposed-data-center-development/article_6faf3e40-f7dd-40d1-ad5e-215025dbd4b5.html")</f>
        <v>https://www.koamnewsnow.com/news/top-stories/jasper-county-residents-voice-concerns-over-proposed-data-center-development/article_6faf3e40-f7dd-40d1-ad5e-215025dbd4b5.html</v>
      </c>
      <c r="AJ511" s="2" t="str">
        <f>IFERROR(__xludf.DUMMYFUNCTION("""COMPUTED_VALUE"""),"https://www.fourstateshomepage.com/news/local/rural-jasper-county-data-center-proposal-sparks-controversy/amp/")</f>
        <v>https://www.fourstateshomepage.com/news/local/rural-jasper-county-data-center-proposal-sparks-controversy/amp/</v>
      </c>
      <c r="AK511" s="2" t="str">
        <f>IFERROR(__xludf.DUMMYFUNCTION("""COMPUTED_VALUE"""),"https://www.yahoo.com/news/articles/minnesota-company-plans-data-center-223100174.html")</f>
        <v>https://www.yahoo.com/news/articles/minnesota-company-plans-data-center-223100174.html</v>
      </c>
      <c r="AL511" s="1" t="str">
        <f>IFERROR(__xludf.DUMMYFUNCTION("""COMPUTED_VALUE"""),"")</f>
        <v/>
      </c>
      <c r="AM511" s="1" t="str">
        <f>IFERROR(__xludf.DUMMYFUNCTION("""COMPUTED_VALUE"""),"")</f>
        <v/>
      </c>
      <c r="AN511" s="1" t="str">
        <f>IFERROR(__xludf.DUMMYFUNCTION("""COMPUTED_VALUE"""),"")</f>
        <v/>
      </c>
      <c r="AO511" s="1" t="str">
        <f>IFERROR(__xludf.DUMMYFUNCTION("""COMPUTED_VALUE"""),"")</f>
        <v/>
      </c>
      <c r="AP511" s="1" t="str">
        <f>IFERROR(__xludf.DUMMYFUNCTION("""COMPUTED_VALUE"""),"")</f>
        <v/>
      </c>
      <c r="AQ511" s="1" t="str">
        <f>IFERROR(__xludf.DUMMYFUNCTION("""COMPUTED_VALUE"""),"03/26/2026")</f>
        <v>03/26/2026</v>
      </c>
      <c r="AR511" s="1" t="str">
        <f>IFERROR(__xludf.DUMMYFUNCTION("""COMPUTED_VALUE"""),"03/26/2026")</f>
        <v>03/26/2026</v>
      </c>
    </row>
    <row r="512">
      <c r="A512" s="1" t="str">
        <f>IFERROR(__xludf.DUMMYFUNCTION("""COMPUTED_VALUE"""),"Project Cumulus")</f>
        <v>Project Cumulus</v>
      </c>
      <c r="B512" s="1" t="str">
        <f>IFERROR(__xludf.DUMMYFUNCTION("""COMPUTED_VALUE"""),"Elm Point Ave")</f>
        <v>Elm Point Ave</v>
      </c>
      <c r="C512" s="1" t="str">
        <f>IFERROR(__xludf.DUMMYFUNCTION("""COMPUTED_VALUE"""),"St Charles")</f>
        <v>St Charles</v>
      </c>
      <c r="D512" s="1" t="str">
        <f>IFERROR(__xludf.DUMMYFUNCTION("""COMPUTED_VALUE"""),"MO")</f>
        <v>MO</v>
      </c>
      <c r="E512" s="1" t="str">
        <f>IFERROR(__xludf.DUMMYFUNCTION("""COMPUTED_VALUE"""),"63301")</f>
        <v>63301</v>
      </c>
      <c r="F512" s="1" t="str">
        <f>IFERROR(__xludf.DUMMYFUNCTION("""COMPUTED_VALUE"""),"St. Charles")</f>
        <v>St. Charles</v>
      </c>
      <c r="G512" s="1" t="str">
        <f>IFERROR(__xludf.DUMMYFUNCTION("""COMPUTED_VALUE"""),"38.81535")</f>
        <v>38.81535</v>
      </c>
      <c r="H512" s="1" t="str">
        <f>IFERROR(__xludf.DUMMYFUNCTION("""COMPUTED_VALUE"""),"-90.5454")</f>
        <v>-90.5454</v>
      </c>
      <c r="I512" s="1" t="str">
        <f>IFERROR(__xludf.DUMMYFUNCTION("""COMPUTED_VALUE"""),"Proposed")</f>
        <v>Proposed</v>
      </c>
      <c r="J512" s="1" t="str">
        <f>IFERROR(__xludf.DUMMYFUNCTION("""COMPUTED_VALUE"""),"High")</f>
        <v>High</v>
      </c>
      <c r="K512" s="1" t="str">
        <f>IFERROR(__xludf.DUMMYFUNCTION("""COMPUTED_VALUE"""),"")</f>
        <v/>
      </c>
      <c r="L512" s="1" t="str">
        <f>IFERROR(__xludf.DUMMYFUNCTION("""COMPUTED_VALUE"""),"")</f>
        <v/>
      </c>
      <c r="M512" s="1" t="str">
        <f>IFERROR(__xludf.DUMMYFUNCTION("""COMPUTED_VALUE"""),"")</f>
        <v/>
      </c>
      <c r="N512" s="1" t="str">
        <f>IFERROR(__xludf.DUMMYFUNCTION("""COMPUTED_VALUE"""),"")</f>
        <v/>
      </c>
      <c r="O512" s="1" t="str">
        <f>IFERROR(__xludf.DUMMYFUNCTION("""COMPUTED_VALUE"""),"Unknown")</f>
        <v>Unknown</v>
      </c>
      <c r="P512" s="1" t="str">
        <f>IFERROR(__xludf.DUMMYFUNCTION("""COMPUTED_VALUE"""),"")</f>
        <v/>
      </c>
      <c r="Q512" s="1" t="str">
        <f>IFERROR(__xludf.DUMMYFUNCTION("""COMPUTED_VALUE"""),"")</f>
        <v/>
      </c>
      <c r="R512" s="1" t="str">
        <f>IFERROR(__xludf.DUMMYFUNCTION("""COMPUTED_VALUE"""),"")</f>
        <v/>
      </c>
      <c r="S512" s="1" t="str">
        <f>IFERROR(__xludf.DUMMYFUNCTION("""COMPUTED_VALUE"""),"")</f>
        <v/>
      </c>
      <c r="T512" s="1" t="str">
        <f>IFERROR(__xludf.DUMMYFUNCTION("""COMPUTED_VALUE"""),"")</f>
        <v/>
      </c>
      <c r="U512" s="1" t="str">
        <f>IFERROR(__xludf.DUMMYFUNCTION("""COMPUTED_VALUE"""),"")</f>
        <v/>
      </c>
      <c r="V512" s="1" t="str">
        <f>IFERROR(__xludf.DUMMYFUNCTION("""COMPUTED_VALUE"""),"1,500,000")</f>
        <v>1,500,000</v>
      </c>
      <c r="W512" s="1" t="str">
        <f>IFERROR(__xludf.DUMMYFUNCTION("""COMPUTED_VALUE"""),"440")</f>
        <v>440</v>
      </c>
      <c r="X512" s="1" t="str">
        <f>IFERROR(__xludf.DUMMYFUNCTION("""COMPUTED_VALUE"""),"")</f>
        <v/>
      </c>
      <c r="Y512" s="1" t="str">
        <f>IFERROR(__xludf.DUMMYFUNCTION("""COMPUTED_VALUE"""),"")</f>
        <v/>
      </c>
      <c r="Z512" s="1" t="str">
        <f>IFERROR(__xludf.DUMMYFUNCTION("""COMPUTED_VALUE"""),"Unknown")</f>
        <v>Unknown</v>
      </c>
      <c r="AA512" s="1" t="str">
        <f>IFERROR(__xludf.DUMMYFUNCTION("""COMPUTED_VALUE"""),"")</f>
        <v/>
      </c>
      <c r="AB512" s="1" t="str">
        <f>IFERROR(__xludf.DUMMYFUNCTION("""COMPUTED_VALUE"""),"")</f>
        <v/>
      </c>
      <c r="AC512" s="1" t="str">
        <f>IFERROR(__xludf.DUMMYFUNCTION("""COMPUTED_VALUE"""),"")</f>
        <v/>
      </c>
      <c r="AD512" s="1" t="str">
        <f>IFERROR(__xludf.DUMMYFUNCTION("""COMPUTED_VALUE"""),"")</f>
        <v/>
      </c>
      <c r="AE512" s="1" t="str">
        <f>IFERROR(__xludf.DUMMYFUNCTION("""COMPUTED_VALUE"""),"")</f>
        <v/>
      </c>
      <c r="AF512" s="1" t="str">
        <f>IFERROR(__xludf.DUMMYFUNCTION("""COMPUTED_VALUE"""),"")</f>
        <v/>
      </c>
      <c r="AG512" s="1" t="str">
        <f>IFERROR(__xludf.DUMMYFUNCTION("""COMPUTED_VALUE"""),"Aug 2025: 1 year moratorium")</f>
        <v>Aug 2025: 1 year moratorium</v>
      </c>
      <c r="AH512" s="1" t="str">
        <f>IFERROR(__xludf.DUMMYFUNCTION("""COMPUTED_VALUE"""),"Media Monitoring")</f>
        <v>Media Monitoring</v>
      </c>
      <c r="AI512" s="2" t="str">
        <f>IFERROR(__xludf.DUMMYFUNCTION("""COMPUTED_VALUE"""),"https://www.ksdk.com/article/money/economy/energy/missouri-massive-data-center-st-charles-secretive-power-water-worries-polluted-groundwater-protected-wetland/63-cdae3e73-efab-4c0c-9215-938d064188e3")</f>
        <v>https://www.ksdk.com/article/money/economy/energy/missouri-massive-data-center-st-charles-secretive-power-water-worries-polluted-groundwater-protected-wetland/63-cdae3e73-efab-4c0c-9215-938d064188e3</v>
      </c>
      <c r="AJ512" s="2" t="str">
        <f>IFERROR(__xludf.DUMMYFUNCTION("""COMPUTED_VALUE"""),"https://www.datacenterdynamics.com/en/news/data-center-in-st-charles-missouri-receives-partial-recommendation-for-approval/")</f>
        <v>https://www.datacenterdynamics.com/en/news/data-center-in-st-charles-missouri-receives-partial-recommendation-for-approval/</v>
      </c>
      <c r="AK512" s="2" t="str">
        <f>IFERROR(__xludf.DUMMYFUNCTION("""COMPUTED_VALUE"""),"https://www.ksdk.com/article/news/local/st-charles-ai-data-center-ban-first-in-nation/63-2c50fbcf-fcad-4b8d-bbcb-3711f6c2d29d")</f>
        <v>https://www.ksdk.com/article/news/local/st-charles-ai-data-center-ban-first-in-nation/63-2c50fbcf-fcad-4b8d-bbcb-3711f6c2d29d</v>
      </c>
      <c r="AL512" s="1" t="str">
        <f>IFERROR(__xludf.DUMMYFUNCTION("""COMPUTED_VALUE"""),"")</f>
        <v/>
      </c>
      <c r="AM512" s="1" t="str">
        <f>IFERROR(__xludf.DUMMYFUNCTION("""COMPUTED_VALUE"""),"")</f>
        <v/>
      </c>
      <c r="AN512" s="1" t="str">
        <f>IFERROR(__xludf.DUMMYFUNCTION("""COMPUTED_VALUE"""),"")</f>
        <v/>
      </c>
      <c r="AO512" s="1" t="str">
        <f>IFERROR(__xludf.DUMMYFUNCTION("""COMPUTED_VALUE"""),"")</f>
        <v/>
      </c>
      <c r="AP512" s="1" t="str">
        <f>IFERROR(__xludf.DUMMYFUNCTION("""COMPUTED_VALUE"""),"")</f>
        <v/>
      </c>
      <c r="AQ512" s="1" t="str">
        <f>IFERROR(__xludf.DUMMYFUNCTION("""COMPUTED_VALUE"""),"08/25/2025")</f>
        <v>08/25/2025</v>
      </c>
      <c r="AR512" s="1" t="str">
        <f>IFERROR(__xludf.DUMMYFUNCTION("""COMPUTED_VALUE"""),"08/25/2025")</f>
        <v>08/25/2025</v>
      </c>
    </row>
    <row r="513">
      <c r="A513" s="1" t="str">
        <f>IFERROR(__xludf.DUMMYFUNCTION("""COMPUTED_VALUE"""),"St Charles Data Center")</f>
        <v>St Charles Data Center</v>
      </c>
      <c r="B513" s="1" t="str">
        <f>IFERROR(__xludf.DUMMYFUNCTION("""COMPUTED_VALUE"""),"Hwy 370")</f>
        <v>Hwy 370</v>
      </c>
      <c r="C513" s="1" t="str">
        <f>IFERROR(__xludf.DUMMYFUNCTION("""COMPUTED_VALUE"""),"St Charles")</f>
        <v>St Charles</v>
      </c>
      <c r="D513" s="1" t="str">
        <f>IFERROR(__xludf.DUMMYFUNCTION("""COMPUTED_VALUE"""),"MO")</f>
        <v>MO</v>
      </c>
      <c r="E513" s="1" t="str">
        <f>IFERROR(__xludf.DUMMYFUNCTION("""COMPUTED_VALUE"""),"")</f>
        <v/>
      </c>
      <c r="F513" s="1" t="str">
        <f>IFERROR(__xludf.DUMMYFUNCTION("""COMPUTED_VALUE"""),"St. Charles")</f>
        <v>St. Charles</v>
      </c>
      <c r="G513" s="1" t="str">
        <f>IFERROR(__xludf.DUMMYFUNCTION("""COMPUTED_VALUE"""),"38.82242")</f>
        <v>38.82242</v>
      </c>
      <c r="H513" s="1" t="str">
        <f>IFERROR(__xludf.DUMMYFUNCTION("""COMPUTED_VALUE"""),"-90.5378")</f>
        <v>-90.5378</v>
      </c>
      <c r="I513" s="1" t="str">
        <f>IFERROR(__xludf.DUMMYFUNCTION("""COMPUTED_VALUE"""),"Proposed")</f>
        <v>Proposed</v>
      </c>
      <c r="J513" s="1" t="str">
        <f>IFERROR(__xludf.DUMMYFUNCTION("""COMPUTED_VALUE"""),"Medium")</f>
        <v>Medium</v>
      </c>
      <c r="K513" s="1" t="str">
        <f>IFERROR(__xludf.DUMMYFUNCTION("""COMPUTED_VALUE"""),"")</f>
        <v/>
      </c>
      <c r="L513" s="1" t="str">
        <f>IFERROR(__xludf.DUMMYFUNCTION("""COMPUTED_VALUE"""),"")</f>
        <v/>
      </c>
      <c r="M513" s="1" t="str">
        <f>IFERROR(__xludf.DUMMYFUNCTION("""COMPUTED_VALUE"""),"")</f>
        <v/>
      </c>
      <c r="N513" s="1" t="str">
        <f>IFERROR(__xludf.DUMMYFUNCTION("""COMPUTED_VALUE"""),"")</f>
        <v/>
      </c>
      <c r="O513" s="1" t="str">
        <f>IFERROR(__xludf.DUMMYFUNCTION("""COMPUTED_VALUE"""),"Unknown")</f>
        <v>Unknown</v>
      </c>
      <c r="P513" s="1" t="str">
        <f>IFERROR(__xludf.DUMMYFUNCTION("""COMPUTED_VALUE"""),"")</f>
        <v/>
      </c>
      <c r="Q513" s="1" t="str">
        <f>IFERROR(__xludf.DUMMYFUNCTION("""COMPUTED_VALUE"""),"")</f>
        <v/>
      </c>
      <c r="R513" s="1" t="str">
        <f>IFERROR(__xludf.DUMMYFUNCTION("""COMPUTED_VALUE"""),"")</f>
        <v/>
      </c>
      <c r="S513" s="1" t="str">
        <f>IFERROR(__xludf.DUMMYFUNCTION("""COMPUTED_VALUE"""),"")</f>
        <v/>
      </c>
      <c r="T513" s="1" t="str">
        <f>IFERROR(__xludf.DUMMYFUNCTION("""COMPUTED_VALUE"""),"")</f>
        <v/>
      </c>
      <c r="U513" s="1" t="str">
        <f>IFERROR(__xludf.DUMMYFUNCTION("""COMPUTED_VALUE"""),"")</f>
        <v/>
      </c>
      <c r="V513" s="1" t="str">
        <f>IFERROR(__xludf.DUMMYFUNCTION("""COMPUTED_VALUE"""),"")</f>
        <v/>
      </c>
      <c r="W513" s="1" t="str">
        <f>IFERROR(__xludf.DUMMYFUNCTION("""COMPUTED_VALUE"""),"")</f>
        <v/>
      </c>
      <c r="X513" s="1" t="str">
        <f>IFERROR(__xludf.DUMMYFUNCTION("""COMPUTED_VALUE"""),"")</f>
        <v/>
      </c>
      <c r="Y513" s="1" t="str">
        <f>IFERROR(__xludf.DUMMYFUNCTION("""COMPUTED_VALUE"""),"")</f>
        <v/>
      </c>
      <c r="Z513" s="1" t="str">
        <f>IFERROR(__xludf.DUMMYFUNCTION("""COMPUTED_VALUE"""),"Unknown")</f>
        <v>Unknown</v>
      </c>
      <c r="AA513" s="1" t="str">
        <f>IFERROR(__xludf.DUMMYFUNCTION("""COMPUTED_VALUE"""),"")</f>
        <v/>
      </c>
      <c r="AB513" s="1" t="str">
        <f>IFERROR(__xludf.DUMMYFUNCTION("""COMPUTED_VALUE"""),"")</f>
        <v/>
      </c>
      <c r="AC513" s="1" t="str">
        <f>IFERROR(__xludf.DUMMYFUNCTION("""COMPUTED_VALUE"""),"")</f>
        <v/>
      </c>
      <c r="AD513" s="1" t="str">
        <f>IFERROR(__xludf.DUMMYFUNCTION("""COMPUTED_VALUE"""),"")</f>
        <v/>
      </c>
      <c r="AE513" s="1" t="str">
        <f>IFERROR(__xludf.DUMMYFUNCTION("""COMPUTED_VALUE"""),"")</f>
        <v/>
      </c>
      <c r="AF513" s="1" t="str">
        <f>IFERROR(__xludf.DUMMYFUNCTION("""COMPUTED_VALUE"""),"")</f>
        <v/>
      </c>
      <c r="AG513" s="1" t="str">
        <f>IFERROR(__xludf.DUMMYFUNCTION("""COMPUTED_VALUE"""),"")</f>
        <v/>
      </c>
      <c r="AH513" s="1" t="str">
        <f>IFERROR(__xludf.DUMMYFUNCTION("""COMPUTED_VALUE"""),"Media Monitoring")</f>
        <v>Media Monitoring</v>
      </c>
      <c r="AI513" s="2" t="str">
        <f>IFERROR(__xludf.DUMMYFUNCTION("""COMPUTED_VALUE"""),"https://fox2now.com/news/missouri/st-charles-proposed-data-center-sparks-environmental-concerns/")</f>
        <v>https://fox2now.com/news/missouri/st-charles-proposed-data-center-sparks-environmental-concerns/</v>
      </c>
      <c r="AJ513" s="1" t="str">
        <f>IFERROR(__xludf.DUMMYFUNCTION("""COMPUTED_VALUE"""),"")</f>
        <v/>
      </c>
      <c r="AK513" s="1" t="str">
        <f>IFERROR(__xludf.DUMMYFUNCTION("""COMPUTED_VALUE"""),"")</f>
        <v/>
      </c>
      <c r="AL513" s="1" t="str">
        <f>IFERROR(__xludf.DUMMYFUNCTION("""COMPUTED_VALUE"""),"")</f>
        <v/>
      </c>
      <c r="AM513" s="1" t="str">
        <f>IFERROR(__xludf.DUMMYFUNCTION("""COMPUTED_VALUE"""),"")</f>
        <v/>
      </c>
      <c r="AN513" s="1" t="str">
        <f>IFERROR(__xludf.DUMMYFUNCTION("""COMPUTED_VALUE"""),"")</f>
        <v/>
      </c>
      <c r="AO513" s="1" t="str">
        <f>IFERROR(__xludf.DUMMYFUNCTION("""COMPUTED_VALUE"""),"")</f>
        <v/>
      </c>
      <c r="AP513" s="1" t="str">
        <f>IFERROR(__xludf.DUMMYFUNCTION("""COMPUTED_VALUE"""),"")</f>
        <v/>
      </c>
      <c r="AQ513" s="1" t="str">
        <f>IFERROR(__xludf.DUMMYFUNCTION("""COMPUTED_VALUE"""),"08/09/2025")</f>
        <v>08/09/2025</v>
      </c>
      <c r="AR513" s="1" t="str">
        <f>IFERROR(__xludf.DUMMYFUNCTION("""COMPUTED_VALUE"""),"08/09/2025")</f>
        <v>08/09/2025</v>
      </c>
    </row>
    <row r="514">
      <c r="A514" s="1" t="str">
        <f>IFERROR(__xludf.DUMMYFUNCTION("""COMPUTED_VALUE"""),"STJ Data Center")</f>
        <v>STJ Data Center</v>
      </c>
      <c r="B514" s="1" t="str">
        <f>IFERROR(__xludf.DUMMYFUNCTION("""COMPUTED_VALUE"""),"6321 Pickett Rd")</f>
        <v>6321 Pickett Rd</v>
      </c>
      <c r="C514" s="1" t="str">
        <f>IFERROR(__xludf.DUMMYFUNCTION("""COMPUTED_VALUE"""),"St Joseph")</f>
        <v>St Joseph</v>
      </c>
      <c r="D514" s="1" t="str">
        <f>IFERROR(__xludf.DUMMYFUNCTION("""COMPUTED_VALUE"""),"MO")</f>
        <v>MO</v>
      </c>
      <c r="E514" s="1" t="str">
        <f>IFERROR(__xludf.DUMMYFUNCTION("""COMPUTED_VALUE"""),"64507")</f>
        <v>64507</v>
      </c>
      <c r="F514" s="1" t="str">
        <f>IFERROR(__xludf.DUMMYFUNCTION("""COMPUTED_VALUE"""),"Buchanan")</f>
        <v>Buchanan</v>
      </c>
      <c r="G514" s="1" t="str">
        <f>IFERROR(__xludf.DUMMYFUNCTION("""COMPUTED_VALUE"""),"39.74402")</f>
        <v>39.74402</v>
      </c>
      <c r="H514" s="1" t="str">
        <f>IFERROR(__xludf.DUMMYFUNCTION("""COMPUTED_VALUE"""),"-94.75865")</f>
        <v>-94.75865</v>
      </c>
      <c r="I514" s="1" t="str">
        <f>IFERROR(__xludf.DUMMYFUNCTION("""COMPUTED_VALUE"""),"Cancelled")</f>
        <v>Cancelled</v>
      </c>
      <c r="J514" s="1" t="str">
        <f>IFERROR(__xludf.DUMMYFUNCTION("""COMPUTED_VALUE"""),"High")</f>
        <v>High</v>
      </c>
      <c r="K514" s="1" t="str">
        <f>IFERROR(__xludf.DUMMYFUNCTION("""COMPUTED_VALUE"""),"")</f>
        <v/>
      </c>
      <c r="L514" s="1" t="str">
        <f>IFERROR(__xludf.DUMMYFUNCTION("""COMPUTED_VALUE"""),"")</f>
        <v/>
      </c>
      <c r="M514" s="1" t="str">
        <f>IFERROR(__xludf.DUMMYFUNCTION("""COMPUTED_VALUE"""),"")</f>
        <v/>
      </c>
      <c r="N514" s="1" t="str">
        <f>IFERROR(__xludf.DUMMYFUNCTION("""COMPUTED_VALUE"""),"")</f>
        <v/>
      </c>
      <c r="O514" s="1" t="str">
        <f>IFERROR(__xludf.DUMMYFUNCTION("""COMPUTED_VALUE"""),"Unknown")</f>
        <v>Unknown</v>
      </c>
      <c r="P514" s="1" t="str">
        <f>IFERROR(__xludf.DUMMYFUNCTION("""COMPUTED_VALUE"""),"")</f>
        <v/>
      </c>
      <c r="Q514" s="1" t="str">
        <f>IFERROR(__xludf.DUMMYFUNCTION("""COMPUTED_VALUE"""),"")</f>
        <v/>
      </c>
      <c r="R514" s="1" t="str">
        <f>IFERROR(__xludf.DUMMYFUNCTION("""COMPUTED_VALUE"""),"")</f>
        <v/>
      </c>
      <c r="S514" s="1" t="str">
        <f>IFERROR(__xludf.DUMMYFUNCTION("""COMPUTED_VALUE"""),"4")</f>
        <v>4</v>
      </c>
      <c r="T514" s="1" t="str">
        <f>IFERROR(__xludf.DUMMYFUNCTION("""COMPUTED_VALUE"""),"")</f>
        <v/>
      </c>
      <c r="U514" s="1" t="str">
        <f>IFERROR(__xludf.DUMMYFUNCTION("""COMPUTED_VALUE"""),"")</f>
        <v/>
      </c>
      <c r="V514" s="1" t="str">
        <f>IFERROR(__xludf.DUMMYFUNCTION("""COMPUTED_VALUE"""),"")</f>
        <v/>
      </c>
      <c r="W514" s="1" t="str">
        <f>IFERROR(__xludf.DUMMYFUNCTION("""COMPUTED_VALUE"""),"400")</f>
        <v>400</v>
      </c>
      <c r="X514" s="1" t="str">
        <f>IFERROR(__xludf.DUMMYFUNCTION("""COMPUTED_VALUE"""),"")</f>
        <v/>
      </c>
      <c r="Y514" s="1" t="str">
        <f>IFERROR(__xludf.DUMMYFUNCTION("""COMPUTED_VALUE"""),"")</f>
        <v/>
      </c>
      <c r="Z514" s="1" t="str">
        <f>IFERROR(__xludf.DUMMYFUNCTION("""COMPUTED_VALUE"""),"Unknown")</f>
        <v>Unknown</v>
      </c>
      <c r="AA514" s="1" t="str">
        <f>IFERROR(__xludf.DUMMYFUNCTION("""COMPUTED_VALUE"""),"")</f>
        <v/>
      </c>
      <c r="AB514" s="1" t="str">
        <f>IFERROR(__xludf.DUMMYFUNCTION("""COMPUTED_VALUE"""),"")</f>
        <v/>
      </c>
      <c r="AC514" s="1" t="str">
        <f>IFERROR(__xludf.DUMMYFUNCTION("""COMPUTED_VALUE"""),"")</f>
        <v/>
      </c>
      <c r="AD514" s="1" t="str">
        <f>IFERROR(__xludf.DUMMYFUNCTION("""COMPUTED_VALUE"""),"")</f>
        <v/>
      </c>
      <c r="AE514" s="1" t="str">
        <f>IFERROR(__xludf.DUMMYFUNCTION("""COMPUTED_VALUE"""),"")</f>
        <v/>
      </c>
      <c r="AF514" s="1" t="str">
        <f>IFERROR(__xludf.DUMMYFUNCTION("""COMPUTED_VALUE"""),"")</f>
        <v/>
      </c>
      <c r="AG514" s="1" t="str">
        <f>IFERROR(__xludf.DUMMYFUNCTION("""COMPUTED_VALUE"""),"Includes substation")</f>
        <v>Includes substation</v>
      </c>
      <c r="AH514" s="1" t="str">
        <f>IFERROR(__xludf.DUMMYFUNCTION("""COMPUTED_VALUE"""),"Media Monitoring")</f>
        <v>Media Monitoring</v>
      </c>
      <c r="AI514" s="2" t="str">
        <f>IFERROR(__xludf.DUMMYFUNCTION("""COMPUTED_VALUE"""),"https://www.datacenterdynamics.com/en/news/local-businessman-withdraws-application-for-data-center-in-st-joseph-missouri/")</f>
        <v>https://www.datacenterdynamics.com/en/news/local-businessman-withdraws-application-for-data-center-in-st-joseph-missouri/</v>
      </c>
      <c r="AJ514" s="2" t="str">
        <f>IFERROR(__xludf.DUMMYFUNCTION("""COMPUTED_VALUE"""),"https://www.stjosephmo.gov/DocumentCenter/View/21960/Developer-Fact-Sheet")</f>
        <v>https://www.stjosephmo.gov/DocumentCenter/View/21960/Developer-Fact-Sheet</v>
      </c>
      <c r="AK514" s="1" t="str">
        <f>IFERROR(__xludf.DUMMYFUNCTION("""COMPUTED_VALUE"""),"")</f>
        <v/>
      </c>
      <c r="AL514" s="1" t="str">
        <f>IFERROR(__xludf.DUMMYFUNCTION("""COMPUTED_VALUE"""),"")</f>
        <v/>
      </c>
      <c r="AM514" s="1" t="str">
        <f>IFERROR(__xludf.DUMMYFUNCTION("""COMPUTED_VALUE"""),"")</f>
        <v/>
      </c>
      <c r="AN514" s="1" t="str">
        <f>IFERROR(__xludf.DUMMYFUNCTION("""COMPUTED_VALUE"""),"")</f>
        <v/>
      </c>
      <c r="AO514" s="1" t="str">
        <f>IFERROR(__xludf.DUMMYFUNCTION("""COMPUTED_VALUE"""),"")</f>
        <v/>
      </c>
      <c r="AP514" s="1" t="str">
        <f>IFERROR(__xludf.DUMMYFUNCTION("""COMPUTED_VALUE"""),"")</f>
        <v/>
      </c>
      <c r="AQ514" s="1" t="str">
        <f>IFERROR(__xludf.DUMMYFUNCTION("""COMPUTED_VALUE"""),"06/30/2026")</f>
        <v>06/30/2026</v>
      </c>
      <c r="AR514" s="1" t="str">
        <f>IFERROR(__xludf.DUMMYFUNCTION("""COMPUTED_VALUE"""),"06/30/2026")</f>
        <v>06/30/2026</v>
      </c>
    </row>
    <row r="515">
      <c r="A515" s="1" t="str">
        <f>IFERROR(__xludf.DUMMYFUNCTION("""COMPUTED_VALUE"""),"1831 Chestnut Condominium Data Center")</f>
        <v>1831 Chestnut Condominium Data Center</v>
      </c>
      <c r="B515" s="1" t="str">
        <f>IFERROR(__xludf.DUMMYFUNCTION("""COMPUTED_VALUE"""),"1831 Chestnut St")</f>
        <v>1831 Chestnut St</v>
      </c>
      <c r="C515" s="1" t="str">
        <f>IFERROR(__xludf.DUMMYFUNCTION("""COMPUTED_VALUE"""),"St Louis")</f>
        <v>St Louis</v>
      </c>
      <c r="D515" s="1" t="str">
        <f>IFERROR(__xludf.DUMMYFUNCTION("""COMPUTED_VALUE"""),"MO")</f>
        <v>MO</v>
      </c>
      <c r="E515" s="1" t="str">
        <f>IFERROR(__xludf.DUMMYFUNCTION("""COMPUTED_VALUE"""),"63103")</f>
        <v>63103</v>
      </c>
      <c r="F515" s="1" t="str">
        <f>IFERROR(__xludf.DUMMYFUNCTION("""COMPUTED_VALUE"""),"St. Louis")</f>
        <v>St. Louis</v>
      </c>
      <c r="G515" s="1" t="str">
        <f>IFERROR(__xludf.DUMMYFUNCTION("""COMPUTED_VALUE"""),"38.630444")</f>
        <v>38.630444</v>
      </c>
      <c r="H515" s="1" t="str">
        <f>IFERROR(__xludf.DUMMYFUNCTION("""COMPUTED_VALUE"""),"-90.20682")</f>
        <v>-90.20682</v>
      </c>
      <c r="I515" s="1" t="str">
        <f>IFERROR(__xludf.DUMMYFUNCTION("""COMPUTED_VALUE"""),"Operating")</f>
        <v>Operating</v>
      </c>
      <c r="J515" s="1" t="str">
        <f>IFERROR(__xludf.DUMMYFUNCTION("""COMPUTED_VALUE"""),"High")</f>
        <v>High</v>
      </c>
      <c r="K515" s="1" t="str">
        <f>IFERROR(__xludf.DUMMYFUNCTION("""COMPUTED_VALUE"""),"")</f>
        <v/>
      </c>
      <c r="L515" s="1" t="str">
        <f>IFERROR(__xludf.DUMMYFUNCTION("""COMPUTED_VALUE"""),"")</f>
        <v/>
      </c>
      <c r="M515" s="1" t="str">
        <f>IFERROR(__xludf.DUMMYFUNCTION("""COMPUTED_VALUE"""),"")</f>
        <v/>
      </c>
      <c r="N515" s="1" t="str">
        <f>IFERROR(__xludf.DUMMYFUNCTION("""COMPUTED_VALUE"""),"")</f>
        <v/>
      </c>
      <c r="O515" s="1" t="str">
        <f>IFERROR(__xludf.DUMMYFUNCTION("""COMPUTED_VALUE"""),"Unknown")</f>
        <v>Unknown</v>
      </c>
      <c r="P515" s="1" t="str">
        <f>IFERROR(__xludf.DUMMYFUNCTION("""COMPUTED_VALUE"""),"")</f>
        <v/>
      </c>
      <c r="Q515" s="1" t="str">
        <f>IFERROR(__xludf.DUMMYFUNCTION("""COMPUTED_VALUE"""),"")</f>
        <v/>
      </c>
      <c r="R515" s="1" t="str">
        <f>IFERROR(__xludf.DUMMYFUNCTION("""COMPUTED_VALUE"""),"")</f>
        <v/>
      </c>
      <c r="S515" s="1" t="str">
        <f>IFERROR(__xludf.DUMMYFUNCTION("""COMPUTED_VALUE"""),"")</f>
        <v/>
      </c>
      <c r="T515" s="1" t="str">
        <f>IFERROR(__xludf.DUMMYFUNCTION("""COMPUTED_VALUE"""),"")</f>
        <v/>
      </c>
      <c r="U515" s="1" t="str">
        <f>IFERROR(__xludf.DUMMYFUNCTION("""COMPUTED_VALUE"""),"")</f>
        <v/>
      </c>
      <c r="V515" s="1" t="str">
        <f>IFERROR(__xludf.DUMMYFUNCTION("""COMPUTED_VALUE"""),"53,000")</f>
        <v>53,000</v>
      </c>
      <c r="W515" s="1" t="str">
        <f>IFERROR(__xludf.DUMMYFUNCTION("""COMPUTED_VALUE"""),"")</f>
        <v/>
      </c>
      <c r="X515" s="1" t="str">
        <f>IFERROR(__xludf.DUMMYFUNCTION("""COMPUTED_VALUE"""),"")</f>
        <v/>
      </c>
      <c r="Y515" s="1" t="str">
        <f>IFERROR(__xludf.DUMMYFUNCTION("""COMPUTED_VALUE"""),"")</f>
        <v/>
      </c>
      <c r="Z515" s="1" t="str">
        <f>IFERROR(__xludf.DUMMYFUNCTION("""COMPUTED_VALUE"""),"Unknown")</f>
        <v>Unknown</v>
      </c>
      <c r="AA515" s="1" t="str">
        <f>IFERROR(__xludf.DUMMYFUNCTION("""COMPUTED_VALUE"""),"")</f>
        <v/>
      </c>
      <c r="AB515" s="1" t="str">
        <f>IFERROR(__xludf.DUMMYFUNCTION("""COMPUTED_VALUE"""),"")</f>
        <v/>
      </c>
      <c r="AC515" s="1" t="str">
        <f>IFERROR(__xludf.DUMMYFUNCTION("""COMPUTED_VALUE"""),"")</f>
        <v/>
      </c>
      <c r="AD515" s="1" t="str">
        <f>IFERROR(__xludf.DUMMYFUNCTION("""COMPUTED_VALUE"""),"")</f>
        <v/>
      </c>
      <c r="AE515" s="1" t="str">
        <f>IFERROR(__xludf.DUMMYFUNCTION("""COMPUTED_VALUE"""),"")</f>
        <v/>
      </c>
      <c r="AF515" s="1" t="str">
        <f>IFERROR(__xludf.DUMMYFUNCTION("""COMPUTED_VALUE"""),"")</f>
        <v/>
      </c>
      <c r="AG515" s="1" t="str">
        <f>IFERROR(__xludf.DUMMYFUNCTION("""COMPUTED_VALUE"""),"Building for sale, June 2026")</f>
        <v>Building for sale, June 2026</v>
      </c>
      <c r="AH515" s="1" t="str">
        <f>IFERROR(__xludf.DUMMYFUNCTION("""COMPUTED_VALUE"""),"Media Monitoring")</f>
        <v>Media Monitoring</v>
      </c>
      <c r="AI515" s="2" t="str">
        <f>IFERROR(__xludf.DUMMYFUNCTION("""COMPUTED_VALUE"""),"https://www.datacenterdynamics.com/en/news/340000-sq-ft-data-center-and-office-for-sale-in-downtown-st-louis-missouri/")</f>
        <v>https://www.datacenterdynamics.com/en/news/340000-sq-ft-data-center-and-office-for-sale-in-downtown-st-louis-missouri/</v>
      </c>
      <c r="AJ515" s="1" t="str">
        <f>IFERROR(__xludf.DUMMYFUNCTION("""COMPUTED_VALUE"""),"")</f>
        <v/>
      </c>
      <c r="AK515" s="1" t="str">
        <f>IFERROR(__xludf.DUMMYFUNCTION("""COMPUTED_VALUE"""),"")</f>
        <v/>
      </c>
      <c r="AL515" s="1" t="str">
        <f>IFERROR(__xludf.DUMMYFUNCTION("""COMPUTED_VALUE"""),"")</f>
        <v/>
      </c>
      <c r="AM515" s="1" t="str">
        <f>IFERROR(__xludf.DUMMYFUNCTION("""COMPUTED_VALUE"""),"")</f>
        <v/>
      </c>
      <c r="AN515" s="1" t="str">
        <f>IFERROR(__xludf.DUMMYFUNCTION("""COMPUTED_VALUE"""),"")</f>
        <v/>
      </c>
      <c r="AO515" s="1" t="str">
        <f>IFERROR(__xludf.DUMMYFUNCTION("""COMPUTED_VALUE"""),"")</f>
        <v/>
      </c>
      <c r="AP515" s="1" t="str">
        <f>IFERROR(__xludf.DUMMYFUNCTION("""COMPUTED_VALUE"""),"")</f>
        <v/>
      </c>
      <c r="AQ515" s="1" t="str">
        <f>IFERROR(__xludf.DUMMYFUNCTION("""COMPUTED_VALUE"""),"06/12/2026")</f>
        <v>06/12/2026</v>
      </c>
      <c r="AR515" s="1" t="str">
        <f>IFERROR(__xludf.DUMMYFUNCTION("""COMPUTED_VALUE"""),"06/12/2026")</f>
        <v>06/12/2026</v>
      </c>
    </row>
    <row r="516">
      <c r="A516" s="1" t="str">
        <f>IFERROR(__xludf.DUMMYFUNCTION("""COMPUTED_VALUE"""),"Netrality Data Centers St. Louis- 210 North Tucker ")</f>
        <v>Netrality Data Centers St. Louis- 210 North Tucker </v>
      </c>
      <c r="B516" s="1" t="str">
        <f>IFERROR(__xludf.DUMMYFUNCTION("""COMPUTED_VALUE"""),"210 N Tucker Blvd Suite 1030")</f>
        <v>210 N Tucker Blvd Suite 1030</v>
      </c>
      <c r="C516" s="1" t="str">
        <f>IFERROR(__xludf.DUMMYFUNCTION("""COMPUTED_VALUE"""),"St. Louis")</f>
        <v>St. Louis</v>
      </c>
      <c r="D516" s="1" t="str">
        <f>IFERROR(__xludf.DUMMYFUNCTION("""COMPUTED_VALUE"""),"MO")</f>
        <v>MO</v>
      </c>
      <c r="E516" s="1" t="str">
        <f>IFERROR(__xludf.DUMMYFUNCTION("""COMPUTED_VALUE"""),"63101")</f>
        <v>63101</v>
      </c>
      <c r="F516" s="1" t="str">
        <f>IFERROR(__xludf.DUMMYFUNCTION("""COMPUTED_VALUE"""),"St. Louis")</f>
        <v>St. Louis</v>
      </c>
      <c r="G516" s="1" t="str">
        <f>IFERROR(__xludf.DUMMYFUNCTION("""COMPUTED_VALUE"""),"38.62937")</f>
        <v>38.62937</v>
      </c>
      <c r="H516" s="1" t="str">
        <f>IFERROR(__xludf.DUMMYFUNCTION("""COMPUTED_VALUE"""),"-90.1973")</f>
        <v>-90.1973</v>
      </c>
      <c r="I516" s="1" t="str">
        <f>IFERROR(__xludf.DUMMYFUNCTION("""COMPUTED_VALUE"""),"Operating")</f>
        <v>Operating</v>
      </c>
      <c r="J516" s="1" t="str">
        <f>IFERROR(__xludf.DUMMYFUNCTION("""COMPUTED_VALUE"""),"High")</f>
        <v>High</v>
      </c>
      <c r="K516" s="1" t="str">
        <f>IFERROR(__xludf.DUMMYFUNCTION("""COMPUTED_VALUE"""),"")</f>
        <v/>
      </c>
      <c r="L516" s="1" t="str">
        <f>IFERROR(__xludf.DUMMYFUNCTION("""COMPUTED_VALUE"""),"")</f>
        <v/>
      </c>
      <c r="M516" s="1" t="str">
        <f>IFERROR(__xludf.DUMMYFUNCTION("""COMPUTED_VALUE"""),"")</f>
        <v/>
      </c>
      <c r="N516" s="1" t="str">
        <f>IFERROR(__xludf.DUMMYFUNCTION("""COMPUTED_VALUE"""),"")</f>
        <v/>
      </c>
      <c r="O516" s="1" t="str">
        <f>IFERROR(__xludf.DUMMYFUNCTION("""COMPUTED_VALUE"""),"Unknown")</f>
        <v>Unknown</v>
      </c>
      <c r="P516" s="1" t="str">
        <f>IFERROR(__xludf.DUMMYFUNCTION("""COMPUTED_VALUE"""),"")</f>
        <v/>
      </c>
      <c r="Q516" s="1" t="str">
        <f>IFERROR(__xludf.DUMMYFUNCTION("""COMPUTED_VALUE"""),"")</f>
        <v/>
      </c>
      <c r="R516" s="1" t="str">
        <f>IFERROR(__xludf.DUMMYFUNCTION("""COMPUTED_VALUE"""),"")</f>
        <v/>
      </c>
      <c r="S516" s="1" t="str">
        <f>IFERROR(__xludf.DUMMYFUNCTION("""COMPUTED_VALUE"""),"")</f>
        <v/>
      </c>
      <c r="T516" s="1" t="str">
        <f>IFERROR(__xludf.DUMMYFUNCTION("""COMPUTED_VALUE"""),"")</f>
        <v/>
      </c>
      <c r="U516" s="1" t="str">
        <f>IFERROR(__xludf.DUMMYFUNCTION("""COMPUTED_VALUE"""),"")</f>
        <v/>
      </c>
      <c r="V516" s="1" t="str">
        <f>IFERROR(__xludf.DUMMYFUNCTION("""COMPUTED_VALUE"""),"")</f>
        <v/>
      </c>
      <c r="W516" s="1" t="str">
        <f>IFERROR(__xludf.DUMMYFUNCTION("""COMPUTED_VALUE"""),"")</f>
        <v/>
      </c>
      <c r="X516" s="1" t="str">
        <f>IFERROR(__xludf.DUMMYFUNCTION("""COMPUTED_VALUE"""),"")</f>
        <v/>
      </c>
      <c r="Y516" s="1" t="str">
        <f>IFERROR(__xludf.DUMMYFUNCTION("""COMPUTED_VALUE"""),"")</f>
        <v/>
      </c>
      <c r="Z516" s="1" t="str">
        <f>IFERROR(__xludf.DUMMYFUNCTION("""COMPUTED_VALUE"""),"Unknown")</f>
        <v>Unknown</v>
      </c>
      <c r="AA516" s="1" t="str">
        <f>IFERROR(__xludf.DUMMYFUNCTION("""COMPUTED_VALUE"""),"")</f>
        <v/>
      </c>
      <c r="AB516" s="1" t="str">
        <f>IFERROR(__xludf.DUMMYFUNCTION("""COMPUTED_VALUE"""),"")</f>
        <v/>
      </c>
      <c r="AC516" s="1" t="str">
        <f>IFERROR(__xludf.DUMMYFUNCTION("""COMPUTED_VALUE"""),"")</f>
        <v/>
      </c>
      <c r="AD516" s="1" t="str">
        <f>IFERROR(__xludf.DUMMYFUNCTION("""COMPUTED_VALUE"""),"")</f>
        <v/>
      </c>
      <c r="AE516" s="1" t="str">
        <f>IFERROR(__xludf.DUMMYFUNCTION("""COMPUTED_VALUE"""),"")</f>
        <v/>
      </c>
      <c r="AF516" s="1" t="str">
        <f>IFERROR(__xludf.DUMMYFUNCTION("""COMPUTED_VALUE"""),"")</f>
        <v/>
      </c>
      <c r="AG516" s="1" t="str">
        <f>IFERROR(__xludf.DUMMYFUNCTION("""COMPUTED_VALUE"""),"")</f>
        <v/>
      </c>
      <c r="AH516" s="1" t="str">
        <f>IFERROR(__xludf.DUMMYFUNCTION("""COMPUTED_VALUE"""),"Media Monitoring")</f>
        <v>Media Monitoring</v>
      </c>
      <c r="AI516" s="2" t="str">
        <f>IFERROR(__xludf.DUMMYFUNCTION("""COMPUTED_VALUE"""),"https://www.firstalert4.com/2025/09/15/after-st-charles-pressed-pause-city-st-louis-considering-data-center-moratorium/")</f>
        <v>https://www.firstalert4.com/2025/09/15/after-st-charles-pressed-pause-city-st-louis-considering-data-center-moratorium/</v>
      </c>
      <c r="AJ516" s="1" t="str">
        <f>IFERROR(__xludf.DUMMYFUNCTION("""COMPUTED_VALUE"""),"")</f>
        <v/>
      </c>
      <c r="AK516" s="1" t="str">
        <f>IFERROR(__xludf.DUMMYFUNCTION("""COMPUTED_VALUE"""),"")</f>
        <v/>
      </c>
      <c r="AL516" s="1" t="str">
        <f>IFERROR(__xludf.DUMMYFUNCTION("""COMPUTED_VALUE"""),"")</f>
        <v/>
      </c>
      <c r="AM516" s="1" t="str">
        <f>IFERROR(__xludf.DUMMYFUNCTION("""COMPUTED_VALUE"""),"")</f>
        <v/>
      </c>
      <c r="AN516" s="1" t="str">
        <f>IFERROR(__xludf.DUMMYFUNCTION("""COMPUTED_VALUE"""),"")</f>
        <v/>
      </c>
      <c r="AO516" s="1" t="str">
        <f>IFERROR(__xludf.DUMMYFUNCTION("""COMPUTED_VALUE"""),"")</f>
        <v/>
      </c>
      <c r="AP516" s="1" t="str">
        <f>IFERROR(__xludf.DUMMYFUNCTION("""COMPUTED_VALUE"""),"")</f>
        <v/>
      </c>
      <c r="AQ516" s="1" t="str">
        <f>IFERROR(__xludf.DUMMYFUNCTION("""COMPUTED_VALUE"""),"09/17/2025")</f>
        <v>09/17/2025</v>
      </c>
      <c r="AR516" s="1" t="str">
        <f>IFERROR(__xludf.DUMMYFUNCTION("""COMPUTED_VALUE"""),"09/17/2025")</f>
        <v>09/17/2025</v>
      </c>
    </row>
    <row r="517">
      <c r="A517" s="1" t="str">
        <f>IFERROR(__xludf.DUMMYFUNCTION("""COMPUTED_VALUE"""),"Netrality Data Centers St. Louis - 900 Walnut")</f>
        <v>Netrality Data Centers St. Louis - 900 Walnut</v>
      </c>
      <c r="B517" s="1" t="str">
        <f>IFERROR(__xludf.DUMMYFUNCTION("""COMPUTED_VALUE"""),"900 Walnut St")</f>
        <v>900 Walnut St</v>
      </c>
      <c r="C517" s="1" t="str">
        <f>IFERROR(__xludf.DUMMYFUNCTION("""COMPUTED_VALUE"""),"St. Louis")</f>
        <v>St. Louis</v>
      </c>
      <c r="D517" s="1" t="str">
        <f>IFERROR(__xludf.DUMMYFUNCTION("""COMPUTED_VALUE"""),"MO")</f>
        <v>MO</v>
      </c>
      <c r="E517" s="1" t="str">
        <f>IFERROR(__xludf.DUMMYFUNCTION("""COMPUTED_VALUE"""),"63102")</f>
        <v>63102</v>
      </c>
      <c r="F517" s="1" t="str">
        <f>IFERROR(__xludf.DUMMYFUNCTION("""COMPUTED_VALUE"""),"St. Louis")</f>
        <v>St. Louis</v>
      </c>
      <c r="G517" s="1" t="str">
        <f>IFERROR(__xludf.DUMMYFUNCTION("""COMPUTED_VALUE"""),"38.62554")</f>
        <v>38.62554</v>
      </c>
      <c r="H517" s="1" t="str">
        <f>IFERROR(__xludf.DUMMYFUNCTION("""COMPUTED_VALUE"""),"-90.1953")</f>
        <v>-90.1953</v>
      </c>
      <c r="I517" s="1" t="str">
        <f>IFERROR(__xludf.DUMMYFUNCTION("""COMPUTED_VALUE"""),"Operating")</f>
        <v>Operating</v>
      </c>
      <c r="J517" s="1" t="str">
        <f>IFERROR(__xludf.DUMMYFUNCTION("""COMPUTED_VALUE"""),"High")</f>
        <v>High</v>
      </c>
      <c r="K517" s="1" t="str">
        <f>IFERROR(__xludf.DUMMYFUNCTION("""COMPUTED_VALUE"""),"")</f>
        <v/>
      </c>
      <c r="L517" s="1" t="str">
        <f>IFERROR(__xludf.DUMMYFUNCTION("""COMPUTED_VALUE"""),"")</f>
        <v/>
      </c>
      <c r="M517" s="1" t="str">
        <f>IFERROR(__xludf.DUMMYFUNCTION("""COMPUTED_VALUE"""),"")</f>
        <v/>
      </c>
      <c r="N517" s="1" t="str">
        <f>IFERROR(__xludf.DUMMYFUNCTION("""COMPUTED_VALUE"""),"")</f>
        <v/>
      </c>
      <c r="O517" s="1" t="str">
        <f>IFERROR(__xludf.DUMMYFUNCTION("""COMPUTED_VALUE"""),"Unknown")</f>
        <v>Unknown</v>
      </c>
      <c r="P517" s="1" t="str">
        <f>IFERROR(__xludf.DUMMYFUNCTION("""COMPUTED_VALUE"""),"")</f>
        <v/>
      </c>
      <c r="Q517" s="1" t="str">
        <f>IFERROR(__xludf.DUMMYFUNCTION("""COMPUTED_VALUE"""),"")</f>
        <v/>
      </c>
      <c r="R517" s="1" t="str">
        <f>IFERROR(__xludf.DUMMYFUNCTION("""COMPUTED_VALUE"""),"")</f>
        <v/>
      </c>
      <c r="S517" s="1" t="str">
        <f>IFERROR(__xludf.DUMMYFUNCTION("""COMPUTED_VALUE"""),"")</f>
        <v/>
      </c>
      <c r="T517" s="1" t="str">
        <f>IFERROR(__xludf.DUMMYFUNCTION("""COMPUTED_VALUE"""),"")</f>
        <v/>
      </c>
      <c r="U517" s="1" t="str">
        <f>IFERROR(__xludf.DUMMYFUNCTION("""COMPUTED_VALUE"""),"")</f>
        <v/>
      </c>
      <c r="V517" s="1" t="str">
        <f>IFERROR(__xludf.DUMMYFUNCTION("""COMPUTED_VALUE"""),"")</f>
        <v/>
      </c>
      <c r="W517" s="1" t="str">
        <f>IFERROR(__xludf.DUMMYFUNCTION("""COMPUTED_VALUE"""),"")</f>
        <v/>
      </c>
      <c r="X517" s="1" t="str">
        <f>IFERROR(__xludf.DUMMYFUNCTION("""COMPUTED_VALUE"""),"")</f>
        <v/>
      </c>
      <c r="Y517" s="1" t="str">
        <f>IFERROR(__xludf.DUMMYFUNCTION("""COMPUTED_VALUE"""),"")</f>
        <v/>
      </c>
      <c r="Z517" s="1" t="str">
        <f>IFERROR(__xludf.DUMMYFUNCTION("""COMPUTED_VALUE"""),"Unknown")</f>
        <v>Unknown</v>
      </c>
      <c r="AA517" s="1" t="str">
        <f>IFERROR(__xludf.DUMMYFUNCTION("""COMPUTED_VALUE"""),"")</f>
        <v/>
      </c>
      <c r="AB517" s="1" t="str">
        <f>IFERROR(__xludf.DUMMYFUNCTION("""COMPUTED_VALUE"""),"")</f>
        <v/>
      </c>
      <c r="AC517" s="1" t="str">
        <f>IFERROR(__xludf.DUMMYFUNCTION("""COMPUTED_VALUE"""),"")</f>
        <v/>
      </c>
      <c r="AD517" s="1" t="str">
        <f>IFERROR(__xludf.DUMMYFUNCTION("""COMPUTED_VALUE"""),"")</f>
        <v/>
      </c>
      <c r="AE517" s="1" t="str">
        <f>IFERROR(__xludf.DUMMYFUNCTION("""COMPUTED_VALUE"""),"")</f>
        <v/>
      </c>
      <c r="AF517" s="1" t="str">
        <f>IFERROR(__xludf.DUMMYFUNCTION("""COMPUTED_VALUE"""),"")</f>
        <v/>
      </c>
      <c r="AG517" s="1" t="str">
        <f>IFERROR(__xludf.DUMMYFUNCTION("""COMPUTED_VALUE"""),"")</f>
        <v/>
      </c>
      <c r="AH517" s="1" t="str">
        <f>IFERROR(__xludf.DUMMYFUNCTION("""COMPUTED_VALUE"""),"Media Monitoring")</f>
        <v>Media Monitoring</v>
      </c>
      <c r="AI517" s="2" t="str">
        <f>IFERROR(__xludf.DUMMYFUNCTION("""COMPUTED_VALUE"""),"https://www.firstalert4.com/2025/09/15/after-st-charles-pressed-pause-city-st-louis-considering-data-center-moratorium/")</f>
        <v>https://www.firstalert4.com/2025/09/15/after-st-charles-pressed-pause-city-st-louis-considering-data-center-moratorium/</v>
      </c>
      <c r="AJ517" s="1" t="str">
        <f>IFERROR(__xludf.DUMMYFUNCTION("""COMPUTED_VALUE"""),"")</f>
        <v/>
      </c>
      <c r="AK517" s="1" t="str">
        <f>IFERROR(__xludf.DUMMYFUNCTION("""COMPUTED_VALUE"""),"")</f>
        <v/>
      </c>
      <c r="AL517" s="1" t="str">
        <f>IFERROR(__xludf.DUMMYFUNCTION("""COMPUTED_VALUE"""),"")</f>
        <v/>
      </c>
      <c r="AM517" s="1" t="str">
        <f>IFERROR(__xludf.DUMMYFUNCTION("""COMPUTED_VALUE"""),"")</f>
        <v/>
      </c>
      <c r="AN517" s="1" t="str">
        <f>IFERROR(__xludf.DUMMYFUNCTION("""COMPUTED_VALUE"""),"")</f>
        <v/>
      </c>
      <c r="AO517" s="1" t="str">
        <f>IFERROR(__xludf.DUMMYFUNCTION("""COMPUTED_VALUE"""),"")</f>
        <v/>
      </c>
      <c r="AP517" s="1" t="str">
        <f>IFERROR(__xludf.DUMMYFUNCTION("""COMPUTED_VALUE"""),"")</f>
        <v/>
      </c>
      <c r="AQ517" s="1" t="str">
        <f>IFERROR(__xludf.DUMMYFUNCTION("""COMPUTED_VALUE"""),"09/17/2025")</f>
        <v>09/17/2025</v>
      </c>
      <c r="AR517" s="1" t="str">
        <f>IFERROR(__xludf.DUMMYFUNCTION("""COMPUTED_VALUE"""),"09/17/2025")</f>
        <v>09/17/2025</v>
      </c>
    </row>
    <row r="518">
      <c r="A518" s="1" t="str">
        <f>IFERROR(__xludf.DUMMYFUNCTION("""COMPUTED_VALUE"""),"Tierpoint Data Center")</f>
        <v>Tierpoint Data Center</v>
      </c>
      <c r="B518" s="1" t="str">
        <f>IFERROR(__xludf.DUMMYFUNCTION("""COMPUTED_VALUE"""),"3660 Market St")</f>
        <v>3660 Market St</v>
      </c>
      <c r="C518" s="1" t="str">
        <f>IFERROR(__xludf.DUMMYFUNCTION("""COMPUTED_VALUE"""),"St. Louis")</f>
        <v>St. Louis</v>
      </c>
      <c r="D518" s="1" t="str">
        <f>IFERROR(__xludf.DUMMYFUNCTION("""COMPUTED_VALUE"""),"MO")</f>
        <v>MO</v>
      </c>
      <c r="E518" s="1" t="str">
        <f>IFERROR(__xludf.DUMMYFUNCTION("""COMPUTED_VALUE"""),"63110")</f>
        <v>63110</v>
      </c>
      <c r="F518" s="1" t="str">
        <f>IFERROR(__xludf.DUMMYFUNCTION("""COMPUTED_VALUE"""),"St Charles County")</f>
        <v>St Charles County</v>
      </c>
      <c r="G518" s="1" t="str">
        <f>IFERROR(__xludf.DUMMYFUNCTION("""COMPUTED_VALUE"""),"38.63161")</f>
        <v>38.63161</v>
      </c>
      <c r="H518" s="1" t="str">
        <f>IFERROR(__xludf.DUMMYFUNCTION("""COMPUTED_VALUE"""),"-90.2377")</f>
        <v>-90.2377</v>
      </c>
      <c r="I518" s="1" t="str">
        <f>IFERROR(__xludf.DUMMYFUNCTION("""COMPUTED_VALUE"""),"Proposed")</f>
        <v>Proposed</v>
      </c>
      <c r="J518" s="1" t="str">
        <f>IFERROR(__xludf.DUMMYFUNCTION("""COMPUTED_VALUE"""),"High")</f>
        <v>High</v>
      </c>
      <c r="K518" s="1" t="str">
        <f>IFERROR(__xludf.DUMMYFUNCTION("""COMPUTED_VALUE"""),"")</f>
        <v/>
      </c>
      <c r="L518" s="1" t="str">
        <f>IFERROR(__xludf.DUMMYFUNCTION("""COMPUTED_VALUE"""),"")</f>
        <v/>
      </c>
      <c r="M518" s="1" t="str">
        <f>IFERROR(__xludf.DUMMYFUNCTION("""COMPUTED_VALUE"""),"")</f>
        <v/>
      </c>
      <c r="N518" s="1" t="str">
        <f>IFERROR(__xludf.DUMMYFUNCTION("""COMPUTED_VALUE"""),"")</f>
        <v/>
      </c>
      <c r="O518" s="1" t="str">
        <f>IFERROR(__xludf.DUMMYFUNCTION("""COMPUTED_VALUE"""),"Unknown")</f>
        <v>Unknown</v>
      </c>
      <c r="P518" s="1" t="str">
        <f>IFERROR(__xludf.DUMMYFUNCTION("""COMPUTED_VALUE"""),"")</f>
        <v/>
      </c>
      <c r="Q518" s="1" t="str">
        <f>IFERROR(__xludf.DUMMYFUNCTION("""COMPUTED_VALUE"""),"")</f>
        <v/>
      </c>
      <c r="R518" s="1" t="str">
        <f>IFERROR(__xludf.DUMMYFUNCTION("""COMPUTED_VALUE"""),"")</f>
        <v/>
      </c>
      <c r="S518" s="1" t="str">
        <f>IFERROR(__xludf.DUMMYFUNCTION("""COMPUTED_VALUE"""),"")</f>
        <v/>
      </c>
      <c r="T518" s="1" t="str">
        <f>IFERROR(__xludf.DUMMYFUNCTION("""COMPUTED_VALUE"""),"")</f>
        <v/>
      </c>
      <c r="U518" s="1" t="str">
        <f>IFERROR(__xludf.DUMMYFUNCTION("""COMPUTED_VALUE"""),"")</f>
        <v/>
      </c>
      <c r="V518" s="1" t="str">
        <f>IFERROR(__xludf.DUMMYFUNCTION("""COMPUTED_VALUE"""),"")</f>
        <v/>
      </c>
      <c r="W518" s="1" t="str">
        <f>IFERROR(__xludf.DUMMYFUNCTION("""COMPUTED_VALUE"""),"")</f>
        <v/>
      </c>
      <c r="X518" s="1" t="str">
        <f>IFERROR(__xludf.DUMMYFUNCTION("""COMPUTED_VALUE"""),"$25 million")</f>
        <v>$25 million</v>
      </c>
      <c r="Y518" s="1" t="str">
        <f>IFERROR(__xludf.DUMMYFUNCTION("""COMPUTED_VALUE"""),"")</f>
        <v/>
      </c>
      <c r="Z518" s="1" t="str">
        <f>IFERROR(__xludf.DUMMYFUNCTION("""COMPUTED_VALUE"""),"Unknown")</f>
        <v>Unknown</v>
      </c>
      <c r="AA518" s="1" t="str">
        <f>IFERROR(__xludf.DUMMYFUNCTION("""COMPUTED_VALUE"""),"")</f>
        <v/>
      </c>
      <c r="AB518" s="1" t="str">
        <f>IFERROR(__xludf.DUMMYFUNCTION("""COMPUTED_VALUE"""),"")</f>
        <v/>
      </c>
      <c r="AC518" s="1" t="str">
        <f>IFERROR(__xludf.DUMMYFUNCTION("""COMPUTED_VALUE"""),"")</f>
        <v/>
      </c>
      <c r="AD518" s="1" t="str">
        <f>IFERROR(__xludf.DUMMYFUNCTION("""COMPUTED_VALUE"""),"")</f>
        <v/>
      </c>
      <c r="AE518" s="1" t="str">
        <f>IFERROR(__xludf.DUMMYFUNCTION("""COMPUTED_VALUE"""),"")</f>
        <v/>
      </c>
      <c r="AF518" s="1" t="str">
        <f>IFERROR(__xludf.DUMMYFUNCTION("""COMPUTED_VALUE"""),"")</f>
        <v/>
      </c>
      <c r="AG518" s="1" t="str">
        <f>IFERROR(__xludf.DUMMYFUNCTION("""COMPUTED_VALUE"""),"Adjacent to substation, second data center to be built in Armory parking lot. County moratorium had been in place until recently.")</f>
        <v>Adjacent to substation, second data center to be built in Armory parking lot. County moratorium had been in place until recently.</v>
      </c>
      <c r="AH518" s="1" t="str">
        <f>IFERROR(__xludf.DUMMYFUNCTION("""COMPUTED_VALUE"""),"Media Monitoring")</f>
        <v>Media Monitoring</v>
      </c>
      <c r="AI518" s="2" t="str">
        <f>IFERROR(__xludf.DUMMYFUNCTION("""COMPUTED_VALUE"""),"https://www.youtube.com/watch?v=wYBBZEKJWlk&amp;ab_channel=FOX2St.Louis")</f>
        <v>https://www.youtube.com/watch?v=wYBBZEKJWlk&amp;ab_channel=FOX2St.Louis</v>
      </c>
      <c r="AJ518" s="1" t="str">
        <f>IFERROR(__xludf.DUMMYFUNCTION("""COMPUTED_VALUE"""),"")</f>
        <v/>
      </c>
      <c r="AK518" s="1" t="str">
        <f>IFERROR(__xludf.DUMMYFUNCTION("""COMPUTED_VALUE"""),"")</f>
        <v/>
      </c>
      <c r="AL518" s="1" t="str">
        <f>IFERROR(__xludf.DUMMYFUNCTION("""COMPUTED_VALUE"""),"")</f>
        <v/>
      </c>
      <c r="AM518" s="1" t="str">
        <f>IFERROR(__xludf.DUMMYFUNCTION("""COMPUTED_VALUE"""),"")</f>
        <v/>
      </c>
      <c r="AN518" s="1" t="str">
        <f>IFERROR(__xludf.DUMMYFUNCTION("""COMPUTED_VALUE"""),"")</f>
        <v/>
      </c>
      <c r="AO518" s="1" t="str">
        <f>IFERROR(__xludf.DUMMYFUNCTION("""COMPUTED_VALUE"""),"")</f>
        <v/>
      </c>
      <c r="AP518" s="1" t="str">
        <f>IFERROR(__xludf.DUMMYFUNCTION("""COMPUTED_VALUE"""),"")</f>
        <v/>
      </c>
      <c r="AQ518" s="1" t="str">
        <f>IFERROR(__xludf.DUMMYFUNCTION("""COMPUTED_VALUE"""),"09/23/2025")</f>
        <v>09/23/2025</v>
      </c>
      <c r="AR518" s="1" t="str">
        <f>IFERROR(__xludf.DUMMYFUNCTION("""COMPUTED_VALUE"""),"09/23/2025")</f>
        <v>09/23/2025</v>
      </c>
    </row>
    <row r="519">
      <c r="A519" s="1" t="str">
        <f>IFERROR(__xludf.DUMMYFUNCTION("""COMPUTED_VALUE"""),"TierPoint - St Louis Olive Data Center")</f>
        <v>TierPoint - St Louis Olive Data Center</v>
      </c>
      <c r="B519" s="1" t="str">
        <f>IFERROR(__xludf.DUMMYFUNCTION("""COMPUTED_VALUE"""),"1111 Olive St")</f>
        <v>1111 Olive St</v>
      </c>
      <c r="C519" s="1" t="str">
        <f>IFERROR(__xludf.DUMMYFUNCTION("""COMPUTED_VALUE"""),"St. Louis")</f>
        <v>St. Louis</v>
      </c>
      <c r="D519" s="1" t="str">
        <f>IFERROR(__xludf.DUMMYFUNCTION("""COMPUTED_VALUE"""),"MO")</f>
        <v>MO</v>
      </c>
      <c r="E519" s="1" t="str">
        <f>IFERROR(__xludf.DUMMYFUNCTION("""COMPUTED_VALUE"""),"63101")</f>
        <v>63101</v>
      </c>
      <c r="F519" s="1" t="str">
        <f>IFERROR(__xludf.DUMMYFUNCTION("""COMPUTED_VALUE"""),"St. Louis")</f>
        <v>St. Louis</v>
      </c>
      <c r="G519" s="1" t="str">
        <f>IFERROR(__xludf.DUMMYFUNCTION("""COMPUTED_VALUE"""),"38.62968")</f>
        <v>38.62968</v>
      </c>
      <c r="H519" s="1" t="str">
        <f>IFERROR(__xludf.DUMMYFUNCTION("""COMPUTED_VALUE"""),"-90.1963")</f>
        <v>-90.1963</v>
      </c>
      <c r="I519" s="1" t="str">
        <f>IFERROR(__xludf.DUMMYFUNCTION("""COMPUTED_VALUE"""),"Operating")</f>
        <v>Operating</v>
      </c>
      <c r="J519" s="1" t="str">
        <f>IFERROR(__xludf.DUMMYFUNCTION("""COMPUTED_VALUE"""),"High")</f>
        <v>High</v>
      </c>
      <c r="K519" s="1" t="str">
        <f>IFERROR(__xludf.DUMMYFUNCTION("""COMPUTED_VALUE"""),"")</f>
        <v/>
      </c>
      <c r="L519" s="1" t="str">
        <f>IFERROR(__xludf.DUMMYFUNCTION("""COMPUTED_VALUE"""),"")</f>
        <v/>
      </c>
      <c r="M519" s="1" t="str">
        <f>IFERROR(__xludf.DUMMYFUNCTION("""COMPUTED_VALUE"""),"")</f>
        <v/>
      </c>
      <c r="N519" s="1" t="str">
        <f>IFERROR(__xludf.DUMMYFUNCTION("""COMPUTED_VALUE"""),"")</f>
        <v/>
      </c>
      <c r="O519" s="1" t="str">
        <f>IFERROR(__xludf.DUMMYFUNCTION("""COMPUTED_VALUE"""),"Unknown")</f>
        <v>Unknown</v>
      </c>
      <c r="P519" s="1" t="str">
        <f>IFERROR(__xludf.DUMMYFUNCTION("""COMPUTED_VALUE"""),"")</f>
        <v/>
      </c>
      <c r="Q519" s="1" t="str">
        <f>IFERROR(__xludf.DUMMYFUNCTION("""COMPUTED_VALUE"""),"")</f>
        <v/>
      </c>
      <c r="R519" s="1" t="str">
        <f>IFERROR(__xludf.DUMMYFUNCTION("""COMPUTED_VALUE"""),"")</f>
        <v/>
      </c>
      <c r="S519" s="1" t="str">
        <f>IFERROR(__xludf.DUMMYFUNCTION("""COMPUTED_VALUE"""),"")</f>
        <v/>
      </c>
      <c r="T519" s="1" t="str">
        <f>IFERROR(__xludf.DUMMYFUNCTION("""COMPUTED_VALUE"""),"")</f>
        <v/>
      </c>
      <c r="U519" s="1" t="str">
        <f>IFERROR(__xludf.DUMMYFUNCTION("""COMPUTED_VALUE"""),"")</f>
        <v/>
      </c>
      <c r="V519" s="1" t="str">
        <f>IFERROR(__xludf.DUMMYFUNCTION("""COMPUTED_VALUE"""),"")</f>
        <v/>
      </c>
      <c r="W519" s="1" t="str">
        <f>IFERROR(__xludf.DUMMYFUNCTION("""COMPUTED_VALUE"""),"")</f>
        <v/>
      </c>
      <c r="X519" s="1" t="str">
        <f>IFERROR(__xludf.DUMMYFUNCTION("""COMPUTED_VALUE"""),"")</f>
        <v/>
      </c>
      <c r="Y519" s="1" t="str">
        <f>IFERROR(__xludf.DUMMYFUNCTION("""COMPUTED_VALUE"""),"")</f>
        <v/>
      </c>
      <c r="Z519" s="1" t="str">
        <f>IFERROR(__xludf.DUMMYFUNCTION("""COMPUTED_VALUE"""),"Unknown")</f>
        <v>Unknown</v>
      </c>
      <c r="AA519" s="1" t="str">
        <f>IFERROR(__xludf.DUMMYFUNCTION("""COMPUTED_VALUE"""),"")</f>
        <v/>
      </c>
      <c r="AB519" s="1" t="str">
        <f>IFERROR(__xludf.DUMMYFUNCTION("""COMPUTED_VALUE"""),"")</f>
        <v/>
      </c>
      <c r="AC519" s="1" t="str">
        <f>IFERROR(__xludf.DUMMYFUNCTION("""COMPUTED_VALUE"""),"")</f>
        <v/>
      </c>
      <c r="AD519" s="1" t="str">
        <f>IFERROR(__xludf.DUMMYFUNCTION("""COMPUTED_VALUE"""),"")</f>
        <v/>
      </c>
      <c r="AE519" s="1" t="str">
        <f>IFERROR(__xludf.DUMMYFUNCTION("""COMPUTED_VALUE"""),"")</f>
        <v/>
      </c>
      <c r="AF519" s="1" t="str">
        <f>IFERROR(__xludf.DUMMYFUNCTION("""COMPUTED_VALUE"""),"")</f>
        <v/>
      </c>
      <c r="AG519" s="1" t="str">
        <f>IFERROR(__xludf.DUMMYFUNCTION("""COMPUTED_VALUE"""),"")</f>
        <v/>
      </c>
      <c r="AH519" s="1" t="str">
        <f>IFERROR(__xludf.DUMMYFUNCTION("""COMPUTED_VALUE"""),"Media Monitoring")</f>
        <v>Media Monitoring</v>
      </c>
      <c r="AI519" s="2" t="str">
        <f>IFERROR(__xludf.DUMMYFUNCTION("""COMPUTED_VALUE"""),"https://www.firstalert4.com/2025/09/15/after-st-charles-pressed-pause-city-st-louis-considering-data-center-moratorium/")</f>
        <v>https://www.firstalert4.com/2025/09/15/after-st-charles-pressed-pause-city-st-louis-considering-data-center-moratorium/</v>
      </c>
      <c r="AJ519" s="1" t="str">
        <f>IFERROR(__xludf.DUMMYFUNCTION("""COMPUTED_VALUE"""),"")</f>
        <v/>
      </c>
      <c r="AK519" s="1" t="str">
        <f>IFERROR(__xludf.DUMMYFUNCTION("""COMPUTED_VALUE"""),"")</f>
        <v/>
      </c>
      <c r="AL519" s="1" t="str">
        <f>IFERROR(__xludf.DUMMYFUNCTION("""COMPUTED_VALUE"""),"")</f>
        <v/>
      </c>
      <c r="AM519" s="1" t="str">
        <f>IFERROR(__xludf.DUMMYFUNCTION("""COMPUTED_VALUE"""),"")</f>
        <v/>
      </c>
      <c r="AN519" s="1" t="str">
        <f>IFERROR(__xludf.DUMMYFUNCTION("""COMPUTED_VALUE"""),"")</f>
        <v/>
      </c>
      <c r="AO519" s="1" t="str">
        <f>IFERROR(__xludf.DUMMYFUNCTION("""COMPUTED_VALUE"""),"")</f>
        <v/>
      </c>
      <c r="AP519" s="1" t="str">
        <f>IFERROR(__xludf.DUMMYFUNCTION("""COMPUTED_VALUE"""),"")</f>
        <v/>
      </c>
      <c r="AQ519" s="1" t="str">
        <f>IFERROR(__xludf.DUMMYFUNCTION("""COMPUTED_VALUE"""),"09/17/2025")</f>
        <v>09/17/2025</v>
      </c>
      <c r="AR519" s="1" t="str">
        <f>IFERROR(__xludf.DUMMYFUNCTION("""COMPUTED_VALUE"""),"09/17/2025")</f>
        <v>09/17/2025</v>
      </c>
    </row>
    <row r="520">
      <c r="A520" s="1" t="str">
        <f>IFERROR(__xludf.DUMMYFUNCTION("""COMPUTED_VALUE"""),"Crusoe Data Center")</f>
        <v>Crusoe Data Center</v>
      </c>
      <c r="B520" s="1" t="str">
        <f>IFERROR(__xludf.DUMMYFUNCTION("""COMPUTED_VALUE"""),"unknown")</f>
        <v>unknown</v>
      </c>
      <c r="C520" s="1" t="str">
        <f>IFERROR(__xludf.DUMMYFUNCTION("""COMPUTED_VALUE"""),"Unknown (Northern Callaway Co)")</f>
        <v>Unknown (Northern Callaway Co)</v>
      </c>
      <c r="D520" s="1" t="str">
        <f>IFERROR(__xludf.DUMMYFUNCTION("""COMPUTED_VALUE"""),"MO")</f>
        <v>MO</v>
      </c>
      <c r="E520" s="1" t="str">
        <f>IFERROR(__xludf.DUMMYFUNCTION("""COMPUTED_VALUE"""),"")</f>
        <v/>
      </c>
      <c r="F520" s="1" t="str">
        <f>IFERROR(__xludf.DUMMYFUNCTION("""COMPUTED_VALUE"""),"Callaway")</f>
        <v>Callaway</v>
      </c>
      <c r="G520" s="1" t="str">
        <f>IFERROR(__xludf.DUMMYFUNCTION("""COMPUTED_VALUE"""),"39.012173")</f>
        <v>39.012173</v>
      </c>
      <c r="H520" s="1" t="str">
        <f>IFERROR(__xludf.DUMMYFUNCTION("""COMPUTED_VALUE"""),"-91.884415")</f>
        <v>-91.884415</v>
      </c>
      <c r="I520" s="1" t="str">
        <f>IFERROR(__xludf.DUMMYFUNCTION("""COMPUTED_VALUE"""),"Proposed")</f>
        <v>Proposed</v>
      </c>
      <c r="J520" s="1" t="str">
        <f>IFERROR(__xludf.DUMMYFUNCTION("""COMPUTED_VALUE"""),"Low")</f>
        <v>Low</v>
      </c>
      <c r="K520" s="1" t="str">
        <f>IFERROR(__xludf.DUMMYFUNCTION("""COMPUTED_VALUE"""),"")</f>
        <v/>
      </c>
      <c r="L520" s="1" t="str">
        <f>IFERROR(__xludf.DUMMYFUNCTION("""COMPUTED_VALUE"""),"Crusoe")</f>
        <v>Crusoe</v>
      </c>
      <c r="M520" s="1" t="str">
        <f>IFERROR(__xludf.DUMMYFUNCTION("""COMPUTED_VALUE"""),"")</f>
        <v/>
      </c>
      <c r="N520" s="1" t="str">
        <f>IFERROR(__xludf.DUMMYFUNCTION("""COMPUTED_VALUE"""),"")</f>
        <v/>
      </c>
      <c r="O520" s="1" t="str">
        <f>IFERROR(__xludf.DUMMYFUNCTION("""COMPUTED_VALUE"""),"Hyperscale (100-999 MW)")</f>
        <v>Hyperscale (100-999 MW)</v>
      </c>
      <c r="P520" s="1" t="str">
        <f>IFERROR(__xludf.DUMMYFUNCTION("""COMPUTED_VALUE"""),"")</f>
        <v/>
      </c>
      <c r="Q520" s="1" t="str">
        <f>IFERROR(__xludf.DUMMYFUNCTION("""COMPUTED_VALUE"""),"")</f>
        <v/>
      </c>
      <c r="R520" s="1" t="str">
        <f>IFERROR(__xludf.DUMMYFUNCTION("""COMPUTED_VALUE"""),"")</f>
        <v/>
      </c>
      <c r="S520" s="1" t="str">
        <f>IFERROR(__xludf.DUMMYFUNCTION("""COMPUTED_VALUE"""),"")</f>
        <v/>
      </c>
      <c r="T520" s="1" t="str">
        <f>IFERROR(__xludf.DUMMYFUNCTION("""COMPUTED_VALUE"""),"Water")</f>
        <v>Water</v>
      </c>
      <c r="U520" s="1" t="str">
        <f>IFERROR(__xludf.DUMMYFUNCTION("""COMPUTED_VALUE"""),"Closed loop")</f>
        <v>Closed loop</v>
      </c>
      <c r="V520" s="1" t="str">
        <f>IFERROR(__xludf.DUMMYFUNCTION("""COMPUTED_VALUE"""),"800,000")</f>
        <v>800,000</v>
      </c>
      <c r="W520" s="1" t="str">
        <f>IFERROR(__xludf.DUMMYFUNCTION("""COMPUTED_VALUE"""),"14")</f>
        <v>14</v>
      </c>
      <c r="X520" s="1" t="str">
        <f>IFERROR(__xludf.DUMMYFUNCTION("""COMPUTED_VALUE"""),"")</f>
        <v/>
      </c>
      <c r="Y520" s="1" t="str">
        <f>IFERROR(__xludf.DUMMYFUNCTION("""COMPUTED_VALUE"""),"")</f>
        <v/>
      </c>
      <c r="Z520" s="1" t="str">
        <f>IFERROR(__xludf.DUMMYFUNCTION("""COMPUTED_VALUE"""),"Yes")</f>
        <v>Yes</v>
      </c>
      <c r="AA520" s="1" t="str">
        <f>IFERROR(__xludf.DUMMYFUNCTION("""COMPUTED_VALUE"""),"")</f>
        <v/>
      </c>
      <c r="AB520" s="1" t="str">
        <f>IFERROR(__xludf.DUMMYFUNCTION("""COMPUTED_VALUE"""),"Organized Advocacy")</f>
        <v>Organized Advocacy</v>
      </c>
      <c r="AC520" s="1" t="str">
        <f>IFERROR(__xludf.DUMMYFUNCTION("""COMPUTED_VALUE"""),"")</f>
        <v/>
      </c>
      <c r="AD520" s="1" t="str">
        <f>IFERROR(__xludf.DUMMYFUNCTION("""COMPUTED_VALUE"""),"")</f>
        <v/>
      </c>
      <c r="AE520" s="1" t="str">
        <f>IFERROR(__xludf.DUMMYFUNCTION("""COMPUTED_VALUE"""),"")</f>
        <v/>
      </c>
      <c r="AF520" s="1" t="str">
        <f>IFERROR(__xludf.DUMMYFUNCTION("""COMPUTED_VALUE"""),"")</f>
        <v/>
      </c>
      <c r="AG520" s="1" t="str">
        <f>IFERROR(__xludf.DUMMYFUNCTION("""COMPUTED_VALUE"""),"")</f>
        <v/>
      </c>
      <c r="AH520" s="1" t="str">
        <f>IFERROR(__xludf.DUMMYFUNCTION("""COMPUTED_VALUE"""),"Media Monitoring")</f>
        <v>Media Monitoring</v>
      </c>
      <c r="AI520" s="2" t="str">
        <f>IFERROR(__xludf.DUMMYFUNCTION("""COMPUTED_VALUE"""),"https://www.datacenterdynamics.com/en/news/crusoe-could-build-14-acre-data-center-in-unincorporated-missouri-land/")</f>
        <v>https://www.datacenterdynamics.com/en/news/crusoe-could-build-14-acre-data-center-in-unincorporated-missouri-land/</v>
      </c>
      <c r="AJ520" s="1" t="str">
        <f>IFERROR(__xludf.DUMMYFUNCTION("""COMPUTED_VALUE"""),"")</f>
        <v/>
      </c>
      <c r="AK520" s="1" t="str">
        <f>IFERROR(__xludf.DUMMYFUNCTION("""COMPUTED_VALUE"""),"")</f>
        <v/>
      </c>
      <c r="AL520" s="1" t="str">
        <f>IFERROR(__xludf.DUMMYFUNCTION("""COMPUTED_VALUE"""),"")</f>
        <v/>
      </c>
      <c r="AM520" s="1" t="str">
        <f>IFERROR(__xludf.DUMMYFUNCTION("""COMPUTED_VALUE"""),"")</f>
        <v/>
      </c>
      <c r="AN520" s="1" t="str">
        <f>IFERROR(__xludf.DUMMYFUNCTION("""COMPUTED_VALUE"""),"")</f>
        <v/>
      </c>
      <c r="AO520" s="1" t="str">
        <f>IFERROR(__xludf.DUMMYFUNCTION("""COMPUTED_VALUE"""),"")</f>
        <v/>
      </c>
      <c r="AP520" s="1" t="str">
        <f>IFERROR(__xludf.DUMMYFUNCTION("""COMPUTED_VALUE"""),"")</f>
        <v/>
      </c>
      <c r="AQ520" s="1" t="str">
        <f>IFERROR(__xludf.DUMMYFUNCTION("""COMPUTED_VALUE"""),"06/22/2026")</f>
        <v>06/22/2026</v>
      </c>
      <c r="AR520" s="1" t="str">
        <f>IFERROR(__xludf.DUMMYFUNCTION("""COMPUTED_VALUE"""),"06/22/2026")</f>
        <v>06/22/2026</v>
      </c>
    </row>
    <row r="521">
      <c r="A521" s="1" t="str">
        <f>IFERROR(__xludf.DUMMYFUNCTION("""COMPUTED_VALUE"""),"Provident Data Center/Gateway Digital Campus")</f>
        <v>Provident Data Center/Gateway Digital Campus</v>
      </c>
      <c r="B521" s="1" t="str">
        <f>IFERROR(__xludf.DUMMYFUNCTION("""COMPUTED_VALUE"""),"near 409 Nova Pl and Robertsville Rd")</f>
        <v>near 409 Nova Pl and Robertsville Rd</v>
      </c>
      <c r="C521" s="1" t="str">
        <f>IFERROR(__xludf.DUMMYFUNCTION("""COMPUTED_VALUE"""),"Villa Ridge")</f>
        <v>Villa Ridge</v>
      </c>
      <c r="D521" s="1" t="str">
        <f>IFERROR(__xludf.DUMMYFUNCTION("""COMPUTED_VALUE"""),"MO")</f>
        <v>MO</v>
      </c>
      <c r="E521" s="1" t="str">
        <f>IFERROR(__xludf.DUMMYFUNCTION("""COMPUTED_VALUE"""),"63089")</f>
        <v>63089</v>
      </c>
      <c r="F521" s="1" t="str">
        <f>IFERROR(__xludf.DUMMYFUNCTION("""COMPUTED_VALUE"""),"Franklin")</f>
        <v>Franklin</v>
      </c>
      <c r="G521" s="1" t="str">
        <f>IFERROR(__xludf.DUMMYFUNCTION("""COMPUTED_VALUE"""),"38.480186")</f>
        <v>38.480186</v>
      </c>
      <c r="H521" s="1" t="str">
        <f>IFERROR(__xludf.DUMMYFUNCTION("""COMPUTED_VALUE"""),"-90.8453")</f>
        <v>-90.8453</v>
      </c>
      <c r="I521" s="1" t="str">
        <f>IFERROR(__xludf.DUMMYFUNCTION("""COMPUTED_VALUE"""),"Approved/Permitted/Under construction")</f>
        <v>Approved/Permitted/Under construction</v>
      </c>
      <c r="J521" s="1" t="str">
        <f>IFERROR(__xludf.DUMMYFUNCTION("""COMPUTED_VALUE"""),"Medium")</f>
        <v>Medium</v>
      </c>
      <c r="K521" s="1" t="str">
        <f>IFERROR(__xludf.DUMMYFUNCTION("""COMPUTED_VALUE"""),"")</f>
        <v/>
      </c>
      <c r="L521" s="1" t="str">
        <f>IFERROR(__xludf.DUMMYFUNCTION("""COMPUTED_VALUE"""),"Provident")</f>
        <v>Provident</v>
      </c>
      <c r="M521" s="1" t="str">
        <f>IFERROR(__xludf.DUMMYFUNCTION("""COMPUTED_VALUE"""),"")</f>
        <v/>
      </c>
      <c r="N521" s="1" t="str">
        <f>IFERROR(__xludf.DUMMYFUNCTION("""COMPUTED_VALUE"""),"")</f>
        <v/>
      </c>
      <c r="O521" s="1" t="str">
        <f>IFERROR(__xludf.DUMMYFUNCTION("""COMPUTED_VALUE"""),"Unknown")</f>
        <v>Unknown</v>
      </c>
      <c r="P521" s="1" t="str">
        <f>IFERROR(__xludf.DUMMYFUNCTION("""COMPUTED_VALUE"""),"")</f>
        <v/>
      </c>
      <c r="Q521" s="1" t="str">
        <f>IFERROR(__xludf.DUMMYFUNCTION("""COMPUTED_VALUE"""),"")</f>
        <v/>
      </c>
      <c r="R521" s="1" t="str">
        <f>IFERROR(__xludf.DUMMYFUNCTION("""COMPUTED_VALUE"""),"")</f>
        <v/>
      </c>
      <c r="S521" s="1" t="str">
        <f>IFERROR(__xludf.DUMMYFUNCTION("""COMPUTED_VALUE"""),"")</f>
        <v/>
      </c>
      <c r="T521" s="1" t="str">
        <f>IFERROR(__xludf.DUMMYFUNCTION("""COMPUTED_VALUE"""),"")</f>
        <v/>
      </c>
      <c r="U521" s="1" t="str">
        <f>IFERROR(__xludf.DUMMYFUNCTION("""COMPUTED_VALUE"""),"")</f>
        <v/>
      </c>
      <c r="V521" s="1" t="str">
        <f>IFERROR(__xludf.DUMMYFUNCTION("""COMPUTED_VALUE"""),"")</f>
        <v/>
      </c>
      <c r="W521" s="1" t="str">
        <f>IFERROR(__xludf.DUMMYFUNCTION("""COMPUTED_VALUE"""),"575")</f>
        <v>575</v>
      </c>
      <c r="X521" s="1" t="str">
        <f>IFERROR(__xludf.DUMMYFUNCTION("""COMPUTED_VALUE"""),"")</f>
        <v/>
      </c>
      <c r="Y521" s="1" t="str">
        <f>IFERROR(__xludf.DUMMYFUNCTION("""COMPUTED_VALUE"""),"")</f>
        <v/>
      </c>
      <c r="Z521" s="1" t="str">
        <f>IFERROR(__xludf.DUMMYFUNCTION("""COMPUTED_VALUE"""),"Yes")</f>
        <v>Yes</v>
      </c>
      <c r="AA521" s="1" t="str">
        <f>IFERROR(__xludf.DUMMYFUNCTION("""COMPUTED_VALUE"""),"By a 5-4 vote, the commission voted in favor of rezoning the site in April 2026")</f>
        <v>By a 5-4 vote, the commission voted in favor of rezoning the site in April 2026</v>
      </c>
      <c r="AB521" s="1" t="str">
        <f>IFERROR(__xludf.DUMMYFUNCTION("""COMPUTED_VALUE"""),"")</f>
        <v/>
      </c>
      <c r="AC521" s="1" t="str">
        <f>IFERROR(__xludf.DUMMYFUNCTION("""COMPUTED_VALUE"""),"")</f>
        <v/>
      </c>
      <c r="AD521" s="1" t="str">
        <f>IFERROR(__xludf.DUMMYFUNCTION("""COMPUTED_VALUE"""),"")</f>
        <v/>
      </c>
      <c r="AE521" s="1" t="str">
        <f>IFERROR(__xludf.DUMMYFUNCTION("""COMPUTED_VALUE"""),"")</f>
        <v/>
      </c>
      <c r="AF521" s="2" t="str">
        <f>IFERROR(__xludf.DUMMYFUNCTION("""COMPUTED_VALUE"""),"https://www.facebook.com/groups/883134924331985/")</f>
        <v>https://www.facebook.com/groups/883134924331985/</v>
      </c>
      <c r="AG521" s="1" t="str">
        <f>IFERROR(__xludf.DUMMYFUNCTION("""COMPUTED_VALUE"""),"Part of Diamond Farm property")</f>
        <v>Part of Diamond Farm property</v>
      </c>
      <c r="AH521" s="1" t="str">
        <f>IFERROR(__xludf.DUMMYFUNCTION("""COMPUTED_VALUE"""),"Media Monitoring")</f>
        <v>Media Monitoring</v>
      </c>
      <c r="AI521" s="2" t="str">
        <f>IFERROR(__xludf.DUMMYFUNCTION("""COMPUTED_VALUE"""),"https://www.stltoday.com/news/local/government-politics/article_250be47c-fd85-4340-966a-fcfa6c513609.html")</f>
        <v>https://www.stltoday.com/news/local/government-politics/article_250be47c-fd85-4340-966a-fcfa6c513609.html</v>
      </c>
      <c r="AJ521" s="2" t="str">
        <f>IFERROR(__xludf.DUMMYFUNCTION("""COMPUTED_VALUE"""),"https://www.datacenterdynamics.com/en/news/two-data-center-projects-debated-for-11-hours-at-planning-meeting-in-franklin-county-missouri/")</f>
        <v>https://www.datacenterdynamics.com/en/news/two-data-center-projects-debated-for-11-hours-at-planning-meeting-in-franklin-county-missouri/</v>
      </c>
      <c r="AK521" s="2" t="str">
        <f>IFERROR(__xludf.DUMMYFUNCTION("""COMPUTED_VALUE"""),"https://fox2now.com/news/missouri/split-vote-on-data-center-re-zoning-from-franklin-county-pz/")</f>
        <v>https://fox2now.com/news/missouri/split-vote-on-data-center-re-zoning-from-franklin-county-pz/</v>
      </c>
      <c r="AL521" s="1" t="str">
        <f>IFERROR(__xludf.DUMMYFUNCTION("""COMPUTED_VALUE"""),"")</f>
        <v/>
      </c>
      <c r="AM521" s="1" t="str">
        <f>IFERROR(__xludf.DUMMYFUNCTION("""COMPUTED_VALUE"""),"")</f>
        <v/>
      </c>
      <c r="AN521" s="1" t="str">
        <f>IFERROR(__xludf.DUMMYFUNCTION("""COMPUTED_VALUE"""),"")</f>
        <v/>
      </c>
      <c r="AO521" s="1" t="str">
        <f>IFERROR(__xludf.DUMMYFUNCTION("""COMPUTED_VALUE"""),"")</f>
        <v/>
      </c>
      <c r="AP521" s="1" t="str">
        <f>IFERROR(__xludf.DUMMYFUNCTION("""COMPUTED_VALUE"""),"")</f>
        <v/>
      </c>
      <c r="AQ521" s="1" t="str">
        <f>IFERROR(__xludf.DUMMYFUNCTION("""COMPUTED_VALUE"""),"03/19/2026")</f>
        <v>03/19/2026</v>
      </c>
      <c r="AR521" s="1" t="str">
        <f>IFERROR(__xludf.DUMMYFUNCTION("""COMPUTED_VALUE"""),"06/24/2026")</f>
        <v>06/24/2026</v>
      </c>
    </row>
    <row r="522">
      <c r="A522" s="1" t="str">
        <f>IFERROR(__xludf.DUMMYFUNCTION("""COMPUTED_VALUE"""),"Crusoe Data Center")</f>
        <v>Crusoe Data Center</v>
      </c>
      <c r="B522" s="1" t="str">
        <f>IFERROR(__xludf.DUMMYFUNCTION("""COMPUTED_VALUE"""),"22151 NW Service Rd")</f>
        <v>22151 NW Service Rd</v>
      </c>
      <c r="C522" s="1" t="str">
        <f>IFERROR(__xludf.DUMMYFUNCTION("""COMPUTED_VALUE"""),"Warrenton")</f>
        <v>Warrenton</v>
      </c>
      <c r="D522" s="1" t="str">
        <f>IFERROR(__xludf.DUMMYFUNCTION("""COMPUTED_VALUE"""),"MO")</f>
        <v>MO</v>
      </c>
      <c r="E522" s="1" t="str">
        <f>IFERROR(__xludf.DUMMYFUNCTION("""COMPUTED_VALUE"""),"63383")</f>
        <v>63383</v>
      </c>
      <c r="F522" s="1" t="str">
        <f>IFERROR(__xludf.DUMMYFUNCTION("""COMPUTED_VALUE"""),"Warren")</f>
        <v>Warren</v>
      </c>
      <c r="G522" s="1" t="str">
        <f>IFERROR(__xludf.DUMMYFUNCTION("""COMPUTED_VALUE"""),"38.82724")</f>
        <v>38.82724</v>
      </c>
      <c r="H522" s="1" t="str">
        <f>IFERROR(__xludf.DUMMYFUNCTION("""COMPUTED_VALUE"""),"-91.1765")</f>
        <v>-91.1765</v>
      </c>
      <c r="I522" s="1" t="str">
        <f>IFERROR(__xludf.DUMMYFUNCTION("""COMPUTED_VALUE"""),"Approved/Permitted/Under construction")</f>
        <v>Approved/Permitted/Under construction</v>
      </c>
      <c r="J522" s="1" t="str">
        <f>IFERROR(__xludf.DUMMYFUNCTION("""COMPUTED_VALUE"""),"High")</f>
        <v>High</v>
      </c>
      <c r="K522" s="1" t="str">
        <f>IFERROR(__xludf.DUMMYFUNCTION("""COMPUTED_VALUE"""),"")</f>
        <v/>
      </c>
      <c r="L522" s="1" t="str">
        <f>IFERROR(__xludf.DUMMYFUNCTION("""COMPUTED_VALUE"""),"Crusoe")</f>
        <v>Crusoe</v>
      </c>
      <c r="M522" s="1" t="str">
        <f>IFERROR(__xludf.DUMMYFUNCTION("""COMPUTED_VALUE"""),"")</f>
        <v/>
      </c>
      <c r="N522" s="1" t="str">
        <f>IFERROR(__xludf.DUMMYFUNCTION("""COMPUTED_VALUE"""),"")</f>
        <v/>
      </c>
      <c r="O522" s="1" t="str">
        <f>IFERROR(__xludf.DUMMYFUNCTION("""COMPUTED_VALUE"""),"Hyperscale (100-999 MW)")</f>
        <v>Hyperscale (100-999 MW)</v>
      </c>
      <c r="P522" s="1" t="str">
        <f>IFERROR(__xludf.DUMMYFUNCTION("""COMPUTED_VALUE"""),"")</f>
        <v/>
      </c>
      <c r="Q522" s="1" t="str">
        <f>IFERROR(__xludf.DUMMYFUNCTION("""COMPUTED_VALUE"""),"")</f>
        <v/>
      </c>
      <c r="R522" s="1" t="str">
        <f>IFERROR(__xludf.DUMMYFUNCTION("""COMPUTED_VALUE"""),"")</f>
        <v/>
      </c>
      <c r="S522" s="1" t="str">
        <f>IFERROR(__xludf.DUMMYFUNCTION("""COMPUTED_VALUE"""),"")</f>
        <v/>
      </c>
      <c r="T522" s="1" t="str">
        <f>IFERROR(__xludf.DUMMYFUNCTION("""COMPUTED_VALUE"""),"")</f>
        <v/>
      </c>
      <c r="U522" s="1" t="str">
        <f>IFERROR(__xludf.DUMMYFUNCTION("""COMPUTED_VALUE"""),"")</f>
        <v/>
      </c>
      <c r="V522" s="1" t="str">
        <f>IFERROR(__xludf.DUMMYFUNCTION("""COMPUTED_VALUE"""),"1,610,000")</f>
        <v>1,610,000</v>
      </c>
      <c r="W522" s="1" t="str">
        <f>IFERROR(__xludf.DUMMYFUNCTION("""COMPUTED_VALUE"""),"340")</f>
        <v>340</v>
      </c>
      <c r="X522" s="1" t="str">
        <f>IFERROR(__xludf.DUMMYFUNCTION("""COMPUTED_VALUE"""),"")</f>
        <v/>
      </c>
      <c r="Y522" s="1" t="str">
        <f>IFERROR(__xludf.DUMMYFUNCTION("""COMPUTED_VALUE"""),"")</f>
        <v/>
      </c>
      <c r="Z522" s="1" t="str">
        <f>IFERROR(__xludf.DUMMYFUNCTION("""COMPUTED_VALUE"""),"Unknown")</f>
        <v>Unknown</v>
      </c>
      <c r="AA522" s="1" t="str">
        <f>IFERROR(__xludf.DUMMYFUNCTION("""COMPUTED_VALUE"""),"")</f>
        <v/>
      </c>
      <c r="AB522" s="1" t="str">
        <f>IFERROR(__xludf.DUMMYFUNCTION("""COMPUTED_VALUE"""),"")</f>
        <v/>
      </c>
      <c r="AC522" s="1" t="str">
        <f>IFERROR(__xludf.DUMMYFUNCTION("""COMPUTED_VALUE"""),"")</f>
        <v/>
      </c>
      <c r="AD522" s="1" t="str">
        <f>IFERROR(__xludf.DUMMYFUNCTION("""COMPUTED_VALUE"""),"")</f>
        <v/>
      </c>
      <c r="AE522" s="1" t="str">
        <f>IFERROR(__xludf.DUMMYFUNCTION("""COMPUTED_VALUE"""),"")</f>
        <v/>
      </c>
      <c r="AF522" s="1" t="str">
        <f>IFERROR(__xludf.DUMMYFUNCTION("""COMPUTED_VALUE"""),"")</f>
        <v/>
      </c>
      <c r="AG522" s="1" t="str">
        <f>IFERROR(__xludf.DUMMYFUNCTION("""COMPUTED_VALUE"""),"")</f>
        <v/>
      </c>
      <c r="AH522" s="1" t="str">
        <f>IFERROR(__xludf.DUMMYFUNCTION("""COMPUTED_VALUE"""),"Media Monitoring")</f>
        <v>Media Monitoring</v>
      </c>
      <c r="AI522" s="2" t="str">
        <f>IFERROR(__xludf.DUMMYFUNCTION("""COMPUTED_VALUE"""),"https://www.datacenterdynamics.com/en/news/crusoe-data-center-could-be-built-west-of-st-louis-missouri/")</f>
        <v>https://www.datacenterdynamics.com/en/news/crusoe-data-center-could-be-built-west-of-st-louis-missouri/</v>
      </c>
      <c r="AJ522" s="1" t="str">
        <f>IFERROR(__xludf.DUMMYFUNCTION("""COMPUTED_VALUE"""),"")</f>
        <v/>
      </c>
      <c r="AK522" s="1" t="str">
        <f>IFERROR(__xludf.DUMMYFUNCTION("""COMPUTED_VALUE"""),"")</f>
        <v/>
      </c>
      <c r="AL522" s="1" t="str">
        <f>IFERROR(__xludf.DUMMYFUNCTION("""COMPUTED_VALUE"""),"")</f>
        <v/>
      </c>
      <c r="AM522" s="1" t="str">
        <f>IFERROR(__xludf.DUMMYFUNCTION("""COMPUTED_VALUE"""),"")</f>
        <v/>
      </c>
      <c r="AN522" s="1" t="str">
        <f>IFERROR(__xludf.DUMMYFUNCTION("""COMPUTED_VALUE"""),"")</f>
        <v/>
      </c>
      <c r="AO522" s="1" t="str">
        <f>IFERROR(__xludf.DUMMYFUNCTION("""COMPUTED_VALUE"""),"")</f>
        <v/>
      </c>
      <c r="AP522" s="1" t="str">
        <f>IFERROR(__xludf.DUMMYFUNCTION("""COMPUTED_VALUE"""),"")</f>
        <v/>
      </c>
      <c r="AQ522" s="1" t="str">
        <f>IFERROR(__xludf.DUMMYFUNCTION("""COMPUTED_VALUE"""),"06/22/2026")</f>
        <v>06/22/2026</v>
      </c>
      <c r="AR522" s="1" t="str">
        <f>IFERROR(__xludf.DUMMYFUNCTION("""COMPUTED_VALUE"""),"06/22/2026")</f>
        <v>06/22/2026</v>
      </c>
    </row>
    <row r="523">
      <c r="A523" s="1" t="str">
        <f>IFERROR(__xludf.DUMMYFUNCTION("""COMPUTED_VALUE"""),"AVAIO Digital")</f>
        <v>AVAIO Digital</v>
      </c>
      <c r="B523" s="1" t="str">
        <f>IFERROR(__xludf.DUMMYFUNCTION("""COMPUTED_VALUE"""),"East Metropolitan Center Business and Industrial Park")</f>
        <v>East Metropolitan Center Business and Industrial Park</v>
      </c>
      <c r="C523" s="1" t="str">
        <f>IFERROR(__xludf.DUMMYFUNCTION("""COMPUTED_VALUE"""),"Brandon")</f>
        <v>Brandon</v>
      </c>
      <c r="D523" s="1" t="str">
        <f>IFERROR(__xludf.DUMMYFUNCTION("""COMPUTED_VALUE"""),"MS")</f>
        <v>MS</v>
      </c>
      <c r="E523" s="1" t="str">
        <f>IFERROR(__xludf.DUMMYFUNCTION("""COMPUTED_VALUE"""),"39042")</f>
        <v>39042</v>
      </c>
      <c r="F523" s="1" t="str">
        <f>IFERROR(__xludf.DUMMYFUNCTION("""COMPUTED_VALUE"""),"Rankin")</f>
        <v>Rankin</v>
      </c>
      <c r="G523" s="1" t="str">
        <f>IFERROR(__xludf.DUMMYFUNCTION("""COMPUTED_VALUE"""),"32.26581")</f>
        <v>32.26581</v>
      </c>
      <c r="H523" s="1" t="str">
        <f>IFERROR(__xludf.DUMMYFUNCTION("""COMPUTED_VALUE"""),"-90.015")</f>
        <v>-90.015</v>
      </c>
      <c r="I523" s="1" t="str">
        <f>IFERROR(__xludf.DUMMYFUNCTION("""COMPUTED_VALUE"""),"Approved/Permitted/Under construction")</f>
        <v>Approved/Permitted/Under construction</v>
      </c>
      <c r="J523" s="1" t="str">
        <f>IFERROR(__xludf.DUMMYFUNCTION("""COMPUTED_VALUE"""),"Medium")</f>
        <v>Medium</v>
      </c>
      <c r="K523" s="1" t="str">
        <f>IFERROR(__xludf.DUMMYFUNCTION("""COMPUTED_VALUE"""),"")</f>
        <v/>
      </c>
      <c r="L523" s="1" t="str">
        <f>IFERROR(__xludf.DUMMYFUNCTION("""COMPUTED_VALUE"""),"")</f>
        <v/>
      </c>
      <c r="M523" s="1" t="str">
        <f>IFERROR(__xludf.DUMMYFUNCTION("""COMPUTED_VALUE"""),"")</f>
        <v/>
      </c>
      <c r="N523" s="1" t="str">
        <f>IFERROR(__xludf.DUMMYFUNCTION("""COMPUTED_VALUE"""),"116")</f>
        <v>116</v>
      </c>
      <c r="O523" s="1" t="str">
        <f>IFERROR(__xludf.DUMMYFUNCTION("""COMPUTED_VALUE"""),"Hyperscale (100-999 MW)")</f>
        <v>Hyperscale (100-999 MW)</v>
      </c>
      <c r="P523" s="1" t="str">
        <f>IFERROR(__xludf.DUMMYFUNCTION("""COMPUTED_VALUE"""),"")</f>
        <v/>
      </c>
      <c r="Q523" s="1" t="str">
        <f>IFERROR(__xludf.DUMMYFUNCTION("""COMPUTED_VALUE"""),"")</f>
        <v/>
      </c>
      <c r="R523" s="1" t="str">
        <f>IFERROR(__xludf.DUMMYFUNCTION("""COMPUTED_VALUE"""),"")</f>
        <v/>
      </c>
      <c r="S523" s="1" t="str">
        <f>IFERROR(__xludf.DUMMYFUNCTION("""COMPUTED_VALUE"""),"")</f>
        <v/>
      </c>
      <c r="T523" s="1" t="str">
        <f>IFERROR(__xludf.DUMMYFUNCTION("""COMPUTED_VALUE"""),"")</f>
        <v/>
      </c>
      <c r="U523" s="1" t="str">
        <f>IFERROR(__xludf.DUMMYFUNCTION("""COMPUTED_VALUE"""),"")</f>
        <v/>
      </c>
      <c r="V523" s="1" t="str">
        <f>IFERROR(__xludf.DUMMYFUNCTION("""COMPUTED_VALUE"""),"")</f>
        <v/>
      </c>
      <c r="W523" s="1" t="str">
        <f>IFERROR(__xludf.DUMMYFUNCTION("""COMPUTED_VALUE"""),"329")</f>
        <v>329</v>
      </c>
      <c r="X523" s="1" t="str">
        <f>IFERROR(__xludf.DUMMYFUNCTION("""COMPUTED_VALUE"""),"$6 billion")</f>
        <v>$6 billion</v>
      </c>
      <c r="Y523" s="1" t="str">
        <f>IFERROR(__xludf.DUMMYFUNCTION("""COMPUTED_VALUE"""),"")</f>
        <v/>
      </c>
      <c r="Z523" s="1" t="str">
        <f>IFERROR(__xludf.DUMMYFUNCTION("""COMPUTED_VALUE"""),"Yes")</f>
        <v>Yes</v>
      </c>
      <c r="AA523" s="1" t="str">
        <f>IFERROR(__xludf.DUMMYFUNCTION("""COMPUTED_VALUE"""),"")</f>
        <v/>
      </c>
      <c r="AB523" s="1" t="str">
        <f>IFERROR(__xludf.DUMMYFUNCTION("""COMPUTED_VALUE"""),"")</f>
        <v/>
      </c>
      <c r="AC523" s="1" t="str">
        <f>IFERROR(__xludf.DUMMYFUNCTION("""COMPUTED_VALUE"""),"")</f>
        <v/>
      </c>
      <c r="AD523" s="1" t="str">
        <f>IFERROR(__xludf.DUMMYFUNCTION("""COMPUTED_VALUE"""),"")</f>
        <v/>
      </c>
      <c r="AE523" s="1" t="str">
        <f>IFERROR(__xludf.DUMMYFUNCTION("""COMPUTED_VALUE"""),"")</f>
        <v/>
      </c>
      <c r="AF523" s="2" t="str">
        <f>IFERROR(__xludf.DUMMYFUNCTION("""COMPUTED_VALUE"""),"https://www.change.org/p/petition-regarding-the-rankin-county-data-center-s-risks-to-the-community")</f>
        <v>https://www.change.org/p/petition-regarding-the-rankin-county-data-center-s-risks-to-the-community</v>
      </c>
      <c r="AG523" s="1" t="str">
        <f>IFERROR(__xludf.DUMMYFUNCTION("""COMPUTED_VALUE"""),"")</f>
        <v/>
      </c>
      <c r="AH523" s="1" t="str">
        <f>IFERROR(__xludf.DUMMYFUNCTION("""COMPUTED_VALUE"""),"Media Monitoring")</f>
        <v>Media Monitoring</v>
      </c>
      <c r="AI523" s="2" t="str">
        <f>IFERROR(__xludf.DUMMYFUNCTION("""COMPUTED_VALUE"""),"https://www.clarionledger.com/story/business/2025/08/19/6-billion-dollar-avaio-digital-data-center-coming-to-brandon-mississippi/85722542007/")</f>
        <v>https://www.clarionledger.com/story/business/2025/08/19/6-billion-dollar-avaio-digital-data-center-coming-to-brandon-mississippi/85722542007/</v>
      </c>
      <c r="AJ523" s="2" t="str">
        <f>IFERROR(__xludf.DUMMYFUNCTION("""COMPUTED_VALUE"""),"https://buildingsandsites.com/rankinfirst/Property/Detail/13093/East-Metropolitan-Center")</f>
        <v>https://buildingsandsites.com/rankinfirst/Property/Detail/13093/East-Metropolitan-Center</v>
      </c>
      <c r="AK523" s="2" t="str">
        <f>IFERROR(__xludf.DUMMYFUNCTION("""COMPUTED_VALUE"""),"https://www.datacenterdynamics.com/en/news/avaio-digital-partners-breaks-ground-on-6bn-data-center-in-mississippi/")</f>
        <v>https://www.datacenterdynamics.com/en/news/avaio-digital-partners-breaks-ground-on-6bn-data-center-in-mississippi/</v>
      </c>
      <c r="AL523" s="1" t="str">
        <f>IFERROR(__xludf.DUMMYFUNCTION("""COMPUTED_VALUE"""),"")</f>
        <v/>
      </c>
      <c r="AM523" s="1" t="str">
        <f>IFERROR(__xludf.DUMMYFUNCTION("""COMPUTED_VALUE"""),"")</f>
        <v/>
      </c>
      <c r="AN523" s="1" t="str">
        <f>IFERROR(__xludf.DUMMYFUNCTION("""COMPUTED_VALUE"""),"")</f>
        <v/>
      </c>
      <c r="AO523" s="1" t="str">
        <f>IFERROR(__xludf.DUMMYFUNCTION("""COMPUTED_VALUE"""),"")</f>
        <v/>
      </c>
      <c r="AP523" s="1" t="str">
        <f>IFERROR(__xludf.DUMMYFUNCTION("""COMPUTED_VALUE"""),"")</f>
        <v/>
      </c>
      <c r="AQ523" s="1" t="str">
        <f>IFERROR(__xludf.DUMMYFUNCTION("""COMPUTED_VALUE"""),"09/18/2025")</f>
        <v>09/18/2025</v>
      </c>
      <c r="AR523" s="1" t="str">
        <f>IFERROR(__xludf.DUMMYFUNCTION("""COMPUTED_VALUE"""),"02/27/2026")</f>
        <v>02/27/2026</v>
      </c>
    </row>
    <row r="524">
      <c r="A524" s="1" t="str">
        <f>IFERROR(__xludf.DUMMYFUNCTION("""COMPUTED_VALUE"""),"Amazon Madison Mega Site")</f>
        <v>Amazon Madison Mega Site</v>
      </c>
      <c r="B524" s="1" t="str">
        <f>IFERROR(__xludf.DUMMYFUNCTION("""COMPUTED_VALUE"""),"1600 West Peace St")</f>
        <v>1600 West Peace St</v>
      </c>
      <c r="C524" s="1" t="str">
        <f>IFERROR(__xludf.DUMMYFUNCTION("""COMPUTED_VALUE"""),"Canton")</f>
        <v>Canton</v>
      </c>
      <c r="D524" s="1" t="str">
        <f>IFERROR(__xludf.DUMMYFUNCTION("""COMPUTED_VALUE"""),"MS")</f>
        <v>MS</v>
      </c>
      <c r="E524" s="1" t="str">
        <f>IFERROR(__xludf.DUMMYFUNCTION("""COMPUTED_VALUE"""),"39046")</f>
        <v>39046</v>
      </c>
      <c r="F524" s="1" t="str">
        <f>IFERROR(__xludf.DUMMYFUNCTION("""COMPUTED_VALUE"""),"Madison")</f>
        <v>Madison</v>
      </c>
      <c r="G524" s="1" t="str">
        <f>IFERROR(__xludf.DUMMYFUNCTION("""COMPUTED_VALUE"""),"32.595337")</f>
        <v>32.595337</v>
      </c>
      <c r="H524" s="1" t="str">
        <f>IFERROR(__xludf.DUMMYFUNCTION("""COMPUTED_VALUE"""),"-90.09618")</f>
        <v>-90.09618</v>
      </c>
      <c r="I524" s="1" t="str">
        <f>IFERROR(__xludf.DUMMYFUNCTION("""COMPUTED_VALUE"""),"Operating")</f>
        <v>Operating</v>
      </c>
      <c r="J524" s="1" t="str">
        <f>IFERROR(__xludf.DUMMYFUNCTION("""COMPUTED_VALUE"""),"High")</f>
        <v>High</v>
      </c>
      <c r="K524" s="1" t="str">
        <f>IFERROR(__xludf.DUMMYFUNCTION("""COMPUTED_VALUE"""),"")</f>
        <v/>
      </c>
      <c r="L524" s="1" t="str">
        <f>IFERROR(__xludf.DUMMYFUNCTION("""COMPUTED_VALUE"""),"Amazon")</f>
        <v>Amazon</v>
      </c>
      <c r="M524" s="1" t="str">
        <f>IFERROR(__xludf.DUMMYFUNCTION("""COMPUTED_VALUE"""),"")</f>
        <v/>
      </c>
      <c r="N524" s="1" t="str">
        <f>IFERROR(__xludf.DUMMYFUNCTION("""COMPUTED_VALUE"""),"341-819")</f>
        <v>341-819</v>
      </c>
      <c r="O524" s="1" t="str">
        <f>IFERROR(__xludf.DUMMYFUNCTION("""COMPUTED_VALUE"""),"Hyperscale (100-999 MW)")</f>
        <v>Hyperscale (100-999 MW)</v>
      </c>
      <c r="P524" s="1" t="str">
        <f>IFERROR(__xludf.DUMMYFUNCTION("""COMPUTED_VALUE"""),"")</f>
        <v/>
      </c>
      <c r="Q524" s="1" t="str">
        <f>IFERROR(__xludf.DUMMYFUNCTION("""COMPUTED_VALUE"""),"")</f>
        <v/>
      </c>
      <c r="R524" s="1" t="str">
        <f>IFERROR(__xludf.DUMMYFUNCTION("""COMPUTED_VALUE"""),"")</f>
        <v/>
      </c>
      <c r="S524" s="1" t="str">
        <f>IFERROR(__xludf.DUMMYFUNCTION("""COMPUTED_VALUE"""),"")</f>
        <v/>
      </c>
      <c r="T524" s="1" t="str">
        <f>IFERROR(__xludf.DUMMYFUNCTION("""COMPUTED_VALUE"""),"Air")</f>
        <v>Air</v>
      </c>
      <c r="U524" s="1" t="str">
        <f>IFERROR(__xludf.DUMMYFUNCTION("""COMPUTED_VALUE"""),"Fans")</f>
        <v>Fans</v>
      </c>
      <c r="V524" s="1" t="str">
        <f>IFERROR(__xludf.DUMMYFUNCTION("""COMPUTED_VALUE"""),"")</f>
        <v/>
      </c>
      <c r="W524" s="1" t="str">
        <f>IFERROR(__xludf.DUMMYFUNCTION("""COMPUTED_VALUE"""),"")</f>
        <v/>
      </c>
      <c r="X524" s="1" t="str">
        <f>IFERROR(__xludf.DUMMYFUNCTION("""COMPUTED_VALUE"""),"")</f>
        <v/>
      </c>
      <c r="Y524" s="1" t="str">
        <f>IFERROR(__xludf.DUMMYFUNCTION("""COMPUTED_VALUE"""),"")</f>
        <v/>
      </c>
      <c r="Z524" s="1" t="str">
        <f>IFERROR(__xludf.DUMMYFUNCTION("""COMPUTED_VALUE"""),"Unknown")</f>
        <v>Unknown</v>
      </c>
      <c r="AA524" s="1" t="str">
        <f>IFERROR(__xludf.DUMMYFUNCTION("""COMPUTED_VALUE"""),"")</f>
        <v/>
      </c>
      <c r="AB524" s="1" t="str">
        <f>IFERROR(__xludf.DUMMYFUNCTION("""COMPUTED_VALUE"""),"")</f>
        <v/>
      </c>
      <c r="AC524" s="1" t="str">
        <f>IFERROR(__xludf.DUMMYFUNCTION("""COMPUTED_VALUE"""),"")</f>
        <v/>
      </c>
      <c r="AD524" s="1" t="str">
        <f>IFERROR(__xludf.DUMMYFUNCTION("""COMPUTED_VALUE"""),"")</f>
        <v/>
      </c>
      <c r="AE524" s="1" t="str">
        <f>IFERROR(__xludf.DUMMYFUNCTION("""COMPUTED_VALUE"""),"")</f>
        <v/>
      </c>
      <c r="AF524" s="1" t="str">
        <f>IFERROR(__xludf.DUMMYFUNCTION("""COMPUTED_VALUE"""),"")</f>
        <v/>
      </c>
      <c r="AG524" s="1" t="str">
        <f>IFERROR(__xludf.DUMMYFUNCTION("""COMPUTED_VALUE"""),"")</f>
        <v/>
      </c>
      <c r="AH524" s="1" t="str">
        <f>IFERROR(__xludf.DUMMYFUNCTION("""COMPUTED_VALUE"""),"Media Monitoring")</f>
        <v>Media Monitoring</v>
      </c>
      <c r="AI524" s="2" t="str">
        <f>IFERROR(__xludf.DUMMYFUNCTION("""COMPUTED_VALUE"""),"https://epoch.ai/data/data-centers/satellite-explorer/AmazonCantonMississippi?ref=404media.co")</f>
        <v>https://epoch.ai/data/data-centers/satellite-explorer/AmazonCantonMississippi?ref=404media.co</v>
      </c>
      <c r="AJ524" s="1" t="str">
        <f>IFERROR(__xludf.DUMMYFUNCTION("""COMPUTED_VALUE"""),"")</f>
        <v/>
      </c>
      <c r="AK524" s="1" t="str">
        <f>IFERROR(__xludf.DUMMYFUNCTION("""COMPUTED_VALUE"""),"")</f>
        <v/>
      </c>
      <c r="AL524" s="1" t="str">
        <f>IFERROR(__xludf.DUMMYFUNCTION("""COMPUTED_VALUE"""),"")</f>
        <v/>
      </c>
      <c r="AM524" s="1" t="str">
        <f>IFERROR(__xludf.DUMMYFUNCTION("""COMPUTED_VALUE"""),"")</f>
        <v/>
      </c>
      <c r="AN524" s="1" t="str">
        <f>IFERROR(__xludf.DUMMYFUNCTION("""COMPUTED_VALUE"""),"")</f>
        <v/>
      </c>
      <c r="AO524" s="1" t="str">
        <f>IFERROR(__xludf.DUMMYFUNCTION("""COMPUTED_VALUE"""),"")</f>
        <v/>
      </c>
      <c r="AP524" s="1" t="str">
        <f>IFERROR(__xludf.DUMMYFUNCTION("""COMPUTED_VALUE"""),"")</f>
        <v/>
      </c>
      <c r="AQ524" s="1" t="str">
        <f>IFERROR(__xludf.DUMMYFUNCTION("""COMPUTED_VALUE"""),"01/01/2026")</f>
        <v>01/01/2026</v>
      </c>
      <c r="AR524" s="1" t="str">
        <f>IFERROR(__xludf.DUMMYFUNCTION("""COMPUTED_VALUE"""),"01/01/2026")</f>
        <v>01/01/2026</v>
      </c>
    </row>
    <row r="525">
      <c r="A525" s="1" t="str">
        <f>IFERROR(__xludf.DUMMYFUNCTION("""COMPUTED_VALUE"""),"Clarksville Data Center")</f>
        <v>Clarksville Data Center</v>
      </c>
      <c r="B525" s="1" t="str">
        <f>IFERROR(__xludf.DUMMYFUNCTION("""COMPUTED_VALUE"""),"Between E. Tallahachie St and Sunflower River")</f>
        <v>Between E. Tallahachie St and Sunflower River</v>
      </c>
      <c r="C525" s="1" t="str">
        <f>IFERROR(__xludf.DUMMYFUNCTION("""COMPUTED_VALUE"""),"Clarksville")</f>
        <v>Clarksville</v>
      </c>
      <c r="D525" s="1" t="str">
        <f>IFERROR(__xludf.DUMMYFUNCTION("""COMPUTED_VALUE"""),"MS")</f>
        <v>MS</v>
      </c>
      <c r="E525" s="1" t="str">
        <f>IFERROR(__xludf.DUMMYFUNCTION("""COMPUTED_VALUE"""),"38614")</f>
        <v>38614</v>
      </c>
      <c r="F525" s="1" t="str">
        <f>IFERROR(__xludf.DUMMYFUNCTION("""COMPUTED_VALUE"""),"Coahoma")</f>
        <v>Coahoma</v>
      </c>
      <c r="G525" s="1" t="str">
        <f>IFERROR(__xludf.DUMMYFUNCTION("""COMPUTED_VALUE"""),"34.148582")</f>
        <v>34.148582</v>
      </c>
      <c r="H525" s="1" t="str">
        <f>IFERROR(__xludf.DUMMYFUNCTION("""COMPUTED_VALUE"""),"-90.541466")</f>
        <v>-90.541466</v>
      </c>
      <c r="I525" s="1" t="str">
        <f>IFERROR(__xludf.DUMMYFUNCTION("""COMPUTED_VALUE"""),"Proposed")</f>
        <v>Proposed</v>
      </c>
      <c r="J525" s="1" t="str">
        <f>IFERROR(__xludf.DUMMYFUNCTION("""COMPUTED_VALUE"""),"Medium")</f>
        <v>Medium</v>
      </c>
      <c r="K525" s="1" t="str">
        <f>IFERROR(__xludf.DUMMYFUNCTION("""COMPUTED_VALUE"""),"")</f>
        <v/>
      </c>
      <c r="L525" s="1" t="str">
        <f>IFERROR(__xludf.DUMMYFUNCTION("""COMPUTED_VALUE"""),"")</f>
        <v/>
      </c>
      <c r="M525" s="1" t="str">
        <f>IFERROR(__xludf.DUMMYFUNCTION("""COMPUTED_VALUE"""),"")</f>
        <v/>
      </c>
      <c r="N525" s="1" t="str">
        <f>IFERROR(__xludf.DUMMYFUNCTION("""COMPUTED_VALUE"""),"")</f>
        <v/>
      </c>
      <c r="O525" s="1" t="str">
        <f>IFERROR(__xludf.DUMMYFUNCTION("""COMPUTED_VALUE"""),"Unknown")</f>
        <v>Unknown</v>
      </c>
      <c r="P525" s="1" t="str">
        <f>IFERROR(__xludf.DUMMYFUNCTION("""COMPUTED_VALUE"""),"")</f>
        <v/>
      </c>
      <c r="Q525" s="1" t="str">
        <f>IFERROR(__xludf.DUMMYFUNCTION("""COMPUTED_VALUE"""),"")</f>
        <v/>
      </c>
      <c r="R525" s="1" t="str">
        <f>IFERROR(__xludf.DUMMYFUNCTION("""COMPUTED_VALUE"""),"")</f>
        <v/>
      </c>
      <c r="S525" s="1" t="str">
        <f>IFERROR(__xludf.DUMMYFUNCTION("""COMPUTED_VALUE"""),"")</f>
        <v/>
      </c>
      <c r="T525" s="1" t="str">
        <f>IFERROR(__xludf.DUMMYFUNCTION("""COMPUTED_VALUE"""),"")</f>
        <v/>
      </c>
      <c r="U525" s="1" t="str">
        <f>IFERROR(__xludf.DUMMYFUNCTION("""COMPUTED_VALUE"""),"")</f>
        <v/>
      </c>
      <c r="V525" s="1" t="str">
        <f>IFERROR(__xludf.DUMMYFUNCTION("""COMPUTED_VALUE"""),"")</f>
        <v/>
      </c>
      <c r="W525" s="1" t="str">
        <f>IFERROR(__xludf.DUMMYFUNCTION("""COMPUTED_VALUE"""),"648")</f>
        <v>648</v>
      </c>
      <c r="X525" s="1" t="str">
        <f>IFERROR(__xludf.DUMMYFUNCTION("""COMPUTED_VALUE"""),"")</f>
        <v/>
      </c>
      <c r="Y525" s="1" t="str">
        <f>IFERROR(__xludf.DUMMYFUNCTION("""COMPUTED_VALUE"""),"")</f>
        <v/>
      </c>
      <c r="Z525" s="1" t="str">
        <f>IFERROR(__xludf.DUMMYFUNCTION("""COMPUTED_VALUE"""),"Unknown")</f>
        <v>Unknown</v>
      </c>
      <c r="AA525" s="1" t="str">
        <f>IFERROR(__xludf.DUMMYFUNCTION("""COMPUTED_VALUE"""),"")</f>
        <v/>
      </c>
      <c r="AB525" s="1" t="str">
        <f>IFERROR(__xludf.DUMMYFUNCTION("""COMPUTED_VALUE"""),"")</f>
        <v/>
      </c>
      <c r="AC525" s="1" t="str">
        <f>IFERROR(__xludf.DUMMYFUNCTION("""COMPUTED_VALUE"""),"")</f>
        <v/>
      </c>
      <c r="AD525" s="1" t="str">
        <f>IFERROR(__xludf.DUMMYFUNCTION("""COMPUTED_VALUE"""),"")</f>
        <v/>
      </c>
      <c r="AE525" s="1" t="str">
        <f>IFERROR(__xludf.DUMMYFUNCTION("""COMPUTED_VALUE"""),"")</f>
        <v/>
      </c>
      <c r="AF525" s="1" t="str">
        <f>IFERROR(__xludf.DUMMYFUNCTION("""COMPUTED_VALUE"""),"")</f>
        <v/>
      </c>
      <c r="AG525" s="1" t="str">
        <f>IFERROR(__xludf.DUMMYFUNCTION("""COMPUTED_VALUE"""),"")</f>
        <v/>
      </c>
      <c r="AH525" s="1" t="str">
        <f>IFERROR(__xludf.DUMMYFUNCTION("""COMPUTED_VALUE"""),"Media Monitoring")</f>
        <v>Media Monitoring</v>
      </c>
      <c r="AI525" s="2" t="str">
        <f>IFERROR(__xludf.DUMMYFUNCTION("""COMPUTED_VALUE"""),"https://www.datacenterdynamics.com/en/news/648-acre-data-center-could-be-built-in-clarksdale-mississippi/")</f>
        <v>https://www.datacenterdynamics.com/en/news/648-acre-data-center-could-be-built-in-clarksdale-mississippi/</v>
      </c>
      <c r="AJ525" s="1" t="str">
        <f>IFERROR(__xludf.DUMMYFUNCTION("""COMPUTED_VALUE"""),"")</f>
        <v/>
      </c>
      <c r="AK525" s="1" t="str">
        <f>IFERROR(__xludf.DUMMYFUNCTION("""COMPUTED_VALUE"""),"")</f>
        <v/>
      </c>
      <c r="AL525" s="1" t="str">
        <f>IFERROR(__xludf.DUMMYFUNCTION("""COMPUTED_VALUE"""),"")</f>
        <v/>
      </c>
      <c r="AM525" s="1" t="str">
        <f>IFERROR(__xludf.DUMMYFUNCTION("""COMPUTED_VALUE"""),"")</f>
        <v/>
      </c>
      <c r="AN525" s="1" t="str">
        <f>IFERROR(__xludf.DUMMYFUNCTION("""COMPUTED_VALUE"""),"")</f>
        <v/>
      </c>
      <c r="AO525" s="1" t="str">
        <f>IFERROR(__xludf.DUMMYFUNCTION("""COMPUTED_VALUE"""),"")</f>
        <v/>
      </c>
      <c r="AP525" s="1" t="str">
        <f>IFERROR(__xludf.DUMMYFUNCTION("""COMPUTED_VALUE"""),"")</f>
        <v/>
      </c>
      <c r="AQ525" s="1" t="str">
        <f>IFERROR(__xludf.DUMMYFUNCTION("""COMPUTED_VALUE"""),"03/20/2026")</f>
        <v>03/20/2026</v>
      </c>
      <c r="AR525" s="1" t="str">
        <f>IFERROR(__xludf.DUMMYFUNCTION("""COMPUTED_VALUE"""),"03/20/2026")</f>
        <v>03/20/2026</v>
      </c>
    </row>
    <row r="526">
      <c r="A526" s="1" t="str">
        <f>IFERROR(__xludf.DUMMYFUNCTION("""COMPUTED_VALUE"""),"Amazon Clinton Data Center")</f>
        <v>Amazon Clinton Data Center</v>
      </c>
      <c r="B526" s="1" t="str">
        <f>IFERROR(__xludf.DUMMYFUNCTION("""COMPUTED_VALUE"""),"1001 Industrial Park Dr")</f>
        <v>1001 Industrial Park Dr</v>
      </c>
      <c r="C526" s="1" t="str">
        <f>IFERROR(__xludf.DUMMYFUNCTION("""COMPUTED_VALUE"""),"Clinton")</f>
        <v>Clinton</v>
      </c>
      <c r="D526" s="1" t="str">
        <f>IFERROR(__xludf.DUMMYFUNCTION("""COMPUTED_VALUE"""),"MS")</f>
        <v>MS</v>
      </c>
      <c r="E526" s="1" t="str">
        <f>IFERROR(__xludf.DUMMYFUNCTION("""COMPUTED_VALUE"""),"39056")</f>
        <v>39056</v>
      </c>
      <c r="F526" s="1" t="str">
        <f>IFERROR(__xludf.DUMMYFUNCTION("""COMPUTED_VALUE"""),"Hinds")</f>
        <v>Hinds</v>
      </c>
      <c r="G526" s="1" t="str">
        <f>IFERROR(__xludf.DUMMYFUNCTION("""COMPUTED_VALUE"""),"32.34915")</f>
        <v>32.34915</v>
      </c>
      <c r="H526" s="1" t="str">
        <f>IFERROR(__xludf.DUMMYFUNCTION("""COMPUTED_VALUE"""),"-90.36636")</f>
        <v>-90.36636</v>
      </c>
      <c r="I526" s="1" t="str">
        <f>IFERROR(__xludf.DUMMYFUNCTION("""COMPUTED_VALUE"""),"Proposed")</f>
        <v>Proposed</v>
      </c>
      <c r="J526" s="1" t="str">
        <f>IFERROR(__xludf.DUMMYFUNCTION("""COMPUTED_VALUE"""),"High")</f>
        <v>High</v>
      </c>
      <c r="K526" s="1" t="str">
        <f>IFERROR(__xludf.DUMMYFUNCTION("""COMPUTED_VALUE"""),"")</f>
        <v/>
      </c>
      <c r="L526" s="1" t="str">
        <f>IFERROR(__xludf.DUMMYFUNCTION("""COMPUTED_VALUE"""),"")</f>
        <v/>
      </c>
      <c r="M526" s="1" t="str">
        <f>IFERROR(__xludf.DUMMYFUNCTION("""COMPUTED_VALUE"""),"")</f>
        <v/>
      </c>
      <c r="N526" s="1" t="str">
        <f>IFERROR(__xludf.DUMMYFUNCTION("""COMPUTED_VALUE"""),"")</f>
        <v/>
      </c>
      <c r="O526" s="1" t="str">
        <f>IFERROR(__xludf.DUMMYFUNCTION("""COMPUTED_VALUE"""),"Hyperscale (100-999 MW)")</f>
        <v>Hyperscale (100-999 MW)</v>
      </c>
      <c r="P526" s="1" t="str">
        <f>IFERROR(__xludf.DUMMYFUNCTION("""COMPUTED_VALUE"""),"")</f>
        <v/>
      </c>
      <c r="Q526" s="1" t="str">
        <f>IFERROR(__xludf.DUMMYFUNCTION("""COMPUTED_VALUE"""),"")</f>
        <v/>
      </c>
      <c r="R526" s="1" t="str">
        <f>IFERROR(__xludf.DUMMYFUNCTION("""COMPUTED_VALUE"""),"")</f>
        <v/>
      </c>
      <c r="S526" s="1" t="str">
        <f>IFERROR(__xludf.DUMMYFUNCTION("""COMPUTED_VALUE"""),"")</f>
        <v/>
      </c>
      <c r="T526" s="1" t="str">
        <f>IFERROR(__xludf.DUMMYFUNCTION("""COMPUTED_VALUE"""),"")</f>
        <v/>
      </c>
      <c r="U526" s="1" t="str">
        <f>IFERROR(__xludf.DUMMYFUNCTION("""COMPUTED_VALUE"""),"")</f>
        <v/>
      </c>
      <c r="V526" s="1" t="str">
        <f>IFERROR(__xludf.DUMMYFUNCTION("""COMPUTED_VALUE"""),"730,000")</f>
        <v>730,000</v>
      </c>
      <c r="W526" s="1" t="str">
        <f>IFERROR(__xludf.DUMMYFUNCTION("""COMPUTED_VALUE"""),"99")</f>
        <v>99</v>
      </c>
      <c r="X526" s="1" t="str">
        <f>IFERROR(__xludf.DUMMYFUNCTION("""COMPUTED_VALUE"""),"")</f>
        <v/>
      </c>
      <c r="Y526" s="1" t="str">
        <f>IFERROR(__xludf.DUMMYFUNCTION("""COMPUTED_VALUE"""),"")</f>
        <v/>
      </c>
      <c r="Z526" s="1" t="str">
        <f>IFERROR(__xludf.DUMMYFUNCTION("""COMPUTED_VALUE"""),"Unknown")</f>
        <v>Unknown</v>
      </c>
      <c r="AA526" s="1" t="str">
        <f>IFERROR(__xludf.DUMMYFUNCTION("""COMPUTED_VALUE"""),"")</f>
        <v/>
      </c>
      <c r="AB526" s="1" t="str">
        <f>IFERROR(__xludf.DUMMYFUNCTION("""COMPUTED_VALUE"""),"")</f>
        <v/>
      </c>
      <c r="AC526" s="1" t="str">
        <f>IFERROR(__xludf.DUMMYFUNCTION("""COMPUTED_VALUE"""),"")</f>
        <v/>
      </c>
      <c r="AD526" s="1" t="str">
        <f>IFERROR(__xludf.DUMMYFUNCTION("""COMPUTED_VALUE"""),"")</f>
        <v/>
      </c>
      <c r="AE526" s="1" t="str">
        <f>IFERROR(__xludf.DUMMYFUNCTION("""COMPUTED_VALUE"""),"")</f>
        <v/>
      </c>
      <c r="AF526" s="1" t="str">
        <f>IFERROR(__xludf.DUMMYFUNCTION("""COMPUTED_VALUE"""),"")</f>
        <v/>
      </c>
      <c r="AG526" s="1" t="str">
        <f>IFERROR(__xludf.DUMMYFUNCTION("""COMPUTED_VALUE"""),"")</f>
        <v/>
      </c>
      <c r="AH526" s="1" t="str">
        <f>IFERROR(__xludf.DUMMYFUNCTION("""COMPUTED_VALUE"""),"Media Monitoring")</f>
        <v>Media Monitoring</v>
      </c>
      <c r="AI526" s="2" t="str">
        <f>IFERROR(__xludf.DUMMYFUNCTION("""COMPUTED_VALUE"""),"https://www.datacenterdynamics.com/en/news/aws-likely-behind-plans-for-750m-data-center-in-clinton-mississippi/")</f>
        <v>https://www.datacenterdynamics.com/en/news/aws-likely-behind-plans-for-750m-data-center-in-clinton-mississippi/</v>
      </c>
      <c r="AJ526" s="1" t="str">
        <f>IFERROR(__xludf.DUMMYFUNCTION("""COMPUTED_VALUE"""),"")</f>
        <v/>
      </c>
      <c r="AK526" s="1" t="str">
        <f>IFERROR(__xludf.DUMMYFUNCTION("""COMPUTED_VALUE"""),"")</f>
        <v/>
      </c>
      <c r="AL526" s="1" t="str">
        <f>IFERROR(__xludf.DUMMYFUNCTION("""COMPUTED_VALUE"""),"")</f>
        <v/>
      </c>
      <c r="AM526" s="1" t="str">
        <f>IFERROR(__xludf.DUMMYFUNCTION("""COMPUTED_VALUE"""),"")</f>
        <v/>
      </c>
      <c r="AN526" s="1" t="str">
        <f>IFERROR(__xludf.DUMMYFUNCTION("""COMPUTED_VALUE"""),"")</f>
        <v/>
      </c>
      <c r="AO526" s="1" t="str">
        <f>IFERROR(__xludf.DUMMYFUNCTION("""COMPUTED_VALUE"""),"")</f>
        <v/>
      </c>
      <c r="AP526" s="1" t="str">
        <f>IFERROR(__xludf.DUMMYFUNCTION("""COMPUTED_VALUE"""),"")</f>
        <v/>
      </c>
      <c r="AQ526" s="1" t="str">
        <f>IFERROR(__xludf.DUMMYFUNCTION("""COMPUTED_VALUE"""),"03/13/2026")</f>
        <v>03/13/2026</v>
      </c>
      <c r="AR526" s="1" t="str">
        <f>IFERROR(__xludf.DUMMYFUNCTION("""COMPUTED_VALUE"""),"03/13/2026")</f>
        <v>03/13/2026</v>
      </c>
    </row>
    <row r="527">
      <c r="A527" s="1" t="str">
        <f>IFERROR(__xludf.DUMMYFUNCTION("""COMPUTED_VALUE"""),"Project Atlas")</f>
        <v>Project Atlas</v>
      </c>
      <c r="B527" s="1" t="str">
        <f>IFERROR(__xludf.DUMMYFUNCTION("""COMPUTED_VALUE"""),"")</f>
        <v/>
      </c>
      <c r="C527" s="1" t="str">
        <f>IFERROR(__xludf.DUMMYFUNCTION("""COMPUTED_VALUE"""),"Madison")</f>
        <v>Madison</v>
      </c>
      <c r="D527" s="1" t="str">
        <f>IFERROR(__xludf.DUMMYFUNCTION("""COMPUTED_VALUE"""),"MS")</f>
        <v>MS</v>
      </c>
      <c r="E527" s="1" t="str">
        <f>IFERROR(__xludf.DUMMYFUNCTION("""COMPUTED_VALUE"""),"39110")</f>
        <v>39110</v>
      </c>
      <c r="F527" s="1" t="str">
        <f>IFERROR(__xludf.DUMMYFUNCTION("""COMPUTED_VALUE"""),"Madison")</f>
        <v>Madison</v>
      </c>
      <c r="G527" s="1" t="str">
        <f>IFERROR(__xludf.DUMMYFUNCTION("""COMPUTED_VALUE"""),"32.49415")</f>
        <v>32.49415</v>
      </c>
      <c r="H527" s="1" t="str">
        <f>IFERROR(__xludf.DUMMYFUNCTION("""COMPUTED_VALUE"""),"-90.1675")</f>
        <v>-90.1675</v>
      </c>
      <c r="I527" s="1" t="str">
        <f>IFERROR(__xludf.DUMMYFUNCTION("""COMPUTED_VALUE"""),"Proposed")</f>
        <v>Proposed</v>
      </c>
      <c r="J527" s="1" t="str">
        <f>IFERROR(__xludf.DUMMYFUNCTION("""COMPUTED_VALUE"""),"Low")</f>
        <v>Low</v>
      </c>
      <c r="K527" s="1" t="str">
        <f>IFERROR(__xludf.DUMMYFUNCTION("""COMPUTED_VALUE"""),"")</f>
        <v/>
      </c>
      <c r="L527" s="1" t="str">
        <f>IFERROR(__xludf.DUMMYFUNCTION("""COMPUTED_VALUE"""),"Amazon")</f>
        <v>Amazon</v>
      </c>
      <c r="M527" s="1" t="str">
        <f>IFERROR(__xludf.DUMMYFUNCTION("""COMPUTED_VALUE"""),"")</f>
        <v/>
      </c>
      <c r="N527" s="1" t="str">
        <f>IFERROR(__xludf.DUMMYFUNCTION("""COMPUTED_VALUE"""),"1,000+")</f>
        <v>1,000+</v>
      </c>
      <c r="O527" s="1" t="str">
        <f>IFERROR(__xludf.DUMMYFUNCTION("""COMPUTED_VALUE"""),"Mega campus (&gt;1,000 MW)")</f>
        <v>Mega campus (&gt;1,000 MW)</v>
      </c>
      <c r="P527" s="1" t="str">
        <f>IFERROR(__xludf.DUMMYFUNCTION("""COMPUTED_VALUE"""),"")</f>
        <v/>
      </c>
      <c r="Q527" s="1" t="str">
        <f>IFERROR(__xludf.DUMMYFUNCTION("""COMPUTED_VALUE"""),"")</f>
        <v/>
      </c>
      <c r="R527" s="1" t="str">
        <f>IFERROR(__xludf.DUMMYFUNCTION("""COMPUTED_VALUE"""),"")</f>
        <v/>
      </c>
      <c r="S527" s="1" t="str">
        <f>IFERROR(__xludf.DUMMYFUNCTION("""COMPUTED_VALUE"""),"")</f>
        <v/>
      </c>
      <c r="T527" s="1" t="str">
        <f>IFERROR(__xludf.DUMMYFUNCTION("""COMPUTED_VALUE"""),"")</f>
        <v/>
      </c>
      <c r="U527" s="1" t="str">
        <f>IFERROR(__xludf.DUMMYFUNCTION("""COMPUTED_VALUE"""),"")</f>
        <v/>
      </c>
      <c r="V527" s="1" t="str">
        <f>IFERROR(__xludf.DUMMYFUNCTION("""COMPUTED_VALUE"""),"")</f>
        <v/>
      </c>
      <c r="W527" s="1" t="str">
        <f>IFERROR(__xludf.DUMMYFUNCTION("""COMPUTED_VALUE"""),"1700")</f>
        <v>1700</v>
      </c>
      <c r="X527" s="1" t="str">
        <f>IFERROR(__xludf.DUMMYFUNCTION("""COMPUTED_VALUE"""),"$10-16 billion")</f>
        <v>$10-16 billion</v>
      </c>
      <c r="Y527" s="1" t="str">
        <f>IFERROR(__xludf.DUMMYFUNCTION("""COMPUTED_VALUE"""),"")</f>
        <v/>
      </c>
      <c r="Z527" s="1" t="str">
        <f>IFERROR(__xludf.DUMMYFUNCTION("""COMPUTED_VALUE"""),"Unknown")</f>
        <v>Unknown</v>
      </c>
      <c r="AA527" s="1" t="str">
        <f>IFERROR(__xludf.DUMMYFUNCTION("""COMPUTED_VALUE"""),"")</f>
        <v/>
      </c>
      <c r="AB527" s="1" t="str">
        <f>IFERROR(__xludf.DUMMYFUNCTION("""COMPUTED_VALUE"""),"")</f>
        <v/>
      </c>
      <c r="AC527" s="1" t="str">
        <f>IFERROR(__xludf.DUMMYFUNCTION("""COMPUTED_VALUE"""),"")</f>
        <v/>
      </c>
      <c r="AD527" s="1" t="str">
        <f>IFERROR(__xludf.DUMMYFUNCTION("""COMPUTED_VALUE"""),"")</f>
        <v/>
      </c>
      <c r="AE527" s="1" t="str">
        <f>IFERROR(__xludf.DUMMYFUNCTION("""COMPUTED_VALUE"""),"")</f>
        <v/>
      </c>
      <c r="AF527" s="1" t="str">
        <f>IFERROR(__xludf.DUMMYFUNCTION("""COMPUTED_VALUE"""),"")</f>
        <v/>
      </c>
      <c r="AG527" s="1" t="str">
        <f>IFERROR(__xludf.DUMMYFUNCTION("""COMPUTED_VALUE"""),"")</f>
        <v/>
      </c>
      <c r="AH527" s="1" t="str">
        <f>IFERROR(__xludf.DUMMYFUNCTION("""COMPUTED_VALUE"""),"Media Monitoring")</f>
        <v>Media Monitoring</v>
      </c>
      <c r="AI527" s="2" t="str">
        <f>IFERROR(__xludf.DUMMYFUNCTION("""COMPUTED_VALUE"""),"https://rbnenergy.com/i-know-places-tech-giants-may-be-the-surest-bets-for-data-center-power-demand")</f>
        <v>https://rbnenergy.com/i-know-places-tech-giants-may-be-the-surest-bets-for-data-center-power-demand</v>
      </c>
      <c r="AJ527" s="2" t="str">
        <f>IFERROR(__xludf.DUMMYFUNCTION("""COMPUTED_VALUE"""),"https://baxtel.com/data-center/aws-madison-county-mega-site-campus")</f>
        <v>https://baxtel.com/data-center/aws-madison-county-mega-site-campus</v>
      </c>
      <c r="AK527" s="2" t="str">
        <f>IFERROR(__xludf.DUMMYFUNCTION("""COMPUTED_VALUE"""),"https://www.clarionledger.com/story/business/2025/03/07/amazon-web-services-expanding-madison-county-ms-data-center-campus/81914950007/")</f>
        <v>https://www.clarionledger.com/story/business/2025/03/07/amazon-web-services-expanding-madison-county-ms-data-center-campus/81914950007/</v>
      </c>
      <c r="AL527" s="2" t="str">
        <f>IFERROR(__xludf.DUMMYFUNCTION("""COMPUTED_VALUE"""),"https://www.datacenterdynamics.com/en/news/aws-confirmed-as-company-behind-10bn-mississippi-data-center-development/")</f>
        <v>https://www.datacenterdynamics.com/en/news/aws-confirmed-as-company-behind-10bn-mississippi-data-center-development/</v>
      </c>
      <c r="AM527" s="1" t="str">
        <f>IFERROR(__xludf.DUMMYFUNCTION("""COMPUTED_VALUE"""),"")</f>
        <v/>
      </c>
      <c r="AN527" s="1" t="str">
        <f>IFERROR(__xludf.DUMMYFUNCTION("""COMPUTED_VALUE"""),"")</f>
        <v/>
      </c>
      <c r="AO527" s="1" t="str">
        <f>IFERROR(__xludf.DUMMYFUNCTION("""COMPUTED_VALUE"""),"")</f>
        <v/>
      </c>
      <c r="AP527" s="1" t="str">
        <f>IFERROR(__xludf.DUMMYFUNCTION("""COMPUTED_VALUE"""),"")</f>
        <v/>
      </c>
      <c r="AQ527" s="1" t="str">
        <f>IFERROR(__xludf.DUMMYFUNCTION("""COMPUTED_VALUE"""),"09/18/2025")</f>
        <v>09/18/2025</v>
      </c>
      <c r="AR527" s="1" t="str">
        <f>IFERROR(__xludf.DUMMYFUNCTION("""COMPUTED_VALUE"""),"09/18/2025")</f>
        <v>09/18/2025</v>
      </c>
    </row>
    <row r="528">
      <c r="A528" s="1" t="str">
        <f>IFERROR(__xludf.DUMMYFUNCTION("""COMPUTED_VALUE"""),"Amazon Ridgeland")</f>
        <v>Amazon Ridgeland</v>
      </c>
      <c r="B528" s="1" t="str">
        <f>IFERROR(__xludf.DUMMYFUNCTION("""COMPUTED_VALUE"""),"west of Highland Colony Pkwy")</f>
        <v>west of Highland Colony Pkwy</v>
      </c>
      <c r="C528" s="1" t="str">
        <f>IFERROR(__xludf.DUMMYFUNCTION("""COMPUTED_VALUE"""),"Ridgeland")</f>
        <v>Ridgeland</v>
      </c>
      <c r="D528" s="1" t="str">
        <f>IFERROR(__xludf.DUMMYFUNCTION("""COMPUTED_VALUE"""),"MS")</f>
        <v>MS</v>
      </c>
      <c r="E528" s="1" t="str">
        <f>IFERROR(__xludf.DUMMYFUNCTION("""COMPUTED_VALUE"""),"39157")</f>
        <v>39157</v>
      </c>
      <c r="F528" s="1" t="str">
        <f>IFERROR(__xludf.DUMMYFUNCTION("""COMPUTED_VALUE"""),"Madison")</f>
        <v>Madison</v>
      </c>
      <c r="G528" s="1" t="str">
        <f>IFERROR(__xludf.DUMMYFUNCTION("""COMPUTED_VALUE"""),"32.41277")</f>
        <v>32.41277</v>
      </c>
      <c r="H528" s="1" t="str">
        <f>IFERROR(__xludf.DUMMYFUNCTION("""COMPUTED_VALUE"""),"-90.190216")</f>
        <v>-90.190216</v>
      </c>
      <c r="I528" s="1" t="str">
        <f>IFERROR(__xludf.DUMMYFUNCTION("""COMPUTED_VALUE"""),"Approved/Permitted/Under construction")</f>
        <v>Approved/Permitted/Under construction</v>
      </c>
      <c r="J528" s="1" t="str">
        <f>IFERROR(__xludf.DUMMYFUNCTION("""COMPUTED_VALUE"""),"High")</f>
        <v>High</v>
      </c>
      <c r="K528" s="1" t="str">
        <f>IFERROR(__xludf.DUMMYFUNCTION("""COMPUTED_VALUE"""),"")</f>
        <v/>
      </c>
      <c r="L528" s="1" t="str">
        <f>IFERROR(__xludf.DUMMYFUNCTION("""COMPUTED_VALUE"""),"Amazon")</f>
        <v>Amazon</v>
      </c>
      <c r="M528" s="1" t="str">
        <f>IFERROR(__xludf.DUMMYFUNCTION("""COMPUTED_VALUE"""),"")</f>
        <v/>
      </c>
      <c r="N528" s="1" t="str">
        <f>IFERROR(__xludf.DUMMYFUNCTION("""COMPUTED_VALUE"""),"1000")</f>
        <v>1000</v>
      </c>
      <c r="O528" s="1" t="str">
        <f>IFERROR(__xludf.DUMMYFUNCTION("""COMPUTED_VALUE"""),"Mega campus (&gt;1,000 MW)")</f>
        <v>Mega campus (&gt;1,000 MW)</v>
      </c>
      <c r="P528" s="1" t="str">
        <f>IFERROR(__xludf.DUMMYFUNCTION("""COMPUTED_VALUE"""),"")</f>
        <v/>
      </c>
      <c r="Q528" s="1" t="str">
        <f>IFERROR(__xludf.DUMMYFUNCTION("""COMPUTED_VALUE"""),"")</f>
        <v/>
      </c>
      <c r="R528" s="1" t="str">
        <f>IFERROR(__xludf.DUMMYFUNCTION("""COMPUTED_VALUE"""),"")</f>
        <v/>
      </c>
      <c r="S528" s="1" t="str">
        <f>IFERROR(__xludf.DUMMYFUNCTION("""COMPUTED_VALUE"""),"")</f>
        <v/>
      </c>
      <c r="T528" s="1" t="str">
        <f>IFERROR(__xludf.DUMMYFUNCTION("""COMPUTED_VALUE"""),"")</f>
        <v/>
      </c>
      <c r="U528" s="1" t="str">
        <f>IFERROR(__xludf.DUMMYFUNCTION("""COMPUTED_VALUE"""),"")</f>
        <v/>
      </c>
      <c r="V528" s="1" t="str">
        <f>IFERROR(__xludf.DUMMYFUNCTION("""COMPUTED_VALUE"""),"")</f>
        <v/>
      </c>
      <c r="W528" s="1" t="str">
        <f>IFERROR(__xludf.DUMMYFUNCTION("""COMPUTED_VALUE"""),"")</f>
        <v/>
      </c>
      <c r="X528" s="1" t="str">
        <f>IFERROR(__xludf.DUMMYFUNCTION("""COMPUTED_VALUE"""),"")</f>
        <v/>
      </c>
      <c r="Y528" s="1" t="str">
        <f>IFERROR(__xludf.DUMMYFUNCTION("""COMPUTED_VALUE"""),"2026")</f>
        <v>2026</v>
      </c>
      <c r="Z528" s="1" t="str">
        <f>IFERROR(__xludf.DUMMYFUNCTION("""COMPUTED_VALUE"""),"Unknown")</f>
        <v>Unknown</v>
      </c>
      <c r="AA528" s="1" t="str">
        <f>IFERROR(__xludf.DUMMYFUNCTION("""COMPUTED_VALUE"""),"")</f>
        <v/>
      </c>
      <c r="AB528" s="1" t="str">
        <f>IFERROR(__xludf.DUMMYFUNCTION("""COMPUTED_VALUE"""),"")</f>
        <v/>
      </c>
      <c r="AC528" s="1" t="str">
        <f>IFERROR(__xludf.DUMMYFUNCTION("""COMPUTED_VALUE"""),"")</f>
        <v/>
      </c>
      <c r="AD528" s="1" t="str">
        <f>IFERROR(__xludf.DUMMYFUNCTION("""COMPUTED_VALUE"""),"")</f>
        <v/>
      </c>
      <c r="AE528" s="1" t="str">
        <f>IFERROR(__xludf.DUMMYFUNCTION("""COMPUTED_VALUE"""),"")</f>
        <v/>
      </c>
      <c r="AF528" s="1" t="str">
        <f>IFERROR(__xludf.DUMMYFUNCTION("""COMPUTED_VALUE"""),"")</f>
        <v/>
      </c>
      <c r="AG528" s="1" t="str">
        <f>IFERROR(__xludf.DUMMYFUNCTION("""COMPUTED_VALUE"""),"")</f>
        <v/>
      </c>
      <c r="AH528" s="1" t="str">
        <f>IFERROR(__xludf.DUMMYFUNCTION("""COMPUTED_VALUE"""),"Media Monitoring")</f>
        <v>Media Monitoring</v>
      </c>
      <c r="AI528" s="2" t="str">
        <f>IFERROR(__xludf.DUMMYFUNCTION("""COMPUTED_VALUE"""),"https://epoch.ai/data/data-centers/satellite-explorer/AmazonRidgelandMississippi?ref=404media.co")</f>
        <v>https://epoch.ai/data/data-centers/satellite-explorer/AmazonRidgelandMississippi?ref=404media.co</v>
      </c>
      <c r="AJ528" s="2" t="str">
        <f>IFERROR(__xludf.DUMMYFUNCTION("""COMPUTED_VALUE"""),"https://birdsongconst.com/portfolio/continental-tire/")</f>
        <v>https://birdsongconst.com/portfolio/continental-tire/</v>
      </c>
      <c r="AK528" s="1" t="str">
        <f>IFERROR(__xludf.DUMMYFUNCTION("""COMPUTED_VALUE"""),"")</f>
        <v/>
      </c>
      <c r="AL528" s="1" t="str">
        <f>IFERROR(__xludf.DUMMYFUNCTION("""COMPUTED_VALUE"""),"")</f>
        <v/>
      </c>
      <c r="AM528" s="1" t="str">
        <f>IFERROR(__xludf.DUMMYFUNCTION("""COMPUTED_VALUE"""),"")</f>
        <v/>
      </c>
      <c r="AN528" s="1" t="str">
        <f>IFERROR(__xludf.DUMMYFUNCTION("""COMPUTED_VALUE"""),"")</f>
        <v/>
      </c>
      <c r="AO528" s="1" t="str">
        <f>IFERROR(__xludf.DUMMYFUNCTION("""COMPUTED_VALUE"""),"")</f>
        <v/>
      </c>
      <c r="AP528" s="1" t="str">
        <f>IFERROR(__xludf.DUMMYFUNCTION("""COMPUTED_VALUE"""),"")</f>
        <v/>
      </c>
      <c r="AQ528" s="1" t="str">
        <f>IFERROR(__xludf.DUMMYFUNCTION("""COMPUTED_VALUE"""),"01/01/2026")</f>
        <v>01/01/2026</v>
      </c>
      <c r="AR528" s="1" t="str">
        <f>IFERROR(__xludf.DUMMYFUNCTION("""COMPUTED_VALUE"""),"01/01/2026")</f>
        <v>01/01/2026</v>
      </c>
    </row>
    <row r="529">
      <c r="A529" s="1" t="str">
        <f>IFERROR(__xludf.DUMMYFUNCTION("""COMPUTED_VALUE"""),"xAI ")</f>
        <v>xAI </v>
      </c>
      <c r="B529" s="1" t="str">
        <f>IFERROR(__xludf.DUMMYFUNCTION("""COMPUTED_VALUE"""),"2400 Stateline Rd")</f>
        <v>2400 Stateline Rd</v>
      </c>
      <c r="C529" s="1" t="str">
        <f>IFERROR(__xludf.DUMMYFUNCTION("""COMPUTED_VALUE"""),"Southaven")</f>
        <v>Southaven</v>
      </c>
      <c r="D529" s="1" t="str">
        <f>IFERROR(__xludf.DUMMYFUNCTION("""COMPUTED_VALUE"""),"MS")</f>
        <v>MS</v>
      </c>
      <c r="E529" s="1" t="str">
        <f>IFERROR(__xludf.DUMMYFUNCTION("""COMPUTED_VALUE"""),"")</f>
        <v/>
      </c>
      <c r="F529" s="1" t="str">
        <f>IFERROR(__xludf.DUMMYFUNCTION("""COMPUTED_VALUE"""),"DeSoto")</f>
        <v>DeSoto</v>
      </c>
      <c r="G529" s="1" t="str">
        <f>IFERROR(__xludf.DUMMYFUNCTION("""COMPUTED_VALUE"""),"34.992947")</f>
        <v>34.992947</v>
      </c>
      <c r="H529" s="1" t="str">
        <f>IFERROR(__xludf.DUMMYFUNCTION("""COMPUTED_VALUE"""),"-90.03358")</f>
        <v>-90.03358</v>
      </c>
      <c r="I529" s="1" t="str">
        <f>IFERROR(__xludf.DUMMYFUNCTION("""COMPUTED_VALUE"""),"Proposed")</f>
        <v>Proposed</v>
      </c>
      <c r="J529" s="1" t="str">
        <f>IFERROR(__xludf.DUMMYFUNCTION("""COMPUTED_VALUE"""),"High")</f>
        <v>High</v>
      </c>
      <c r="K529" s="1" t="str">
        <f>IFERROR(__xludf.DUMMYFUNCTION("""COMPUTED_VALUE"""),"")</f>
        <v/>
      </c>
      <c r="L529" s="1" t="str">
        <f>IFERROR(__xludf.DUMMYFUNCTION("""COMPUTED_VALUE"""),"")</f>
        <v/>
      </c>
      <c r="M529" s="1" t="str">
        <f>IFERROR(__xludf.DUMMYFUNCTION("""COMPUTED_VALUE"""),"")</f>
        <v/>
      </c>
      <c r="N529" s="1" t="str">
        <f>IFERROR(__xludf.DUMMYFUNCTION("""COMPUTED_VALUE"""),"")</f>
        <v/>
      </c>
      <c r="O529" s="1" t="str">
        <f>IFERROR(__xludf.DUMMYFUNCTION("""COMPUTED_VALUE"""),"Medium (11-50 MW)")</f>
        <v>Medium (11-50 MW)</v>
      </c>
      <c r="P529" s="1" t="str">
        <f>IFERROR(__xludf.DUMMYFUNCTION("""COMPUTED_VALUE"""),"Grid (unspecified mix)")</f>
        <v>Grid (unspecified mix)</v>
      </c>
      <c r="Q529" s="1" t="str">
        <f>IFERROR(__xludf.DUMMYFUNCTION("""COMPUTED_VALUE"""),"")</f>
        <v/>
      </c>
      <c r="R529" s="1" t="str">
        <f>IFERROR(__xludf.DUMMYFUNCTION("""COMPUTED_VALUE"""),"")</f>
        <v/>
      </c>
      <c r="S529" s="1" t="str">
        <f>IFERROR(__xludf.DUMMYFUNCTION("""COMPUTED_VALUE"""),"")</f>
        <v/>
      </c>
      <c r="T529" s="1" t="str">
        <f>IFERROR(__xludf.DUMMYFUNCTION("""COMPUTED_VALUE"""),"")</f>
        <v/>
      </c>
      <c r="U529" s="1" t="str">
        <f>IFERROR(__xludf.DUMMYFUNCTION("""COMPUTED_VALUE"""),"")</f>
        <v/>
      </c>
      <c r="V529" s="1" t="str">
        <f>IFERROR(__xludf.DUMMYFUNCTION("""COMPUTED_VALUE"""),"")</f>
        <v/>
      </c>
      <c r="W529" s="1" t="str">
        <f>IFERROR(__xludf.DUMMYFUNCTION("""COMPUTED_VALUE"""),"")</f>
        <v/>
      </c>
      <c r="X529" s="1" t="str">
        <f>IFERROR(__xludf.DUMMYFUNCTION("""COMPUTED_VALUE"""),"")</f>
        <v/>
      </c>
      <c r="Y529" s="1" t="str">
        <f>IFERROR(__xludf.DUMMYFUNCTION("""COMPUTED_VALUE"""),"")</f>
        <v/>
      </c>
      <c r="Z529" s="1" t="str">
        <f>IFERROR(__xludf.DUMMYFUNCTION("""COMPUTED_VALUE"""),"Yes")</f>
        <v>Yes</v>
      </c>
      <c r="AA529" s="1" t="str">
        <f>IFERROR(__xludf.DUMMYFUNCTION("""COMPUTED_VALUE"""),"Safe and Sound Coalition")</f>
        <v>Safe and Sound Coalition</v>
      </c>
      <c r="AB529" s="1" t="str">
        <f>IFERROR(__xludf.DUMMYFUNCTION("""COMPUTED_VALUE"""),"Organized Advocacy")</f>
        <v>Organized Advocacy</v>
      </c>
      <c r="AC529" s="1" t="str">
        <f>IFERROR(__xludf.DUMMYFUNCTION("""COMPUTED_VALUE"""),"")</f>
        <v/>
      </c>
      <c r="AD529" s="1" t="str">
        <f>IFERROR(__xludf.DUMMYFUNCTION("""COMPUTED_VALUE"""),"")</f>
        <v/>
      </c>
      <c r="AE529" s="1" t="str">
        <f>IFERROR(__xludf.DUMMYFUNCTION("""COMPUTED_VALUE"""),"")</f>
        <v/>
      </c>
      <c r="AF529" s="2" t="str">
        <f>IFERROR(__xludf.DUMMYFUNCTION("""COMPUTED_VALUE"""),"https://actionnetwork.org/groups/safe-and-sound-coalition")</f>
        <v>https://actionnetwork.org/groups/safe-and-sound-coalition</v>
      </c>
      <c r="AG529" s="1" t="str">
        <f>IFERROR(__xludf.DUMMYFUNCTION("""COMPUTED_VALUE"""),"")</f>
        <v/>
      </c>
      <c r="AH529" s="1" t="str">
        <f>IFERROR(__xludf.DUMMYFUNCTION("""COMPUTED_VALUE"""),"Media Monitoring")</f>
        <v>Media Monitoring</v>
      </c>
      <c r="AI529" s="2" t="str">
        <f>IFERROR(__xludf.DUMMYFUNCTION("""COMPUTED_VALUE"""),"https://mississippitoday.org/2025/12/31/elon-musk-mississippi-data-center-southaven-memphis/")</f>
        <v>https://mississippitoday.org/2025/12/31/elon-musk-mississippi-data-center-southaven-memphis/</v>
      </c>
      <c r="AJ529" s="2" t="str">
        <f>IFERROR(__xludf.DUMMYFUNCTION("""COMPUTED_VALUE"""),"https://mississippitoday.org/2025/11/24/southaven-residents-fear-pollution-complain-of-noise-from-elon-musks-xai-data-center-turbines/")</f>
        <v>https://mississippitoday.org/2025/11/24/southaven-residents-fear-pollution-complain-of-noise-from-elon-musks-xai-data-center-turbines/</v>
      </c>
      <c r="AK529" s="1" t="str">
        <f>IFERROR(__xludf.DUMMYFUNCTION("""COMPUTED_VALUE"""),"")</f>
        <v/>
      </c>
      <c r="AL529" s="1" t="str">
        <f>IFERROR(__xludf.DUMMYFUNCTION("""COMPUTED_VALUE"""),"")</f>
        <v/>
      </c>
      <c r="AM529" s="1" t="str">
        <f>IFERROR(__xludf.DUMMYFUNCTION("""COMPUTED_VALUE"""),"")</f>
        <v/>
      </c>
      <c r="AN529" s="1" t="str">
        <f>IFERROR(__xludf.DUMMYFUNCTION("""COMPUTED_VALUE"""),"")</f>
        <v/>
      </c>
      <c r="AO529" s="1" t="str">
        <f>IFERROR(__xludf.DUMMYFUNCTION("""COMPUTED_VALUE"""),"")</f>
        <v/>
      </c>
      <c r="AP529" s="1" t="str">
        <f>IFERROR(__xludf.DUMMYFUNCTION("""COMPUTED_VALUE"""),"")</f>
        <v/>
      </c>
      <c r="AQ529" s="1" t="str">
        <f>IFERROR(__xludf.DUMMYFUNCTION("""COMPUTED_VALUE"""),"04/04/2026")</f>
        <v>04/04/2026</v>
      </c>
      <c r="AR529" s="1" t="str">
        <f>IFERROR(__xludf.DUMMYFUNCTION("""COMPUTED_VALUE"""),"04/04/2026")</f>
        <v>04/04/2026</v>
      </c>
    </row>
    <row r="530">
      <c r="A530" s="1" t="str">
        <f>IFERROR(__xludf.DUMMYFUNCTION("""COMPUTED_VALUE"""),"Starkville Crypto Mine")</f>
        <v>Starkville Crypto Mine</v>
      </c>
      <c r="B530" s="1" t="str">
        <f>IFERROR(__xludf.DUMMYFUNCTION("""COMPUTED_VALUE"""),"near 498 Industrial Park Rd")</f>
        <v>near 498 Industrial Park Rd</v>
      </c>
      <c r="C530" s="1" t="str">
        <f>IFERROR(__xludf.DUMMYFUNCTION("""COMPUTED_VALUE"""),"Starkville")</f>
        <v>Starkville</v>
      </c>
      <c r="D530" s="1" t="str">
        <f>IFERROR(__xludf.DUMMYFUNCTION("""COMPUTED_VALUE"""),"MS")</f>
        <v>MS</v>
      </c>
      <c r="E530" s="1" t="str">
        <f>IFERROR(__xludf.DUMMYFUNCTION("""COMPUTED_VALUE"""),"39759")</f>
        <v>39759</v>
      </c>
      <c r="F530" s="1" t="str">
        <f>IFERROR(__xludf.DUMMYFUNCTION("""COMPUTED_VALUE"""),"Oktibbeha")</f>
        <v>Oktibbeha</v>
      </c>
      <c r="G530" s="1" t="str">
        <f>IFERROR(__xludf.DUMMYFUNCTION("""COMPUTED_VALUE"""),"33.43533")</f>
        <v>33.43533</v>
      </c>
      <c r="H530" s="1" t="str">
        <f>IFERROR(__xludf.DUMMYFUNCTION("""COMPUTED_VALUE"""),"-88.83601")</f>
        <v>-88.83601</v>
      </c>
      <c r="I530" s="1" t="str">
        <f>IFERROR(__xludf.DUMMYFUNCTION("""COMPUTED_VALUE"""),"Proposed")</f>
        <v>Proposed</v>
      </c>
      <c r="J530" s="1" t="str">
        <f>IFERROR(__xludf.DUMMYFUNCTION("""COMPUTED_VALUE"""),"High")</f>
        <v>High</v>
      </c>
      <c r="K530" s="1" t="str">
        <f>IFERROR(__xludf.DUMMYFUNCTION("""COMPUTED_VALUE"""),"Crypto")</f>
        <v>Crypto</v>
      </c>
      <c r="L530" s="1" t="str">
        <f>IFERROR(__xludf.DUMMYFUNCTION("""COMPUTED_VALUE"""),"")</f>
        <v/>
      </c>
      <c r="M530" s="1" t="str">
        <f>IFERROR(__xludf.DUMMYFUNCTION("""COMPUTED_VALUE"""),"")</f>
        <v/>
      </c>
      <c r="N530" s="1" t="str">
        <f>IFERROR(__xludf.DUMMYFUNCTION("""COMPUTED_VALUE"""),"30")</f>
        <v>30</v>
      </c>
      <c r="O530" s="1" t="str">
        <f>IFERROR(__xludf.DUMMYFUNCTION("""COMPUTED_VALUE"""),"Medium (11-50 MW)")</f>
        <v>Medium (11-50 MW)</v>
      </c>
      <c r="P530" s="1" t="str">
        <f>IFERROR(__xludf.DUMMYFUNCTION("""COMPUTED_VALUE"""),"")</f>
        <v/>
      </c>
      <c r="Q530" s="1" t="str">
        <f>IFERROR(__xludf.DUMMYFUNCTION("""COMPUTED_VALUE"""),"")</f>
        <v/>
      </c>
      <c r="R530" s="1" t="str">
        <f>IFERROR(__xludf.DUMMYFUNCTION("""COMPUTED_VALUE"""),"")</f>
        <v/>
      </c>
      <c r="S530" s="1" t="str">
        <f>IFERROR(__xludf.DUMMYFUNCTION("""COMPUTED_VALUE"""),"")</f>
        <v/>
      </c>
      <c r="T530" s="1" t="str">
        <f>IFERROR(__xludf.DUMMYFUNCTION("""COMPUTED_VALUE"""),"")</f>
        <v/>
      </c>
      <c r="U530" s="1" t="str">
        <f>IFERROR(__xludf.DUMMYFUNCTION("""COMPUTED_VALUE"""),"")</f>
        <v/>
      </c>
      <c r="V530" s="1" t="str">
        <f>IFERROR(__xludf.DUMMYFUNCTION("""COMPUTED_VALUE"""),"")</f>
        <v/>
      </c>
      <c r="W530" s="1" t="str">
        <f>IFERROR(__xludf.DUMMYFUNCTION("""COMPUTED_VALUE"""),"")</f>
        <v/>
      </c>
      <c r="X530" s="1" t="str">
        <f>IFERROR(__xludf.DUMMYFUNCTION("""COMPUTED_VALUE"""),"")</f>
        <v/>
      </c>
      <c r="Y530" s="1" t="str">
        <f>IFERROR(__xludf.DUMMYFUNCTION("""COMPUTED_VALUE"""),"")</f>
        <v/>
      </c>
      <c r="Z530" s="1" t="str">
        <f>IFERROR(__xludf.DUMMYFUNCTION("""COMPUTED_VALUE"""),"Unknown")</f>
        <v>Unknown</v>
      </c>
      <c r="AA530" s="1" t="str">
        <f>IFERROR(__xludf.DUMMYFUNCTION("""COMPUTED_VALUE"""),"")</f>
        <v/>
      </c>
      <c r="AB530" s="1" t="str">
        <f>IFERROR(__xludf.DUMMYFUNCTION("""COMPUTED_VALUE"""),"")</f>
        <v/>
      </c>
      <c r="AC530" s="1" t="str">
        <f>IFERROR(__xludf.DUMMYFUNCTION("""COMPUTED_VALUE"""),"")</f>
        <v/>
      </c>
      <c r="AD530" s="1" t="str">
        <f>IFERROR(__xludf.DUMMYFUNCTION("""COMPUTED_VALUE"""),"")</f>
        <v/>
      </c>
      <c r="AE530" s="1" t="str">
        <f>IFERROR(__xludf.DUMMYFUNCTION("""COMPUTED_VALUE"""),"")</f>
        <v/>
      </c>
      <c r="AF530" s="2" t="str">
        <f>IFERROR(__xludf.DUMMYFUNCTION("""COMPUTED_VALUE"""),"https://www.change.org/p/block-spruill-s-crypto-center")</f>
        <v>https://www.change.org/p/block-spruill-s-crypto-center</v>
      </c>
      <c r="AG530" s="1" t="str">
        <f>IFERROR(__xludf.DUMMYFUNCTION("""COMPUTED_VALUE"""),"")</f>
        <v/>
      </c>
      <c r="AH530" s="1" t="str">
        <f>IFERROR(__xludf.DUMMYFUNCTION("""COMPUTED_VALUE"""),"Media Monitoring")</f>
        <v>Media Monitoring</v>
      </c>
      <c r="AI530" s="2" t="str">
        <f>IFERROR(__xludf.DUMMYFUNCTION("""COMPUTED_VALUE"""),"https://www.datacenterdynamics.com/en/news/30mw-cryptomine-proposed-in-starkville-mississippi/")</f>
        <v>https://www.datacenterdynamics.com/en/news/30mw-cryptomine-proposed-in-starkville-mississippi/</v>
      </c>
      <c r="AJ530" s="1" t="str">
        <f>IFERROR(__xludf.DUMMYFUNCTION("""COMPUTED_VALUE"""),"")</f>
        <v/>
      </c>
      <c r="AK530" s="1" t="str">
        <f>IFERROR(__xludf.DUMMYFUNCTION("""COMPUTED_VALUE"""),"")</f>
        <v/>
      </c>
      <c r="AL530" s="1" t="str">
        <f>IFERROR(__xludf.DUMMYFUNCTION("""COMPUTED_VALUE"""),"")</f>
        <v/>
      </c>
      <c r="AM530" s="1" t="str">
        <f>IFERROR(__xludf.DUMMYFUNCTION("""COMPUTED_VALUE"""),"")</f>
        <v/>
      </c>
      <c r="AN530" s="1" t="str">
        <f>IFERROR(__xludf.DUMMYFUNCTION("""COMPUTED_VALUE"""),"")</f>
        <v/>
      </c>
      <c r="AO530" s="1" t="str">
        <f>IFERROR(__xludf.DUMMYFUNCTION("""COMPUTED_VALUE"""),"")</f>
        <v/>
      </c>
      <c r="AP530" s="1" t="str">
        <f>IFERROR(__xludf.DUMMYFUNCTION("""COMPUTED_VALUE"""),"")</f>
        <v/>
      </c>
      <c r="AQ530" s="1" t="str">
        <f>IFERROR(__xludf.DUMMYFUNCTION("""COMPUTED_VALUE"""),"06/29/2026")</f>
        <v>06/29/2026</v>
      </c>
      <c r="AR530" s="1" t="str">
        <f>IFERROR(__xludf.DUMMYFUNCTION("""COMPUTED_VALUE"""),"06/29/2026")</f>
        <v>06/29/2026</v>
      </c>
    </row>
    <row r="531">
      <c r="A531" s="1" t="str">
        <f>IFERROR(__xludf.DUMMYFUNCTION("""COMPUTED_VALUE"""),"Project Steamboat")</f>
        <v>Project Steamboat</v>
      </c>
      <c r="B531" s="1" t="str">
        <f>IFERROR(__xludf.DUMMYFUNCTION("""COMPUTED_VALUE"""),"")</f>
        <v/>
      </c>
      <c r="C531" s="1" t="str">
        <f>IFERROR(__xludf.DUMMYFUNCTION("""COMPUTED_VALUE"""),"Vicksburg")</f>
        <v>Vicksburg</v>
      </c>
      <c r="D531" s="1" t="str">
        <f>IFERROR(__xludf.DUMMYFUNCTION("""COMPUTED_VALUE"""),"MS")</f>
        <v>MS</v>
      </c>
      <c r="E531" s="1" t="str">
        <f>IFERROR(__xludf.DUMMYFUNCTION("""COMPUTED_VALUE"""),"")</f>
        <v/>
      </c>
      <c r="F531" s="1" t="str">
        <f>IFERROR(__xludf.DUMMYFUNCTION("""COMPUTED_VALUE"""),"Warren")</f>
        <v>Warren</v>
      </c>
      <c r="G531" s="1" t="str">
        <f>IFERROR(__xludf.DUMMYFUNCTION("""COMPUTED_VALUE"""),"32.256226")</f>
        <v>32.256226</v>
      </c>
      <c r="H531" s="1" t="str">
        <f>IFERROR(__xludf.DUMMYFUNCTION("""COMPUTED_VALUE"""),"-90.9371")</f>
        <v>-90.9371</v>
      </c>
      <c r="I531" s="1" t="str">
        <f>IFERROR(__xludf.DUMMYFUNCTION("""COMPUTED_VALUE"""),"Proposed")</f>
        <v>Proposed</v>
      </c>
      <c r="J531" s="1" t="str">
        <f>IFERROR(__xludf.DUMMYFUNCTION("""COMPUTED_VALUE"""),"Low")</f>
        <v>Low</v>
      </c>
      <c r="K531" s="1" t="str">
        <f>IFERROR(__xludf.DUMMYFUNCTION("""COMPUTED_VALUE"""),"")</f>
        <v/>
      </c>
      <c r="L531" s="1" t="str">
        <f>IFERROR(__xludf.DUMMYFUNCTION("""COMPUTED_VALUE"""),"Amazon")</f>
        <v>Amazon</v>
      </c>
      <c r="M531" s="1" t="str">
        <f>IFERROR(__xludf.DUMMYFUNCTION("""COMPUTED_VALUE"""),"")</f>
        <v/>
      </c>
      <c r="N531" s="1" t="str">
        <f>IFERROR(__xludf.DUMMYFUNCTION("""COMPUTED_VALUE"""),"")</f>
        <v/>
      </c>
      <c r="O531" s="1" t="str">
        <f>IFERROR(__xludf.DUMMYFUNCTION("""COMPUTED_VALUE"""),"Unknown")</f>
        <v>Unknown</v>
      </c>
      <c r="P531" s="1" t="str">
        <f>IFERROR(__xludf.DUMMYFUNCTION("""COMPUTED_VALUE"""),"")</f>
        <v/>
      </c>
      <c r="Q531" s="1" t="str">
        <f>IFERROR(__xludf.DUMMYFUNCTION("""COMPUTED_VALUE"""),"")</f>
        <v/>
      </c>
      <c r="R531" s="1" t="str">
        <f>IFERROR(__xludf.DUMMYFUNCTION("""COMPUTED_VALUE"""),"")</f>
        <v/>
      </c>
      <c r="S531" s="1" t="str">
        <f>IFERROR(__xludf.DUMMYFUNCTION("""COMPUTED_VALUE"""),"")</f>
        <v/>
      </c>
      <c r="T531" s="1" t="str">
        <f>IFERROR(__xludf.DUMMYFUNCTION("""COMPUTED_VALUE"""),"")</f>
        <v/>
      </c>
      <c r="U531" s="1" t="str">
        <f>IFERROR(__xludf.DUMMYFUNCTION("""COMPUTED_VALUE"""),"")</f>
        <v/>
      </c>
      <c r="V531" s="1" t="str">
        <f>IFERROR(__xludf.DUMMYFUNCTION("""COMPUTED_VALUE"""),"")</f>
        <v/>
      </c>
      <c r="W531" s="1" t="str">
        <f>IFERROR(__xludf.DUMMYFUNCTION("""COMPUTED_VALUE"""),"")</f>
        <v/>
      </c>
      <c r="X531" s="1" t="str">
        <f>IFERROR(__xludf.DUMMYFUNCTION("""COMPUTED_VALUE"""),"$3 billion")</f>
        <v>$3 billion</v>
      </c>
      <c r="Y531" s="1" t="str">
        <f>IFERROR(__xludf.DUMMYFUNCTION("""COMPUTED_VALUE"""),"")</f>
        <v/>
      </c>
      <c r="Z531" s="1" t="str">
        <f>IFERROR(__xludf.DUMMYFUNCTION("""COMPUTED_VALUE"""),"Unknown")</f>
        <v>Unknown</v>
      </c>
      <c r="AA531" s="1" t="str">
        <f>IFERROR(__xludf.DUMMYFUNCTION("""COMPUTED_VALUE"""),"")</f>
        <v/>
      </c>
      <c r="AB531" s="1" t="str">
        <f>IFERROR(__xludf.DUMMYFUNCTION("""COMPUTED_VALUE"""),"")</f>
        <v/>
      </c>
      <c r="AC531" s="1" t="str">
        <f>IFERROR(__xludf.DUMMYFUNCTION("""COMPUTED_VALUE"""),"")</f>
        <v/>
      </c>
      <c r="AD531" s="1" t="str">
        <f>IFERROR(__xludf.DUMMYFUNCTION("""COMPUTED_VALUE"""),"")</f>
        <v/>
      </c>
      <c r="AE531" s="1" t="str">
        <f>IFERROR(__xludf.DUMMYFUNCTION("""COMPUTED_VALUE"""),"")</f>
        <v/>
      </c>
      <c r="AF531" s="1" t="str">
        <f>IFERROR(__xludf.DUMMYFUNCTION("""COMPUTED_VALUE"""),"")</f>
        <v/>
      </c>
      <c r="AG531" s="1" t="str">
        <f>IFERROR(__xludf.DUMMYFUNCTION("""COMPUTED_VALUE"""),"")</f>
        <v/>
      </c>
      <c r="AH531" s="1" t="str">
        <f>IFERROR(__xludf.DUMMYFUNCTION("""COMPUTED_VALUE"""),"Media Monitoring")</f>
        <v>Media Monitoring</v>
      </c>
      <c r="AI531" s="2" t="str">
        <f>IFERROR(__xludf.DUMMYFUNCTION("""COMPUTED_VALUE"""),"https://www.datacenterdynamics.com/en/news/amazon-to-build-3bn-data-center-campus-in-vicksburg-mississippi/")</f>
        <v>https://www.datacenterdynamics.com/en/news/amazon-to-build-3bn-data-center-campus-in-vicksburg-mississippi/</v>
      </c>
      <c r="AJ531" s="2" t="str">
        <f>IFERROR(__xludf.DUMMYFUNCTION("""COMPUTED_VALUE"""),"https://www.vicksburgpost.com/news/community-discussion-on-data-centers-cd545011")</f>
        <v>https://www.vicksburgpost.com/news/community-discussion-on-data-centers-cd545011</v>
      </c>
      <c r="AK531" s="1" t="str">
        <f>IFERROR(__xludf.DUMMYFUNCTION("""COMPUTED_VALUE"""),"")</f>
        <v/>
      </c>
      <c r="AL531" s="1" t="str">
        <f>IFERROR(__xludf.DUMMYFUNCTION("""COMPUTED_VALUE"""),"")</f>
        <v/>
      </c>
      <c r="AM531" s="1" t="str">
        <f>IFERROR(__xludf.DUMMYFUNCTION("""COMPUTED_VALUE"""),"")</f>
        <v/>
      </c>
      <c r="AN531" s="1" t="str">
        <f>IFERROR(__xludf.DUMMYFUNCTION("""COMPUTED_VALUE"""),"")</f>
        <v/>
      </c>
      <c r="AO531" s="1" t="str">
        <f>IFERROR(__xludf.DUMMYFUNCTION("""COMPUTED_VALUE"""),"")</f>
        <v/>
      </c>
      <c r="AP531" s="1" t="str">
        <f>IFERROR(__xludf.DUMMYFUNCTION("""COMPUTED_VALUE"""),"")</f>
        <v/>
      </c>
      <c r="AQ531" s="1" t="str">
        <f>IFERROR(__xludf.DUMMYFUNCTION("""COMPUTED_VALUE"""),"11/24/2025")</f>
        <v>11/24/2025</v>
      </c>
      <c r="AR531" s="1" t="str">
        <f>IFERROR(__xludf.DUMMYFUNCTION("""COMPUTED_VALUE"""),"02/13/2026")</f>
        <v>02/13/2026</v>
      </c>
    </row>
    <row r="532">
      <c r="A532" s="1" t="str">
        <f>IFERROR(__xludf.DUMMYFUNCTION("""COMPUTED_VALUE""")," Krambu Data Center")</f>
        <v> Krambu Data Center</v>
      </c>
      <c r="B532" s="1" t="str">
        <f>IFERROR(__xludf.DUMMYFUNCTION("""COMPUTED_VALUE"""),"9314 Bonner Mill Rd")</f>
        <v>9314 Bonner Mill Rd</v>
      </c>
      <c r="C532" s="1" t="str">
        <f>IFERROR(__xludf.DUMMYFUNCTION("""COMPUTED_VALUE"""),"Bonner")</f>
        <v>Bonner</v>
      </c>
      <c r="D532" s="1" t="str">
        <f>IFERROR(__xludf.DUMMYFUNCTION("""COMPUTED_VALUE"""),"MT")</f>
        <v>MT</v>
      </c>
      <c r="E532" s="1" t="str">
        <f>IFERROR(__xludf.DUMMYFUNCTION("""COMPUTED_VALUE"""),"59823")</f>
        <v>59823</v>
      </c>
      <c r="F532" s="1" t="str">
        <f>IFERROR(__xludf.DUMMYFUNCTION("""COMPUTED_VALUE"""),"Missoula")</f>
        <v>Missoula</v>
      </c>
      <c r="G532" s="1" t="str">
        <f>IFERROR(__xludf.DUMMYFUNCTION("""COMPUTED_VALUE"""),"46.872654")</f>
        <v>46.872654</v>
      </c>
      <c r="H532" s="1" t="str">
        <f>IFERROR(__xludf.DUMMYFUNCTION("""COMPUTED_VALUE"""),"-113.86785")</f>
        <v>-113.86785</v>
      </c>
      <c r="I532" s="1" t="str">
        <f>IFERROR(__xludf.DUMMYFUNCTION("""COMPUTED_VALUE"""),"Cancelled")</f>
        <v>Cancelled</v>
      </c>
      <c r="J532" s="1" t="str">
        <f>IFERROR(__xludf.DUMMYFUNCTION("""COMPUTED_VALUE"""),"High")</f>
        <v>High</v>
      </c>
      <c r="K532" s="1" t="str">
        <f>IFERROR(__xludf.DUMMYFUNCTION("""COMPUTED_VALUE"""),"")</f>
        <v/>
      </c>
      <c r="L532" s="1" t="str">
        <f>IFERROR(__xludf.DUMMYFUNCTION("""COMPUTED_VALUE"""),"")</f>
        <v/>
      </c>
      <c r="M532" s="1" t="str">
        <f>IFERROR(__xludf.DUMMYFUNCTION("""COMPUTED_VALUE"""),"")</f>
        <v/>
      </c>
      <c r="N532" s="1" t="str">
        <f>IFERROR(__xludf.DUMMYFUNCTION("""COMPUTED_VALUE"""),"29")</f>
        <v>29</v>
      </c>
      <c r="O532" s="1" t="str">
        <f>IFERROR(__xludf.DUMMYFUNCTION("""COMPUTED_VALUE"""),"Medium (11-50 MW)")</f>
        <v>Medium (11-50 MW)</v>
      </c>
      <c r="P532" s="1" t="str">
        <f>IFERROR(__xludf.DUMMYFUNCTION("""COMPUTED_VALUE"""),"")</f>
        <v/>
      </c>
      <c r="Q532" s="1" t="str">
        <f>IFERROR(__xludf.DUMMYFUNCTION("""COMPUTED_VALUE"""),"")</f>
        <v/>
      </c>
      <c r="R532" s="1" t="str">
        <f>IFERROR(__xludf.DUMMYFUNCTION("""COMPUTED_VALUE"""),"")</f>
        <v/>
      </c>
      <c r="S532" s="1" t="str">
        <f>IFERROR(__xludf.DUMMYFUNCTION("""COMPUTED_VALUE"""),"")</f>
        <v/>
      </c>
      <c r="T532" s="1" t="str">
        <f>IFERROR(__xludf.DUMMYFUNCTION("""COMPUTED_VALUE"""),"")</f>
        <v/>
      </c>
      <c r="U532" s="1" t="str">
        <f>IFERROR(__xludf.DUMMYFUNCTION("""COMPUTED_VALUE"""),"")</f>
        <v/>
      </c>
      <c r="V532" s="1" t="str">
        <f>IFERROR(__xludf.DUMMYFUNCTION("""COMPUTED_VALUE"""),"")</f>
        <v/>
      </c>
      <c r="W532" s="1" t="str">
        <f>IFERROR(__xludf.DUMMYFUNCTION("""COMPUTED_VALUE"""),"")</f>
        <v/>
      </c>
      <c r="X532" s="1" t="str">
        <f>IFERROR(__xludf.DUMMYFUNCTION("""COMPUTED_VALUE"""),"")</f>
        <v/>
      </c>
      <c r="Y532" s="1" t="str">
        <f>IFERROR(__xludf.DUMMYFUNCTION("""COMPUTED_VALUE"""),"")</f>
        <v/>
      </c>
      <c r="Z532" s="1" t="str">
        <f>IFERROR(__xludf.DUMMYFUNCTION("""COMPUTED_VALUE"""),"Yes")</f>
        <v>Yes</v>
      </c>
      <c r="AA532" s="1" t="str">
        <f>IFERROR(__xludf.DUMMYFUNCTION("""COMPUTED_VALUE"""),"")</f>
        <v/>
      </c>
      <c r="AB532" s="1" t="str">
        <f>IFERROR(__xludf.DUMMYFUNCTION("""COMPUTED_VALUE"""),"")</f>
        <v/>
      </c>
      <c r="AC532" s="1" t="str">
        <f>IFERROR(__xludf.DUMMYFUNCTION("""COMPUTED_VALUE"""),"")</f>
        <v/>
      </c>
      <c r="AD532" s="1" t="str">
        <f>IFERROR(__xludf.DUMMYFUNCTION("""COMPUTED_VALUE"""),"")</f>
        <v/>
      </c>
      <c r="AE532" s="1" t="str">
        <f>IFERROR(__xludf.DUMMYFUNCTION("""COMPUTED_VALUE"""),"")</f>
        <v/>
      </c>
      <c r="AF532" s="2" t="str">
        <f>IFERROR(__xludf.DUMMYFUNCTION("""COMPUTED_VALUE"""),"https://www.change.org/p/reject-permits-for-the-ai-data-center-in-bonner-mt")</f>
        <v>https://www.change.org/p/reject-permits-for-the-ai-data-center-in-bonner-mt</v>
      </c>
      <c r="AG532" s="1" t="str">
        <f>IFERROR(__xludf.DUMMYFUNCTION("""COMPUTED_VALUE"""),"")</f>
        <v/>
      </c>
      <c r="AH532" s="1" t="str">
        <f>IFERROR(__xludf.DUMMYFUNCTION("""COMPUTED_VALUE"""),"Media Monitoring")</f>
        <v>Media Monitoring</v>
      </c>
      <c r="AI532" s="2" t="str">
        <f>IFERROR(__xludf.DUMMYFUNCTION("""COMPUTED_VALUE"""),"https://www.datacenterdynamics.com/en/news/plans-for-29mw-data-center-in-bonner-montana-dropped/")</f>
        <v>https://www.datacenterdynamics.com/en/news/plans-for-29mw-data-center-in-bonner-montana-dropped/</v>
      </c>
      <c r="AJ532" s="1" t="str">
        <f>IFERROR(__xludf.DUMMYFUNCTION("""COMPUTED_VALUE"""),"")</f>
        <v/>
      </c>
      <c r="AK532" s="1" t="str">
        <f>IFERROR(__xludf.DUMMYFUNCTION("""COMPUTED_VALUE"""),"")</f>
        <v/>
      </c>
      <c r="AL532" s="1" t="str">
        <f>IFERROR(__xludf.DUMMYFUNCTION("""COMPUTED_VALUE"""),"")</f>
        <v/>
      </c>
      <c r="AM532" s="1" t="str">
        <f>IFERROR(__xludf.DUMMYFUNCTION("""COMPUTED_VALUE"""),"")</f>
        <v/>
      </c>
      <c r="AN532" s="1" t="str">
        <f>IFERROR(__xludf.DUMMYFUNCTION("""COMPUTED_VALUE"""),"")</f>
        <v/>
      </c>
      <c r="AO532" s="1" t="str">
        <f>IFERROR(__xludf.DUMMYFUNCTION("""COMPUTED_VALUE"""),"")</f>
        <v/>
      </c>
      <c r="AP532" s="1" t="str">
        <f>IFERROR(__xludf.DUMMYFUNCTION("""COMPUTED_VALUE"""),"")</f>
        <v/>
      </c>
      <c r="AQ532" s="1" t="str">
        <f>IFERROR(__xludf.DUMMYFUNCTION("""COMPUTED_VALUE"""),"07/11/2026")</f>
        <v>07/11/2026</v>
      </c>
      <c r="AR532" s="1" t="str">
        <f>IFERROR(__xludf.DUMMYFUNCTION("""COMPUTED_VALUE"""),"07/11/2026")</f>
        <v>07/11/2026</v>
      </c>
    </row>
    <row r="533">
      <c r="A533" s="1" t="str">
        <f>IFERROR(__xludf.DUMMYFUNCTION("""COMPUTED_VALUE"""),"Quantica LLC Big Sky Campus")</f>
        <v>Quantica LLC Big Sky Campus</v>
      </c>
      <c r="B533" s="1" t="str">
        <f>IFERROR(__xludf.DUMMYFUNCTION("""COMPUTED_VALUE"""),"Buffalo Trail Rd ")</f>
        <v>Buffalo Trail Rd </v>
      </c>
      <c r="C533" s="1" t="str">
        <f>IFERROR(__xludf.DUMMYFUNCTION("""COMPUTED_VALUE"""),"Broadview")</f>
        <v>Broadview</v>
      </c>
      <c r="D533" s="1" t="str">
        <f>IFERROR(__xludf.DUMMYFUNCTION("""COMPUTED_VALUE"""),"MT")</f>
        <v>MT</v>
      </c>
      <c r="E533" s="1" t="str">
        <f>IFERROR(__xludf.DUMMYFUNCTION("""COMPUTED_VALUE"""),"59015")</f>
        <v>59015</v>
      </c>
      <c r="F533" s="1" t="str">
        <f>IFERROR(__xludf.DUMMYFUNCTION("""COMPUTED_VALUE"""),"Yellowstone")</f>
        <v>Yellowstone</v>
      </c>
      <c r="G533" s="1" t="str">
        <f>IFERROR(__xludf.DUMMYFUNCTION("""COMPUTED_VALUE"""),"45.89389")</f>
        <v>45.89389</v>
      </c>
      <c r="H533" s="1" t="str">
        <f>IFERROR(__xludf.DUMMYFUNCTION("""COMPUTED_VALUE"""),"-108.88078")</f>
        <v>-108.88078</v>
      </c>
      <c r="I533" s="1" t="str">
        <f>IFERROR(__xludf.DUMMYFUNCTION("""COMPUTED_VALUE"""),"Proposed")</f>
        <v>Proposed</v>
      </c>
      <c r="J533" s="1" t="str">
        <f>IFERROR(__xludf.DUMMYFUNCTION("""COMPUTED_VALUE"""),"Medium")</f>
        <v>Medium</v>
      </c>
      <c r="K533" s="1" t="str">
        <f>IFERROR(__xludf.DUMMYFUNCTION("""COMPUTED_VALUE"""),"")</f>
        <v/>
      </c>
      <c r="L533" s="1" t="str">
        <f>IFERROR(__xludf.DUMMYFUNCTION("""COMPUTED_VALUE"""),"Meta, Google, Amazon")</f>
        <v>Meta, Google, Amazon</v>
      </c>
      <c r="M533" s="1" t="str">
        <f>IFERROR(__xludf.DUMMYFUNCTION("""COMPUTED_VALUE"""),"")</f>
        <v/>
      </c>
      <c r="N533" s="1" t="str">
        <f>IFERROR(__xludf.DUMMYFUNCTION("""COMPUTED_VALUE"""),"1000")</f>
        <v>1000</v>
      </c>
      <c r="O533" s="1" t="str">
        <f>IFERROR(__xludf.DUMMYFUNCTION("""COMPUTED_VALUE"""),"Mega campus (&gt;1,000 MW)")</f>
        <v>Mega campus (&gt;1,000 MW)</v>
      </c>
      <c r="P533" s="1" t="str">
        <f>IFERROR(__xludf.DUMMYFUNCTION("""COMPUTED_VALUE"""),"Wind, Solar")</f>
        <v>Wind, Solar</v>
      </c>
      <c r="Q533" s="1" t="str">
        <f>IFERROR(__xludf.DUMMYFUNCTION("""COMPUTED_VALUE"""),"Northwestern Energy")</f>
        <v>Northwestern Energy</v>
      </c>
      <c r="R533" s="1" t="str">
        <f>IFERROR(__xludf.DUMMYFUNCTION("""COMPUTED_VALUE"""),"")</f>
        <v/>
      </c>
      <c r="S533" s="1" t="str">
        <f>IFERROR(__xludf.DUMMYFUNCTION("""COMPUTED_VALUE"""),"20")</f>
        <v>20</v>
      </c>
      <c r="T533" s="1" t="str">
        <f>IFERROR(__xludf.DUMMYFUNCTION("""COMPUTED_VALUE"""),"")</f>
        <v/>
      </c>
      <c r="U533" s="1" t="str">
        <f>IFERROR(__xludf.DUMMYFUNCTION("""COMPUTED_VALUE"""),"Closed loop")</f>
        <v>Closed loop</v>
      </c>
      <c r="V533" s="1" t="str">
        <f>IFERROR(__xludf.DUMMYFUNCTION("""COMPUTED_VALUE"""),"6,000,000")</f>
        <v>6,000,000</v>
      </c>
      <c r="W533" s="1" t="str">
        <f>IFERROR(__xludf.DUMMYFUNCTION("""COMPUTED_VALUE"""),"5000")</f>
        <v>5000</v>
      </c>
      <c r="X533" s="1" t="str">
        <f>IFERROR(__xludf.DUMMYFUNCTION("""COMPUTED_VALUE"""),"")</f>
        <v/>
      </c>
      <c r="Y533" s="1" t="str">
        <f>IFERROR(__xludf.DUMMYFUNCTION("""COMPUTED_VALUE"""),"2028")</f>
        <v>2028</v>
      </c>
      <c r="Z533" s="1" t="str">
        <f>IFERROR(__xludf.DUMMYFUNCTION("""COMPUTED_VALUE"""),"Yes")</f>
        <v>Yes</v>
      </c>
      <c r="AA533" s="1" t="str">
        <f>IFERROR(__xludf.DUMMYFUNCTION("""COMPUTED_VALUE"""),"")</f>
        <v/>
      </c>
      <c r="AB533" s="1" t="str">
        <f>IFERROR(__xludf.DUMMYFUNCTION("""COMPUTED_VALUE"""),"")</f>
        <v/>
      </c>
      <c r="AC533" s="1" t="str">
        <f>IFERROR(__xludf.DUMMYFUNCTION("""COMPUTED_VALUE"""),"Every elected official is under an NDA including the Montana Public Service Commission")</f>
        <v>Every elected official is under an NDA including the Montana Public Service Commission</v>
      </c>
      <c r="AD533" s="1" t="str">
        <f>IFERROR(__xludf.DUMMYFUNCTION("""COMPUTED_VALUE"""),"")</f>
        <v/>
      </c>
      <c r="AE533" s="1" t="str">
        <f>IFERROR(__xludf.DUMMYFUNCTION("""COMPUTED_VALUE"""),"")</f>
        <v/>
      </c>
      <c r="AF533" s="1" t="str">
        <f>IFERROR(__xludf.DUMMYFUNCTION("""COMPUTED_VALUE"""),"")</f>
        <v/>
      </c>
      <c r="AG533" s="1" t="str">
        <f>IFERROR(__xludf.DUMMYFUNCTION("""COMPUTED_VALUE"""),"")</f>
        <v/>
      </c>
      <c r="AH533" s="1" t="str">
        <f>IFERROR(__xludf.DUMMYFUNCTION("""COMPUTED_VALUE"""),"Crowdsourced")</f>
        <v>Crowdsourced</v>
      </c>
      <c r="AI533" s="2" t="str">
        <f>IFERROR(__xludf.DUMMYFUNCTION("""COMPUTED_VALUE"""),"https://bigskyeconomicdevelopment.org/quantica-infrastructure-introduces-big-sky-digital-infrastructure-as-its-flagship-development-platform-in-montana/")</f>
        <v>https://bigskyeconomicdevelopment.org/quantica-infrastructure-introduces-big-sky-digital-infrastructure-as-its-flagship-development-platform-in-montana/</v>
      </c>
      <c r="AJ533" s="2" t="str">
        <f>IFERROR(__xludf.DUMMYFUNCTION("""COMPUTED_VALUE"""),"https://bigskydigitalinfra.com/")</f>
        <v>https://bigskydigitalinfra.com/</v>
      </c>
      <c r="AK533" s="2" t="str">
        <f>IFERROR(__xludf.DUMMYFUNCTION("""COMPUTED_VALUE"""),"https://www.datacenterdynamics.com/en/news/encap-backed-quantica-details-plans-for-1gw-campus-in-montana/")</f>
        <v>https://www.datacenterdynamics.com/en/news/encap-backed-quantica-details-plans-for-1gw-campus-in-montana/</v>
      </c>
      <c r="AL533" s="1" t="str">
        <f>IFERROR(__xludf.DUMMYFUNCTION("""COMPUTED_VALUE"""),"")</f>
        <v/>
      </c>
      <c r="AM533" s="1" t="str">
        <f>IFERROR(__xludf.DUMMYFUNCTION("""COMPUTED_VALUE"""),"")</f>
        <v/>
      </c>
      <c r="AN533" s="1" t="str">
        <f>IFERROR(__xludf.DUMMYFUNCTION("""COMPUTED_VALUE"""),"")</f>
        <v/>
      </c>
      <c r="AO533" s="1" t="str">
        <f>IFERROR(__xludf.DUMMYFUNCTION("""COMPUTED_VALUE"""),"")</f>
        <v/>
      </c>
      <c r="AP533" s="1" t="str">
        <f>IFERROR(__xludf.DUMMYFUNCTION("""COMPUTED_VALUE"""),"")</f>
        <v/>
      </c>
      <c r="AQ533" s="1" t="str">
        <f>IFERROR(__xludf.DUMMYFUNCTION("""COMPUTED_VALUE"""),"04/08/2026")</f>
        <v>04/08/2026</v>
      </c>
      <c r="AR533" s="1" t="str">
        <f>IFERROR(__xludf.DUMMYFUNCTION("""COMPUTED_VALUE"""),"04/08/2026")</f>
        <v>04/08/2026</v>
      </c>
    </row>
    <row r="534">
      <c r="A534" s="1" t="str">
        <f>IFERROR(__xludf.DUMMYFUNCTION("""COMPUTED_VALUE"""),"Butte Data Center")</f>
        <v>Butte Data Center</v>
      </c>
      <c r="B534" s="1" t="str">
        <f>IFERROR(__xludf.DUMMYFUNCTION("""COMPUTED_VALUE"""),"155 W Granite St")</f>
        <v>155 W Granite St</v>
      </c>
      <c r="C534" s="1" t="str">
        <f>IFERROR(__xludf.DUMMYFUNCTION("""COMPUTED_VALUE"""),"Butte")</f>
        <v>Butte</v>
      </c>
      <c r="D534" s="1" t="str">
        <f>IFERROR(__xludf.DUMMYFUNCTION("""COMPUTED_VALUE"""),"MT")</f>
        <v>MT</v>
      </c>
      <c r="E534" s="1" t="str">
        <f>IFERROR(__xludf.DUMMYFUNCTION("""COMPUTED_VALUE"""),"59701")</f>
        <v>59701</v>
      </c>
      <c r="F534" s="1" t="str">
        <f>IFERROR(__xludf.DUMMYFUNCTION("""COMPUTED_VALUE"""),"Silver Bow")</f>
        <v>Silver Bow</v>
      </c>
      <c r="G534" s="1" t="str">
        <f>IFERROR(__xludf.DUMMYFUNCTION("""COMPUTED_VALUE"""),"45.99697")</f>
        <v>45.99697</v>
      </c>
      <c r="H534" s="1" t="str">
        <f>IFERROR(__xludf.DUMMYFUNCTION("""COMPUTED_VALUE"""),"-112.66617")</f>
        <v>-112.66617</v>
      </c>
      <c r="I534" s="1" t="str">
        <f>IFERROR(__xludf.DUMMYFUNCTION("""COMPUTED_VALUE"""),"Cancelled")</f>
        <v>Cancelled</v>
      </c>
      <c r="J534" s="1" t="str">
        <f>IFERROR(__xludf.DUMMYFUNCTION("""COMPUTED_VALUE"""),"High")</f>
        <v>High</v>
      </c>
      <c r="K534" s="1" t="str">
        <f>IFERROR(__xludf.DUMMYFUNCTION("""COMPUTED_VALUE"""),"")</f>
        <v/>
      </c>
      <c r="L534" s="1" t="str">
        <f>IFERROR(__xludf.DUMMYFUNCTION("""COMPUTED_VALUE"""),"Sabey Data Centers")</f>
        <v>Sabey Data Centers</v>
      </c>
      <c r="M534" s="1" t="str">
        <f>IFERROR(__xludf.DUMMYFUNCTION("""COMPUTED_VALUE"""),"")</f>
        <v/>
      </c>
      <c r="N534" s="1" t="str">
        <f>IFERROR(__xludf.DUMMYFUNCTION("""COMPUTED_VALUE"""),"50-250")</f>
        <v>50-250</v>
      </c>
      <c r="O534" s="1" t="str">
        <f>IFERROR(__xludf.DUMMYFUNCTION("""COMPUTED_VALUE"""),"Hyperscale (100-999 MW)")</f>
        <v>Hyperscale (100-999 MW)</v>
      </c>
      <c r="P534" s="1" t="str">
        <f>IFERROR(__xludf.DUMMYFUNCTION("""COMPUTED_VALUE"""),"Grid (unspecified mix)")</f>
        <v>Grid (unspecified mix)</v>
      </c>
      <c r="Q534" s="1" t="str">
        <f>IFERROR(__xludf.DUMMYFUNCTION("""COMPUTED_VALUE"""),"")</f>
        <v/>
      </c>
      <c r="R534" s="1" t="str">
        <f>IFERROR(__xludf.DUMMYFUNCTION("""COMPUTED_VALUE"""),"")</f>
        <v/>
      </c>
      <c r="S534" s="1" t="str">
        <f>IFERROR(__xludf.DUMMYFUNCTION("""COMPUTED_VALUE"""),"2")</f>
        <v>2</v>
      </c>
      <c r="T534" s="1" t="str">
        <f>IFERROR(__xludf.DUMMYFUNCTION("""COMPUTED_VALUE"""),"Water")</f>
        <v>Water</v>
      </c>
      <c r="U534" s="1" t="str">
        <f>IFERROR(__xludf.DUMMYFUNCTION("""COMPUTED_VALUE"""),"")</f>
        <v/>
      </c>
      <c r="V534" s="1" t="str">
        <f>IFERROR(__xludf.DUMMYFUNCTION("""COMPUTED_VALUE"""),"1,000,000")</f>
        <v>1,000,000</v>
      </c>
      <c r="W534" s="1" t="str">
        <f>IFERROR(__xludf.DUMMYFUNCTION("""COMPUTED_VALUE"""),"600")</f>
        <v>600</v>
      </c>
      <c r="X534" s="1" t="str">
        <f>IFERROR(__xludf.DUMMYFUNCTION("""COMPUTED_VALUE"""),"$1 billion")</f>
        <v>$1 billion</v>
      </c>
      <c r="Y534" s="1" t="str">
        <f>IFERROR(__xludf.DUMMYFUNCTION("""COMPUTED_VALUE"""),"2026")</f>
        <v>2026</v>
      </c>
      <c r="Z534" s="1" t="str">
        <f>IFERROR(__xludf.DUMMYFUNCTION("""COMPUTED_VALUE"""),"Yes")</f>
        <v>Yes</v>
      </c>
      <c r="AA534" s="1" t="str">
        <f>IFERROR(__xludf.DUMMYFUNCTION("""COMPUTED_VALUE"""),"")</f>
        <v/>
      </c>
      <c r="AB534" s="1" t="str">
        <f>IFERROR(__xludf.DUMMYFUNCTION("""COMPUTED_VALUE"""),"")</f>
        <v/>
      </c>
      <c r="AC534" s="1" t="str">
        <f>IFERROR(__xludf.DUMMYFUNCTION("""COMPUTED_VALUE"""),"")</f>
        <v/>
      </c>
      <c r="AD534" s="2" t="str">
        <f>IFERROR(__xludf.DUMMYFUNCTION("""COMPUTED_VALUE"""),"https://meic.org/")</f>
        <v>https://meic.org/</v>
      </c>
      <c r="AE534" s="1" t="str">
        <f>IFERROR(__xludf.DUMMYFUNCTION("""COMPUTED_VALUE"""),"")</f>
        <v/>
      </c>
      <c r="AF534" s="1" t="str">
        <f>IFERROR(__xludf.DUMMYFUNCTION("""COMPUTED_VALUE"""),"https://www.change.org/topic/mega-data-centers-en-us, https://www.change.org/p/stop-the-building-of-a-data-center-in-butte-montana")</f>
        <v>https://www.change.org/topic/mega-data-centers-en-us, https://www.change.org/p/stop-the-building-of-a-data-center-in-butte-montana</v>
      </c>
      <c r="AG534" s="1" t="str">
        <f>IFERROR(__xludf.DUMMYFUNCTION("""COMPUTED_VALUE"""),"Plan to use 30 million gallons of water a year from Silver Lake")</f>
        <v>Plan to use 30 million gallons of water a year from Silver Lake</v>
      </c>
      <c r="AH534" s="1" t="str">
        <f>IFERROR(__xludf.DUMMYFUNCTION("""COMPUTED_VALUE"""),"Media Monitoring")</f>
        <v>Media Monitoring</v>
      </c>
      <c r="AI534" s="2" t="str">
        <f>IFERROR(__xludf.DUMMYFUNCTION("""COMPUTED_VALUE"""),"https://nbcmontana.com/news/local/proposed-butte-data-center-stirs-debate")</f>
        <v>https://nbcmontana.com/news/local/proposed-butte-data-center-stirs-debate</v>
      </c>
      <c r="AJ534" s="2" t="str">
        <f>IFERROR(__xludf.DUMMYFUNCTION("""COMPUTED_VALUE"""),"https://www.datacenterdynamics.com/en/news/sabey-backs-out-of-proposal-to-build-data-center-in-butte-montana/")</f>
        <v>https://www.datacenterdynamics.com/en/news/sabey-backs-out-of-proposal-to-build-data-center-in-butte-montana/</v>
      </c>
      <c r="AK534" s="1" t="str">
        <f>IFERROR(__xludf.DUMMYFUNCTION("""COMPUTED_VALUE"""),"")</f>
        <v/>
      </c>
      <c r="AL534" s="1" t="str">
        <f>IFERROR(__xludf.DUMMYFUNCTION("""COMPUTED_VALUE"""),"")</f>
        <v/>
      </c>
      <c r="AM534" s="1" t="str">
        <f>IFERROR(__xludf.DUMMYFUNCTION("""COMPUTED_VALUE"""),"")</f>
        <v/>
      </c>
      <c r="AN534" s="1" t="str">
        <f>IFERROR(__xludf.DUMMYFUNCTION("""COMPUTED_VALUE"""),"")</f>
        <v/>
      </c>
      <c r="AO534" s="1" t="str">
        <f>IFERROR(__xludf.DUMMYFUNCTION("""COMPUTED_VALUE"""),"")</f>
        <v/>
      </c>
      <c r="AP534" s="1" t="str">
        <f>IFERROR(__xludf.DUMMYFUNCTION("""COMPUTED_VALUE"""),"")</f>
        <v/>
      </c>
      <c r="AQ534" s="1" t="str">
        <f>IFERROR(__xludf.DUMMYFUNCTION("""COMPUTED_VALUE"""),"12/09/2025")</f>
        <v>12/09/2025</v>
      </c>
      <c r="AR534" s="1" t="str">
        <f>IFERROR(__xludf.DUMMYFUNCTION("""COMPUTED_VALUE"""),"06/11/2026")</f>
        <v>06/11/2026</v>
      </c>
    </row>
    <row r="535">
      <c r="A535" s="1" t="str">
        <f>IFERROR(__xludf.DUMMYFUNCTION("""COMPUTED_VALUE"""),"TAC Data Centers: Project Cardinal")</f>
        <v>TAC Data Centers: Project Cardinal</v>
      </c>
      <c r="B535" s="1" t="str">
        <f>IFERROR(__xludf.DUMMYFUNCTION("""COMPUTED_VALUE"""),"North of Perimeter Rd")</f>
        <v>North of Perimeter Rd</v>
      </c>
      <c r="C535" s="1" t="str">
        <f>IFERROR(__xludf.DUMMYFUNCTION("""COMPUTED_VALUE"""),"Great Falls")</f>
        <v>Great Falls</v>
      </c>
      <c r="D535" s="1" t="str">
        <f>IFERROR(__xludf.DUMMYFUNCTION("""COMPUTED_VALUE"""),"MT")</f>
        <v>MT</v>
      </c>
      <c r="E535" s="1" t="str">
        <f>IFERROR(__xludf.DUMMYFUNCTION("""COMPUTED_VALUE"""),"59401")</f>
        <v>59401</v>
      </c>
      <c r="F535" s="1" t="str">
        <f>IFERROR(__xludf.DUMMYFUNCTION("""COMPUTED_VALUE"""),"Cascade")</f>
        <v>Cascade</v>
      </c>
      <c r="G535" s="1" t="str">
        <f>IFERROR(__xludf.DUMMYFUNCTION("""COMPUTED_VALUE"""),"47.52962")</f>
        <v>47.52962</v>
      </c>
      <c r="H535" s="1" t="str">
        <f>IFERROR(__xludf.DUMMYFUNCTION("""COMPUTED_VALUE"""),"-111.179")</f>
        <v>-111.179</v>
      </c>
      <c r="I535" s="1" t="str">
        <f>IFERROR(__xludf.DUMMYFUNCTION("""COMPUTED_VALUE"""),"Proposed")</f>
        <v>Proposed</v>
      </c>
      <c r="J535" s="1" t="str">
        <f>IFERROR(__xludf.DUMMYFUNCTION("""COMPUTED_VALUE"""),"High")</f>
        <v>High</v>
      </c>
      <c r="K535" s="1" t="str">
        <f>IFERROR(__xludf.DUMMYFUNCTION("""COMPUTED_VALUE"""),"")</f>
        <v/>
      </c>
      <c r="L535" s="1" t="str">
        <f>IFERROR(__xludf.DUMMYFUNCTION("""COMPUTED_VALUE"""),"")</f>
        <v/>
      </c>
      <c r="M535" s="1" t="str">
        <f>IFERROR(__xludf.DUMMYFUNCTION("""COMPUTED_VALUE"""),"")</f>
        <v/>
      </c>
      <c r="N535" s="1" t="str">
        <f>IFERROR(__xludf.DUMMYFUNCTION("""COMPUTED_VALUE"""),"500-600")</f>
        <v>500-600</v>
      </c>
      <c r="O535" s="1" t="str">
        <f>IFERROR(__xludf.DUMMYFUNCTION("""COMPUTED_VALUE"""),"Hyperscale (100-999 MW)")</f>
        <v>Hyperscale (100-999 MW)</v>
      </c>
      <c r="P535" s="1" t="str">
        <f>IFERROR(__xludf.DUMMYFUNCTION("""COMPUTED_VALUE"""),"")</f>
        <v/>
      </c>
      <c r="Q535" s="1" t="str">
        <f>IFERROR(__xludf.DUMMYFUNCTION("""COMPUTED_VALUE"""),"")</f>
        <v/>
      </c>
      <c r="R535" s="1" t="str">
        <f>IFERROR(__xludf.DUMMYFUNCTION("""COMPUTED_VALUE"""),"")</f>
        <v/>
      </c>
      <c r="S535" s="1" t="str">
        <f>IFERROR(__xludf.DUMMYFUNCTION("""COMPUTED_VALUE"""),"20")</f>
        <v>20</v>
      </c>
      <c r="T535" s="1" t="str">
        <f>IFERROR(__xludf.DUMMYFUNCTION("""COMPUTED_VALUE"""),"")</f>
        <v/>
      </c>
      <c r="U535" s="1" t="str">
        <f>IFERROR(__xludf.DUMMYFUNCTION("""COMPUTED_VALUE"""),"")</f>
        <v/>
      </c>
      <c r="V535" s="1" t="str">
        <f>IFERROR(__xludf.DUMMYFUNCTION("""COMPUTED_VALUE"""),"2,000,000")</f>
        <v>2,000,000</v>
      </c>
      <c r="W535" s="1" t="str">
        <f>IFERROR(__xludf.DUMMYFUNCTION("""COMPUTED_VALUE"""),"569")</f>
        <v>569</v>
      </c>
      <c r="X535" s="1" t="str">
        <f>IFERROR(__xludf.DUMMYFUNCTION("""COMPUTED_VALUE"""),"$1-1.5 billion")</f>
        <v>$1-1.5 billion</v>
      </c>
      <c r="Y535" s="1" t="str">
        <f>IFERROR(__xludf.DUMMYFUNCTION("""COMPUTED_VALUE"""),"")</f>
        <v/>
      </c>
      <c r="Z535" s="1" t="str">
        <f>IFERROR(__xludf.DUMMYFUNCTION("""COMPUTED_VALUE"""),"Unknown")</f>
        <v>Unknown</v>
      </c>
      <c r="AA535" s="1" t="str">
        <f>IFERROR(__xludf.DUMMYFUNCTION("""COMPUTED_VALUE"""),"")</f>
        <v/>
      </c>
      <c r="AB535" s="1" t="str">
        <f>IFERROR(__xludf.DUMMYFUNCTION("""COMPUTED_VALUE"""),"")</f>
        <v/>
      </c>
      <c r="AC535" s="1" t="str">
        <f>IFERROR(__xludf.DUMMYFUNCTION("""COMPUTED_VALUE"""),"")</f>
        <v/>
      </c>
      <c r="AD535" s="1" t="str">
        <f>IFERROR(__xludf.DUMMYFUNCTION("""COMPUTED_VALUE"""),"")</f>
        <v/>
      </c>
      <c r="AE535" s="1" t="str">
        <f>IFERROR(__xludf.DUMMYFUNCTION("""COMPUTED_VALUE"""),"")</f>
        <v/>
      </c>
      <c r="AF535" s="1" t="str">
        <f>IFERROR(__xludf.DUMMYFUNCTION("""COMPUTED_VALUE"""),"")</f>
        <v/>
      </c>
      <c r="AG535" s="1" t="str">
        <f>IFERROR(__xludf.DUMMYFUNCTION("""COMPUTED_VALUE"""),"")</f>
        <v/>
      </c>
      <c r="AH535" s="1" t="str">
        <f>IFERROR(__xludf.DUMMYFUNCTION("""COMPUTED_VALUE"""),"Media Monitoring")</f>
        <v>Media Monitoring</v>
      </c>
      <c r="AI535" s="2" t="str">
        <f>IFERROR(__xludf.DUMMYFUNCTION("""COMPUTED_VALUE"""),"https://www.datacenterdynamics.com/en/news/600mw-data-center-campus-proposed-in-montana/")</f>
        <v>https://www.datacenterdynamics.com/en/news/600mw-data-center-campus-proposed-in-montana/</v>
      </c>
      <c r="AJ535" s="1" t="str">
        <f>IFERROR(__xludf.DUMMYFUNCTION("""COMPUTED_VALUE"""),"")</f>
        <v/>
      </c>
      <c r="AK535" s="1" t="str">
        <f>IFERROR(__xludf.DUMMYFUNCTION("""COMPUTED_VALUE"""),"")</f>
        <v/>
      </c>
      <c r="AL535" s="1" t="str">
        <f>IFERROR(__xludf.DUMMYFUNCTION("""COMPUTED_VALUE"""),"")</f>
        <v/>
      </c>
      <c r="AM535" s="1" t="str">
        <f>IFERROR(__xludf.DUMMYFUNCTION("""COMPUTED_VALUE"""),"")</f>
        <v/>
      </c>
      <c r="AN535" s="1" t="str">
        <f>IFERROR(__xludf.DUMMYFUNCTION("""COMPUTED_VALUE"""),"")</f>
        <v/>
      </c>
      <c r="AO535" s="1" t="str">
        <f>IFERROR(__xludf.DUMMYFUNCTION("""COMPUTED_VALUE"""),"")</f>
        <v/>
      </c>
      <c r="AP535" s="1" t="str">
        <f>IFERROR(__xludf.DUMMYFUNCTION("""COMPUTED_VALUE"""),"")</f>
        <v/>
      </c>
      <c r="AQ535" s="1" t="str">
        <f>IFERROR(__xludf.DUMMYFUNCTION("""COMPUTED_VALUE"""),"06/19/2025")</f>
        <v>06/19/2025</v>
      </c>
      <c r="AR535" s="1" t="str">
        <f>IFERROR(__xludf.DUMMYFUNCTION("""COMPUTED_VALUE"""),"06/19/2025")</f>
        <v>06/19/2025</v>
      </c>
    </row>
    <row r="536">
      <c r="A536" s="1" t="str">
        <f>IFERROR(__xludf.DUMMYFUNCTION("""COMPUTED_VALUE"""),"Krambu ")</f>
        <v>Krambu </v>
      </c>
      <c r="B536" s="1" t="str">
        <f>IFERROR(__xludf.DUMMYFUNCTION("""COMPUTED_VALUE"""),"9314 Bonner Mill Rd")</f>
        <v>9314 Bonner Mill Rd</v>
      </c>
      <c r="C536" s="1" t="str">
        <f>IFERROR(__xludf.DUMMYFUNCTION("""COMPUTED_VALUE"""),"Missoula")</f>
        <v>Missoula</v>
      </c>
      <c r="D536" s="1" t="str">
        <f>IFERROR(__xludf.DUMMYFUNCTION("""COMPUTED_VALUE"""),"MT")</f>
        <v>MT</v>
      </c>
      <c r="E536" s="1" t="str">
        <f>IFERROR(__xludf.DUMMYFUNCTION("""COMPUTED_VALUE"""),"59808")</f>
        <v>59808</v>
      </c>
      <c r="F536" s="1" t="str">
        <f>IFERROR(__xludf.DUMMYFUNCTION("""COMPUTED_VALUE"""),"Missoula")</f>
        <v>Missoula</v>
      </c>
      <c r="G536" s="1" t="str">
        <f>IFERROR(__xludf.DUMMYFUNCTION("""COMPUTED_VALUE"""),"46.872646")</f>
        <v>46.872646</v>
      </c>
      <c r="H536" s="1" t="str">
        <f>IFERROR(__xludf.DUMMYFUNCTION("""COMPUTED_VALUE"""),"-113.86772")</f>
        <v>-113.86772</v>
      </c>
      <c r="I536" s="1" t="str">
        <f>IFERROR(__xludf.DUMMYFUNCTION("""COMPUTED_VALUE"""),"Proposed")</f>
        <v>Proposed</v>
      </c>
      <c r="J536" s="1" t="str">
        <f>IFERROR(__xludf.DUMMYFUNCTION("""COMPUTED_VALUE"""),"High")</f>
        <v>High</v>
      </c>
      <c r="K536" s="1" t="str">
        <f>IFERROR(__xludf.DUMMYFUNCTION("""COMPUTED_VALUE"""),"")</f>
        <v/>
      </c>
      <c r="L536" s="1" t="str">
        <f>IFERROR(__xludf.DUMMYFUNCTION("""COMPUTED_VALUE"""),"")</f>
        <v/>
      </c>
      <c r="M536" s="1" t="str">
        <f>IFERROR(__xludf.DUMMYFUNCTION("""COMPUTED_VALUE"""),"")</f>
        <v/>
      </c>
      <c r="N536" s="1" t="str">
        <f>IFERROR(__xludf.DUMMYFUNCTION("""COMPUTED_VALUE"""),"10")</f>
        <v>10</v>
      </c>
      <c r="O536" s="1" t="str">
        <f>IFERROR(__xludf.DUMMYFUNCTION("""COMPUTED_VALUE"""),"Small (0-10 MW)")</f>
        <v>Small (0-10 MW)</v>
      </c>
      <c r="P536" s="1" t="str">
        <f>IFERROR(__xludf.DUMMYFUNCTION("""COMPUTED_VALUE"""),"")</f>
        <v/>
      </c>
      <c r="Q536" s="1" t="str">
        <f>IFERROR(__xludf.DUMMYFUNCTION("""COMPUTED_VALUE"""),"")</f>
        <v/>
      </c>
      <c r="R536" s="1" t="str">
        <f>IFERROR(__xludf.DUMMYFUNCTION("""COMPUTED_VALUE"""),"")</f>
        <v/>
      </c>
      <c r="S536" s="1" t="str">
        <f>IFERROR(__xludf.DUMMYFUNCTION("""COMPUTED_VALUE"""),"")</f>
        <v/>
      </c>
      <c r="T536" s="1" t="str">
        <f>IFERROR(__xludf.DUMMYFUNCTION("""COMPUTED_VALUE"""),"")</f>
        <v/>
      </c>
      <c r="U536" s="1" t="str">
        <f>IFERROR(__xludf.DUMMYFUNCTION("""COMPUTED_VALUE"""),"Closed loop")</f>
        <v>Closed loop</v>
      </c>
      <c r="V536" s="1" t="str">
        <f>IFERROR(__xludf.DUMMYFUNCTION("""COMPUTED_VALUE"""),"")</f>
        <v/>
      </c>
      <c r="W536" s="1" t="str">
        <f>IFERROR(__xludf.DUMMYFUNCTION("""COMPUTED_VALUE"""),"")</f>
        <v/>
      </c>
      <c r="X536" s="1" t="str">
        <f>IFERROR(__xludf.DUMMYFUNCTION("""COMPUTED_VALUE"""),"")</f>
        <v/>
      </c>
      <c r="Y536" s="1" t="str">
        <f>IFERROR(__xludf.DUMMYFUNCTION("""COMPUTED_VALUE"""),"")</f>
        <v/>
      </c>
      <c r="Z536" s="1" t="str">
        <f>IFERROR(__xludf.DUMMYFUNCTION("""COMPUTED_VALUE"""),"Unknown")</f>
        <v>Unknown</v>
      </c>
      <c r="AA536" s="1" t="str">
        <f>IFERROR(__xludf.DUMMYFUNCTION("""COMPUTED_VALUE"""),"")</f>
        <v/>
      </c>
      <c r="AB536" s="1" t="str">
        <f>IFERROR(__xludf.DUMMYFUNCTION("""COMPUTED_VALUE"""),"")</f>
        <v/>
      </c>
      <c r="AC536" s="1" t="str">
        <f>IFERROR(__xludf.DUMMYFUNCTION("""COMPUTED_VALUE"""),"")</f>
        <v/>
      </c>
      <c r="AD536" s="1" t="str">
        <f>IFERROR(__xludf.DUMMYFUNCTION("""COMPUTED_VALUE"""),"")</f>
        <v/>
      </c>
      <c r="AE536" s="1" t="str">
        <f>IFERROR(__xludf.DUMMYFUNCTION("""COMPUTED_VALUE"""),"")</f>
        <v/>
      </c>
      <c r="AF536" s="1" t="str">
        <f>IFERROR(__xludf.DUMMYFUNCTION("""COMPUTED_VALUE"""),"")</f>
        <v/>
      </c>
      <c r="AG536" s="1" t="str">
        <f>IFERROR(__xludf.DUMMYFUNCTION("""COMPUTED_VALUE"""),"")</f>
        <v/>
      </c>
      <c r="AH536" s="1" t="str">
        <f>IFERROR(__xludf.DUMMYFUNCTION("""COMPUTED_VALUE"""),"Media Monitoring")</f>
        <v>Media Monitoring</v>
      </c>
      <c r="AI536" s="2" t="str">
        <f>IFERROR(__xludf.DUMMYFUNCTION("""COMPUTED_VALUE"""),"https://www.datacenterdynamics.com/en/news/developer-krambu-looks-to-build-ai-data-center-in-missoula-county-montana/")</f>
        <v>https://www.datacenterdynamics.com/en/news/developer-krambu-looks-to-build-ai-data-center-in-missoula-county-montana/</v>
      </c>
      <c r="AJ536" s="2" t="str">
        <f>IFERROR(__xludf.DUMMYFUNCTION("""COMPUTED_VALUE"""),"https://missoulacountyvoice.com/bonner-data-center")</f>
        <v>https://missoulacountyvoice.com/bonner-data-center</v>
      </c>
      <c r="AK536" s="2" t="str">
        <f>IFERROR(__xludf.DUMMYFUNCTION("""COMPUTED_VALUE"""),"https://www.kpax.com/news/missoula-county/small-ai-data-center-proposed-for-bonner-mill-industrial-park")</f>
        <v>https://www.kpax.com/news/missoula-county/small-ai-data-center-proposed-for-bonner-mill-industrial-park</v>
      </c>
      <c r="AL536" s="1" t="str">
        <f>IFERROR(__xludf.DUMMYFUNCTION("""COMPUTED_VALUE"""),"")</f>
        <v/>
      </c>
      <c r="AM536" s="1" t="str">
        <f>IFERROR(__xludf.DUMMYFUNCTION("""COMPUTED_VALUE"""),"")</f>
        <v/>
      </c>
      <c r="AN536" s="1" t="str">
        <f>IFERROR(__xludf.DUMMYFUNCTION("""COMPUTED_VALUE"""),"")</f>
        <v/>
      </c>
      <c r="AO536" s="1" t="str">
        <f>IFERROR(__xludf.DUMMYFUNCTION("""COMPUTED_VALUE"""),"")</f>
        <v/>
      </c>
      <c r="AP536" s="1" t="str">
        <f>IFERROR(__xludf.DUMMYFUNCTION("""COMPUTED_VALUE"""),"")</f>
        <v/>
      </c>
      <c r="AQ536" s="1" t="str">
        <f>IFERROR(__xludf.DUMMYFUNCTION("""COMPUTED_VALUE"""),"04/02/2026")</f>
        <v>04/02/2026</v>
      </c>
      <c r="AR536" s="1" t="str">
        <f>IFERROR(__xludf.DUMMYFUNCTION("""COMPUTED_VALUE"""),"04/02/2026")</f>
        <v>04/02/2026</v>
      </c>
    </row>
    <row r="537">
      <c r="A537" s="1" t="str">
        <f>IFERROR(__xludf.DUMMYFUNCTION("""COMPUTED_VALUE"""),"Quantica Data Center")</f>
        <v>Quantica Data Center</v>
      </c>
      <c r="B537" s="1" t="str">
        <f>IFERROR(__xludf.DUMMYFUNCTION("""COMPUTED_VALUE"""),"Buffalo Trail Road and Hwy 3")</f>
        <v>Buffalo Trail Road and Hwy 3</v>
      </c>
      <c r="C537" s="1" t="str">
        <f>IFERROR(__xludf.DUMMYFUNCTION("""COMPUTED_VALUE"""),"Yellowstone County")</f>
        <v>Yellowstone County</v>
      </c>
      <c r="D537" s="1" t="str">
        <f>IFERROR(__xludf.DUMMYFUNCTION("""COMPUTED_VALUE"""),"MT")</f>
        <v>MT</v>
      </c>
      <c r="E537" s="1" t="str">
        <f>IFERROR(__xludf.DUMMYFUNCTION("""COMPUTED_VALUE"""),"59015")</f>
        <v>59015</v>
      </c>
      <c r="F537" s="1" t="str">
        <f>IFERROR(__xludf.DUMMYFUNCTION("""COMPUTED_VALUE"""),"Yellowstone")</f>
        <v>Yellowstone</v>
      </c>
      <c r="G537" s="1" t="str">
        <f>IFERROR(__xludf.DUMMYFUNCTION("""COMPUTED_VALUE"""),"46.04485")</f>
        <v>46.04485</v>
      </c>
      <c r="H537" s="1" t="str">
        <f>IFERROR(__xludf.DUMMYFUNCTION("""COMPUTED_VALUE"""),"-108.273")</f>
        <v>-108.273</v>
      </c>
      <c r="I537" s="1" t="str">
        <f>IFERROR(__xludf.DUMMYFUNCTION("""COMPUTED_VALUE"""),"Proposed")</f>
        <v>Proposed</v>
      </c>
      <c r="J537" s="1" t="str">
        <f>IFERROR(__xludf.DUMMYFUNCTION("""COMPUTED_VALUE"""),"Low")</f>
        <v>Low</v>
      </c>
      <c r="K537" s="1" t="str">
        <f>IFERROR(__xludf.DUMMYFUNCTION("""COMPUTED_VALUE"""),"")</f>
        <v/>
      </c>
      <c r="L537" s="1" t="str">
        <f>IFERROR(__xludf.DUMMYFUNCTION("""COMPUTED_VALUE"""),"")</f>
        <v/>
      </c>
      <c r="M537" s="1" t="str">
        <f>IFERROR(__xludf.DUMMYFUNCTION("""COMPUTED_VALUE"""),"")</f>
        <v/>
      </c>
      <c r="N537" s="1" t="str">
        <f>IFERROR(__xludf.DUMMYFUNCTION("""COMPUTED_VALUE"""),"500-1,000")</f>
        <v>500-1,000</v>
      </c>
      <c r="O537" s="1" t="str">
        <f>IFERROR(__xludf.DUMMYFUNCTION("""COMPUTED_VALUE"""),"Mega campus (&gt;1,000 MW)")</f>
        <v>Mega campus (&gt;1,000 MW)</v>
      </c>
      <c r="P537" s="1" t="str">
        <f>IFERROR(__xludf.DUMMYFUNCTION("""COMPUTED_VALUE"""),"")</f>
        <v/>
      </c>
      <c r="Q537" s="1" t="str">
        <f>IFERROR(__xludf.DUMMYFUNCTION("""COMPUTED_VALUE"""),"")</f>
        <v/>
      </c>
      <c r="R537" s="1" t="str">
        <f>IFERROR(__xludf.DUMMYFUNCTION("""COMPUTED_VALUE"""),"")</f>
        <v/>
      </c>
      <c r="S537" s="1" t="str">
        <f>IFERROR(__xludf.DUMMYFUNCTION("""COMPUTED_VALUE"""),"")</f>
        <v/>
      </c>
      <c r="T537" s="1" t="str">
        <f>IFERROR(__xludf.DUMMYFUNCTION("""COMPUTED_VALUE"""),"")</f>
        <v/>
      </c>
      <c r="U537" s="1" t="str">
        <f>IFERROR(__xludf.DUMMYFUNCTION("""COMPUTED_VALUE"""),"")</f>
        <v/>
      </c>
      <c r="V537" s="1" t="str">
        <f>IFERROR(__xludf.DUMMYFUNCTION("""COMPUTED_VALUE"""),"")</f>
        <v/>
      </c>
      <c r="W537" s="1" t="str">
        <f>IFERROR(__xludf.DUMMYFUNCTION("""COMPUTED_VALUE"""),"")</f>
        <v/>
      </c>
      <c r="X537" s="1" t="str">
        <f>IFERROR(__xludf.DUMMYFUNCTION("""COMPUTED_VALUE"""),"")</f>
        <v/>
      </c>
      <c r="Y537" s="1" t="str">
        <f>IFERROR(__xludf.DUMMYFUNCTION("""COMPUTED_VALUE"""),"")</f>
        <v/>
      </c>
      <c r="Z537" s="1" t="str">
        <f>IFERROR(__xludf.DUMMYFUNCTION("""COMPUTED_VALUE"""),"Unknown")</f>
        <v>Unknown</v>
      </c>
      <c r="AA537" s="1" t="str">
        <f>IFERROR(__xludf.DUMMYFUNCTION("""COMPUTED_VALUE"""),"")</f>
        <v/>
      </c>
      <c r="AB537" s="1" t="str">
        <f>IFERROR(__xludf.DUMMYFUNCTION("""COMPUTED_VALUE"""),"")</f>
        <v/>
      </c>
      <c r="AC537" s="1" t="str">
        <f>IFERROR(__xludf.DUMMYFUNCTION("""COMPUTED_VALUE"""),"")</f>
        <v/>
      </c>
      <c r="AD537" s="1" t="str">
        <f>IFERROR(__xludf.DUMMYFUNCTION("""COMPUTED_VALUE"""),"")</f>
        <v/>
      </c>
      <c r="AE537" s="1" t="str">
        <f>IFERROR(__xludf.DUMMYFUNCTION("""COMPUTED_VALUE"""),"")</f>
        <v/>
      </c>
      <c r="AF537" s="1" t="str">
        <f>IFERROR(__xludf.DUMMYFUNCTION("""COMPUTED_VALUE"""),"")</f>
        <v/>
      </c>
      <c r="AG537" s="1" t="str">
        <f>IFERROR(__xludf.DUMMYFUNCTION("""COMPUTED_VALUE"""),"")</f>
        <v/>
      </c>
      <c r="AH537" s="1" t="str">
        <f>IFERROR(__xludf.DUMMYFUNCTION("""COMPUTED_VALUE"""),"Media Monitoring")</f>
        <v>Media Monitoring</v>
      </c>
      <c r="AI537" s="2" t="str">
        <f>IFERROR(__xludf.DUMMYFUNCTION("""COMPUTED_VALUE"""),"https://finance.yahoo.com/news/northwestern-energy-signs-letter-intent-230000474.html")</f>
        <v>https://finance.yahoo.com/news/northwestern-energy-signs-letter-intent-230000474.html</v>
      </c>
      <c r="AJ537" s="2" t="str">
        <f>IFERROR(__xludf.DUMMYFUNCTION("""COMPUTED_VALUE"""),"https://montanafreepress.org/2025/07/31/northwestern-energy-inks-power-agreement-with-an-ai-data-center-planned-for-yellowstone-county/")</f>
        <v>https://montanafreepress.org/2025/07/31/northwestern-energy-inks-power-agreement-with-an-ai-data-center-planned-for-yellowstone-county/</v>
      </c>
      <c r="AK537" s="2" t="str">
        <f>IFERROR(__xludf.DUMMYFUNCTION("""COMPUTED_VALUE"""),"https://www.datacenterdynamics.com/en/news/encap-backed-quantica-launches-to-offer-powered-land-to-data-centers-in-the-us/")</f>
        <v>https://www.datacenterdynamics.com/en/news/encap-backed-quantica-launches-to-offer-powered-land-to-data-centers-in-the-us/</v>
      </c>
      <c r="AL537" s="1" t="str">
        <f>IFERROR(__xludf.DUMMYFUNCTION("""COMPUTED_VALUE"""),"")</f>
        <v/>
      </c>
      <c r="AM537" s="1" t="str">
        <f>IFERROR(__xludf.DUMMYFUNCTION("""COMPUTED_VALUE"""),"")</f>
        <v/>
      </c>
      <c r="AN537" s="1" t="str">
        <f>IFERROR(__xludf.DUMMYFUNCTION("""COMPUTED_VALUE"""),"")</f>
        <v/>
      </c>
      <c r="AO537" s="1" t="str">
        <f>IFERROR(__xludf.DUMMYFUNCTION("""COMPUTED_VALUE"""),"")</f>
        <v/>
      </c>
      <c r="AP537" s="1" t="str">
        <f>IFERROR(__xludf.DUMMYFUNCTION("""COMPUTED_VALUE"""),"")</f>
        <v/>
      </c>
      <c r="AQ537" s="1" t="str">
        <f>IFERROR(__xludf.DUMMYFUNCTION("""COMPUTED_VALUE"""),"08/03/2025")</f>
        <v>08/03/2025</v>
      </c>
      <c r="AR537" s="1" t="str">
        <f>IFERROR(__xludf.DUMMYFUNCTION("""COMPUTED_VALUE"""),"08/03/2025")</f>
        <v>08/03/2025</v>
      </c>
    </row>
    <row r="538">
      <c r="A538" s="1" t="str">
        <f>IFERROR(__xludf.DUMMYFUNCTION("""COMPUTED_VALUE"""),"DartPoints Data Center")</f>
        <v>DartPoints Data Center</v>
      </c>
      <c r="B538" s="1" t="str">
        <f>IFERROR(__xludf.DUMMYFUNCTION("""COMPUTED_VALUE"""),"100 Technology Dr, STE C")</f>
        <v>100 Technology Dr, STE C</v>
      </c>
      <c r="C538" s="1" t="str">
        <f>IFERROR(__xludf.DUMMYFUNCTION("""COMPUTED_VALUE"""),"Asheville")</f>
        <v>Asheville</v>
      </c>
      <c r="D538" s="1" t="str">
        <f>IFERROR(__xludf.DUMMYFUNCTION("""COMPUTED_VALUE"""),"NC")</f>
        <v>NC</v>
      </c>
      <c r="E538" s="1" t="str">
        <f>IFERROR(__xludf.DUMMYFUNCTION("""COMPUTED_VALUE"""),"28803")</f>
        <v>28803</v>
      </c>
      <c r="F538" s="1" t="str">
        <f>IFERROR(__xludf.DUMMYFUNCTION("""COMPUTED_VALUE"""),"Buncombe")</f>
        <v>Buncombe</v>
      </c>
      <c r="G538" s="1" t="str">
        <f>IFERROR(__xludf.DUMMYFUNCTION("""COMPUTED_VALUE"""),"35.48821")</f>
        <v>35.48821</v>
      </c>
      <c r="H538" s="1" t="str">
        <f>IFERROR(__xludf.DUMMYFUNCTION("""COMPUTED_VALUE"""),"-82.5582")</f>
        <v>-82.5582</v>
      </c>
      <c r="I538" s="1" t="str">
        <f>IFERROR(__xludf.DUMMYFUNCTION("""COMPUTED_VALUE"""),"Operating")</f>
        <v>Operating</v>
      </c>
      <c r="J538" s="1" t="str">
        <f>IFERROR(__xludf.DUMMYFUNCTION("""COMPUTED_VALUE"""),"High")</f>
        <v>High</v>
      </c>
      <c r="K538" s="1" t="str">
        <f>IFERROR(__xludf.DUMMYFUNCTION("""COMPUTED_VALUE"""),"")</f>
        <v/>
      </c>
      <c r="L538" s="1" t="str">
        <f>IFERROR(__xludf.DUMMYFUNCTION("""COMPUTED_VALUE"""),"")</f>
        <v/>
      </c>
      <c r="M538" s="1" t="str">
        <f>IFERROR(__xludf.DUMMYFUNCTION("""COMPUTED_VALUE"""),"")</f>
        <v/>
      </c>
      <c r="N538" s="1" t="str">
        <f>IFERROR(__xludf.DUMMYFUNCTION("""COMPUTED_VALUE"""),"")</f>
        <v/>
      </c>
      <c r="O538" s="1" t="str">
        <f>IFERROR(__xludf.DUMMYFUNCTION("""COMPUTED_VALUE"""),"Unknown")</f>
        <v>Unknown</v>
      </c>
      <c r="P538" s="1" t="str">
        <f>IFERROR(__xludf.DUMMYFUNCTION("""COMPUTED_VALUE"""),"")</f>
        <v/>
      </c>
      <c r="Q538" s="1" t="str">
        <f>IFERROR(__xludf.DUMMYFUNCTION("""COMPUTED_VALUE"""),"")</f>
        <v/>
      </c>
      <c r="R538" s="1" t="str">
        <f>IFERROR(__xludf.DUMMYFUNCTION("""COMPUTED_VALUE"""),"")</f>
        <v/>
      </c>
      <c r="S538" s="1" t="str">
        <f>IFERROR(__xludf.DUMMYFUNCTION("""COMPUTED_VALUE"""),"")</f>
        <v/>
      </c>
      <c r="T538" s="1" t="str">
        <f>IFERROR(__xludf.DUMMYFUNCTION("""COMPUTED_VALUE"""),"")</f>
        <v/>
      </c>
      <c r="U538" s="1" t="str">
        <f>IFERROR(__xludf.DUMMYFUNCTION("""COMPUTED_VALUE"""),"")</f>
        <v/>
      </c>
      <c r="V538" s="1" t="str">
        <f>IFERROR(__xludf.DUMMYFUNCTION("""COMPUTED_VALUE"""),"23,000")</f>
        <v>23,000</v>
      </c>
      <c r="W538" s="1" t="str">
        <f>IFERROR(__xludf.DUMMYFUNCTION("""COMPUTED_VALUE"""),"")</f>
        <v/>
      </c>
      <c r="X538" s="1" t="str">
        <f>IFERROR(__xludf.DUMMYFUNCTION("""COMPUTED_VALUE"""),"")</f>
        <v/>
      </c>
      <c r="Y538" s="1" t="str">
        <f>IFERROR(__xludf.DUMMYFUNCTION("""COMPUTED_VALUE"""),"")</f>
        <v/>
      </c>
      <c r="Z538" s="1" t="str">
        <f>IFERROR(__xludf.DUMMYFUNCTION("""COMPUTED_VALUE"""),"Unknown")</f>
        <v>Unknown</v>
      </c>
      <c r="AA538" s="1" t="str">
        <f>IFERROR(__xludf.DUMMYFUNCTION("""COMPUTED_VALUE"""),"")</f>
        <v/>
      </c>
      <c r="AB538" s="1" t="str">
        <f>IFERROR(__xludf.DUMMYFUNCTION("""COMPUTED_VALUE"""),"")</f>
        <v/>
      </c>
      <c r="AC538" s="1" t="str">
        <f>IFERROR(__xludf.DUMMYFUNCTION("""COMPUTED_VALUE"""),"")</f>
        <v/>
      </c>
      <c r="AD538" s="1" t="str">
        <f>IFERROR(__xludf.DUMMYFUNCTION("""COMPUTED_VALUE"""),"")</f>
        <v/>
      </c>
      <c r="AE538" s="1" t="str">
        <f>IFERROR(__xludf.DUMMYFUNCTION("""COMPUTED_VALUE"""),"")</f>
        <v/>
      </c>
      <c r="AF538" s="1" t="str">
        <f>IFERROR(__xludf.DUMMYFUNCTION("""COMPUTED_VALUE"""),"")</f>
        <v/>
      </c>
      <c r="AG538" s="1" t="str">
        <f>IFERROR(__xludf.DUMMYFUNCTION("""COMPUTED_VALUE"""),"")</f>
        <v/>
      </c>
      <c r="AH538" s="1" t="str">
        <f>IFERROR(__xludf.DUMMYFUNCTION("""COMPUTED_VALUE"""),"Media Monitoring")</f>
        <v>Media Monitoring</v>
      </c>
      <c r="AI538" s="2" t="str">
        <f>IFERROR(__xludf.DUMMYFUNCTION("""COMPUTED_VALUE"""),"https://dartpoints.com/locations/north-carolina/")</f>
        <v>https://dartpoints.com/locations/north-carolina/</v>
      </c>
      <c r="AJ538" s="1" t="str">
        <f>IFERROR(__xludf.DUMMYFUNCTION("""COMPUTED_VALUE"""),"")</f>
        <v/>
      </c>
      <c r="AK538" s="1" t="str">
        <f>IFERROR(__xludf.DUMMYFUNCTION("""COMPUTED_VALUE"""),"")</f>
        <v/>
      </c>
      <c r="AL538" s="1" t="str">
        <f>IFERROR(__xludf.DUMMYFUNCTION("""COMPUTED_VALUE"""),"")</f>
        <v/>
      </c>
      <c r="AM538" s="1" t="str">
        <f>IFERROR(__xludf.DUMMYFUNCTION("""COMPUTED_VALUE"""),"")</f>
        <v/>
      </c>
      <c r="AN538" s="1" t="str">
        <f>IFERROR(__xludf.DUMMYFUNCTION("""COMPUTED_VALUE"""),"")</f>
        <v/>
      </c>
      <c r="AO538" s="1" t="str">
        <f>IFERROR(__xludf.DUMMYFUNCTION("""COMPUTED_VALUE"""),"")</f>
        <v/>
      </c>
      <c r="AP538" s="1" t="str">
        <f>IFERROR(__xludf.DUMMYFUNCTION("""COMPUTED_VALUE"""),"")</f>
        <v/>
      </c>
      <c r="AQ538" s="1" t="str">
        <f>IFERROR(__xludf.DUMMYFUNCTION("""COMPUTED_VALUE"""),"09/18/2025")</f>
        <v>09/18/2025</v>
      </c>
      <c r="AR538" s="1" t="str">
        <f>IFERROR(__xludf.DUMMYFUNCTION("""COMPUTED_VALUE"""),"09/18/2025")</f>
        <v>09/18/2025</v>
      </c>
    </row>
    <row r="539">
      <c r="A539" s="1" t="str">
        <f>IFERROR(__xludf.DUMMYFUNCTION("""COMPUTED_VALUE"""),"CLT10 Data Center")</f>
        <v>CLT10 Data Center</v>
      </c>
      <c r="B539" s="1" t="str">
        <f>IFERROR(__xludf.DUMMYFUNCTION("""COMPUTED_VALUE"""),"113 N Myers St")</f>
        <v>113 N Myers St</v>
      </c>
      <c r="C539" s="1" t="str">
        <f>IFERROR(__xludf.DUMMYFUNCTION("""COMPUTED_VALUE"""),"Charlotte")</f>
        <v>Charlotte</v>
      </c>
      <c r="D539" s="1" t="str">
        <f>IFERROR(__xludf.DUMMYFUNCTION("""COMPUTED_VALUE"""),"NC")</f>
        <v>NC</v>
      </c>
      <c r="E539" s="1" t="str">
        <f>IFERROR(__xludf.DUMMYFUNCTION("""COMPUTED_VALUE"""),"28202")</f>
        <v>28202</v>
      </c>
      <c r="F539" s="1" t="str">
        <f>IFERROR(__xludf.DUMMYFUNCTION("""COMPUTED_VALUE"""),"Mecklenburg")</f>
        <v>Mecklenburg</v>
      </c>
      <c r="G539" s="1" t="str">
        <f>IFERROR(__xludf.DUMMYFUNCTION("""COMPUTED_VALUE"""),"35.2219")</f>
        <v>35.2219</v>
      </c>
      <c r="H539" s="1" t="str">
        <f>IFERROR(__xludf.DUMMYFUNCTION("""COMPUTED_VALUE"""),"-80.8356")</f>
        <v>-80.8356</v>
      </c>
      <c r="I539" s="1" t="str">
        <f>IFERROR(__xludf.DUMMYFUNCTION("""COMPUTED_VALUE"""),"Operating")</f>
        <v>Operating</v>
      </c>
      <c r="J539" s="1" t="str">
        <f>IFERROR(__xludf.DUMMYFUNCTION("""COMPUTED_VALUE"""),"High")</f>
        <v>High</v>
      </c>
      <c r="K539" s="1" t="str">
        <f>IFERROR(__xludf.DUMMYFUNCTION("""COMPUTED_VALUE"""),"")</f>
        <v/>
      </c>
      <c r="L539" s="1" t="str">
        <f>IFERROR(__xludf.DUMMYFUNCTION("""COMPUTED_VALUE"""),"")</f>
        <v/>
      </c>
      <c r="M539" s="1" t="str">
        <f>IFERROR(__xludf.DUMMYFUNCTION("""COMPUTED_VALUE"""),"")</f>
        <v/>
      </c>
      <c r="N539" s="1" t="str">
        <f>IFERROR(__xludf.DUMMYFUNCTION("""COMPUTED_VALUE"""),"2")</f>
        <v>2</v>
      </c>
      <c r="O539" s="1" t="str">
        <f>IFERROR(__xludf.DUMMYFUNCTION("""COMPUTED_VALUE"""),"Small (0-10 MW)")</f>
        <v>Small (0-10 MW)</v>
      </c>
      <c r="P539" s="1" t="str">
        <f>IFERROR(__xludf.DUMMYFUNCTION("""COMPUTED_VALUE"""),"")</f>
        <v/>
      </c>
      <c r="Q539" s="1" t="str">
        <f>IFERROR(__xludf.DUMMYFUNCTION("""COMPUTED_VALUE"""),"")</f>
        <v/>
      </c>
      <c r="R539" s="1" t="str">
        <f>IFERROR(__xludf.DUMMYFUNCTION("""COMPUTED_VALUE"""),"")</f>
        <v/>
      </c>
      <c r="S539" s="1" t="str">
        <f>IFERROR(__xludf.DUMMYFUNCTION("""COMPUTED_VALUE"""),"")</f>
        <v/>
      </c>
      <c r="T539" s="1" t="str">
        <f>IFERROR(__xludf.DUMMYFUNCTION("""COMPUTED_VALUE"""),"")</f>
        <v/>
      </c>
      <c r="U539" s="1" t="str">
        <f>IFERROR(__xludf.DUMMYFUNCTION("""COMPUTED_VALUE"""),"")</f>
        <v/>
      </c>
      <c r="V539" s="1" t="str">
        <f>IFERROR(__xludf.DUMMYFUNCTION("""COMPUTED_VALUE"""),"29,200")</f>
        <v>29,200</v>
      </c>
      <c r="W539" s="1" t="str">
        <f>IFERROR(__xludf.DUMMYFUNCTION("""COMPUTED_VALUE"""),"")</f>
        <v/>
      </c>
      <c r="X539" s="1" t="str">
        <f>IFERROR(__xludf.DUMMYFUNCTION("""COMPUTED_VALUE"""),"")</f>
        <v/>
      </c>
      <c r="Y539" s="1" t="str">
        <f>IFERROR(__xludf.DUMMYFUNCTION("""COMPUTED_VALUE"""),"")</f>
        <v/>
      </c>
      <c r="Z539" s="1" t="str">
        <f>IFERROR(__xludf.DUMMYFUNCTION("""COMPUTED_VALUE"""),"Unknown")</f>
        <v>Unknown</v>
      </c>
      <c r="AA539" s="1" t="str">
        <f>IFERROR(__xludf.DUMMYFUNCTION("""COMPUTED_VALUE"""),"")</f>
        <v/>
      </c>
      <c r="AB539" s="1" t="str">
        <f>IFERROR(__xludf.DUMMYFUNCTION("""COMPUTED_VALUE"""),"")</f>
        <v/>
      </c>
      <c r="AC539" s="1" t="str">
        <f>IFERROR(__xludf.DUMMYFUNCTION("""COMPUTED_VALUE"""),"")</f>
        <v/>
      </c>
      <c r="AD539" s="1" t="str">
        <f>IFERROR(__xludf.DUMMYFUNCTION("""COMPUTED_VALUE"""),"")</f>
        <v/>
      </c>
      <c r="AE539" s="1" t="str">
        <f>IFERROR(__xludf.DUMMYFUNCTION("""COMPUTED_VALUE"""),"")</f>
        <v/>
      </c>
      <c r="AF539" s="1" t="str">
        <f>IFERROR(__xludf.DUMMYFUNCTION("""COMPUTED_VALUE"""),"")</f>
        <v/>
      </c>
      <c r="AG539" s="1" t="str">
        <f>IFERROR(__xludf.DUMMYFUNCTION("""COMPUTED_VALUE"""),"")</f>
        <v/>
      </c>
      <c r="AH539" s="1" t="str">
        <f>IFERROR(__xludf.DUMMYFUNCTION("""COMPUTED_VALUE"""),"Media Monitoring")</f>
        <v>Media Monitoring</v>
      </c>
      <c r="AI539" s="2" t="str">
        <f>IFERROR(__xludf.DUMMYFUNCTION("""COMPUTED_VALUE"""),"https://www.datacenterdynamics.com/en/news/digital-realty-files-to-develop-400mw-data-center-campus-in-charlotte-north-carolina/")</f>
        <v>https://www.datacenterdynamics.com/en/news/digital-realty-files-to-develop-400mw-data-center-campus-in-charlotte-north-carolina/</v>
      </c>
      <c r="AJ539" s="1" t="str">
        <f>IFERROR(__xludf.DUMMYFUNCTION("""COMPUTED_VALUE"""),"")</f>
        <v/>
      </c>
      <c r="AK539" s="1" t="str">
        <f>IFERROR(__xludf.DUMMYFUNCTION("""COMPUTED_VALUE"""),"")</f>
        <v/>
      </c>
      <c r="AL539" s="1" t="str">
        <f>IFERROR(__xludf.DUMMYFUNCTION("""COMPUTED_VALUE"""),"")</f>
        <v/>
      </c>
      <c r="AM539" s="1" t="str">
        <f>IFERROR(__xludf.DUMMYFUNCTION("""COMPUTED_VALUE"""),"")</f>
        <v/>
      </c>
      <c r="AN539" s="1" t="str">
        <f>IFERROR(__xludf.DUMMYFUNCTION("""COMPUTED_VALUE"""),"")</f>
        <v/>
      </c>
      <c r="AO539" s="1" t="str">
        <f>IFERROR(__xludf.DUMMYFUNCTION("""COMPUTED_VALUE"""),"")</f>
        <v/>
      </c>
      <c r="AP539" s="1" t="str">
        <f>IFERROR(__xludf.DUMMYFUNCTION("""COMPUTED_VALUE"""),"")</f>
        <v/>
      </c>
      <c r="AQ539" s="1" t="str">
        <f>IFERROR(__xludf.DUMMYFUNCTION("""COMPUTED_VALUE"""),"06/20/2025")</f>
        <v>06/20/2025</v>
      </c>
      <c r="AR539" s="1" t="str">
        <f>IFERROR(__xludf.DUMMYFUNCTION("""COMPUTED_VALUE"""),"06/20/2025")</f>
        <v>06/20/2025</v>
      </c>
    </row>
    <row r="540">
      <c r="A540" s="1" t="str">
        <f>IFERROR(__xludf.DUMMYFUNCTION("""COMPUTED_VALUE"""),"Digital Reality Charlotte Data Center")</f>
        <v>Digital Reality Charlotte Data Center</v>
      </c>
      <c r="B540" s="1" t="str">
        <f>IFERROR(__xludf.DUMMYFUNCTION("""COMPUTED_VALUE"""),"12899 Moores Chapel Road")</f>
        <v>12899 Moores Chapel Road</v>
      </c>
      <c r="C540" s="1" t="str">
        <f>IFERROR(__xludf.DUMMYFUNCTION("""COMPUTED_VALUE"""),"Charlotte")</f>
        <v>Charlotte</v>
      </c>
      <c r="D540" s="1" t="str">
        <f>IFERROR(__xludf.DUMMYFUNCTION("""COMPUTED_VALUE"""),"NC")</f>
        <v>NC</v>
      </c>
      <c r="E540" s="1" t="str">
        <f>IFERROR(__xludf.DUMMYFUNCTION("""COMPUTED_VALUE"""),"28214")</f>
        <v>28214</v>
      </c>
      <c r="F540" s="1" t="str">
        <f>IFERROR(__xludf.DUMMYFUNCTION("""COMPUTED_VALUE"""),"Mecklenburg")</f>
        <v>Mecklenburg</v>
      </c>
      <c r="G540" s="1" t="str">
        <f>IFERROR(__xludf.DUMMYFUNCTION("""COMPUTED_VALUE"""),"35.255707")</f>
        <v>35.255707</v>
      </c>
      <c r="H540" s="1" t="str">
        <f>IFERROR(__xludf.DUMMYFUNCTION("""COMPUTED_VALUE"""),"-80.99796")</f>
        <v>-80.99796</v>
      </c>
      <c r="I540" s="1" t="str">
        <f>IFERROR(__xludf.DUMMYFUNCTION("""COMPUTED_VALUE"""),"Proposed")</f>
        <v>Proposed</v>
      </c>
      <c r="J540" s="1" t="str">
        <f>IFERROR(__xludf.DUMMYFUNCTION("""COMPUTED_VALUE"""),"High")</f>
        <v>High</v>
      </c>
      <c r="K540" s="1" t="str">
        <f>IFERROR(__xludf.DUMMYFUNCTION("""COMPUTED_VALUE"""),"")</f>
        <v/>
      </c>
      <c r="L540" s="1" t="str">
        <f>IFERROR(__xludf.DUMMYFUNCTION("""COMPUTED_VALUE"""),"")</f>
        <v/>
      </c>
      <c r="M540" s="1" t="str">
        <f>IFERROR(__xludf.DUMMYFUNCTION("""COMPUTED_VALUE"""),"")</f>
        <v/>
      </c>
      <c r="N540" s="1" t="str">
        <f>IFERROR(__xludf.DUMMYFUNCTION("""COMPUTED_VALUE"""),"400")</f>
        <v>400</v>
      </c>
      <c r="O540" s="1" t="str">
        <f>IFERROR(__xludf.DUMMYFUNCTION("""COMPUTED_VALUE"""),"Hyperscale (100-999 MW)")</f>
        <v>Hyperscale (100-999 MW)</v>
      </c>
      <c r="P540" s="1" t="str">
        <f>IFERROR(__xludf.DUMMYFUNCTION("""COMPUTED_VALUE"""),"")</f>
        <v/>
      </c>
      <c r="Q540" s="1" t="str">
        <f>IFERROR(__xludf.DUMMYFUNCTION("""COMPUTED_VALUE"""),"")</f>
        <v/>
      </c>
      <c r="R540" s="1" t="str">
        <f>IFERROR(__xludf.DUMMYFUNCTION("""COMPUTED_VALUE"""),"")</f>
        <v/>
      </c>
      <c r="S540" s="1" t="str">
        <f>IFERROR(__xludf.DUMMYFUNCTION("""COMPUTED_VALUE"""),"")</f>
        <v/>
      </c>
      <c r="T540" s="1" t="str">
        <f>IFERROR(__xludf.DUMMYFUNCTION("""COMPUTED_VALUE"""),"")</f>
        <v/>
      </c>
      <c r="U540" s="1" t="str">
        <f>IFERROR(__xludf.DUMMYFUNCTION("""COMPUTED_VALUE"""),"")</f>
        <v/>
      </c>
      <c r="V540" s="1" t="str">
        <f>IFERROR(__xludf.DUMMYFUNCTION("""COMPUTED_VALUE"""),"3,000,000")</f>
        <v>3,000,000</v>
      </c>
      <c r="W540" s="1" t="str">
        <f>IFERROR(__xludf.DUMMYFUNCTION("""COMPUTED_VALUE"""),"156")</f>
        <v>156</v>
      </c>
      <c r="X540" s="1" t="str">
        <f>IFERROR(__xludf.DUMMYFUNCTION("""COMPUTED_VALUE"""),"")</f>
        <v/>
      </c>
      <c r="Y540" s="1" t="str">
        <f>IFERROR(__xludf.DUMMYFUNCTION("""COMPUTED_VALUE"""),"")</f>
        <v/>
      </c>
      <c r="Z540" s="1" t="str">
        <f>IFERROR(__xludf.DUMMYFUNCTION("""COMPUTED_VALUE"""),"Yes")</f>
        <v>Yes</v>
      </c>
      <c r="AA540" s="1" t="str">
        <f>IFERROR(__xludf.DUMMYFUNCTION("""COMPUTED_VALUE"""),"")</f>
        <v/>
      </c>
      <c r="AB540" s="1" t="str">
        <f>IFERROR(__xludf.DUMMYFUNCTION("""COMPUTED_VALUE"""),"")</f>
        <v/>
      </c>
      <c r="AC540" s="1" t="str">
        <f>IFERROR(__xludf.DUMMYFUNCTION("""COMPUTED_VALUE"""),"")</f>
        <v/>
      </c>
      <c r="AD540" s="1" t="str">
        <f>IFERROR(__xludf.DUMMYFUNCTION("""COMPUTED_VALUE"""),"")</f>
        <v/>
      </c>
      <c r="AE540" s="1" t="str">
        <f>IFERROR(__xludf.DUMMYFUNCTION("""COMPUTED_VALUE"""),"")</f>
        <v/>
      </c>
      <c r="AF540" s="1" t="str">
        <f>IFERROR(__xludf.DUMMYFUNCTION("""COMPUTED_VALUE"""),"")</f>
        <v/>
      </c>
      <c r="AG540" s="1" t="str">
        <f>IFERROR(__xludf.DUMMYFUNCTION("""COMPUTED_VALUE"""),"Rezoning approved in May 2025")</f>
        <v>Rezoning approved in May 2025</v>
      </c>
      <c r="AH540" s="1" t="str">
        <f>IFERROR(__xludf.DUMMYFUNCTION("""COMPUTED_VALUE"""),"Media Monitoring")</f>
        <v>Media Monitoring</v>
      </c>
      <c r="AI540" s="2" t="str">
        <f>IFERROR(__xludf.DUMMYFUNCTION("""COMPUTED_VALUE"""),"https://www.datacenterdynamics.com/en/news/digital-realty-files-to-develop-400mw-data-center-campus-in-charlotte-north-carolina/")</f>
        <v>https://www.datacenterdynamics.com/en/news/digital-realty-files-to-develop-400mw-data-center-campus-in-charlotte-north-carolina/</v>
      </c>
      <c r="AJ540" s="2" t="str">
        <f>IFERROR(__xludf.DUMMYFUNCTION("""COMPUTED_VALUE"""),"https://www.charlotteobserver.com/news/business/article304542696.html")</f>
        <v>https://www.charlotteobserver.com/news/business/article304542696.html</v>
      </c>
      <c r="AK540" s="1" t="str">
        <f>IFERROR(__xludf.DUMMYFUNCTION("""COMPUTED_VALUE"""),"")</f>
        <v/>
      </c>
      <c r="AL540" s="1" t="str">
        <f>IFERROR(__xludf.DUMMYFUNCTION("""COMPUTED_VALUE"""),"")</f>
        <v/>
      </c>
      <c r="AM540" s="1" t="str">
        <f>IFERROR(__xludf.DUMMYFUNCTION("""COMPUTED_VALUE"""),"")</f>
        <v/>
      </c>
      <c r="AN540" s="1" t="str">
        <f>IFERROR(__xludf.DUMMYFUNCTION("""COMPUTED_VALUE"""),"")</f>
        <v/>
      </c>
      <c r="AO540" s="1" t="str">
        <f>IFERROR(__xludf.DUMMYFUNCTION("""COMPUTED_VALUE"""),"")</f>
        <v/>
      </c>
      <c r="AP540" s="1" t="str">
        <f>IFERROR(__xludf.DUMMYFUNCTION("""COMPUTED_VALUE"""),"")</f>
        <v/>
      </c>
      <c r="AQ540" s="1" t="str">
        <f>IFERROR(__xludf.DUMMYFUNCTION("""COMPUTED_VALUE"""),"06/20/2025")</f>
        <v>06/20/2025</v>
      </c>
      <c r="AR540" s="1" t="str">
        <f>IFERROR(__xludf.DUMMYFUNCTION("""COMPUTED_VALUE"""),"12/02/2025")</f>
        <v>12/02/2025</v>
      </c>
    </row>
    <row r="541">
      <c r="A541" s="1" t="str">
        <f>IFERROR(__xludf.DUMMYFUNCTION("""COMPUTED_VALUE"""),"Project Agate")</f>
        <v>Project Agate</v>
      </c>
      <c r="B541" s="1" t="str">
        <f>IFERROR(__xludf.DUMMYFUNCTION("""COMPUTED_VALUE"""),"100 Northern Dr NW")</f>
        <v>100 Northern Dr NW</v>
      </c>
      <c r="C541" s="1" t="str">
        <f>IFERROR(__xludf.DUMMYFUNCTION("""COMPUTED_VALUE"""),"Conover")</f>
        <v>Conover</v>
      </c>
      <c r="D541" s="1" t="str">
        <f>IFERROR(__xludf.DUMMYFUNCTION("""COMPUTED_VALUE"""),"NC")</f>
        <v>NC</v>
      </c>
      <c r="E541" s="1" t="str">
        <f>IFERROR(__xludf.DUMMYFUNCTION("""COMPUTED_VALUE"""),"28613")</f>
        <v>28613</v>
      </c>
      <c r="F541" s="1" t="str">
        <f>IFERROR(__xludf.DUMMYFUNCTION("""COMPUTED_VALUE"""),"Catawba")</f>
        <v>Catawba</v>
      </c>
      <c r="G541" s="1" t="str">
        <f>IFERROR(__xludf.DUMMYFUNCTION("""COMPUTED_VALUE"""),"35.73274")</f>
        <v>35.73274</v>
      </c>
      <c r="H541" s="1" t="str">
        <f>IFERROR(__xludf.DUMMYFUNCTION("""COMPUTED_VALUE"""),"-81.2088")</f>
        <v>-81.2088</v>
      </c>
      <c r="I541" s="1" t="str">
        <f>IFERROR(__xludf.DUMMYFUNCTION("""COMPUTED_VALUE"""),"Approved/Permitted/Under construction")</f>
        <v>Approved/Permitted/Under construction</v>
      </c>
      <c r="J541" s="1" t="str">
        <f>IFERROR(__xludf.DUMMYFUNCTION("""COMPUTED_VALUE"""),"Medium")</f>
        <v>Medium</v>
      </c>
      <c r="K541" s="1" t="str">
        <f>IFERROR(__xludf.DUMMYFUNCTION("""COMPUTED_VALUE"""),"")</f>
        <v/>
      </c>
      <c r="L541" s="1" t="str">
        <f>IFERROR(__xludf.DUMMYFUNCTION("""COMPUTED_VALUE"""),"Microsoft")</f>
        <v>Microsoft</v>
      </c>
      <c r="M541" s="1" t="str">
        <f>IFERROR(__xludf.DUMMYFUNCTION("""COMPUTED_VALUE"""),"")</f>
        <v/>
      </c>
      <c r="N541" s="1" t="str">
        <f>IFERROR(__xludf.DUMMYFUNCTION("""COMPUTED_VALUE"""),"")</f>
        <v/>
      </c>
      <c r="O541" s="1" t="str">
        <f>IFERROR(__xludf.DUMMYFUNCTION("""COMPUTED_VALUE"""),"Unknown")</f>
        <v>Unknown</v>
      </c>
      <c r="P541" s="1" t="str">
        <f>IFERROR(__xludf.DUMMYFUNCTION("""COMPUTED_VALUE"""),"")</f>
        <v/>
      </c>
      <c r="Q541" s="1" t="str">
        <f>IFERROR(__xludf.DUMMYFUNCTION("""COMPUTED_VALUE"""),"")</f>
        <v/>
      </c>
      <c r="R541" s="1" t="str">
        <f>IFERROR(__xludf.DUMMYFUNCTION("""COMPUTED_VALUE"""),"")</f>
        <v/>
      </c>
      <c r="S541" s="1" t="str">
        <f>IFERROR(__xludf.DUMMYFUNCTION("""COMPUTED_VALUE"""),"5")</f>
        <v>5</v>
      </c>
      <c r="T541" s="1" t="str">
        <f>IFERROR(__xludf.DUMMYFUNCTION("""COMPUTED_VALUE"""),"")</f>
        <v/>
      </c>
      <c r="U541" s="1" t="str">
        <f>IFERROR(__xludf.DUMMYFUNCTION("""COMPUTED_VALUE"""),"")</f>
        <v/>
      </c>
      <c r="V541" s="1" t="str">
        <f>IFERROR(__xludf.DUMMYFUNCTION("""COMPUTED_VALUE"""),"")</f>
        <v/>
      </c>
      <c r="W541" s="1" t="str">
        <f>IFERROR(__xludf.DUMMYFUNCTION("""COMPUTED_VALUE"""),"157")</f>
        <v>157</v>
      </c>
      <c r="X541" s="1" t="str">
        <f>IFERROR(__xludf.DUMMYFUNCTION("""COMPUTED_VALUE"""),"$7.5 million")</f>
        <v>$7.5 million</v>
      </c>
      <c r="Y541" s="1" t="str">
        <f>IFERROR(__xludf.DUMMYFUNCTION("""COMPUTED_VALUE"""),"")</f>
        <v/>
      </c>
      <c r="Z541" s="1" t="str">
        <f>IFERROR(__xludf.DUMMYFUNCTION("""COMPUTED_VALUE"""),"Unknown")</f>
        <v>Unknown</v>
      </c>
      <c r="AA541" s="1" t="str">
        <f>IFERROR(__xludf.DUMMYFUNCTION("""COMPUTED_VALUE"""),"")</f>
        <v/>
      </c>
      <c r="AB541" s="1" t="str">
        <f>IFERROR(__xludf.DUMMYFUNCTION("""COMPUTED_VALUE"""),"")</f>
        <v/>
      </c>
      <c r="AC541" s="1" t="str">
        <f>IFERROR(__xludf.DUMMYFUNCTION("""COMPUTED_VALUE"""),"")</f>
        <v/>
      </c>
      <c r="AD541" s="1" t="str">
        <f>IFERROR(__xludf.DUMMYFUNCTION("""COMPUTED_VALUE"""),"")</f>
        <v/>
      </c>
      <c r="AE541" s="1" t="str">
        <f>IFERROR(__xludf.DUMMYFUNCTION("""COMPUTED_VALUE"""),"")</f>
        <v/>
      </c>
      <c r="AF541" s="1" t="str">
        <f>IFERROR(__xludf.DUMMYFUNCTION("""COMPUTED_VALUE"""),"")</f>
        <v/>
      </c>
      <c r="AG541" s="1" t="str">
        <f>IFERROR(__xludf.DUMMYFUNCTION("""COMPUTED_VALUE"""),"")</f>
        <v/>
      </c>
      <c r="AH541" s="1" t="str">
        <f>IFERROR(__xludf.DUMMYFUNCTION("""COMPUTED_VALUE"""),"Media Monitoring")</f>
        <v>Media Monitoring</v>
      </c>
      <c r="AI541" s="2" t="str">
        <f>IFERROR(__xludf.DUMMYFUNCTION("""COMPUTED_VALUE"""),"https://www.datacenterdynamics.com/en/news/microsoft-breaks-ground-on-second-data-center-campus-in-north-carolina/")</f>
        <v>https://www.datacenterdynamics.com/en/news/microsoft-breaks-ground-on-second-data-center-campus-in-north-carolina/</v>
      </c>
      <c r="AJ541" s="1" t="str">
        <f>IFERROR(__xludf.DUMMYFUNCTION("""COMPUTED_VALUE"""),"")</f>
        <v/>
      </c>
      <c r="AK541" s="1" t="str">
        <f>IFERROR(__xludf.DUMMYFUNCTION("""COMPUTED_VALUE"""),"")</f>
        <v/>
      </c>
      <c r="AL541" s="1" t="str">
        <f>IFERROR(__xludf.DUMMYFUNCTION("""COMPUTED_VALUE"""),"")</f>
        <v/>
      </c>
      <c r="AM541" s="1" t="str">
        <f>IFERROR(__xludf.DUMMYFUNCTION("""COMPUTED_VALUE"""),"")</f>
        <v/>
      </c>
      <c r="AN541" s="1" t="str">
        <f>IFERROR(__xludf.DUMMYFUNCTION("""COMPUTED_VALUE"""),"")</f>
        <v/>
      </c>
      <c r="AO541" s="1" t="str">
        <f>IFERROR(__xludf.DUMMYFUNCTION("""COMPUTED_VALUE"""),"")</f>
        <v/>
      </c>
      <c r="AP541" s="1" t="str">
        <f>IFERROR(__xludf.DUMMYFUNCTION("""COMPUTED_VALUE"""),"")</f>
        <v/>
      </c>
      <c r="AQ541" s="1" t="str">
        <f>IFERROR(__xludf.DUMMYFUNCTION("""COMPUTED_VALUE"""),"05/27/2025")</f>
        <v>05/27/2025</v>
      </c>
      <c r="AR541" s="1" t="str">
        <f>IFERROR(__xludf.DUMMYFUNCTION("""COMPUTED_VALUE"""),"05/20/2026")</f>
        <v>05/20/2026</v>
      </c>
    </row>
    <row r="542">
      <c r="A542" s="1" t="str">
        <f>IFERROR(__xludf.DUMMYFUNCTION("""COMPUTED_VALUE"""),"Facebook Forest City Data Center")</f>
        <v>Facebook Forest City Data Center</v>
      </c>
      <c r="B542" s="1" t="str">
        <f>IFERROR(__xludf.DUMMYFUNCTION("""COMPUTED_VALUE"""),"480 Social Circle")</f>
        <v>480 Social Circle</v>
      </c>
      <c r="C542" s="1" t="str">
        <f>IFERROR(__xludf.DUMMYFUNCTION("""COMPUTED_VALUE"""),"Forest City")</f>
        <v>Forest City</v>
      </c>
      <c r="D542" s="1" t="str">
        <f>IFERROR(__xludf.DUMMYFUNCTION("""COMPUTED_VALUE"""),"NC")</f>
        <v>NC</v>
      </c>
      <c r="E542" s="1" t="str">
        <f>IFERROR(__xludf.DUMMYFUNCTION("""COMPUTED_VALUE"""),"28043")</f>
        <v>28043</v>
      </c>
      <c r="F542" s="1" t="str">
        <f>IFERROR(__xludf.DUMMYFUNCTION("""COMPUTED_VALUE"""),"Rutherford")</f>
        <v>Rutherford</v>
      </c>
      <c r="G542" s="1" t="str">
        <f>IFERROR(__xludf.DUMMYFUNCTION("""COMPUTED_VALUE"""),"35.31632")</f>
        <v>35.31632</v>
      </c>
      <c r="H542" s="1" t="str">
        <f>IFERROR(__xludf.DUMMYFUNCTION("""COMPUTED_VALUE"""),"-81.8251")</f>
        <v>-81.8251</v>
      </c>
      <c r="I542" s="1" t="str">
        <f>IFERROR(__xludf.DUMMYFUNCTION("""COMPUTED_VALUE"""),"Operating")</f>
        <v>Operating</v>
      </c>
      <c r="J542" s="1" t="str">
        <f>IFERROR(__xludf.DUMMYFUNCTION("""COMPUTED_VALUE"""),"High")</f>
        <v>High</v>
      </c>
      <c r="K542" s="1" t="str">
        <f>IFERROR(__xludf.DUMMYFUNCTION("""COMPUTED_VALUE"""),"")</f>
        <v/>
      </c>
      <c r="L542" s="1" t="str">
        <f>IFERROR(__xludf.DUMMYFUNCTION("""COMPUTED_VALUE"""),"")</f>
        <v/>
      </c>
      <c r="M542" s="1" t="str">
        <f>IFERROR(__xludf.DUMMYFUNCTION("""COMPUTED_VALUE"""),"")</f>
        <v/>
      </c>
      <c r="N542" s="1" t="str">
        <f>IFERROR(__xludf.DUMMYFUNCTION("""COMPUTED_VALUE"""),"")</f>
        <v/>
      </c>
      <c r="O542" s="1" t="str">
        <f>IFERROR(__xludf.DUMMYFUNCTION("""COMPUTED_VALUE"""),"Unknown")</f>
        <v>Unknown</v>
      </c>
      <c r="P542" s="1" t="str">
        <f>IFERROR(__xludf.DUMMYFUNCTION("""COMPUTED_VALUE"""),"")</f>
        <v/>
      </c>
      <c r="Q542" s="1" t="str">
        <f>IFERROR(__xludf.DUMMYFUNCTION("""COMPUTED_VALUE"""),"")</f>
        <v/>
      </c>
      <c r="R542" s="1" t="str">
        <f>IFERROR(__xludf.DUMMYFUNCTION("""COMPUTED_VALUE"""),"")</f>
        <v/>
      </c>
      <c r="S542" s="1" t="str">
        <f>IFERROR(__xludf.DUMMYFUNCTION("""COMPUTED_VALUE"""),"")</f>
        <v/>
      </c>
      <c r="T542" s="1" t="str">
        <f>IFERROR(__xludf.DUMMYFUNCTION("""COMPUTED_VALUE"""),"")</f>
        <v/>
      </c>
      <c r="U542" s="1" t="str">
        <f>IFERROR(__xludf.DUMMYFUNCTION("""COMPUTED_VALUE"""),"")</f>
        <v/>
      </c>
      <c r="V542" s="1" t="str">
        <f>IFERROR(__xludf.DUMMYFUNCTION("""COMPUTED_VALUE"""),"")</f>
        <v/>
      </c>
      <c r="W542" s="1" t="str">
        <f>IFERROR(__xludf.DUMMYFUNCTION("""COMPUTED_VALUE"""),"")</f>
        <v/>
      </c>
      <c r="X542" s="1" t="str">
        <f>IFERROR(__xludf.DUMMYFUNCTION("""COMPUTED_VALUE"""),"")</f>
        <v/>
      </c>
      <c r="Y542" s="1" t="str">
        <f>IFERROR(__xludf.DUMMYFUNCTION("""COMPUTED_VALUE"""),"")</f>
        <v/>
      </c>
      <c r="Z542" s="1" t="str">
        <f>IFERROR(__xludf.DUMMYFUNCTION("""COMPUTED_VALUE"""),"Unknown")</f>
        <v>Unknown</v>
      </c>
      <c r="AA542" s="1" t="str">
        <f>IFERROR(__xludf.DUMMYFUNCTION("""COMPUTED_VALUE"""),"")</f>
        <v/>
      </c>
      <c r="AB542" s="1" t="str">
        <f>IFERROR(__xludf.DUMMYFUNCTION("""COMPUTED_VALUE"""),"")</f>
        <v/>
      </c>
      <c r="AC542" s="1" t="str">
        <f>IFERROR(__xludf.DUMMYFUNCTION("""COMPUTED_VALUE"""),"")</f>
        <v/>
      </c>
      <c r="AD542" s="1" t="str">
        <f>IFERROR(__xludf.DUMMYFUNCTION("""COMPUTED_VALUE"""),"")</f>
        <v/>
      </c>
      <c r="AE542" s="1" t="str">
        <f>IFERROR(__xludf.DUMMYFUNCTION("""COMPUTED_VALUE"""),"")</f>
        <v/>
      </c>
      <c r="AF542" s="1" t="str">
        <f>IFERROR(__xludf.DUMMYFUNCTION("""COMPUTED_VALUE"""),"")</f>
        <v/>
      </c>
      <c r="AG542" s="1" t="str">
        <f>IFERROR(__xludf.DUMMYFUNCTION("""COMPUTED_VALUE"""),"")</f>
        <v/>
      </c>
      <c r="AH542" s="1" t="str">
        <f>IFERROR(__xludf.DUMMYFUNCTION("""COMPUTED_VALUE"""),"Media Monitoring")</f>
        <v>Media Monitoring</v>
      </c>
      <c r="AI542" s="1" t="str">
        <f>IFERROR(__xludf.DUMMYFUNCTION("""COMPUTED_VALUE"""),"")</f>
        <v/>
      </c>
      <c r="AJ542" s="1" t="str">
        <f>IFERROR(__xludf.DUMMYFUNCTION("""COMPUTED_VALUE"""),"")</f>
        <v/>
      </c>
      <c r="AK542" s="1" t="str">
        <f>IFERROR(__xludf.DUMMYFUNCTION("""COMPUTED_VALUE"""),"")</f>
        <v/>
      </c>
      <c r="AL542" s="1" t="str">
        <f>IFERROR(__xludf.DUMMYFUNCTION("""COMPUTED_VALUE"""),"")</f>
        <v/>
      </c>
      <c r="AM542" s="1" t="str">
        <f>IFERROR(__xludf.DUMMYFUNCTION("""COMPUTED_VALUE"""),"")</f>
        <v/>
      </c>
      <c r="AN542" s="1" t="str">
        <f>IFERROR(__xludf.DUMMYFUNCTION("""COMPUTED_VALUE"""),"")</f>
        <v/>
      </c>
      <c r="AO542" s="1" t="str">
        <f>IFERROR(__xludf.DUMMYFUNCTION("""COMPUTED_VALUE"""),"")</f>
        <v/>
      </c>
      <c r="AP542" s="1" t="str">
        <f>IFERROR(__xludf.DUMMYFUNCTION("""COMPUTED_VALUE"""),"")</f>
        <v/>
      </c>
      <c r="AQ542" s="1" t="str">
        <f>IFERROR(__xludf.DUMMYFUNCTION("""COMPUTED_VALUE"""),"08/09/2025")</f>
        <v>08/09/2025</v>
      </c>
      <c r="AR542" s="1" t="str">
        <f>IFERROR(__xludf.DUMMYFUNCTION("""COMPUTED_VALUE"""),"08/09/2025")</f>
        <v>08/09/2025</v>
      </c>
    </row>
    <row r="543">
      <c r="A543" s="1" t="str">
        <f>IFERROR(__xludf.DUMMYFUNCTION("""COMPUTED_VALUE"""),"Fort Bragg Data Center")</f>
        <v>Fort Bragg Data Center</v>
      </c>
      <c r="B543" s="1" t="str">
        <f>IFERROR(__xludf.DUMMYFUNCTION("""COMPUTED_VALUE"""),"")</f>
        <v/>
      </c>
      <c r="C543" s="1" t="str">
        <f>IFERROR(__xludf.DUMMYFUNCTION("""COMPUTED_VALUE"""),"Fort Bragg")</f>
        <v>Fort Bragg</v>
      </c>
      <c r="D543" s="1" t="str">
        <f>IFERROR(__xludf.DUMMYFUNCTION("""COMPUTED_VALUE"""),"NC")</f>
        <v>NC</v>
      </c>
      <c r="E543" s="1" t="str">
        <f>IFERROR(__xludf.DUMMYFUNCTION("""COMPUTED_VALUE"""),"28310")</f>
        <v>28310</v>
      </c>
      <c r="F543" s="1" t="str">
        <f>IFERROR(__xludf.DUMMYFUNCTION("""COMPUTED_VALUE"""),"Cumberland and Harnett")</f>
        <v>Cumberland and Harnett</v>
      </c>
      <c r="G543" s="1" t="str">
        <f>IFERROR(__xludf.DUMMYFUNCTION("""COMPUTED_VALUE"""),"35.155334")</f>
        <v>35.155334</v>
      </c>
      <c r="H543" s="1" t="str">
        <f>IFERROR(__xludf.DUMMYFUNCTION("""COMPUTED_VALUE"""),"-79.022064")</f>
        <v>-79.022064</v>
      </c>
      <c r="I543" s="1" t="str">
        <f>IFERROR(__xludf.DUMMYFUNCTION("""COMPUTED_VALUE"""),"Proposed")</f>
        <v>Proposed</v>
      </c>
      <c r="J543" s="1" t="str">
        <f>IFERROR(__xludf.DUMMYFUNCTION("""COMPUTED_VALUE"""),"Low")</f>
        <v>Low</v>
      </c>
      <c r="K543" s="1" t="str">
        <f>IFERROR(__xludf.DUMMYFUNCTION("""COMPUTED_VALUE"""),"")</f>
        <v/>
      </c>
      <c r="L543" s="1" t="str">
        <f>IFERROR(__xludf.DUMMYFUNCTION("""COMPUTED_VALUE"""),"")</f>
        <v/>
      </c>
      <c r="M543" s="1" t="str">
        <f>IFERROR(__xludf.DUMMYFUNCTION("""COMPUTED_VALUE"""),"")</f>
        <v/>
      </c>
      <c r="N543" s="1" t="str">
        <f>IFERROR(__xludf.DUMMYFUNCTION("""COMPUTED_VALUE"""),"")</f>
        <v/>
      </c>
      <c r="O543" s="1" t="str">
        <f>IFERROR(__xludf.DUMMYFUNCTION("""COMPUTED_VALUE"""),"Unknown")</f>
        <v>Unknown</v>
      </c>
      <c r="P543" s="1" t="str">
        <f>IFERROR(__xludf.DUMMYFUNCTION("""COMPUTED_VALUE"""),"")</f>
        <v/>
      </c>
      <c r="Q543" s="1" t="str">
        <f>IFERROR(__xludf.DUMMYFUNCTION("""COMPUTED_VALUE"""),"")</f>
        <v/>
      </c>
      <c r="R543" s="1" t="str">
        <f>IFERROR(__xludf.DUMMYFUNCTION("""COMPUTED_VALUE"""),"")</f>
        <v/>
      </c>
      <c r="S543" s="1" t="str">
        <f>IFERROR(__xludf.DUMMYFUNCTION("""COMPUTED_VALUE"""),"")</f>
        <v/>
      </c>
      <c r="T543" s="1" t="str">
        <f>IFERROR(__xludf.DUMMYFUNCTION("""COMPUTED_VALUE"""),"")</f>
        <v/>
      </c>
      <c r="U543" s="1" t="str">
        <f>IFERROR(__xludf.DUMMYFUNCTION("""COMPUTED_VALUE"""),"")</f>
        <v/>
      </c>
      <c r="V543" s="1" t="str">
        <f>IFERROR(__xludf.DUMMYFUNCTION("""COMPUTED_VALUE"""),"")</f>
        <v/>
      </c>
      <c r="W543" s="1" t="str">
        <f>IFERROR(__xludf.DUMMYFUNCTION("""COMPUTED_VALUE"""),"")</f>
        <v/>
      </c>
      <c r="X543" s="1" t="str">
        <f>IFERROR(__xludf.DUMMYFUNCTION("""COMPUTED_VALUE"""),"")</f>
        <v/>
      </c>
      <c r="Y543" s="1" t="str">
        <f>IFERROR(__xludf.DUMMYFUNCTION("""COMPUTED_VALUE"""),"")</f>
        <v/>
      </c>
      <c r="Z543" s="1" t="str">
        <f>IFERROR(__xludf.DUMMYFUNCTION("""COMPUTED_VALUE"""),"Unknown")</f>
        <v>Unknown</v>
      </c>
      <c r="AA543" s="1" t="str">
        <f>IFERROR(__xludf.DUMMYFUNCTION("""COMPUTED_VALUE"""),"")</f>
        <v/>
      </c>
      <c r="AB543" s="1" t="str">
        <f>IFERROR(__xludf.DUMMYFUNCTION("""COMPUTED_VALUE"""),"")</f>
        <v/>
      </c>
      <c r="AC543" s="1" t="str">
        <f>IFERROR(__xludf.DUMMYFUNCTION("""COMPUTED_VALUE"""),"")</f>
        <v/>
      </c>
      <c r="AD543" s="1" t="str">
        <f>IFERROR(__xludf.DUMMYFUNCTION("""COMPUTED_VALUE"""),"")</f>
        <v/>
      </c>
      <c r="AE543" s="1" t="str">
        <f>IFERROR(__xludf.DUMMYFUNCTION("""COMPUTED_VALUE"""),"")</f>
        <v/>
      </c>
      <c r="AF543" s="1" t="str">
        <f>IFERROR(__xludf.DUMMYFUNCTION("""COMPUTED_VALUE"""),"")</f>
        <v/>
      </c>
      <c r="AG543" s="1" t="str">
        <f>IFERROR(__xludf.DUMMYFUNCTION("""COMPUTED_VALUE"""),"")</f>
        <v/>
      </c>
      <c r="AH543" s="1" t="str">
        <f>IFERROR(__xludf.DUMMYFUNCTION("""COMPUTED_VALUE"""),"Media Monitoring")</f>
        <v>Media Monitoring</v>
      </c>
      <c r="AI543" s="2" t="str">
        <f>IFERROR(__xludf.DUMMYFUNCTION("""COMPUTED_VALUE"""),"https://www.datacenterdynamics.com/en/news/us-dod-details-military-bases-available-for-ai-data-center-build-out/")</f>
        <v>https://www.datacenterdynamics.com/en/news/us-dod-details-military-bases-available-for-ai-data-center-build-out/</v>
      </c>
      <c r="AJ543" s="1" t="str">
        <f>IFERROR(__xludf.DUMMYFUNCTION("""COMPUTED_VALUE"""),"")</f>
        <v/>
      </c>
      <c r="AK543" s="1" t="str">
        <f>IFERROR(__xludf.DUMMYFUNCTION("""COMPUTED_VALUE"""),"")</f>
        <v/>
      </c>
      <c r="AL543" s="1" t="str">
        <f>IFERROR(__xludf.DUMMYFUNCTION("""COMPUTED_VALUE"""),"")</f>
        <v/>
      </c>
      <c r="AM543" s="1" t="str">
        <f>IFERROR(__xludf.DUMMYFUNCTION("""COMPUTED_VALUE"""),"")</f>
        <v/>
      </c>
      <c r="AN543" s="1" t="str">
        <f>IFERROR(__xludf.DUMMYFUNCTION("""COMPUTED_VALUE"""),"")</f>
        <v/>
      </c>
      <c r="AO543" s="1" t="str">
        <f>IFERROR(__xludf.DUMMYFUNCTION("""COMPUTED_VALUE"""),"")</f>
        <v/>
      </c>
      <c r="AP543" s="1" t="str">
        <f>IFERROR(__xludf.DUMMYFUNCTION("""COMPUTED_VALUE"""),"")</f>
        <v/>
      </c>
      <c r="AQ543" s="1" t="str">
        <f>IFERROR(__xludf.DUMMYFUNCTION("""COMPUTED_VALUE"""),"01/13/2026")</f>
        <v>01/13/2026</v>
      </c>
      <c r="AR543" s="1" t="str">
        <f>IFERROR(__xludf.DUMMYFUNCTION("""COMPUTED_VALUE"""),"01/13/2026")</f>
        <v>01/13/2026</v>
      </c>
    </row>
    <row r="544">
      <c r="A544" s="1" t="str">
        <f>IFERROR(__xludf.DUMMYFUNCTION("""COMPUTED_VALUE"""),"DC Blox: High Point")</f>
        <v>DC Blox: High Point</v>
      </c>
      <c r="B544" s="1" t="str">
        <f>IFERROR(__xludf.DUMMYFUNCTION("""COMPUTED_VALUE"""),"~4156 Sheraton Ct")</f>
        <v>~4156 Sheraton Ct</v>
      </c>
      <c r="C544" s="1" t="str">
        <f>IFERROR(__xludf.DUMMYFUNCTION("""COMPUTED_VALUE"""),"Greensboro")</f>
        <v>Greensboro</v>
      </c>
      <c r="D544" s="1" t="str">
        <f>IFERROR(__xludf.DUMMYFUNCTION("""COMPUTED_VALUE"""),"NC")</f>
        <v>NC</v>
      </c>
      <c r="E544" s="1" t="str">
        <f>IFERROR(__xludf.DUMMYFUNCTION("""COMPUTED_VALUE"""),"27409")</f>
        <v>27409</v>
      </c>
      <c r="F544" s="1" t="str">
        <f>IFERROR(__xludf.DUMMYFUNCTION("""COMPUTED_VALUE"""),"Guilford")</f>
        <v>Guilford</v>
      </c>
      <c r="G544" s="1" t="str">
        <f>IFERROR(__xludf.DUMMYFUNCTION("""COMPUTED_VALUE"""),"36.05276")</f>
        <v>36.05276</v>
      </c>
      <c r="H544" s="1" t="str">
        <f>IFERROR(__xludf.DUMMYFUNCTION("""COMPUTED_VALUE"""),"-79.9516")</f>
        <v>-79.9516</v>
      </c>
      <c r="I544" s="1" t="str">
        <f>IFERROR(__xludf.DUMMYFUNCTION("""COMPUTED_VALUE"""),"Proposed")</f>
        <v>Proposed</v>
      </c>
      <c r="J544" s="1" t="str">
        <f>IFERROR(__xludf.DUMMYFUNCTION("""COMPUTED_VALUE"""),"High")</f>
        <v>High</v>
      </c>
      <c r="K544" s="1" t="str">
        <f>IFERROR(__xludf.DUMMYFUNCTION("""COMPUTED_VALUE"""),"")</f>
        <v/>
      </c>
      <c r="L544" s="1" t="str">
        <f>IFERROR(__xludf.DUMMYFUNCTION("""COMPUTED_VALUE"""),"")</f>
        <v/>
      </c>
      <c r="M544" s="1" t="str">
        <f>IFERROR(__xludf.DUMMYFUNCTION("""COMPUTED_VALUE"""),"")</f>
        <v/>
      </c>
      <c r="N544" s="1" t="str">
        <f>IFERROR(__xludf.DUMMYFUNCTION("""COMPUTED_VALUE"""),"10")</f>
        <v>10</v>
      </c>
      <c r="O544" s="1" t="str">
        <f>IFERROR(__xludf.DUMMYFUNCTION("""COMPUTED_VALUE"""),"Small (0-10 MW)")</f>
        <v>Small (0-10 MW)</v>
      </c>
      <c r="P544" s="1" t="str">
        <f>IFERROR(__xludf.DUMMYFUNCTION("""COMPUTED_VALUE"""),"")</f>
        <v/>
      </c>
      <c r="Q544" s="1" t="str">
        <f>IFERROR(__xludf.DUMMYFUNCTION("""COMPUTED_VALUE"""),"")</f>
        <v/>
      </c>
      <c r="R544" s="1" t="str">
        <f>IFERROR(__xludf.DUMMYFUNCTION("""COMPUTED_VALUE"""),"")</f>
        <v/>
      </c>
      <c r="S544" s="1" t="str">
        <f>IFERROR(__xludf.DUMMYFUNCTION("""COMPUTED_VALUE"""),"")</f>
        <v/>
      </c>
      <c r="T544" s="1" t="str">
        <f>IFERROR(__xludf.DUMMYFUNCTION("""COMPUTED_VALUE"""),"")</f>
        <v/>
      </c>
      <c r="U544" s="1" t="str">
        <f>IFERROR(__xludf.DUMMYFUNCTION("""COMPUTED_VALUE"""),"")</f>
        <v/>
      </c>
      <c r="V544" s="1" t="str">
        <f>IFERROR(__xludf.DUMMYFUNCTION("""COMPUTED_VALUE"""),"54,000")</f>
        <v>54,000</v>
      </c>
      <c r="W544" s="1" t="str">
        <f>IFERROR(__xludf.DUMMYFUNCTION("""COMPUTED_VALUE"""),"")</f>
        <v/>
      </c>
      <c r="X544" s="1" t="str">
        <f>IFERROR(__xludf.DUMMYFUNCTION("""COMPUTED_VALUE"""),"")</f>
        <v/>
      </c>
      <c r="Y544" s="1" t="str">
        <f>IFERROR(__xludf.DUMMYFUNCTION("""COMPUTED_VALUE"""),"")</f>
        <v/>
      </c>
      <c r="Z544" s="1" t="str">
        <f>IFERROR(__xludf.DUMMYFUNCTION("""COMPUTED_VALUE"""),"Unknown")</f>
        <v>Unknown</v>
      </c>
      <c r="AA544" s="1" t="str">
        <f>IFERROR(__xludf.DUMMYFUNCTION("""COMPUTED_VALUE"""),"")</f>
        <v/>
      </c>
      <c r="AB544" s="1" t="str">
        <f>IFERROR(__xludf.DUMMYFUNCTION("""COMPUTED_VALUE"""),"")</f>
        <v/>
      </c>
      <c r="AC544" s="1" t="str">
        <f>IFERROR(__xludf.DUMMYFUNCTION("""COMPUTED_VALUE"""),"")</f>
        <v/>
      </c>
      <c r="AD544" s="1" t="str">
        <f>IFERROR(__xludf.DUMMYFUNCTION("""COMPUTED_VALUE"""),"")</f>
        <v/>
      </c>
      <c r="AE544" s="1" t="str">
        <f>IFERROR(__xludf.DUMMYFUNCTION("""COMPUTED_VALUE"""),"")</f>
        <v/>
      </c>
      <c r="AF544" s="1" t="str">
        <f>IFERROR(__xludf.DUMMYFUNCTION("""COMPUTED_VALUE"""),"")</f>
        <v/>
      </c>
      <c r="AG544" s="1" t="str">
        <f>IFERROR(__xludf.DUMMYFUNCTION("""COMPUTED_VALUE"""),"")</f>
        <v/>
      </c>
      <c r="AH544" s="1" t="str">
        <f>IFERROR(__xludf.DUMMYFUNCTION("""COMPUTED_VALUE"""),"Media Monitoring")</f>
        <v>Media Monitoring</v>
      </c>
      <c r="AI544" s="2" t="str">
        <f>IFERROR(__xludf.DUMMYFUNCTION("""COMPUTED_VALUE"""),"https://www.dcblox.com/data-centers/high-point/")</f>
        <v>https://www.dcblox.com/data-centers/high-point/</v>
      </c>
      <c r="AJ544" s="1" t="str">
        <f>IFERROR(__xludf.DUMMYFUNCTION("""COMPUTED_VALUE"""),"")</f>
        <v/>
      </c>
      <c r="AK544" s="1" t="str">
        <f>IFERROR(__xludf.DUMMYFUNCTION("""COMPUTED_VALUE"""),"")</f>
        <v/>
      </c>
      <c r="AL544" s="1" t="str">
        <f>IFERROR(__xludf.DUMMYFUNCTION("""COMPUTED_VALUE"""),"")</f>
        <v/>
      </c>
      <c r="AM544" s="1" t="str">
        <f>IFERROR(__xludf.DUMMYFUNCTION("""COMPUTED_VALUE"""),"")</f>
        <v/>
      </c>
      <c r="AN544" s="1" t="str">
        <f>IFERROR(__xludf.DUMMYFUNCTION("""COMPUTED_VALUE"""),"")</f>
        <v/>
      </c>
      <c r="AO544" s="1" t="str">
        <f>IFERROR(__xludf.DUMMYFUNCTION("""COMPUTED_VALUE"""),"")</f>
        <v/>
      </c>
      <c r="AP544" s="1" t="str">
        <f>IFERROR(__xludf.DUMMYFUNCTION("""COMPUTED_VALUE"""),"")</f>
        <v/>
      </c>
      <c r="AQ544" s="1" t="str">
        <f>IFERROR(__xludf.DUMMYFUNCTION("""COMPUTED_VALUE"""),"08/25/2025")</f>
        <v>08/25/2025</v>
      </c>
      <c r="AR544" s="1" t="str">
        <f>IFERROR(__xludf.DUMMYFUNCTION("""COMPUTED_VALUE"""),"08/25/2025")</f>
        <v>08/25/2025</v>
      </c>
    </row>
    <row r="545">
      <c r="A545" s="1" t="str">
        <f>IFERROR(__xludf.DUMMYFUNCTION("""COMPUTED_VALUE"""),"Amazon Hamlet Data Center")</f>
        <v>Amazon Hamlet Data Center</v>
      </c>
      <c r="B545" s="1" t="str">
        <f>IFERROR(__xludf.DUMMYFUNCTION("""COMPUTED_VALUE"""),"1761 Airport Road")</f>
        <v>1761 Airport Road</v>
      </c>
      <c r="C545" s="1" t="str">
        <f>IFERROR(__xludf.DUMMYFUNCTION("""COMPUTED_VALUE"""),"Hamlet")</f>
        <v>Hamlet</v>
      </c>
      <c r="D545" s="1" t="str">
        <f>IFERROR(__xludf.DUMMYFUNCTION("""COMPUTED_VALUE"""),"NC")</f>
        <v>NC</v>
      </c>
      <c r="E545" s="1" t="str">
        <f>IFERROR(__xludf.DUMMYFUNCTION("""COMPUTED_VALUE"""),"28345")</f>
        <v>28345</v>
      </c>
      <c r="F545" s="1" t="str">
        <f>IFERROR(__xludf.DUMMYFUNCTION("""COMPUTED_VALUE"""),"Richmond")</f>
        <v>Richmond</v>
      </c>
      <c r="G545" s="1" t="str">
        <f>IFERROR(__xludf.DUMMYFUNCTION("""COMPUTED_VALUE"""),"34.82899")</f>
        <v>34.82899</v>
      </c>
      <c r="H545" s="1" t="str">
        <f>IFERROR(__xludf.DUMMYFUNCTION("""COMPUTED_VALUE"""),"-79.72932")</f>
        <v>-79.72932</v>
      </c>
      <c r="I545" s="1" t="str">
        <f>IFERROR(__xludf.DUMMYFUNCTION("""COMPUTED_VALUE"""),"Approved/Permitted/Under construction")</f>
        <v>Approved/Permitted/Under construction</v>
      </c>
      <c r="J545" s="1" t="str">
        <f>IFERROR(__xludf.DUMMYFUNCTION("""COMPUTED_VALUE"""),"High")</f>
        <v>High</v>
      </c>
      <c r="K545" s="1" t="str">
        <f>IFERROR(__xludf.DUMMYFUNCTION("""COMPUTED_VALUE"""),"")</f>
        <v/>
      </c>
      <c r="L545" s="1" t="str">
        <f>IFERROR(__xludf.DUMMYFUNCTION("""COMPUTED_VALUE"""),"Amazon")</f>
        <v>Amazon</v>
      </c>
      <c r="M545" s="1" t="str">
        <f>IFERROR(__xludf.DUMMYFUNCTION("""COMPUTED_VALUE"""),"")</f>
        <v/>
      </c>
      <c r="N545" s="1" t="str">
        <f>IFERROR(__xludf.DUMMYFUNCTION("""COMPUTED_VALUE"""),"")</f>
        <v/>
      </c>
      <c r="O545" s="1" t="str">
        <f>IFERROR(__xludf.DUMMYFUNCTION("""COMPUTED_VALUE"""),"Hyperscale (100-999 MW)")</f>
        <v>Hyperscale (100-999 MW)</v>
      </c>
      <c r="P545" s="1" t="str">
        <f>IFERROR(__xludf.DUMMYFUNCTION("""COMPUTED_VALUE"""),"Grid (unspecified mix)")</f>
        <v>Grid (unspecified mix)</v>
      </c>
      <c r="Q545" s="1" t="str">
        <f>IFERROR(__xludf.DUMMYFUNCTION("""COMPUTED_VALUE"""),"")</f>
        <v/>
      </c>
      <c r="R545" s="1" t="str">
        <f>IFERROR(__xludf.DUMMYFUNCTION("""COMPUTED_VALUE"""),"")</f>
        <v/>
      </c>
      <c r="S545" s="1" t="str">
        <f>IFERROR(__xludf.DUMMYFUNCTION("""COMPUTED_VALUE"""),"20")</f>
        <v>20</v>
      </c>
      <c r="T545" s="1" t="str">
        <f>IFERROR(__xludf.DUMMYFUNCTION("""COMPUTED_VALUE"""),"")</f>
        <v/>
      </c>
      <c r="U545" s="1" t="str">
        <f>IFERROR(__xludf.DUMMYFUNCTION("""COMPUTED_VALUE"""),"")</f>
        <v/>
      </c>
      <c r="V545" s="1" t="str">
        <f>IFERROR(__xludf.DUMMYFUNCTION("""COMPUTED_VALUE"""),"4,000,000")</f>
        <v>4,000,000</v>
      </c>
      <c r="W545" s="1" t="str">
        <f>IFERROR(__xludf.DUMMYFUNCTION("""COMPUTED_VALUE"""),"672")</f>
        <v>672</v>
      </c>
      <c r="X545" s="1" t="str">
        <f>IFERROR(__xludf.DUMMYFUNCTION("""COMPUTED_VALUE"""),"$10 billion")</f>
        <v>$10 billion</v>
      </c>
      <c r="Y545" s="1" t="str">
        <f>IFERROR(__xludf.DUMMYFUNCTION("""COMPUTED_VALUE"""),"")</f>
        <v/>
      </c>
      <c r="Z545" s="1" t="str">
        <f>IFERROR(__xludf.DUMMYFUNCTION("""COMPUTED_VALUE"""),"Unknown")</f>
        <v>Unknown</v>
      </c>
      <c r="AA545" s="1" t="str">
        <f>IFERROR(__xludf.DUMMYFUNCTION("""COMPUTED_VALUE"""),"")</f>
        <v/>
      </c>
      <c r="AB545" s="1" t="str">
        <f>IFERROR(__xludf.DUMMYFUNCTION("""COMPUTED_VALUE"""),"")</f>
        <v/>
      </c>
      <c r="AC545" s="1" t="str">
        <f>IFERROR(__xludf.DUMMYFUNCTION("""COMPUTED_VALUE"""),"")</f>
        <v/>
      </c>
      <c r="AD545" s="1" t="str">
        <f>IFERROR(__xludf.DUMMYFUNCTION("""COMPUTED_VALUE"""),"")</f>
        <v/>
      </c>
      <c r="AE545" s="1" t="str">
        <f>IFERROR(__xludf.DUMMYFUNCTION("""COMPUTED_VALUE"""),"")</f>
        <v/>
      </c>
      <c r="AF545" s="1" t="str">
        <f>IFERROR(__xludf.DUMMYFUNCTION("""COMPUTED_VALUE"""),"")</f>
        <v/>
      </c>
      <c r="AG545" s="1" t="str">
        <f>IFERROR(__xludf.DUMMYFUNCTION("""COMPUTED_VALUE"""),"672-acre industrial park, includes other facilities. Title V AQ permit currently in process. ")</f>
        <v>672-acre industrial park, includes other facilities. Title V AQ permit currently in process. </v>
      </c>
      <c r="AH545" s="1" t="str">
        <f>IFERROR(__xludf.DUMMYFUNCTION("""COMPUTED_VALUE"""),"Crowdsourced")</f>
        <v>Crowdsourced</v>
      </c>
      <c r="AI545" s="2" t="str">
        <f>IFERROR(__xludf.DUMMYFUNCTION("""COMPUTED_VALUE"""),"https://sites.ncrr.com/index.php/property/energy-way-industry-complex/")</f>
        <v>https://sites.ncrr.com/index.php/property/energy-way-industry-complex/</v>
      </c>
      <c r="AJ545" s="2" t="str">
        <f>IFERROR(__xludf.DUMMYFUNCTION("""COMPUTED_VALUE"""),"https://www.datacenterdynamics.com/en/news/amazon-breaks-ground-on-10bn-data-center-complex-in-richmond-county-north-carolina/")</f>
        <v>https://www.datacenterdynamics.com/en/news/amazon-breaks-ground-on-10bn-data-center-complex-in-richmond-county-north-carolina/</v>
      </c>
      <c r="AK545" s="1" t="str">
        <f>IFERROR(__xludf.DUMMYFUNCTION("""COMPUTED_VALUE"""),"")</f>
        <v/>
      </c>
      <c r="AL545" s="1" t="str">
        <f>IFERROR(__xludf.DUMMYFUNCTION("""COMPUTED_VALUE"""),"")</f>
        <v/>
      </c>
      <c r="AM545" s="1" t="str">
        <f>IFERROR(__xludf.DUMMYFUNCTION("""COMPUTED_VALUE"""),"")</f>
        <v/>
      </c>
      <c r="AN545" s="1" t="str">
        <f>IFERROR(__xludf.DUMMYFUNCTION("""COMPUTED_VALUE"""),"")</f>
        <v/>
      </c>
      <c r="AO545" s="1" t="str">
        <f>IFERROR(__xludf.DUMMYFUNCTION("""COMPUTED_VALUE"""),"")</f>
        <v/>
      </c>
      <c r="AP545" s="1" t="str">
        <f>IFERROR(__xludf.DUMMYFUNCTION("""COMPUTED_VALUE"""),"")</f>
        <v/>
      </c>
      <c r="AQ545" s="1" t="str">
        <f>IFERROR(__xludf.DUMMYFUNCTION("""COMPUTED_VALUE"""),"05/11/2026")</f>
        <v>05/11/2026</v>
      </c>
      <c r="AR545" s="1" t="str">
        <f>IFERROR(__xludf.DUMMYFUNCTION("""COMPUTED_VALUE"""),"05/11/2026")</f>
        <v>05/11/2026</v>
      </c>
    </row>
    <row r="546">
      <c r="A546" s="1" t="str">
        <f>IFERROR(__xludf.DUMMYFUNCTION("""COMPUTED_VALUE"""),"Natelli Investments Data Center")</f>
        <v>Natelli Investments Data Center</v>
      </c>
      <c r="B546" s="1" t="str">
        <f>IFERROR(__xludf.DUMMYFUNCTION("""COMPUTED_VALUE"""),"US-158 Business, between Pine Meadow Trail and Horseshoe Bend Rd")</f>
        <v>US-158 Business, between Pine Meadow Trail and Horseshoe Bend Rd</v>
      </c>
      <c r="C546" s="1" t="str">
        <f>IFERROR(__xludf.DUMMYFUNCTION("""COMPUTED_VALUE"""),"Henderson")</f>
        <v>Henderson</v>
      </c>
      <c r="D546" s="1" t="str">
        <f>IFERROR(__xludf.DUMMYFUNCTION("""COMPUTED_VALUE"""),"NC")</f>
        <v>NC</v>
      </c>
      <c r="E546" s="1" t="str">
        <f>IFERROR(__xludf.DUMMYFUNCTION("""COMPUTED_VALUE"""),"27537")</f>
        <v>27537</v>
      </c>
      <c r="F546" s="1" t="str">
        <f>IFERROR(__xludf.DUMMYFUNCTION("""COMPUTED_VALUE"""),"Vance")</f>
        <v>Vance</v>
      </c>
      <c r="G546" s="1" t="str">
        <f>IFERROR(__xludf.DUMMYFUNCTION("""COMPUTED_VALUE"""),"36.30721")</f>
        <v>36.30721</v>
      </c>
      <c r="H546" s="1" t="str">
        <f>IFERROR(__xludf.DUMMYFUNCTION("""COMPUTED_VALUE"""),"-78.47415")</f>
        <v>-78.47415</v>
      </c>
      <c r="I546" s="1" t="str">
        <f>IFERROR(__xludf.DUMMYFUNCTION("""COMPUTED_VALUE"""),"Suspended")</f>
        <v>Suspended</v>
      </c>
      <c r="J546" s="1" t="str">
        <f>IFERROR(__xludf.DUMMYFUNCTION("""COMPUTED_VALUE"""),"Medium")</f>
        <v>Medium</v>
      </c>
      <c r="K546" s="1" t="str">
        <f>IFERROR(__xludf.DUMMYFUNCTION("""COMPUTED_VALUE"""),"")</f>
        <v/>
      </c>
      <c r="L546" s="1" t="str">
        <f>IFERROR(__xludf.DUMMYFUNCTION("""COMPUTED_VALUE"""),"")</f>
        <v/>
      </c>
      <c r="M546" s="1" t="str">
        <f>IFERROR(__xludf.DUMMYFUNCTION("""COMPUTED_VALUE"""),"")</f>
        <v/>
      </c>
      <c r="N546" s="1" t="str">
        <f>IFERROR(__xludf.DUMMYFUNCTION("""COMPUTED_VALUE"""),"")</f>
        <v/>
      </c>
      <c r="O546" s="1" t="str">
        <f>IFERROR(__xludf.DUMMYFUNCTION("""COMPUTED_VALUE"""),"Unknown")</f>
        <v>Unknown</v>
      </c>
      <c r="P546" s="1" t="str">
        <f>IFERROR(__xludf.DUMMYFUNCTION("""COMPUTED_VALUE"""),"")</f>
        <v/>
      </c>
      <c r="Q546" s="1" t="str">
        <f>IFERROR(__xludf.DUMMYFUNCTION("""COMPUTED_VALUE"""),"")</f>
        <v/>
      </c>
      <c r="R546" s="1" t="str">
        <f>IFERROR(__xludf.DUMMYFUNCTION("""COMPUTED_VALUE"""),"")</f>
        <v/>
      </c>
      <c r="S546" s="1" t="str">
        <f>IFERROR(__xludf.DUMMYFUNCTION("""COMPUTED_VALUE"""),"")</f>
        <v/>
      </c>
      <c r="T546" s="1" t="str">
        <f>IFERROR(__xludf.DUMMYFUNCTION("""COMPUTED_VALUE"""),"")</f>
        <v/>
      </c>
      <c r="U546" s="1" t="str">
        <f>IFERROR(__xludf.DUMMYFUNCTION("""COMPUTED_VALUE"""),"")</f>
        <v/>
      </c>
      <c r="V546" s="1" t="str">
        <f>IFERROR(__xludf.DUMMYFUNCTION("""COMPUTED_VALUE"""),"")</f>
        <v/>
      </c>
      <c r="W546" s="1" t="str">
        <f>IFERROR(__xludf.DUMMYFUNCTION("""COMPUTED_VALUE"""),"40")</f>
        <v>40</v>
      </c>
      <c r="X546" s="1" t="str">
        <f>IFERROR(__xludf.DUMMYFUNCTION("""COMPUTED_VALUE"""),"")</f>
        <v/>
      </c>
      <c r="Y546" s="1" t="str">
        <f>IFERROR(__xludf.DUMMYFUNCTION("""COMPUTED_VALUE"""),"")</f>
        <v/>
      </c>
      <c r="Z546" s="1" t="str">
        <f>IFERROR(__xludf.DUMMYFUNCTION("""COMPUTED_VALUE"""),"Yes")</f>
        <v>Yes</v>
      </c>
      <c r="AA546" s="1" t="str">
        <f>IFERROR(__xludf.DUMMYFUNCTION("""COMPUTED_VALUE"""),"")</f>
        <v/>
      </c>
      <c r="AB546" s="1" t="str">
        <f>IFERROR(__xludf.DUMMYFUNCTION("""COMPUTED_VALUE"""),"")</f>
        <v/>
      </c>
      <c r="AC546" s="1" t="str">
        <f>IFERROR(__xludf.DUMMYFUNCTION("""COMPUTED_VALUE"""),"")</f>
        <v/>
      </c>
      <c r="AD546" s="1" t="str">
        <f>IFERROR(__xludf.DUMMYFUNCTION("""COMPUTED_VALUE"""),"")</f>
        <v/>
      </c>
      <c r="AE546" s="1" t="str">
        <f>IFERROR(__xludf.DUMMYFUNCTION("""COMPUTED_VALUE"""),"")</f>
        <v/>
      </c>
      <c r="AF546" s="2" t="str">
        <f>IFERROR(__xludf.DUMMYFUNCTION("""COMPUTED_VALUE"""),"https://www.change.org/p/stop-construction-of-data-center-in-henderson-nc")</f>
        <v>https://www.change.org/p/stop-construction-of-data-center-in-henderson-nc</v>
      </c>
      <c r="AG546" s="1" t="str">
        <f>IFERROR(__xludf.DUMMYFUNCTION("""COMPUTED_VALUE"""),"")</f>
        <v/>
      </c>
      <c r="AH546" s="1" t="str">
        <f>IFERROR(__xludf.DUMMYFUNCTION("""COMPUTED_VALUE"""),"Media Monitoring")</f>
        <v>Media Monitoring</v>
      </c>
      <c r="AI546" s="2" t="str">
        <f>IFERROR(__xludf.DUMMYFUNCTION("""COMPUTED_VALUE"""),"https://www.datacenterdynamics.com/en/news/officials-in-north-carolina-county-give-ok-for-rezoning-potential-data-center-incoming/")</f>
        <v>https://www.datacenterdynamics.com/en/news/officials-in-north-carolina-county-give-ok-for-rezoning-potential-data-center-incoming/</v>
      </c>
      <c r="AJ546" s="1" t="str">
        <f>IFERROR(__xludf.DUMMYFUNCTION("""COMPUTED_VALUE"""),"")</f>
        <v/>
      </c>
      <c r="AK546" s="1" t="str">
        <f>IFERROR(__xludf.DUMMYFUNCTION("""COMPUTED_VALUE"""),"")</f>
        <v/>
      </c>
      <c r="AL546" s="1" t="str">
        <f>IFERROR(__xludf.DUMMYFUNCTION("""COMPUTED_VALUE"""),"")</f>
        <v/>
      </c>
      <c r="AM546" s="1" t="str">
        <f>IFERROR(__xludf.DUMMYFUNCTION("""COMPUTED_VALUE"""),"")</f>
        <v/>
      </c>
      <c r="AN546" s="1" t="str">
        <f>IFERROR(__xludf.DUMMYFUNCTION("""COMPUTED_VALUE"""),"")</f>
        <v/>
      </c>
      <c r="AO546" s="1" t="str">
        <f>IFERROR(__xludf.DUMMYFUNCTION("""COMPUTED_VALUE"""),"")</f>
        <v/>
      </c>
      <c r="AP546" s="1" t="str">
        <f>IFERROR(__xludf.DUMMYFUNCTION("""COMPUTED_VALUE"""),"")</f>
        <v/>
      </c>
      <c r="AQ546" s="1" t="str">
        <f>IFERROR(__xludf.DUMMYFUNCTION("""COMPUTED_VALUE"""),"04/22/2026")</f>
        <v>04/22/2026</v>
      </c>
      <c r="AR546" s="1" t="str">
        <f>IFERROR(__xludf.DUMMYFUNCTION("""COMPUTED_VALUE"""),"05/20/2026")</f>
        <v>05/20/2026</v>
      </c>
    </row>
    <row r="547">
      <c r="A547" s="1" t="str">
        <f>IFERROR(__xludf.DUMMYFUNCTION("""COMPUTED_VALUE"""),"T5 Data Center")</f>
        <v>T5 Data Center</v>
      </c>
      <c r="B547" s="1" t="str">
        <f>IFERROR(__xludf.DUMMYFUNCTION("""COMPUTED_VALUE"""),"335 Countryside Rd")</f>
        <v>335 Countryside Rd</v>
      </c>
      <c r="C547" s="1" t="str">
        <f>IFERROR(__xludf.DUMMYFUNCTION("""COMPUTED_VALUE"""),"Kings Mountain")</f>
        <v>Kings Mountain</v>
      </c>
      <c r="D547" s="1" t="str">
        <f>IFERROR(__xludf.DUMMYFUNCTION("""COMPUTED_VALUE"""),"NC")</f>
        <v>NC</v>
      </c>
      <c r="E547" s="1" t="str">
        <f>IFERROR(__xludf.DUMMYFUNCTION("""COMPUTED_VALUE"""),"28086")</f>
        <v>28086</v>
      </c>
      <c r="F547" s="1" t="str">
        <f>IFERROR(__xludf.DUMMYFUNCTION("""COMPUTED_VALUE"""),"Cleveland")</f>
        <v>Cleveland</v>
      </c>
      <c r="G547" s="1" t="str">
        <f>IFERROR(__xludf.DUMMYFUNCTION("""COMPUTED_VALUE"""),"35.25142")</f>
        <v>35.25142</v>
      </c>
      <c r="H547" s="1" t="str">
        <f>IFERROR(__xludf.DUMMYFUNCTION("""COMPUTED_VALUE"""),"-81.397")</f>
        <v>-81.397</v>
      </c>
      <c r="I547" s="1" t="str">
        <f>IFERROR(__xludf.DUMMYFUNCTION("""COMPUTED_VALUE"""),"Operating")</f>
        <v>Operating</v>
      </c>
      <c r="J547" s="1" t="str">
        <f>IFERROR(__xludf.DUMMYFUNCTION("""COMPUTED_VALUE"""),"High")</f>
        <v>High</v>
      </c>
      <c r="K547" s="1" t="str">
        <f>IFERROR(__xludf.DUMMYFUNCTION("""COMPUTED_VALUE"""),"")</f>
        <v/>
      </c>
      <c r="L547" s="1" t="str">
        <f>IFERROR(__xludf.DUMMYFUNCTION("""COMPUTED_VALUE"""),"")</f>
        <v/>
      </c>
      <c r="M547" s="1" t="str">
        <f>IFERROR(__xludf.DUMMYFUNCTION("""COMPUTED_VALUE"""),"")</f>
        <v/>
      </c>
      <c r="N547" s="1" t="str">
        <f>IFERROR(__xludf.DUMMYFUNCTION("""COMPUTED_VALUE"""),"")</f>
        <v/>
      </c>
      <c r="O547" s="1" t="str">
        <f>IFERROR(__xludf.DUMMYFUNCTION("""COMPUTED_VALUE"""),"Unknown")</f>
        <v>Unknown</v>
      </c>
      <c r="P547" s="1" t="str">
        <f>IFERROR(__xludf.DUMMYFUNCTION("""COMPUTED_VALUE"""),"")</f>
        <v/>
      </c>
      <c r="Q547" s="1" t="str">
        <f>IFERROR(__xludf.DUMMYFUNCTION("""COMPUTED_VALUE"""),"")</f>
        <v/>
      </c>
      <c r="R547" s="1" t="str">
        <f>IFERROR(__xludf.DUMMYFUNCTION("""COMPUTED_VALUE"""),"")</f>
        <v/>
      </c>
      <c r="S547" s="1" t="str">
        <f>IFERROR(__xludf.DUMMYFUNCTION("""COMPUTED_VALUE"""),"")</f>
        <v/>
      </c>
      <c r="T547" s="1" t="str">
        <f>IFERROR(__xludf.DUMMYFUNCTION("""COMPUTED_VALUE"""),"")</f>
        <v/>
      </c>
      <c r="U547" s="1" t="str">
        <f>IFERROR(__xludf.DUMMYFUNCTION("""COMPUTED_VALUE"""),"")</f>
        <v/>
      </c>
      <c r="V547" s="1" t="str">
        <f>IFERROR(__xludf.DUMMYFUNCTION("""COMPUTED_VALUE"""),"")</f>
        <v/>
      </c>
      <c r="W547" s="1" t="str">
        <f>IFERROR(__xludf.DUMMYFUNCTION("""COMPUTED_VALUE"""),"")</f>
        <v/>
      </c>
      <c r="X547" s="1" t="str">
        <f>IFERROR(__xludf.DUMMYFUNCTION("""COMPUTED_VALUE"""),"")</f>
        <v/>
      </c>
      <c r="Y547" s="1" t="str">
        <f>IFERROR(__xludf.DUMMYFUNCTION("""COMPUTED_VALUE"""),"")</f>
        <v/>
      </c>
      <c r="Z547" s="1" t="str">
        <f>IFERROR(__xludf.DUMMYFUNCTION("""COMPUTED_VALUE"""),"Unknown")</f>
        <v>Unknown</v>
      </c>
      <c r="AA547" s="1" t="str">
        <f>IFERROR(__xludf.DUMMYFUNCTION("""COMPUTED_VALUE"""),"")</f>
        <v/>
      </c>
      <c r="AB547" s="1" t="str">
        <f>IFERROR(__xludf.DUMMYFUNCTION("""COMPUTED_VALUE"""),"")</f>
        <v/>
      </c>
      <c r="AC547" s="1" t="str">
        <f>IFERROR(__xludf.DUMMYFUNCTION("""COMPUTED_VALUE"""),"")</f>
        <v/>
      </c>
      <c r="AD547" s="1" t="str">
        <f>IFERROR(__xludf.DUMMYFUNCTION("""COMPUTED_VALUE"""),"")</f>
        <v/>
      </c>
      <c r="AE547" s="1" t="str">
        <f>IFERROR(__xludf.DUMMYFUNCTION("""COMPUTED_VALUE"""),"")</f>
        <v/>
      </c>
      <c r="AF547" s="1" t="str">
        <f>IFERROR(__xludf.DUMMYFUNCTION("""COMPUTED_VALUE"""),"")</f>
        <v/>
      </c>
      <c r="AG547" s="1" t="str">
        <f>IFERROR(__xludf.DUMMYFUNCTION("""COMPUTED_VALUE"""),"")</f>
        <v/>
      </c>
      <c r="AH547" s="1" t="str">
        <f>IFERROR(__xludf.DUMMYFUNCTION("""COMPUTED_VALUE"""),"Media Monitoring")</f>
        <v>Media Monitoring</v>
      </c>
      <c r="AI547" s="1" t="str">
        <f>IFERROR(__xludf.DUMMYFUNCTION("""COMPUTED_VALUE"""),"")</f>
        <v/>
      </c>
      <c r="AJ547" s="1" t="str">
        <f>IFERROR(__xludf.DUMMYFUNCTION("""COMPUTED_VALUE"""),"")</f>
        <v/>
      </c>
      <c r="AK547" s="1" t="str">
        <f>IFERROR(__xludf.DUMMYFUNCTION("""COMPUTED_VALUE"""),"")</f>
        <v/>
      </c>
      <c r="AL547" s="1" t="str">
        <f>IFERROR(__xludf.DUMMYFUNCTION("""COMPUTED_VALUE"""),"")</f>
        <v/>
      </c>
      <c r="AM547" s="1" t="str">
        <f>IFERROR(__xludf.DUMMYFUNCTION("""COMPUTED_VALUE"""),"")</f>
        <v/>
      </c>
      <c r="AN547" s="1" t="str">
        <f>IFERROR(__xludf.DUMMYFUNCTION("""COMPUTED_VALUE"""),"")</f>
        <v/>
      </c>
      <c r="AO547" s="1" t="str">
        <f>IFERROR(__xludf.DUMMYFUNCTION("""COMPUTED_VALUE"""),"")</f>
        <v/>
      </c>
      <c r="AP547" s="1" t="str">
        <f>IFERROR(__xludf.DUMMYFUNCTION("""COMPUTED_VALUE"""),"")</f>
        <v/>
      </c>
      <c r="AQ547" s="1" t="str">
        <f>IFERROR(__xludf.DUMMYFUNCTION("""COMPUTED_VALUE"""),"08/09/2025")</f>
        <v>08/09/2025</v>
      </c>
      <c r="AR547" s="1" t="str">
        <f>IFERROR(__xludf.DUMMYFUNCTION("""COMPUTED_VALUE"""),"08/09/2025")</f>
        <v>08/09/2025</v>
      </c>
    </row>
    <row r="548">
      <c r="A548" s="1" t="str">
        <f>IFERROR(__xludf.DUMMYFUNCTION("""COMPUTED_VALUE"""),"Google Lenoir Data Center")</f>
        <v>Google Lenoir Data Center</v>
      </c>
      <c r="B548" s="1" t="str">
        <f>IFERROR(__xludf.DUMMYFUNCTION("""COMPUTED_VALUE"""),"708 Lynhaven Dr")</f>
        <v>708 Lynhaven Dr</v>
      </c>
      <c r="C548" s="1" t="str">
        <f>IFERROR(__xludf.DUMMYFUNCTION("""COMPUTED_VALUE"""),"Lenoir")</f>
        <v>Lenoir</v>
      </c>
      <c r="D548" s="1" t="str">
        <f>IFERROR(__xludf.DUMMYFUNCTION("""COMPUTED_VALUE"""),"NC")</f>
        <v>NC</v>
      </c>
      <c r="E548" s="1" t="str">
        <f>IFERROR(__xludf.DUMMYFUNCTION("""COMPUTED_VALUE"""),"28645")</f>
        <v>28645</v>
      </c>
      <c r="F548" s="1" t="str">
        <f>IFERROR(__xludf.DUMMYFUNCTION("""COMPUTED_VALUE"""),"Caldwell")</f>
        <v>Caldwell</v>
      </c>
      <c r="G548" s="1" t="str">
        <f>IFERROR(__xludf.DUMMYFUNCTION("""COMPUTED_VALUE"""),"35.89313")</f>
        <v>35.89313</v>
      </c>
      <c r="H548" s="1" t="str">
        <f>IFERROR(__xludf.DUMMYFUNCTION("""COMPUTED_VALUE"""),"-81.5461")</f>
        <v>-81.5461</v>
      </c>
      <c r="I548" s="1" t="str">
        <f>IFERROR(__xludf.DUMMYFUNCTION("""COMPUTED_VALUE"""),"Expanding")</f>
        <v>Expanding</v>
      </c>
      <c r="J548" s="1" t="str">
        <f>IFERROR(__xludf.DUMMYFUNCTION("""COMPUTED_VALUE"""),"High")</f>
        <v>High</v>
      </c>
      <c r="K548" s="1" t="str">
        <f>IFERROR(__xludf.DUMMYFUNCTION("""COMPUTED_VALUE"""),"")</f>
        <v/>
      </c>
      <c r="L548" s="1" t="str">
        <f>IFERROR(__xludf.DUMMYFUNCTION("""COMPUTED_VALUE"""),"Google")</f>
        <v>Google</v>
      </c>
      <c r="M548" s="1" t="str">
        <f>IFERROR(__xludf.DUMMYFUNCTION("""COMPUTED_VALUE"""),"")</f>
        <v/>
      </c>
      <c r="N548" s="1" t="str">
        <f>IFERROR(__xludf.DUMMYFUNCTION("""COMPUTED_VALUE"""),"")</f>
        <v/>
      </c>
      <c r="O548" s="1" t="str">
        <f>IFERROR(__xludf.DUMMYFUNCTION("""COMPUTED_VALUE"""),"Unknown")</f>
        <v>Unknown</v>
      </c>
      <c r="P548" s="1" t="str">
        <f>IFERROR(__xludf.DUMMYFUNCTION("""COMPUTED_VALUE"""),"")</f>
        <v/>
      </c>
      <c r="Q548" s="1" t="str">
        <f>IFERROR(__xludf.DUMMYFUNCTION("""COMPUTED_VALUE"""),"")</f>
        <v/>
      </c>
      <c r="R548" s="1" t="str">
        <f>IFERROR(__xludf.DUMMYFUNCTION("""COMPUTED_VALUE"""),"")</f>
        <v/>
      </c>
      <c r="S548" s="1" t="str">
        <f>IFERROR(__xludf.DUMMYFUNCTION("""COMPUTED_VALUE"""),"")</f>
        <v/>
      </c>
      <c r="T548" s="1" t="str">
        <f>IFERROR(__xludf.DUMMYFUNCTION("""COMPUTED_VALUE"""),"")</f>
        <v/>
      </c>
      <c r="U548" s="1" t="str">
        <f>IFERROR(__xludf.DUMMYFUNCTION("""COMPUTED_VALUE"""),"")</f>
        <v/>
      </c>
      <c r="V548" s="1" t="str">
        <f>IFERROR(__xludf.DUMMYFUNCTION("""COMPUTED_VALUE"""),"")</f>
        <v/>
      </c>
      <c r="W548" s="1" t="str">
        <f>IFERROR(__xludf.DUMMYFUNCTION("""COMPUTED_VALUE"""),"")</f>
        <v/>
      </c>
      <c r="X548" s="1" t="str">
        <f>IFERROR(__xludf.DUMMYFUNCTION("""COMPUTED_VALUE"""),"")</f>
        <v/>
      </c>
      <c r="Y548" s="1" t="str">
        <f>IFERROR(__xludf.DUMMYFUNCTION("""COMPUTED_VALUE"""),"")</f>
        <v/>
      </c>
      <c r="Z548" s="1" t="str">
        <f>IFERROR(__xludf.DUMMYFUNCTION("""COMPUTED_VALUE"""),"Unknown")</f>
        <v>Unknown</v>
      </c>
      <c r="AA548" s="1" t="str">
        <f>IFERROR(__xludf.DUMMYFUNCTION("""COMPUTED_VALUE"""),"")</f>
        <v/>
      </c>
      <c r="AB548" s="1" t="str">
        <f>IFERROR(__xludf.DUMMYFUNCTION("""COMPUTED_VALUE"""),"")</f>
        <v/>
      </c>
      <c r="AC548" s="1" t="str">
        <f>IFERROR(__xludf.DUMMYFUNCTION("""COMPUTED_VALUE"""),"")</f>
        <v/>
      </c>
      <c r="AD548" s="1" t="str">
        <f>IFERROR(__xludf.DUMMYFUNCTION("""COMPUTED_VALUE"""),"")</f>
        <v/>
      </c>
      <c r="AE548" s="1" t="str">
        <f>IFERROR(__xludf.DUMMYFUNCTION("""COMPUTED_VALUE"""),"")</f>
        <v/>
      </c>
      <c r="AF548" s="1" t="str">
        <f>IFERROR(__xludf.DUMMYFUNCTION("""COMPUTED_VALUE"""),"")</f>
        <v/>
      </c>
      <c r="AG548" s="1" t="str">
        <f>IFERROR(__xludf.DUMMYFUNCTION("""COMPUTED_VALUE"""),"")</f>
        <v/>
      </c>
      <c r="AH548" s="1" t="str">
        <f>IFERROR(__xludf.DUMMYFUNCTION("""COMPUTED_VALUE"""),"Media Monitoring")</f>
        <v>Media Monitoring</v>
      </c>
      <c r="AI548" s="2" t="str">
        <f>IFERROR(__xludf.DUMMYFUNCTION("""COMPUTED_VALUE"""),"https://www.charlotteobserver.com/news/business/article315041493.html")</f>
        <v>https://www.charlotteobserver.com/news/business/article315041493.html</v>
      </c>
      <c r="AJ548" s="1" t="str">
        <f>IFERROR(__xludf.DUMMYFUNCTION("""COMPUTED_VALUE"""),"")</f>
        <v/>
      </c>
      <c r="AK548" s="1" t="str">
        <f>IFERROR(__xludf.DUMMYFUNCTION("""COMPUTED_VALUE"""),"")</f>
        <v/>
      </c>
      <c r="AL548" s="1" t="str">
        <f>IFERROR(__xludf.DUMMYFUNCTION("""COMPUTED_VALUE"""),"")</f>
        <v/>
      </c>
      <c r="AM548" s="1" t="str">
        <f>IFERROR(__xludf.DUMMYFUNCTION("""COMPUTED_VALUE"""),"")</f>
        <v/>
      </c>
      <c r="AN548" s="1" t="str">
        <f>IFERROR(__xludf.DUMMYFUNCTION("""COMPUTED_VALUE"""),"")</f>
        <v/>
      </c>
      <c r="AO548" s="1" t="str">
        <f>IFERROR(__xludf.DUMMYFUNCTION("""COMPUTED_VALUE"""),"")</f>
        <v/>
      </c>
      <c r="AP548" s="1" t="str">
        <f>IFERROR(__xludf.DUMMYFUNCTION("""COMPUTED_VALUE"""),"")</f>
        <v/>
      </c>
      <c r="AQ548" s="1" t="str">
        <f>IFERROR(__xludf.DUMMYFUNCTION("""COMPUTED_VALUE"""),"08/09/2025")</f>
        <v>08/09/2025</v>
      </c>
      <c r="AR548" s="1" t="str">
        <f>IFERROR(__xludf.DUMMYFUNCTION("""COMPUTED_VALUE"""),"06/01/2026")</f>
        <v>06/01/2026</v>
      </c>
    </row>
    <row r="549">
      <c r="A549" s="1" t="str">
        <f>IFERROR(__xludf.DUMMYFUNCTION("""COMPUTED_VALUE"""),"Enovum Data Center")</f>
        <v>Enovum Data Center</v>
      </c>
      <c r="B549" s="1" t="str">
        <f>IFERROR(__xludf.DUMMYFUNCTION("""COMPUTED_VALUE"""),"805 Island Dr")</f>
        <v>805 Island Dr</v>
      </c>
      <c r="C549" s="1" t="str">
        <f>IFERROR(__xludf.DUMMYFUNCTION("""COMPUTED_VALUE"""),"Madison")</f>
        <v>Madison</v>
      </c>
      <c r="D549" s="1" t="str">
        <f>IFERROR(__xludf.DUMMYFUNCTION("""COMPUTED_VALUE"""),"NC")</f>
        <v>NC</v>
      </c>
      <c r="E549" s="1" t="str">
        <f>IFERROR(__xludf.DUMMYFUNCTION("""COMPUTED_VALUE"""),"27025")</f>
        <v>27025</v>
      </c>
      <c r="F549" s="1" t="str">
        <f>IFERROR(__xludf.DUMMYFUNCTION("""COMPUTED_VALUE"""),"Rockingham")</f>
        <v>Rockingham</v>
      </c>
      <c r="G549" s="1" t="str">
        <f>IFERROR(__xludf.DUMMYFUNCTION("""COMPUTED_VALUE"""),"36.40271")</f>
        <v>36.40271</v>
      </c>
      <c r="H549" s="1" t="str">
        <f>IFERROR(__xludf.DUMMYFUNCTION("""COMPUTED_VALUE"""),"-79.9882")</f>
        <v>-79.9882</v>
      </c>
      <c r="I549" s="1" t="str">
        <f>IFERROR(__xludf.DUMMYFUNCTION("""COMPUTED_VALUE"""),"Proposed")</f>
        <v>Proposed</v>
      </c>
      <c r="J549" s="1" t="str">
        <f>IFERROR(__xludf.DUMMYFUNCTION("""COMPUTED_VALUE"""),"High")</f>
        <v>High</v>
      </c>
      <c r="K549" s="1" t="str">
        <f>IFERROR(__xludf.DUMMYFUNCTION("""COMPUTED_VALUE"""),"")</f>
        <v/>
      </c>
      <c r="L549" s="1" t="str">
        <f>IFERROR(__xludf.DUMMYFUNCTION("""COMPUTED_VALUE"""),"")</f>
        <v/>
      </c>
      <c r="M549" s="1" t="str">
        <f>IFERROR(__xludf.DUMMYFUNCTION("""COMPUTED_VALUE"""),"")</f>
        <v/>
      </c>
      <c r="N549" s="1" t="str">
        <f>IFERROR(__xludf.DUMMYFUNCTION("""COMPUTED_VALUE"""),"99-200")</f>
        <v>99-200</v>
      </c>
      <c r="O549" s="1" t="str">
        <f>IFERROR(__xludf.DUMMYFUNCTION("""COMPUTED_VALUE"""),"Hyperscale (100-999 MW)")</f>
        <v>Hyperscale (100-999 MW)</v>
      </c>
      <c r="P549" s="1" t="str">
        <f>IFERROR(__xludf.DUMMYFUNCTION("""COMPUTED_VALUE"""),"")</f>
        <v/>
      </c>
      <c r="Q549" s="1" t="str">
        <f>IFERROR(__xludf.DUMMYFUNCTION("""COMPUTED_VALUE"""),"")</f>
        <v/>
      </c>
      <c r="R549" s="1" t="str">
        <f>IFERROR(__xludf.DUMMYFUNCTION("""COMPUTED_VALUE"""),"")</f>
        <v/>
      </c>
      <c r="S549" s="1" t="str">
        <f>IFERROR(__xludf.DUMMYFUNCTION("""COMPUTED_VALUE"""),"")</f>
        <v/>
      </c>
      <c r="T549" s="1" t="str">
        <f>IFERROR(__xludf.DUMMYFUNCTION("""COMPUTED_VALUE"""),"")</f>
        <v/>
      </c>
      <c r="U549" s="1" t="str">
        <f>IFERROR(__xludf.DUMMYFUNCTION("""COMPUTED_VALUE"""),"")</f>
        <v/>
      </c>
      <c r="V549" s="1" t="str">
        <f>IFERROR(__xludf.DUMMYFUNCTION("""COMPUTED_VALUE"""),"")</f>
        <v/>
      </c>
      <c r="W549" s="1" t="str">
        <f>IFERROR(__xludf.DUMMYFUNCTION("""COMPUTED_VALUE"""),"96")</f>
        <v>96</v>
      </c>
      <c r="X549" s="1" t="str">
        <f>IFERROR(__xludf.DUMMYFUNCTION("""COMPUTED_VALUE"""),"$45 million")</f>
        <v>$45 million</v>
      </c>
      <c r="Y549" s="1" t="str">
        <f>IFERROR(__xludf.DUMMYFUNCTION("""COMPUTED_VALUE"""),"")</f>
        <v/>
      </c>
      <c r="Z549" s="1" t="str">
        <f>IFERROR(__xludf.DUMMYFUNCTION("""COMPUTED_VALUE"""),"Unknown")</f>
        <v>Unknown</v>
      </c>
      <c r="AA549" s="1" t="str">
        <f>IFERROR(__xludf.DUMMYFUNCTION("""COMPUTED_VALUE"""),"")</f>
        <v/>
      </c>
      <c r="AB549" s="1" t="str">
        <f>IFERROR(__xludf.DUMMYFUNCTION("""COMPUTED_VALUE"""),"")</f>
        <v/>
      </c>
      <c r="AC549" s="1" t="str">
        <f>IFERROR(__xludf.DUMMYFUNCTION("""COMPUTED_VALUE"""),"")</f>
        <v/>
      </c>
      <c r="AD549" s="1" t="str">
        <f>IFERROR(__xludf.DUMMYFUNCTION("""COMPUTED_VALUE"""),"")</f>
        <v/>
      </c>
      <c r="AE549" s="1" t="str">
        <f>IFERROR(__xludf.DUMMYFUNCTION("""COMPUTED_VALUE"""),"")</f>
        <v/>
      </c>
      <c r="AF549" s="1" t="str">
        <f>IFERROR(__xludf.DUMMYFUNCTION("""COMPUTED_VALUE"""),"")</f>
        <v/>
      </c>
      <c r="AG549" s="1" t="str">
        <f>IFERROR(__xludf.DUMMYFUNCTION("""COMPUTED_VALUE"""),"")</f>
        <v/>
      </c>
      <c r="AH549" s="1" t="str">
        <f>IFERROR(__xludf.DUMMYFUNCTION("""COMPUTED_VALUE"""),"Media Monitoring")</f>
        <v>Media Monitoring</v>
      </c>
      <c r="AI549" s="2" t="str">
        <f>IFERROR(__xludf.DUMMYFUNCTION("""COMPUTED_VALUE"""),"https://www.wfmynews2.com/article/news/local/whitefiber-ai-data-center-madison-north-carolina/83-42852391-6c1e-4f7e-bc4d-4cc2173b9edf")</f>
        <v>https://www.wfmynews2.com/article/news/local/whitefiber-ai-data-center-madison-north-carolina/83-42852391-6c1e-4f7e-bc4d-4cc2173b9edf</v>
      </c>
      <c r="AJ549" s="2" t="str">
        <f>IFERROR(__xludf.DUMMYFUNCTION("""COMPUTED_VALUE"""),"https://www.datacenterdynamics.com/en/news/bit-digital-acquires-manufacturing-site-in-north-carolina-plans-99mw-data-center/")</f>
        <v>https://www.datacenterdynamics.com/en/news/bit-digital-acquires-manufacturing-site-in-north-carolina-plans-99mw-data-center/</v>
      </c>
      <c r="AK549" s="1" t="str">
        <f>IFERROR(__xludf.DUMMYFUNCTION("""COMPUTED_VALUE"""),"")</f>
        <v/>
      </c>
      <c r="AL549" s="1" t="str">
        <f>IFERROR(__xludf.DUMMYFUNCTION("""COMPUTED_VALUE"""),"")</f>
        <v/>
      </c>
      <c r="AM549" s="1" t="str">
        <f>IFERROR(__xludf.DUMMYFUNCTION("""COMPUTED_VALUE"""),"")</f>
        <v/>
      </c>
      <c r="AN549" s="1" t="str">
        <f>IFERROR(__xludf.DUMMYFUNCTION("""COMPUTED_VALUE"""),"")</f>
        <v/>
      </c>
      <c r="AO549" s="1" t="str">
        <f>IFERROR(__xludf.DUMMYFUNCTION("""COMPUTED_VALUE"""),"")</f>
        <v/>
      </c>
      <c r="AP549" s="1" t="str">
        <f>IFERROR(__xludf.DUMMYFUNCTION("""COMPUTED_VALUE"""),"")</f>
        <v/>
      </c>
      <c r="AQ549" s="1" t="str">
        <f>IFERROR(__xludf.DUMMYFUNCTION("""COMPUTED_VALUE"""),"06/05/2025")</f>
        <v>06/05/2025</v>
      </c>
      <c r="AR549" s="1" t="str">
        <f>IFERROR(__xludf.DUMMYFUNCTION("""COMPUTED_VALUE"""),"06/05/2025")</f>
        <v>06/05/2025</v>
      </c>
    </row>
    <row r="550">
      <c r="A550" s="1" t="str">
        <f>IFERROR(__xludf.DUMMYFUNCTION("""COMPUTED_VALUE"""),"Apple Maiden Data Center")</f>
        <v>Apple Maiden Data Center</v>
      </c>
      <c r="B550" s="1" t="str">
        <f>IFERROR(__xludf.DUMMYFUNCTION("""COMPUTED_VALUE"""),"5977 Startown Rd")</f>
        <v>5977 Startown Rd</v>
      </c>
      <c r="C550" s="1" t="str">
        <f>IFERROR(__xludf.DUMMYFUNCTION("""COMPUTED_VALUE"""),"Maiden")</f>
        <v>Maiden</v>
      </c>
      <c r="D550" s="1" t="str">
        <f>IFERROR(__xludf.DUMMYFUNCTION("""COMPUTED_VALUE"""),"NC")</f>
        <v>NC</v>
      </c>
      <c r="E550" s="1" t="str">
        <f>IFERROR(__xludf.DUMMYFUNCTION("""COMPUTED_VALUE"""),"28650")</f>
        <v>28650</v>
      </c>
      <c r="F550" s="1" t="str">
        <f>IFERROR(__xludf.DUMMYFUNCTION("""COMPUTED_VALUE"""),"Catawba")</f>
        <v>Catawba</v>
      </c>
      <c r="G550" s="1" t="str">
        <f>IFERROR(__xludf.DUMMYFUNCTION("""COMPUTED_VALUE"""),"35.58726")</f>
        <v>35.58726</v>
      </c>
      <c r="H550" s="1" t="str">
        <f>IFERROR(__xludf.DUMMYFUNCTION("""COMPUTED_VALUE"""),"-81.2595")</f>
        <v>-81.2595</v>
      </c>
      <c r="I550" s="1" t="str">
        <f>IFERROR(__xludf.DUMMYFUNCTION("""COMPUTED_VALUE"""),"Operating")</f>
        <v>Operating</v>
      </c>
      <c r="J550" s="1" t="str">
        <f>IFERROR(__xludf.DUMMYFUNCTION("""COMPUTED_VALUE"""),"High")</f>
        <v>High</v>
      </c>
      <c r="K550" s="1" t="str">
        <f>IFERROR(__xludf.DUMMYFUNCTION("""COMPUTED_VALUE"""),"")</f>
        <v/>
      </c>
      <c r="L550" s="1" t="str">
        <f>IFERROR(__xludf.DUMMYFUNCTION("""COMPUTED_VALUE"""),"")</f>
        <v/>
      </c>
      <c r="M550" s="1" t="str">
        <f>IFERROR(__xludf.DUMMYFUNCTION("""COMPUTED_VALUE"""),"")</f>
        <v/>
      </c>
      <c r="N550" s="1" t="str">
        <f>IFERROR(__xludf.DUMMYFUNCTION("""COMPUTED_VALUE"""),"")</f>
        <v/>
      </c>
      <c r="O550" s="1" t="str">
        <f>IFERROR(__xludf.DUMMYFUNCTION("""COMPUTED_VALUE"""),"Unknown")</f>
        <v>Unknown</v>
      </c>
      <c r="P550" s="1" t="str">
        <f>IFERROR(__xludf.DUMMYFUNCTION("""COMPUTED_VALUE"""),"")</f>
        <v/>
      </c>
      <c r="Q550" s="1" t="str">
        <f>IFERROR(__xludf.DUMMYFUNCTION("""COMPUTED_VALUE"""),"")</f>
        <v/>
      </c>
      <c r="R550" s="1" t="str">
        <f>IFERROR(__xludf.DUMMYFUNCTION("""COMPUTED_VALUE"""),"")</f>
        <v/>
      </c>
      <c r="S550" s="1" t="str">
        <f>IFERROR(__xludf.DUMMYFUNCTION("""COMPUTED_VALUE"""),"")</f>
        <v/>
      </c>
      <c r="T550" s="1" t="str">
        <f>IFERROR(__xludf.DUMMYFUNCTION("""COMPUTED_VALUE"""),"")</f>
        <v/>
      </c>
      <c r="U550" s="1" t="str">
        <f>IFERROR(__xludf.DUMMYFUNCTION("""COMPUTED_VALUE"""),"")</f>
        <v/>
      </c>
      <c r="V550" s="1" t="str">
        <f>IFERROR(__xludf.DUMMYFUNCTION("""COMPUTED_VALUE"""),"")</f>
        <v/>
      </c>
      <c r="W550" s="1" t="str">
        <f>IFERROR(__xludf.DUMMYFUNCTION("""COMPUTED_VALUE"""),"")</f>
        <v/>
      </c>
      <c r="X550" s="1" t="str">
        <f>IFERROR(__xludf.DUMMYFUNCTION("""COMPUTED_VALUE"""),"")</f>
        <v/>
      </c>
      <c r="Y550" s="1" t="str">
        <f>IFERROR(__xludf.DUMMYFUNCTION("""COMPUTED_VALUE"""),"")</f>
        <v/>
      </c>
      <c r="Z550" s="1" t="str">
        <f>IFERROR(__xludf.DUMMYFUNCTION("""COMPUTED_VALUE"""),"Unknown")</f>
        <v>Unknown</v>
      </c>
      <c r="AA550" s="1" t="str">
        <f>IFERROR(__xludf.DUMMYFUNCTION("""COMPUTED_VALUE"""),"")</f>
        <v/>
      </c>
      <c r="AB550" s="1" t="str">
        <f>IFERROR(__xludf.DUMMYFUNCTION("""COMPUTED_VALUE"""),"")</f>
        <v/>
      </c>
      <c r="AC550" s="1" t="str">
        <f>IFERROR(__xludf.DUMMYFUNCTION("""COMPUTED_VALUE"""),"")</f>
        <v/>
      </c>
      <c r="AD550" s="1" t="str">
        <f>IFERROR(__xludf.DUMMYFUNCTION("""COMPUTED_VALUE"""),"")</f>
        <v/>
      </c>
      <c r="AE550" s="1" t="str">
        <f>IFERROR(__xludf.DUMMYFUNCTION("""COMPUTED_VALUE"""),"")</f>
        <v/>
      </c>
      <c r="AF550" s="1" t="str">
        <f>IFERROR(__xludf.DUMMYFUNCTION("""COMPUTED_VALUE"""),"")</f>
        <v/>
      </c>
      <c r="AG550" s="1" t="str">
        <f>IFERROR(__xludf.DUMMYFUNCTION("""COMPUTED_VALUE"""),"")</f>
        <v/>
      </c>
      <c r="AH550" s="1" t="str">
        <f>IFERROR(__xludf.DUMMYFUNCTION("""COMPUTED_VALUE"""),"Media Monitoring")</f>
        <v>Media Monitoring</v>
      </c>
      <c r="AI550" s="1" t="str">
        <f>IFERROR(__xludf.DUMMYFUNCTION("""COMPUTED_VALUE"""),"")</f>
        <v/>
      </c>
      <c r="AJ550" s="1" t="str">
        <f>IFERROR(__xludf.DUMMYFUNCTION("""COMPUTED_VALUE"""),"")</f>
        <v/>
      </c>
      <c r="AK550" s="1" t="str">
        <f>IFERROR(__xludf.DUMMYFUNCTION("""COMPUTED_VALUE"""),"")</f>
        <v/>
      </c>
      <c r="AL550" s="1" t="str">
        <f>IFERROR(__xludf.DUMMYFUNCTION("""COMPUTED_VALUE"""),"")</f>
        <v/>
      </c>
      <c r="AM550" s="1" t="str">
        <f>IFERROR(__xludf.DUMMYFUNCTION("""COMPUTED_VALUE"""),"")</f>
        <v/>
      </c>
      <c r="AN550" s="1" t="str">
        <f>IFERROR(__xludf.DUMMYFUNCTION("""COMPUTED_VALUE"""),"")</f>
        <v/>
      </c>
      <c r="AO550" s="1" t="str">
        <f>IFERROR(__xludf.DUMMYFUNCTION("""COMPUTED_VALUE"""),"")</f>
        <v/>
      </c>
      <c r="AP550" s="1" t="str">
        <f>IFERROR(__xludf.DUMMYFUNCTION("""COMPUTED_VALUE"""),"")</f>
        <v/>
      </c>
      <c r="AQ550" s="1" t="str">
        <f>IFERROR(__xludf.DUMMYFUNCTION("""COMPUTED_VALUE"""),"08/09/2025")</f>
        <v>08/09/2025</v>
      </c>
      <c r="AR550" s="1" t="str">
        <f>IFERROR(__xludf.DUMMYFUNCTION("""COMPUTED_VALUE"""),"08/09/2025")</f>
        <v>08/09/2025</v>
      </c>
    </row>
    <row r="551">
      <c r="A551" s="1" t="str">
        <f>IFERROR(__xludf.DUMMYFUNCTION("""COMPUTED_VALUE"""),"Project Yoga")</f>
        <v>Project Yoga</v>
      </c>
      <c r="B551" s="1" t="str">
        <f>IFERROR(__xludf.DUMMYFUNCTION("""COMPUTED_VALUE"""),"1400 Zeb Haynes Rd")</f>
        <v>1400 Zeb Haynes Rd</v>
      </c>
      <c r="C551" s="1" t="str">
        <f>IFERROR(__xludf.DUMMYFUNCTION("""COMPUTED_VALUE"""),"Maiden")</f>
        <v>Maiden</v>
      </c>
      <c r="D551" s="1" t="str">
        <f>IFERROR(__xludf.DUMMYFUNCTION("""COMPUTED_VALUE"""),"NC")</f>
        <v>NC</v>
      </c>
      <c r="E551" s="1" t="str">
        <f>IFERROR(__xludf.DUMMYFUNCTION("""COMPUTED_VALUE"""),"28650")</f>
        <v>28650</v>
      </c>
      <c r="F551" s="1" t="str">
        <f>IFERROR(__xludf.DUMMYFUNCTION("""COMPUTED_VALUE"""),"Catawba")</f>
        <v>Catawba</v>
      </c>
      <c r="G551" s="1" t="str">
        <f>IFERROR(__xludf.DUMMYFUNCTION("""COMPUTED_VALUE"""),"35.58554")</f>
        <v>35.58554</v>
      </c>
      <c r="H551" s="1" t="str">
        <f>IFERROR(__xludf.DUMMYFUNCTION("""COMPUTED_VALUE"""),"-81.2315")</f>
        <v>-81.2315</v>
      </c>
      <c r="I551" s="1" t="str">
        <f>IFERROR(__xludf.DUMMYFUNCTION("""COMPUTED_VALUE"""),"Approved/Permitted/Under construction")</f>
        <v>Approved/Permitted/Under construction</v>
      </c>
      <c r="J551" s="1" t="str">
        <f>IFERROR(__xludf.DUMMYFUNCTION("""COMPUTED_VALUE"""),"High")</f>
        <v>High</v>
      </c>
      <c r="K551" s="1" t="str">
        <f>IFERROR(__xludf.DUMMYFUNCTION("""COMPUTED_VALUE"""),"")</f>
        <v/>
      </c>
      <c r="L551" s="1" t="str">
        <f>IFERROR(__xludf.DUMMYFUNCTION("""COMPUTED_VALUE"""),"Microsoft")</f>
        <v>Microsoft</v>
      </c>
      <c r="M551" s="1" t="str">
        <f>IFERROR(__xludf.DUMMYFUNCTION("""COMPUTED_VALUE"""),"")</f>
        <v/>
      </c>
      <c r="N551" s="1" t="str">
        <f>IFERROR(__xludf.DUMMYFUNCTION("""COMPUTED_VALUE"""),"")</f>
        <v/>
      </c>
      <c r="O551" s="1" t="str">
        <f>IFERROR(__xludf.DUMMYFUNCTION("""COMPUTED_VALUE"""),"Unknown")</f>
        <v>Unknown</v>
      </c>
      <c r="P551" s="1" t="str">
        <f>IFERROR(__xludf.DUMMYFUNCTION("""COMPUTED_VALUE"""),"")</f>
        <v/>
      </c>
      <c r="Q551" s="1" t="str">
        <f>IFERROR(__xludf.DUMMYFUNCTION("""COMPUTED_VALUE"""),"")</f>
        <v/>
      </c>
      <c r="R551" s="1" t="str">
        <f>IFERROR(__xludf.DUMMYFUNCTION("""COMPUTED_VALUE"""),"")</f>
        <v/>
      </c>
      <c r="S551" s="1" t="str">
        <f>IFERROR(__xludf.DUMMYFUNCTION("""COMPUTED_VALUE"""),"")</f>
        <v/>
      </c>
      <c r="T551" s="1" t="str">
        <f>IFERROR(__xludf.DUMMYFUNCTION("""COMPUTED_VALUE"""),"")</f>
        <v/>
      </c>
      <c r="U551" s="1" t="str">
        <f>IFERROR(__xludf.DUMMYFUNCTION("""COMPUTED_VALUE"""),"")</f>
        <v/>
      </c>
      <c r="V551" s="1" t="str">
        <f>IFERROR(__xludf.DUMMYFUNCTION("""COMPUTED_VALUE"""),"")</f>
        <v/>
      </c>
      <c r="W551" s="1" t="str">
        <f>IFERROR(__xludf.DUMMYFUNCTION("""COMPUTED_VALUE"""),"113")</f>
        <v>113</v>
      </c>
      <c r="X551" s="1" t="str">
        <f>IFERROR(__xludf.DUMMYFUNCTION("""COMPUTED_VALUE"""),"$3.7 million")</f>
        <v>$3.7 million</v>
      </c>
      <c r="Y551" s="1" t="str">
        <f>IFERROR(__xludf.DUMMYFUNCTION("""COMPUTED_VALUE"""),"")</f>
        <v/>
      </c>
      <c r="Z551" s="1" t="str">
        <f>IFERROR(__xludf.DUMMYFUNCTION("""COMPUTED_VALUE"""),"Unknown")</f>
        <v>Unknown</v>
      </c>
      <c r="AA551" s="1" t="str">
        <f>IFERROR(__xludf.DUMMYFUNCTION("""COMPUTED_VALUE"""),"")</f>
        <v/>
      </c>
      <c r="AB551" s="1" t="str">
        <f>IFERROR(__xludf.DUMMYFUNCTION("""COMPUTED_VALUE"""),"")</f>
        <v/>
      </c>
      <c r="AC551" s="1" t="str">
        <f>IFERROR(__xludf.DUMMYFUNCTION("""COMPUTED_VALUE"""),"")</f>
        <v/>
      </c>
      <c r="AD551" s="1" t="str">
        <f>IFERROR(__xludf.DUMMYFUNCTION("""COMPUTED_VALUE"""),"")</f>
        <v/>
      </c>
      <c r="AE551" s="1" t="str">
        <f>IFERROR(__xludf.DUMMYFUNCTION("""COMPUTED_VALUE"""),"")</f>
        <v/>
      </c>
      <c r="AF551" s="1" t="str">
        <f>IFERROR(__xludf.DUMMYFUNCTION("""COMPUTED_VALUE"""),"")</f>
        <v/>
      </c>
      <c r="AG551" s="1" t="str">
        <f>IFERROR(__xludf.DUMMYFUNCTION("""COMPUTED_VALUE"""),"")</f>
        <v/>
      </c>
      <c r="AH551" s="1" t="str">
        <f>IFERROR(__xludf.DUMMYFUNCTION("""COMPUTED_VALUE"""),"Media Monitoring")</f>
        <v>Media Monitoring</v>
      </c>
      <c r="AI551" s="2" t="str">
        <f>IFERROR(__xludf.DUMMYFUNCTION("""COMPUTED_VALUE"""),"https://www.datacenterdynamics.com/en/news/microsoft-breaks-ground-on-second-data-center-campus-in-north-carolina/")</f>
        <v>https://www.datacenterdynamics.com/en/news/microsoft-breaks-ground-on-second-data-center-campus-in-north-carolina/</v>
      </c>
      <c r="AJ551" s="2" t="str">
        <f>IFERROR(__xludf.DUMMYFUNCTION("""COMPUTED_VALUE"""),"https://www.datacenterdynamics.com/en/news/microsoft-begins-acquiring-land-in-north-carolina-for-data-centers/")</f>
        <v>https://www.datacenterdynamics.com/en/news/microsoft-begins-acquiring-land-in-north-carolina-for-data-centers/</v>
      </c>
      <c r="AK551" s="1" t="str">
        <f>IFERROR(__xludf.DUMMYFUNCTION("""COMPUTED_VALUE"""),"")</f>
        <v/>
      </c>
      <c r="AL551" s="1" t="str">
        <f>IFERROR(__xludf.DUMMYFUNCTION("""COMPUTED_VALUE"""),"")</f>
        <v/>
      </c>
      <c r="AM551" s="1" t="str">
        <f>IFERROR(__xludf.DUMMYFUNCTION("""COMPUTED_VALUE"""),"")</f>
        <v/>
      </c>
      <c r="AN551" s="1" t="str">
        <f>IFERROR(__xludf.DUMMYFUNCTION("""COMPUTED_VALUE"""),"")</f>
        <v/>
      </c>
      <c r="AO551" s="1" t="str">
        <f>IFERROR(__xludf.DUMMYFUNCTION("""COMPUTED_VALUE"""),"")</f>
        <v/>
      </c>
      <c r="AP551" s="1" t="str">
        <f>IFERROR(__xludf.DUMMYFUNCTION("""COMPUTED_VALUE"""),"")</f>
        <v/>
      </c>
      <c r="AQ551" s="1" t="str">
        <f>IFERROR(__xludf.DUMMYFUNCTION("""COMPUTED_VALUE"""),"05/27/2025")</f>
        <v>05/27/2025</v>
      </c>
      <c r="AR551" s="1" t="str">
        <f>IFERROR(__xludf.DUMMYFUNCTION("""COMPUTED_VALUE"""),"05/20/2026")</f>
        <v>05/20/2026</v>
      </c>
    </row>
    <row r="552">
      <c r="A552" s="1" t="str">
        <f>IFERROR(__xludf.DUMMYFUNCTION("""COMPUTED_VALUE"""),"Project Accelerate")</f>
        <v>Project Accelerate</v>
      </c>
      <c r="B552" s="1" t="str">
        <f>IFERROR(__xludf.DUMMYFUNCTION("""COMPUTED_VALUE"""),"East John St")</f>
        <v>East John St</v>
      </c>
      <c r="C552" s="1" t="str">
        <f>IFERROR(__xludf.DUMMYFUNCTION("""COMPUTED_VALUE"""),"Matthews")</f>
        <v>Matthews</v>
      </c>
      <c r="D552" s="1" t="str">
        <f>IFERROR(__xludf.DUMMYFUNCTION("""COMPUTED_VALUE"""),"NC")</f>
        <v>NC</v>
      </c>
      <c r="E552" s="1" t="str">
        <f>IFERROR(__xludf.DUMMYFUNCTION("""COMPUTED_VALUE"""),"28105")</f>
        <v>28105</v>
      </c>
      <c r="F552" s="1" t="str">
        <f>IFERROR(__xludf.DUMMYFUNCTION("""COMPUTED_VALUE"""),"Mecklenburg")</f>
        <v>Mecklenburg</v>
      </c>
      <c r="G552" s="1" t="str">
        <f>IFERROR(__xludf.DUMMYFUNCTION("""COMPUTED_VALUE"""),"35.10738")</f>
        <v>35.10738</v>
      </c>
      <c r="H552" s="1" t="str">
        <f>IFERROR(__xludf.DUMMYFUNCTION("""COMPUTED_VALUE"""),"-80.71056")</f>
        <v>-80.71056</v>
      </c>
      <c r="I552" s="1" t="str">
        <f>IFERROR(__xludf.DUMMYFUNCTION("""COMPUTED_VALUE"""),"Cancelled")</f>
        <v>Cancelled</v>
      </c>
      <c r="J552" s="1" t="str">
        <f>IFERROR(__xludf.DUMMYFUNCTION("""COMPUTED_VALUE"""),"Medium")</f>
        <v>Medium</v>
      </c>
      <c r="K552" s="1" t="str">
        <f>IFERROR(__xludf.DUMMYFUNCTION("""COMPUTED_VALUE"""),"")</f>
        <v/>
      </c>
      <c r="L552" s="1" t="str">
        <f>IFERROR(__xludf.DUMMYFUNCTION("""COMPUTED_VALUE"""),"")</f>
        <v/>
      </c>
      <c r="M552" s="1" t="str">
        <f>IFERROR(__xludf.DUMMYFUNCTION("""COMPUTED_VALUE"""),"")</f>
        <v/>
      </c>
      <c r="N552" s="1" t="str">
        <f>IFERROR(__xludf.DUMMYFUNCTION("""COMPUTED_VALUE"""),"")</f>
        <v/>
      </c>
      <c r="O552" s="1" t="str">
        <f>IFERROR(__xludf.DUMMYFUNCTION("""COMPUTED_VALUE"""),"Unknown")</f>
        <v>Unknown</v>
      </c>
      <c r="P552" s="1" t="str">
        <f>IFERROR(__xludf.DUMMYFUNCTION("""COMPUTED_VALUE"""),"")</f>
        <v/>
      </c>
      <c r="Q552" s="1" t="str">
        <f>IFERROR(__xludf.DUMMYFUNCTION("""COMPUTED_VALUE"""),"")</f>
        <v/>
      </c>
      <c r="R552" s="1" t="str">
        <f>IFERROR(__xludf.DUMMYFUNCTION("""COMPUTED_VALUE"""),"")</f>
        <v/>
      </c>
      <c r="S552" s="1" t="str">
        <f>IFERROR(__xludf.DUMMYFUNCTION("""COMPUTED_VALUE"""),"")</f>
        <v/>
      </c>
      <c r="T552" s="1" t="str">
        <f>IFERROR(__xludf.DUMMYFUNCTION("""COMPUTED_VALUE"""),"")</f>
        <v/>
      </c>
      <c r="U552" s="1" t="str">
        <f>IFERROR(__xludf.DUMMYFUNCTION("""COMPUTED_VALUE"""),"")</f>
        <v/>
      </c>
      <c r="V552" s="1" t="str">
        <f>IFERROR(__xludf.DUMMYFUNCTION("""COMPUTED_VALUE"""),"")</f>
        <v/>
      </c>
      <c r="W552" s="1" t="str">
        <f>IFERROR(__xludf.DUMMYFUNCTION("""COMPUTED_VALUE"""),"123")</f>
        <v>123</v>
      </c>
      <c r="X552" s="1" t="str">
        <f>IFERROR(__xludf.DUMMYFUNCTION("""COMPUTED_VALUE"""),"")</f>
        <v/>
      </c>
      <c r="Y552" s="1" t="str">
        <f>IFERROR(__xludf.DUMMYFUNCTION("""COMPUTED_VALUE"""),"")</f>
        <v/>
      </c>
      <c r="Z552" s="1" t="str">
        <f>IFERROR(__xludf.DUMMYFUNCTION("""COMPUTED_VALUE"""),"Unknown")</f>
        <v>Unknown</v>
      </c>
      <c r="AA552" s="1" t="str">
        <f>IFERROR(__xludf.DUMMYFUNCTION("""COMPUTED_VALUE"""),"")</f>
        <v/>
      </c>
      <c r="AB552" s="1" t="str">
        <f>IFERROR(__xludf.DUMMYFUNCTION("""COMPUTED_VALUE"""),"")</f>
        <v/>
      </c>
      <c r="AC552" s="1" t="str">
        <f>IFERROR(__xludf.DUMMYFUNCTION("""COMPUTED_VALUE"""),"")</f>
        <v/>
      </c>
      <c r="AD552" s="1" t="str">
        <f>IFERROR(__xludf.DUMMYFUNCTION("""COMPUTED_VALUE"""),"")</f>
        <v/>
      </c>
      <c r="AE552" s="1" t="str">
        <f>IFERROR(__xludf.DUMMYFUNCTION("""COMPUTED_VALUE"""),"")</f>
        <v/>
      </c>
      <c r="AF552" s="1" t="str">
        <f>IFERROR(__xludf.DUMMYFUNCTION("""COMPUTED_VALUE"""),"")</f>
        <v/>
      </c>
      <c r="AG552" s="1" t="str">
        <f>IFERROR(__xludf.DUMMYFUNCTION("""COMPUTED_VALUE"""),"")</f>
        <v/>
      </c>
      <c r="AH552" s="1" t="str">
        <f>IFERROR(__xludf.DUMMYFUNCTION("""COMPUTED_VALUE"""),"Media Monitoring")</f>
        <v>Media Monitoring</v>
      </c>
      <c r="AI552" s="2" t="str">
        <f>IFERROR(__xludf.DUMMYFUNCTION("""COMPUTED_VALUE"""),"https://www.datacenterdynamics.com/en/news/project-accelerate-data-center-proposal-withdrawn/")</f>
        <v>https://www.datacenterdynamics.com/en/news/project-accelerate-data-center-proposal-withdrawn/</v>
      </c>
      <c r="AJ552" s="1" t="str">
        <f>IFERROR(__xludf.DUMMYFUNCTION("""COMPUTED_VALUE"""),"")</f>
        <v/>
      </c>
      <c r="AK552" s="1" t="str">
        <f>IFERROR(__xludf.DUMMYFUNCTION("""COMPUTED_VALUE"""),"")</f>
        <v/>
      </c>
      <c r="AL552" s="1" t="str">
        <f>IFERROR(__xludf.DUMMYFUNCTION("""COMPUTED_VALUE"""),"")</f>
        <v/>
      </c>
      <c r="AM552" s="1" t="str">
        <f>IFERROR(__xludf.DUMMYFUNCTION("""COMPUTED_VALUE"""),"")</f>
        <v/>
      </c>
      <c r="AN552" s="1" t="str">
        <f>IFERROR(__xludf.DUMMYFUNCTION("""COMPUTED_VALUE"""),"")</f>
        <v/>
      </c>
      <c r="AO552" s="1" t="str">
        <f>IFERROR(__xludf.DUMMYFUNCTION("""COMPUTED_VALUE"""),"")</f>
        <v/>
      </c>
      <c r="AP552" s="1" t="str">
        <f>IFERROR(__xludf.DUMMYFUNCTION("""COMPUTED_VALUE"""),"")</f>
        <v/>
      </c>
      <c r="AQ552" s="1" t="str">
        <f>IFERROR(__xludf.DUMMYFUNCTION("""COMPUTED_VALUE"""),"10/16/2025")</f>
        <v>10/16/2025</v>
      </c>
      <c r="AR552" s="1" t="str">
        <f>IFERROR(__xludf.DUMMYFUNCTION("""COMPUTED_VALUE"""),"10/16/2025")</f>
        <v>10/16/2025</v>
      </c>
    </row>
    <row r="553">
      <c r="A553" s="1" t="str">
        <f>IFERROR(__xludf.DUMMYFUNCTION("""COMPUTED_VALUE"""),"Tract Data Center")</f>
        <v>Tract Data Center</v>
      </c>
      <c r="B553" s="1" t="str">
        <f>IFERROR(__xludf.DUMMYFUNCTION("""COMPUTED_VALUE"""),"Mooresville Technology Park, Patterson Farm Rd")</f>
        <v>Mooresville Technology Park, Patterson Farm Rd</v>
      </c>
      <c r="C553" s="1" t="str">
        <f>IFERROR(__xludf.DUMMYFUNCTION("""COMPUTED_VALUE"""),"Mooresville")</f>
        <v>Mooresville</v>
      </c>
      <c r="D553" s="1" t="str">
        <f>IFERROR(__xludf.DUMMYFUNCTION("""COMPUTED_VALUE"""),"NC")</f>
        <v>NC</v>
      </c>
      <c r="E553" s="1" t="str">
        <f>IFERROR(__xludf.DUMMYFUNCTION("""COMPUTED_VALUE"""),"28115")</f>
        <v>28115</v>
      </c>
      <c r="F553" s="1" t="str">
        <f>IFERROR(__xludf.DUMMYFUNCTION("""COMPUTED_VALUE"""),"Iredell")</f>
        <v>Iredell</v>
      </c>
      <c r="G553" s="1" t="str">
        <f>IFERROR(__xludf.DUMMYFUNCTION("""COMPUTED_VALUE"""),"35.51575")</f>
        <v>35.51575</v>
      </c>
      <c r="H553" s="1" t="str">
        <f>IFERROR(__xludf.DUMMYFUNCTION("""COMPUTED_VALUE"""),"-80.7532")</f>
        <v>-80.7532</v>
      </c>
      <c r="I553" s="1" t="str">
        <f>IFERROR(__xludf.DUMMYFUNCTION("""COMPUTED_VALUE"""),"Cancelled")</f>
        <v>Cancelled</v>
      </c>
      <c r="J553" s="1" t="str">
        <f>IFERROR(__xludf.DUMMYFUNCTION("""COMPUTED_VALUE"""),"High")</f>
        <v>High</v>
      </c>
      <c r="K553" s="1" t="str">
        <f>IFERROR(__xludf.DUMMYFUNCTION("""COMPUTED_VALUE"""),"")</f>
        <v/>
      </c>
      <c r="L553" s="1" t="str">
        <f>IFERROR(__xludf.DUMMYFUNCTION("""COMPUTED_VALUE"""),"")</f>
        <v/>
      </c>
      <c r="M553" s="1" t="str">
        <f>IFERROR(__xludf.DUMMYFUNCTION("""COMPUTED_VALUE"""),"")</f>
        <v/>
      </c>
      <c r="N553" s="1" t="str">
        <f>IFERROR(__xludf.DUMMYFUNCTION("""COMPUTED_VALUE"""),"")</f>
        <v/>
      </c>
      <c r="O553" s="1" t="str">
        <f>IFERROR(__xludf.DUMMYFUNCTION("""COMPUTED_VALUE"""),"Unknown")</f>
        <v>Unknown</v>
      </c>
      <c r="P553" s="1" t="str">
        <f>IFERROR(__xludf.DUMMYFUNCTION("""COMPUTED_VALUE"""),"")</f>
        <v/>
      </c>
      <c r="Q553" s="1" t="str">
        <f>IFERROR(__xludf.DUMMYFUNCTION("""COMPUTED_VALUE"""),"")</f>
        <v/>
      </c>
      <c r="R553" s="1" t="str">
        <f>IFERROR(__xludf.DUMMYFUNCTION("""COMPUTED_VALUE"""),"")</f>
        <v/>
      </c>
      <c r="S553" s="1" t="str">
        <f>IFERROR(__xludf.DUMMYFUNCTION("""COMPUTED_VALUE"""),"")</f>
        <v/>
      </c>
      <c r="T553" s="1" t="str">
        <f>IFERROR(__xludf.DUMMYFUNCTION("""COMPUTED_VALUE"""),"")</f>
        <v/>
      </c>
      <c r="U553" s="1" t="str">
        <f>IFERROR(__xludf.DUMMYFUNCTION("""COMPUTED_VALUE"""),"")</f>
        <v/>
      </c>
      <c r="V553" s="1" t="str">
        <f>IFERROR(__xludf.DUMMYFUNCTION("""COMPUTED_VALUE"""),"1,500,000")</f>
        <v>1,500,000</v>
      </c>
      <c r="W553" s="1" t="str">
        <f>IFERROR(__xludf.DUMMYFUNCTION("""COMPUTED_VALUE"""),"400")</f>
        <v>400</v>
      </c>
      <c r="X553" s="1" t="str">
        <f>IFERROR(__xludf.DUMMYFUNCTION("""COMPUTED_VALUE"""),"$30 billion")</f>
        <v>$30 billion</v>
      </c>
      <c r="Y553" s="1" t="str">
        <f>IFERROR(__xludf.DUMMYFUNCTION("""COMPUTED_VALUE"""),"")</f>
        <v/>
      </c>
      <c r="Z553" s="1" t="str">
        <f>IFERROR(__xludf.DUMMYFUNCTION("""COMPUTED_VALUE"""),"Yes")</f>
        <v>Yes</v>
      </c>
      <c r="AA553" s="1" t="str">
        <f>IFERROR(__xludf.DUMMYFUNCTION("""COMPUTED_VALUE"""),"")</f>
        <v/>
      </c>
      <c r="AB553" s="1" t="str">
        <f>IFERROR(__xludf.DUMMYFUNCTION("""COMPUTED_VALUE"""),"")</f>
        <v/>
      </c>
      <c r="AC553" s="1" t="str">
        <f>IFERROR(__xludf.DUMMYFUNCTION("""COMPUTED_VALUE"""),"")</f>
        <v/>
      </c>
      <c r="AD553" s="1" t="str">
        <f>IFERROR(__xludf.DUMMYFUNCTION("""COMPUTED_VALUE"""),"")</f>
        <v/>
      </c>
      <c r="AE553" s="1" t="str">
        <f>IFERROR(__xludf.DUMMYFUNCTION("""COMPUTED_VALUE"""),"")</f>
        <v/>
      </c>
      <c r="AF553" s="1" t="str">
        <f>IFERROR(__xludf.DUMMYFUNCTION("""COMPUTED_VALUE"""),"")</f>
        <v/>
      </c>
      <c r="AG553" s="1" t="str">
        <f>IFERROR(__xludf.DUMMYFUNCTION("""COMPUTED_VALUE"""),"")</f>
        <v/>
      </c>
      <c r="AH553" s="1" t="str">
        <f>IFERROR(__xludf.DUMMYFUNCTION("""COMPUTED_VALUE"""),"Media Monitoring")</f>
        <v>Media Monitoring</v>
      </c>
      <c r="AI553" s="2" t="str">
        <f>IFERROR(__xludf.DUMMYFUNCTION("""COMPUTED_VALUE"""),"https://www.datacenterdynamics.com/en/news/tract-plans-400-acre-data-center-park-outside-charlotte-north-carolina/")</f>
        <v>https://www.datacenterdynamics.com/en/news/tract-plans-400-acre-data-center-park-outside-charlotte-north-carolina/</v>
      </c>
      <c r="AJ553" s="2" t="str">
        <f>IFERROR(__xludf.DUMMYFUNCTION("""COMPUTED_VALUE"""),"https://www.charlotteobserver.com/sports/nascar-auto-racing/thatsracin/article311633422.html")</f>
        <v>https://www.charlotteobserver.com/sports/nascar-auto-racing/thatsracin/article311633422.html</v>
      </c>
      <c r="AK553" s="2" t="str">
        <f>IFERROR(__xludf.DUMMYFUNCTION("""COMPUTED_VALUE"""),"https://www.datacenterdynamics.com/en/news/compass-datacenters-proposes-333-acre-campus-in-statesville-north-carolina/")</f>
        <v>https://www.datacenterdynamics.com/en/news/compass-datacenters-proposes-333-acre-campus-in-statesville-north-carolina/</v>
      </c>
      <c r="AL553" s="2" t="str">
        <f>IFERROR(__xludf.DUMMYFUNCTION("""COMPUTED_VALUE"""),"https://www.charlotteobserver.com/sports/nascar-auto-racing/thatsracin/article311691503.html")</f>
        <v>https://www.charlotteobserver.com/sports/nascar-auto-racing/thatsracin/article311691503.html</v>
      </c>
      <c r="AM553" s="1" t="str">
        <f>IFERROR(__xludf.DUMMYFUNCTION("""COMPUTED_VALUE"""),"")</f>
        <v/>
      </c>
      <c r="AN553" s="1" t="str">
        <f>IFERROR(__xludf.DUMMYFUNCTION("""COMPUTED_VALUE"""),"")</f>
        <v/>
      </c>
      <c r="AO553" s="1" t="str">
        <f>IFERROR(__xludf.DUMMYFUNCTION("""COMPUTED_VALUE"""),"")</f>
        <v/>
      </c>
      <c r="AP553" s="1" t="str">
        <f>IFERROR(__xludf.DUMMYFUNCTION("""COMPUTED_VALUE"""),"")</f>
        <v/>
      </c>
      <c r="AQ553" s="1" t="str">
        <f>IFERROR(__xludf.DUMMYFUNCTION("""COMPUTED_VALUE"""),"08/09/2025")</f>
        <v>08/09/2025</v>
      </c>
      <c r="AR553" s="1" t="str">
        <f>IFERROR(__xludf.DUMMYFUNCTION("""COMPUTED_VALUE"""),"12/02/2025")</f>
        <v>12/02/2025</v>
      </c>
    </row>
    <row r="554">
      <c r="A554" s="1" t="str">
        <f>IFERROR(__xludf.DUMMYFUNCTION("""COMPUTED_VALUE"""),"Project Pine ")</f>
        <v>Project Pine </v>
      </c>
      <c r="B554" s="1" t="str">
        <f>IFERROR(__xludf.DUMMYFUNCTION("""COMPUTED_VALUE"""),"Tate Blvd")</f>
        <v>Tate Blvd</v>
      </c>
      <c r="C554" s="1" t="str">
        <f>IFERROR(__xludf.DUMMYFUNCTION("""COMPUTED_VALUE"""),"near Pringle")</f>
        <v>near Pringle</v>
      </c>
      <c r="D554" s="1" t="str">
        <f>IFERROR(__xludf.DUMMYFUNCTION("""COMPUTED_VALUE"""),"NC")</f>
        <v>NC</v>
      </c>
      <c r="E554" s="1" t="str">
        <f>IFERROR(__xludf.DUMMYFUNCTION("""COMPUTED_VALUE"""),"28602")</f>
        <v>28602</v>
      </c>
      <c r="F554" s="1" t="str">
        <f>IFERROR(__xludf.DUMMYFUNCTION("""COMPUTED_VALUE"""),"Catawba")</f>
        <v>Catawba</v>
      </c>
      <c r="G554" s="1" t="str">
        <f>IFERROR(__xludf.DUMMYFUNCTION("""COMPUTED_VALUE"""),"35.71945")</f>
        <v>35.71945</v>
      </c>
      <c r="H554" s="1" t="str">
        <f>IFERROR(__xludf.DUMMYFUNCTION("""COMPUTED_VALUE"""),"-81.2758")</f>
        <v>-81.2758</v>
      </c>
      <c r="I554" s="1" t="str">
        <f>IFERROR(__xludf.DUMMYFUNCTION("""COMPUTED_VALUE"""),"Proposed")</f>
        <v>Proposed</v>
      </c>
      <c r="J554" s="1" t="str">
        <f>IFERROR(__xludf.DUMMYFUNCTION("""COMPUTED_VALUE"""),"Medium")</f>
        <v>Medium</v>
      </c>
      <c r="K554" s="1" t="str">
        <f>IFERROR(__xludf.DUMMYFUNCTION("""COMPUTED_VALUE"""),"")</f>
        <v/>
      </c>
      <c r="L554" s="1" t="str">
        <f>IFERROR(__xludf.DUMMYFUNCTION("""COMPUTED_VALUE"""),"Microsoft")</f>
        <v>Microsoft</v>
      </c>
      <c r="M554" s="1" t="str">
        <f>IFERROR(__xludf.DUMMYFUNCTION("""COMPUTED_VALUE"""),"")</f>
        <v/>
      </c>
      <c r="N554" s="1" t="str">
        <f>IFERROR(__xludf.DUMMYFUNCTION("""COMPUTED_VALUE"""),"")</f>
        <v/>
      </c>
      <c r="O554" s="1" t="str">
        <f>IFERROR(__xludf.DUMMYFUNCTION("""COMPUTED_VALUE"""),"Unknown")</f>
        <v>Unknown</v>
      </c>
      <c r="P554" s="1" t="str">
        <f>IFERROR(__xludf.DUMMYFUNCTION("""COMPUTED_VALUE"""),"")</f>
        <v/>
      </c>
      <c r="Q554" s="1" t="str">
        <f>IFERROR(__xludf.DUMMYFUNCTION("""COMPUTED_VALUE"""),"")</f>
        <v/>
      </c>
      <c r="R554" s="1" t="str">
        <f>IFERROR(__xludf.DUMMYFUNCTION("""COMPUTED_VALUE"""),"")</f>
        <v/>
      </c>
      <c r="S554" s="1" t="str">
        <f>IFERROR(__xludf.DUMMYFUNCTION("""COMPUTED_VALUE"""),"")</f>
        <v/>
      </c>
      <c r="T554" s="1" t="str">
        <f>IFERROR(__xludf.DUMMYFUNCTION("""COMPUTED_VALUE"""),"")</f>
        <v/>
      </c>
      <c r="U554" s="1" t="str">
        <f>IFERROR(__xludf.DUMMYFUNCTION("""COMPUTED_VALUE"""),"")</f>
        <v/>
      </c>
      <c r="V554" s="1" t="str">
        <f>IFERROR(__xludf.DUMMYFUNCTION("""COMPUTED_VALUE"""),"")</f>
        <v/>
      </c>
      <c r="W554" s="1" t="str">
        <f>IFERROR(__xludf.DUMMYFUNCTION("""COMPUTED_VALUE"""),"")</f>
        <v/>
      </c>
      <c r="X554" s="1" t="str">
        <f>IFERROR(__xludf.DUMMYFUNCTION("""COMPUTED_VALUE"""),"")</f>
        <v/>
      </c>
      <c r="Y554" s="1" t="str">
        <f>IFERROR(__xludf.DUMMYFUNCTION("""COMPUTED_VALUE"""),"")</f>
        <v/>
      </c>
      <c r="Z554" s="1" t="str">
        <f>IFERROR(__xludf.DUMMYFUNCTION("""COMPUTED_VALUE"""),"Unknown")</f>
        <v>Unknown</v>
      </c>
      <c r="AA554" s="1" t="str">
        <f>IFERROR(__xludf.DUMMYFUNCTION("""COMPUTED_VALUE"""),"")</f>
        <v/>
      </c>
      <c r="AB554" s="1" t="str">
        <f>IFERROR(__xludf.DUMMYFUNCTION("""COMPUTED_VALUE"""),"")</f>
        <v/>
      </c>
      <c r="AC554" s="1" t="str">
        <f>IFERROR(__xludf.DUMMYFUNCTION("""COMPUTED_VALUE"""),"")</f>
        <v/>
      </c>
      <c r="AD554" s="1" t="str">
        <f>IFERROR(__xludf.DUMMYFUNCTION("""COMPUTED_VALUE"""),"")</f>
        <v/>
      </c>
      <c r="AE554" s="1" t="str">
        <f>IFERROR(__xludf.DUMMYFUNCTION("""COMPUTED_VALUE"""),"")</f>
        <v/>
      </c>
      <c r="AF554" s="1" t="str">
        <f>IFERROR(__xludf.DUMMYFUNCTION("""COMPUTED_VALUE"""),"")</f>
        <v/>
      </c>
      <c r="AG554" s="1" t="str">
        <f>IFERROR(__xludf.DUMMYFUNCTION("""COMPUTED_VALUE"""),"")</f>
        <v/>
      </c>
      <c r="AH554" s="1" t="str">
        <f>IFERROR(__xludf.DUMMYFUNCTION("""COMPUTED_VALUE"""),"Media Monitoring")</f>
        <v>Media Monitoring</v>
      </c>
      <c r="AI554" s="2" t="str">
        <f>IFERROR(__xludf.DUMMYFUNCTION("""COMPUTED_VALUE"""),"https://www.datacenterdynamics.com/en/news/microsoft-breaks-ground-on-second-data-center-campus-in-north-carolina/")</f>
        <v>https://www.datacenterdynamics.com/en/news/microsoft-breaks-ground-on-second-data-center-campus-in-north-carolina/</v>
      </c>
      <c r="AJ554" s="2" t="str">
        <f>IFERROR(__xludf.DUMMYFUNCTION("""COMPUTED_VALUE"""),"https://www.datacenterdynamics.com/en/news/microsoft-breaks-ground-on-another-north-carolina-data-center/")</f>
        <v>https://www.datacenterdynamics.com/en/news/microsoft-breaks-ground-on-another-north-carolina-data-center/</v>
      </c>
      <c r="AK554" s="1" t="str">
        <f>IFERROR(__xludf.DUMMYFUNCTION("""COMPUTED_VALUE"""),"")</f>
        <v/>
      </c>
      <c r="AL554" s="1" t="str">
        <f>IFERROR(__xludf.DUMMYFUNCTION("""COMPUTED_VALUE"""),"")</f>
        <v/>
      </c>
      <c r="AM554" s="1" t="str">
        <f>IFERROR(__xludf.DUMMYFUNCTION("""COMPUTED_VALUE"""),"")</f>
        <v/>
      </c>
      <c r="AN554" s="1" t="str">
        <f>IFERROR(__xludf.DUMMYFUNCTION("""COMPUTED_VALUE"""),"")</f>
        <v/>
      </c>
      <c r="AO554" s="1" t="str">
        <f>IFERROR(__xludf.DUMMYFUNCTION("""COMPUTED_VALUE"""),"")</f>
        <v/>
      </c>
      <c r="AP554" s="1" t="str">
        <f>IFERROR(__xludf.DUMMYFUNCTION("""COMPUTED_VALUE"""),"")</f>
        <v/>
      </c>
      <c r="AQ554" s="1" t="str">
        <f>IFERROR(__xludf.DUMMYFUNCTION("""COMPUTED_VALUE"""),"05/27/2025")</f>
        <v>05/27/2025</v>
      </c>
      <c r="AR554" s="1" t="str">
        <f>IFERROR(__xludf.DUMMYFUNCTION("""COMPUTED_VALUE"""),"05/27/2025")</f>
        <v>05/27/2025</v>
      </c>
    </row>
    <row r="555">
      <c r="A555" s="1" t="str">
        <f>IFERROR(__xludf.DUMMYFUNCTION("""COMPUTED_VALUE"""),"New Hill Digital Campus")</f>
        <v>New Hill Digital Campus</v>
      </c>
      <c r="B555" s="1" t="str">
        <f>IFERROR(__xludf.DUMMYFUNCTION("""COMPUTED_VALUE"""),"4308 Shearon Harris Rd")</f>
        <v>4308 Shearon Harris Rd</v>
      </c>
      <c r="C555" s="1" t="str">
        <f>IFERROR(__xludf.DUMMYFUNCTION("""COMPUTED_VALUE"""),"New Hill")</f>
        <v>New Hill</v>
      </c>
      <c r="D555" s="1" t="str">
        <f>IFERROR(__xludf.DUMMYFUNCTION("""COMPUTED_VALUE"""),"NC")</f>
        <v>NC</v>
      </c>
      <c r="E555" s="1" t="str">
        <f>IFERROR(__xludf.DUMMYFUNCTION("""COMPUTED_VALUE"""),"27562")</f>
        <v>27562</v>
      </c>
      <c r="F555" s="1" t="str">
        <f>IFERROR(__xludf.DUMMYFUNCTION("""COMPUTED_VALUE"""),"Wake")</f>
        <v>Wake</v>
      </c>
      <c r="G555" s="1" t="str">
        <f>IFERROR(__xludf.DUMMYFUNCTION("""COMPUTED_VALUE"""),"35.66446")</f>
        <v>35.66446</v>
      </c>
      <c r="H555" s="1" t="str">
        <f>IFERROR(__xludf.DUMMYFUNCTION("""COMPUTED_VALUE"""),"-78.9558")</f>
        <v>-78.9558</v>
      </c>
      <c r="I555" s="1" t="str">
        <f>IFERROR(__xludf.DUMMYFUNCTION("""COMPUTED_VALUE"""),"Proposed")</f>
        <v>Proposed</v>
      </c>
      <c r="J555" s="1" t="str">
        <f>IFERROR(__xludf.DUMMYFUNCTION("""COMPUTED_VALUE"""),"High")</f>
        <v>High</v>
      </c>
      <c r="K555" s="1" t="str">
        <f>IFERROR(__xludf.DUMMYFUNCTION("""COMPUTED_VALUE"""),"")</f>
        <v/>
      </c>
      <c r="L555" s="1" t="str">
        <f>IFERROR(__xludf.DUMMYFUNCTION("""COMPUTED_VALUE"""),"")</f>
        <v/>
      </c>
      <c r="M555" s="1" t="str">
        <f>IFERROR(__xludf.DUMMYFUNCTION("""COMPUTED_VALUE"""),"")</f>
        <v/>
      </c>
      <c r="N555" s="1" t="str">
        <f>IFERROR(__xludf.DUMMYFUNCTION("""COMPUTED_VALUE"""),"")</f>
        <v/>
      </c>
      <c r="O555" s="1" t="str">
        <f>IFERROR(__xludf.DUMMYFUNCTION("""COMPUTED_VALUE"""),"Unknown")</f>
        <v>Unknown</v>
      </c>
      <c r="P555" s="1" t="str">
        <f>IFERROR(__xludf.DUMMYFUNCTION("""COMPUTED_VALUE"""),"")</f>
        <v/>
      </c>
      <c r="Q555" s="1" t="str">
        <f>IFERROR(__xludf.DUMMYFUNCTION("""COMPUTED_VALUE"""),"")</f>
        <v/>
      </c>
      <c r="R555" s="1" t="str">
        <f>IFERROR(__xludf.DUMMYFUNCTION("""COMPUTED_VALUE"""),"")</f>
        <v/>
      </c>
      <c r="S555" s="1" t="str">
        <f>IFERROR(__xludf.DUMMYFUNCTION("""COMPUTED_VALUE"""),"")</f>
        <v/>
      </c>
      <c r="T555" s="1" t="str">
        <f>IFERROR(__xludf.DUMMYFUNCTION("""COMPUTED_VALUE"""),"")</f>
        <v/>
      </c>
      <c r="U555" s="1" t="str">
        <f>IFERROR(__xludf.DUMMYFUNCTION("""COMPUTED_VALUE"""),"")</f>
        <v/>
      </c>
      <c r="V555" s="1" t="str">
        <f>IFERROR(__xludf.DUMMYFUNCTION("""COMPUTED_VALUE"""),"")</f>
        <v/>
      </c>
      <c r="W555" s="1" t="str">
        <f>IFERROR(__xludf.DUMMYFUNCTION("""COMPUTED_VALUE"""),"190")</f>
        <v>190</v>
      </c>
      <c r="X555" s="1" t="str">
        <f>IFERROR(__xludf.DUMMYFUNCTION("""COMPUTED_VALUE"""),"")</f>
        <v/>
      </c>
      <c r="Y555" s="1" t="str">
        <f>IFERROR(__xludf.DUMMYFUNCTION("""COMPUTED_VALUE"""),"")</f>
        <v/>
      </c>
      <c r="Z555" s="1" t="str">
        <f>IFERROR(__xludf.DUMMYFUNCTION("""COMPUTED_VALUE"""),"Unknown")</f>
        <v>Unknown</v>
      </c>
      <c r="AA555" s="1" t="str">
        <f>IFERROR(__xludf.DUMMYFUNCTION("""COMPUTED_VALUE"""),"")</f>
        <v/>
      </c>
      <c r="AB555" s="1" t="str">
        <f>IFERROR(__xludf.DUMMYFUNCTION("""COMPUTED_VALUE"""),"")</f>
        <v/>
      </c>
      <c r="AC555" s="1" t="str">
        <f>IFERROR(__xludf.DUMMYFUNCTION("""COMPUTED_VALUE"""),"")</f>
        <v/>
      </c>
      <c r="AD555" s="1" t="str">
        <f>IFERROR(__xludf.DUMMYFUNCTION("""COMPUTED_VALUE"""),"")</f>
        <v/>
      </c>
      <c r="AE555" s="1" t="str">
        <f>IFERROR(__xludf.DUMMYFUNCTION("""COMPUTED_VALUE"""),"")</f>
        <v/>
      </c>
      <c r="AF555" s="1" t="str">
        <f>IFERROR(__xludf.DUMMYFUNCTION("""COMPUTED_VALUE"""),"")</f>
        <v/>
      </c>
      <c r="AG555" s="1" t="str">
        <f>IFERROR(__xludf.DUMMYFUNCTION("""COMPUTED_VALUE"""),"Opposed by Protect Wake County Coalition")</f>
        <v>Opposed by Protect Wake County Coalition</v>
      </c>
      <c r="AH555" s="1" t="str">
        <f>IFERROR(__xludf.DUMMYFUNCTION("""COMPUTED_VALUE"""),"Media Monitoring")</f>
        <v>Media Monitoring</v>
      </c>
      <c r="AI555" s="2" t="str">
        <f>IFERROR(__xludf.DUMMYFUNCTION("""COMPUTED_VALUE"""),"https://indyweek.com/news/wake/developer-files-plans-for-digital-campus-in-western-wake/")</f>
        <v>https://indyweek.com/news/wake/developer-files-plans-for-digital-campus-in-western-wake/</v>
      </c>
      <c r="AJ555" s="2" t="str">
        <f>IFERROR(__xludf.DUMMYFUNCTION("""COMPUTED_VALUE"""),"https://www.newsobserver.com/news/local/counties/wake-county/article311959511.html")</f>
        <v>https://www.newsobserver.com/news/local/counties/wake-county/article311959511.html</v>
      </c>
      <c r="AK555" s="2" t="str">
        <f>IFERROR(__xludf.DUMMYFUNCTION("""COMPUTED_VALUE"""),"https://www.newsobserver.com/news/local/counties/wake-county/article311972258.html")</f>
        <v>https://www.newsobserver.com/news/local/counties/wake-county/article311972258.html</v>
      </c>
      <c r="AL555" s="1" t="str">
        <f>IFERROR(__xludf.DUMMYFUNCTION("""COMPUTED_VALUE"""),"")</f>
        <v/>
      </c>
      <c r="AM555" s="1" t="str">
        <f>IFERROR(__xludf.DUMMYFUNCTION("""COMPUTED_VALUE"""),"")</f>
        <v/>
      </c>
      <c r="AN555" s="1" t="str">
        <f>IFERROR(__xludf.DUMMYFUNCTION("""COMPUTED_VALUE"""),"")</f>
        <v/>
      </c>
      <c r="AO555" s="1" t="str">
        <f>IFERROR(__xludf.DUMMYFUNCTION("""COMPUTED_VALUE"""),"")</f>
        <v/>
      </c>
      <c r="AP555" s="1" t="str">
        <f>IFERROR(__xludf.DUMMYFUNCTION("""COMPUTED_VALUE"""),"")</f>
        <v/>
      </c>
      <c r="AQ555" s="1" t="str">
        <f>IFERROR(__xludf.DUMMYFUNCTION("""COMPUTED_VALUE"""),"09/06/2025")</f>
        <v>09/06/2025</v>
      </c>
      <c r="AR555" s="1" t="str">
        <f>IFERROR(__xludf.DUMMYFUNCTION("""COMPUTED_VALUE"""),"09/06/2025")</f>
        <v>09/06/2025</v>
      </c>
    </row>
    <row r="556">
      <c r="A556" s="1" t="str">
        <f>IFERROR(__xludf.DUMMYFUNCTION("""COMPUTED_VALUE"""),"New Hill Digital Campus")</f>
        <v>New Hill Digital Campus</v>
      </c>
      <c r="B556" s="1" t="str">
        <f>IFERROR(__xludf.DUMMYFUNCTION("""COMPUTED_VALUE"""),"Old US Hwy 1, adjacent to the Shearon Harris Nuclear Plant")</f>
        <v>Old US Hwy 1, adjacent to the Shearon Harris Nuclear Plant</v>
      </c>
      <c r="C556" s="1" t="str">
        <f>IFERROR(__xludf.DUMMYFUNCTION("""COMPUTED_VALUE"""),"New Hill")</f>
        <v>New Hill</v>
      </c>
      <c r="D556" s="1" t="str">
        <f>IFERROR(__xludf.DUMMYFUNCTION("""COMPUTED_VALUE"""),"NC")</f>
        <v>NC</v>
      </c>
      <c r="E556" s="1" t="str">
        <f>IFERROR(__xludf.DUMMYFUNCTION("""COMPUTED_VALUE"""),"27562")</f>
        <v>27562</v>
      </c>
      <c r="F556" s="1" t="str">
        <f>IFERROR(__xludf.DUMMYFUNCTION("""COMPUTED_VALUE"""),"Wake")</f>
        <v>Wake</v>
      </c>
      <c r="G556" s="1" t="str">
        <f>IFERROR(__xludf.DUMMYFUNCTION("""COMPUTED_VALUE"""),"35.667305")</f>
        <v>35.667305</v>
      </c>
      <c r="H556" s="1" t="str">
        <f>IFERROR(__xludf.DUMMYFUNCTION("""COMPUTED_VALUE"""),"-78.95606")</f>
        <v>-78.95606</v>
      </c>
      <c r="I556" s="1" t="str">
        <f>IFERROR(__xludf.DUMMYFUNCTION("""COMPUTED_VALUE"""),"Cancelled")</f>
        <v>Cancelled</v>
      </c>
      <c r="J556" s="1" t="str">
        <f>IFERROR(__xludf.DUMMYFUNCTION("""COMPUTED_VALUE"""),"High")</f>
        <v>High</v>
      </c>
      <c r="K556" s="1" t="str">
        <f>IFERROR(__xludf.DUMMYFUNCTION("""COMPUTED_VALUE"""),"")</f>
        <v/>
      </c>
      <c r="L556" s="1" t="str">
        <f>IFERROR(__xludf.DUMMYFUNCTION("""COMPUTED_VALUE"""),"")</f>
        <v/>
      </c>
      <c r="M556" s="1" t="str">
        <f>IFERROR(__xludf.DUMMYFUNCTION("""COMPUTED_VALUE"""),"")</f>
        <v/>
      </c>
      <c r="N556" s="1" t="str">
        <f>IFERROR(__xludf.DUMMYFUNCTION("""COMPUTED_VALUE"""),"250")</f>
        <v>250</v>
      </c>
      <c r="O556" s="1" t="str">
        <f>IFERROR(__xludf.DUMMYFUNCTION("""COMPUTED_VALUE"""),"Hyperscale (100-999 MW)")</f>
        <v>Hyperscale (100-999 MW)</v>
      </c>
      <c r="P556" s="1" t="str">
        <f>IFERROR(__xludf.DUMMYFUNCTION("""COMPUTED_VALUE"""),"")</f>
        <v/>
      </c>
      <c r="Q556" s="1" t="str">
        <f>IFERROR(__xludf.DUMMYFUNCTION("""COMPUTED_VALUE"""),"")</f>
        <v/>
      </c>
      <c r="R556" s="1" t="str">
        <f>IFERROR(__xludf.DUMMYFUNCTION("""COMPUTED_VALUE"""),"")</f>
        <v/>
      </c>
      <c r="S556" s="1" t="str">
        <f>IFERROR(__xludf.DUMMYFUNCTION("""COMPUTED_VALUE"""),"4")</f>
        <v>4</v>
      </c>
      <c r="T556" s="1" t="str">
        <f>IFERROR(__xludf.DUMMYFUNCTION("""COMPUTED_VALUE"""),"")</f>
        <v/>
      </c>
      <c r="U556" s="1" t="str">
        <f>IFERROR(__xludf.DUMMYFUNCTION("""COMPUTED_VALUE"""),"")</f>
        <v/>
      </c>
      <c r="V556" s="1" t="str">
        <f>IFERROR(__xludf.DUMMYFUNCTION("""COMPUTED_VALUE"""),"800,000")</f>
        <v>800,000</v>
      </c>
      <c r="W556" s="1" t="str">
        <f>IFERROR(__xludf.DUMMYFUNCTION("""COMPUTED_VALUE"""),"89")</f>
        <v>89</v>
      </c>
      <c r="X556" s="1" t="str">
        <f>IFERROR(__xludf.DUMMYFUNCTION("""COMPUTED_VALUE"""),"")</f>
        <v/>
      </c>
      <c r="Y556" s="1" t="str">
        <f>IFERROR(__xludf.DUMMYFUNCTION("""COMPUTED_VALUE"""),"")</f>
        <v/>
      </c>
      <c r="Z556" s="1" t="str">
        <f>IFERROR(__xludf.DUMMYFUNCTION("""COMPUTED_VALUE"""),"Yes")</f>
        <v>Yes</v>
      </c>
      <c r="AA556" s="1" t="str">
        <f>IFERROR(__xludf.DUMMYFUNCTION("""COMPUTED_VALUE"""),"Protect Wake County Coalition")</f>
        <v>Protect Wake County Coalition</v>
      </c>
      <c r="AB556" s="1" t="str">
        <f>IFERROR(__xludf.DUMMYFUNCTION("""COMPUTED_VALUE"""),"")</f>
        <v/>
      </c>
      <c r="AC556" s="1" t="str">
        <f>IFERROR(__xludf.DUMMYFUNCTION("""COMPUTED_VALUE"""),"")</f>
        <v/>
      </c>
      <c r="AD556" s="2" t="str">
        <f>IFERROR(__xludf.DUMMYFUNCTION("""COMPUTED_VALUE"""),"https://www.facebook.com/groups/protectwakecountycoalition")</f>
        <v>https://www.facebook.com/groups/protectwakecountycoalition</v>
      </c>
      <c r="AE556" s="1" t="str">
        <f>IFERROR(__xludf.DUMMYFUNCTION("""COMPUTED_VALUE"""),"")</f>
        <v/>
      </c>
      <c r="AF556" s="1" t="str">
        <f>IFERROR(__xludf.DUMMYFUNCTION("""COMPUTED_VALUE"""),"")</f>
        <v/>
      </c>
      <c r="AG556" s="1" t="str">
        <f>IFERROR(__xludf.DUMMYFUNCTION("""COMPUTED_VALUE"""),"County moving towards Moratorium, March 2025")</f>
        <v>County moving towards Moratorium, March 2025</v>
      </c>
      <c r="AH556" s="1" t="str">
        <f>IFERROR(__xludf.DUMMYFUNCTION("""COMPUTED_VALUE"""),"Media Monitoring")</f>
        <v>Media Monitoring</v>
      </c>
      <c r="AI556" s="2" t="str">
        <f>IFERROR(__xludf.DUMMYFUNCTION("""COMPUTED_VALUE"""),"https://www.datacenterdynamics.com/en/news/developer-withdraws-proposal-for-250mw-data-center-in-apex-north-carolina/")</f>
        <v>https://www.datacenterdynamics.com/en/news/developer-withdraws-proposal-for-250mw-data-center-in-apex-north-carolina/</v>
      </c>
      <c r="AJ556" s="1" t="str">
        <f>IFERROR(__xludf.DUMMYFUNCTION("""COMPUTED_VALUE"""),"")</f>
        <v/>
      </c>
      <c r="AK556" s="1" t="str">
        <f>IFERROR(__xludf.DUMMYFUNCTION("""COMPUTED_VALUE"""),"")</f>
        <v/>
      </c>
      <c r="AL556" s="1" t="str">
        <f>IFERROR(__xludf.DUMMYFUNCTION("""COMPUTED_VALUE"""),"")</f>
        <v/>
      </c>
      <c r="AM556" s="1" t="str">
        <f>IFERROR(__xludf.DUMMYFUNCTION("""COMPUTED_VALUE"""),"")</f>
        <v/>
      </c>
      <c r="AN556" s="1" t="str">
        <f>IFERROR(__xludf.DUMMYFUNCTION("""COMPUTED_VALUE"""),"")</f>
        <v/>
      </c>
      <c r="AO556" s="1" t="str">
        <f>IFERROR(__xludf.DUMMYFUNCTION("""COMPUTED_VALUE"""),"")</f>
        <v/>
      </c>
      <c r="AP556" s="1" t="str">
        <f>IFERROR(__xludf.DUMMYFUNCTION("""COMPUTED_VALUE"""),"")</f>
        <v/>
      </c>
      <c r="AQ556" s="1" t="str">
        <f>IFERROR(__xludf.DUMMYFUNCTION("""COMPUTED_VALUE"""),"03/14/2026")</f>
        <v>03/14/2026</v>
      </c>
      <c r="AR556" s="1" t="str">
        <f>IFERROR(__xludf.DUMMYFUNCTION("""COMPUTED_VALUE"""),"03/14/2026")</f>
        <v>03/14/2026</v>
      </c>
    </row>
    <row r="557">
      <c r="A557" s="1" t="str">
        <f>IFERROR(__xludf.DUMMYFUNCTION("""COMPUTED_VALUE"""),"Newton Data Center")</f>
        <v>Newton Data Center</v>
      </c>
      <c r="B557" s="1" t="str">
        <f>IFERROR(__xludf.DUMMYFUNCTION("""COMPUTED_VALUE"""),"Hickory Lincolnton Hwy")</f>
        <v>Hickory Lincolnton Hwy</v>
      </c>
      <c r="C557" s="1" t="str">
        <f>IFERROR(__xludf.DUMMYFUNCTION("""COMPUTED_VALUE"""),"Newton")</f>
        <v>Newton</v>
      </c>
      <c r="D557" s="1" t="str">
        <f>IFERROR(__xludf.DUMMYFUNCTION("""COMPUTED_VALUE"""),"NC")</f>
        <v>NC</v>
      </c>
      <c r="E557" s="1" t="str">
        <f>IFERROR(__xludf.DUMMYFUNCTION("""COMPUTED_VALUE"""),"28658")</f>
        <v>28658</v>
      </c>
      <c r="F557" s="1" t="str">
        <f>IFERROR(__xludf.DUMMYFUNCTION("""COMPUTED_VALUE"""),"Catawba")</f>
        <v>Catawba</v>
      </c>
      <c r="G557" s="1" t="str">
        <f>IFERROR(__xludf.DUMMYFUNCTION("""COMPUTED_VALUE"""),"35.60278")</f>
        <v>35.60278</v>
      </c>
      <c r="H557" s="1" t="str">
        <f>IFERROR(__xludf.DUMMYFUNCTION("""COMPUTED_VALUE"""),"-81.3073")</f>
        <v>-81.3073</v>
      </c>
      <c r="I557" s="1" t="str">
        <f>IFERROR(__xludf.DUMMYFUNCTION("""COMPUTED_VALUE"""),"Proposed")</f>
        <v>Proposed</v>
      </c>
      <c r="J557" s="1" t="str">
        <f>IFERROR(__xludf.DUMMYFUNCTION("""COMPUTED_VALUE"""),"Medium")</f>
        <v>Medium</v>
      </c>
      <c r="K557" s="1" t="str">
        <f>IFERROR(__xludf.DUMMYFUNCTION("""COMPUTED_VALUE"""),"")</f>
        <v/>
      </c>
      <c r="L557" s="1" t="str">
        <f>IFERROR(__xludf.DUMMYFUNCTION("""COMPUTED_VALUE"""),"Microsoft")</f>
        <v>Microsoft</v>
      </c>
      <c r="M557" s="1" t="str">
        <f>IFERROR(__xludf.DUMMYFUNCTION("""COMPUTED_VALUE"""),"")</f>
        <v/>
      </c>
      <c r="N557" s="1" t="str">
        <f>IFERROR(__xludf.DUMMYFUNCTION("""COMPUTED_VALUE"""),"")</f>
        <v/>
      </c>
      <c r="O557" s="1" t="str">
        <f>IFERROR(__xludf.DUMMYFUNCTION("""COMPUTED_VALUE"""),"Unknown")</f>
        <v>Unknown</v>
      </c>
      <c r="P557" s="1" t="str">
        <f>IFERROR(__xludf.DUMMYFUNCTION("""COMPUTED_VALUE"""),"")</f>
        <v/>
      </c>
      <c r="Q557" s="1" t="str">
        <f>IFERROR(__xludf.DUMMYFUNCTION("""COMPUTED_VALUE"""),"")</f>
        <v/>
      </c>
      <c r="R557" s="1" t="str">
        <f>IFERROR(__xludf.DUMMYFUNCTION("""COMPUTED_VALUE"""),"")</f>
        <v/>
      </c>
      <c r="S557" s="1" t="str">
        <f>IFERROR(__xludf.DUMMYFUNCTION("""COMPUTED_VALUE"""),"")</f>
        <v/>
      </c>
      <c r="T557" s="1" t="str">
        <f>IFERROR(__xludf.DUMMYFUNCTION("""COMPUTED_VALUE"""),"")</f>
        <v/>
      </c>
      <c r="U557" s="1" t="str">
        <f>IFERROR(__xludf.DUMMYFUNCTION("""COMPUTED_VALUE"""),"")</f>
        <v/>
      </c>
      <c r="V557" s="1" t="str">
        <f>IFERROR(__xludf.DUMMYFUNCTION("""COMPUTED_VALUE"""),"")</f>
        <v/>
      </c>
      <c r="W557" s="1" t="str">
        <f>IFERROR(__xludf.DUMMYFUNCTION("""COMPUTED_VALUE"""),"160")</f>
        <v>160</v>
      </c>
      <c r="X557" s="1" t="str">
        <f>IFERROR(__xludf.DUMMYFUNCTION("""COMPUTED_VALUE"""),"$6.5 million")</f>
        <v>$6.5 million</v>
      </c>
      <c r="Y557" s="1" t="str">
        <f>IFERROR(__xludf.DUMMYFUNCTION("""COMPUTED_VALUE"""),"")</f>
        <v/>
      </c>
      <c r="Z557" s="1" t="str">
        <f>IFERROR(__xludf.DUMMYFUNCTION("""COMPUTED_VALUE"""),"Unknown")</f>
        <v>Unknown</v>
      </c>
      <c r="AA557" s="1" t="str">
        <f>IFERROR(__xludf.DUMMYFUNCTION("""COMPUTED_VALUE"""),"")</f>
        <v/>
      </c>
      <c r="AB557" s="1" t="str">
        <f>IFERROR(__xludf.DUMMYFUNCTION("""COMPUTED_VALUE"""),"")</f>
        <v/>
      </c>
      <c r="AC557" s="1" t="str">
        <f>IFERROR(__xludf.DUMMYFUNCTION("""COMPUTED_VALUE"""),"")</f>
        <v/>
      </c>
      <c r="AD557" s="1" t="str">
        <f>IFERROR(__xludf.DUMMYFUNCTION("""COMPUTED_VALUE"""),"")</f>
        <v/>
      </c>
      <c r="AE557" s="1" t="str">
        <f>IFERROR(__xludf.DUMMYFUNCTION("""COMPUTED_VALUE"""),"")</f>
        <v/>
      </c>
      <c r="AF557" s="1" t="str">
        <f>IFERROR(__xludf.DUMMYFUNCTION("""COMPUTED_VALUE"""),"")</f>
        <v/>
      </c>
      <c r="AG557" s="1" t="str">
        <f>IFERROR(__xludf.DUMMYFUNCTION("""COMPUTED_VALUE"""),"")</f>
        <v/>
      </c>
      <c r="AH557" s="1" t="str">
        <f>IFERROR(__xludf.DUMMYFUNCTION("""COMPUTED_VALUE"""),"Media Monitoring")</f>
        <v>Media Monitoring</v>
      </c>
      <c r="AI557" s="2" t="str">
        <f>IFERROR(__xludf.DUMMYFUNCTION("""COMPUTED_VALUE"""),"https://www.datacenterdynamics.com/en/news/microsoft-begins-acquiring-land-in-north-carolina-for-data-centers/")</f>
        <v>https://www.datacenterdynamics.com/en/news/microsoft-begins-acquiring-land-in-north-carolina-for-data-centers/</v>
      </c>
      <c r="AJ557" s="1" t="str">
        <f>IFERROR(__xludf.DUMMYFUNCTION("""COMPUTED_VALUE"""),"")</f>
        <v/>
      </c>
      <c r="AK557" s="1" t="str">
        <f>IFERROR(__xludf.DUMMYFUNCTION("""COMPUTED_VALUE"""),"")</f>
        <v/>
      </c>
      <c r="AL557" s="1" t="str">
        <f>IFERROR(__xludf.DUMMYFUNCTION("""COMPUTED_VALUE"""),"")</f>
        <v/>
      </c>
      <c r="AM557" s="1" t="str">
        <f>IFERROR(__xludf.DUMMYFUNCTION("""COMPUTED_VALUE"""),"")</f>
        <v/>
      </c>
      <c r="AN557" s="1" t="str">
        <f>IFERROR(__xludf.DUMMYFUNCTION("""COMPUTED_VALUE"""),"")</f>
        <v/>
      </c>
      <c r="AO557" s="1" t="str">
        <f>IFERROR(__xludf.DUMMYFUNCTION("""COMPUTED_VALUE"""),"")</f>
        <v/>
      </c>
      <c r="AP557" s="1" t="str">
        <f>IFERROR(__xludf.DUMMYFUNCTION("""COMPUTED_VALUE"""),"")</f>
        <v/>
      </c>
      <c r="AQ557" s="1" t="str">
        <f>IFERROR(__xludf.DUMMYFUNCTION("""COMPUTED_VALUE"""),"05/27/2025")</f>
        <v>05/27/2025</v>
      </c>
      <c r="AR557" s="1" t="str">
        <f>IFERROR(__xludf.DUMMYFUNCTION("""COMPUTED_VALUE"""),"05/27/2025")</f>
        <v>05/27/2025</v>
      </c>
    </row>
    <row r="558">
      <c r="A558" s="1" t="str">
        <f>IFERROR(__xludf.DUMMYFUNCTION("""COMPUTED_VALUE"""),"Project Rockforge ")</f>
        <v>Project Rockforge </v>
      </c>
      <c r="B558" s="1" t="str">
        <f>IFERROR(__xludf.DUMMYFUNCTION("""COMPUTED_VALUE"""),"Stover Court")</f>
        <v>Stover Court</v>
      </c>
      <c r="C558" s="1" t="str">
        <f>IFERROR(__xludf.DUMMYFUNCTION("""COMPUTED_VALUE"""),"Newton")</f>
        <v>Newton</v>
      </c>
      <c r="D558" s="1" t="str">
        <f>IFERROR(__xludf.DUMMYFUNCTION("""COMPUTED_VALUE"""),"NC")</f>
        <v>NC</v>
      </c>
      <c r="E558" s="1" t="str">
        <f>IFERROR(__xludf.DUMMYFUNCTION("""COMPUTED_VALUE"""),"28658")</f>
        <v>28658</v>
      </c>
      <c r="F558" s="1" t="str">
        <f>IFERROR(__xludf.DUMMYFUNCTION("""COMPUTED_VALUE"""),"Catawba")</f>
        <v>Catawba</v>
      </c>
      <c r="G558" s="1" t="str">
        <f>IFERROR(__xludf.DUMMYFUNCTION("""COMPUTED_VALUE"""),"35.62656")</f>
        <v>35.62656</v>
      </c>
      <c r="H558" s="1" t="str">
        <f>IFERROR(__xludf.DUMMYFUNCTION("""COMPUTED_VALUE"""),"-81.3118")</f>
        <v>-81.3118</v>
      </c>
      <c r="I558" s="1" t="str">
        <f>IFERROR(__xludf.DUMMYFUNCTION("""COMPUTED_VALUE"""),"Proposed")</f>
        <v>Proposed</v>
      </c>
      <c r="J558" s="1" t="str">
        <f>IFERROR(__xludf.DUMMYFUNCTION("""COMPUTED_VALUE"""),"Medium")</f>
        <v>Medium</v>
      </c>
      <c r="K558" s="1" t="str">
        <f>IFERROR(__xludf.DUMMYFUNCTION("""COMPUTED_VALUE"""),"")</f>
        <v/>
      </c>
      <c r="L558" s="1" t="str">
        <f>IFERROR(__xludf.DUMMYFUNCTION("""COMPUTED_VALUE"""),"Microsoft")</f>
        <v>Microsoft</v>
      </c>
      <c r="M558" s="1" t="str">
        <f>IFERROR(__xludf.DUMMYFUNCTION("""COMPUTED_VALUE"""),"")</f>
        <v/>
      </c>
      <c r="N558" s="1" t="str">
        <f>IFERROR(__xludf.DUMMYFUNCTION("""COMPUTED_VALUE"""),"")</f>
        <v/>
      </c>
      <c r="O558" s="1" t="str">
        <f>IFERROR(__xludf.DUMMYFUNCTION("""COMPUTED_VALUE"""),"Unknown")</f>
        <v>Unknown</v>
      </c>
      <c r="P558" s="1" t="str">
        <f>IFERROR(__xludf.DUMMYFUNCTION("""COMPUTED_VALUE"""),"")</f>
        <v/>
      </c>
      <c r="Q558" s="1" t="str">
        <f>IFERROR(__xludf.DUMMYFUNCTION("""COMPUTED_VALUE"""),"")</f>
        <v/>
      </c>
      <c r="R558" s="1" t="str">
        <f>IFERROR(__xludf.DUMMYFUNCTION("""COMPUTED_VALUE"""),"")</f>
        <v/>
      </c>
      <c r="S558" s="1" t="str">
        <f>IFERROR(__xludf.DUMMYFUNCTION("""COMPUTED_VALUE"""),"")</f>
        <v/>
      </c>
      <c r="T558" s="1" t="str">
        <f>IFERROR(__xludf.DUMMYFUNCTION("""COMPUTED_VALUE"""),"")</f>
        <v/>
      </c>
      <c r="U558" s="1" t="str">
        <f>IFERROR(__xludf.DUMMYFUNCTION("""COMPUTED_VALUE"""),"")</f>
        <v/>
      </c>
      <c r="V558" s="1" t="str">
        <f>IFERROR(__xludf.DUMMYFUNCTION("""COMPUTED_VALUE"""),"")</f>
        <v/>
      </c>
      <c r="W558" s="1" t="str">
        <f>IFERROR(__xludf.DUMMYFUNCTION("""COMPUTED_VALUE"""),"")</f>
        <v/>
      </c>
      <c r="X558" s="1" t="str">
        <f>IFERROR(__xludf.DUMMYFUNCTION("""COMPUTED_VALUE"""),"")</f>
        <v/>
      </c>
      <c r="Y558" s="1" t="str">
        <f>IFERROR(__xludf.DUMMYFUNCTION("""COMPUTED_VALUE"""),"")</f>
        <v/>
      </c>
      <c r="Z558" s="1" t="str">
        <f>IFERROR(__xludf.DUMMYFUNCTION("""COMPUTED_VALUE"""),"Unknown")</f>
        <v>Unknown</v>
      </c>
      <c r="AA558" s="1" t="str">
        <f>IFERROR(__xludf.DUMMYFUNCTION("""COMPUTED_VALUE"""),"")</f>
        <v/>
      </c>
      <c r="AB558" s="1" t="str">
        <f>IFERROR(__xludf.DUMMYFUNCTION("""COMPUTED_VALUE"""),"")</f>
        <v/>
      </c>
      <c r="AC558" s="1" t="str">
        <f>IFERROR(__xludf.DUMMYFUNCTION("""COMPUTED_VALUE"""),"")</f>
        <v/>
      </c>
      <c r="AD558" s="1" t="str">
        <f>IFERROR(__xludf.DUMMYFUNCTION("""COMPUTED_VALUE"""),"")</f>
        <v/>
      </c>
      <c r="AE558" s="1" t="str">
        <f>IFERROR(__xludf.DUMMYFUNCTION("""COMPUTED_VALUE"""),"")</f>
        <v/>
      </c>
      <c r="AF558" s="1" t="str">
        <f>IFERROR(__xludf.DUMMYFUNCTION("""COMPUTED_VALUE"""),"")</f>
        <v/>
      </c>
      <c r="AG558" s="1" t="str">
        <f>IFERROR(__xludf.DUMMYFUNCTION("""COMPUTED_VALUE"""),"")</f>
        <v/>
      </c>
      <c r="AH558" s="1" t="str">
        <f>IFERROR(__xludf.DUMMYFUNCTION("""COMPUTED_VALUE"""),"Media Monitoring")</f>
        <v>Media Monitoring</v>
      </c>
      <c r="AI558" s="2" t="str">
        <f>IFERROR(__xludf.DUMMYFUNCTION("""COMPUTED_VALUE"""),"https://www.datacenterdynamics.com/en/news/microsoft-breaks-ground-on-second-data-center-campus-in-north-carolina/")</f>
        <v>https://www.datacenterdynamics.com/en/news/microsoft-breaks-ground-on-second-data-center-campus-in-north-carolina/</v>
      </c>
      <c r="AJ558" s="1" t="str">
        <f>IFERROR(__xludf.DUMMYFUNCTION("""COMPUTED_VALUE"""),"")</f>
        <v/>
      </c>
      <c r="AK558" s="1" t="str">
        <f>IFERROR(__xludf.DUMMYFUNCTION("""COMPUTED_VALUE"""),"")</f>
        <v/>
      </c>
      <c r="AL558" s="1" t="str">
        <f>IFERROR(__xludf.DUMMYFUNCTION("""COMPUTED_VALUE"""),"")</f>
        <v/>
      </c>
      <c r="AM558" s="1" t="str">
        <f>IFERROR(__xludf.DUMMYFUNCTION("""COMPUTED_VALUE"""),"")</f>
        <v/>
      </c>
      <c r="AN558" s="1" t="str">
        <f>IFERROR(__xludf.DUMMYFUNCTION("""COMPUTED_VALUE"""),"")</f>
        <v/>
      </c>
      <c r="AO558" s="1" t="str">
        <f>IFERROR(__xludf.DUMMYFUNCTION("""COMPUTED_VALUE"""),"")</f>
        <v/>
      </c>
      <c r="AP558" s="1" t="str">
        <f>IFERROR(__xludf.DUMMYFUNCTION("""COMPUTED_VALUE"""),"")</f>
        <v/>
      </c>
      <c r="AQ558" s="1" t="str">
        <f>IFERROR(__xludf.DUMMYFUNCTION("""COMPUTED_VALUE"""),"05/27/2025")</f>
        <v>05/27/2025</v>
      </c>
      <c r="AR558" s="1" t="str">
        <f>IFERROR(__xludf.DUMMYFUNCTION("""COMPUTED_VALUE"""),"05/27/2025")</f>
        <v>05/27/2025</v>
      </c>
    </row>
    <row r="559">
      <c r="A559" s="1" t="str">
        <f>IFERROR(__xludf.DUMMYFUNCTION("""COMPUTED_VALUE"""),"American Tower Edge Data Center")</f>
        <v>American Tower Edge Data Center</v>
      </c>
      <c r="B559" s="1" t="str">
        <f>IFERROR(__xludf.DUMMYFUNCTION("""COMPUTED_VALUE"""),"6011 Chapel Hill Rd")</f>
        <v>6011 Chapel Hill Rd</v>
      </c>
      <c r="C559" s="1" t="str">
        <f>IFERROR(__xludf.DUMMYFUNCTION("""COMPUTED_VALUE"""),"Raleigh")</f>
        <v>Raleigh</v>
      </c>
      <c r="D559" s="1" t="str">
        <f>IFERROR(__xludf.DUMMYFUNCTION("""COMPUTED_VALUE"""),"NC")</f>
        <v>NC</v>
      </c>
      <c r="E559" s="1" t="str">
        <f>IFERROR(__xludf.DUMMYFUNCTION("""COMPUTED_VALUE"""),"27607")</f>
        <v>27607</v>
      </c>
      <c r="F559" s="1" t="str">
        <f>IFERROR(__xludf.DUMMYFUNCTION("""COMPUTED_VALUE"""),"Wake")</f>
        <v>Wake</v>
      </c>
      <c r="G559" s="1" t="str">
        <f>IFERROR(__xludf.DUMMYFUNCTION("""COMPUTED_VALUE"""),"35.78814")</f>
        <v>35.78814</v>
      </c>
      <c r="H559" s="1" t="str">
        <f>IFERROR(__xludf.DUMMYFUNCTION("""COMPUTED_VALUE"""),"-78.7265")</f>
        <v>-78.7265</v>
      </c>
      <c r="I559" s="1" t="str">
        <f>IFERROR(__xludf.DUMMYFUNCTION("""COMPUTED_VALUE"""),"Proposed")</f>
        <v>Proposed</v>
      </c>
      <c r="J559" s="1" t="str">
        <f>IFERROR(__xludf.DUMMYFUNCTION("""COMPUTED_VALUE"""),"High")</f>
        <v>High</v>
      </c>
      <c r="K559" s="1" t="str">
        <f>IFERROR(__xludf.DUMMYFUNCTION("""COMPUTED_VALUE"""),"")</f>
        <v/>
      </c>
      <c r="L559" s="1" t="str">
        <f>IFERROR(__xludf.DUMMYFUNCTION("""COMPUTED_VALUE"""),"")</f>
        <v/>
      </c>
      <c r="M559" s="1" t="str">
        <f>IFERROR(__xludf.DUMMYFUNCTION("""COMPUTED_VALUE"""),"")</f>
        <v/>
      </c>
      <c r="N559" s="1" t="str">
        <f>IFERROR(__xludf.DUMMYFUNCTION("""COMPUTED_VALUE"""),"4")</f>
        <v>4</v>
      </c>
      <c r="O559" s="1" t="str">
        <f>IFERROR(__xludf.DUMMYFUNCTION("""COMPUTED_VALUE"""),"Small (0-10 MW)")</f>
        <v>Small (0-10 MW)</v>
      </c>
      <c r="P559" s="1" t="str">
        <f>IFERROR(__xludf.DUMMYFUNCTION("""COMPUTED_VALUE"""),"")</f>
        <v/>
      </c>
      <c r="Q559" s="1" t="str">
        <f>IFERROR(__xludf.DUMMYFUNCTION("""COMPUTED_VALUE"""),"")</f>
        <v/>
      </c>
      <c r="R559" s="1" t="str">
        <f>IFERROR(__xludf.DUMMYFUNCTION("""COMPUTED_VALUE"""),"")</f>
        <v/>
      </c>
      <c r="S559" s="1" t="str">
        <f>IFERROR(__xludf.DUMMYFUNCTION("""COMPUTED_VALUE"""),"")</f>
        <v/>
      </c>
      <c r="T559" s="1" t="str">
        <f>IFERROR(__xludf.DUMMYFUNCTION("""COMPUTED_VALUE"""),"")</f>
        <v/>
      </c>
      <c r="U559" s="1" t="str">
        <f>IFERROR(__xludf.DUMMYFUNCTION("""COMPUTED_VALUE"""),"")</f>
        <v/>
      </c>
      <c r="V559" s="1" t="str">
        <f>IFERROR(__xludf.DUMMYFUNCTION("""COMPUTED_VALUE"""),"")</f>
        <v/>
      </c>
      <c r="W559" s="1" t="str">
        <f>IFERROR(__xludf.DUMMYFUNCTION("""COMPUTED_VALUE"""),"")</f>
        <v/>
      </c>
      <c r="X559" s="1" t="str">
        <f>IFERROR(__xludf.DUMMYFUNCTION("""COMPUTED_VALUE"""),"")</f>
        <v/>
      </c>
      <c r="Y559" s="1" t="str">
        <f>IFERROR(__xludf.DUMMYFUNCTION("""COMPUTED_VALUE"""),"")</f>
        <v/>
      </c>
      <c r="Z559" s="1" t="str">
        <f>IFERROR(__xludf.DUMMYFUNCTION("""COMPUTED_VALUE"""),"Unknown")</f>
        <v>Unknown</v>
      </c>
      <c r="AA559" s="1" t="str">
        <f>IFERROR(__xludf.DUMMYFUNCTION("""COMPUTED_VALUE"""),"")</f>
        <v/>
      </c>
      <c r="AB559" s="1" t="str">
        <f>IFERROR(__xludf.DUMMYFUNCTION("""COMPUTED_VALUE"""),"")</f>
        <v/>
      </c>
      <c r="AC559" s="1" t="str">
        <f>IFERROR(__xludf.DUMMYFUNCTION("""COMPUTED_VALUE"""),"")</f>
        <v/>
      </c>
      <c r="AD559" s="1" t="str">
        <f>IFERROR(__xludf.DUMMYFUNCTION("""COMPUTED_VALUE"""),"")</f>
        <v/>
      </c>
      <c r="AE559" s="1" t="str">
        <f>IFERROR(__xludf.DUMMYFUNCTION("""COMPUTED_VALUE"""),"")</f>
        <v/>
      </c>
      <c r="AF559" s="1" t="str">
        <f>IFERROR(__xludf.DUMMYFUNCTION("""COMPUTED_VALUE"""),"")</f>
        <v/>
      </c>
      <c r="AG559" s="1" t="str">
        <f>IFERROR(__xludf.DUMMYFUNCTION("""COMPUTED_VALUE"""),"")</f>
        <v/>
      </c>
      <c r="AH559" s="1" t="str">
        <f>IFERROR(__xludf.DUMMYFUNCTION("""COMPUTED_VALUE"""),"Media Monitoring")</f>
        <v>Media Monitoring</v>
      </c>
      <c r="AI559" s="2" t="str">
        <f>IFERROR(__xludf.DUMMYFUNCTION("""COMPUTED_VALUE"""),"https://www.americantower.com/us/raleigh-data-center-opening")</f>
        <v>https://www.americantower.com/us/raleigh-data-center-opening</v>
      </c>
      <c r="AJ559" s="2" t="str">
        <f>IFERROR(__xludf.DUMMYFUNCTION("""COMPUTED_VALUE"""),"https://www.newsobserver.com/news/business/article306929621.html")</f>
        <v>https://www.newsobserver.com/news/business/article306929621.html</v>
      </c>
      <c r="AK559" s="1" t="str">
        <f>IFERROR(__xludf.DUMMYFUNCTION("""COMPUTED_VALUE"""),"")</f>
        <v/>
      </c>
      <c r="AL559" s="1" t="str">
        <f>IFERROR(__xludf.DUMMYFUNCTION("""COMPUTED_VALUE"""),"")</f>
        <v/>
      </c>
      <c r="AM559" s="1" t="str">
        <f>IFERROR(__xludf.DUMMYFUNCTION("""COMPUTED_VALUE"""),"")</f>
        <v/>
      </c>
      <c r="AN559" s="1" t="str">
        <f>IFERROR(__xludf.DUMMYFUNCTION("""COMPUTED_VALUE"""),"")</f>
        <v/>
      </c>
      <c r="AO559" s="1" t="str">
        <f>IFERROR(__xludf.DUMMYFUNCTION("""COMPUTED_VALUE"""),"")</f>
        <v/>
      </c>
      <c r="AP559" s="1" t="str">
        <f>IFERROR(__xludf.DUMMYFUNCTION("""COMPUTED_VALUE"""),"")</f>
        <v/>
      </c>
      <c r="AQ559" s="1" t="str">
        <f>IFERROR(__xludf.DUMMYFUNCTION("""COMPUTED_VALUE"""),"05/26/2025")</f>
        <v>05/26/2025</v>
      </c>
      <c r="AR559" s="1" t="str">
        <f>IFERROR(__xludf.DUMMYFUNCTION("""COMPUTED_VALUE"""),"05/26/2025")</f>
        <v>05/26/2025</v>
      </c>
    </row>
    <row r="560">
      <c r="A560" s="1" t="str">
        <f>IFERROR(__xludf.DUMMYFUNCTION("""COMPUTED_VALUE"""),"Apple Reserch Triangle Park Data Center")</f>
        <v>Apple Reserch Triangle Park Data Center</v>
      </c>
      <c r="B560" s="1" t="str">
        <f>IFERROR(__xludf.DUMMYFUNCTION("""COMPUTED_VALUE"""),"along Little Drive")</f>
        <v>along Little Drive</v>
      </c>
      <c r="C560" s="1" t="str">
        <f>IFERROR(__xludf.DUMMYFUNCTION("""COMPUTED_VALUE"""),"Research Triangle Park")</f>
        <v>Research Triangle Park</v>
      </c>
      <c r="D560" s="1" t="str">
        <f>IFERROR(__xludf.DUMMYFUNCTION("""COMPUTED_VALUE"""),"NC")</f>
        <v>NC</v>
      </c>
      <c r="E560" s="1" t="str">
        <f>IFERROR(__xludf.DUMMYFUNCTION("""COMPUTED_VALUE"""),"27519")</f>
        <v>27519</v>
      </c>
      <c r="F560" s="1" t="str">
        <f>IFERROR(__xludf.DUMMYFUNCTION("""COMPUTED_VALUE"""),"Wake")</f>
        <v>Wake</v>
      </c>
      <c r="G560" s="1" t="str">
        <f>IFERROR(__xludf.DUMMYFUNCTION("""COMPUTED_VALUE"""),"35.850254")</f>
        <v>35.850254</v>
      </c>
      <c r="H560" s="1" t="str">
        <f>IFERROR(__xludf.DUMMYFUNCTION("""COMPUTED_VALUE"""),"-78.87698")</f>
        <v>-78.87698</v>
      </c>
      <c r="I560" s="1" t="str">
        <f>IFERROR(__xludf.DUMMYFUNCTION("""COMPUTED_VALUE"""),"Suspended")</f>
        <v>Suspended</v>
      </c>
      <c r="J560" s="1" t="str">
        <f>IFERROR(__xludf.DUMMYFUNCTION("""COMPUTED_VALUE"""),"Medium")</f>
        <v>Medium</v>
      </c>
      <c r="K560" s="1" t="str">
        <f>IFERROR(__xludf.DUMMYFUNCTION("""COMPUTED_VALUE"""),"AI")</f>
        <v>AI</v>
      </c>
      <c r="L560" s="1" t="str">
        <f>IFERROR(__xludf.DUMMYFUNCTION("""COMPUTED_VALUE"""),"Apple")</f>
        <v>Apple</v>
      </c>
      <c r="M560" s="1" t="str">
        <f>IFERROR(__xludf.DUMMYFUNCTION("""COMPUTED_VALUE"""),"")</f>
        <v/>
      </c>
      <c r="N560" s="1" t="str">
        <f>IFERROR(__xludf.DUMMYFUNCTION("""COMPUTED_VALUE"""),"")</f>
        <v/>
      </c>
      <c r="O560" s="1" t="str">
        <f>IFERROR(__xludf.DUMMYFUNCTION("""COMPUTED_VALUE"""),"Hyperscale (100-999 MW)")</f>
        <v>Hyperscale (100-999 MW)</v>
      </c>
      <c r="P560" s="1" t="str">
        <f>IFERROR(__xludf.DUMMYFUNCTION("""COMPUTED_VALUE"""),"")</f>
        <v/>
      </c>
      <c r="Q560" s="1" t="str">
        <f>IFERROR(__xludf.DUMMYFUNCTION("""COMPUTED_VALUE"""),"")</f>
        <v/>
      </c>
      <c r="R560" s="1" t="str">
        <f>IFERROR(__xludf.DUMMYFUNCTION("""COMPUTED_VALUE"""),"")</f>
        <v/>
      </c>
      <c r="S560" s="1" t="str">
        <f>IFERROR(__xludf.DUMMYFUNCTION("""COMPUTED_VALUE"""),"")</f>
        <v/>
      </c>
      <c r="T560" s="1" t="str">
        <f>IFERROR(__xludf.DUMMYFUNCTION("""COMPUTED_VALUE"""),"")</f>
        <v/>
      </c>
      <c r="U560" s="1" t="str">
        <f>IFERROR(__xludf.DUMMYFUNCTION("""COMPUTED_VALUE"""),"")</f>
        <v/>
      </c>
      <c r="V560" s="1" t="str">
        <f>IFERROR(__xludf.DUMMYFUNCTION("""COMPUTED_VALUE"""),"")</f>
        <v/>
      </c>
      <c r="W560" s="1" t="str">
        <f>IFERROR(__xludf.DUMMYFUNCTION("""COMPUTED_VALUE"""),"")</f>
        <v/>
      </c>
      <c r="X560" s="1" t="str">
        <f>IFERROR(__xludf.DUMMYFUNCTION("""COMPUTED_VALUE"""),"$1 billion")</f>
        <v>$1 billion</v>
      </c>
      <c r="Y560" s="1" t="str">
        <f>IFERROR(__xludf.DUMMYFUNCTION("""COMPUTED_VALUE"""),"")</f>
        <v/>
      </c>
      <c r="Z560" s="1" t="str">
        <f>IFERROR(__xludf.DUMMYFUNCTION("""COMPUTED_VALUE"""),"Unknown")</f>
        <v>Unknown</v>
      </c>
      <c r="AA560" s="1" t="str">
        <f>IFERROR(__xludf.DUMMYFUNCTION("""COMPUTED_VALUE"""),"")</f>
        <v/>
      </c>
      <c r="AB560" s="1" t="str">
        <f>IFERROR(__xludf.DUMMYFUNCTION("""COMPUTED_VALUE"""),"")</f>
        <v/>
      </c>
      <c r="AC560" s="1" t="str">
        <f>IFERROR(__xludf.DUMMYFUNCTION("""COMPUTED_VALUE"""),"")</f>
        <v/>
      </c>
      <c r="AD560" s="1" t="str">
        <f>IFERROR(__xludf.DUMMYFUNCTION("""COMPUTED_VALUE"""),"")</f>
        <v/>
      </c>
      <c r="AE560" s="1" t="str">
        <f>IFERROR(__xludf.DUMMYFUNCTION("""COMPUTED_VALUE"""),"")</f>
        <v/>
      </c>
      <c r="AF560" s="1" t="str">
        <f>IFERROR(__xludf.DUMMYFUNCTION("""COMPUTED_VALUE"""),"")</f>
        <v/>
      </c>
      <c r="AG560" s="1" t="str">
        <f>IFERROR(__xludf.DUMMYFUNCTION("""COMPUTED_VALUE"""),"In June 2024, Apple confirmed it was pausing the project for four years while it negotiated with state officials. Apple granted a 4 year extension on its 2021 grant from the Economic Investment Committee to delay the hiring and investment targets required"&amp;" for its planned corporate campus in Nov 2025")</f>
        <v>In June 2024, Apple confirmed it was pausing the project for four years while it negotiated with state officials. Apple granted a 4 year extension on its 2021 grant from the Economic Investment Committee to delay the hiring and investment targets required for its planned corporate campus in Nov 2025</v>
      </c>
      <c r="AH560" s="1" t="str">
        <f>IFERROR(__xludf.DUMMYFUNCTION("""COMPUTED_VALUE"""),"Media Monitoring")</f>
        <v>Media Monitoring</v>
      </c>
      <c r="AI560" s="2" t="str">
        <f>IFERROR(__xludf.DUMMYFUNCTION("""COMPUTED_VALUE"""),"https://abc11.com/post/apple-research-triangle-park-north-carolina/10547896/?userab=abc_web_player-460*variant_a_abc_control-1900%2Cotv_web_player-461*variant_a_otv_control-1902&amp;userab=abc_web_player-460*variant_a_abc_control-1900%2Cotv_web_player-461*var"&amp;"iant_a_otv_control-1902")</f>
        <v>https://abc11.com/post/apple-research-triangle-park-north-carolina/10547896/?userab=abc_web_player-460*variant_a_abc_control-1900%2Cotv_web_player-461*variant_a_otv_control-1902&amp;userab=abc_web_player-460*variant_a_abc_control-1900%2Cotv_web_player-461*variant_a_otv_control-1902</v>
      </c>
      <c r="AJ560" s="2" t="str">
        <f>IFERROR(__xludf.DUMMYFUNCTION("""COMPUTED_VALUE"""),"https://abc11.com/post/apple-given-4-more-years-hiring-investment-goals-east-coast-hub-nc-research-triangle-park/18208496/")</f>
        <v>https://abc11.com/post/apple-given-4-more-years-hiring-investment-goals-east-coast-hub-nc-research-triangle-park/18208496/</v>
      </c>
      <c r="AK560" s="2" t="str">
        <f>IFERROR(__xludf.DUMMYFUNCTION("""COMPUTED_VALUE"""),"https://www.iclarified.com/99151/north-carolina-grants-apple-4year-extension-for-delayed-rtp-campus-project")</f>
        <v>https://www.iclarified.com/99151/north-carolina-grants-apple-4year-extension-for-delayed-rtp-campus-project</v>
      </c>
      <c r="AL560" s="1" t="str">
        <f>IFERROR(__xludf.DUMMYFUNCTION("""COMPUTED_VALUE"""),"")</f>
        <v/>
      </c>
      <c r="AM560" s="1" t="str">
        <f>IFERROR(__xludf.DUMMYFUNCTION("""COMPUTED_VALUE"""),"")</f>
        <v/>
      </c>
      <c r="AN560" s="1" t="str">
        <f>IFERROR(__xludf.DUMMYFUNCTION("""COMPUTED_VALUE"""),"")</f>
        <v/>
      </c>
      <c r="AO560" s="1" t="str">
        <f>IFERROR(__xludf.DUMMYFUNCTION("""COMPUTED_VALUE"""),"")</f>
        <v/>
      </c>
      <c r="AP560" s="1" t="str">
        <f>IFERROR(__xludf.DUMMYFUNCTION("""COMPUTED_VALUE"""),"")</f>
        <v/>
      </c>
      <c r="AQ560" s="1" t="str">
        <f>IFERROR(__xludf.DUMMYFUNCTION("""COMPUTED_VALUE"""),"11/26/2025")</f>
        <v>11/26/2025</v>
      </c>
      <c r="AR560" s="1" t="str">
        <f>IFERROR(__xludf.DUMMYFUNCTION("""COMPUTED_VALUE"""),"11/26/2025")</f>
        <v>11/26/2025</v>
      </c>
    </row>
    <row r="561">
      <c r="A561" s="1" t="str">
        <f>IFERROR(__xludf.DUMMYFUNCTION("""COMPUTED_VALUE"""),"Person County Mega Site")</f>
        <v>Person County Mega Site</v>
      </c>
      <c r="B561" s="1" t="str">
        <f>IFERROR(__xludf.DUMMYFUNCTION("""COMPUTED_VALUE"""),"Edwin Robertson Rd")</f>
        <v>Edwin Robertson Rd</v>
      </c>
      <c r="C561" s="1" t="str">
        <f>IFERROR(__xludf.DUMMYFUNCTION("""COMPUTED_VALUE"""),"Roxboro")</f>
        <v>Roxboro</v>
      </c>
      <c r="D561" s="1" t="str">
        <f>IFERROR(__xludf.DUMMYFUNCTION("""COMPUTED_VALUE"""),"NC")</f>
        <v>NC</v>
      </c>
      <c r="E561" s="1" t="str">
        <f>IFERROR(__xludf.DUMMYFUNCTION("""COMPUTED_VALUE"""),"27574")</f>
        <v>27574</v>
      </c>
      <c r="F561" s="1" t="str">
        <f>IFERROR(__xludf.DUMMYFUNCTION("""COMPUTED_VALUE"""),"Person")</f>
        <v>Person</v>
      </c>
      <c r="G561" s="1" t="str">
        <f>IFERROR(__xludf.DUMMYFUNCTION("""COMPUTED_VALUE"""),"36.479218")</f>
        <v>36.479218</v>
      </c>
      <c r="H561" s="1" t="str">
        <f>IFERROR(__xludf.DUMMYFUNCTION("""COMPUTED_VALUE"""),"-78.9898")</f>
        <v>-78.9898</v>
      </c>
      <c r="I561" s="1" t="str">
        <f>IFERROR(__xludf.DUMMYFUNCTION("""COMPUTED_VALUE"""),"Proposed")</f>
        <v>Proposed</v>
      </c>
      <c r="J561" s="1" t="str">
        <f>IFERROR(__xludf.DUMMYFUNCTION("""COMPUTED_VALUE"""),"Medium")</f>
        <v>Medium</v>
      </c>
      <c r="K561" s="1" t="str">
        <f>IFERROR(__xludf.DUMMYFUNCTION("""COMPUTED_VALUE"""),"")</f>
        <v/>
      </c>
      <c r="L561" s="1" t="str">
        <f>IFERROR(__xludf.DUMMYFUNCTION("""COMPUTED_VALUE"""),"Microsoft")</f>
        <v>Microsoft</v>
      </c>
      <c r="M561" s="1" t="str">
        <f>IFERROR(__xludf.DUMMYFUNCTION("""COMPUTED_VALUE"""),"")</f>
        <v/>
      </c>
      <c r="N561" s="1" t="str">
        <f>IFERROR(__xludf.DUMMYFUNCTION("""COMPUTED_VALUE"""),"")</f>
        <v/>
      </c>
      <c r="O561" s="1" t="str">
        <f>IFERROR(__xludf.DUMMYFUNCTION("""COMPUTED_VALUE"""),"Hyperscale (100-999 MW)")</f>
        <v>Hyperscale (100-999 MW)</v>
      </c>
      <c r="P561" s="1" t="str">
        <f>IFERROR(__xludf.DUMMYFUNCTION("""COMPUTED_VALUE"""),"")</f>
        <v/>
      </c>
      <c r="Q561" s="1" t="str">
        <f>IFERROR(__xludf.DUMMYFUNCTION("""COMPUTED_VALUE"""),"")</f>
        <v/>
      </c>
      <c r="R561" s="1" t="str">
        <f>IFERROR(__xludf.DUMMYFUNCTION("""COMPUTED_VALUE"""),"")</f>
        <v/>
      </c>
      <c r="S561" s="1" t="str">
        <f>IFERROR(__xludf.DUMMYFUNCTION("""COMPUTED_VALUE"""),"")</f>
        <v/>
      </c>
      <c r="T561" s="1" t="str">
        <f>IFERROR(__xludf.DUMMYFUNCTION("""COMPUTED_VALUE"""),"")</f>
        <v/>
      </c>
      <c r="U561" s="1" t="str">
        <f>IFERROR(__xludf.DUMMYFUNCTION("""COMPUTED_VALUE"""),"")</f>
        <v/>
      </c>
      <c r="V561" s="1" t="str">
        <f>IFERROR(__xludf.DUMMYFUNCTION("""COMPUTED_VALUE"""),"")</f>
        <v/>
      </c>
      <c r="W561" s="1" t="str">
        <f>IFERROR(__xludf.DUMMYFUNCTION("""COMPUTED_VALUE"""),"1350")</f>
        <v>1350</v>
      </c>
      <c r="X561" s="1" t="str">
        <f>IFERROR(__xludf.DUMMYFUNCTION("""COMPUTED_VALUE"""),"")</f>
        <v/>
      </c>
      <c r="Y561" s="1" t="str">
        <f>IFERROR(__xludf.DUMMYFUNCTION("""COMPUTED_VALUE"""),"")</f>
        <v/>
      </c>
      <c r="Z561" s="1" t="str">
        <f>IFERROR(__xludf.DUMMYFUNCTION("""COMPUTED_VALUE"""),"Unknown")</f>
        <v>Unknown</v>
      </c>
      <c r="AA561" s="1" t="str">
        <f>IFERROR(__xludf.DUMMYFUNCTION("""COMPUTED_VALUE"""),"")</f>
        <v/>
      </c>
      <c r="AB561" s="1" t="str">
        <f>IFERROR(__xludf.DUMMYFUNCTION("""COMPUTED_VALUE"""),"")</f>
        <v/>
      </c>
      <c r="AC561" s="1" t="str">
        <f>IFERROR(__xludf.DUMMYFUNCTION("""COMPUTED_VALUE"""),"")</f>
        <v/>
      </c>
      <c r="AD561" s="1" t="str">
        <f>IFERROR(__xludf.DUMMYFUNCTION("""COMPUTED_VALUE"""),"")</f>
        <v/>
      </c>
      <c r="AE561" s="1" t="str">
        <f>IFERROR(__xludf.DUMMYFUNCTION("""COMPUTED_VALUE"""),"")</f>
        <v/>
      </c>
      <c r="AF561" s="1" t="str">
        <f>IFERROR(__xludf.DUMMYFUNCTION("""COMPUTED_VALUE"""),"")</f>
        <v/>
      </c>
      <c r="AG561" s="1" t="str">
        <f>IFERROR(__xludf.DUMMYFUNCTION("""COMPUTED_VALUE"""),"")</f>
        <v/>
      </c>
      <c r="AH561" s="1" t="str">
        <f>IFERROR(__xludf.DUMMYFUNCTION("""COMPUTED_VALUE"""),"Media Monitoring")</f>
        <v>Media Monitoring</v>
      </c>
      <c r="AI561" s="2" t="str">
        <f>IFERROR(__xludf.DUMMYFUNCTION("""COMPUTED_VALUE"""),"https://www.datacenterdynamics.com/en/news/microsoft-to-start-permitting-for-1385-acre-data-center-campus-in-north-carolina/")</f>
        <v>https://www.datacenterdynamics.com/en/news/microsoft-to-start-permitting-for-1385-acre-data-center-campus-in-north-carolina/</v>
      </c>
      <c r="AJ561" s="1" t="str">
        <f>IFERROR(__xludf.DUMMYFUNCTION("""COMPUTED_VALUE"""),"")</f>
        <v/>
      </c>
      <c r="AK561" s="1" t="str">
        <f>IFERROR(__xludf.DUMMYFUNCTION("""COMPUTED_VALUE"""),"")</f>
        <v/>
      </c>
      <c r="AL561" s="1" t="str">
        <f>IFERROR(__xludf.DUMMYFUNCTION("""COMPUTED_VALUE"""),"")</f>
        <v/>
      </c>
      <c r="AM561" s="1" t="str">
        <f>IFERROR(__xludf.DUMMYFUNCTION("""COMPUTED_VALUE"""),"")</f>
        <v/>
      </c>
      <c r="AN561" s="1" t="str">
        <f>IFERROR(__xludf.DUMMYFUNCTION("""COMPUTED_VALUE"""),"")</f>
        <v/>
      </c>
      <c r="AO561" s="1" t="str">
        <f>IFERROR(__xludf.DUMMYFUNCTION("""COMPUTED_VALUE"""),"")</f>
        <v/>
      </c>
      <c r="AP561" s="1" t="str">
        <f>IFERROR(__xludf.DUMMYFUNCTION("""COMPUTED_VALUE"""),"")</f>
        <v/>
      </c>
      <c r="AQ561" s="1" t="str">
        <f>IFERROR(__xludf.DUMMYFUNCTION("""COMPUTED_VALUE"""),"03/19/2026")</f>
        <v>03/19/2026</v>
      </c>
      <c r="AR561" s="1" t="str">
        <f>IFERROR(__xludf.DUMMYFUNCTION("""COMPUTED_VALUE"""),"03/19/2026")</f>
        <v>03/19/2026</v>
      </c>
    </row>
    <row r="562">
      <c r="A562" s="1" t="str">
        <f>IFERROR(__xludf.DUMMYFUNCTION("""COMPUTED_VALUE"""),"Drox Group Data Center")</f>
        <v>Drox Group Data Center</v>
      </c>
      <c r="B562" s="1" t="str">
        <f>IFERROR(__xludf.DUMMYFUNCTION("""COMPUTED_VALUE"""),"8084 Glade St")</f>
        <v>8084 Glade St</v>
      </c>
      <c r="C562" s="1" t="str">
        <f>IFERROR(__xludf.DUMMYFUNCTION("""COMPUTED_VALUE"""),"Rural Hall")</f>
        <v>Rural Hall</v>
      </c>
      <c r="D562" s="1" t="str">
        <f>IFERROR(__xludf.DUMMYFUNCTION("""COMPUTED_VALUE"""),"NC")</f>
        <v>NC</v>
      </c>
      <c r="E562" s="1" t="str">
        <f>IFERROR(__xludf.DUMMYFUNCTION("""COMPUTED_VALUE"""),"")</f>
        <v/>
      </c>
      <c r="F562" s="1" t="str">
        <f>IFERROR(__xludf.DUMMYFUNCTION("""COMPUTED_VALUE"""),"Forsyth ")</f>
        <v>Forsyth </v>
      </c>
      <c r="G562" s="1" t="str">
        <f>IFERROR(__xludf.DUMMYFUNCTION("""COMPUTED_VALUE"""),"36.24073")</f>
        <v>36.24073</v>
      </c>
      <c r="H562" s="1" t="str">
        <f>IFERROR(__xludf.DUMMYFUNCTION("""COMPUTED_VALUE"""),"-80.30469")</f>
        <v>-80.30469</v>
      </c>
      <c r="I562" s="1" t="str">
        <f>IFERROR(__xludf.DUMMYFUNCTION("""COMPUTED_VALUE"""),"Proposed")</f>
        <v>Proposed</v>
      </c>
      <c r="J562" s="1" t="str">
        <f>IFERROR(__xludf.DUMMYFUNCTION("""COMPUTED_VALUE"""),"High")</f>
        <v>High</v>
      </c>
      <c r="K562" s="1" t="str">
        <f>IFERROR(__xludf.DUMMYFUNCTION("""COMPUTED_VALUE"""),"")</f>
        <v/>
      </c>
      <c r="L562" s="1" t="str">
        <f>IFERROR(__xludf.DUMMYFUNCTION("""COMPUTED_VALUE"""),"")</f>
        <v/>
      </c>
      <c r="M562" s="1" t="str">
        <f>IFERROR(__xludf.DUMMYFUNCTION("""COMPUTED_VALUE"""),"")</f>
        <v/>
      </c>
      <c r="N562" s="1" t="str">
        <f>IFERROR(__xludf.DUMMYFUNCTION("""COMPUTED_VALUE"""),"")</f>
        <v/>
      </c>
      <c r="O562" s="1" t="str">
        <f>IFERROR(__xludf.DUMMYFUNCTION("""COMPUTED_VALUE"""),"Hyperscale (100-999 MW)")</f>
        <v>Hyperscale (100-999 MW)</v>
      </c>
      <c r="P562" s="1" t="str">
        <f>IFERROR(__xludf.DUMMYFUNCTION("""COMPUTED_VALUE"""),"")</f>
        <v/>
      </c>
      <c r="Q562" s="1" t="str">
        <f>IFERROR(__xludf.DUMMYFUNCTION("""COMPUTED_VALUE"""),"")</f>
        <v/>
      </c>
      <c r="R562" s="1" t="str">
        <f>IFERROR(__xludf.DUMMYFUNCTION("""COMPUTED_VALUE"""),"")</f>
        <v/>
      </c>
      <c r="S562" s="1" t="str">
        <f>IFERROR(__xludf.DUMMYFUNCTION("""COMPUTED_VALUE"""),"")</f>
        <v/>
      </c>
      <c r="T562" s="1" t="str">
        <f>IFERROR(__xludf.DUMMYFUNCTION("""COMPUTED_VALUE"""),"")</f>
        <v/>
      </c>
      <c r="U562" s="1" t="str">
        <f>IFERROR(__xludf.DUMMYFUNCTION("""COMPUTED_VALUE"""),"")</f>
        <v/>
      </c>
      <c r="V562" s="1" t="str">
        <f>IFERROR(__xludf.DUMMYFUNCTION("""COMPUTED_VALUE"""),"1,300,000")</f>
        <v>1,300,000</v>
      </c>
      <c r="W562" s="1" t="str">
        <f>IFERROR(__xludf.DUMMYFUNCTION("""COMPUTED_VALUE"""),"129")</f>
        <v>129</v>
      </c>
      <c r="X562" s="1" t="str">
        <f>IFERROR(__xludf.DUMMYFUNCTION("""COMPUTED_VALUE"""),"")</f>
        <v/>
      </c>
      <c r="Y562" s="1" t="str">
        <f>IFERROR(__xludf.DUMMYFUNCTION("""COMPUTED_VALUE"""),"")</f>
        <v/>
      </c>
      <c r="Z562" s="1" t="str">
        <f>IFERROR(__xludf.DUMMYFUNCTION("""COMPUTED_VALUE"""),"Yes")</f>
        <v>Yes</v>
      </c>
      <c r="AA562" s="1" t="str">
        <f>IFERROR(__xludf.DUMMYFUNCTION("""COMPUTED_VALUE"""),"")</f>
        <v/>
      </c>
      <c r="AB562" s="1" t="str">
        <f>IFERROR(__xludf.DUMMYFUNCTION("""COMPUTED_VALUE"""),"")</f>
        <v/>
      </c>
      <c r="AC562" s="1" t="str">
        <f>IFERROR(__xludf.DUMMYFUNCTION("""COMPUTED_VALUE"""),"")</f>
        <v/>
      </c>
      <c r="AD562" s="1" t="str">
        <f>IFERROR(__xludf.DUMMYFUNCTION("""COMPUTED_VALUE"""),"")</f>
        <v/>
      </c>
      <c r="AE562" s="1" t="str">
        <f>IFERROR(__xludf.DUMMYFUNCTION("""COMPUTED_VALUE"""),"")</f>
        <v/>
      </c>
      <c r="AF562" s="2" t="str">
        <f>IFERROR(__xludf.DUMMYFUNCTION("""COMPUTED_VALUE"""),"https://www.change.org/p/oppose-the-proposed-data-center-rezoning-in-rural-hall-nc?utm_source=share_petition&amp;utm_medium=mobileNativeShare&amp;utm_campaign=share_petition&amp;recruited_by_id=c47b8510-a5e3-11ea-9eb5-55d5249e13d4&amp;recruiter=1106290968&amp;share_id=mxKTw5"&amp;"fPpr")</f>
        <v>https://www.change.org/p/oppose-the-proposed-data-center-rezoning-in-rural-hall-nc?utm_source=share_petition&amp;utm_medium=mobileNativeShare&amp;utm_campaign=share_petition&amp;recruited_by_id=c47b8510-a5e3-11ea-9eb5-55d5249e13d4&amp;recruiter=1106290968&amp;share_id=mxKTw5fPpr</v>
      </c>
      <c r="AG562" s="1" t="str">
        <f>IFERROR(__xludf.DUMMYFUNCTION("""COMPUTED_VALUE"""),"")</f>
        <v/>
      </c>
      <c r="AH562" s="1" t="str">
        <f>IFERROR(__xludf.DUMMYFUNCTION("""COMPUTED_VALUE"""),"Media Monitoring")</f>
        <v>Media Monitoring</v>
      </c>
      <c r="AI562" s="2" t="str">
        <f>IFERROR(__xludf.DUMMYFUNCTION("""COMPUTED_VALUE"""),"https://www.datacenterdynamics.com/en/news/property-developer-drox-looking-to-build-129-acre-data-center-near-greensboro-north-carolina/")</f>
        <v>https://www.datacenterdynamics.com/en/news/property-developer-drox-looking-to-build-129-acre-data-center-near-greensboro-north-carolina/</v>
      </c>
      <c r="AJ562" s="1" t="str">
        <f>IFERROR(__xludf.DUMMYFUNCTION("""COMPUTED_VALUE"""),"")</f>
        <v/>
      </c>
      <c r="AK562" s="1" t="str">
        <f>IFERROR(__xludf.DUMMYFUNCTION("""COMPUTED_VALUE"""),"")</f>
        <v/>
      </c>
      <c r="AL562" s="1" t="str">
        <f>IFERROR(__xludf.DUMMYFUNCTION("""COMPUTED_VALUE"""),"")</f>
        <v/>
      </c>
      <c r="AM562" s="1" t="str">
        <f>IFERROR(__xludf.DUMMYFUNCTION("""COMPUTED_VALUE"""),"")</f>
        <v/>
      </c>
      <c r="AN562" s="1" t="str">
        <f>IFERROR(__xludf.DUMMYFUNCTION("""COMPUTED_VALUE"""),"")</f>
        <v/>
      </c>
      <c r="AO562" s="1" t="str">
        <f>IFERROR(__xludf.DUMMYFUNCTION("""COMPUTED_VALUE"""),"")</f>
        <v/>
      </c>
      <c r="AP562" s="1" t="str">
        <f>IFERROR(__xludf.DUMMYFUNCTION("""COMPUTED_VALUE"""),"")</f>
        <v/>
      </c>
      <c r="AQ562" s="1" t="str">
        <f>IFERROR(__xludf.DUMMYFUNCTION("""COMPUTED_VALUE"""),"04/02/2026")</f>
        <v>04/02/2026</v>
      </c>
      <c r="AR562" s="1" t="str">
        <f>IFERROR(__xludf.DUMMYFUNCTION("""COMPUTED_VALUE"""),"04/02/2026")</f>
        <v>04/02/2026</v>
      </c>
    </row>
    <row r="563">
      <c r="A563" s="1" t="str">
        <f>IFERROR(__xludf.DUMMYFUNCTION("""COMPUTED_VALUE"""),"Deep River Data AI Data Center")</f>
        <v>Deep River Data AI Data Center</v>
      </c>
      <c r="B563" s="1" t="str">
        <f>IFERROR(__xludf.DUMMYFUNCTION("""COMPUTED_VALUE"""),"Near Lee/ Chatham County Line, south of Rt 421")</f>
        <v>Near Lee/ Chatham County Line, south of Rt 421</v>
      </c>
      <c r="C563" s="1" t="str">
        <f>IFERROR(__xludf.DUMMYFUNCTION("""COMPUTED_VALUE"""),"Sanford")</f>
        <v>Sanford</v>
      </c>
      <c r="D563" s="1" t="str">
        <f>IFERROR(__xludf.DUMMYFUNCTION("""COMPUTED_VALUE"""),"NC")</f>
        <v>NC</v>
      </c>
      <c r="E563" s="1" t="str">
        <f>IFERROR(__xludf.DUMMYFUNCTION("""COMPUTED_VALUE"""),"27330")</f>
        <v>27330</v>
      </c>
      <c r="F563" s="1" t="str">
        <f>IFERROR(__xludf.DUMMYFUNCTION("""COMPUTED_VALUE"""),"Lee")</f>
        <v>Lee</v>
      </c>
      <c r="G563" s="1" t="str">
        <f>IFERROR(__xludf.DUMMYFUNCTION("""COMPUTED_VALUE"""),"35.53914")</f>
        <v>35.53914</v>
      </c>
      <c r="H563" s="1" t="str">
        <f>IFERROR(__xludf.DUMMYFUNCTION("""COMPUTED_VALUE"""),"-79.25537")</f>
        <v>-79.25537</v>
      </c>
      <c r="I563" s="1" t="str">
        <f>IFERROR(__xludf.DUMMYFUNCTION("""COMPUTED_VALUE"""),"Proposed")</f>
        <v>Proposed</v>
      </c>
      <c r="J563" s="1" t="str">
        <f>IFERROR(__xludf.DUMMYFUNCTION("""COMPUTED_VALUE"""),"Medium")</f>
        <v>Medium</v>
      </c>
      <c r="K563" s="1" t="str">
        <f>IFERROR(__xludf.DUMMYFUNCTION("""COMPUTED_VALUE"""),"AI")</f>
        <v>AI</v>
      </c>
      <c r="L563" s="1" t="str">
        <f>IFERROR(__xludf.DUMMYFUNCTION("""COMPUTED_VALUE"""),"Deep River Data")</f>
        <v>Deep River Data</v>
      </c>
      <c r="M563" s="1" t="str">
        <f>IFERROR(__xludf.DUMMYFUNCTION("""COMPUTED_VALUE"""),"")</f>
        <v/>
      </c>
      <c r="N563" s="1" t="str">
        <f>IFERROR(__xludf.DUMMYFUNCTION("""COMPUTED_VALUE"""),"")</f>
        <v/>
      </c>
      <c r="O563" s="1" t="str">
        <f>IFERROR(__xludf.DUMMYFUNCTION("""COMPUTED_VALUE"""),"Unknown")</f>
        <v>Unknown</v>
      </c>
      <c r="P563" s="1" t="str">
        <f>IFERROR(__xludf.DUMMYFUNCTION("""COMPUTED_VALUE"""),"")</f>
        <v/>
      </c>
      <c r="Q563" s="1" t="str">
        <f>IFERROR(__xludf.DUMMYFUNCTION("""COMPUTED_VALUE"""),"")</f>
        <v/>
      </c>
      <c r="R563" s="1" t="str">
        <f>IFERROR(__xludf.DUMMYFUNCTION("""COMPUTED_VALUE"""),"")</f>
        <v/>
      </c>
      <c r="S563" s="1" t="str">
        <f>IFERROR(__xludf.DUMMYFUNCTION("""COMPUTED_VALUE"""),"")</f>
        <v/>
      </c>
      <c r="T563" s="1" t="str">
        <f>IFERROR(__xludf.DUMMYFUNCTION("""COMPUTED_VALUE"""),"")</f>
        <v/>
      </c>
      <c r="U563" s="1" t="str">
        <f>IFERROR(__xludf.DUMMYFUNCTION("""COMPUTED_VALUE"""),"")</f>
        <v/>
      </c>
      <c r="V563" s="1" t="str">
        <f>IFERROR(__xludf.DUMMYFUNCTION("""COMPUTED_VALUE"""),"")</f>
        <v/>
      </c>
      <c r="W563" s="1" t="str">
        <f>IFERROR(__xludf.DUMMYFUNCTION("""COMPUTED_VALUE"""),"")</f>
        <v/>
      </c>
      <c r="X563" s="1" t="str">
        <f>IFERROR(__xludf.DUMMYFUNCTION("""COMPUTED_VALUE"""),"")</f>
        <v/>
      </c>
      <c r="Y563" s="1" t="str">
        <f>IFERROR(__xludf.DUMMYFUNCTION("""COMPUTED_VALUE"""),"")</f>
        <v/>
      </c>
      <c r="Z563" s="1" t="str">
        <f>IFERROR(__xludf.DUMMYFUNCTION("""COMPUTED_VALUE"""),"Unknown")</f>
        <v>Unknown</v>
      </c>
      <c r="AA563" s="1" t="str">
        <f>IFERROR(__xludf.DUMMYFUNCTION("""COMPUTED_VALUE"""),"")</f>
        <v/>
      </c>
      <c r="AB563" s="1" t="str">
        <f>IFERROR(__xludf.DUMMYFUNCTION("""COMPUTED_VALUE"""),"")</f>
        <v/>
      </c>
      <c r="AC563" s="1" t="str">
        <f>IFERROR(__xludf.DUMMYFUNCTION("""COMPUTED_VALUE"""),"")</f>
        <v/>
      </c>
      <c r="AD563" s="1" t="str">
        <f>IFERROR(__xludf.DUMMYFUNCTION("""COMPUTED_VALUE"""),"")</f>
        <v/>
      </c>
      <c r="AE563" s="1" t="str">
        <f>IFERROR(__xludf.DUMMYFUNCTION("""COMPUTED_VALUE"""),"")</f>
        <v/>
      </c>
      <c r="AF563" s="1" t="str">
        <f>IFERROR(__xludf.DUMMYFUNCTION("""COMPUTED_VALUE"""),"")</f>
        <v/>
      </c>
      <c r="AG563" s="1" t="str">
        <f>IFERROR(__xludf.DUMMYFUNCTION("""COMPUTED_VALUE"""),"To be powered directly off gas well")</f>
        <v>To be powered directly off gas well</v>
      </c>
      <c r="AH563" s="1" t="str">
        <f>IFERROR(__xludf.DUMMYFUNCTION("""COMPUTED_VALUE"""),"Media Monitoring")</f>
        <v>Media Monitoring</v>
      </c>
      <c r="AI563" s="2" t="str">
        <f>IFERROR(__xludf.DUMMYFUNCTION("""COMPUTED_VALUE"""),"https://insideclimatenews.org/news/01112025/north-carolina-natural-gas-well-data-center/")</f>
        <v>https://insideclimatenews.org/news/01112025/north-carolina-natural-gas-well-data-center/</v>
      </c>
      <c r="AJ563" s="2" t="str">
        <f>IFERROR(__xludf.DUMMYFUNCTION("""COMPUTED_VALUE"""),"https://cwfnc.org/nofracklee/")</f>
        <v>https://cwfnc.org/nofracklee/</v>
      </c>
      <c r="AK563" s="1" t="str">
        <f>IFERROR(__xludf.DUMMYFUNCTION("""COMPUTED_VALUE"""),"")</f>
        <v/>
      </c>
      <c r="AL563" s="1" t="str">
        <f>IFERROR(__xludf.DUMMYFUNCTION("""COMPUTED_VALUE"""),"")</f>
        <v/>
      </c>
      <c r="AM563" s="1" t="str">
        <f>IFERROR(__xludf.DUMMYFUNCTION("""COMPUTED_VALUE"""),"")</f>
        <v/>
      </c>
      <c r="AN563" s="1" t="str">
        <f>IFERROR(__xludf.DUMMYFUNCTION("""COMPUTED_VALUE"""),"")</f>
        <v/>
      </c>
      <c r="AO563" s="1" t="str">
        <f>IFERROR(__xludf.DUMMYFUNCTION("""COMPUTED_VALUE"""),"")</f>
        <v/>
      </c>
      <c r="AP563" s="1" t="str">
        <f>IFERROR(__xludf.DUMMYFUNCTION("""COMPUTED_VALUE"""),"")</f>
        <v/>
      </c>
      <c r="AQ563" s="1" t="str">
        <f>IFERROR(__xludf.DUMMYFUNCTION("""COMPUTED_VALUE"""),"01/26/2026")</f>
        <v>01/26/2026</v>
      </c>
      <c r="AR563" s="1" t="str">
        <f>IFERROR(__xludf.DUMMYFUNCTION("""COMPUTED_VALUE"""),"01/26/2026")</f>
        <v>01/26/2026</v>
      </c>
    </row>
    <row r="564">
      <c r="A564" s="1" t="str">
        <f>IFERROR(__xludf.DUMMYFUNCTION("""COMPUTED_VALUE"""),"Compass Data Center")</f>
        <v>Compass Data Center</v>
      </c>
      <c r="B564" s="1" t="str">
        <f>IFERROR(__xludf.DUMMYFUNCTION("""COMPUTED_VALUE"""),"Stamey Farm Rd")</f>
        <v>Stamey Farm Rd</v>
      </c>
      <c r="C564" s="1" t="str">
        <f>IFERROR(__xludf.DUMMYFUNCTION("""COMPUTED_VALUE"""),"Statesville")</f>
        <v>Statesville</v>
      </c>
      <c r="D564" s="1" t="str">
        <f>IFERROR(__xludf.DUMMYFUNCTION("""COMPUTED_VALUE"""),"NC")</f>
        <v>NC</v>
      </c>
      <c r="E564" s="1" t="str">
        <f>IFERROR(__xludf.DUMMYFUNCTION("""COMPUTED_VALUE"""),"28677")</f>
        <v>28677</v>
      </c>
      <c r="F564" s="1" t="str">
        <f>IFERROR(__xludf.DUMMYFUNCTION("""COMPUTED_VALUE"""),"Iredell")</f>
        <v>Iredell</v>
      </c>
      <c r="G564" s="1" t="str">
        <f>IFERROR(__xludf.DUMMYFUNCTION("""COMPUTED_VALUE"""),"35.77436")</f>
        <v>35.77436</v>
      </c>
      <c r="H564" s="1" t="str">
        <f>IFERROR(__xludf.DUMMYFUNCTION("""COMPUTED_VALUE"""),"-80.9749")</f>
        <v>-80.9749</v>
      </c>
      <c r="I564" s="1" t="str">
        <f>IFERROR(__xludf.DUMMYFUNCTION("""COMPUTED_VALUE"""),"Approved/Permitted/Under construction")</f>
        <v>Approved/Permitted/Under construction</v>
      </c>
      <c r="J564" s="1" t="str">
        <f>IFERROR(__xludf.DUMMYFUNCTION("""COMPUTED_VALUE"""),"High")</f>
        <v>High</v>
      </c>
      <c r="K564" s="1" t="str">
        <f>IFERROR(__xludf.DUMMYFUNCTION("""COMPUTED_VALUE"""),"")</f>
        <v/>
      </c>
      <c r="L564" s="1" t="str">
        <f>IFERROR(__xludf.DUMMYFUNCTION("""COMPUTED_VALUE"""),"")</f>
        <v/>
      </c>
      <c r="M564" s="1" t="str">
        <f>IFERROR(__xludf.DUMMYFUNCTION("""COMPUTED_VALUE"""),"")</f>
        <v/>
      </c>
      <c r="N564" s="1" t="str">
        <f>IFERROR(__xludf.DUMMYFUNCTION("""COMPUTED_VALUE"""),"")</f>
        <v/>
      </c>
      <c r="O564" s="1" t="str">
        <f>IFERROR(__xludf.DUMMYFUNCTION("""COMPUTED_VALUE"""),"Unknown")</f>
        <v>Unknown</v>
      </c>
      <c r="P564" s="1" t="str">
        <f>IFERROR(__xludf.DUMMYFUNCTION("""COMPUTED_VALUE"""),"")</f>
        <v/>
      </c>
      <c r="Q564" s="1" t="str">
        <f>IFERROR(__xludf.DUMMYFUNCTION("""COMPUTED_VALUE"""),"")</f>
        <v/>
      </c>
      <c r="R564" s="1" t="str">
        <f>IFERROR(__xludf.DUMMYFUNCTION("""COMPUTED_VALUE"""),"")</f>
        <v/>
      </c>
      <c r="S564" s="1" t="str">
        <f>IFERROR(__xludf.DUMMYFUNCTION("""COMPUTED_VALUE"""),"5")</f>
        <v>5</v>
      </c>
      <c r="T564" s="1" t="str">
        <f>IFERROR(__xludf.DUMMYFUNCTION("""COMPUTED_VALUE"""),"")</f>
        <v/>
      </c>
      <c r="U564" s="1" t="str">
        <f>IFERROR(__xludf.DUMMYFUNCTION("""COMPUTED_VALUE"""),"")</f>
        <v/>
      </c>
      <c r="V564" s="1" t="str">
        <f>IFERROR(__xludf.DUMMYFUNCTION("""COMPUTED_VALUE"""),"1,340,000")</f>
        <v>1,340,000</v>
      </c>
      <c r="W564" s="1" t="str">
        <f>IFERROR(__xludf.DUMMYFUNCTION("""COMPUTED_VALUE"""),"333")</f>
        <v>333</v>
      </c>
      <c r="X564" s="1" t="str">
        <f>IFERROR(__xludf.DUMMYFUNCTION("""COMPUTED_VALUE"""),"")</f>
        <v/>
      </c>
      <c r="Y564" s="1" t="str">
        <f>IFERROR(__xludf.DUMMYFUNCTION("""COMPUTED_VALUE"""),"")</f>
        <v/>
      </c>
      <c r="Z564" s="1" t="str">
        <f>IFERROR(__xludf.DUMMYFUNCTION("""COMPUTED_VALUE"""),"Yes")</f>
        <v>Yes</v>
      </c>
      <c r="AA564" s="1" t="str">
        <f>IFERROR(__xludf.DUMMYFUNCTION("""COMPUTED_VALUE"""),"")</f>
        <v/>
      </c>
      <c r="AB564" s="1" t="str">
        <f>IFERROR(__xludf.DUMMYFUNCTION("""COMPUTED_VALUE"""),"")</f>
        <v/>
      </c>
      <c r="AC564" s="1" t="str">
        <f>IFERROR(__xludf.DUMMYFUNCTION("""COMPUTED_VALUE"""),"")</f>
        <v/>
      </c>
      <c r="AD564" s="1" t="str">
        <f>IFERROR(__xludf.DUMMYFUNCTION("""COMPUTED_VALUE"""),"")</f>
        <v/>
      </c>
      <c r="AE564" s="1" t="str">
        <f>IFERROR(__xludf.DUMMYFUNCTION("""COMPUTED_VALUE"""),"")</f>
        <v/>
      </c>
      <c r="AF564" s="2" t="str">
        <f>IFERROR(__xludf.DUMMYFUNCTION("""COMPUTED_VALUE"""),"https://www.change.org/p/prevent-data-center-construction-in-iredell-county-residential-agricultural-area")</f>
        <v>https://www.change.org/p/prevent-data-center-construction-in-iredell-county-residential-agricultural-area</v>
      </c>
      <c r="AG564" s="1" t="str">
        <f>IFERROR(__xludf.DUMMYFUNCTION("""COMPUTED_VALUE"""),"40 backup generators per building")</f>
        <v>40 backup generators per building</v>
      </c>
      <c r="AH564" s="1" t="str">
        <f>IFERROR(__xludf.DUMMYFUNCTION("""COMPUTED_VALUE"""),"Media Monitoring")</f>
        <v>Media Monitoring</v>
      </c>
      <c r="AI564" s="2" t="str">
        <f>IFERROR(__xludf.DUMMYFUNCTION("""COMPUTED_VALUE"""),"https://www.datacenterdynamics.com/en/news/compass-datacenters-proposes-333-acre-campus-in-statesville-north-carolina/")</f>
        <v>https://www.datacenterdynamics.com/en/news/compass-datacenters-proposes-333-acre-campus-in-statesville-north-carolina/</v>
      </c>
      <c r="AJ564" s="2" t="str">
        <f>IFERROR(__xludf.DUMMYFUNCTION("""COMPUTED_VALUE"""),"https://www.iredellfreenews.com/news-features/2025/statesville-planning-department-recommends-approval-of-rezoning-request-for-compass-data-centers-project/")</f>
        <v>https://www.iredellfreenews.com/news-features/2025/statesville-planning-department-recommends-approval-of-rezoning-request-for-compass-data-centers-project/</v>
      </c>
      <c r="AK564" s="2" t="str">
        <f>IFERROR(__xludf.DUMMYFUNCTION("""COMPUTED_VALUE"""),"https://www.iredellfreenews.com/news-features/2025/breaking-news-statesville-council-unanimously-approves-rezoning-request-for-massive-data-center/")</f>
        <v>https://www.iredellfreenews.com/news-features/2025/breaking-news-statesville-council-unanimously-approves-rezoning-request-for-massive-data-center/</v>
      </c>
      <c r="AL564" s="2" t="str">
        <f>IFERROR(__xludf.DUMMYFUNCTION("""COMPUTED_VALUE"""),"https://www.charlotteobserver.com/news/business/development/article311792813.html")</f>
        <v>https://www.charlotteobserver.com/news/business/development/article311792813.html</v>
      </c>
      <c r="AM564" s="1" t="str">
        <f>IFERROR(__xludf.DUMMYFUNCTION("""COMPUTED_VALUE"""),"")</f>
        <v/>
      </c>
      <c r="AN564" s="1" t="str">
        <f>IFERROR(__xludf.DUMMYFUNCTION("""COMPUTED_VALUE"""),"")</f>
        <v/>
      </c>
      <c r="AO564" s="1" t="str">
        <f>IFERROR(__xludf.DUMMYFUNCTION("""COMPUTED_VALUE"""),"")</f>
        <v/>
      </c>
      <c r="AP564" s="1" t="str">
        <f>IFERROR(__xludf.DUMMYFUNCTION("""COMPUTED_VALUE"""),"")</f>
        <v/>
      </c>
      <c r="AQ564" s="1" t="str">
        <f>IFERROR(__xludf.DUMMYFUNCTION("""COMPUTED_VALUE"""),"09/16/2025")</f>
        <v>09/16/2025</v>
      </c>
      <c r="AR564" s="1" t="str">
        <f>IFERROR(__xludf.DUMMYFUNCTION("""COMPUTED_VALUE"""),"02/13/2026")</f>
        <v>02/13/2026</v>
      </c>
    </row>
    <row r="565">
      <c r="A565" s="1" t="str">
        <f>IFERROR(__xludf.DUMMYFUNCTION("""COMPUTED_VALUE"""),"Kingsboro Data Center Project")</f>
        <v>Kingsboro Data Center Project</v>
      </c>
      <c r="B565" s="1" t="str">
        <f>IFERROR(__xludf.DUMMYFUNCTION("""COMPUTED_VALUE"""),"Kingsboro Business Park between Rocky Mount and Tarboro")</f>
        <v>Kingsboro Business Park between Rocky Mount and Tarboro</v>
      </c>
      <c r="C565" s="1" t="str">
        <f>IFERROR(__xludf.DUMMYFUNCTION("""COMPUTED_VALUE"""),"Tarboro")</f>
        <v>Tarboro</v>
      </c>
      <c r="D565" s="1" t="str">
        <f>IFERROR(__xludf.DUMMYFUNCTION("""COMPUTED_VALUE"""),"NC")</f>
        <v>NC</v>
      </c>
      <c r="E565" s="1" t="str">
        <f>IFERROR(__xludf.DUMMYFUNCTION("""COMPUTED_VALUE"""),"27886")</f>
        <v>27886</v>
      </c>
      <c r="F565" s="1" t="str">
        <f>IFERROR(__xludf.DUMMYFUNCTION("""COMPUTED_VALUE"""),"Edgecombe")</f>
        <v>Edgecombe</v>
      </c>
      <c r="G565" s="1" t="str">
        <f>IFERROR(__xludf.DUMMYFUNCTION("""COMPUTED_VALUE"""),"35.905323")</f>
        <v>35.905323</v>
      </c>
      <c r="H565" s="1" t="str">
        <f>IFERROR(__xludf.DUMMYFUNCTION("""COMPUTED_VALUE"""),"-77.58731")</f>
        <v>-77.58731</v>
      </c>
      <c r="I565" s="1" t="str">
        <f>IFERROR(__xludf.DUMMYFUNCTION("""COMPUTED_VALUE"""),"Suspended")</f>
        <v>Suspended</v>
      </c>
      <c r="J565" s="1" t="str">
        <f>IFERROR(__xludf.DUMMYFUNCTION("""COMPUTED_VALUE"""),"High")</f>
        <v>High</v>
      </c>
      <c r="K565" s="1" t="str">
        <f>IFERROR(__xludf.DUMMYFUNCTION("""COMPUTED_VALUE"""),"AI data center / hyperscale campus")</f>
        <v>AI data center / hyperscale campus</v>
      </c>
      <c r="L565" s="1" t="str">
        <f>IFERROR(__xludf.DUMMYFUNCTION("""COMPUTED_VALUE"""),"Energy Storage Solutions")</f>
        <v>Energy Storage Solutions</v>
      </c>
      <c r="M565" s="1" t="str">
        <f>IFERROR(__xludf.DUMMYFUNCTION("""COMPUTED_VALUE"""),"")</f>
        <v/>
      </c>
      <c r="N565" s="1" t="str">
        <f>IFERROR(__xludf.DUMMYFUNCTION("""COMPUTED_VALUE"""),"900")</f>
        <v>900</v>
      </c>
      <c r="O565" s="1" t="str">
        <f>IFERROR(__xludf.DUMMYFUNCTION("""COMPUTED_VALUE"""),"Hyperscale (100-999 MW)")</f>
        <v>Hyperscale (100-999 MW)</v>
      </c>
      <c r="P565" s="1" t="str">
        <f>IFERROR(__xludf.DUMMYFUNCTION("""COMPUTED_VALUE"""),"Natural gas")</f>
        <v>Natural gas</v>
      </c>
      <c r="Q565" s="1" t="str">
        <f>IFERROR(__xludf.DUMMYFUNCTION("""COMPUTED_VALUE"""),"")</f>
        <v/>
      </c>
      <c r="R565" s="1" t="str">
        <f>IFERROR(__xludf.DUMMYFUNCTION("""COMPUTED_VALUE"""),"")</f>
        <v/>
      </c>
      <c r="S565" s="1" t="str">
        <f>IFERROR(__xludf.DUMMYFUNCTION("""COMPUTED_VALUE"""),"12")</f>
        <v>12</v>
      </c>
      <c r="T565" s="1" t="str">
        <f>IFERROR(__xludf.DUMMYFUNCTION("""COMPUTED_VALUE"""),"")</f>
        <v/>
      </c>
      <c r="U565" s="1" t="str">
        <f>IFERROR(__xludf.DUMMYFUNCTION("""COMPUTED_VALUE"""),"")</f>
        <v/>
      </c>
      <c r="V565" s="1" t="str">
        <f>IFERROR(__xludf.DUMMYFUNCTION("""COMPUTED_VALUE"""),"")</f>
        <v/>
      </c>
      <c r="W565" s="1" t="str">
        <f>IFERROR(__xludf.DUMMYFUNCTION("""COMPUTED_VALUE"""),"155")</f>
        <v>155</v>
      </c>
      <c r="X565" s="1" t="str">
        <f>IFERROR(__xludf.DUMMYFUNCTION("""COMPUTED_VALUE"""),"$19.2 billion ")</f>
        <v>$19.2 billion </v>
      </c>
      <c r="Y565" s="1" t="str">
        <f>IFERROR(__xludf.DUMMYFUNCTION("""COMPUTED_VALUE"""),"Buildout by 2028")</f>
        <v>Buildout by 2028</v>
      </c>
      <c r="Z565" s="1" t="str">
        <f>IFERROR(__xludf.DUMMYFUNCTION("""COMPUTED_VALUE"""),"Yes ")</f>
        <v>Yes </v>
      </c>
      <c r="AA565" s="1" t="str">
        <f>IFERROR(__xludf.DUMMYFUNCTION("""COMPUTED_VALUE"""),"Community meeting held Nov 2025 regarding proposed 900 MW, $19 B Kingsboro AI data center by Energy Storage Solutions. Environmental and utility-rate concerns raised by residents and NC Environmental Justice Network. Local organizing ongoing; county consi"&amp;"dering sale of Kingsboro Business Park land for project.")</f>
        <v>Community meeting held Nov 2025 regarding proposed 900 MW, $19 B Kingsboro AI data center by Energy Storage Solutions. Environmental and utility-rate concerns raised by residents and NC Environmental Justice Network. Local organizing ongoing; county considering sale of Kingsboro Business Park land for project.</v>
      </c>
      <c r="AB565" s="1" t="str">
        <f>IFERROR(__xludf.DUMMYFUNCTION("""COMPUTED_VALUE"""),"Organized Advocacy")</f>
        <v>Organized Advocacy</v>
      </c>
      <c r="AC565" s="1" t="str">
        <f>IFERROR(__xludf.DUMMYFUNCTION("""COMPUTED_VALUE"""),"")</f>
        <v/>
      </c>
      <c r="AD565" s="2" t="str">
        <f>IFERROR(__xludf.DUMMYFUNCTION("""COMPUTED_VALUE"""),"https://soundrivers.org/ai-data-center-community-meeting-kingsboro/")</f>
        <v>https://soundrivers.org/ai-data-center-community-meeting-kingsboro/</v>
      </c>
      <c r="AE565" s="2" t="str">
        <f>IFERROR(__xludf.DUMMYFUNCTION("""COMPUTED_VALUE"""),"https://www.facebook.com/groups/4550854725145782/")</f>
        <v>https://www.facebook.com/groups/4550854725145782/</v>
      </c>
      <c r="AF565" s="2" t="str">
        <f>IFERROR(__xludf.DUMMYFUNCTION("""COMPUTED_VALUE"""),"https://ncejn.org/updates-on-the-fight-against-data-centers-edgecombe-county/")</f>
        <v>https://ncejn.org/updates-on-the-fight-against-data-centers-edgecombe-county/</v>
      </c>
      <c r="AG565" s="1" t="str">
        <f>IFERROR(__xludf.DUMMYFUNCTION("""COMPUTED_VALUE"""),"")</f>
        <v/>
      </c>
      <c r="AH565" s="1" t="str">
        <f>IFERROR(__xludf.DUMMYFUNCTION("""COMPUTED_VALUE"""),"Media Monitoring")</f>
        <v>Media Monitoring</v>
      </c>
      <c r="AI565" s="2" t="str">
        <f>IFERROR(__xludf.DUMMYFUNCTION("""COMPUTED_VALUE"""),"https://www.datacenterknowledge.com/build-design/developer-forges-ahead-with-38b-in-nc-data-center-builds?utm_source=chatgpt.com")</f>
        <v>https://www.datacenterknowledge.com/build-design/developer-forges-ahead-with-38b-in-nc-data-center-builds?utm_source=chatgpt.com</v>
      </c>
      <c r="AJ565" s="2" t="str">
        <f>IFERROR(__xludf.DUMMYFUNCTION("""COMPUTED_VALUE"""),"https://soundrivers.org/ai-data-center-community-meeting-kingsboro/")</f>
        <v>https://soundrivers.org/ai-data-center-community-meeting-kingsboro/</v>
      </c>
      <c r="AK565" s="2" t="str">
        <f>IFERROR(__xludf.DUMMYFUNCTION("""COMPUTED_VALUE"""),"https://www.wfae.org/energy-environment/2025-12-02/proposed-edgecombe-county-data-center-draws-criticism-during-county-meeting")</f>
        <v>https://www.wfae.org/energy-environment/2025-12-02/proposed-edgecombe-county-data-center-draws-criticism-during-county-meeting</v>
      </c>
      <c r="AL565" s="2" t="str">
        <f>IFERROR(__xludf.DUMMYFUNCTION("""COMPUTED_VALUE"""),"https://www.wunc.org/2025-11-25/opposition-mounts-to-proposed-large-data-center-in-edgecombe-county?utm_source=chatgpt.com")</f>
        <v>https://www.wunc.org/2025-11-25/opposition-mounts-to-proposed-large-data-center-in-edgecombe-county?utm_source=chatgpt.com</v>
      </c>
      <c r="AM565" s="2" t="str">
        <f>IFERROR(__xludf.DUMMYFUNCTION("""COMPUTED_VALUE"""),"https://www.datacenterdynamics.com/en/news/north-carolina-ai-data-center-proposal-withdrawn-as-county-officials-mull-moratorium/")</f>
        <v>https://www.datacenterdynamics.com/en/news/north-carolina-ai-data-center-proposal-withdrawn-as-county-officials-mull-moratorium/</v>
      </c>
      <c r="AN565" s="1" t="str">
        <f>IFERROR(__xludf.DUMMYFUNCTION("""COMPUTED_VALUE"""),"")</f>
        <v/>
      </c>
      <c r="AO565" s="1" t="str">
        <f>IFERROR(__xludf.DUMMYFUNCTION("""COMPUTED_VALUE"""),"")</f>
        <v/>
      </c>
      <c r="AP565" s="1" t="str">
        <f>IFERROR(__xludf.DUMMYFUNCTION("""COMPUTED_VALUE"""),"")</f>
        <v/>
      </c>
      <c r="AQ565" s="1" t="str">
        <f>IFERROR(__xludf.DUMMYFUNCTION("""COMPUTED_VALUE"""),"02/17/2026")</f>
        <v>02/17/2026</v>
      </c>
      <c r="AR565" s="1" t="str">
        <f>IFERROR(__xludf.DUMMYFUNCTION("""COMPUTED_VALUE"""),"07/16/2026")</f>
        <v>07/16/2026</v>
      </c>
    </row>
    <row r="566">
      <c r="A566" s="1" t="str">
        <f>IFERROR(__xludf.DUMMYFUNCTION("""COMPUTED_VALUE"""),"Project Delta")</f>
        <v>Project Delta</v>
      </c>
      <c r="B566" s="1" t="str">
        <f>IFERROR(__xludf.DUMMYFUNCTION("""COMPUTED_VALUE"""),"North and south of Hwy 311")</f>
        <v>North and south of Hwy 311</v>
      </c>
      <c r="C566" s="1" t="str">
        <f>IFERROR(__xludf.DUMMYFUNCTION("""COMPUTED_VALUE"""),"Walnut Cove")</f>
        <v>Walnut Cove</v>
      </c>
      <c r="D566" s="1" t="str">
        <f>IFERROR(__xludf.DUMMYFUNCTION("""COMPUTED_VALUE"""),"NC")</f>
        <v>NC</v>
      </c>
      <c r="E566" s="1" t="str">
        <f>IFERROR(__xludf.DUMMYFUNCTION("""COMPUTED_VALUE"""),"27052")</f>
        <v>27052</v>
      </c>
      <c r="F566" s="1" t="str">
        <f>IFERROR(__xludf.DUMMYFUNCTION("""COMPUTED_VALUE"""),"Stokes")</f>
        <v>Stokes</v>
      </c>
      <c r="G566" s="1" t="str">
        <f>IFERROR(__xludf.DUMMYFUNCTION("""COMPUTED_VALUE"""),"36.324413")</f>
        <v>36.324413</v>
      </c>
      <c r="H566" s="1" t="str">
        <f>IFERROR(__xludf.DUMMYFUNCTION("""COMPUTED_VALUE"""),"-80.09938")</f>
        <v>-80.09938</v>
      </c>
      <c r="I566" s="1" t="str">
        <f>IFERROR(__xludf.DUMMYFUNCTION("""COMPUTED_VALUE"""),"Suspended")</f>
        <v>Suspended</v>
      </c>
      <c r="J566" s="1" t="str">
        <f>IFERROR(__xludf.DUMMYFUNCTION("""COMPUTED_VALUE"""),"High")</f>
        <v>High</v>
      </c>
      <c r="K566" s="1" t="str">
        <f>IFERROR(__xludf.DUMMYFUNCTION("""COMPUTED_VALUE"""),"")</f>
        <v/>
      </c>
      <c r="L566" s="1" t="str">
        <f>IFERROR(__xludf.DUMMYFUNCTION("""COMPUTED_VALUE"""),"Engineered Land Solutions")</f>
        <v>Engineered Land Solutions</v>
      </c>
      <c r="M566" s="1" t="str">
        <f>IFERROR(__xludf.DUMMYFUNCTION("""COMPUTED_VALUE"""),"")</f>
        <v/>
      </c>
      <c r="N566" s="1" t="str">
        <f>IFERROR(__xludf.DUMMYFUNCTION("""COMPUTED_VALUE"""),"")</f>
        <v/>
      </c>
      <c r="O566" s="1" t="str">
        <f>IFERROR(__xludf.DUMMYFUNCTION("""COMPUTED_VALUE"""),"Hyperscale (100-999 MW)")</f>
        <v>Hyperscale (100-999 MW)</v>
      </c>
      <c r="P566" s="1" t="str">
        <f>IFERROR(__xludf.DUMMYFUNCTION("""COMPUTED_VALUE"""),"")</f>
        <v/>
      </c>
      <c r="Q566" s="1" t="str">
        <f>IFERROR(__xludf.DUMMYFUNCTION("""COMPUTED_VALUE"""),"")</f>
        <v/>
      </c>
      <c r="R566" s="1" t="str">
        <f>IFERROR(__xludf.DUMMYFUNCTION("""COMPUTED_VALUE"""),"")</f>
        <v/>
      </c>
      <c r="S566" s="1" t="str">
        <f>IFERROR(__xludf.DUMMYFUNCTION("""COMPUTED_VALUE"""),"10-15")</f>
        <v>10-15</v>
      </c>
      <c r="T566" s="1" t="str">
        <f>IFERROR(__xludf.DUMMYFUNCTION("""COMPUTED_VALUE"""),"")</f>
        <v/>
      </c>
      <c r="U566" s="1" t="str">
        <f>IFERROR(__xludf.DUMMYFUNCTION("""COMPUTED_VALUE"""),"Closed loop")</f>
        <v>Closed loop</v>
      </c>
      <c r="V566" s="1" t="str">
        <f>IFERROR(__xludf.DUMMYFUNCTION("""COMPUTED_VALUE"""),"")</f>
        <v/>
      </c>
      <c r="W566" s="1" t="str">
        <f>IFERROR(__xludf.DUMMYFUNCTION("""COMPUTED_VALUE"""),"1800")</f>
        <v>1800</v>
      </c>
      <c r="X566" s="1" t="str">
        <f>IFERROR(__xludf.DUMMYFUNCTION("""COMPUTED_VALUE"""),"")</f>
        <v/>
      </c>
      <c r="Y566" s="1" t="str">
        <f>IFERROR(__xludf.DUMMYFUNCTION("""COMPUTED_VALUE"""),"")</f>
        <v/>
      </c>
      <c r="Z566" s="1" t="str">
        <f>IFERROR(__xludf.DUMMYFUNCTION("""COMPUTED_VALUE"""),"Yes")</f>
        <v>Yes</v>
      </c>
      <c r="AA566" s="1" t="str">
        <f>IFERROR(__xludf.DUMMYFUNCTION("""COMPUTED_VALUE"""),"")</f>
        <v/>
      </c>
      <c r="AB566" s="1" t="str">
        <f>IFERROR(__xludf.DUMMYFUNCTION("""COMPUTED_VALUE"""),"Organized Advocacy")</f>
        <v>Organized Advocacy</v>
      </c>
      <c r="AC566" s="1" t="str">
        <f>IFERROR(__xludf.DUMMYFUNCTION("""COMPUTED_VALUE"""),"")</f>
        <v/>
      </c>
      <c r="AD566" s="2" t="str">
        <f>IFERROR(__xludf.DUMMYFUNCTION("""COMPUTED_VALUE"""),"https://southerncoalition.org/wp-content/uploads/2026/03/2026-03-12-Complaint-and-Exhibits-Hairston-Clan-et-al-v-Stokes-Co.pdf")</f>
        <v>https://southerncoalition.org/wp-content/uploads/2026/03/2026-03-12-Complaint-and-Exhibits-Hairston-Clan-et-al-v-Stokes-Co.pdf</v>
      </c>
      <c r="AE566" s="2" t="str">
        <f>IFERROR(__xludf.DUMMYFUNCTION("""COMPUTED_VALUE"""),"https://cwfnc.org/stokes/")</f>
        <v>https://cwfnc.org/stokes/</v>
      </c>
      <c r="AF566" s="2" t="str">
        <f>IFERROR(__xludf.DUMMYFUNCTION("""COMPUTED_VALUE"""),"https://actionnetwork.org/petitions/no-data-center-in-stokes-county/")</f>
        <v>https://actionnetwork.org/petitions/no-data-center-in-stokes-county/</v>
      </c>
      <c r="AG566" s="1" t="str">
        <f>IFERROR(__xludf.DUMMYFUNCTION("""COMPUTED_VALUE"""),"Rezoning decision voided")</f>
        <v>Rezoning decision voided</v>
      </c>
      <c r="AH566" s="1" t="str">
        <f>IFERROR(__xludf.DUMMYFUNCTION("""COMPUTED_VALUE"""),"Media Monitoring")</f>
        <v>Media Monitoring</v>
      </c>
      <c r="AI566" s="2" t="str">
        <f>IFERROR(__xludf.DUMMYFUNCTION("""COMPUTED_VALUE"""),"https://www.datacenterdynamics.com/en/news/officials-in-north-carolina-county-void-data-center-rezoning-amid-legal-challenge/")</f>
        <v>https://www.datacenterdynamics.com/en/news/officials-in-north-carolina-county-void-data-center-rezoning-amid-legal-challenge/</v>
      </c>
      <c r="AJ566" s="2" t="str">
        <f>IFERROR(__xludf.DUMMYFUNCTION("""COMPUTED_VALUE"""),"https://www.yahoo.com/news/articles/stokes-county-votes-start-proposed-193733203.html")</f>
        <v>https://www.yahoo.com/news/articles/stokes-county-votes-start-proposed-193733203.html</v>
      </c>
      <c r="AK566" s="1" t="str">
        <f>IFERROR(__xludf.DUMMYFUNCTION("""COMPUTED_VALUE"""),"")</f>
        <v/>
      </c>
      <c r="AL566" s="1" t="str">
        <f>IFERROR(__xludf.DUMMYFUNCTION("""COMPUTED_VALUE"""),"")</f>
        <v/>
      </c>
      <c r="AM566" s="1" t="str">
        <f>IFERROR(__xludf.DUMMYFUNCTION("""COMPUTED_VALUE"""),"")</f>
        <v/>
      </c>
      <c r="AN566" s="1" t="str">
        <f>IFERROR(__xludf.DUMMYFUNCTION("""COMPUTED_VALUE"""),"")</f>
        <v/>
      </c>
      <c r="AO566" s="1" t="str">
        <f>IFERROR(__xludf.DUMMYFUNCTION("""COMPUTED_VALUE"""),"")</f>
        <v/>
      </c>
      <c r="AP566" s="1" t="str">
        <f>IFERROR(__xludf.DUMMYFUNCTION("""COMPUTED_VALUE"""),"")</f>
        <v/>
      </c>
      <c r="AQ566" s="1" t="str">
        <f>IFERROR(__xludf.DUMMYFUNCTION("""COMPUTED_VALUE"""),"04/22/2026")</f>
        <v>04/22/2026</v>
      </c>
      <c r="AR566" s="1" t="str">
        <f>IFERROR(__xludf.DUMMYFUNCTION("""COMPUTED_VALUE"""),"04/22/2026")</f>
        <v>04/22/2026</v>
      </c>
    </row>
    <row r="567">
      <c r="A567" s="1" t="str">
        <f>IFERROR(__xludf.DUMMYFUNCTION("""COMPUTED_VALUE"""),"Aurum Capital Ventures")</f>
        <v>Aurum Capital Ventures</v>
      </c>
      <c r="B567" s="1" t="str">
        <f>IFERROR(__xludf.DUMMYFUNCTION("""COMPUTED_VALUE"""),"E. Main Ave")</f>
        <v>E. Main Ave</v>
      </c>
      <c r="C567" s="1" t="str">
        <f>IFERROR(__xludf.DUMMYFUNCTION("""COMPUTED_VALUE"""),"Bismark")</f>
        <v>Bismark</v>
      </c>
      <c r="D567" s="1" t="str">
        <f>IFERROR(__xludf.DUMMYFUNCTION("""COMPUTED_VALUE"""),"ND")</f>
        <v>ND</v>
      </c>
      <c r="E567" s="1" t="str">
        <f>IFERROR(__xludf.DUMMYFUNCTION("""COMPUTED_VALUE"""),"58501")</f>
        <v>58501</v>
      </c>
      <c r="F567" s="1" t="str">
        <f>IFERROR(__xludf.DUMMYFUNCTION("""COMPUTED_VALUE"""),"Burleigh")</f>
        <v>Burleigh</v>
      </c>
      <c r="G567" s="1" t="str">
        <f>IFERROR(__xludf.DUMMYFUNCTION("""COMPUTED_VALUE"""),"46.81102")</f>
        <v>46.81102</v>
      </c>
      <c r="H567" s="1" t="str">
        <f>IFERROR(__xludf.DUMMYFUNCTION("""COMPUTED_VALUE"""),"-100.721")</f>
        <v>-100.721</v>
      </c>
      <c r="I567" s="1" t="str">
        <f>IFERROR(__xludf.DUMMYFUNCTION("""COMPUTED_VALUE"""),"Proposed")</f>
        <v>Proposed</v>
      </c>
      <c r="J567" s="1" t="str">
        <f>IFERROR(__xludf.DUMMYFUNCTION("""COMPUTED_VALUE"""),"Medium")</f>
        <v>Medium</v>
      </c>
      <c r="K567" s="1" t="str">
        <f>IFERROR(__xludf.DUMMYFUNCTION("""COMPUTED_VALUE"""),"")</f>
        <v/>
      </c>
      <c r="L567" s="1" t="str">
        <f>IFERROR(__xludf.DUMMYFUNCTION("""COMPUTED_VALUE"""),"")</f>
        <v/>
      </c>
      <c r="M567" s="1" t="str">
        <f>IFERROR(__xludf.DUMMYFUNCTION("""COMPUTED_VALUE"""),"")</f>
        <v/>
      </c>
      <c r="N567" s="1" t="str">
        <f>IFERROR(__xludf.DUMMYFUNCTION("""COMPUTED_VALUE"""),"")</f>
        <v/>
      </c>
      <c r="O567" s="1" t="str">
        <f>IFERROR(__xludf.DUMMYFUNCTION("""COMPUTED_VALUE"""),"Unknown")</f>
        <v>Unknown</v>
      </c>
      <c r="P567" s="1" t="str">
        <f>IFERROR(__xludf.DUMMYFUNCTION("""COMPUTED_VALUE"""),"")</f>
        <v/>
      </c>
      <c r="Q567" s="1" t="str">
        <f>IFERROR(__xludf.DUMMYFUNCTION("""COMPUTED_VALUE"""),"")</f>
        <v/>
      </c>
      <c r="R567" s="1" t="str">
        <f>IFERROR(__xludf.DUMMYFUNCTION("""COMPUTED_VALUE"""),"")</f>
        <v/>
      </c>
      <c r="S567" s="1" t="str">
        <f>IFERROR(__xludf.DUMMYFUNCTION("""COMPUTED_VALUE"""),"")</f>
        <v/>
      </c>
      <c r="T567" s="1" t="str">
        <f>IFERROR(__xludf.DUMMYFUNCTION("""COMPUTED_VALUE"""),"")</f>
        <v/>
      </c>
      <c r="U567" s="1" t="str">
        <f>IFERROR(__xludf.DUMMYFUNCTION("""COMPUTED_VALUE"""),"")</f>
        <v/>
      </c>
      <c r="V567" s="1" t="str">
        <f>IFERROR(__xludf.DUMMYFUNCTION("""COMPUTED_VALUE"""),"")</f>
        <v/>
      </c>
      <c r="W567" s="1" t="str">
        <f>IFERROR(__xludf.DUMMYFUNCTION("""COMPUTED_VALUE"""),"")</f>
        <v/>
      </c>
      <c r="X567" s="1" t="str">
        <f>IFERROR(__xludf.DUMMYFUNCTION("""COMPUTED_VALUE"""),"")</f>
        <v/>
      </c>
      <c r="Y567" s="1" t="str">
        <f>IFERROR(__xludf.DUMMYFUNCTION("""COMPUTED_VALUE"""),"")</f>
        <v/>
      </c>
      <c r="Z567" s="1" t="str">
        <f>IFERROR(__xludf.DUMMYFUNCTION("""COMPUTED_VALUE"""),"Unknown")</f>
        <v>Unknown</v>
      </c>
      <c r="AA567" s="1" t="str">
        <f>IFERROR(__xludf.DUMMYFUNCTION("""COMPUTED_VALUE"""),"")</f>
        <v/>
      </c>
      <c r="AB567" s="1" t="str">
        <f>IFERROR(__xludf.DUMMYFUNCTION("""COMPUTED_VALUE"""),"")</f>
        <v/>
      </c>
      <c r="AC567" s="1" t="str">
        <f>IFERROR(__xludf.DUMMYFUNCTION("""COMPUTED_VALUE"""),"")</f>
        <v/>
      </c>
      <c r="AD567" s="1" t="str">
        <f>IFERROR(__xludf.DUMMYFUNCTION("""COMPUTED_VALUE"""),"")</f>
        <v/>
      </c>
      <c r="AE567" s="1" t="str">
        <f>IFERROR(__xludf.DUMMYFUNCTION("""COMPUTED_VALUE"""),"")</f>
        <v/>
      </c>
      <c r="AF567" s="1" t="str">
        <f>IFERROR(__xludf.DUMMYFUNCTION("""COMPUTED_VALUE"""),"")</f>
        <v/>
      </c>
      <c r="AG567" s="1" t="str">
        <f>IFERROR(__xludf.DUMMYFUNCTION("""COMPUTED_VALUE"""),"")</f>
        <v/>
      </c>
      <c r="AH567" s="1" t="str">
        <f>IFERROR(__xludf.DUMMYFUNCTION("""COMPUTED_VALUE"""),"Media Monitoring")</f>
        <v>Media Monitoring</v>
      </c>
      <c r="AI567" s="2" t="str">
        <f>IFERROR(__xludf.DUMMYFUNCTION("""COMPUTED_VALUE"""),"https://www.datacenterdynamics.com/en/news/company-eyes-300-acre-data-center-development-in-bismarck-north-dakota/")</f>
        <v>https://www.datacenterdynamics.com/en/news/company-eyes-300-acre-data-center-development-in-bismarck-north-dakota/</v>
      </c>
      <c r="AJ567" s="1" t="str">
        <f>IFERROR(__xludf.DUMMYFUNCTION("""COMPUTED_VALUE"""),"")</f>
        <v/>
      </c>
      <c r="AK567" s="1" t="str">
        <f>IFERROR(__xludf.DUMMYFUNCTION("""COMPUTED_VALUE"""),"")</f>
        <v/>
      </c>
      <c r="AL567" s="1" t="str">
        <f>IFERROR(__xludf.DUMMYFUNCTION("""COMPUTED_VALUE"""),"")</f>
        <v/>
      </c>
      <c r="AM567" s="1" t="str">
        <f>IFERROR(__xludf.DUMMYFUNCTION("""COMPUTED_VALUE"""),"")</f>
        <v/>
      </c>
      <c r="AN567" s="1" t="str">
        <f>IFERROR(__xludf.DUMMYFUNCTION("""COMPUTED_VALUE"""),"")</f>
        <v/>
      </c>
      <c r="AO567" s="1" t="str">
        <f>IFERROR(__xludf.DUMMYFUNCTION("""COMPUTED_VALUE"""),"")</f>
        <v/>
      </c>
      <c r="AP567" s="1" t="str">
        <f>IFERROR(__xludf.DUMMYFUNCTION("""COMPUTED_VALUE"""),"")</f>
        <v/>
      </c>
      <c r="AQ567" s="1" t="str">
        <f>IFERROR(__xludf.DUMMYFUNCTION("""COMPUTED_VALUE"""),"06/21/2025")</f>
        <v>06/21/2025</v>
      </c>
      <c r="AR567" s="1" t="str">
        <f>IFERROR(__xludf.DUMMYFUNCTION("""COMPUTED_VALUE"""),"06/21/2025")</f>
        <v>06/21/2025</v>
      </c>
    </row>
    <row r="568">
      <c r="A568" s="1" t="str">
        <f>IFERROR(__xludf.DUMMYFUNCTION("""COMPUTED_VALUE"""),"Applied Digital: Polaris Forge 1")</f>
        <v>Applied Digital: Polaris Forge 1</v>
      </c>
      <c r="B568" s="1" t="str">
        <f>IFERROR(__xludf.DUMMYFUNCTION("""COMPUTED_VALUE"""),"9685 87th Ave SE")</f>
        <v>9685 87th Ave SE</v>
      </c>
      <c r="C568" s="1" t="str">
        <f>IFERROR(__xludf.DUMMYFUNCTION("""COMPUTED_VALUE"""),"Ellendale")</f>
        <v>Ellendale</v>
      </c>
      <c r="D568" s="1" t="str">
        <f>IFERROR(__xludf.DUMMYFUNCTION("""COMPUTED_VALUE"""),"ND")</f>
        <v>ND</v>
      </c>
      <c r="E568" s="1" t="str">
        <f>IFERROR(__xludf.DUMMYFUNCTION("""COMPUTED_VALUE"""),"58436")</f>
        <v>58436</v>
      </c>
      <c r="F568" s="1" t="str">
        <f>IFERROR(__xludf.DUMMYFUNCTION("""COMPUTED_VALUE"""),"Dickey")</f>
        <v>Dickey</v>
      </c>
      <c r="G568" s="1" t="str">
        <f>IFERROR(__xludf.DUMMYFUNCTION("""COMPUTED_VALUE"""),"46.01259")</f>
        <v>46.01259</v>
      </c>
      <c r="H568" s="1" t="str">
        <f>IFERROR(__xludf.DUMMYFUNCTION("""COMPUTED_VALUE"""),"-98.5707")</f>
        <v>-98.5707</v>
      </c>
      <c r="I568" s="1" t="str">
        <f>IFERROR(__xludf.DUMMYFUNCTION("""COMPUTED_VALUE"""),"Operating")</f>
        <v>Operating</v>
      </c>
      <c r="J568" s="1" t="str">
        <f>IFERROR(__xludf.DUMMYFUNCTION("""COMPUTED_VALUE"""),"High")</f>
        <v>High</v>
      </c>
      <c r="K568" s="1" t="str">
        <f>IFERROR(__xludf.DUMMYFUNCTION("""COMPUTED_VALUE"""),"")</f>
        <v/>
      </c>
      <c r="L568" s="1" t="str">
        <f>IFERROR(__xludf.DUMMYFUNCTION("""COMPUTED_VALUE"""),"")</f>
        <v/>
      </c>
      <c r="M568" s="1" t="str">
        <f>IFERROR(__xludf.DUMMYFUNCTION("""COMPUTED_VALUE"""),"")</f>
        <v/>
      </c>
      <c r="N568" s="1" t="str">
        <f>IFERROR(__xludf.DUMMYFUNCTION("""COMPUTED_VALUE"""),"400-1,000")</f>
        <v>400-1,000</v>
      </c>
      <c r="O568" s="1" t="str">
        <f>IFERROR(__xludf.DUMMYFUNCTION("""COMPUTED_VALUE"""),"Mega campus (&gt;1,000 MW)")</f>
        <v>Mega campus (&gt;1,000 MW)</v>
      </c>
      <c r="P568" s="1" t="str">
        <f>IFERROR(__xludf.DUMMYFUNCTION("""COMPUTED_VALUE"""),"")</f>
        <v/>
      </c>
      <c r="Q568" s="1" t="str">
        <f>IFERROR(__xludf.DUMMYFUNCTION("""COMPUTED_VALUE"""),"")</f>
        <v/>
      </c>
      <c r="R568" s="1" t="str">
        <f>IFERROR(__xludf.DUMMYFUNCTION("""COMPUTED_VALUE"""),"")</f>
        <v/>
      </c>
      <c r="S568" s="1" t="str">
        <f>IFERROR(__xludf.DUMMYFUNCTION("""COMPUTED_VALUE"""),"")</f>
        <v/>
      </c>
      <c r="T568" s="1" t="str">
        <f>IFERROR(__xludf.DUMMYFUNCTION("""COMPUTED_VALUE"""),"")</f>
        <v/>
      </c>
      <c r="U568" s="1" t="str">
        <f>IFERROR(__xludf.DUMMYFUNCTION("""COMPUTED_VALUE"""),"")</f>
        <v/>
      </c>
      <c r="V568" s="1" t="str">
        <f>IFERROR(__xludf.DUMMYFUNCTION("""COMPUTED_VALUE"""),"")</f>
        <v/>
      </c>
      <c r="W568" s="1" t="str">
        <f>IFERROR(__xludf.DUMMYFUNCTION("""COMPUTED_VALUE"""),"")</f>
        <v/>
      </c>
      <c r="X568" s="1" t="str">
        <f>IFERROR(__xludf.DUMMYFUNCTION("""COMPUTED_VALUE"""),"$7 billion")</f>
        <v>$7 billion</v>
      </c>
      <c r="Y568" s="1" t="str">
        <f>IFERROR(__xludf.DUMMYFUNCTION("""COMPUTED_VALUE"""),"")</f>
        <v/>
      </c>
      <c r="Z568" s="1" t="str">
        <f>IFERROR(__xludf.DUMMYFUNCTION("""COMPUTED_VALUE"""),"Unknown")</f>
        <v>Unknown</v>
      </c>
      <c r="AA568" s="1" t="str">
        <f>IFERROR(__xludf.DUMMYFUNCTION("""COMPUTED_VALUE"""),"")</f>
        <v/>
      </c>
      <c r="AB568" s="1" t="str">
        <f>IFERROR(__xludf.DUMMYFUNCTION("""COMPUTED_VALUE"""),"")</f>
        <v/>
      </c>
      <c r="AC568" s="1" t="str">
        <f>IFERROR(__xludf.DUMMYFUNCTION("""COMPUTED_VALUE"""),"")</f>
        <v/>
      </c>
      <c r="AD568" s="1" t="str">
        <f>IFERROR(__xludf.DUMMYFUNCTION("""COMPUTED_VALUE"""),"")</f>
        <v/>
      </c>
      <c r="AE568" s="1" t="str">
        <f>IFERROR(__xludf.DUMMYFUNCTION("""COMPUTED_VALUE"""),"")</f>
        <v/>
      </c>
      <c r="AF568" s="1" t="str">
        <f>IFERROR(__xludf.DUMMYFUNCTION("""COMPUTED_VALUE"""),"")</f>
        <v/>
      </c>
      <c r="AG568" s="1" t="str">
        <f>IFERROR(__xludf.DUMMYFUNCTION("""COMPUTED_VALUE"""),"First of several buildings completed Nov 2025")</f>
        <v>First of several buildings completed Nov 2025</v>
      </c>
      <c r="AH568" s="1" t="str">
        <f>IFERROR(__xludf.DUMMYFUNCTION("""COMPUTED_VALUE"""),"Media Monitoring")</f>
        <v>Media Monitoring</v>
      </c>
      <c r="AI568" s="2" t="str">
        <f>IFERROR(__xludf.DUMMYFUNCTION("""COMPUTED_VALUE"""),"https://www.datacenterdynamics.com/en/news/applied-digital-signs-250mw-agreement-with-coreweave-for-capacity-at-ellendale-campus-north-dakota/")</f>
        <v>https://www.datacenterdynamics.com/en/news/applied-digital-signs-250mw-agreement-with-coreweave-for-capacity-at-ellendale-campus-north-dakota/</v>
      </c>
      <c r="AJ568" s="2" t="str">
        <f>IFERROR(__xludf.DUMMYFUNCTION("""COMPUTED_VALUE"""),"https://www.datacenterdynamics.com/en/news/applied-digital-plans-280mw-ai-data-center-campus-in-north-dakota/")</f>
        <v>https://www.datacenterdynamics.com/en/news/applied-digital-plans-280mw-ai-data-center-campus-in-north-dakota/</v>
      </c>
      <c r="AK568" s="2" t="str">
        <f>IFERROR(__xludf.DUMMYFUNCTION("""COMPUTED_VALUE"""),"https://fargoinc.com/applied-digitals-high-performance-compute-expansion-in-north-dakota/")</f>
        <v>https://fargoinc.com/applied-digitals-high-performance-compute-expansion-in-north-dakota/</v>
      </c>
      <c r="AL568" s="2" t="str">
        <f>IFERROR(__xludf.DUMMYFUNCTION("""COMPUTED_VALUE"""),"https://www.datacenterdynamics.com/en/news/applied-digital-completes-first-data-center-building-at-north-dakota-campus/")</f>
        <v>https://www.datacenterdynamics.com/en/news/applied-digital-completes-first-data-center-building-at-north-dakota-campus/</v>
      </c>
      <c r="AM568" s="2" t="str">
        <f>IFERROR(__xludf.DUMMYFUNCTION("""COMPUTED_VALUE"""),"https://www.datacenterdynamics.com/en/news/applied-digital-completes-second-building-at-north-dakota-data-center-campus/")</f>
        <v>https://www.datacenterdynamics.com/en/news/applied-digital-completes-second-building-at-north-dakota-data-center-campus/</v>
      </c>
      <c r="AN568" s="1" t="str">
        <f>IFERROR(__xludf.DUMMYFUNCTION("""COMPUTED_VALUE"""),"")</f>
        <v/>
      </c>
      <c r="AO568" s="1" t="str">
        <f>IFERROR(__xludf.DUMMYFUNCTION("""COMPUTED_VALUE"""),"")</f>
        <v/>
      </c>
      <c r="AP568" s="1" t="str">
        <f>IFERROR(__xludf.DUMMYFUNCTION("""COMPUTED_VALUE"""),"")</f>
        <v/>
      </c>
      <c r="AQ568" s="1" t="str">
        <f>IFERROR(__xludf.DUMMYFUNCTION("""COMPUTED_VALUE"""),"08/19/2025")</f>
        <v>08/19/2025</v>
      </c>
      <c r="AR568" s="1" t="str">
        <f>IFERROR(__xludf.DUMMYFUNCTION("""COMPUTED_VALUE"""),"07/06/2026")</f>
        <v>07/06/2026</v>
      </c>
    </row>
    <row r="569">
      <c r="A569" s="1" t="str">
        <f>IFERROR(__xludf.DUMMYFUNCTION("""COMPUTED_VALUE"""),"Nixxy-Tachyon 9 Data Center")</f>
        <v>Nixxy-Tachyon 9 Data Center</v>
      </c>
      <c r="B569" s="1" t="str">
        <f>IFERROR(__xludf.DUMMYFUNCTION("""COMPUTED_VALUE"""),"Williams County within the Williston Basin")</f>
        <v>Williams County within the Williston Basin</v>
      </c>
      <c r="C569" s="1" t="str">
        <f>IFERROR(__xludf.DUMMYFUNCTION("""COMPUTED_VALUE"""),"Epping")</f>
        <v>Epping</v>
      </c>
      <c r="D569" s="1" t="str">
        <f>IFERROR(__xludf.DUMMYFUNCTION("""COMPUTED_VALUE"""),"ND")</f>
        <v>ND</v>
      </c>
      <c r="E569" s="1" t="str">
        <f>IFERROR(__xludf.DUMMYFUNCTION("""COMPUTED_VALUE"""),"58843")</f>
        <v>58843</v>
      </c>
      <c r="F569" s="1" t="str">
        <f>IFERROR(__xludf.DUMMYFUNCTION("""COMPUTED_VALUE"""),"")</f>
        <v/>
      </c>
      <c r="G569" s="1" t="str">
        <f>IFERROR(__xludf.DUMMYFUNCTION("""COMPUTED_VALUE"""),"48.25607")</f>
        <v>48.25607</v>
      </c>
      <c r="H569" s="1" t="str">
        <f>IFERROR(__xludf.DUMMYFUNCTION("""COMPUTED_VALUE"""),"-103.31802")</f>
        <v>-103.31802</v>
      </c>
      <c r="I569" s="1" t="str">
        <f>IFERROR(__xludf.DUMMYFUNCTION("""COMPUTED_VALUE"""),"Proposed")</f>
        <v>Proposed</v>
      </c>
      <c r="J569" s="1" t="str">
        <f>IFERROR(__xludf.DUMMYFUNCTION("""COMPUTED_VALUE"""),"Low")</f>
        <v>Low</v>
      </c>
      <c r="K569" s="1" t="str">
        <f>IFERROR(__xludf.DUMMYFUNCTION("""COMPUTED_VALUE"""),"")</f>
        <v/>
      </c>
      <c r="L569" s="1" t="str">
        <f>IFERROR(__xludf.DUMMYFUNCTION("""COMPUTED_VALUE"""),"")</f>
        <v/>
      </c>
      <c r="M569" s="1" t="str">
        <f>IFERROR(__xludf.DUMMYFUNCTION("""COMPUTED_VALUE"""),"")</f>
        <v/>
      </c>
      <c r="N569" s="1" t="str">
        <f>IFERROR(__xludf.DUMMYFUNCTION("""COMPUTED_VALUE"""),"1000")</f>
        <v>1000</v>
      </c>
      <c r="O569" s="1" t="str">
        <f>IFERROR(__xludf.DUMMYFUNCTION("""COMPUTED_VALUE"""),"Mega campus (&gt;1,000 MW)")</f>
        <v>Mega campus (&gt;1,000 MW)</v>
      </c>
      <c r="P569" s="1" t="str">
        <f>IFERROR(__xludf.DUMMYFUNCTION("""COMPUTED_VALUE"""),"Natural gas, Hybrid (onsite and grid)")</f>
        <v>Natural gas, Hybrid (onsite and grid)</v>
      </c>
      <c r="Q569" s="1" t="str">
        <f>IFERROR(__xludf.DUMMYFUNCTION("""COMPUTED_VALUE"""),"")</f>
        <v/>
      </c>
      <c r="R569" s="1" t="str">
        <f>IFERROR(__xludf.DUMMYFUNCTION("""COMPUTED_VALUE"""),"")</f>
        <v/>
      </c>
      <c r="S569" s="1" t="str">
        <f>IFERROR(__xludf.DUMMYFUNCTION("""COMPUTED_VALUE"""),"")</f>
        <v/>
      </c>
      <c r="T569" s="1" t="str">
        <f>IFERROR(__xludf.DUMMYFUNCTION("""COMPUTED_VALUE"""),"")</f>
        <v/>
      </c>
      <c r="U569" s="1" t="str">
        <f>IFERROR(__xludf.DUMMYFUNCTION("""COMPUTED_VALUE"""),"")</f>
        <v/>
      </c>
      <c r="V569" s="1" t="str">
        <f>IFERROR(__xludf.DUMMYFUNCTION("""COMPUTED_VALUE"""),"")</f>
        <v/>
      </c>
      <c r="W569" s="1" t="str">
        <f>IFERROR(__xludf.DUMMYFUNCTION("""COMPUTED_VALUE"""),"620")</f>
        <v>620</v>
      </c>
      <c r="X569" s="1" t="str">
        <f>IFERROR(__xludf.DUMMYFUNCTION("""COMPUTED_VALUE"""),"$1 billion")</f>
        <v>$1 billion</v>
      </c>
      <c r="Y569" s="1" t="str">
        <f>IFERROR(__xludf.DUMMYFUNCTION("""COMPUTED_VALUE"""),"2027")</f>
        <v>2027</v>
      </c>
      <c r="Z569" s="1" t="str">
        <f>IFERROR(__xludf.DUMMYFUNCTION("""COMPUTED_VALUE"""),"")</f>
        <v/>
      </c>
      <c r="AA569" s="1" t="str">
        <f>IFERROR(__xludf.DUMMYFUNCTION("""COMPUTED_VALUE"""),"")</f>
        <v/>
      </c>
      <c r="AB569" s="1" t="str">
        <f>IFERROR(__xludf.DUMMYFUNCTION("""COMPUTED_VALUE"""),"")</f>
        <v/>
      </c>
      <c r="AC569" s="1" t="str">
        <f>IFERROR(__xludf.DUMMYFUNCTION("""COMPUTED_VALUE"""),"")</f>
        <v/>
      </c>
      <c r="AD569" s="1" t="str">
        <f>IFERROR(__xludf.DUMMYFUNCTION("""COMPUTED_VALUE"""),"")</f>
        <v/>
      </c>
      <c r="AE569" s="1" t="str">
        <f>IFERROR(__xludf.DUMMYFUNCTION("""COMPUTED_VALUE"""),"")</f>
        <v/>
      </c>
      <c r="AF569" s="1" t="str">
        <f>IFERROR(__xludf.DUMMYFUNCTION("""COMPUTED_VALUE"""),"")</f>
        <v/>
      </c>
      <c r="AG569" s="1" t="str">
        <f>IFERROR(__xludf.DUMMYFUNCTION("""COMPUTED_VALUE"""),"")</f>
        <v/>
      </c>
      <c r="AH569" s="1" t="str">
        <f>IFERROR(__xludf.DUMMYFUNCTION("""COMPUTED_VALUE"""),"Media Monitoring")</f>
        <v>Media Monitoring</v>
      </c>
      <c r="AI569" s="2" t="str">
        <f>IFERROR(__xludf.DUMMYFUNCTION("""COMPUTED_VALUE"""),"https://www.datacenterdynamics.com/en/news/nixxy-and-tachyon-9-plan-up-to-1gw-data-center-campus-in-north-dakota/")</f>
        <v>https://www.datacenterdynamics.com/en/news/nixxy-and-tachyon-9-plan-up-to-1gw-data-center-campus-in-north-dakota/</v>
      </c>
      <c r="AJ569" s="1" t="str">
        <f>IFERROR(__xludf.DUMMYFUNCTION("""COMPUTED_VALUE"""),"")</f>
        <v/>
      </c>
      <c r="AK569" s="1" t="str">
        <f>IFERROR(__xludf.DUMMYFUNCTION("""COMPUTED_VALUE"""),"")</f>
        <v/>
      </c>
      <c r="AL569" s="1" t="str">
        <f>IFERROR(__xludf.DUMMYFUNCTION("""COMPUTED_VALUE"""),"")</f>
        <v/>
      </c>
      <c r="AM569" s="1" t="str">
        <f>IFERROR(__xludf.DUMMYFUNCTION("""COMPUTED_VALUE"""),"")</f>
        <v/>
      </c>
      <c r="AN569" s="1" t="str">
        <f>IFERROR(__xludf.DUMMYFUNCTION("""COMPUTED_VALUE"""),"")</f>
        <v/>
      </c>
      <c r="AO569" s="1" t="str">
        <f>IFERROR(__xludf.DUMMYFUNCTION("""COMPUTED_VALUE"""),"")</f>
        <v/>
      </c>
      <c r="AP569" s="1" t="str">
        <f>IFERROR(__xludf.DUMMYFUNCTION("""COMPUTED_VALUE"""),"")</f>
        <v/>
      </c>
      <c r="AQ569" s="1" t="str">
        <f>IFERROR(__xludf.DUMMYFUNCTION("""COMPUTED_VALUE"""),"07/06/2026")</f>
        <v>07/06/2026</v>
      </c>
      <c r="AR569" s="1" t="str">
        <f>IFERROR(__xludf.DUMMYFUNCTION("""COMPUTED_VALUE"""),"07/06/2026")</f>
        <v>07/06/2026</v>
      </c>
    </row>
    <row r="570">
      <c r="A570" s="1" t="str">
        <f>IFERROR(__xludf.DUMMYFUNCTION("""COMPUTED_VALUE"""),"Applied Digital: Polaris Forge 2")</f>
        <v>Applied Digital: Polaris Forge 2</v>
      </c>
      <c r="B570" s="1" t="str">
        <f>IFERROR(__xludf.DUMMYFUNCTION("""COMPUTED_VALUE"""),"Cass County, outside Fargo")</f>
        <v>Cass County, outside Fargo</v>
      </c>
      <c r="C570" s="1" t="str">
        <f>IFERROR(__xludf.DUMMYFUNCTION("""COMPUTED_VALUE"""),"Harwood")</f>
        <v>Harwood</v>
      </c>
      <c r="D570" s="1" t="str">
        <f>IFERROR(__xludf.DUMMYFUNCTION("""COMPUTED_VALUE"""),"ND")</f>
        <v>ND</v>
      </c>
      <c r="E570" s="1" t="str">
        <f>IFERROR(__xludf.DUMMYFUNCTION("""COMPUTED_VALUE"""),"58102")</f>
        <v>58102</v>
      </c>
      <c r="F570" s="1" t="str">
        <f>IFERROR(__xludf.DUMMYFUNCTION("""COMPUTED_VALUE"""),"Cass")</f>
        <v>Cass</v>
      </c>
      <c r="G570" s="1" t="str">
        <f>IFERROR(__xludf.DUMMYFUNCTION("""COMPUTED_VALUE"""),"46.97181")</f>
        <v>46.97181</v>
      </c>
      <c r="H570" s="1" t="str">
        <f>IFERROR(__xludf.DUMMYFUNCTION("""COMPUTED_VALUE"""),"-96.8542")</f>
        <v>-96.8542</v>
      </c>
      <c r="I570" s="1" t="str">
        <f>IFERROR(__xludf.DUMMYFUNCTION("""COMPUTED_VALUE"""),"Approved/Permitted/Under construction")</f>
        <v>Approved/Permitted/Under construction</v>
      </c>
      <c r="J570" s="1" t="str">
        <f>IFERROR(__xludf.DUMMYFUNCTION("""COMPUTED_VALUE"""),"High")</f>
        <v>High</v>
      </c>
      <c r="K570" s="1" t="str">
        <f>IFERROR(__xludf.DUMMYFUNCTION("""COMPUTED_VALUE"""),"")</f>
        <v/>
      </c>
      <c r="L570" s="1" t="str">
        <f>IFERROR(__xludf.DUMMYFUNCTION("""COMPUTED_VALUE"""),"")</f>
        <v/>
      </c>
      <c r="M570" s="1" t="str">
        <f>IFERROR(__xludf.DUMMYFUNCTION("""COMPUTED_VALUE"""),"")</f>
        <v/>
      </c>
      <c r="N570" s="1" t="str">
        <f>IFERROR(__xludf.DUMMYFUNCTION("""COMPUTED_VALUE"""),"280")</f>
        <v>280</v>
      </c>
      <c r="O570" s="1" t="str">
        <f>IFERROR(__xludf.DUMMYFUNCTION("""COMPUTED_VALUE"""),"Hyperscale (100-999 MW)")</f>
        <v>Hyperscale (100-999 MW)</v>
      </c>
      <c r="P570" s="1" t="str">
        <f>IFERROR(__xludf.DUMMYFUNCTION("""COMPUTED_VALUE"""),"")</f>
        <v/>
      </c>
      <c r="Q570" s="1" t="str">
        <f>IFERROR(__xludf.DUMMYFUNCTION("""COMPUTED_VALUE"""),"")</f>
        <v/>
      </c>
      <c r="R570" s="1" t="str">
        <f>IFERROR(__xludf.DUMMYFUNCTION("""COMPUTED_VALUE"""),"")</f>
        <v/>
      </c>
      <c r="S570" s="1" t="str">
        <f>IFERROR(__xludf.DUMMYFUNCTION("""COMPUTED_VALUE"""),"")</f>
        <v/>
      </c>
      <c r="T570" s="1" t="str">
        <f>IFERROR(__xludf.DUMMYFUNCTION("""COMPUTED_VALUE"""),"")</f>
        <v/>
      </c>
      <c r="U570" s="1" t="str">
        <f>IFERROR(__xludf.DUMMYFUNCTION("""COMPUTED_VALUE"""),"")</f>
        <v/>
      </c>
      <c r="V570" s="1" t="str">
        <f>IFERROR(__xludf.DUMMYFUNCTION("""COMPUTED_VALUE"""),"")</f>
        <v/>
      </c>
      <c r="W570" s="1" t="str">
        <f>IFERROR(__xludf.DUMMYFUNCTION("""COMPUTED_VALUE"""),"160")</f>
        <v>160</v>
      </c>
      <c r="X570" s="1" t="str">
        <f>IFERROR(__xludf.DUMMYFUNCTION("""COMPUTED_VALUE"""),"$3 billion")</f>
        <v>$3 billion</v>
      </c>
      <c r="Y570" s="1" t="str">
        <f>IFERROR(__xludf.DUMMYFUNCTION("""COMPUTED_VALUE"""),"")</f>
        <v/>
      </c>
      <c r="Z570" s="1" t="str">
        <f>IFERROR(__xludf.DUMMYFUNCTION("""COMPUTED_VALUE"""),"Unknown")</f>
        <v>Unknown</v>
      </c>
      <c r="AA570" s="1" t="str">
        <f>IFERROR(__xludf.DUMMYFUNCTION("""COMPUTED_VALUE"""),"")</f>
        <v/>
      </c>
      <c r="AB570" s="1" t="str">
        <f>IFERROR(__xludf.DUMMYFUNCTION("""COMPUTED_VALUE"""),"")</f>
        <v/>
      </c>
      <c r="AC570" s="1" t="str">
        <f>IFERROR(__xludf.DUMMYFUNCTION("""COMPUTED_VALUE"""),"")</f>
        <v/>
      </c>
      <c r="AD570" s="1" t="str">
        <f>IFERROR(__xludf.DUMMYFUNCTION("""COMPUTED_VALUE"""),"")</f>
        <v/>
      </c>
      <c r="AE570" s="1" t="str">
        <f>IFERROR(__xludf.DUMMYFUNCTION("""COMPUTED_VALUE"""),"")</f>
        <v/>
      </c>
      <c r="AF570" s="1" t="str">
        <f>IFERROR(__xludf.DUMMYFUNCTION("""COMPUTED_VALUE"""),"")</f>
        <v/>
      </c>
      <c r="AG570" s="1" t="str">
        <f>IFERROR(__xludf.DUMMYFUNCTION("""COMPUTED_VALUE"""),"No public comment allowed at public meeting on this project. Fargo announced it planned to stop it's plan to annex the data center in Dec 2025")</f>
        <v>No public comment allowed at public meeting on this project. Fargo announced it planned to stop it's plan to annex the data center in Dec 2025</v>
      </c>
      <c r="AH570" s="1" t="str">
        <f>IFERROR(__xludf.DUMMYFUNCTION("""COMPUTED_VALUE"""),"Media Monitoring")</f>
        <v>Media Monitoring</v>
      </c>
      <c r="AI570" s="2" t="str">
        <f>IFERROR(__xludf.DUMMYFUNCTION("""COMPUTED_VALUE"""),"https://www.datacenterdynamics.com/en/news/applied-digital-plans-280mw-ai-data-center-campus-in-north-dakota/")</f>
        <v>https://www.datacenterdynamics.com/en/news/applied-digital-plans-280mw-ai-data-center-campus-in-north-dakota/</v>
      </c>
      <c r="AJ570" s="2" t="str">
        <f>IFERROR(__xludf.DUMMYFUNCTION("""COMPUTED_VALUE"""),"https://www.inforum.com/news/fargo/despite-calls-to-postpone-decision-harwood-greenlights-3-billion-ai-center")</f>
        <v>https://www.inforum.com/news/fargo/despite-calls-to-postpone-decision-harwood-greenlights-3-billion-ai-center</v>
      </c>
      <c r="AK570" s="2" t="str">
        <f>IFERROR(__xludf.DUMMYFUNCTION("""COMPUTED_VALUE"""),"https://www.inforum.com/news/fargo/construction-begins-on-3-billion-ai-data-center-near-fargo")</f>
        <v>https://www.inforum.com/news/fargo/construction-begins-on-3-billion-ai-data-center-near-fargo</v>
      </c>
      <c r="AL570" s="2" t="str">
        <f>IFERROR(__xludf.DUMMYFUNCTION("""COMPUTED_VALUE"""),"https://www.inforum.com/news/fargo/fargo-withdraws-annexation-attempts-of-3-billion-ai-data-center-near-harwood")</f>
        <v>https://www.inforum.com/news/fargo/fargo-withdraws-annexation-attempts-of-3-billion-ai-data-center-near-harwood</v>
      </c>
      <c r="AM570" s="1" t="str">
        <f>IFERROR(__xludf.DUMMYFUNCTION("""COMPUTED_VALUE"""),"")</f>
        <v/>
      </c>
      <c r="AN570" s="1" t="str">
        <f>IFERROR(__xludf.DUMMYFUNCTION("""COMPUTED_VALUE"""),"")</f>
        <v/>
      </c>
      <c r="AO570" s="1" t="str">
        <f>IFERROR(__xludf.DUMMYFUNCTION("""COMPUTED_VALUE"""),"")</f>
        <v/>
      </c>
      <c r="AP570" s="1" t="str">
        <f>IFERROR(__xludf.DUMMYFUNCTION("""COMPUTED_VALUE"""),"")</f>
        <v/>
      </c>
      <c r="AQ570" s="1" t="str">
        <f>IFERROR(__xludf.DUMMYFUNCTION("""COMPUTED_VALUE"""),"09/16/2025")</f>
        <v>09/16/2025</v>
      </c>
      <c r="AR570" s="1" t="str">
        <f>IFERROR(__xludf.DUMMYFUNCTION("""COMPUTED_VALUE"""),"12/09/2025")</f>
        <v>12/09/2025</v>
      </c>
    </row>
    <row r="571">
      <c r="A571" s="1" t="str">
        <f>IFERROR(__xludf.DUMMYFUNCTION("""COMPUTED_VALUE"""),"CoreWeave/ Applied Digital")</f>
        <v>CoreWeave/ Applied Digital</v>
      </c>
      <c r="B571" s="1" t="str">
        <f>IFERROR(__xludf.DUMMYFUNCTION("""COMPUTED_VALUE"""),"2671 HWY 20 SE")</f>
        <v>2671 HWY 20 SE</v>
      </c>
      <c r="C571" s="1" t="str">
        <f>IFERROR(__xludf.DUMMYFUNCTION("""COMPUTED_VALUE"""),"Jamestown")</f>
        <v>Jamestown</v>
      </c>
      <c r="D571" s="1" t="str">
        <f>IFERROR(__xludf.DUMMYFUNCTION("""COMPUTED_VALUE"""),"ND")</f>
        <v>ND</v>
      </c>
      <c r="E571" s="1" t="str">
        <f>IFERROR(__xludf.DUMMYFUNCTION("""COMPUTED_VALUE"""),"58401")</f>
        <v>58401</v>
      </c>
      <c r="F571" s="1" t="str">
        <f>IFERROR(__xludf.DUMMYFUNCTION("""COMPUTED_VALUE"""),"Stutsman")</f>
        <v>Stutsman</v>
      </c>
      <c r="G571" s="1" t="str">
        <f>IFERROR(__xludf.DUMMYFUNCTION("""COMPUTED_VALUE"""),"47.02708")</f>
        <v>47.02708</v>
      </c>
      <c r="H571" s="1" t="str">
        <f>IFERROR(__xludf.DUMMYFUNCTION("""COMPUTED_VALUE"""),"-98.6796")</f>
        <v>-98.6796</v>
      </c>
      <c r="I571" s="1" t="str">
        <f>IFERROR(__xludf.DUMMYFUNCTION("""COMPUTED_VALUE"""),"Operating")</f>
        <v>Operating</v>
      </c>
      <c r="J571" s="1" t="str">
        <f>IFERROR(__xludf.DUMMYFUNCTION("""COMPUTED_VALUE"""),"High")</f>
        <v>High</v>
      </c>
      <c r="K571" s="1" t="str">
        <f>IFERROR(__xludf.DUMMYFUNCTION("""COMPUTED_VALUE"""),"")</f>
        <v/>
      </c>
      <c r="L571" s="1" t="str">
        <f>IFERROR(__xludf.DUMMYFUNCTION("""COMPUTED_VALUE"""),"")</f>
        <v/>
      </c>
      <c r="M571" s="1" t="str">
        <f>IFERROR(__xludf.DUMMYFUNCTION("""COMPUTED_VALUE"""),"")</f>
        <v/>
      </c>
      <c r="N571" s="1" t="str">
        <f>IFERROR(__xludf.DUMMYFUNCTION("""COMPUTED_VALUE"""),"100")</f>
        <v>100</v>
      </c>
      <c r="O571" s="1" t="str">
        <f>IFERROR(__xludf.DUMMYFUNCTION("""COMPUTED_VALUE"""),"Hyperscale (100-999 MW)")</f>
        <v>Hyperscale (100-999 MW)</v>
      </c>
      <c r="P571" s="1" t="str">
        <f>IFERROR(__xludf.DUMMYFUNCTION("""COMPUTED_VALUE"""),"")</f>
        <v/>
      </c>
      <c r="Q571" s="1" t="str">
        <f>IFERROR(__xludf.DUMMYFUNCTION("""COMPUTED_VALUE"""),"")</f>
        <v/>
      </c>
      <c r="R571" s="1" t="str">
        <f>IFERROR(__xludf.DUMMYFUNCTION("""COMPUTED_VALUE"""),"")</f>
        <v/>
      </c>
      <c r="S571" s="1" t="str">
        <f>IFERROR(__xludf.DUMMYFUNCTION("""COMPUTED_VALUE"""),"")</f>
        <v/>
      </c>
      <c r="T571" s="1" t="str">
        <f>IFERROR(__xludf.DUMMYFUNCTION("""COMPUTED_VALUE"""),"")</f>
        <v/>
      </c>
      <c r="U571" s="1" t="str">
        <f>IFERROR(__xludf.DUMMYFUNCTION("""COMPUTED_VALUE"""),"")</f>
        <v/>
      </c>
      <c r="V571" s="1" t="str">
        <f>IFERROR(__xludf.DUMMYFUNCTION("""COMPUTED_VALUE"""),"")</f>
        <v/>
      </c>
      <c r="W571" s="1" t="str">
        <f>IFERROR(__xludf.DUMMYFUNCTION("""COMPUTED_VALUE"""),"")</f>
        <v/>
      </c>
      <c r="X571" s="1" t="str">
        <f>IFERROR(__xludf.DUMMYFUNCTION("""COMPUTED_VALUE"""),"")</f>
        <v/>
      </c>
      <c r="Y571" s="1" t="str">
        <f>IFERROR(__xludf.DUMMYFUNCTION("""COMPUTED_VALUE"""),"")</f>
        <v/>
      </c>
      <c r="Z571" s="1" t="str">
        <f>IFERROR(__xludf.DUMMYFUNCTION("""COMPUTED_VALUE"""),"Unknown")</f>
        <v>Unknown</v>
      </c>
      <c r="AA571" s="1" t="str">
        <f>IFERROR(__xludf.DUMMYFUNCTION("""COMPUTED_VALUE"""),"")</f>
        <v/>
      </c>
      <c r="AB571" s="1" t="str">
        <f>IFERROR(__xludf.DUMMYFUNCTION("""COMPUTED_VALUE"""),"")</f>
        <v/>
      </c>
      <c r="AC571" s="1" t="str">
        <f>IFERROR(__xludf.DUMMYFUNCTION("""COMPUTED_VALUE"""),"")</f>
        <v/>
      </c>
      <c r="AD571" s="1" t="str">
        <f>IFERROR(__xludf.DUMMYFUNCTION("""COMPUTED_VALUE"""),"")</f>
        <v/>
      </c>
      <c r="AE571" s="1" t="str">
        <f>IFERROR(__xludf.DUMMYFUNCTION("""COMPUTED_VALUE"""),"")</f>
        <v/>
      </c>
      <c r="AF571" s="1" t="str">
        <f>IFERROR(__xludf.DUMMYFUNCTION("""COMPUTED_VALUE"""),"")</f>
        <v/>
      </c>
      <c r="AG571" s="1" t="str">
        <f>IFERROR(__xludf.DUMMYFUNCTION("""COMPUTED_VALUE"""),"")</f>
        <v/>
      </c>
      <c r="AH571" s="1" t="str">
        <f>IFERROR(__xludf.DUMMYFUNCTION("""COMPUTED_VALUE"""),"Media Monitoring")</f>
        <v>Media Monitoring</v>
      </c>
      <c r="AI571" s="2" t="str">
        <f>IFERROR(__xludf.DUMMYFUNCTION("""COMPUTED_VALUE"""),"https://www.datacenterdynamics.com/en/news/applied-digital-signs-250mw-agreement-with-coreweave-for-capacity-at-ellendale-campus-north-dakota/")</f>
        <v>https://www.datacenterdynamics.com/en/news/applied-digital-signs-250mw-agreement-with-coreweave-for-capacity-at-ellendale-campus-north-dakota/</v>
      </c>
      <c r="AJ571" s="1" t="str">
        <f>IFERROR(__xludf.DUMMYFUNCTION("""COMPUTED_VALUE"""),"")</f>
        <v/>
      </c>
      <c r="AK571" s="1" t="str">
        <f>IFERROR(__xludf.DUMMYFUNCTION("""COMPUTED_VALUE"""),"")</f>
        <v/>
      </c>
      <c r="AL571" s="1" t="str">
        <f>IFERROR(__xludf.DUMMYFUNCTION("""COMPUTED_VALUE"""),"")</f>
        <v/>
      </c>
      <c r="AM571" s="1" t="str">
        <f>IFERROR(__xludf.DUMMYFUNCTION("""COMPUTED_VALUE"""),"")</f>
        <v/>
      </c>
      <c r="AN571" s="1" t="str">
        <f>IFERROR(__xludf.DUMMYFUNCTION("""COMPUTED_VALUE"""),"")</f>
        <v/>
      </c>
      <c r="AO571" s="1" t="str">
        <f>IFERROR(__xludf.DUMMYFUNCTION("""COMPUTED_VALUE"""),"")</f>
        <v/>
      </c>
      <c r="AP571" s="1" t="str">
        <f>IFERROR(__xludf.DUMMYFUNCTION("""COMPUTED_VALUE"""),"")</f>
        <v/>
      </c>
      <c r="AQ571" s="1" t="str">
        <f>IFERROR(__xludf.DUMMYFUNCTION("""COMPUTED_VALUE"""),"06/09/2025")</f>
        <v>06/09/2025</v>
      </c>
      <c r="AR571" s="1" t="str">
        <f>IFERROR(__xludf.DUMMYFUNCTION("""COMPUTED_VALUE"""),"01/15/2026")</f>
        <v>01/15/2026</v>
      </c>
    </row>
    <row r="572">
      <c r="A572" s="1" t="str">
        <f>IFERROR(__xludf.DUMMYFUNCTION("""COMPUTED_VALUE"""),"Atlas Power ")</f>
        <v>Atlas Power </v>
      </c>
      <c r="B572" s="1" t="str">
        <f>IFERROR(__xludf.DUMMYFUNCTION("""COMPUTED_VALUE"""),"near 5000-5068 143rd Ave NW")</f>
        <v>near 5000-5068 143rd Ave NW</v>
      </c>
      <c r="C572" s="1" t="str">
        <f>IFERROR(__xludf.DUMMYFUNCTION("""COMPUTED_VALUE"""),"Williston")</f>
        <v>Williston</v>
      </c>
      <c r="D572" s="1" t="str">
        <f>IFERROR(__xludf.DUMMYFUNCTION("""COMPUTED_VALUE"""),"ND")</f>
        <v>ND</v>
      </c>
      <c r="E572" s="1" t="str">
        <f>IFERROR(__xludf.DUMMYFUNCTION("""COMPUTED_VALUE"""),"58801")</f>
        <v>58801</v>
      </c>
      <c r="F572" s="1" t="str">
        <f>IFERROR(__xludf.DUMMYFUNCTION("""COMPUTED_VALUE"""),"Williams")</f>
        <v>Williams</v>
      </c>
      <c r="G572" s="1" t="str">
        <f>IFERROR(__xludf.DUMMYFUNCTION("""COMPUTED_VALUE"""),"48.1455")</f>
        <v>48.1455</v>
      </c>
      <c r="H572" s="1" t="str">
        <f>IFERROR(__xludf.DUMMYFUNCTION("""COMPUTED_VALUE"""),"-103.77432")</f>
        <v>-103.77432</v>
      </c>
      <c r="I572" s="1" t="str">
        <f>IFERROR(__xludf.DUMMYFUNCTION("""COMPUTED_VALUE"""),"Operating")</f>
        <v>Operating</v>
      </c>
      <c r="J572" s="1" t="str">
        <f>IFERROR(__xludf.DUMMYFUNCTION("""COMPUTED_VALUE"""),"High")</f>
        <v>High</v>
      </c>
      <c r="K572" s="1" t="str">
        <f>IFERROR(__xludf.DUMMYFUNCTION("""COMPUTED_VALUE"""),"Crypto")</f>
        <v>Crypto</v>
      </c>
      <c r="L572" s="1" t="str">
        <f>IFERROR(__xludf.DUMMYFUNCTION("""COMPUTED_VALUE"""),"")</f>
        <v/>
      </c>
      <c r="M572" s="1" t="str">
        <f>IFERROR(__xludf.DUMMYFUNCTION("""COMPUTED_VALUE"""),"")</f>
        <v/>
      </c>
      <c r="N572" s="1" t="str">
        <f>IFERROR(__xludf.DUMMYFUNCTION("""COMPUTED_VALUE"""),"240-700")</f>
        <v>240-700</v>
      </c>
      <c r="O572" s="1" t="str">
        <f>IFERROR(__xludf.DUMMYFUNCTION("""COMPUTED_VALUE"""),"Hyperscale (100-999 MW)")</f>
        <v>Hyperscale (100-999 MW)</v>
      </c>
      <c r="P572" s="1" t="str">
        <f>IFERROR(__xludf.DUMMYFUNCTION("""COMPUTED_VALUE"""),"")</f>
        <v/>
      </c>
      <c r="Q572" s="1" t="str">
        <f>IFERROR(__xludf.DUMMYFUNCTION("""COMPUTED_VALUE"""),"")</f>
        <v/>
      </c>
      <c r="R572" s="1" t="str">
        <f>IFERROR(__xludf.DUMMYFUNCTION("""COMPUTED_VALUE"""),"")</f>
        <v/>
      </c>
      <c r="S572" s="1" t="str">
        <f>IFERROR(__xludf.DUMMYFUNCTION("""COMPUTED_VALUE"""),"")</f>
        <v/>
      </c>
      <c r="T572" s="1" t="str">
        <f>IFERROR(__xludf.DUMMYFUNCTION("""COMPUTED_VALUE"""),"")</f>
        <v/>
      </c>
      <c r="U572" s="1" t="str">
        <f>IFERROR(__xludf.DUMMYFUNCTION("""COMPUTED_VALUE"""),"")</f>
        <v/>
      </c>
      <c r="V572" s="1" t="str">
        <f>IFERROR(__xludf.DUMMYFUNCTION("""COMPUTED_VALUE"""),"")</f>
        <v/>
      </c>
      <c r="W572" s="1" t="str">
        <f>IFERROR(__xludf.DUMMYFUNCTION("""COMPUTED_VALUE"""),"")</f>
        <v/>
      </c>
      <c r="X572" s="1" t="str">
        <f>IFERROR(__xludf.DUMMYFUNCTION("""COMPUTED_VALUE"""),"$1.9 billion")</f>
        <v>$1.9 billion</v>
      </c>
      <c r="Y572" s="1" t="str">
        <f>IFERROR(__xludf.DUMMYFUNCTION("""COMPUTED_VALUE"""),"")</f>
        <v/>
      </c>
      <c r="Z572" s="1" t="str">
        <f>IFERROR(__xludf.DUMMYFUNCTION("""COMPUTED_VALUE"""),"Yes")</f>
        <v>Yes</v>
      </c>
      <c r="AA572" s="1" t="str">
        <f>IFERROR(__xludf.DUMMYFUNCTION("""COMPUTED_VALUE"""),"")</f>
        <v/>
      </c>
      <c r="AB572" s="1" t="str">
        <f>IFERROR(__xludf.DUMMYFUNCTION("""COMPUTED_VALUE"""),"")</f>
        <v/>
      </c>
      <c r="AC572" s="1" t="str">
        <f>IFERROR(__xludf.DUMMYFUNCTION("""COMPUTED_VALUE"""),"")</f>
        <v/>
      </c>
      <c r="AD572" s="1" t="str">
        <f>IFERROR(__xludf.DUMMYFUNCTION("""COMPUTED_VALUE"""),"")</f>
        <v/>
      </c>
      <c r="AE572" s="1" t="str">
        <f>IFERROR(__xludf.DUMMYFUNCTION("""COMPUTED_VALUE"""),"")</f>
        <v/>
      </c>
      <c r="AF572" s="1" t="str">
        <f>IFERROR(__xludf.DUMMYFUNCTION("""COMPUTED_VALUE"""),"")</f>
        <v/>
      </c>
      <c r="AG572" s="1" t="str">
        <f>IFERROR(__xludf.DUMMYFUNCTION("""COMPUTED_VALUE"""),"Twenty-two residents sued over excessive noise from the facility's cooling fans. The lawsuit seeks damages for the diminution of property value and a court order to force the county to enforce its noise ordinances requiring noise to be contained within th"&amp;"e industrial zone. A settlement was reached in June 2025")</f>
        <v>Twenty-two residents sued over excessive noise from the facility's cooling fans. The lawsuit seeks damages for the diminution of property value and a court order to force the county to enforce its noise ordinances requiring noise to be contained within the industrial zone. A settlement was reached in June 2025</v>
      </c>
      <c r="AH572" s="1" t="str">
        <f>IFERROR(__xludf.DUMMYFUNCTION("""COMPUTED_VALUE"""),"Media Monitoring")</f>
        <v>Media Monitoring</v>
      </c>
      <c r="AI572" s="2" t="str">
        <f>IFERROR(__xludf.DUMMYFUNCTION("""COMPUTED_VALUE"""),"https://www.inforum.com/business/large-scale-crypto-mining-data-center-planned-for-western-north-dakota-oil-patch")</f>
        <v>https://www.inforum.com/business/large-scale-crypto-mining-data-center-planned-for-western-north-dakota-oil-patch</v>
      </c>
      <c r="AJ572" s="2" t="str">
        <f>IFERROR(__xludf.DUMMYFUNCTION("""COMPUTED_VALUE"""),"https://cryptosaurus.tech/williams-co-residents-frustrated-by-no-crackdown-on-crypto-mine-state-says-its-a-local-issue/")</f>
        <v>https://cryptosaurus.tech/williams-co-residents-frustrated-by-no-crackdown-on-crypto-mine-state-says-its-a-local-issue/</v>
      </c>
      <c r="AK572" s="2" t="str">
        <f>IFERROR(__xludf.DUMMYFUNCTION("""COMPUTED_VALUE"""),"https://www.kfyrtv.com/2024/03/20/court-hears-arguments-over-atlas-power-data-center-civil-lawsuit/?tbref=hp")</f>
        <v>https://www.kfyrtv.com/2024/03/20/court-hears-arguments-over-atlas-power-data-center-civil-lawsuit/?tbref=hp</v>
      </c>
      <c r="AL572" s="2" t="str">
        <f>IFERROR(__xludf.DUMMYFUNCTION("""COMPUTED_VALUE"""),"https://www.kfyrtv.com/2025/06/17/settlement-reached-atlas-power-data-center-civil-lawsuit/")</f>
        <v>https://www.kfyrtv.com/2025/06/17/settlement-reached-atlas-power-data-center-civil-lawsuit/</v>
      </c>
      <c r="AM572" s="1" t="str">
        <f>IFERROR(__xludf.DUMMYFUNCTION("""COMPUTED_VALUE"""),"")</f>
        <v/>
      </c>
      <c r="AN572" s="1" t="str">
        <f>IFERROR(__xludf.DUMMYFUNCTION("""COMPUTED_VALUE"""),"")</f>
        <v/>
      </c>
      <c r="AO572" s="1" t="str">
        <f>IFERROR(__xludf.DUMMYFUNCTION("""COMPUTED_VALUE"""),"")</f>
        <v/>
      </c>
      <c r="AP572" s="1" t="str">
        <f>IFERROR(__xludf.DUMMYFUNCTION("""COMPUTED_VALUE"""),"")</f>
        <v/>
      </c>
      <c r="AQ572" s="1" t="str">
        <f>IFERROR(__xludf.DUMMYFUNCTION("""COMPUTED_VALUE"""),"01/15/2026")</f>
        <v>01/15/2026</v>
      </c>
      <c r="AR572" s="1" t="str">
        <f>IFERROR(__xludf.DUMMYFUNCTION("""COMPUTED_VALUE"""),"04/20/2026")</f>
        <v>04/20/2026</v>
      </c>
    </row>
    <row r="573">
      <c r="A573" s="1" t="str">
        <f>IFERROR(__xludf.DUMMYFUNCTION("""COMPUTED_VALUE"""),"Project Fighting Pike")</f>
        <v>Project Fighting Pike</v>
      </c>
      <c r="B573" s="1" t="str">
        <f>IFERROR(__xludf.DUMMYFUNCTION("""COMPUTED_VALUE"""),"56th Street NW and US Highway 2")</f>
        <v>56th Street NW and US Highway 2</v>
      </c>
      <c r="C573" s="1" t="str">
        <f>IFERROR(__xludf.DUMMYFUNCTION("""COMPUTED_VALUE"""),"Williston")</f>
        <v>Williston</v>
      </c>
      <c r="D573" s="1" t="str">
        <f>IFERROR(__xludf.DUMMYFUNCTION("""COMPUTED_VALUE"""),"ND")</f>
        <v>ND</v>
      </c>
      <c r="E573" s="1" t="str">
        <f>IFERROR(__xludf.DUMMYFUNCTION("""COMPUTED_VALUE"""),"58801")</f>
        <v>58801</v>
      </c>
      <c r="F573" s="1" t="str">
        <f>IFERROR(__xludf.DUMMYFUNCTION("""COMPUTED_VALUE"""),"Williams")</f>
        <v>Williams</v>
      </c>
      <c r="G573" s="1" t="str">
        <f>IFERROR(__xludf.DUMMYFUNCTION("""COMPUTED_VALUE"""),"48.221992")</f>
        <v>48.221992</v>
      </c>
      <c r="H573" s="1" t="str">
        <f>IFERROR(__xludf.DUMMYFUNCTION("""COMPUTED_VALUE"""),"-103.62824")</f>
        <v>-103.62824</v>
      </c>
      <c r="I573" s="1" t="str">
        <f>IFERROR(__xludf.DUMMYFUNCTION("""COMPUTED_VALUE"""),"Operating")</f>
        <v>Operating</v>
      </c>
      <c r="J573" s="1" t="str">
        <f>IFERROR(__xludf.DUMMYFUNCTION("""COMPUTED_VALUE"""),"High")</f>
        <v>High</v>
      </c>
      <c r="K573" s="1" t="str">
        <f>IFERROR(__xludf.DUMMYFUNCTION("""COMPUTED_VALUE"""),"")</f>
        <v/>
      </c>
      <c r="L573" s="1" t="str">
        <f>IFERROR(__xludf.DUMMYFUNCTION("""COMPUTED_VALUE"""),"Critical Data House")</f>
        <v>Critical Data House</v>
      </c>
      <c r="M573" s="1" t="str">
        <f>IFERROR(__xludf.DUMMYFUNCTION("""COMPUTED_VALUE"""),"")</f>
        <v/>
      </c>
      <c r="N573" s="1" t="str">
        <f>IFERROR(__xludf.DUMMYFUNCTION("""COMPUTED_VALUE"""),"455")</f>
        <v>455</v>
      </c>
      <c r="O573" s="1" t="str">
        <f>IFERROR(__xludf.DUMMYFUNCTION("""COMPUTED_VALUE"""),"Hyperscale (100-999 MW)")</f>
        <v>Hyperscale (100-999 MW)</v>
      </c>
      <c r="P573" s="1" t="str">
        <f>IFERROR(__xludf.DUMMYFUNCTION("""COMPUTED_VALUE"""),"")</f>
        <v/>
      </c>
      <c r="Q573" s="1" t="str">
        <f>IFERROR(__xludf.DUMMYFUNCTION("""COMPUTED_VALUE"""),"")</f>
        <v/>
      </c>
      <c r="R573" s="1" t="str">
        <f>IFERROR(__xludf.DUMMYFUNCTION("""COMPUTED_VALUE"""),"")</f>
        <v/>
      </c>
      <c r="S573" s="1" t="str">
        <f>IFERROR(__xludf.DUMMYFUNCTION("""COMPUTED_VALUE"""),"7")</f>
        <v>7</v>
      </c>
      <c r="T573" s="1" t="str">
        <f>IFERROR(__xludf.DUMMYFUNCTION("""COMPUTED_VALUE"""),"")</f>
        <v/>
      </c>
      <c r="U573" s="1" t="str">
        <f>IFERROR(__xludf.DUMMYFUNCTION("""COMPUTED_VALUE"""),"Closed loop")</f>
        <v>Closed loop</v>
      </c>
      <c r="V573" s="1" t="str">
        <f>IFERROR(__xludf.DUMMYFUNCTION("""COMPUTED_VALUE"""),"3,500,000")</f>
        <v>3,500,000</v>
      </c>
      <c r="W573" s="1" t="str">
        <f>IFERROR(__xludf.DUMMYFUNCTION("""COMPUTED_VALUE"""),"300")</f>
        <v>300</v>
      </c>
      <c r="X573" s="1" t="str">
        <f>IFERROR(__xludf.DUMMYFUNCTION("""COMPUTED_VALUE"""),"$5 billion")</f>
        <v>$5 billion</v>
      </c>
      <c r="Y573" s="1" t="str">
        <f>IFERROR(__xludf.DUMMYFUNCTION("""COMPUTED_VALUE"""),"")</f>
        <v/>
      </c>
      <c r="Z573" s="1" t="str">
        <f>IFERROR(__xludf.DUMMYFUNCTION("""COMPUTED_VALUE"""),"Unknown")</f>
        <v>Unknown</v>
      </c>
      <c r="AA573" s="1" t="str">
        <f>IFERROR(__xludf.DUMMYFUNCTION("""COMPUTED_VALUE"""),"")</f>
        <v/>
      </c>
      <c r="AB573" s="1" t="str">
        <f>IFERROR(__xludf.DUMMYFUNCTION("""COMPUTED_VALUE"""),"")</f>
        <v/>
      </c>
      <c r="AC573" s="1" t="str">
        <f>IFERROR(__xludf.DUMMYFUNCTION("""COMPUTED_VALUE"""),"")</f>
        <v/>
      </c>
      <c r="AD573" s="1" t="str">
        <f>IFERROR(__xludf.DUMMYFUNCTION("""COMPUTED_VALUE"""),"")</f>
        <v/>
      </c>
      <c r="AE573" s="1" t="str">
        <f>IFERROR(__xludf.DUMMYFUNCTION("""COMPUTED_VALUE"""),"")</f>
        <v/>
      </c>
      <c r="AF573" s="1" t="str">
        <f>IFERROR(__xludf.DUMMYFUNCTION("""COMPUTED_VALUE"""),"")</f>
        <v/>
      </c>
      <c r="AG573" s="1" t="str">
        <f>IFERROR(__xludf.DUMMYFUNCTION("""COMPUTED_VALUE"""),"Full build-out by 2035, facility size estimated between 1,900,000 to 3,500,000 sq feet")</f>
        <v>Full build-out by 2035, facility size estimated between 1,900,000 to 3,500,000 sq feet</v>
      </c>
      <c r="AH573" s="1" t="str">
        <f>IFERROR(__xludf.DUMMYFUNCTION("""COMPUTED_VALUE"""),"Media Monitoring")</f>
        <v>Media Monitoring</v>
      </c>
      <c r="AI573" s="2" t="str">
        <f>IFERROR(__xludf.DUMMYFUNCTION("""COMPUTED_VALUE"""),"https://www.datacenterdynamics.com/en/news/455mw-data-center-campus-proposed-in-north-dakota/")</f>
        <v>https://www.datacenterdynamics.com/en/news/455mw-data-center-campus-proposed-in-north-dakota/</v>
      </c>
      <c r="AJ573" s="1" t="str">
        <f>IFERROR(__xludf.DUMMYFUNCTION("""COMPUTED_VALUE"""),"")</f>
        <v/>
      </c>
      <c r="AK573" s="1" t="str">
        <f>IFERROR(__xludf.DUMMYFUNCTION("""COMPUTED_VALUE"""),"")</f>
        <v/>
      </c>
      <c r="AL573" s="1" t="str">
        <f>IFERROR(__xludf.DUMMYFUNCTION("""COMPUTED_VALUE"""),"")</f>
        <v/>
      </c>
      <c r="AM573" s="1" t="str">
        <f>IFERROR(__xludf.DUMMYFUNCTION("""COMPUTED_VALUE"""),"")</f>
        <v/>
      </c>
      <c r="AN573" s="1" t="str">
        <f>IFERROR(__xludf.DUMMYFUNCTION("""COMPUTED_VALUE"""),"")</f>
        <v/>
      </c>
      <c r="AO573" s="1" t="str">
        <f>IFERROR(__xludf.DUMMYFUNCTION("""COMPUTED_VALUE"""),"")</f>
        <v/>
      </c>
      <c r="AP573" s="1" t="str">
        <f>IFERROR(__xludf.DUMMYFUNCTION("""COMPUTED_VALUE"""),"")</f>
        <v/>
      </c>
      <c r="AQ573" s="1" t="str">
        <f>IFERROR(__xludf.DUMMYFUNCTION("""COMPUTED_VALUE"""),"01/15/2026")</f>
        <v>01/15/2026</v>
      </c>
      <c r="AR573" s="1" t="str">
        <f>IFERROR(__xludf.DUMMYFUNCTION("""COMPUTED_VALUE"""),"01/15/2026")</f>
        <v>01/15/2026</v>
      </c>
    </row>
    <row r="574">
      <c r="A574" s="1" t="str">
        <f>IFERROR(__xludf.DUMMYFUNCTION("""COMPUTED_VALUE"""),"Bellevue Data Center")</f>
        <v>Bellevue Data Center</v>
      </c>
      <c r="B574" s="1" t="str">
        <f>IFERROR(__xludf.DUMMYFUNCTION("""COMPUTED_VALUE"""),"1001 Fort Crook Rd N")</f>
        <v>1001 Fort Crook Rd N</v>
      </c>
      <c r="C574" s="1" t="str">
        <f>IFERROR(__xludf.DUMMYFUNCTION("""COMPUTED_VALUE"""),"Bellevue")</f>
        <v>Bellevue</v>
      </c>
      <c r="D574" s="1" t="str">
        <f>IFERROR(__xludf.DUMMYFUNCTION("""COMPUTED_VALUE"""),"NE")</f>
        <v>NE</v>
      </c>
      <c r="E574" s="1" t="str">
        <f>IFERROR(__xludf.DUMMYFUNCTION("""COMPUTED_VALUE"""),"68005")</f>
        <v>68005</v>
      </c>
      <c r="F574" s="1" t="str">
        <f>IFERROR(__xludf.DUMMYFUNCTION("""COMPUTED_VALUE"""),"Sarpy")</f>
        <v>Sarpy</v>
      </c>
      <c r="G574" s="1" t="str">
        <f>IFERROR(__xludf.DUMMYFUNCTION("""COMPUTED_VALUE"""),"41.17724")</f>
        <v>41.17724</v>
      </c>
      <c r="H574" s="1" t="str">
        <f>IFERROR(__xludf.DUMMYFUNCTION("""COMPUTED_VALUE"""),"-95.9248")</f>
        <v>-95.9248</v>
      </c>
      <c r="I574" s="1" t="str">
        <f>IFERROR(__xludf.DUMMYFUNCTION("""COMPUTED_VALUE"""),"Operating")</f>
        <v>Operating</v>
      </c>
      <c r="J574" s="1" t="str">
        <f>IFERROR(__xludf.DUMMYFUNCTION("""COMPUTED_VALUE"""),"High")</f>
        <v>High</v>
      </c>
      <c r="K574" s="1" t="str">
        <f>IFERROR(__xludf.DUMMYFUNCTION("""COMPUTED_VALUE"""),"")</f>
        <v/>
      </c>
      <c r="L574" s="1" t="str">
        <f>IFERROR(__xludf.DUMMYFUNCTION("""COMPUTED_VALUE"""),"")</f>
        <v/>
      </c>
      <c r="M574" s="1" t="str">
        <f>IFERROR(__xludf.DUMMYFUNCTION("""COMPUTED_VALUE"""),"")</f>
        <v/>
      </c>
      <c r="N574" s="1" t="str">
        <f>IFERROR(__xludf.DUMMYFUNCTION("""COMPUTED_VALUE"""),"")</f>
        <v/>
      </c>
      <c r="O574" s="1" t="str">
        <f>IFERROR(__xludf.DUMMYFUNCTION("""COMPUTED_VALUE"""),"Unknown")</f>
        <v>Unknown</v>
      </c>
      <c r="P574" s="1" t="str">
        <f>IFERROR(__xludf.DUMMYFUNCTION("""COMPUTED_VALUE"""),"")</f>
        <v/>
      </c>
      <c r="Q574" s="1" t="str">
        <f>IFERROR(__xludf.DUMMYFUNCTION("""COMPUTED_VALUE"""),"")</f>
        <v/>
      </c>
      <c r="R574" s="1" t="str">
        <f>IFERROR(__xludf.DUMMYFUNCTION("""COMPUTED_VALUE"""),"")</f>
        <v/>
      </c>
      <c r="S574" s="1" t="str">
        <f>IFERROR(__xludf.DUMMYFUNCTION("""COMPUTED_VALUE"""),"")</f>
        <v/>
      </c>
      <c r="T574" s="1" t="str">
        <f>IFERROR(__xludf.DUMMYFUNCTION("""COMPUTED_VALUE"""),"")</f>
        <v/>
      </c>
      <c r="U574" s="1" t="str">
        <f>IFERROR(__xludf.DUMMYFUNCTION("""COMPUTED_VALUE"""),"")</f>
        <v/>
      </c>
      <c r="V574" s="1" t="str">
        <f>IFERROR(__xludf.DUMMYFUNCTION("""COMPUTED_VALUE"""),"")</f>
        <v/>
      </c>
      <c r="W574" s="1" t="str">
        <f>IFERROR(__xludf.DUMMYFUNCTION("""COMPUTED_VALUE"""),"")</f>
        <v/>
      </c>
      <c r="X574" s="1" t="str">
        <f>IFERROR(__xludf.DUMMYFUNCTION("""COMPUTED_VALUE"""),"")</f>
        <v/>
      </c>
      <c r="Y574" s="1" t="str">
        <f>IFERROR(__xludf.DUMMYFUNCTION("""COMPUTED_VALUE"""),"")</f>
        <v/>
      </c>
      <c r="Z574" s="1" t="str">
        <f>IFERROR(__xludf.DUMMYFUNCTION("""COMPUTED_VALUE"""),"Unknown")</f>
        <v>Unknown</v>
      </c>
      <c r="AA574" s="1" t="str">
        <f>IFERROR(__xludf.DUMMYFUNCTION("""COMPUTED_VALUE"""),"")</f>
        <v/>
      </c>
      <c r="AB574" s="1" t="str">
        <f>IFERROR(__xludf.DUMMYFUNCTION("""COMPUTED_VALUE"""),"")</f>
        <v/>
      </c>
      <c r="AC574" s="1" t="str">
        <f>IFERROR(__xludf.DUMMYFUNCTION("""COMPUTED_VALUE"""),"")</f>
        <v/>
      </c>
      <c r="AD574" s="1" t="str">
        <f>IFERROR(__xludf.DUMMYFUNCTION("""COMPUTED_VALUE"""),"")</f>
        <v/>
      </c>
      <c r="AE574" s="1" t="str">
        <f>IFERROR(__xludf.DUMMYFUNCTION("""COMPUTED_VALUE"""),"")</f>
        <v/>
      </c>
      <c r="AF574" s="1" t="str">
        <f>IFERROR(__xludf.DUMMYFUNCTION("""COMPUTED_VALUE"""),"")</f>
        <v/>
      </c>
      <c r="AG574" s="1" t="str">
        <f>IFERROR(__xludf.DUMMYFUNCTION("""COMPUTED_VALUE"""),"")</f>
        <v/>
      </c>
      <c r="AH574" s="1" t="str">
        <f>IFERROR(__xludf.DUMMYFUNCTION("""COMPUTED_VALUE"""),"Media Monitoring")</f>
        <v>Media Monitoring</v>
      </c>
      <c r="AI574" s="1" t="str">
        <f>IFERROR(__xludf.DUMMYFUNCTION("""COMPUTED_VALUE"""),"")</f>
        <v/>
      </c>
      <c r="AJ574" s="1" t="str">
        <f>IFERROR(__xludf.DUMMYFUNCTION("""COMPUTED_VALUE"""),"")</f>
        <v/>
      </c>
      <c r="AK574" s="1" t="str">
        <f>IFERROR(__xludf.DUMMYFUNCTION("""COMPUTED_VALUE"""),"")</f>
        <v/>
      </c>
      <c r="AL574" s="1" t="str">
        <f>IFERROR(__xludf.DUMMYFUNCTION("""COMPUTED_VALUE"""),"")</f>
        <v/>
      </c>
      <c r="AM574" s="1" t="str">
        <f>IFERROR(__xludf.DUMMYFUNCTION("""COMPUTED_VALUE"""),"")</f>
        <v/>
      </c>
      <c r="AN574" s="1" t="str">
        <f>IFERROR(__xludf.DUMMYFUNCTION("""COMPUTED_VALUE"""),"")</f>
        <v/>
      </c>
      <c r="AO574" s="1" t="str">
        <f>IFERROR(__xludf.DUMMYFUNCTION("""COMPUTED_VALUE"""),"")</f>
        <v/>
      </c>
      <c r="AP574" s="1" t="str">
        <f>IFERROR(__xludf.DUMMYFUNCTION("""COMPUTED_VALUE"""),"")</f>
        <v/>
      </c>
      <c r="AQ574" s="1" t="str">
        <f>IFERROR(__xludf.DUMMYFUNCTION("""COMPUTED_VALUE"""),"08/14/2025")</f>
        <v>08/14/2025</v>
      </c>
      <c r="AR574" s="1" t="str">
        <f>IFERROR(__xludf.DUMMYFUNCTION("""COMPUTED_VALUE"""),"08/14/2025")</f>
        <v>08/14/2025</v>
      </c>
    </row>
    <row r="575">
      <c r="A575" s="1" t="str">
        <f>IFERROR(__xludf.DUMMYFUNCTION("""COMPUTED_VALUE"""),"Monolith-Olive Creek Data Center")</f>
        <v>Monolith-Olive Creek Data Center</v>
      </c>
      <c r="B575" s="1" t="str">
        <f>IFERROR(__xludf.DUMMYFUNCTION("""COMPUTED_VALUE"""),"27077 SW 42nd St")</f>
        <v>27077 SW 42nd St</v>
      </c>
      <c r="C575" s="1" t="str">
        <f>IFERROR(__xludf.DUMMYFUNCTION("""COMPUTED_VALUE"""),"Hallam")</f>
        <v>Hallam</v>
      </c>
      <c r="D575" s="1" t="str">
        <f>IFERROR(__xludf.DUMMYFUNCTION("""COMPUTED_VALUE"""),"NE")</f>
        <v>NE</v>
      </c>
      <c r="E575" s="1" t="str">
        <f>IFERROR(__xludf.DUMMYFUNCTION("""COMPUTED_VALUE"""),"68368")</f>
        <v>68368</v>
      </c>
      <c r="F575" s="1" t="str">
        <f>IFERROR(__xludf.DUMMYFUNCTION("""COMPUTED_VALUE"""),"Lancaster")</f>
        <v>Lancaster</v>
      </c>
      <c r="G575" s="1" t="str">
        <f>IFERROR(__xludf.DUMMYFUNCTION("""COMPUTED_VALUE"""),"40.547928")</f>
        <v>40.547928</v>
      </c>
      <c r="H575" s="1" t="str">
        <f>IFERROR(__xludf.DUMMYFUNCTION("""COMPUTED_VALUE"""),"-96.782265")</f>
        <v>-96.782265</v>
      </c>
      <c r="I575" s="1" t="str">
        <f>IFERROR(__xludf.DUMMYFUNCTION("""COMPUTED_VALUE"""),"Proposed")</f>
        <v>Proposed</v>
      </c>
      <c r="J575" s="1" t="str">
        <f>IFERROR(__xludf.DUMMYFUNCTION("""COMPUTED_VALUE"""),"High")</f>
        <v>High</v>
      </c>
      <c r="K575" s="1" t="str">
        <f>IFERROR(__xludf.DUMMYFUNCTION("""COMPUTED_VALUE"""),"")</f>
        <v/>
      </c>
      <c r="L575" s="1" t="str">
        <f>IFERROR(__xludf.DUMMYFUNCTION("""COMPUTED_VALUE"""),"Crusoe?")</f>
        <v>Crusoe?</v>
      </c>
      <c r="M575" s="1" t="str">
        <f>IFERROR(__xludf.DUMMYFUNCTION("""COMPUTED_VALUE"""),"")</f>
        <v/>
      </c>
      <c r="N575" s="1" t="str">
        <f>IFERROR(__xludf.DUMMYFUNCTION("""COMPUTED_VALUE"""),"")</f>
        <v/>
      </c>
      <c r="O575" s="1" t="str">
        <f>IFERROR(__xludf.DUMMYFUNCTION("""COMPUTED_VALUE"""),"Unknown")</f>
        <v>Unknown</v>
      </c>
      <c r="P575" s="1" t="str">
        <f>IFERROR(__xludf.DUMMYFUNCTION("""COMPUTED_VALUE"""),"Coal, Grid (unspecified mix)")</f>
        <v>Coal, Grid (unspecified mix)</v>
      </c>
      <c r="Q575" s="1" t="str">
        <f>IFERROR(__xludf.DUMMYFUNCTION("""COMPUTED_VALUE"""),"")</f>
        <v/>
      </c>
      <c r="R575" s="1" t="str">
        <f>IFERROR(__xludf.DUMMYFUNCTION("""COMPUTED_VALUE"""),"")</f>
        <v/>
      </c>
      <c r="S575" s="1" t="str">
        <f>IFERROR(__xludf.DUMMYFUNCTION("""COMPUTED_VALUE"""),"")</f>
        <v/>
      </c>
      <c r="T575" s="1" t="str">
        <f>IFERROR(__xludf.DUMMYFUNCTION("""COMPUTED_VALUE"""),"")</f>
        <v/>
      </c>
      <c r="U575" s="1" t="str">
        <f>IFERROR(__xludf.DUMMYFUNCTION("""COMPUTED_VALUE"""),"")</f>
        <v/>
      </c>
      <c r="V575" s="1" t="str">
        <f>IFERROR(__xludf.DUMMYFUNCTION("""COMPUTED_VALUE"""),"")</f>
        <v/>
      </c>
      <c r="W575" s="1" t="str">
        <f>IFERROR(__xludf.DUMMYFUNCTION("""COMPUTED_VALUE"""),"10")</f>
        <v>10</v>
      </c>
      <c r="X575" s="1" t="str">
        <f>IFERROR(__xludf.DUMMYFUNCTION("""COMPUTED_VALUE"""),"")</f>
        <v/>
      </c>
      <c r="Y575" s="1" t="str">
        <f>IFERROR(__xludf.DUMMYFUNCTION("""COMPUTED_VALUE"""),"")</f>
        <v/>
      </c>
      <c r="Z575" s="1" t="str">
        <f>IFERROR(__xludf.DUMMYFUNCTION("""COMPUTED_VALUE"""),"")</f>
        <v/>
      </c>
      <c r="AA575" s="1" t="str">
        <f>IFERROR(__xludf.DUMMYFUNCTION("""COMPUTED_VALUE"""),"")</f>
        <v/>
      </c>
      <c r="AB575" s="1" t="str">
        <f>IFERROR(__xludf.DUMMYFUNCTION("""COMPUTED_VALUE"""),"")</f>
        <v/>
      </c>
      <c r="AC575" s="1" t="str">
        <f>IFERROR(__xludf.DUMMYFUNCTION("""COMPUTED_VALUE"""),"")</f>
        <v/>
      </c>
      <c r="AD575" s="1" t="str">
        <f>IFERROR(__xludf.DUMMYFUNCTION("""COMPUTED_VALUE"""),"")</f>
        <v/>
      </c>
      <c r="AE575" s="1" t="str">
        <f>IFERROR(__xludf.DUMMYFUNCTION("""COMPUTED_VALUE"""),"")</f>
        <v/>
      </c>
      <c r="AF575" s="1" t="str">
        <f>IFERROR(__xludf.DUMMYFUNCTION("""COMPUTED_VALUE"""),"")</f>
        <v/>
      </c>
      <c r="AG575" s="1" t="str">
        <f>IFERROR(__xludf.DUMMYFUNCTION("""COMPUTED_VALUE"""),"")</f>
        <v/>
      </c>
      <c r="AH575" s="1" t="str">
        <f>IFERROR(__xludf.DUMMYFUNCTION("""COMPUTED_VALUE"""),"Media Monitoring")</f>
        <v>Media Monitoring</v>
      </c>
      <c r="AI575" s="2" t="str">
        <f>IFERROR(__xludf.DUMMYFUNCTION("""COMPUTED_VALUE"""),"https://www.datacenterdynamics.com/en/news/nebraska-carbon-black-plant-set-to-host-data-center/")</f>
        <v>https://www.datacenterdynamics.com/en/news/nebraska-carbon-black-plant-set-to-host-data-center/</v>
      </c>
      <c r="AJ575" s="1" t="str">
        <f>IFERROR(__xludf.DUMMYFUNCTION("""COMPUTED_VALUE"""),"")</f>
        <v/>
      </c>
      <c r="AK575" s="1" t="str">
        <f>IFERROR(__xludf.DUMMYFUNCTION("""COMPUTED_VALUE"""),"")</f>
        <v/>
      </c>
      <c r="AL575" s="1" t="str">
        <f>IFERROR(__xludf.DUMMYFUNCTION("""COMPUTED_VALUE"""),"")</f>
        <v/>
      </c>
      <c r="AM575" s="1" t="str">
        <f>IFERROR(__xludf.DUMMYFUNCTION("""COMPUTED_VALUE"""),"")</f>
        <v/>
      </c>
      <c r="AN575" s="1" t="str">
        <f>IFERROR(__xludf.DUMMYFUNCTION("""COMPUTED_VALUE"""),"")</f>
        <v/>
      </c>
      <c r="AO575" s="1" t="str">
        <f>IFERROR(__xludf.DUMMYFUNCTION("""COMPUTED_VALUE"""),"")</f>
        <v/>
      </c>
      <c r="AP575" s="1" t="str">
        <f>IFERROR(__xludf.DUMMYFUNCTION("""COMPUTED_VALUE"""),"")</f>
        <v/>
      </c>
      <c r="AQ575" s="1" t="str">
        <f>IFERROR(__xludf.DUMMYFUNCTION("""COMPUTED_VALUE"""),"07/14/2026")</f>
        <v>07/14/2026</v>
      </c>
      <c r="AR575" s="1" t="str">
        <f>IFERROR(__xludf.DUMMYFUNCTION("""COMPUTED_VALUE"""),"07/14/2026")</f>
        <v>07/14/2026</v>
      </c>
    </row>
    <row r="576">
      <c r="A576" s="1" t="str">
        <f>IFERROR(__xludf.DUMMYFUNCTION("""COMPUTED_VALUE"""),"Sequitor Edge Data Center")</f>
        <v>Sequitor Edge Data Center</v>
      </c>
      <c r="B576" s="1" t="str">
        <f>IFERROR(__xludf.DUMMYFUNCTION("""COMPUTED_VALUE"""),"TechoNE Crossing Technology Park")</f>
        <v>TechoNE Crossing Technology Park</v>
      </c>
      <c r="C576" s="1" t="str">
        <f>IFERROR(__xludf.DUMMYFUNCTION("""COMPUTED_VALUE"""),"Kearney")</f>
        <v>Kearney</v>
      </c>
      <c r="D576" s="1" t="str">
        <f>IFERROR(__xludf.DUMMYFUNCTION("""COMPUTED_VALUE"""),"NE")</f>
        <v>NE</v>
      </c>
      <c r="E576" s="1" t="str">
        <f>IFERROR(__xludf.DUMMYFUNCTION("""COMPUTED_VALUE"""),"68847")</f>
        <v>68847</v>
      </c>
      <c r="F576" s="1" t="str">
        <f>IFERROR(__xludf.DUMMYFUNCTION("""COMPUTED_VALUE"""),"Buffalo")</f>
        <v>Buffalo</v>
      </c>
      <c r="G576" s="1" t="str">
        <f>IFERROR(__xludf.DUMMYFUNCTION("""COMPUTED_VALUE"""),"40.726894")</f>
        <v>40.726894</v>
      </c>
      <c r="H576" s="1" t="str">
        <f>IFERROR(__xludf.DUMMYFUNCTION("""COMPUTED_VALUE"""),"-99.042984")</f>
        <v>-99.042984</v>
      </c>
      <c r="I576" s="1" t="str">
        <f>IFERROR(__xludf.DUMMYFUNCTION("""COMPUTED_VALUE"""),"Proposed")</f>
        <v>Proposed</v>
      </c>
      <c r="J576" s="1" t="str">
        <f>IFERROR(__xludf.DUMMYFUNCTION("""COMPUTED_VALUE"""),"Medium")</f>
        <v>Medium</v>
      </c>
      <c r="K576" s="1" t="str">
        <f>IFERROR(__xludf.DUMMYFUNCTION("""COMPUTED_VALUE"""),"")</f>
        <v/>
      </c>
      <c r="L576" s="1" t="str">
        <f>IFERROR(__xludf.DUMMYFUNCTION("""COMPUTED_VALUE"""),"")</f>
        <v/>
      </c>
      <c r="M576" s="1" t="str">
        <f>IFERROR(__xludf.DUMMYFUNCTION("""COMPUTED_VALUE"""),"")</f>
        <v/>
      </c>
      <c r="N576" s="1" t="str">
        <f>IFERROR(__xludf.DUMMYFUNCTION("""COMPUTED_VALUE"""),"")</f>
        <v/>
      </c>
      <c r="O576" s="1" t="str">
        <f>IFERROR(__xludf.DUMMYFUNCTION("""COMPUTED_VALUE"""),"Unknown")</f>
        <v>Unknown</v>
      </c>
      <c r="P576" s="1" t="str">
        <f>IFERROR(__xludf.DUMMYFUNCTION("""COMPUTED_VALUE"""),"")</f>
        <v/>
      </c>
      <c r="Q576" s="1" t="str">
        <f>IFERROR(__xludf.DUMMYFUNCTION("""COMPUTED_VALUE"""),"")</f>
        <v/>
      </c>
      <c r="R576" s="1" t="str">
        <f>IFERROR(__xludf.DUMMYFUNCTION("""COMPUTED_VALUE"""),"")</f>
        <v/>
      </c>
      <c r="S576" s="1" t="str">
        <f>IFERROR(__xludf.DUMMYFUNCTION("""COMPUTED_VALUE"""),"")</f>
        <v/>
      </c>
      <c r="T576" s="1" t="str">
        <f>IFERROR(__xludf.DUMMYFUNCTION("""COMPUTED_VALUE"""),"")</f>
        <v/>
      </c>
      <c r="U576" s="1" t="str">
        <f>IFERROR(__xludf.DUMMYFUNCTION("""COMPUTED_VALUE"""),"")</f>
        <v/>
      </c>
      <c r="V576" s="1" t="str">
        <f>IFERROR(__xludf.DUMMYFUNCTION("""COMPUTED_VALUE"""),"")</f>
        <v/>
      </c>
      <c r="W576" s="1" t="str">
        <f>IFERROR(__xludf.DUMMYFUNCTION("""COMPUTED_VALUE"""),"16")</f>
        <v>16</v>
      </c>
      <c r="X576" s="1" t="str">
        <f>IFERROR(__xludf.DUMMYFUNCTION("""COMPUTED_VALUE"""),"")</f>
        <v/>
      </c>
      <c r="Y576" s="1" t="str">
        <f>IFERROR(__xludf.DUMMYFUNCTION("""COMPUTED_VALUE"""),"2027")</f>
        <v>2027</v>
      </c>
      <c r="Z576" s="1" t="str">
        <f>IFERROR(__xludf.DUMMYFUNCTION("""COMPUTED_VALUE"""),"Unknown")</f>
        <v>Unknown</v>
      </c>
      <c r="AA576" s="1" t="str">
        <f>IFERROR(__xludf.DUMMYFUNCTION("""COMPUTED_VALUE"""),"")</f>
        <v/>
      </c>
      <c r="AB576" s="1" t="str">
        <f>IFERROR(__xludf.DUMMYFUNCTION("""COMPUTED_VALUE"""),"")</f>
        <v/>
      </c>
      <c r="AC576" s="1" t="str">
        <f>IFERROR(__xludf.DUMMYFUNCTION("""COMPUTED_VALUE"""),"")</f>
        <v/>
      </c>
      <c r="AD576" s="1" t="str">
        <f>IFERROR(__xludf.DUMMYFUNCTION("""COMPUTED_VALUE"""),"")</f>
        <v/>
      </c>
      <c r="AE576" s="1" t="str">
        <f>IFERROR(__xludf.DUMMYFUNCTION("""COMPUTED_VALUE"""),"")</f>
        <v/>
      </c>
      <c r="AF576" s="1" t="str">
        <f>IFERROR(__xludf.DUMMYFUNCTION("""COMPUTED_VALUE"""),"")</f>
        <v/>
      </c>
      <c r="AG576" s="1" t="str">
        <f>IFERROR(__xludf.DUMMYFUNCTION("""COMPUTED_VALUE"""),"")</f>
        <v/>
      </c>
      <c r="AH576" s="1" t="str">
        <f>IFERROR(__xludf.DUMMYFUNCTION("""COMPUTED_VALUE"""),"Media Monitoring")</f>
        <v>Media Monitoring</v>
      </c>
      <c r="AI576" s="2" t="str">
        <f>IFERROR(__xludf.DUMMYFUNCTION("""COMPUTED_VALUE"""),"https://www.datacenterdynamics.com/en/news/sequitor-edge-to-build-data-center-on-16-acre-land-parcel-in-kearney-nebraska/")</f>
        <v>https://www.datacenterdynamics.com/en/news/sequitor-edge-to-build-data-center-on-16-acre-land-parcel-in-kearney-nebraska/</v>
      </c>
      <c r="AJ576" s="2" t="str">
        <f>IFERROR(__xludf.DUMMYFUNCTION("""COMPUTED_VALUE"""),"https://docs.google.com/spreadsheets/d/1v7zjT-c1Az7rPHQkQqd9kSZTf5wcMAKg7NFz317_l6s/edit?pli=1&amp;gid=1159825851#gid=1159825851")</f>
        <v>https://docs.google.com/spreadsheets/d/1v7zjT-c1Az7rPHQkQqd9kSZTf5wcMAKg7NFz317_l6s/edit?pli=1&amp;gid=1159825851#gid=1159825851</v>
      </c>
      <c r="AK576" s="1" t="str">
        <f>IFERROR(__xludf.DUMMYFUNCTION("""COMPUTED_VALUE"""),"")</f>
        <v/>
      </c>
      <c r="AL576" s="1" t="str">
        <f>IFERROR(__xludf.DUMMYFUNCTION("""COMPUTED_VALUE"""),"")</f>
        <v/>
      </c>
      <c r="AM576" s="1" t="str">
        <f>IFERROR(__xludf.DUMMYFUNCTION("""COMPUTED_VALUE"""),"")</f>
        <v/>
      </c>
      <c r="AN576" s="1" t="str">
        <f>IFERROR(__xludf.DUMMYFUNCTION("""COMPUTED_VALUE"""),"")</f>
        <v/>
      </c>
      <c r="AO576" s="1" t="str">
        <f>IFERROR(__xludf.DUMMYFUNCTION("""COMPUTED_VALUE"""),"")</f>
        <v/>
      </c>
      <c r="AP576" s="1" t="str">
        <f>IFERROR(__xludf.DUMMYFUNCTION("""COMPUTED_VALUE"""),"")</f>
        <v/>
      </c>
      <c r="AQ576" s="1" t="str">
        <f>IFERROR(__xludf.DUMMYFUNCTION("""COMPUTED_VALUE"""),"03/04/2026")</f>
        <v>03/04/2026</v>
      </c>
      <c r="AR576" s="1" t="str">
        <f>IFERROR(__xludf.DUMMYFUNCTION("""COMPUTED_VALUE"""),"03/04/2026")</f>
        <v>03/04/2026</v>
      </c>
    </row>
    <row r="577">
      <c r="A577" s="1" t="str">
        <f>IFERROR(__xludf.DUMMYFUNCTION("""COMPUTED_VALUE"""),"H5 Data Center")</f>
        <v>H5 Data Center</v>
      </c>
      <c r="B577" s="1" t="str">
        <f>IFERROR(__xludf.DUMMYFUNCTION("""COMPUTED_VALUE"""),"10917 Harry Watanabe Parkway")</f>
        <v>10917 Harry Watanabe Parkway</v>
      </c>
      <c r="C577" s="1" t="str">
        <f>IFERROR(__xludf.DUMMYFUNCTION("""COMPUTED_VALUE"""),"La Vista")</f>
        <v>La Vista</v>
      </c>
      <c r="D577" s="1" t="str">
        <f>IFERROR(__xludf.DUMMYFUNCTION("""COMPUTED_VALUE"""),"NE")</f>
        <v>NE</v>
      </c>
      <c r="E577" s="1" t="str">
        <f>IFERROR(__xludf.DUMMYFUNCTION("""COMPUTED_VALUE"""),"68128")</f>
        <v>68128</v>
      </c>
      <c r="F577" s="1" t="str">
        <f>IFERROR(__xludf.DUMMYFUNCTION("""COMPUTED_VALUE"""),"Sarpy")</f>
        <v>Sarpy</v>
      </c>
      <c r="G577" s="1" t="str">
        <f>IFERROR(__xludf.DUMMYFUNCTION("""COMPUTED_VALUE"""),"41.180862")</f>
        <v>41.180862</v>
      </c>
      <c r="H577" s="1" t="str">
        <f>IFERROR(__xludf.DUMMYFUNCTION("""COMPUTED_VALUE"""),"-96.08503")</f>
        <v>-96.08503</v>
      </c>
      <c r="I577" s="1" t="str">
        <f>IFERROR(__xludf.DUMMYFUNCTION("""COMPUTED_VALUE"""),"Operating")</f>
        <v>Operating</v>
      </c>
      <c r="J577" s="1" t="str">
        <f>IFERROR(__xludf.DUMMYFUNCTION("""COMPUTED_VALUE"""),"High")</f>
        <v>High</v>
      </c>
      <c r="K577" s="1" t="str">
        <f>IFERROR(__xludf.DUMMYFUNCTION("""COMPUTED_VALUE"""),"")</f>
        <v/>
      </c>
      <c r="L577" s="1" t="str">
        <f>IFERROR(__xludf.DUMMYFUNCTION("""COMPUTED_VALUE"""),"")</f>
        <v/>
      </c>
      <c r="M577" s="1" t="str">
        <f>IFERROR(__xludf.DUMMYFUNCTION("""COMPUTED_VALUE"""),"")</f>
        <v/>
      </c>
      <c r="N577" s="1" t="str">
        <f>IFERROR(__xludf.DUMMYFUNCTION("""COMPUTED_VALUE"""),"17")</f>
        <v>17</v>
      </c>
      <c r="O577" s="1" t="str">
        <f>IFERROR(__xludf.DUMMYFUNCTION("""COMPUTED_VALUE"""),"Medium (11-50 MW)")</f>
        <v>Medium (11-50 MW)</v>
      </c>
      <c r="P577" s="1" t="str">
        <f>IFERROR(__xludf.DUMMYFUNCTION("""COMPUTED_VALUE"""),"")</f>
        <v/>
      </c>
      <c r="Q577" s="1" t="str">
        <f>IFERROR(__xludf.DUMMYFUNCTION("""COMPUTED_VALUE"""),"")</f>
        <v/>
      </c>
      <c r="R577" s="1" t="str">
        <f>IFERROR(__xludf.DUMMYFUNCTION("""COMPUTED_VALUE"""),"")</f>
        <v/>
      </c>
      <c r="S577" s="1" t="str">
        <f>IFERROR(__xludf.DUMMYFUNCTION("""COMPUTED_VALUE"""),"")</f>
        <v/>
      </c>
      <c r="T577" s="1" t="str">
        <f>IFERROR(__xludf.DUMMYFUNCTION("""COMPUTED_VALUE"""),"")</f>
        <v/>
      </c>
      <c r="U577" s="1" t="str">
        <f>IFERROR(__xludf.DUMMYFUNCTION("""COMPUTED_VALUE"""),"")</f>
        <v/>
      </c>
      <c r="V577" s="1" t="str">
        <f>IFERROR(__xludf.DUMMYFUNCTION("""COMPUTED_VALUE"""),"234,500")</f>
        <v>234,500</v>
      </c>
      <c r="W577" s="1" t="str">
        <f>IFERROR(__xludf.DUMMYFUNCTION("""COMPUTED_VALUE"""),"32")</f>
        <v>32</v>
      </c>
      <c r="X577" s="1" t="str">
        <f>IFERROR(__xludf.DUMMYFUNCTION("""COMPUTED_VALUE"""),"")</f>
        <v/>
      </c>
      <c r="Y577" s="1" t="str">
        <f>IFERROR(__xludf.DUMMYFUNCTION("""COMPUTED_VALUE"""),"")</f>
        <v/>
      </c>
      <c r="Z577" s="1" t="str">
        <f>IFERROR(__xludf.DUMMYFUNCTION("""COMPUTED_VALUE"""),"Unknown")</f>
        <v>Unknown</v>
      </c>
      <c r="AA577" s="1" t="str">
        <f>IFERROR(__xludf.DUMMYFUNCTION("""COMPUTED_VALUE"""),"")</f>
        <v/>
      </c>
      <c r="AB577" s="1" t="str">
        <f>IFERROR(__xludf.DUMMYFUNCTION("""COMPUTED_VALUE"""),"")</f>
        <v/>
      </c>
      <c r="AC577" s="1" t="str">
        <f>IFERROR(__xludf.DUMMYFUNCTION("""COMPUTED_VALUE"""),"")</f>
        <v/>
      </c>
      <c r="AD577" s="1" t="str">
        <f>IFERROR(__xludf.DUMMYFUNCTION("""COMPUTED_VALUE"""),"")</f>
        <v/>
      </c>
      <c r="AE577" s="1" t="str">
        <f>IFERROR(__xludf.DUMMYFUNCTION("""COMPUTED_VALUE"""),"")</f>
        <v/>
      </c>
      <c r="AF577" s="1" t="str">
        <f>IFERROR(__xludf.DUMMYFUNCTION("""COMPUTED_VALUE"""),"")</f>
        <v/>
      </c>
      <c r="AG577" s="1" t="str">
        <f>IFERROR(__xludf.DUMMYFUNCTION("""COMPUTED_VALUE"""),"")</f>
        <v/>
      </c>
      <c r="AH577" s="1" t="str">
        <f>IFERROR(__xludf.DUMMYFUNCTION("""COMPUTED_VALUE"""),"Media Monitoring")</f>
        <v>Media Monitoring</v>
      </c>
      <c r="AI577" s="2" t="str">
        <f>IFERROR(__xludf.DUMMYFUNCTION("""COMPUTED_VALUE"""),"https://www.datacenterdynamics.com/en/news/h5-acquires-new-york-data-centers-from-yahoo-in-sale-leaseback-deal/")</f>
        <v>https://www.datacenterdynamics.com/en/news/h5-acquires-new-york-data-centers-from-yahoo-in-sale-leaseback-deal/</v>
      </c>
      <c r="AJ577" s="1" t="str">
        <f>IFERROR(__xludf.DUMMYFUNCTION("""COMPUTED_VALUE"""),"")</f>
        <v/>
      </c>
      <c r="AK577" s="1" t="str">
        <f>IFERROR(__xludf.DUMMYFUNCTION("""COMPUTED_VALUE"""),"")</f>
        <v/>
      </c>
      <c r="AL577" s="1" t="str">
        <f>IFERROR(__xludf.DUMMYFUNCTION("""COMPUTED_VALUE"""),"")</f>
        <v/>
      </c>
      <c r="AM577" s="1" t="str">
        <f>IFERROR(__xludf.DUMMYFUNCTION("""COMPUTED_VALUE"""),"")</f>
        <v/>
      </c>
      <c r="AN577" s="1" t="str">
        <f>IFERROR(__xludf.DUMMYFUNCTION("""COMPUTED_VALUE"""),"")</f>
        <v/>
      </c>
      <c r="AO577" s="1" t="str">
        <f>IFERROR(__xludf.DUMMYFUNCTION("""COMPUTED_VALUE"""),"")</f>
        <v/>
      </c>
      <c r="AP577" s="1" t="str">
        <f>IFERROR(__xludf.DUMMYFUNCTION("""COMPUTED_VALUE"""),"")</f>
        <v/>
      </c>
      <c r="AQ577" s="1" t="str">
        <f>IFERROR(__xludf.DUMMYFUNCTION("""COMPUTED_VALUE"""),"11/14/2025")</f>
        <v>11/14/2025</v>
      </c>
      <c r="AR577" s="1" t="str">
        <f>IFERROR(__xludf.DUMMYFUNCTION("""COMPUTED_VALUE"""),"11/14/2025")</f>
        <v>11/14/2025</v>
      </c>
    </row>
    <row r="578">
      <c r="A578" s="1" t="str">
        <f>IFERROR(__xludf.DUMMYFUNCTION("""COMPUTED_VALUE"""),"Google Lincoln Data Center")</f>
        <v>Google Lincoln Data Center</v>
      </c>
      <c r="B578" s="1" t="str">
        <f>IFERROR(__xludf.DUMMYFUNCTION("""COMPUTED_VALUE"""),"Near intersection of I-80 and Hwy 77")</f>
        <v>Near intersection of I-80 and Hwy 77</v>
      </c>
      <c r="C578" s="1" t="str">
        <f>IFERROR(__xludf.DUMMYFUNCTION("""COMPUTED_VALUE"""),"Lincoln")</f>
        <v>Lincoln</v>
      </c>
      <c r="D578" s="1" t="str">
        <f>IFERROR(__xludf.DUMMYFUNCTION("""COMPUTED_VALUE"""),"NE")</f>
        <v>NE</v>
      </c>
      <c r="E578" s="1" t="str">
        <f>IFERROR(__xludf.DUMMYFUNCTION("""COMPUTED_VALUE"""),"68528")</f>
        <v>68528</v>
      </c>
      <c r="F578" s="1" t="str">
        <f>IFERROR(__xludf.DUMMYFUNCTION("""COMPUTED_VALUE"""),"Lancaster")</f>
        <v>Lancaster</v>
      </c>
      <c r="G578" s="1" t="str">
        <f>IFERROR(__xludf.DUMMYFUNCTION("""COMPUTED_VALUE"""),"40.82278")</f>
        <v>40.82278</v>
      </c>
      <c r="H578" s="1" t="str">
        <f>IFERROR(__xludf.DUMMYFUNCTION("""COMPUTED_VALUE"""),"-96.7574")</f>
        <v>-96.7574</v>
      </c>
      <c r="I578" s="1" t="str">
        <f>IFERROR(__xludf.DUMMYFUNCTION("""COMPUTED_VALUE"""),"Approved/Permitted/Under construction")</f>
        <v>Approved/Permitted/Under construction</v>
      </c>
      <c r="J578" s="1" t="str">
        <f>IFERROR(__xludf.DUMMYFUNCTION("""COMPUTED_VALUE"""),"Medium")</f>
        <v>Medium</v>
      </c>
      <c r="K578" s="1" t="str">
        <f>IFERROR(__xludf.DUMMYFUNCTION("""COMPUTED_VALUE"""),"")</f>
        <v/>
      </c>
      <c r="L578" s="1" t="str">
        <f>IFERROR(__xludf.DUMMYFUNCTION("""COMPUTED_VALUE"""),"Google")</f>
        <v>Google</v>
      </c>
      <c r="M578" s="1" t="str">
        <f>IFERROR(__xludf.DUMMYFUNCTION("""COMPUTED_VALUE"""),"")</f>
        <v/>
      </c>
      <c r="N578" s="1" t="str">
        <f>IFERROR(__xludf.DUMMYFUNCTION("""COMPUTED_VALUE"""),"")</f>
        <v/>
      </c>
      <c r="O578" s="1" t="str">
        <f>IFERROR(__xludf.DUMMYFUNCTION("""COMPUTED_VALUE"""),"Unknown")</f>
        <v>Unknown</v>
      </c>
      <c r="P578" s="1" t="str">
        <f>IFERROR(__xludf.DUMMYFUNCTION("""COMPUTED_VALUE"""),"")</f>
        <v/>
      </c>
      <c r="Q578" s="1" t="str">
        <f>IFERROR(__xludf.DUMMYFUNCTION("""COMPUTED_VALUE"""),"")</f>
        <v/>
      </c>
      <c r="R578" s="1" t="str">
        <f>IFERROR(__xludf.DUMMYFUNCTION("""COMPUTED_VALUE"""),"")</f>
        <v/>
      </c>
      <c r="S578" s="1" t="str">
        <f>IFERROR(__xludf.DUMMYFUNCTION("""COMPUTED_VALUE"""),"")</f>
        <v/>
      </c>
      <c r="T578" s="1" t="str">
        <f>IFERROR(__xludf.DUMMYFUNCTION("""COMPUTED_VALUE"""),"")</f>
        <v/>
      </c>
      <c r="U578" s="1" t="str">
        <f>IFERROR(__xludf.DUMMYFUNCTION("""COMPUTED_VALUE"""),"")</f>
        <v/>
      </c>
      <c r="V578" s="1" t="str">
        <f>IFERROR(__xludf.DUMMYFUNCTION("""COMPUTED_VALUE"""),"2,000,000")</f>
        <v>2,000,000</v>
      </c>
      <c r="W578" s="1" t="str">
        <f>IFERROR(__xludf.DUMMYFUNCTION("""COMPUTED_VALUE"""),"600")</f>
        <v>600</v>
      </c>
      <c r="X578" s="1" t="str">
        <f>IFERROR(__xludf.DUMMYFUNCTION("""COMPUTED_VALUE"""),"")</f>
        <v/>
      </c>
      <c r="Y578" s="1" t="str">
        <f>IFERROR(__xludf.DUMMYFUNCTION("""COMPUTED_VALUE"""),"")</f>
        <v/>
      </c>
      <c r="Z578" s="1" t="str">
        <f>IFERROR(__xludf.DUMMYFUNCTION("""COMPUTED_VALUE"""),"Unknown")</f>
        <v>Unknown</v>
      </c>
      <c r="AA578" s="1" t="str">
        <f>IFERROR(__xludf.DUMMYFUNCTION("""COMPUTED_VALUE"""),"")</f>
        <v/>
      </c>
      <c r="AB578" s="1" t="str">
        <f>IFERROR(__xludf.DUMMYFUNCTION("""COMPUTED_VALUE"""),"")</f>
        <v/>
      </c>
      <c r="AC578" s="1" t="str">
        <f>IFERROR(__xludf.DUMMYFUNCTION("""COMPUTED_VALUE"""),"")</f>
        <v/>
      </c>
      <c r="AD578" s="1" t="str">
        <f>IFERROR(__xludf.DUMMYFUNCTION("""COMPUTED_VALUE"""),"")</f>
        <v/>
      </c>
      <c r="AE578" s="1" t="str">
        <f>IFERROR(__xludf.DUMMYFUNCTION("""COMPUTED_VALUE"""),"")</f>
        <v/>
      </c>
      <c r="AF578" s="1" t="str">
        <f>IFERROR(__xludf.DUMMYFUNCTION("""COMPUTED_VALUE"""),"")</f>
        <v/>
      </c>
      <c r="AG578" s="1" t="str">
        <f>IFERROR(__xludf.DUMMYFUNCTION("""COMPUTED_VALUE"""),"")</f>
        <v/>
      </c>
      <c r="AH578" s="1" t="str">
        <f>IFERROR(__xludf.DUMMYFUNCTION("""COMPUTED_VALUE"""),"Media Monitoring")</f>
        <v>Media Monitoring</v>
      </c>
      <c r="AI578" s="2" t="str">
        <f>IFERROR(__xludf.DUMMYFUNCTION("""COMPUTED_VALUE"""),"https://www.1011now.com/2025/05/05/lincoln-google-data-center-expected-be-service-by-fall/")</f>
        <v>https://www.1011now.com/2025/05/05/lincoln-google-data-center-expected-be-service-by-fall/</v>
      </c>
      <c r="AJ578" s="2" t="str">
        <f>IFERROR(__xludf.DUMMYFUNCTION("""COMPUTED_VALUE"""),"https://rbnenergy.com/i-know-places-tech-giants-may-be-the-surest-bets-for-data-center-power-demand")</f>
        <v>https://rbnenergy.com/i-know-places-tech-giants-may-be-the-surest-bets-for-data-center-power-demand</v>
      </c>
      <c r="AK578" s="1" t="str">
        <f>IFERROR(__xludf.DUMMYFUNCTION("""COMPUTED_VALUE"""),"")</f>
        <v/>
      </c>
      <c r="AL578" s="1" t="str">
        <f>IFERROR(__xludf.DUMMYFUNCTION("""COMPUTED_VALUE"""),"")</f>
        <v/>
      </c>
      <c r="AM578" s="1" t="str">
        <f>IFERROR(__xludf.DUMMYFUNCTION("""COMPUTED_VALUE"""),"")</f>
        <v/>
      </c>
      <c r="AN578" s="1" t="str">
        <f>IFERROR(__xludf.DUMMYFUNCTION("""COMPUTED_VALUE"""),"")</f>
        <v/>
      </c>
      <c r="AO578" s="1" t="str">
        <f>IFERROR(__xludf.DUMMYFUNCTION("""COMPUTED_VALUE"""),"")</f>
        <v/>
      </c>
      <c r="AP578" s="1" t="str">
        <f>IFERROR(__xludf.DUMMYFUNCTION("""COMPUTED_VALUE"""),"")</f>
        <v/>
      </c>
      <c r="AQ578" s="1" t="str">
        <f>IFERROR(__xludf.DUMMYFUNCTION("""COMPUTED_VALUE"""),"08/14/2025")</f>
        <v>08/14/2025</v>
      </c>
      <c r="AR578" s="1" t="str">
        <f>IFERROR(__xludf.DUMMYFUNCTION("""COMPUTED_VALUE"""),"08/14/2025")</f>
        <v>08/14/2025</v>
      </c>
    </row>
    <row r="579">
      <c r="A579" s="1" t="str">
        <f>IFERROR(__xludf.DUMMYFUNCTION("""COMPUTED_VALUE"""),"Lincoln Data Centers")</f>
        <v>Lincoln Data Centers</v>
      </c>
      <c r="B579" s="1" t="str">
        <f>IFERROR(__xludf.DUMMYFUNCTION("""COMPUTED_VALUE"""),"206 S 13th St Ste 605")</f>
        <v>206 S 13th St Ste 605</v>
      </c>
      <c r="C579" s="1" t="str">
        <f>IFERROR(__xludf.DUMMYFUNCTION("""COMPUTED_VALUE"""),"Lincoln")</f>
        <v>Lincoln</v>
      </c>
      <c r="D579" s="1" t="str">
        <f>IFERROR(__xludf.DUMMYFUNCTION("""COMPUTED_VALUE"""),"NE")</f>
        <v>NE</v>
      </c>
      <c r="E579" s="1" t="str">
        <f>IFERROR(__xludf.DUMMYFUNCTION("""COMPUTED_VALUE"""),"68508")</f>
        <v>68508</v>
      </c>
      <c r="F579" s="1" t="str">
        <f>IFERROR(__xludf.DUMMYFUNCTION("""COMPUTED_VALUE"""),"Lancaster")</f>
        <v>Lancaster</v>
      </c>
      <c r="G579" s="1" t="str">
        <f>IFERROR(__xludf.DUMMYFUNCTION("""COMPUTED_VALUE"""),"40.81206")</f>
        <v>40.81206</v>
      </c>
      <c r="H579" s="1" t="str">
        <f>IFERROR(__xludf.DUMMYFUNCTION("""COMPUTED_VALUE"""),"-96.7024")</f>
        <v>-96.7024</v>
      </c>
      <c r="I579" s="1" t="str">
        <f>IFERROR(__xludf.DUMMYFUNCTION("""COMPUTED_VALUE"""),"Operating")</f>
        <v>Operating</v>
      </c>
      <c r="J579" s="1" t="str">
        <f>IFERROR(__xludf.DUMMYFUNCTION("""COMPUTED_VALUE"""),"High")</f>
        <v>High</v>
      </c>
      <c r="K579" s="1" t="str">
        <f>IFERROR(__xludf.DUMMYFUNCTION("""COMPUTED_VALUE"""),"")</f>
        <v/>
      </c>
      <c r="L579" s="1" t="str">
        <f>IFERROR(__xludf.DUMMYFUNCTION("""COMPUTED_VALUE"""),"")</f>
        <v/>
      </c>
      <c r="M579" s="1" t="str">
        <f>IFERROR(__xludf.DUMMYFUNCTION("""COMPUTED_VALUE"""),"")</f>
        <v/>
      </c>
      <c r="N579" s="1" t="str">
        <f>IFERROR(__xludf.DUMMYFUNCTION("""COMPUTED_VALUE"""),"")</f>
        <v/>
      </c>
      <c r="O579" s="1" t="str">
        <f>IFERROR(__xludf.DUMMYFUNCTION("""COMPUTED_VALUE"""),"Unknown")</f>
        <v>Unknown</v>
      </c>
      <c r="P579" s="1" t="str">
        <f>IFERROR(__xludf.DUMMYFUNCTION("""COMPUTED_VALUE"""),"")</f>
        <v/>
      </c>
      <c r="Q579" s="1" t="str">
        <f>IFERROR(__xludf.DUMMYFUNCTION("""COMPUTED_VALUE"""),"")</f>
        <v/>
      </c>
      <c r="R579" s="1" t="str">
        <f>IFERROR(__xludf.DUMMYFUNCTION("""COMPUTED_VALUE"""),"")</f>
        <v/>
      </c>
      <c r="S579" s="1" t="str">
        <f>IFERROR(__xludf.DUMMYFUNCTION("""COMPUTED_VALUE"""),"")</f>
        <v/>
      </c>
      <c r="T579" s="1" t="str">
        <f>IFERROR(__xludf.DUMMYFUNCTION("""COMPUTED_VALUE"""),"")</f>
        <v/>
      </c>
      <c r="U579" s="1" t="str">
        <f>IFERROR(__xludf.DUMMYFUNCTION("""COMPUTED_VALUE"""),"")</f>
        <v/>
      </c>
      <c r="V579" s="1" t="str">
        <f>IFERROR(__xludf.DUMMYFUNCTION("""COMPUTED_VALUE"""),"")</f>
        <v/>
      </c>
      <c r="W579" s="1" t="str">
        <f>IFERROR(__xludf.DUMMYFUNCTION("""COMPUTED_VALUE"""),"")</f>
        <v/>
      </c>
      <c r="X579" s="1" t="str">
        <f>IFERROR(__xludf.DUMMYFUNCTION("""COMPUTED_VALUE"""),"")</f>
        <v/>
      </c>
      <c r="Y579" s="1" t="str">
        <f>IFERROR(__xludf.DUMMYFUNCTION("""COMPUTED_VALUE"""),"")</f>
        <v/>
      </c>
      <c r="Z579" s="1" t="str">
        <f>IFERROR(__xludf.DUMMYFUNCTION("""COMPUTED_VALUE"""),"Unknown")</f>
        <v>Unknown</v>
      </c>
      <c r="AA579" s="1" t="str">
        <f>IFERROR(__xludf.DUMMYFUNCTION("""COMPUTED_VALUE"""),"")</f>
        <v/>
      </c>
      <c r="AB579" s="1" t="str">
        <f>IFERROR(__xludf.DUMMYFUNCTION("""COMPUTED_VALUE"""),"")</f>
        <v/>
      </c>
      <c r="AC579" s="1" t="str">
        <f>IFERROR(__xludf.DUMMYFUNCTION("""COMPUTED_VALUE"""),"")</f>
        <v/>
      </c>
      <c r="AD579" s="1" t="str">
        <f>IFERROR(__xludf.DUMMYFUNCTION("""COMPUTED_VALUE"""),"")</f>
        <v/>
      </c>
      <c r="AE579" s="1" t="str">
        <f>IFERROR(__xludf.DUMMYFUNCTION("""COMPUTED_VALUE"""),"")</f>
        <v/>
      </c>
      <c r="AF579" s="1" t="str">
        <f>IFERROR(__xludf.DUMMYFUNCTION("""COMPUTED_VALUE"""),"")</f>
        <v/>
      </c>
      <c r="AG579" s="1" t="str">
        <f>IFERROR(__xludf.DUMMYFUNCTION("""COMPUTED_VALUE"""),"")</f>
        <v/>
      </c>
      <c r="AH579" s="1" t="str">
        <f>IFERROR(__xludf.DUMMYFUNCTION("""COMPUTED_VALUE"""),"Media Monitoring")</f>
        <v>Media Monitoring</v>
      </c>
      <c r="AI579" s="1" t="str">
        <f>IFERROR(__xludf.DUMMYFUNCTION("""COMPUTED_VALUE"""),"")</f>
        <v/>
      </c>
      <c r="AJ579" s="1" t="str">
        <f>IFERROR(__xludf.DUMMYFUNCTION("""COMPUTED_VALUE"""),"")</f>
        <v/>
      </c>
      <c r="AK579" s="1" t="str">
        <f>IFERROR(__xludf.DUMMYFUNCTION("""COMPUTED_VALUE"""),"")</f>
        <v/>
      </c>
      <c r="AL579" s="1" t="str">
        <f>IFERROR(__xludf.DUMMYFUNCTION("""COMPUTED_VALUE"""),"")</f>
        <v/>
      </c>
      <c r="AM579" s="1" t="str">
        <f>IFERROR(__xludf.DUMMYFUNCTION("""COMPUTED_VALUE"""),"")</f>
        <v/>
      </c>
      <c r="AN579" s="1" t="str">
        <f>IFERROR(__xludf.DUMMYFUNCTION("""COMPUTED_VALUE"""),"")</f>
        <v/>
      </c>
      <c r="AO579" s="1" t="str">
        <f>IFERROR(__xludf.DUMMYFUNCTION("""COMPUTED_VALUE"""),"")</f>
        <v/>
      </c>
      <c r="AP579" s="1" t="str">
        <f>IFERROR(__xludf.DUMMYFUNCTION("""COMPUTED_VALUE"""),"")</f>
        <v/>
      </c>
      <c r="AQ579" s="1" t="str">
        <f>IFERROR(__xludf.DUMMYFUNCTION("""COMPUTED_VALUE"""),"08/14/2025")</f>
        <v>08/14/2025</v>
      </c>
      <c r="AR579" s="1" t="str">
        <f>IFERROR(__xludf.DUMMYFUNCTION("""COMPUTED_VALUE"""),"08/14/2025")</f>
        <v>08/14/2025</v>
      </c>
    </row>
    <row r="580">
      <c r="A580" s="1" t="str">
        <f>IFERROR(__xludf.DUMMYFUNCTION("""COMPUTED_VALUE"""),"Omaha Data Center")</f>
        <v>Omaha Data Center</v>
      </c>
      <c r="B580" s="1" t="str">
        <f>IFERROR(__xludf.DUMMYFUNCTION("""COMPUTED_VALUE"""),"West of Hwy 133")</f>
        <v>West of Hwy 133</v>
      </c>
      <c r="C580" s="1" t="str">
        <f>IFERROR(__xludf.DUMMYFUNCTION("""COMPUTED_VALUE"""),"Omaha")</f>
        <v>Omaha</v>
      </c>
      <c r="D580" s="1" t="str">
        <f>IFERROR(__xludf.DUMMYFUNCTION("""COMPUTED_VALUE"""),"NE")</f>
        <v>NE</v>
      </c>
      <c r="E580" s="1" t="str">
        <f>IFERROR(__xludf.DUMMYFUNCTION("""COMPUTED_VALUE"""),"68142")</f>
        <v>68142</v>
      </c>
      <c r="F580" s="1" t="str">
        <f>IFERROR(__xludf.DUMMYFUNCTION("""COMPUTED_VALUE"""),"Douglas")</f>
        <v>Douglas</v>
      </c>
      <c r="G580" s="1" t="str">
        <f>IFERROR(__xludf.DUMMYFUNCTION("""COMPUTED_VALUE"""),"41.344105")</f>
        <v>41.344105</v>
      </c>
      <c r="H580" s="1" t="str">
        <f>IFERROR(__xludf.DUMMYFUNCTION("""COMPUTED_VALUE"""),"-96.09118")</f>
        <v>-96.09118</v>
      </c>
      <c r="I580" s="1" t="str">
        <f>IFERROR(__xludf.DUMMYFUNCTION("""COMPUTED_VALUE"""),"Operating")</f>
        <v>Operating</v>
      </c>
      <c r="J580" s="1" t="str">
        <f>IFERROR(__xludf.DUMMYFUNCTION("""COMPUTED_VALUE"""),"High")</f>
        <v>High</v>
      </c>
      <c r="K580" s="1" t="str">
        <f>IFERROR(__xludf.DUMMYFUNCTION("""COMPUTED_VALUE"""),"")</f>
        <v/>
      </c>
      <c r="L580" s="1" t="str">
        <f>IFERROR(__xludf.DUMMYFUNCTION("""COMPUTED_VALUE"""),"")</f>
        <v/>
      </c>
      <c r="M580" s="1" t="str">
        <f>IFERROR(__xludf.DUMMYFUNCTION("""COMPUTED_VALUE"""),"")</f>
        <v/>
      </c>
      <c r="N580" s="1" t="str">
        <f>IFERROR(__xludf.DUMMYFUNCTION("""COMPUTED_VALUE"""),"198-474")</f>
        <v>198-474</v>
      </c>
      <c r="O580" s="1" t="str">
        <f>IFERROR(__xludf.DUMMYFUNCTION("""COMPUTED_VALUE"""),"Hyperscale (100-999 MW)")</f>
        <v>Hyperscale (100-999 MW)</v>
      </c>
      <c r="P580" s="1" t="str">
        <f>IFERROR(__xludf.DUMMYFUNCTION("""COMPUTED_VALUE"""),"Grid (unspecified mix)")</f>
        <v>Grid (unspecified mix)</v>
      </c>
      <c r="Q580" s="1" t="str">
        <f>IFERROR(__xludf.DUMMYFUNCTION("""COMPUTED_VALUE"""),"")</f>
        <v/>
      </c>
      <c r="R580" s="1" t="str">
        <f>IFERROR(__xludf.DUMMYFUNCTION("""COMPUTED_VALUE"""),"")</f>
        <v/>
      </c>
      <c r="S580" s="1" t="str">
        <f>IFERROR(__xludf.DUMMYFUNCTION("""COMPUTED_VALUE"""),"")</f>
        <v/>
      </c>
      <c r="T580" s="1" t="str">
        <f>IFERROR(__xludf.DUMMYFUNCTION("""COMPUTED_VALUE"""),"")</f>
        <v/>
      </c>
      <c r="U580" s="1" t="str">
        <f>IFERROR(__xludf.DUMMYFUNCTION("""COMPUTED_VALUE"""),"")</f>
        <v/>
      </c>
      <c r="V580" s="1" t="str">
        <f>IFERROR(__xludf.DUMMYFUNCTION("""COMPUTED_VALUE"""),"")</f>
        <v/>
      </c>
      <c r="W580" s="1" t="str">
        <f>IFERROR(__xludf.DUMMYFUNCTION("""COMPUTED_VALUE"""),"")</f>
        <v/>
      </c>
      <c r="X580" s="1" t="str">
        <f>IFERROR(__xludf.DUMMYFUNCTION("""COMPUTED_VALUE"""),"")</f>
        <v/>
      </c>
      <c r="Y580" s="1" t="str">
        <f>IFERROR(__xludf.DUMMYFUNCTION("""COMPUTED_VALUE"""),"")</f>
        <v/>
      </c>
      <c r="Z580" s="1" t="str">
        <f>IFERROR(__xludf.DUMMYFUNCTION("""COMPUTED_VALUE"""),"Unknown")</f>
        <v>Unknown</v>
      </c>
      <c r="AA580" s="1" t="str">
        <f>IFERROR(__xludf.DUMMYFUNCTION("""COMPUTED_VALUE"""),"")</f>
        <v/>
      </c>
      <c r="AB580" s="1" t="str">
        <f>IFERROR(__xludf.DUMMYFUNCTION("""COMPUTED_VALUE"""),"")</f>
        <v/>
      </c>
      <c r="AC580" s="1" t="str">
        <f>IFERROR(__xludf.DUMMYFUNCTION("""COMPUTED_VALUE"""),"")</f>
        <v/>
      </c>
      <c r="AD580" s="1" t="str">
        <f>IFERROR(__xludf.DUMMYFUNCTION("""COMPUTED_VALUE"""),"")</f>
        <v/>
      </c>
      <c r="AE580" s="1" t="str">
        <f>IFERROR(__xludf.DUMMYFUNCTION("""COMPUTED_VALUE"""),"")</f>
        <v/>
      </c>
      <c r="AF580" s="1" t="str">
        <f>IFERROR(__xludf.DUMMYFUNCTION("""COMPUTED_VALUE"""),"")</f>
        <v/>
      </c>
      <c r="AG580" s="1" t="str">
        <f>IFERROR(__xludf.DUMMYFUNCTION("""COMPUTED_VALUE"""),"")</f>
        <v/>
      </c>
      <c r="AH580" s="1" t="str">
        <f>IFERROR(__xludf.DUMMYFUNCTION("""COMPUTED_VALUE"""),"Media Monitoring")</f>
        <v>Media Monitoring</v>
      </c>
      <c r="AI580" s="2" t="str">
        <f>IFERROR(__xludf.DUMMYFUNCTION("""COMPUTED_VALUE"""),"https://epoch.ai/data/data-centers/satellite-explorer/GoogleOmahaNebraska?ref=404media.co")</f>
        <v>https://epoch.ai/data/data-centers/satellite-explorer/GoogleOmahaNebraska?ref=404media.co</v>
      </c>
      <c r="AJ580" s="1" t="str">
        <f>IFERROR(__xludf.DUMMYFUNCTION("""COMPUTED_VALUE"""),"")</f>
        <v/>
      </c>
      <c r="AK580" s="1" t="str">
        <f>IFERROR(__xludf.DUMMYFUNCTION("""COMPUTED_VALUE"""),"")</f>
        <v/>
      </c>
      <c r="AL580" s="1" t="str">
        <f>IFERROR(__xludf.DUMMYFUNCTION("""COMPUTED_VALUE"""),"")</f>
        <v/>
      </c>
      <c r="AM580" s="1" t="str">
        <f>IFERROR(__xludf.DUMMYFUNCTION("""COMPUTED_VALUE"""),"")</f>
        <v/>
      </c>
      <c r="AN580" s="1" t="str">
        <f>IFERROR(__xludf.DUMMYFUNCTION("""COMPUTED_VALUE"""),"")</f>
        <v/>
      </c>
      <c r="AO580" s="1" t="str">
        <f>IFERROR(__xludf.DUMMYFUNCTION("""COMPUTED_VALUE"""),"")</f>
        <v/>
      </c>
      <c r="AP580" s="1" t="str">
        <f>IFERROR(__xludf.DUMMYFUNCTION("""COMPUTED_VALUE"""),"")</f>
        <v/>
      </c>
      <c r="AQ580" s="1" t="str">
        <f>IFERROR(__xludf.DUMMYFUNCTION("""COMPUTED_VALUE"""),"01/01/2026")</f>
        <v>01/01/2026</v>
      </c>
      <c r="AR580" s="1" t="str">
        <f>IFERROR(__xludf.DUMMYFUNCTION("""COMPUTED_VALUE"""),"01/01/2026")</f>
        <v>01/01/2026</v>
      </c>
    </row>
    <row r="581">
      <c r="A581" s="1" t="str">
        <f>IFERROR(__xludf.DUMMYFUNCTION("""COMPUTED_VALUE"""),"TierPoint Midlands Data Center")</f>
        <v>TierPoint Midlands Data Center</v>
      </c>
      <c r="B581" s="1" t="str">
        <f>IFERROR(__xludf.DUMMYFUNCTION("""COMPUTED_VALUE"""),"11425 S 84th St")</f>
        <v>11425 S 84th St</v>
      </c>
      <c r="C581" s="1" t="str">
        <f>IFERROR(__xludf.DUMMYFUNCTION("""COMPUTED_VALUE"""),"Papillion")</f>
        <v>Papillion</v>
      </c>
      <c r="D581" s="1" t="str">
        <f>IFERROR(__xludf.DUMMYFUNCTION("""COMPUTED_VALUE"""),"NE")</f>
        <v>NE</v>
      </c>
      <c r="E581" s="1" t="str">
        <f>IFERROR(__xludf.DUMMYFUNCTION("""COMPUTED_VALUE"""),"68046")</f>
        <v>68046</v>
      </c>
      <c r="F581" s="1" t="str">
        <f>IFERROR(__xludf.DUMMYFUNCTION("""COMPUTED_VALUE"""),"Sarpy")</f>
        <v>Sarpy</v>
      </c>
      <c r="G581" s="1" t="str">
        <f>IFERROR(__xludf.DUMMYFUNCTION("""COMPUTED_VALUE"""),"41.13467")</f>
        <v>41.13467</v>
      </c>
      <c r="H581" s="1" t="str">
        <f>IFERROR(__xludf.DUMMYFUNCTION("""COMPUTED_VALUE"""),"-96.0391")</f>
        <v>-96.0391</v>
      </c>
      <c r="I581" s="1" t="str">
        <f>IFERROR(__xludf.DUMMYFUNCTION("""COMPUTED_VALUE"""),"Operating")</f>
        <v>Operating</v>
      </c>
      <c r="J581" s="1" t="str">
        <f>IFERROR(__xludf.DUMMYFUNCTION("""COMPUTED_VALUE"""),"High")</f>
        <v>High</v>
      </c>
      <c r="K581" s="1" t="str">
        <f>IFERROR(__xludf.DUMMYFUNCTION("""COMPUTED_VALUE"""),"")</f>
        <v/>
      </c>
      <c r="L581" s="1" t="str">
        <f>IFERROR(__xludf.DUMMYFUNCTION("""COMPUTED_VALUE"""),"")</f>
        <v/>
      </c>
      <c r="M581" s="1" t="str">
        <f>IFERROR(__xludf.DUMMYFUNCTION("""COMPUTED_VALUE"""),"")</f>
        <v/>
      </c>
      <c r="N581" s="1" t="str">
        <f>IFERROR(__xludf.DUMMYFUNCTION("""COMPUTED_VALUE"""),"")</f>
        <v/>
      </c>
      <c r="O581" s="1" t="str">
        <f>IFERROR(__xludf.DUMMYFUNCTION("""COMPUTED_VALUE"""),"Unknown")</f>
        <v>Unknown</v>
      </c>
      <c r="P581" s="1" t="str">
        <f>IFERROR(__xludf.DUMMYFUNCTION("""COMPUTED_VALUE"""),"")</f>
        <v/>
      </c>
      <c r="Q581" s="1" t="str">
        <f>IFERROR(__xludf.DUMMYFUNCTION("""COMPUTED_VALUE"""),"")</f>
        <v/>
      </c>
      <c r="R581" s="1" t="str">
        <f>IFERROR(__xludf.DUMMYFUNCTION("""COMPUTED_VALUE"""),"")</f>
        <v/>
      </c>
      <c r="S581" s="1" t="str">
        <f>IFERROR(__xludf.DUMMYFUNCTION("""COMPUTED_VALUE"""),"")</f>
        <v/>
      </c>
      <c r="T581" s="1" t="str">
        <f>IFERROR(__xludf.DUMMYFUNCTION("""COMPUTED_VALUE"""),"")</f>
        <v/>
      </c>
      <c r="U581" s="1" t="str">
        <f>IFERROR(__xludf.DUMMYFUNCTION("""COMPUTED_VALUE"""),"")</f>
        <v/>
      </c>
      <c r="V581" s="1" t="str">
        <f>IFERROR(__xludf.DUMMYFUNCTION("""COMPUTED_VALUE"""),"")</f>
        <v/>
      </c>
      <c r="W581" s="1" t="str">
        <f>IFERROR(__xludf.DUMMYFUNCTION("""COMPUTED_VALUE"""),"")</f>
        <v/>
      </c>
      <c r="X581" s="1" t="str">
        <f>IFERROR(__xludf.DUMMYFUNCTION("""COMPUTED_VALUE"""),"")</f>
        <v/>
      </c>
      <c r="Y581" s="1" t="str">
        <f>IFERROR(__xludf.DUMMYFUNCTION("""COMPUTED_VALUE"""),"")</f>
        <v/>
      </c>
      <c r="Z581" s="1" t="str">
        <f>IFERROR(__xludf.DUMMYFUNCTION("""COMPUTED_VALUE"""),"Unknown")</f>
        <v>Unknown</v>
      </c>
      <c r="AA581" s="1" t="str">
        <f>IFERROR(__xludf.DUMMYFUNCTION("""COMPUTED_VALUE"""),"")</f>
        <v/>
      </c>
      <c r="AB581" s="1" t="str">
        <f>IFERROR(__xludf.DUMMYFUNCTION("""COMPUTED_VALUE"""),"")</f>
        <v/>
      </c>
      <c r="AC581" s="1" t="str">
        <f>IFERROR(__xludf.DUMMYFUNCTION("""COMPUTED_VALUE"""),"")</f>
        <v/>
      </c>
      <c r="AD581" s="1" t="str">
        <f>IFERROR(__xludf.DUMMYFUNCTION("""COMPUTED_VALUE"""),"")</f>
        <v/>
      </c>
      <c r="AE581" s="1" t="str">
        <f>IFERROR(__xludf.DUMMYFUNCTION("""COMPUTED_VALUE"""),"")</f>
        <v/>
      </c>
      <c r="AF581" s="1" t="str">
        <f>IFERROR(__xludf.DUMMYFUNCTION("""COMPUTED_VALUE"""),"")</f>
        <v/>
      </c>
      <c r="AG581" s="1" t="str">
        <f>IFERROR(__xludf.DUMMYFUNCTION("""COMPUTED_VALUE"""),"")</f>
        <v/>
      </c>
      <c r="AH581" s="1" t="str">
        <f>IFERROR(__xludf.DUMMYFUNCTION("""COMPUTED_VALUE"""),"Media Monitoring")</f>
        <v>Media Monitoring</v>
      </c>
      <c r="AI581" s="1" t="str">
        <f>IFERROR(__xludf.DUMMYFUNCTION("""COMPUTED_VALUE"""),"")</f>
        <v/>
      </c>
      <c r="AJ581" s="1" t="str">
        <f>IFERROR(__xludf.DUMMYFUNCTION("""COMPUTED_VALUE"""),"")</f>
        <v/>
      </c>
      <c r="AK581" s="1" t="str">
        <f>IFERROR(__xludf.DUMMYFUNCTION("""COMPUTED_VALUE"""),"")</f>
        <v/>
      </c>
      <c r="AL581" s="1" t="str">
        <f>IFERROR(__xludf.DUMMYFUNCTION("""COMPUTED_VALUE"""),"")</f>
        <v/>
      </c>
      <c r="AM581" s="1" t="str">
        <f>IFERROR(__xludf.DUMMYFUNCTION("""COMPUTED_VALUE"""),"")</f>
        <v/>
      </c>
      <c r="AN581" s="1" t="str">
        <f>IFERROR(__xludf.DUMMYFUNCTION("""COMPUTED_VALUE"""),"")</f>
        <v/>
      </c>
      <c r="AO581" s="1" t="str">
        <f>IFERROR(__xludf.DUMMYFUNCTION("""COMPUTED_VALUE"""),"")</f>
        <v/>
      </c>
      <c r="AP581" s="1" t="str">
        <f>IFERROR(__xludf.DUMMYFUNCTION("""COMPUTED_VALUE"""),"")</f>
        <v/>
      </c>
      <c r="AQ581" s="1" t="str">
        <f>IFERROR(__xludf.DUMMYFUNCTION("""COMPUTED_VALUE"""),"08/14/2025")</f>
        <v>08/14/2025</v>
      </c>
      <c r="AR581" s="1" t="str">
        <f>IFERROR(__xludf.DUMMYFUNCTION("""COMPUTED_VALUE"""),"08/14/2025")</f>
        <v>08/14/2025</v>
      </c>
    </row>
    <row r="582">
      <c r="A582" s="1" t="str">
        <f>IFERROR(__xludf.DUMMYFUNCTION("""COMPUTED_VALUE"""),"Meta Data Center")</f>
        <v>Meta Data Center</v>
      </c>
      <c r="B582" s="1" t="str">
        <f>IFERROR(__xludf.DUMMYFUNCTION("""COMPUTED_VALUE"""),"14734 Friend Plz")</f>
        <v>14734 Friend Plz</v>
      </c>
      <c r="C582" s="1" t="str">
        <f>IFERROR(__xludf.DUMMYFUNCTION("""COMPUTED_VALUE"""),"Springfield")</f>
        <v>Springfield</v>
      </c>
      <c r="D582" s="1" t="str">
        <f>IFERROR(__xludf.DUMMYFUNCTION("""COMPUTED_VALUE"""),"NE")</f>
        <v>NE</v>
      </c>
      <c r="E582" s="1" t="str">
        <f>IFERROR(__xludf.DUMMYFUNCTION("""COMPUTED_VALUE"""),"68059")</f>
        <v>68059</v>
      </c>
      <c r="F582" s="1" t="str">
        <f>IFERROR(__xludf.DUMMYFUNCTION("""COMPUTED_VALUE"""),"Sarpy")</f>
        <v>Sarpy</v>
      </c>
      <c r="G582" s="1" t="str">
        <f>IFERROR(__xludf.DUMMYFUNCTION("""COMPUTED_VALUE"""),"41.11734")</f>
        <v>41.11734</v>
      </c>
      <c r="H582" s="1" t="str">
        <f>IFERROR(__xludf.DUMMYFUNCTION("""COMPUTED_VALUE"""),"-96.1425")</f>
        <v>-96.1425</v>
      </c>
      <c r="I582" s="1" t="str">
        <f>IFERROR(__xludf.DUMMYFUNCTION("""COMPUTED_VALUE"""),"Operating")</f>
        <v>Operating</v>
      </c>
      <c r="J582" s="1" t="str">
        <f>IFERROR(__xludf.DUMMYFUNCTION("""COMPUTED_VALUE"""),"High")</f>
        <v>High</v>
      </c>
      <c r="K582" s="1" t="str">
        <f>IFERROR(__xludf.DUMMYFUNCTION("""COMPUTED_VALUE"""),"")</f>
        <v/>
      </c>
      <c r="L582" s="1" t="str">
        <f>IFERROR(__xludf.DUMMYFUNCTION("""COMPUTED_VALUE"""),"Meta")</f>
        <v>Meta</v>
      </c>
      <c r="M582" s="1" t="str">
        <f>IFERROR(__xludf.DUMMYFUNCTION("""COMPUTED_VALUE"""),"")</f>
        <v/>
      </c>
      <c r="N582" s="1" t="str">
        <f>IFERROR(__xludf.DUMMYFUNCTION("""COMPUTED_VALUE"""),"")</f>
        <v/>
      </c>
      <c r="O582" s="1" t="str">
        <f>IFERROR(__xludf.DUMMYFUNCTION("""COMPUTED_VALUE"""),"Unknown")</f>
        <v>Unknown</v>
      </c>
      <c r="P582" s="1" t="str">
        <f>IFERROR(__xludf.DUMMYFUNCTION("""COMPUTED_VALUE"""),"")</f>
        <v/>
      </c>
      <c r="Q582" s="1" t="str">
        <f>IFERROR(__xludf.DUMMYFUNCTION("""COMPUTED_VALUE"""),"")</f>
        <v/>
      </c>
      <c r="R582" s="1" t="str">
        <f>IFERROR(__xludf.DUMMYFUNCTION("""COMPUTED_VALUE"""),"")</f>
        <v/>
      </c>
      <c r="S582" s="1" t="str">
        <f>IFERROR(__xludf.DUMMYFUNCTION("""COMPUTED_VALUE"""),"")</f>
        <v/>
      </c>
      <c r="T582" s="1" t="str">
        <f>IFERROR(__xludf.DUMMYFUNCTION("""COMPUTED_VALUE"""),"")</f>
        <v/>
      </c>
      <c r="U582" s="1" t="str">
        <f>IFERROR(__xludf.DUMMYFUNCTION("""COMPUTED_VALUE"""),"")</f>
        <v/>
      </c>
      <c r="V582" s="1" t="str">
        <f>IFERROR(__xludf.DUMMYFUNCTION("""COMPUTED_VALUE"""),"")</f>
        <v/>
      </c>
      <c r="W582" s="1" t="str">
        <f>IFERROR(__xludf.DUMMYFUNCTION("""COMPUTED_VALUE"""),"")</f>
        <v/>
      </c>
      <c r="X582" s="1" t="str">
        <f>IFERROR(__xludf.DUMMYFUNCTION("""COMPUTED_VALUE"""),"")</f>
        <v/>
      </c>
      <c r="Y582" s="1" t="str">
        <f>IFERROR(__xludf.DUMMYFUNCTION("""COMPUTED_VALUE"""),"")</f>
        <v/>
      </c>
      <c r="Z582" s="1" t="str">
        <f>IFERROR(__xludf.DUMMYFUNCTION("""COMPUTED_VALUE"""),"Unknown")</f>
        <v>Unknown</v>
      </c>
      <c r="AA582" s="1" t="str">
        <f>IFERROR(__xludf.DUMMYFUNCTION("""COMPUTED_VALUE"""),"")</f>
        <v/>
      </c>
      <c r="AB582" s="1" t="str">
        <f>IFERROR(__xludf.DUMMYFUNCTION("""COMPUTED_VALUE"""),"")</f>
        <v/>
      </c>
      <c r="AC582" s="1" t="str">
        <f>IFERROR(__xludf.DUMMYFUNCTION("""COMPUTED_VALUE"""),"")</f>
        <v/>
      </c>
      <c r="AD582" s="1" t="str">
        <f>IFERROR(__xludf.DUMMYFUNCTION("""COMPUTED_VALUE"""),"")</f>
        <v/>
      </c>
      <c r="AE582" s="1" t="str">
        <f>IFERROR(__xludf.DUMMYFUNCTION("""COMPUTED_VALUE"""),"")</f>
        <v/>
      </c>
      <c r="AF582" s="1" t="str">
        <f>IFERROR(__xludf.DUMMYFUNCTION("""COMPUTED_VALUE"""),"")</f>
        <v/>
      </c>
      <c r="AG582" s="1" t="str">
        <f>IFERROR(__xludf.DUMMYFUNCTION("""COMPUTED_VALUE"""),"")</f>
        <v/>
      </c>
      <c r="AH582" s="1" t="str">
        <f>IFERROR(__xludf.DUMMYFUNCTION("""COMPUTED_VALUE"""),"Media Monitoring")</f>
        <v>Media Monitoring</v>
      </c>
      <c r="AI582" s="1" t="str">
        <f>IFERROR(__xludf.DUMMYFUNCTION("""COMPUTED_VALUE"""),"")</f>
        <v/>
      </c>
      <c r="AJ582" s="1" t="str">
        <f>IFERROR(__xludf.DUMMYFUNCTION("""COMPUTED_VALUE"""),"")</f>
        <v/>
      </c>
      <c r="AK582" s="1" t="str">
        <f>IFERROR(__xludf.DUMMYFUNCTION("""COMPUTED_VALUE"""),"")</f>
        <v/>
      </c>
      <c r="AL582" s="1" t="str">
        <f>IFERROR(__xludf.DUMMYFUNCTION("""COMPUTED_VALUE"""),"")</f>
        <v/>
      </c>
      <c r="AM582" s="1" t="str">
        <f>IFERROR(__xludf.DUMMYFUNCTION("""COMPUTED_VALUE"""),"")</f>
        <v/>
      </c>
      <c r="AN582" s="1" t="str">
        <f>IFERROR(__xludf.DUMMYFUNCTION("""COMPUTED_VALUE"""),"")</f>
        <v/>
      </c>
      <c r="AO582" s="1" t="str">
        <f>IFERROR(__xludf.DUMMYFUNCTION("""COMPUTED_VALUE"""),"")</f>
        <v/>
      </c>
      <c r="AP582" s="1" t="str">
        <f>IFERROR(__xludf.DUMMYFUNCTION("""COMPUTED_VALUE"""),"")</f>
        <v/>
      </c>
      <c r="AQ582" s="1" t="str">
        <f>IFERROR(__xludf.DUMMYFUNCTION("""COMPUTED_VALUE"""),"08/14/2025")</f>
        <v>08/14/2025</v>
      </c>
      <c r="AR582" s="1" t="str">
        <f>IFERROR(__xludf.DUMMYFUNCTION("""COMPUTED_VALUE"""),"08/14/2025")</f>
        <v>08/14/2025</v>
      </c>
    </row>
    <row r="583">
      <c r="A583" s="1" t="str">
        <f>IFERROR(__xludf.DUMMYFUNCTION("""COMPUTED_VALUE"""),"First Light Data Center")</f>
        <v>First Light Data Center</v>
      </c>
      <c r="B583" s="1" t="str">
        <f>IFERROR(__xludf.DUMMYFUNCTION("""COMPUTED_VALUE"""),"8 Commerce Dr")</f>
        <v>8 Commerce Dr</v>
      </c>
      <c r="C583" s="1" t="str">
        <f>IFERROR(__xludf.DUMMYFUNCTION("""COMPUTED_VALUE"""),"Bedford")</f>
        <v>Bedford</v>
      </c>
      <c r="D583" s="1" t="str">
        <f>IFERROR(__xludf.DUMMYFUNCTION("""COMPUTED_VALUE"""),"NH")</f>
        <v>NH</v>
      </c>
      <c r="E583" s="1" t="str">
        <f>IFERROR(__xludf.DUMMYFUNCTION("""COMPUTED_VALUE"""),"03110")</f>
        <v>03110</v>
      </c>
      <c r="F583" s="1" t="str">
        <f>IFERROR(__xludf.DUMMYFUNCTION("""COMPUTED_VALUE"""),"Hillsborough")</f>
        <v>Hillsborough</v>
      </c>
      <c r="G583" s="1" t="str">
        <f>IFERROR(__xludf.DUMMYFUNCTION("""COMPUTED_VALUE"""),"42.928246")</f>
        <v>42.928246</v>
      </c>
      <c r="H583" s="1" t="str">
        <f>IFERROR(__xludf.DUMMYFUNCTION("""COMPUTED_VALUE"""),"-71.46393")</f>
        <v>-71.46393</v>
      </c>
      <c r="I583" s="1" t="str">
        <f>IFERROR(__xludf.DUMMYFUNCTION("""COMPUTED_VALUE"""),"Operating")</f>
        <v>Operating</v>
      </c>
      <c r="J583" s="1" t="str">
        <f>IFERROR(__xludf.DUMMYFUNCTION("""COMPUTED_VALUE"""),"High")</f>
        <v>High</v>
      </c>
      <c r="K583" s="1" t="str">
        <f>IFERROR(__xludf.DUMMYFUNCTION("""COMPUTED_VALUE"""),"")</f>
        <v/>
      </c>
      <c r="L583" s="1" t="str">
        <f>IFERROR(__xludf.DUMMYFUNCTION("""COMPUTED_VALUE"""),"")</f>
        <v/>
      </c>
      <c r="M583" s="1" t="str">
        <f>IFERROR(__xludf.DUMMYFUNCTION("""COMPUTED_VALUE"""),"")</f>
        <v/>
      </c>
      <c r="N583" s="1" t="str">
        <f>IFERROR(__xludf.DUMMYFUNCTION("""COMPUTED_VALUE"""),"")</f>
        <v/>
      </c>
      <c r="O583" s="1" t="str">
        <f>IFERROR(__xludf.DUMMYFUNCTION("""COMPUTED_VALUE"""),"Small (0-10 MW)")</f>
        <v>Small (0-10 MW)</v>
      </c>
      <c r="P583" s="1" t="str">
        <f>IFERROR(__xludf.DUMMYFUNCTION("""COMPUTED_VALUE"""),"")</f>
        <v/>
      </c>
      <c r="Q583" s="1" t="str">
        <f>IFERROR(__xludf.DUMMYFUNCTION("""COMPUTED_VALUE"""),"")</f>
        <v/>
      </c>
      <c r="R583" s="1" t="str">
        <f>IFERROR(__xludf.DUMMYFUNCTION("""COMPUTED_VALUE"""),"")</f>
        <v/>
      </c>
      <c r="S583" s="1" t="str">
        <f>IFERROR(__xludf.DUMMYFUNCTION("""COMPUTED_VALUE"""),"")</f>
        <v/>
      </c>
      <c r="T583" s="1" t="str">
        <f>IFERROR(__xludf.DUMMYFUNCTION("""COMPUTED_VALUE"""),"")</f>
        <v/>
      </c>
      <c r="U583" s="1" t="str">
        <f>IFERROR(__xludf.DUMMYFUNCTION("""COMPUTED_VALUE"""),"")</f>
        <v/>
      </c>
      <c r="V583" s="1" t="str">
        <f>IFERROR(__xludf.DUMMYFUNCTION("""COMPUTED_VALUE"""),"7,250")</f>
        <v>7,250</v>
      </c>
      <c r="W583" s="1" t="str">
        <f>IFERROR(__xludf.DUMMYFUNCTION("""COMPUTED_VALUE"""),"")</f>
        <v/>
      </c>
      <c r="X583" s="1" t="str">
        <f>IFERROR(__xludf.DUMMYFUNCTION("""COMPUTED_VALUE"""),"")</f>
        <v/>
      </c>
      <c r="Y583" s="1" t="str">
        <f>IFERROR(__xludf.DUMMYFUNCTION("""COMPUTED_VALUE"""),"")</f>
        <v/>
      </c>
      <c r="Z583" s="1" t="str">
        <f>IFERROR(__xludf.DUMMYFUNCTION("""COMPUTED_VALUE"""),"Unknown")</f>
        <v>Unknown</v>
      </c>
      <c r="AA583" s="1" t="str">
        <f>IFERROR(__xludf.DUMMYFUNCTION("""COMPUTED_VALUE"""),"")</f>
        <v/>
      </c>
      <c r="AB583" s="1" t="str">
        <f>IFERROR(__xludf.DUMMYFUNCTION("""COMPUTED_VALUE"""),"")</f>
        <v/>
      </c>
      <c r="AC583" s="1" t="str">
        <f>IFERROR(__xludf.DUMMYFUNCTION("""COMPUTED_VALUE"""),"")</f>
        <v/>
      </c>
      <c r="AD583" s="1" t="str">
        <f>IFERROR(__xludf.DUMMYFUNCTION("""COMPUTED_VALUE"""),"")</f>
        <v/>
      </c>
      <c r="AE583" s="1" t="str">
        <f>IFERROR(__xludf.DUMMYFUNCTION("""COMPUTED_VALUE"""),"")</f>
        <v/>
      </c>
      <c r="AF583" s="1" t="str">
        <f>IFERROR(__xludf.DUMMYFUNCTION("""COMPUTED_VALUE"""),"")</f>
        <v/>
      </c>
      <c r="AG583" s="1" t="str">
        <f>IFERROR(__xludf.DUMMYFUNCTION("""COMPUTED_VALUE"""),"")</f>
        <v/>
      </c>
      <c r="AH583" s="1" t="str">
        <f>IFERROR(__xludf.DUMMYFUNCTION("""COMPUTED_VALUE"""),"Media Monitoring")</f>
        <v>Media Monitoring</v>
      </c>
      <c r="AI583" s="2" t="str">
        <f>IFERROR(__xludf.DUMMYFUNCTION("""COMPUTED_VALUE"""),"https://www.datacenterdynamics.com/en/news/firstlight-expands-new-hampshire-data-center/")</f>
        <v>https://www.datacenterdynamics.com/en/news/firstlight-expands-new-hampshire-data-center/</v>
      </c>
      <c r="AJ583" s="1" t="str">
        <f>IFERROR(__xludf.DUMMYFUNCTION("""COMPUTED_VALUE"""),"")</f>
        <v/>
      </c>
      <c r="AK583" s="1" t="str">
        <f>IFERROR(__xludf.DUMMYFUNCTION("""COMPUTED_VALUE"""),"")</f>
        <v/>
      </c>
      <c r="AL583" s="1" t="str">
        <f>IFERROR(__xludf.DUMMYFUNCTION("""COMPUTED_VALUE"""),"")</f>
        <v/>
      </c>
      <c r="AM583" s="1" t="str">
        <f>IFERROR(__xludf.DUMMYFUNCTION("""COMPUTED_VALUE"""),"")</f>
        <v/>
      </c>
      <c r="AN583" s="1" t="str">
        <f>IFERROR(__xludf.DUMMYFUNCTION("""COMPUTED_VALUE"""),"")</f>
        <v/>
      </c>
      <c r="AO583" s="1" t="str">
        <f>IFERROR(__xludf.DUMMYFUNCTION("""COMPUTED_VALUE"""),"")</f>
        <v/>
      </c>
      <c r="AP583" s="1" t="str">
        <f>IFERROR(__xludf.DUMMYFUNCTION("""COMPUTED_VALUE"""),"")</f>
        <v/>
      </c>
      <c r="AQ583" s="1" t="str">
        <f>IFERROR(__xludf.DUMMYFUNCTION("""COMPUTED_VALUE"""),"03/19/2026")</f>
        <v>03/19/2026</v>
      </c>
      <c r="AR583" s="1" t="str">
        <f>IFERROR(__xludf.DUMMYFUNCTION("""COMPUTED_VALUE"""),"03/19/2026")</f>
        <v>03/19/2026</v>
      </c>
    </row>
    <row r="584">
      <c r="A584" s="1" t="str">
        <f>IFERROR(__xludf.DUMMYFUNCTION("""COMPUTED_VALUE"""),"Nottingham Data Center")</f>
        <v>Nottingham Data Center</v>
      </c>
      <c r="B584" s="1" t="str">
        <f>IFERROR(__xludf.DUMMYFUNCTION("""COMPUTED_VALUE"""),"145 Old Turnpike Rd")</f>
        <v>145 Old Turnpike Rd</v>
      </c>
      <c r="C584" s="1" t="str">
        <f>IFERROR(__xludf.DUMMYFUNCTION("""COMPUTED_VALUE"""),"Nottingham")</f>
        <v>Nottingham</v>
      </c>
      <c r="D584" s="1" t="str">
        <f>IFERROR(__xludf.DUMMYFUNCTION("""COMPUTED_VALUE"""),"NH")</f>
        <v>NH</v>
      </c>
      <c r="E584" s="1" t="str">
        <f>IFERROR(__xludf.DUMMYFUNCTION("""COMPUTED_VALUE"""),"03290")</f>
        <v>03290</v>
      </c>
      <c r="F584" s="1" t="str">
        <f>IFERROR(__xludf.DUMMYFUNCTION("""COMPUTED_VALUE"""),"Rockingham")</f>
        <v>Rockingham</v>
      </c>
      <c r="G584" s="1" t="str">
        <f>IFERROR(__xludf.DUMMYFUNCTION("""COMPUTED_VALUE"""),"43.17961")</f>
        <v>43.17961</v>
      </c>
      <c r="H584" s="1" t="str">
        <f>IFERROR(__xludf.DUMMYFUNCTION("""COMPUTED_VALUE"""),"-71.10022")</f>
        <v>-71.10022</v>
      </c>
      <c r="I584" s="1" t="str">
        <f>IFERROR(__xludf.DUMMYFUNCTION("""COMPUTED_VALUE"""),"Suspended")</f>
        <v>Suspended</v>
      </c>
      <c r="J584" s="1" t="str">
        <f>IFERROR(__xludf.DUMMYFUNCTION("""COMPUTED_VALUE"""),"High")</f>
        <v>High</v>
      </c>
      <c r="K584" s="1" t="str">
        <f>IFERROR(__xludf.DUMMYFUNCTION("""COMPUTED_VALUE"""),"")</f>
        <v/>
      </c>
      <c r="L584" s="1" t="str">
        <f>IFERROR(__xludf.DUMMYFUNCTION("""COMPUTED_VALUE"""),"")</f>
        <v/>
      </c>
      <c r="M584" s="1" t="str">
        <f>IFERROR(__xludf.DUMMYFUNCTION("""COMPUTED_VALUE"""),"")</f>
        <v/>
      </c>
      <c r="N584" s="1" t="str">
        <f>IFERROR(__xludf.DUMMYFUNCTION("""COMPUTED_VALUE"""),"")</f>
        <v/>
      </c>
      <c r="O584" s="1" t="str">
        <f>IFERROR(__xludf.DUMMYFUNCTION("""COMPUTED_VALUE"""),"Unknown")</f>
        <v>Unknown</v>
      </c>
      <c r="P584" s="1" t="str">
        <f>IFERROR(__xludf.DUMMYFUNCTION("""COMPUTED_VALUE"""),"Grid (unspecified mix)")</f>
        <v>Grid (unspecified mix)</v>
      </c>
      <c r="Q584" s="1" t="str">
        <f>IFERROR(__xludf.DUMMYFUNCTION("""COMPUTED_VALUE"""),"")</f>
        <v/>
      </c>
      <c r="R584" s="1" t="str">
        <f>IFERROR(__xludf.DUMMYFUNCTION("""COMPUTED_VALUE"""),"")</f>
        <v/>
      </c>
      <c r="S584" s="1" t="str">
        <f>IFERROR(__xludf.DUMMYFUNCTION("""COMPUTED_VALUE"""),"")</f>
        <v/>
      </c>
      <c r="T584" s="1" t="str">
        <f>IFERROR(__xludf.DUMMYFUNCTION("""COMPUTED_VALUE"""),"")</f>
        <v/>
      </c>
      <c r="U584" s="1" t="str">
        <f>IFERROR(__xludf.DUMMYFUNCTION("""COMPUTED_VALUE"""),"")</f>
        <v/>
      </c>
      <c r="V584" s="1" t="str">
        <f>IFERROR(__xludf.DUMMYFUNCTION("""COMPUTED_VALUE"""),"")</f>
        <v/>
      </c>
      <c r="W584" s="1" t="str">
        <f>IFERROR(__xludf.DUMMYFUNCTION("""COMPUTED_VALUE"""),"40")</f>
        <v>40</v>
      </c>
      <c r="X584" s="1" t="str">
        <f>IFERROR(__xludf.DUMMYFUNCTION("""COMPUTED_VALUE"""),"")</f>
        <v/>
      </c>
      <c r="Y584" s="1" t="str">
        <f>IFERROR(__xludf.DUMMYFUNCTION("""COMPUTED_VALUE"""),"")</f>
        <v/>
      </c>
      <c r="Z584" s="1" t="str">
        <f>IFERROR(__xludf.DUMMYFUNCTION("""COMPUTED_VALUE"""),"Yes")</f>
        <v>Yes</v>
      </c>
      <c r="AA584" s="1" t="str">
        <f>IFERROR(__xludf.DUMMYFUNCTION("""COMPUTED_VALUE"""),"")</f>
        <v/>
      </c>
      <c r="AB584" s="1" t="str">
        <f>IFERROR(__xludf.DUMMYFUNCTION("""COMPUTED_VALUE"""),"Organized Advocacy")</f>
        <v>Organized Advocacy</v>
      </c>
      <c r="AC584" s="1" t="str">
        <f>IFERROR(__xludf.DUMMYFUNCTION("""COMPUTED_VALUE"""),"")</f>
        <v/>
      </c>
      <c r="AD584" s="1" t="str">
        <f>IFERROR(__xludf.DUMMYFUNCTION("""COMPUTED_VALUE"""),"")</f>
        <v/>
      </c>
      <c r="AE584" s="1" t="str">
        <f>IFERROR(__xludf.DUMMYFUNCTION("""COMPUTED_VALUE"""),"")</f>
        <v/>
      </c>
      <c r="AF584" s="2" t="str">
        <f>IFERROR(__xludf.DUMMYFUNCTION("""COMPUTED_VALUE"""),"https://www.change.org/p/stop-the-proposed-nottingham-nh-data-center")</f>
        <v>https://www.change.org/p/stop-the-proposed-nottingham-nh-data-center</v>
      </c>
      <c r="AG584" s="1" t="str">
        <f>IFERROR(__xludf.DUMMYFUNCTION("""COMPUTED_VALUE"""),"")</f>
        <v/>
      </c>
      <c r="AH584" s="1" t="str">
        <f>IFERROR(__xludf.DUMMYFUNCTION("""COMPUTED_VALUE"""),"Media Monitoring")</f>
        <v>Media Monitoring</v>
      </c>
      <c r="AI584" s="2" t="str">
        <f>IFERROR(__xludf.DUMMYFUNCTION("""COMPUTED_VALUE"""),"https://www.datacenterdynamics.com/en/news/proposal-for-data-center-in-nottingham-new-hampshire-withdrawn-after-facing-intense-opposition/")</f>
        <v>https://www.datacenterdynamics.com/en/news/proposal-for-data-center-in-nottingham-new-hampshire-withdrawn-after-facing-intense-opposition/</v>
      </c>
      <c r="AJ584" s="1" t="str">
        <f>IFERROR(__xludf.DUMMYFUNCTION("""COMPUTED_VALUE"""),"")</f>
        <v/>
      </c>
      <c r="AK584" s="1" t="str">
        <f>IFERROR(__xludf.DUMMYFUNCTION("""COMPUTED_VALUE"""),"")</f>
        <v/>
      </c>
      <c r="AL584" s="1" t="str">
        <f>IFERROR(__xludf.DUMMYFUNCTION("""COMPUTED_VALUE"""),"")</f>
        <v/>
      </c>
      <c r="AM584" s="1" t="str">
        <f>IFERROR(__xludf.DUMMYFUNCTION("""COMPUTED_VALUE"""),"")</f>
        <v/>
      </c>
      <c r="AN584" s="1" t="str">
        <f>IFERROR(__xludf.DUMMYFUNCTION("""COMPUTED_VALUE"""),"")</f>
        <v/>
      </c>
      <c r="AO584" s="1" t="str">
        <f>IFERROR(__xludf.DUMMYFUNCTION("""COMPUTED_VALUE"""),"")</f>
        <v/>
      </c>
      <c r="AP584" s="1" t="str">
        <f>IFERROR(__xludf.DUMMYFUNCTION("""COMPUTED_VALUE"""),"")</f>
        <v/>
      </c>
      <c r="AQ584" s="1" t="str">
        <f>IFERROR(__xludf.DUMMYFUNCTION("""COMPUTED_VALUE"""),"06/07/2026")</f>
        <v>06/07/2026</v>
      </c>
      <c r="AR584" s="1" t="str">
        <f>IFERROR(__xludf.DUMMYFUNCTION("""COMPUTED_VALUE"""),"06/07/2026")</f>
        <v>06/07/2026</v>
      </c>
    </row>
    <row r="585">
      <c r="A585" s="1" t="str">
        <f>IFERROR(__xludf.DUMMYFUNCTION("""COMPUTED_VALUE"""),"Comcast Data Center")</f>
        <v>Comcast Data Center</v>
      </c>
      <c r="B585" s="1" t="str">
        <f>IFERROR(__xludf.DUMMYFUNCTION("""COMPUTED_VALUE"""),"92 W Main St")</f>
        <v>92 W Main St</v>
      </c>
      <c r="C585" s="1" t="str">
        <f>IFERROR(__xludf.DUMMYFUNCTION("""COMPUTED_VALUE"""),"Clinton")</f>
        <v>Clinton</v>
      </c>
      <c r="D585" s="1" t="str">
        <f>IFERROR(__xludf.DUMMYFUNCTION("""COMPUTED_VALUE"""),"NJ")</f>
        <v>NJ</v>
      </c>
      <c r="E585" s="1" t="str">
        <f>IFERROR(__xludf.DUMMYFUNCTION("""COMPUTED_VALUE"""),"08809")</f>
        <v>08809</v>
      </c>
      <c r="F585" s="1" t="str">
        <f>IFERROR(__xludf.DUMMYFUNCTION("""COMPUTED_VALUE"""),"Hunterdon")</f>
        <v>Hunterdon</v>
      </c>
      <c r="G585" s="1" t="str">
        <f>IFERROR(__xludf.DUMMYFUNCTION("""COMPUTED_VALUE"""),"40.63284")</f>
        <v>40.63284</v>
      </c>
      <c r="H585" s="1" t="str">
        <f>IFERROR(__xludf.DUMMYFUNCTION("""COMPUTED_VALUE"""),"-74.9191")</f>
        <v>-74.9191</v>
      </c>
      <c r="I585" s="1" t="str">
        <f>IFERROR(__xludf.DUMMYFUNCTION("""COMPUTED_VALUE"""),"Proposed")</f>
        <v>Proposed</v>
      </c>
      <c r="J585" s="1" t="str">
        <f>IFERROR(__xludf.DUMMYFUNCTION("""COMPUTED_VALUE"""),"High")</f>
        <v>High</v>
      </c>
      <c r="K585" s="1" t="str">
        <f>IFERROR(__xludf.DUMMYFUNCTION("""COMPUTED_VALUE"""),"")</f>
        <v/>
      </c>
      <c r="L585" s="1" t="str">
        <f>IFERROR(__xludf.DUMMYFUNCTION("""COMPUTED_VALUE"""),"")</f>
        <v/>
      </c>
      <c r="M585" s="1" t="str">
        <f>IFERROR(__xludf.DUMMYFUNCTION("""COMPUTED_VALUE"""),"")</f>
        <v/>
      </c>
      <c r="N585" s="1" t="str">
        <f>IFERROR(__xludf.DUMMYFUNCTION("""COMPUTED_VALUE"""),"")</f>
        <v/>
      </c>
      <c r="O585" s="1" t="str">
        <f>IFERROR(__xludf.DUMMYFUNCTION("""COMPUTED_VALUE"""),"Unknown")</f>
        <v>Unknown</v>
      </c>
      <c r="P585" s="1" t="str">
        <f>IFERROR(__xludf.DUMMYFUNCTION("""COMPUTED_VALUE"""),"")</f>
        <v/>
      </c>
      <c r="Q585" s="1" t="str">
        <f>IFERROR(__xludf.DUMMYFUNCTION("""COMPUTED_VALUE"""),"")</f>
        <v/>
      </c>
      <c r="R585" s="1" t="str">
        <f>IFERROR(__xludf.DUMMYFUNCTION("""COMPUTED_VALUE"""),"")</f>
        <v/>
      </c>
      <c r="S585" s="1" t="str">
        <f>IFERROR(__xludf.DUMMYFUNCTION("""COMPUTED_VALUE"""),"")</f>
        <v/>
      </c>
      <c r="T585" s="1" t="str">
        <f>IFERROR(__xludf.DUMMYFUNCTION("""COMPUTED_VALUE"""),"")</f>
        <v/>
      </c>
      <c r="U585" s="1" t="str">
        <f>IFERROR(__xludf.DUMMYFUNCTION("""COMPUTED_VALUE"""),"")</f>
        <v/>
      </c>
      <c r="V585" s="1" t="str">
        <f>IFERROR(__xludf.DUMMYFUNCTION("""COMPUTED_VALUE"""),"2,170")</f>
        <v>2,170</v>
      </c>
      <c r="W585" s="1" t="str">
        <f>IFERROR(__xludf.DUMMYFUNCTION("""COMPUTED_VALUE"""),"")</f>
        <v/>
      </c>
      <c r="X585" s="1" t="str">
        <f>IFERROR(__xludf.DUMMYFUNCTION("""COMPUTED_VALUE"""),"")</f>
        <v/>
      </c>
      <c r="Y585" s="1" t="str">
        <f>IFERROR(__xludf.DUMMYFUNCTION("""COMPUTED_VALUE"""),"")</f>
        <v/>
      </c>
      <c r="Z585" s="1" t="str">
        <f>IFERROR(__xludf.DUMMYFUNCTION("""COMPUTED_VALUE"""),"Unknown")</f>
        <v>Unknown</v>
      </c>
      <c r="AA585" s="1" t="str">
        <f>IFERROR(__xludf.DUMMYFUNCTION("""COMPUTED_VALUE"""),"")</f>
        <v/>
      </c>
      <c r="AB585" s="1" t="str">
        <f>IFERROR(__xludf.DUMMYFUNCTION("""COMPUTED_VALUE"""),"")</f>
        <v/>
      </c>
      <c r="AC585" s="1" t="str">
        <f>IFERROR(__xludf.DUMMYFUNCTION("""COMPUTED_VALUE"""),"")</f>
        <v/>
      </c>
      <c r="AD585" s="1" t="str">
        <f>IFERROR(__xludf.DUMMYFUNCTION("""COMPUTED_VALUE"""),"")</f>
        <v/>
      </c>
      <c r="AE585" s="1" t="str">
        <f>IFERROR(__xludf.DUMMYFUNCTION("""COMPUTED_VALUE"""),"")</f>
        <v/>
      </c>
      <c r="AF585" s="1" t="str">
        <f>IFERROR(__xludf.DUMMYFUNCTION("""COMPUTED_VALUE"""),"")</f>
        <v/>
      </c>
      <c r="AG585" s="1" t="str">
        <f>IFERROR(__xludf.DUMMYFUNCTION("""COMPUTED_VALUE"""),"")</f>
        <v/>
      </c>
      <c r="AH585" s="1" t="str">
        <f>IFERROR(__xludf.DUMMYFUNCTION("""COMPUTED_VALUE"""),"Media Monitoring")</f>
        <v>Media Monitoring</v>
      </c>
      <c r="AI585" s="2" t="str">
        <f>IFERROR(__xludf.DUMMYFUNCTION("""COMPUTED_VALUE"""),"https://www.datacenterdynamics.com/en/news/comcast-to-convert-former-bank-into-data-center-in-new-jersey/")</f>
        <v>https://www.datacenterdynamics.com/en/news/comcast-to-convert-former-bank-into-data-center-in-new-jersey/</v>
      </c>
      <c r="AJ585" s="1" t="str">
        <f>IFERROR(__xludf.DUMMYFUNCTION("""COMPUTED_VALUE"""),"")</f>
        <v/>
      </c>
      <c r="AK585" s="1" t="str">
        <f>IFERROR(__xludf.DUMMYFUNCTION("""COMPUTED_VALUE"""),"")</f>
        <v/>
      </c>
      <c r="AL585" s="1" t="str">
        <f>IFERROR(__xludf.DUMMYFUNCTION("""COMPUTED_VALUE"""),"")</f>
        <v/>
      </c>
      <c r="AM585" s="1" t="str">
        <f>IFERROR(__xludf.DUMMYFUNCTION("""COMPUTED_VALUE"""),"")</f>
        <v/>
      </c>
      <c r="AN585" s="1" t="str">
        <f>IFERROR(__xludf.DUMMYFUNCTION("""COMPUTED_VALUE"""),"")</f>
        <v/>
      </c>
      <c r="AO585" s="1" t="str">
        <f>IFERROR(__xludf.DUMMYFUNCTION("""COMPUTED_VALUE"""),"")</f>
        <v/>
      </c>
      <c r="AP585" s="1" t="str">
        <f>IFERROR(__xludf.DUMMYFUNCTION("""COMPUTED_VALUE"""),"")</f>
        <v/>
      </c>
      <c r="AQ585" s="1" t="str">
        <f>IFERROR(__xludf.DUMMYFUNCTION("""COMPUTED_VALUE"""),"08/12/2025")</f>
        <v>08/12/2025</v>
      </c>
      <c r="AR585" s="1" t="str">
        <f>IFERROR(__xludf.DUMMYFUNCTION("""COMPUTED_VALUE"""),"08/12/2025")</f>
        <v>08/12/2025</v>
      </c>
    </row>
    <row r="586">
      <c r="A586" s="1" t="str">
        <f>IFERROR(__xludf.DUMMYFUNCTION("""COMPUTED_VALUE"""),"QTS")</f>
        <v>QTS</v>
      </c>
      <c r="B586" s="1" t="str">
        <f>IFERROR(__xludf.DUMMYFUNCTION("""COMPUTED_VALUE"""),"159 Princeton-Hightstown Rd")</f>
        <v>159 Princeton-Hightstown Rd</v>
      </c>
      <c r="C586" s="1" t="str">
        <f>IFERROR(__xludf.DUMMYFUNCTION("""COMPUTED_VALUE"""),"East Windsor")</f>
        <v>East Windsor</v>
      </c>
      <c r="D586" s="1" t="str">
        <f>IFERROR(__xludf.DUMMYFUNCTION("""COMPUTED_VALUE"""),"NJ")</f>
        <v>NJ</v>
      </c>
      <c r="E586" s="1" t="str">
        <f>IFERROR(__xludf.DUMMYFUNCTION("""COMPUTED_VALUE"""),"08520")</f>
        <v>08520</v>
      </c>
      <c r="F586" s="1" t="str">
        <f>IFERROR(__xludf.DUMMYFUNCTION("""COMPUTED_VALUE"""),"Mercer")</f>
        <v>Mercer</v>
      </c>
      <c r="G586" s="1" t="str">
        <f>IFERROR(__xludf.DUMMYFUNCTION("""COMPUTED_VALUE"""),"40.275524")</f>
        <v>40.275524</v>
      </c>
      <c r="H586" s="1" t="str">
        <f>IFERROR(__xludf.DUMMYFUNCTION("""COMPUTED_VALUE"""),"-74.5491")</f>
        <v>-74.5491</v>
      </c>
      <c r="I586" s="1" t="str">
        <f>IFERROR(__xludf.DUMMYFUNCTION("""COMPUTED_VALUE"""),"Operating")</f>
        <v>Operating</v>
      </c>
      <c r="J586" s="1" t="str">
        <f>IFERROR(__xludf.DUMMYFUNCTION("""COMPUTED_VALUE"""),"High")</f>
        <v>High</v>
      </c>
      <c r="K586" s="1" t="str">
        <f>IFERROR(__xludf.DUMMYFUNCTION("""COMPUTED_VALUE"""),"")</f>
        <v/>
      </c>
      <c r="L586" s="1" t="str">
        <f>IFERROR(__xludf.DUMMYFUNCTION("""COMPUTED_VALUE"""),"")</f>
        <v/>
      </c>
      <c r="M586" s="1" t="str">
        <f>IFERROR(__xludf.DUMMYFUNCTION("""COMPUTED_VALUE"""),"")</f>
        <v/>
      </c>
      <c r="N586" s="1" t="str">
        <f>IFERROR(__xludf.DUMMYFUNCTION("""COMPUTED_VALUE"""),"14")</f>
        <v>14</v>
      </c>
      <c r="O586" s="1" t="str">
        <f>IFERROR(__xludf.DUMMYFUNCTION("""COMPUTED_VALUE"""),"Medium (11-50 MW)")</f>
        <v>Medium (11-50 MW)</v>
      </c>
      <c r="P586" s="1" t="str">
        <f>IFERROR(__xludf.DUMMYFUNCTION("""COMPUTED_VALUE"""),"Solar, Grid (unspecified mix)")</f>
        <v>Solar, Grid (unspecified mix)</v>
      </c>
      <c r="Q586" s="1" t="str">
        <f>IFERROR(__xludf.DUMMYFUNCTION("""COMPUTED_VALUE"""),"")</f>
        <v/>
      </c>
      <c r="R586" s="1" t="str">
        <f>IFERROR(__xludf.DUMMYFUNCTION("""COMPUTED_VALUE"""),"6")</f>
        <v>6</v>
      </c>
      <c r="S586" s="1" t="str">
        <f>IFERROR(__xludf.DUMMYFUNCTION("""COMPUTED_VALUE"""),"")</f>
        <v/>
      </c>
      <c r="T586" s="1" t="str">
        <f>IFERROR(__xludf.DUMMYFUNCTION("""COMPUTED_VALUE"""),"Air")</f>
        <v>Air</v>
      </c>
      <c r="U586" s="1" t="str">
        <f>IFERROR(__xludf.DUMMYFUNCTION("""COMPUTED_VALUE"""),"Closed loop")</f>
        <v>Closed loop</v>
      </c>
      <c r="V586" s="1" t="str">
        <f>IFERROR(__xludf.DUMMYFUNCTION("""COMPUTED_VALUE"""),"553,930")</f>
        <v>553,930</v>
      </c>
      <c r="W586" s="1" t="str">
        <f>IFERROR(__xludf.DUMMYFUNCTION("""COMPUTED_VALUE"""),"194")</f>
        <v>194</v>
      </c>
      <c r="X586" s="1" t="str">
        <f>IFERROR(__xludf.DUMMYFUNCTION("""COMPUTED_VALUE"""),"")</f>
        <v/>
      </c>
      <c r="Y586" s="1" t="str">
        <f>IFERROR(__xludf.DUMMYFUNCTION("""COMPUTED_VALUE"""),"")</f>
        <v/>
      </c>
      <c r="Z586" s="1" t="str">
        <f>IFERROR(__xludf.DUMMYFUNCTION("""COMPUTED_VALUE"""),"Yes")</f>
        <v>Yes</v>
      </c>
      <c r="AA586" s="1" t="str">
        <f>IFERROR(__xludf.DUMMYFUNCTION("""COMPUTED_VALUE"""),"")</f>
        <v/>
      </c>
      <c r="AB586" s="1" t="str">
        <f>IFERROR(__xludf.DUMMYFUNCTION("""COMPUTED_VALUE"""),"Organized Advocacy")</f>
        <v>Organized Advocacy</v>
      </c>
      <c r="AC586" s="1" t="str">
        <f>IFERROR(__xludf.DUMMYFUNCTION("""COMPUTED_VALUE"""),"")</f>
        <v/>
      </c>
      <c r="AD586" s="2" t="str">
        <f>IFERROR(__xludf.DUMMYFUNCTION("""COMPUTED_VALUE"""),"https://www.mobilize.us/fwa/event/928996/")</f>
        <v>https://www.mobilize.us/fwa/event/928996/</v>
      </c>
      <c r="AE586" s="2" t="str">
        <f>IFERROR(__xludf.DUMMYFUNCTION("""COMPUTED_VALUE"""),"https://www.foodandwaterwatch.org/wp-content/uploads/2026/03/RPT2_2602_DataCenterMoratorium.pdf#:~:text=company%20Blackstone%20had%20plans%20to,CMBSs%20deals%20combined%20in%202024.")</f>
        <v>https://www.foodandwaterwatch.org/wp-content/uploads/2026/03/RPT2_2602_DataCenterMoratorium.pdf#:~:text=company%20Blackstone%20had%20plans%20to,CMBSs%20deals%20combined%20in%202024.</v>
      </c>
      <c r="AF586" s="1" t="str">
        <f>IFERROR(__xludf.DUMMYFUNCTION("""COMPUTED_VALUE"""),"")</f>
        <v/>
      </c>
      <c r="AG586" s="1" t="str">
        <f>IFERROR(__xludf.DUMMYFUNCTION("""COMPUTED_VALUE"""),"Solar (14.4 MW) and onsite generators, expansion on hold")</f>
        <v>Solar (14.4 MW) and onsite generators, expansion on hold</v>
      </c>
      <c r="AH586" s="1" t="str">
        <f>IFERROR(__xludf.DUMMYFUNCTION("""COMPUTED_VALUE"""),"Media Monitoring")</f>
        <v>Media Monitoring</v>
      </c>
      <c r="AI586" s="2" t="str">
        <f>IFERROR(__xludf.DUMMYFUNCTION("""COMPUTED_VALUE"""),"https://q.com/data-centers/east-windsor/")</f>
        <v>https://q.com/data-centers/east-windsor/</v>
      </c>
      <c r="AJ586" s="2" t="str">
        <f>IFERROR(__xludf.DUMMYFUNCTION("""COMPUTED_VALUE"""),"https://www.east-windsor.nj.us/news/post/20342/")</f>
        <v>https://www.east-windsor.nj.us/news/post/20342/</v>
      </c>
      <c r="AK586" s="2" t="str">
        <f>IFERROR(__xludf.DUMMYFUNCTION("""COMPUTED_VALUE"""),"https://www.datacentermap.com/usa/new-jersey/princeton/qts-princeton/")</f>
        <v>https://www.datacentermap.com/usa/new-jersey/princeton/qts-princeton/</v>
      </c>
      <c r="AL586" s="2" t="str">
        <f>IFERROR(__xludf.DUMMYFUNCTION("""COMPUTED_VALUE"""),"https://www.datacenterdynamics.com/en/news/decision-on-qts-planned-expansion-of-data-center-in-east-windsor-new-jersey-postponed/")</f>
        <v>https://www.datacenterdynamics.com/en/news/decision-on-qts-planned-expansion-of-data-center-in-east-windsor-new-jersey-postponed/</v>
      </c>
      <c r="AM586" s="1" t="str">
        <f>IFERROR(__xludf.DUMMYFUNCTION("""COMPUTED_VALUE"""),"")</f>
        <v/>
      </c>
      <c r="AN586" s="1" t="str">
        <f>IFERROR(__xludf.DUMMYFUNCTION("""COMPUTED_VALUE"""),"")</f>
        <v/>
      </c>
      <c r="AO586" s="1" t="str">
        <f>IFERROR(__xludf.DUMMYFUNCTION("""COMPUTED_VALUE"""),"")</f>
        <v/>
      </c>
      <c r="AP586" s="1" t="str">
        <f>IFERROR(__xludf.DUMMYFUNCTION("""COMPUTED_VALUE"""),"")</f>
        <v/>
      </c>
      <c r="AQ586" s="1" t="str">
        <f>IFERROR(__xludf.DUMMYFUNCTION("""COMPUTED_VALUE"""),"03/31/2026")</f>
        <v>03/31/2026</v>
      </c>
      <c r="AR586" s="1" t="str">
        <f>IFERROR(__xludf.DUMMYFUNCTION("""COMPUTED_VALUE"""),"05/05/2026")</f>
        <v>05/05/2026</v>
      </c>
    </row>
    <row r="587">
      <c r="A587" s="1" t="str">
        <f>IFERROR(__xludf.DUMMYFUNCTION("""COMPUTED_VALUE"""),"Joint Base McGuire-Dix-Lakehurst")</f>
        <v>Joint Base McGuire-Dix-Lakehurst</v>
      </c>
      <c r="B587" s="1" t="str">
        <f>IFERROR(__xludf.DUMMYFUNCTION("""COMPUTED_VALUE"""),"3021 McGuire Blvd")</f>
        <v>3021 McGuire Blvd</v>
      </c>
      <c r="C587" s="1" t="str">
        <f>IFERROR(__xludf.DUMMYFUNCTION("""COMPUTED_VALUE"""),"Fort Dix")</f>
        <v>Fort Dix</v>
      </c>
      <c r="D587" s="1" t="str">
        <f>IFERROR(__xludf.DUMMYFUNCTION("""COMPUTED_VALUE"""),"NJ")</f>
        <v>NJ</v>
      </c>
      <c r="E587" s="1" t="str">
        <f>IFERROR(__xludf.DUMMYFUNCTION("""COMPUTED_VALUE"""),"08641")</f>
        <v>08641</v>
      </c>
      <c r="F587" s="1" t="str">
        <f>IFERROR(__xludf.DUMMYFUNCTION("""COMPUTED_VALUE"""),"Burlington")</f>
        <v>Burlington</v>
      </c>
      <c r="G587" s="1" t="str">
        <f>IFERROR(__xludf.DUMMYFUNCTION("""COMPUTED_VALUE"""),"40.01661")</f>
        <v>40.01661</v>
      </c>
      <c r="H587" s="1" t="str">
        <f>IFERROR(__xludf.DUMMYFUNCTION("""COMPUTED_VALUE"""),"-74.608765")</f>
        <v>-74.608765</v>
      </c>
      <c r="I587" s="1" t="str">
        <f>IFERROR(__xludf.DUMMYFUNCTION("""COMPUTED_VALUE"""),"Proposed")</f>
        <v>Proposed</v>
      </c>
      <c r="J587" s="1" t="str">
        <f>IFERROR(__xludf.DUMMYFUNCTION("""COMPUTED_VALUE"""),"Medium")</f>
        <v>Medium</v>
      </c>
      <c r="K587" s="1" t="str">
        <f>IFERROR(__xludf.DUMMYFUNCTION("""COMPUTED_VALUE"""),"")</f>
        <v/>
      </c>
      <c r="L587" s="1" t="str">
        <f>IFERROR(__xludf.DUMMYFUNCTION("""COMPUTED_VALUE"""),"")</f>
        <v/>
      </c>
      <c r="M587" s="1" t="str">
        <f>IFERROR(__xludf.DUMMYFUNCTION("""COMPUTED_VALUE"""),"")</f>
        <v/>
      </c>
      <c r="N587" s="1" t="str">
        <f>IFERROR(__xludf.DUMMYFUNCTION("""COMPUTED_VALUE"""),"")</f>
        <v/>
      </c>
      <c r="O587" s="1" t="str">
        <f>IFERROR(__xludf.DUMMYFUNCTION("""COMPUTED_VALUE"""),"Unknown")</f>
        <v>Unknown</v>
      </c>
      <c r="P587" s="1" t="str">
        <f>IFERROR(__xludf.DUMMYFUNCTION("""COMPUTED_VALUE"""),"")</f>
        <v/>
      </c>
      <c r="Q587" s="1" t="str">
        <f>IFERROR(__xludf.DUMMYFUNCTION("""COMPUTED_VALUE"""),"")</f>
        <v/>
      </c>
      <c r="R587" s="1" t="str">
        <f>IFERROR(__xludf.DUMMYFUNCTION("""COMPUTED_VALUE"""),"")</f>
        <v/>
      </c>
      <c r="S587" s="1" t="str">
        <f>IFERROR(__xludf.DUMMYFUNCTION("""COMPUTED_VALUE"""),"")</f>
        <v/>
      </c>
      <c r="T587" s="1" t="str">
        <f>IFERROR(__xludf.DUMMYFUNCTION("""COMPUTED_VALUE"""),"")</f>
        <v/>
      </c>
      <c r="U587" s="1" t="str">
        <f>IFERROR(__xludf.DUMMYFUNCTION("""COMPUTED_VALUE"""),"")</f>
        <v/>
      </c>
      <c r="V587" s="1" t="str">
        <f>IFERROR(__xludf.DUMMYFUNCTION("""COMPUTED_VALUE"""),"")</f>
        <v/>
      </c>
      <c r="W587" s="1" t="str">
        <f>IFERROR(__xludf.DUMMYFUNCTION("""COMPUTED_VALUE"""),"193")</f>
        <v>193</v>
      </c>
      <c r="X587" s="1" t="str">
        <f>IFERROR(__xludf.DUMMYFUNCTION("""COMPUTED_VALUE"""),"")</f>
        <v/>
      </c>
      <c r="Y587" s="1" t="str">
        <f>IFERROR(__xludf.DUMMYFUNCTION("""COMPUTED_VALUE"""),"")</f>
        <v/>
      </c>
      <c r="Z587" s="1" t="str">
        <f>IFERROR(__xludf.DUMMYFUNCTION("""COMPUTED_VALUE"""),"Unknown")</f>
        <v>Unknown</v>
      </c>
      <c r="AA587" s="1" t="str">
        <f>IFERROR(__xludf.DUMMYFUNCTION("""COMPUTED_VALUE"""),"")</f>
        <v/>
      </c>
      <c r="AB587" s="1" t="str">
        <f>IFERROR(__xludf.DUMMYFUNCTION("""COMPUTED_VALUE"""),"")</f>
        <v/>
      </c>
      <c r="AC587" s="1" t="str">
        <f>IFERROR(__xludf.DUMMYFUNCTION("""COMPUTED_VALUE"""),"")</f>
        <v/>
      </c>
      <c r="AD587" s="1" t="str">
        <f>IFERROR(__xludf.DUMMYFUNCTION("""COMPUTED_VALUE"""),"")</f>
        <v/>
      </c>
      <c r="AE587" s="1" t="str">
        <f>IFERROR(__xludf.DUMMYFUNCTION("""COMPUTED_VALUE"""),"")</f>
        <v/>
      </c>
      <c r="AF587" s="1" t="str">
        <f>IFERROR(__xludf.DUMMYFUNCTION("""COMPUTED_VALUE"""),"")</f>
        <v/>
      </c>
      <c r="AG587" s="1" t="str">
        <f>IFERROR(__xludf.DUMMYFUNCTION("""COMPUTED_VALUE"""),"2 sites")</f>
        <v>2 sites</v>
      </c>
      <c r="AH587" s="1" t="str">
        <f>IFERROR(__xludf.DUMMYFUNCTION("""COMPUTED_VALUE"""),"Media Monitoring")</f>
        <v>Media Monitoring</v>
      </c>
      <c r="AI587" s="2" t="str">
        <f>IFERROR(__xludf.DUMMYFUNCTION("""COMPUTED_VALUE"""),"https://www.datacenterdynamics.com/en/news/us-department-of-the-air-force-accepting-proposals-for-ai-data-centers-in-military-bases/")</f>
        <v>https://www.datacenterdynamics.com/en/news/us-department-of-the-air-force-accepting-proposals-for-ai-data-centers-in-military-bases/</v>
      </c>
      <c r="AJ587" s="1" t="str">
        <f>IFERROR(__xludf.DUMMYFUNCTION("""COMPUTED_VALUE"""),"")</f>
        <v/>
      </c>
      <c r="AK587" s="1" t="str">
        <f>IFERROR(__xludf.DUMMYFUNCTION("""COMPUTED_VALUE"""),"")</f>
        <v/>
      </c>
      <c r="AL587" s="1" t="str">
        <f>IFERROR(__xludf.DUMMYFUNCTION("""COMPUTED_VALUE"""),"")</f>
        <v/>
      </c>
      <c r="AM587" s="1" t="str">
        <f>IFERROR(__xludf.DUMMYFUNCTION("""COMPUTED_VALUE"""),"")</f>
        <v/>
      </c>
      <c r="AN587" s="1" t="str">
        <f>IFERROR(__xludf.DUMMYFUNCTION("""COMPUTED_VALUE"""),"")</f>
        <v/>
      </c>
      <c r="AO587" s="1" t="str">
        <f>IFERROR(__xludf.DUMMYFUNCTION("""COMPUTED_VALUE"""),"")</f>
        <v/>
      </c>
      <c r="AP587" s="1" t="str">
        <f>IFERROR(__xludf.DUMMYFUNCTION("""COMPUTED_VALUE"""),"")</f>
        <v/>
      </c>
      <c r="AQ587" s="1" t="str">
        <f>IFERROR(__xludf.DUMMYFUNCTION("""COMPUTED_VALUE"""),"10/21/2025")</f>
        <v>10/21/2025</v>
      </c>
      <c r="AR587" s="1" t="str">
        <f>IFERROR(__xludf.DUMMYFUNCTION("""COMPUTED_VALUE"""),"10/21/2025")</f>
        <v>10/21/2025</v>
      </c>
    </row>
    <row r="588">
      <c r="A588" s="1" t="str">
        <f>IFERROR(__xludf.DUMMYFUNCTION("""COMPUTED_VALUE"""),"DataVerge")</f>
        <v>DataVerge</v>
      </c>
      <c r="B588" s="1" t="str">
        <f>IFERROR(__xludf.DUMMYFUNCTION("""COMPUTED_VALUE"""),"111 Town Square Place")</f>
        <v>111 Town Square Place</v>
      </c>
      <c r="C588" s="1" t="str">
        <f>IFERROR(__xludf.DUMMYFUNCTION("""COMPUTED_VALUE"""),"Jersey City")</f>
        <v>Jersey City</v>
      </c>
      <c r="D588" s="1" t="str">
        <f>IFERROR(__xludf.DUMMYFUNCTION("""COMPUTED_VALUE"""),"NJ")</f>
        <v>NJ</v>
      </c>
      <c r="E588" s="1" t="str">
        <f>IFERROR(__xludf.DUMMYFUNCTION("""COMPUTED_VALUE"""),"07310")</f>
        <v>07310</v>
      </c>
      <c r="F588" s="1" t="str">
        <f>IFERROR(__xludf.DUMMYFUNCTION("""COMPUTED_VALUE"""),"Hudson")</f>
        <v>Hudson</v>
      </c>
      <c r="G588" s="1" t="str">
        <f>IFERROR(__xludf.DUMMYFUNCTION("""COMPUTED_VALUE"""),"40.726536")</f>
        <v>40.726536</v>
      </c>
      <c r="H588" s="1" t="str">
        <f>IFERROR(__xludf.DUMMYFUNCTION("""COMPUTED_VALUE"""),"-74.03348")</f>
        <v>-74.03348</v>
      </c>
      <c r="I588" s="1" t="str">
        <f>IFERROR(__xludf.DUMMYFUNCTION("""COMPUTED_VALUE"""),"Operating")</f>
        <v>Operating</v>
      </c>
      <c r="J588" s="1" t="str">
        <f>IFERROR(__xludf.DUMMYFUNCTION("""COMPUTED_VALUE"""),"High")</f>
        <v>High</v>
      </c>
      <c r="K588" s="1" t="str">
        <f>IFERROR(__xludf.DUMMYFUNCTION("""COMPUTED_VALUE"""),"")</f>
        <v/>
      </c>
      <c r="L588" s="1" t="str">
        <f>IFERROR(__xludf.DUMMYFUNCTION("""COMPUTED_VALUE"""),"DataVerge")</f>
        <v>DataVerge</v>
      </c>
      <c r="M588" s="1" t="str">
        <f>IFERROR(__xludf.DUMMYFUNCTION("""COMPUTED_VALUE"""),"")</f>
        <v/>
      </c>
      <c r="N588" s="1" t="str">
        <f>IFERROR(__xludf.DUMMYFUNCTION("""COMPUTED_VALUE"""),"")</f>
        <v/>
      </c>
      <c r="O588" s="1" t="str">
        <f>IFERROR(__xludf.DUMMYFUNCTION("""COMPUTED_VALUE"""),"Unknown")</f>
        <v>Unknown</v>
      </c>
      <c r="P588" s="1" t="str">
        <f>IFERROR(__xludf.DUMMYFUNCTION("""COMPUTED_VALUE"""),"")</f>
        <v/>
      </c>
      <c r="Q588" s="1" t="str">
        <f>IFERROR(__xludf.DUMMYFUNCTION("""COMPUTED_VALUE"""),"")</f>
        <v/>
      </c>
      <c r="R588" s="1" t="str">
        <f>IFERROR(__xludf.DUMMYFUNCTION("""COMPUTED_VALUE"""),"")</f>
        <v/>
      </c>
      <c r="S588" s="1" t="str">
        <f>IFERROR(__xludf.DUMMYFUNCTION("""COMPUTED_VALUE"""),"")</f>
        <v/>
      </c>
      <c r="T588" s="1" t="str">
        <f>IFERROR(__xludf.DUMMYFUNCTION("""COMPUTED_VALUE"""),"")</f>
        <v/>
      </c>
      <c r="U588" s="1" t="str">
        <f>IFERROR(__xludf.DUMMYFUNCTION("""COMPUTED_VALUE"""),"")</f>
        <v/>
      </c>
      <c r="V588" s="1" t="str">
        <f>IFERROR(__xludf.DUMMYFUNCTION("""COMPUTED_VALUE"""),"")</f>
        <v/>
      </c>
      <c r="W588" s="1" t="str">
        <f>IFERROR(__xludf.DUMMYFUNCTION("""COMPUTED_VALUE"""),"")</f>
        <v/>
      </c>
      <c r="X588" s="1" t="str">
        <f>IFERROR(__xludf.DUMMYFUNCTION("""COMPUTED_VALUE"""),"")</f>
        <v/>
      </c>
      <c r="Y588" s="1" t="str">
        <f>IFERROR(__xludf.DUMMYFUNCTION("""COMPUTED_VALUE"""),"")</f>
        <v/>
      </c>
      <c r="Z588" s="1" t="str">
        <f>IFERROR(__xludf.DUMMYFUNCTION("""COMPUTED_VALUE"""),"Unknown")</f>
        <v>Unknown</v>
      </c>
      <c r="AA588" s="1" t="str">
        <f>IFERROR(__xludf.DUMMYFUNCTION("""COMPUTED_VALUE"""),"")</f>
        <v/>
      </c>
      <c r="AB588" s="1" t="str">
        <f>IFERROR(__xludf.DUMMYFUNCTION("""COMPUTED_VALUE"""),"")</f>
        <v/>
      </c>
      <c r="AC588" s="1" t="str">
        <f>IFERROR(__xludf.DUMMYFUNCTION("""COMPUTED_VALUE"""),"")</f>
        <v/>
      </c>
      <c r="AD588" s="1" t="str">
        <f>IFERROR(__xludf.DUMMYFUNCTION("""COMPUTED_VALUE"""),"")</f>
        <v/>
      </c>
      <c r="AE588" s="1" t="str">
        <f>IFERROR(__xludf.DUMMYFUNCTION("""COMPUTED_VALUE"""),"")</f>
        <v/>
      </c>
      <c r="AF588" s="1" t="str">
        <f>IFERROR(__xludf.DUMMYFUNCTION("""COMPUTED_VALUE"""),"")</f>
        <v/>
      </c>
      <c r="AG588" s="1" t="str">
        <f>IFERROR(__xludf.DUMMYFUNCTION("""COMPUTED_VALUE"""),"")</f>
        <v/>
      </c>
      <c r="AH588" s="1" t="str">
        <f>IFERROR(__xludf.DUMMYFUNCTION("""COMPUTED_VALUE"""),"Media Monitoring")</f>
        <v>Media Monitoring</v>
      </c>
      <c r="AI588" s="2" t="str">
        <f>IFERROR(__xludf.DUMMYFUNCTION("""COMPUTED_VALUE"""),"https://dataverge.com/interconnected-colocation-new-york/#")</f>
        <v>https://dataverge.com/interconnected-colocation-new-york/#</v>
      </c>
      <c r="AJ588" s="1" t="str">
        <f>IFERROR(__xludf.DUMMYFUNCTION("""COMPUTED_VALUE"""),"")</f>
        <v/>
      </c>
      <c r="AK588" s="1" t="str">
        <f>IFERROR(__xludf.DUMMYFUNCTION("""COMPUTED_VALUE"""),"")</f>
        <v/>
      </c>
      <c r="AL588" s="1" t="str">
        <f>IFERROR(__xludf.DUMMYFUNCTION("""COMPUTED_VALUE"""),"")</f>
        <v/>
      </c>
      <c r="AM588" s="1" t="str">
        <f>IFERROR(__xludf.DUMMYFUNCTION("""COMPUTED_VALUE"""),"")</f>
        <v/>
      </c>
      <c r="AN588" s="1" t="str">
        <f>IFERROR(__xludf.DUMMYFUNCTION("""COMPUTED_VALUE"""),"")</f>
        <v/>
      </c>
      <c r="AO588" s="1" t="str">
        <f>IFERROR(__xludf.DUMMYFUNCTION("""COMPUTED_VALUE"""),"")</f>
        <v/>
      </c>
      <c r="AP588" s="1" t="str">
        <f>IFERROR(__xludf.DUMMYFUNCTION("""COMPUTED_VALUE"""),"")</f>
        <v/>
      </c>
      <c r="AQ588" s="1" t="str">
        <f>IFERROR(__xludf.DUMMYFUNCTION("""COMPUTED_VALUE"""),"11/14/2025")</f>
        <v>11/14/2025</v>
      </c>
      <c r="AR588" s="1" t="str">
        <f>IFERROR(__xludf.DUMMYFUNCTION("""COMPUTED_VALUE"""),"11/14/2025")</f>
        <v>11/14/2025</v>
      </c>
    </row>
    <row r="589">
      <c r="A589" s="1" t="str">
        <f>IFERROR(__xludf.DUMMYFUNCTION("""COMPUTED_VALUE"""),"Tower Gate Project")</f>
        <v>Tower Gate Project</v>
      </c>
      <c r="B589" s="1" t="str">
        <f>IFERROR(__xludf.DUMMYFUNCTION("""COMPUTED_VALUE"""),"Route 130 and Kinkora Rd")</f>
        <v>Route 130 and Kinkora Rd</v>
      </c>
      <c r="C589" s="1" t="str">
        <f>IFERROR(__xludf.DUMMYFUNCTION("""COMPUTED_VALUE"""),"Mansfield Twp")</f>
        <v>Mansfield Twp</v>
      </c>
      <c r="D589" s="1" t="str">
        <f>IFERROR(__xludf.DUMMYFUNCTION("""COMPUTED_VALUE"""),"NJ")</f>
        <v>NJ</v>
      </c>
      <c r="E589" s="1" t="str">
        <f>IFERROR(__xludf.DUMMYFUNCTION("""COMPUTED_VALUE"""),"08505")</f>
        <v>08505</v>
      </c>
      <c r="F589" s="1" t="str">
        <f>IFERROR(__xludf.DUMMYFUNCTION("""COMPUTED_VALUE"""),"Burlington")</f>
        <v>Burlington</v>
      </c>
      <c r="G589" s="1" t="str">
        <f>IFERROR(__xludf.DUMMYFUNCTION("""COMPUTED_VALUE"""),"40.118675")</f>
        <v>40.118675</v>
      </c>
      <c r="H589" s="1" t="str">
        <f>IFERROR(__xludf.DUMMYFUNCTION("""COMPUTED_VALUE"""),"-74.751205")</f>
        <v>-74.751205</v>
      </c>
      <c r="I589" s="1" t="str">
        <f>IFERROR(__xludf.DUMMYFUNCTION("""COMPUTED_VALUE"""),"Cancelled")</f>
        <v>Cancelled</v>
      </c>
      <c r="J589" s="1" t="str">
        <f>IFERROR(__xludf.DUMMYFUNCTION("""COMPUTED_VALUE"""),"High")</f>
        <v>High</v>
      </c>
      <c r="K589" s="1" t="str">
        <f>IFERROR(__xludf.DUMMYFUNCTION("""COMPUTED_VALUE"""),"")</f>
        <v/>
      </c>
      <c r="L589" s="1" t="str">
        <f>IFERROR(__xludf.DUMMYFUNCTION("""COMPUTED_VALUE"""),"")</f>
        <v/>
      </c>
      <c r="M589" s="1" t="str">
        <f>IFERROR(__xludf.DUMMYFUNCTION("""COMPUTED_VALUE"""),"")</f>
        <v/>
      </c>
      <c r="N589" s="1" t="str">
        <f>IFERROR(__xludf.DUMMYFUNCTION("""COMPUTED_VALUE"""),"")</f>
        <v/>
      </c>
      <c r="O589" s="1" t="str">
        <f>IFERROR(__xludf.DUMMYFUNCTION("""COMPUTED_VALUE"""),"Unknown")</f>
        <v>Unknown</v>
      </c>
      <c r="P589" s="1" t="str">
        <f>IFERROR(__xludf.DUMMYFUNCTION("""COMPUTED_VALUE"""),"")</f>
        <v/>
      </c>
      <c r="Q589" s="1" t="str">
        <f>IFERROR(__xludf.DUMMYFUNCTION("""COMPUTED_VALUE"""),"")</f>
        <v/>
      </c>
      <c r="R589" s="1" t="str">
        <f>IFERROR(__xludf.DUMMYFUNCTION("""COMPUTED_VALUE"""),"")</f>
        <v/>
      </c>
      <c r="S589" s="1" t="str">
        <f>IFERROR(__xludf.DUMMYFUNCTION("""COMPUTED_VALUE"""),"")</f>
        <v/>
      </c>
      <c r="T589" s="1" t="str">
        <f>IFERROR(__xludf.DUMMYFUNCTION("""COMPUTED_VALUE"""),"")</f>
        <v/>
      </c>
      <c r="U589" s="1" t="str">
        <f>IFERROR(__xludf.DUMMYFUNCTION("""COMPUTED_VALUE"""),"")</f>
        <v/>
      </c>
      <c r="V589" s="1" t="str">
        <f>IFERROR(__xludf.DUMMYFUNCTION("""COMPUTED_VALUE"""),"")</f>
        <v/>
      </c>
      <c r="W589" s="1" t="str">
        <f>IFERROR(__xludf.DUMMYFUNCTION("""COMPUTED_VALUE"""),"")</f>
        <v/>
      </c>
      <c r="X589" s="1" t="str">
        <f>IFERROR(__xludf.DUMMYFUNCTION("""COMPUTED_VALUE"""),"")</f>
        <v/>
      </c>
      <c r="Y589" s="1" t="str">
        <f>IFERROR(__xludf.DUMMYFUNCTION("""COMPUTED_VALUE"""),"")</f>
        <v/>
      </c>
      <c r="Z589" s="1" t="str">
        <f>IFERROR(__xludf.DUMMYFUNCTION("""COMPUTED_VALUE"""),"Unknown")</f>
        <v>Unknown</v>
      </c>
      <c r="AA589" s="1" t="str">
        <f>IFERROR(__xludf.DUMMYFUNCTION("""COMPUTED_VALUE"""),"")</f>
        <v/>
      </c>
      <c r="AB589" s="1" t="str">
        <f>IFERROR(__xludf.DUMMYFUNCTION("""COMPUTED_VALUE"""),"")</f>
        <v/>
      </c>
      <c r="AC589" s="1" t="str">
        <f>IFERROR(__xludf.DUMMYFUNCTION("""COMPUTED_VALUE"""),"")</f>
        <v/>
      </c>
      <c r="AD589" s="1" t="str">
        <f>IFERROR(__xludf.DUMMYFUNCTION("""COMPUTED_VALUE"""),"")</f>
        <v/>
      </c>
      <c r="AE589" s="1" t="str">
        <f>IFERROR(__xludf.DUMMYFUNCTION("""COMPUTED_VALUE"""),"")</f>
        <v/>
      </c>
      <c r="AF589" s="1" t="str">
        <f>IFERROR(__xludf.DUMMYFUNCTION("""COMPUTED_VALUE"""),"")</f>
        <v/>
      </c>
      <c r="AG589" s="1" t="str">
        <f>IFERROR(__xludf.DUMMYFUNCTION("""COMPUTED_VALUE"""),"")</f>
        <v/>
      </c>
      <c r="AH589" s="1" t="str">
        <f>IFERROR(__xludf.DUMMYFUNCTION("""COMPUTED_VALUE"""),"Media Monitoring")</f>
        <v>Media Monitoring</v>
      </c>
      <c r="AI589" s="2" t="str">
        <f>IFERROR(__xludf.DUMMYFUNCTION("""COMPUTED_VALUE"""),"https://www.mansfieldtwp.com/sites/g/files/vyhlif8026/f/news/mayor_statement-3-16-26.pdf")</f>
        <v>https://www.mansfieldtwp.com/sites/g/files/vyhlif8026/f/news/mayor_statement-3-16-26.pdf</v>
      </c>
      <c r="AJ589" s="1" t="str">
        <f>IFERROR(__xludf.DUMMYFUNCTION("""COMPUTED_VALUE"""),"")</f>
        <v/>
      </c>
      <c r="AK589" s="1" t="str">
        <f>IFERROR(__xludf.DUMMYFUNCTION("""COMPUTED_VALUE"""),"")</f>
        <v/>
      </c>
      <c r="AL589" s="1" t="str">
        <f>IFERROR(__xludf.DUMMYFUNCTION("""COMPUTED_VALUE"""),"")</f>
        <v/>
      </c>
      <c r="AM589" s="1" t="str">
        <f>IFERROR(__xludf.DUMMYFUNCTION("""COMPUTED_VALUE"""),"")</f>
        <v/>
      </c>
      <c r="AN589" s="1" t="str">
        <f>IFERROR(__xludf.DUMMYFUNCTION("""COMPUTED_VALUE"""),"")</f>
        <v/>
      </c>
      <c r="AO589" s="1" t="str">
        <f>IFERROR(__xludf.DUMMYFUNCTION("""COMPUTED_VALUE"""),"")</f>
        <v/>
      </c>
      <c r="AP589" s="1" t="str">
        <f>IFERROR(__xludf.DUMMYFUNCTION("""COMPUTED_VALUE"""),"")</f>
        <v/>
      </c>
      <c r="AQ589" s="1" t="str">
        <f>IFERROR(__xludf.DUMMYFUNCTION("""COMPUTED_VALUE"""),"03/19/2026")</f>
        <v>03/19/2026</v>
      </c>
      <c r="AR589" s="1" t="str">
        <f>IFERROR(__xludf.DUMMYFUNCTION("""COMPUTED_VALUE"""),"03/19/2026")</f>
        <v>03/19/2026</v>
      </c>
    </row>
    <row r="590">
      <c r="A590" s="1" t="str">
        <f>IFERROR(__xludf.DUMMYFUNCTION("""COMPUTED_VALUE"""),"Comcast Data Center")</f>
        <v>Comcast Data Center</v>
      </c>
      <c r="B590" s="1" t="str">
        <f>IFERROR(__xludf.DUMMYFUNCTION("""COMPUTED_VALUE"""),"650 Centerton Rd")</f>
        <v>650 Centerton Rd</v>
      </c>
      <c r="C590" s="1" t="str">
        <f>IFERROR(__xludf.DUMMYFUNCTION("""COMPUTED_VALUE"""),"Moorestown")</f>
        <v>Moorestown</v>
      </c>
      <c r="D590" s="1" t="str">
        <f>IFERROR(__xludf.DUMMYFUNCTION("""COMPUTED_VALUE"""),"NJ")</f>
        <v>NJ</v>
      </c>
      <c r="E590" s="1" t="str">
        <f>IFERROR(__xludf.DUMMYFUNCTION("""COMPUTED_VALUE"""),"08057")</f>
        <v>08057</v>
      </c>
      <c r="F590" s="1" t="str">
        <f>IFERROR(__xludf.DUMMYFUNCTION("""COMPUTED_VALUE"""),"Burlington")</f>
        <v>Burlington</v>
      </c>
      <c r="G590" s="1" t="str">
        <f>IFERROR(__xludf.DUMMYFUNCTION("""COMPUTED_VALUE"""),"39.98939")</f>
        <v>39.98939</v>
      </c>
      <c r="H590" s="1" t="str">
        <f>IFERROR(__xludf.DUMMYFUNCTION("""COMPUTED_VALUE"""),"-74.8896")</f>
        <v>-74.8896</v>
      </c>
      <c r="I590" s="1" t="str">
        <f>IFERROR(__xludf.DUMMYFUNCTION("""COMPUTED_VALUE"""),"Proposed")</f>
        <v>Proposed</v>
      </c>
      <c r="J590" s="1" t="str">
        <f>IFERROR(__xludf.DUMMYFUNCTION("""COMPUTED_VALUE"""),"High")</f>
        <v>High</v>
      </c>
      <c r="K590" s="1" t="str">
        <f>IFERROR(__xludf.DUMMYFUNCTION("""COMPUTED_VALUE"""),"")</f>
        <v/>
      </c>
      <c r="L590" s="1" t="str">
        <f>IFERROR(__xludf.DUMMYFUNCTION("""COMPUTED_VALUE"""),"")</f>
        <v/>
      </c>
      <c r="M590" s="1" t="str">
        <f>IFERROR(__xludf.DUMMYFUNCTION("""COMPUTED_VALUE"""),"")</f>
        <v/>
      </c>
      <c r="N590" s="1" t="str">
        <f>IFERROR(__xludf.DUMMYFUNCTION("""COMPUTED_VALUE"""),"")</f>
        <v/>
      </c>
      <c r="O590" s="1" t="str">
        <f>IFERROR(__xludf.DUMMYFUNCTION("""COMPUTED_VALUE"""),"Unknown")</f>
        <v>Unknown</v>
      </c>
      <c r="P590" s="1" t="str">
        <f>IFERROR(__xludf.DUMMYFUNCTION("""COMPUTED_VALUE"""),"")</f>
        <v/>
      </c>
      <c r="Q590" s="1" t="str">
        <f>IFERROR(__xludf.DUMMYFUNCTION("""COMPUTED_VALUE"""),"")</f>
        <v/>
      </c>
      <c r="R590" s="1" t="str">
        <f>IFERROR(__xludf.DUMMYFUNCTION("""COMPUTED_VALUE"""),"")</f>
        <v/>
      </c>
      <c r="S590" s="1" t="str">
        <f>IFERROR(__xludf.DUMMYFUNCTION("""COMPUTED_VALUE"""),"")</f>
        <v/>
      </c>
      <c r="T590" s="1" t="str">
        <f>IFERROR(__xludf.DUMMYFUNCTION("""COMPUTED_VALUE"""),"")</f>
        <v/>
      </c>
      <c r="U590" s="1" t="str">
        <f>IFERROR(__xludf.DUMMYFUNCTION("""COMPUTED_VALUE"""),"")</f>
        <v/>
      </c>
      <c r="V590" s="1" t="str">
        <f>IFERROR(__xludf.DUMMYFUNCTION("""COMPUTED_VALUE"""),"")</f>
        <v/>
      </c>
      <c r="W590" s="1" t="str">
        <f>IFERROR(__xludf.DUMMYFUNCTION("""COMPUTED_VALUE"""),"")</f>
        <v/>
      </c>
      <c r="X590" s="1" t="str">
        <f>IFERROR(__xludf.DUMMYFUNCTION("""COMPUTED_VALUE"""),"")</f>
        <v/>
      </c>
      <c r="Y590" s="1" t="str">
        <f>IFERROR(__xludf.DUMMYFUNCTION("""COMPUTED_VALUE"""),"")</f>
        <v/>
      </c>
      <c r="Z590" s="1" t="str">
        <f>IFERROR(__xludf.DUMMYFUNCTION("""COMPUTED_VALUE"""),"Unknown")</f>
        <v>Unknown</v>
      </c>
      <c r="AA590" s="1" t="str">
        <f>IFERROR(__xludf.DUMMYFUNCTION("""COMPUTED_VALUE"""),"")</f>
        <v/>
      </c>
      <c r="AB590" s="1" t="str">
        <f>IFERROR(__xludf.DUMMYFUNCTION("""COMPUTED_VALUE"""),"")</f>
        <v/>
      </c>
      <c r="AC590" s="1" t="str">
        <f>IFERROR(__xludf.DUMMYFUNCTION("""COMPUTED_VALUE"""),"")</f>
        <v/>
      </c>
      <c r="AD590" s="1" t="str">
        <f>IFERROR(__xludf.DUMMYFUNCTION("""COMPUTED_VALUE"""),"")</f>
        <v/>
      </c>
      <c r="AE590" s="1" t="str">
        <f>IFERROR(__xludf.DUMMYFUNCTION("""COMPUTED_VALUE"""),"")</f>
        <v/>
      </c>
      <c r="AF590" s="1" t="str">
        <f>IFERROR(__xludf.DUMMYFUNCTION("""COMPUTED_VALUE"""),"")</f>
        <v/>
      </c>
      <c r="AG590" s="1" t="str">
        <f>IFERROR(__xludf.DUMMYFUNCTION("""COMPUTED_VALUE"""),"")</f>
        <v/>
      </c>
      <c r="AH590" s="1" t="str">
        <f>IFERROR(__xludf.DUMMYFUNCTION("""COMPUTED_VALUE"""),"Media Monitoring")</f>
        <v>Media Monitoring</v>
      </c>
      <c r="AI590" s="2" t="str">
        <f>IFERROR(__xludf.DUMMYFUNCTION("""COMPUTED_VALUE"""),"https://www.datacenterdynamics.com/en/news/comcast-to-convert-former-bank-into-data-center-in-new-jersey/")</f>
        <v>https://www.datacenterdynamics.com/en/news/comcast-to-convert-former-bank-into-data-center-in-new-jersey/</v>
      </c>
      <c r="AJ590" s="1" t="str">
        <f>IFERROR(__xludf.DUMMYFUNCTION("""COMPUTED_VALUE"""),"")</f>
        <v/>
      </c>
      <c r="AK590" s="1" t="str">
        <f>IFERROR(__xludf.DUMMYFUNCTION("""COMPUTED_VALUE"""),"")</f>
        <v/>
      </c>
      <c r="AL590" s="1" t="str">
        <f>IFERROR(__xludf.DUMMYFUNCTION("""COMPUTED_VALUE"""),"")</f>
        <v/>
      </c>
      <c r="AM590" s="1" t="str">
        <f>IFERROR(__xludf.DUMMYFUNCTION("""COMPUTED_VALUE"""),"")</f>
        <v/>
      </c>
      <c r="AN590" s="1" t="str">
        <f>IFERROR(__xludf.DUMMYFUNCTION("""COMPUTED_VALUE"""),"")</f>
        <v/>
      </c>
      <c r="AO590" s="1" t="str">
        <f>IFERROR(__xludf.DUMMYFUNCTION("""COMPUTED_VALUE"""),"")</f>
        <v/>
      </c>
      <c r="AP590" s="1" t="str">
        <f>IFERROR(__xludf.DUMMYFUNCTION("""COMPUTED_VALUE"""),"")</f>
        <v/>
      </c>
      <c r="AQ590" s="1" t="str">
        <f>IFERROR(__xludf.DUMMYFUNCTION("""COMPUTED_VALUE"""),"08/12/2025")</f>
        <v>08/12/2025</v>
      </c>
      <c r="AR590" s="1" t="str">
        <f>IFERROR(__xludf.DUMMYFUNCTION("""COMPUTED_VALUE"""),"08/12/2025")</f>
        <v>08/12/2025</v>
      </c>
    </row>
    <row r="591">
      <c r="A591" s="1" t="str">
        <f>IFERROR(__xludf.DUMMYFUNCTION("""COMPUTED_VALUE"""),"American Tower Data Center")</f>
        <v>American Tower Data Center</v>
      </c>
      <c r="B591" s="1" t="str">
        <f>IFERROR(__xludf.DUMMYFUNCTION("""COMPUTED_VALUE"""),"114 Mantua Rd")</f>
        <v>114 Mantua Rd</v>
      </c>
      <c r="C591" s="1" t="str">
        <f>IFERROR(__xludf.DUMMYFUNCTION("""COMPUTED_VALUE"""),"Mount Royal")</f>
        <v>Mount Royal</v>
      </c>
      <c r="D591" s="1" t="str">
        <f>IFERROR(__xludf.DUMMYFUNCTION("""COMPUTED_VALUE"""),"NJ")</f>
        <v>NJ</v>
      </c>
      <c r="E591" s="1" t="str">
        <f>IFERROR(__xludf.DUMMYFUNCTION("""COMPUTED_VALUE"""),"8061")</f>
        <v>8061</v>
      </c>
      <c r="F591" s="1" t="str">
        <f>IFERROR(__xludf.DUMMYFUNCTION("""COMPUTED_VALUE"""),"")</f>
        <v/>
      </c>
      <c r="G591" s="1" t="str">
        <f>IFERROR(__xludf.DUMMYFUNCTION("""COMPUTED_VALUE"""),"39.799442")</f>
        <v>39.799442</v>
      </c>
      <c r="H591" s="1" t="str">
        <f>IFERROR(__xludf.DUMMYFUNCTION("""COMPUTED_VALUE"""),"-75.19943")</f>
        <v>-75.19943</v>
      </c>
      <c r="I591" s="1" t="str">
        <f>IFERROR(__xludf.DUMMYFUNCTION("""COMPUTED_VALUE"""),"Cancelled")</f>
        <v>Cancelled</v>
      </c>
      <c r="J591" s="1" t="str">
        <f>IFERROR(__xludf.DUMMYFUNCTION("""COMPUTED_VALUE"""),"High")</f>
        <v>High</v>
      </c>
      <c r="K591" s="1" t="str">
        <f>IFERROR(__xludf.DUMMYFUNCTION("""COMPUTED_VALUE"""),"")</f>
        <v/>
      </c>
      <c r="L591" s="1" t="str">
        <f>IFERROR(__xludf.DUMMYFUNCTION("""COMPUTED_VALUE"""),"")</f>
        <v/>
      </c>
      <c r="M591" s="1" t="str">
        <f>IFERROR(__xludf.DUMMYFUNCTION("""COMPUTED_VALUE"""),"")</f>
        <v/>
      </c>
      <c r="N591" s="1" t="str">
        <f>IFERROR(__xludf.DUMMYFUNCTION("""COMPUTED_VALUE"""),"4")</f>
        <v>4</v>
      </c>
      <c r="O591" s="1" t="str">
        <f>IFERROR(__xludf.DUMMYFUNCTION("""COMPUTED_VALUE"""),"Small (0-10 MW)")</f>
        <v>Small (0-10 MW)</v>
      </c>
      <c r="P591" s="1" t="str">
        <f>IFERROR(__xludf.DUMMYFUNCTION("""COMPUTED_VALUE"""),"")</f>
        <v/>
      </c>
      <c r="Q591" s="1" t="str">
        <f>IFERROR(__xludf.DUMMYFUNCTION("""COMPUTED_VALUE"""),"")</f>
        <v/>
      </c>
      <c r="R591" s="1" t="str">
        <f>IFERROR(__xludf.DUMMYFUNCTION("""COMPUTED_VALUE"""),"")</f>
        <v/>
      </c>
      <c r="S591" s="1" t="str">
        <f>IFERROR(__xludf.DUMMYFUNCTION("""COMPUTED_VALUE"""),"")</f>
        <v/>
      </c>
      <c r="T591" s="1" t="str">
        <f>IFERROR(__xludf.DUMMYFUNCTION("""COMPUTED_VALUE"""),"")</f>
        <v/>
      </c>
      <c r="U591" s="1" t="str">
        <f>IFERROR(__xludf.DUMMYFUNCTION("""COMPUTED_VALUE"""),"")</f>
        <v/>
      </c>
      <c r="V591" s="1" t="str">
        <f>IFERROR(__xludf.DUMMYFUNCTION("""COMPUTED_VALUE"""),"15,895")</f>
        <v>15,895</v>
      </c>
      <c r="W591" s="1" t="str">
        <f>IFERROR(__xludf.DUMMYFUNCTION("""COMPUTED_VALUE"""),"")</f>
        <v/>
      </c>
      <c r="X591" s="1" t="str">
        <f>IFERROR(__xludf.DUMMYFUNCTION("""COMPUTED_VALUE"""),"")</f>
        <v/>
      </c>
      <c r="Y591" s="1" t="str">
        <f>IFERROR(__xludf.DUMMYFUNCTION("""COMPUTED_VALUE"""),"")</f>
        <v/>
      </c>
      <c r="Z591" s="1" t="str">
        <f>IFERROR(__xludf.DUMMYFUNCTION("""COMPUTED_VALUE"""),"Yes")</f>
        <v>Yes</v>
      </c>
      <c r="AA591" s="1" t="str">
        <f>IFERROR(__xludf.DUMMYFUNCTION("""COMPUTED_VALUE"""),"")</f>
        <v/>
      </c>
      <c r="AB591" s="1" t="str">
        <f>IFERROR(__xludf.DUMMYFUNCTION("""COMPUTED_VALUE"""),"Organized Advocacy")</f>
        <v>Organized Advocacy</v>
      </c>
      <c r="AC591" s="1" t="str">
        <f>IFERROR(__xludf.DUMMYFUNCTION("""COMPUTED_VALUE"""),"")</f>
        <v/>
      </c>
      <c r="AD591" s="1" t="str">
        <f>IFERROR(__xludf.DUMMYFUNCTION("""COMPUTED_VALUE"""),"")</f>
        <v/>
      </c>
      <c r="AE591" s="1" t="str">
        <f>IFERROR(__xludf.DUMMYFUNCTION("""COMPUTED_VALUE"""),"")</f>
        <v/>
      </c>
      <c r="AF591" s="2" t="str">
        <f>IFERROR(__xludf.DUMMYFUNCTION("""COMPUTED_VALUE"""),"https://actionnetwork.org/petitions/stop-east-greenwich-data-center")</f>
        <v>https://actionnetwork.org/petitions/stop-east-greenwich-data-center</v>
      </c>
      <c r="AG591" s="1" t="str">
        <f>IFERROR(__xludf.DUMMYFUNCTION("""COMPUTED_VALUE"""),"")</f>
        <v/>
      </c>
      <c r="AH591" s="1" t="str">
        <f>IFERROR(__xludf.DUMMYFUNCTION("""COMPUTED_VALUE"""),"Media Monitoring")</f>
        <v>Media Monitoring</v>
      </c>
      <c r="AI591" s="2" t="str">
        <f>IFERROR(__xludf.DUMMYFUNCTION("""COMPUTED_VALUE"""),"https://www.datacenterdynamics.com/en/news/american-tower-withdraws-plans-for-data-center-in-new-jersey/")</f>
        <v>https://www.datacenterdynamics.com/en/news/american-tower-withdraws-plans-for-data-center-in-new-jersey/</v>
      </c>
      <c r="AJ591" s="1" t="str">
        <f>IFERROR(__xludf.DUMMYFUNCTION("""COMPUTED_VALUE"""),"")</f>
        <v/>
      </c>
      <c r="AK591" s="1" t="str">
        <f>IFERROR(__xludf.DUMMYFUNCTION("""COMPUTED_VALUE"""),"")</f>
        <v/>
      </c>
      <c r="AL591" s="1" t="str">
        <f>IFERROR(__xludf.DUMMYFUNCTION("""COMPUTED_VALUE"""),"")</f>
        <v/>
      </c>
      <c r="AM591" s="1" t="str">
        <f>IFERROR(__xludf.DUMMYFUNCTION("""COMPUTED_VALUE"""),"")</f>
        <v/>
      </c>
      <c r="AN591" s="1" t="str">
        <f>IFERROR(__xludf.DUMMYFUNCTION("""COMPUTED_VALUE"""),"")</f>
        <v/>
      </c>
      <c r="AO591" s="1" t="str">
        <f>IFERROR(__xludf.DUMMYFUNCTION("""COMPUTED_VALUE"""),"")</f>
        <v/>
      </c>
      <c r="AP591" s="1" t="str">
        <f>IFERROR(__xludf.DUMMYFUNCTION("""COMPUTED_VALUE"""),"")</f>
        <v/>
      </c>
      <c r="AQ591" s="1" t="str">
        <f>IFERROR(__xludf.DUMMYFUNCTION("""COMPUTED_VALUE"""),"06/29/2026")</f>
        <v>06/29/2026</v>
      </c>
      <c r="AR591" s="1" t="str">
        <f>IFERROR(__xludf.DUMMYFUNCTION("""COMPUTED_VALUE"""),"06/29/2026")</f>
        <v>06/29/2026</v>
      </c>
    </row>
    <row r="592">
      <c r="A592" s="1" t="str">
        <f>IFERROR(__xludf.DUMMYFUNCTION("""COMPUTED_VALUE"""),"New Brunswick Data Center")</f>
        <v>New Brunswick Data Center</v>
      </c>
      <c r="B592" s="1" t="str">
        <f>IFERROR(__xludf.DUMMYFUNCTION("""COMPUTED_VALUE"""),"~100 Jersey Ave")</f>
        <v>~100 Jersey Ave</v>
      </c>
      <c r="C592" s="1" t="str">
        <f>IFERROR(__xludf.DUMMYFUNCTION("""COMPUTED_VALUE"""),"New Brunswick")</f>
        <v>New Brunswick</v>
      </c>
      <c r="D592" s="1" t="str">
        <f>IFERROR(__xludf.DUMMYFUNCTION("""COMPUTED_VALUE"""),"NJ")</f>
        <v>NJ</v>
      </c>
      <c r="E592" s="1" t="str">
        <f>IFERROR(__xludf.DUMMYFUNCTION("""COMPUTED_VALUE"""),"08901")</f>
        <v>08901</v>
      </c>
      <c r="F592" s="1" t="str">
        <f>IFERROR(__xludf.DUMMYFUNCTION("""COMPUTED_VALUE"""),"Middlesex")</f>
        <v>Middlesex</v>
      </c>
      <c r="G592" s="1" t="str">
        <f>IFERROR(__xludf.DUMMYFUNCTION("""COMPUTED_VALUE"""),"40.48662")</f>
        <v>40.48662</v>
      </c>
      <c r="H592" s="1" t="str">
        <f>IFERROR(__xludf.DUMMYFUNCTION("""COMPUTED_VALUE"""),"-74.45843")</f>
        <v>-74.45843</v>
      </c>
      <c r="I592" s="1" t="str">
        <f>IFERROR(__xludf.DUMMYFUNCTION("""COMPUTED_VALUE"""),"Cancelled")</f>
        <v>Cancelled</v>
      </c>
      <c r="J592" s="1" t="str">
        <f>IFERROR(__xludf.DUMMYFUNCTION("""COMPUTED_VALUE"""),"High")</f>
        <v>High</v>
      </c>
      <c r="K592" s="1" t="str">
        <f>IFERROR(__xludf.DUMMYFUNCTION("""COMPUTED_VALUE"""),"")</f>
        <v/>
      </c>
      <c r="L592" s="1" t="str">
        <f>IFERROR(__xludf.DUMMYFUNCTION("""COMPUTED_VALUE"""),"")</f>
        <v/>
      </c>
      <c r="M592" s="1" t="str">
        <f>IFERROR(__xludf.DUMMYFUNCTION("""COMPUTED_VALUE"""),"")</f>
        <v/>
      </c>
      <c r="N592" s="1" t="str">
        <f>IFERROR(__xludf.DUMMYFUNCTION("""COMPUTED_VALUE"""),"")</f>
        <v/>
      </c>
      <c r="O592" s="1" t="str">
        <f>IFERROR(__xludf.DUMMYFUNCTION("""COMPUTED_VALUE"""),"Unknown")</f>
        <v>Unknown</v>
      </c>
      <c r="P592" s="1" t="str">
        <f>IFERROR(__xludf.DUMMYFUNCTION("""COMPUTED_VALUE"""),"")</f>
        <v/>
      </c>
      <c r="Q592" s="1" t="str">
        <f>IFERROR(__xludf.DUMMYFUNCTION("""COMPUTED_VALUE"""),"")</f>
        <v/>
      </c>
      <c r="R592" s="1" t="str">
        <f>IFERROR(__xludf.DUMMYFUNCTION("""COMPUTED_VALUE"""),"")</f>
        <v/>
      </c>
      <c r="S592" s="1" t="str">
        <f>IFERROR(__xludf.DUMMYFUNCTION("""COMPUTED_VALUE"""),"")</f>
        <v/>
      </c>
      <c r="T592" s="1" t="str">
        <f>IFERROR(__xludf.DUMMYFUNCTION("""COMPUTED_VALUE"""),"")</f>
        <v/>
      </c>
      <c r="U592" s="1" t="str">
        <f>IFERROR(__xludf.DUMMYFUNCTION("""COMPUTED_VALUE"""),"")</f>
        <v/>
      </c>
      <c r="V592" s="1" t="str">
        <f>IFERROR(__xludf.DUMMYFUNCTION("""COMPUTED_VALUE"""),"27,000")</f>
        <v>27,000</v>
      </c>
      <c r="W592" s="1" t="str">
        <f>IFERROR(__xludf.DUMMYFUNCTION("""COMPUTED_VALUE"""),"22")</f>
        <v>22</v>
      </c>
      <c r="X592" s="1" t="str">
        <f>IFERROR(__xludf.DUMMYFUNCTION("""COMPUTED_VALUE"""),"")</f>
        <v/>
      </c>
      <c r="Y592" s="1" t="str">
        <f>IFERROR(__xludf.DUMMYFUNCTION("""COMPUTED_VALUE"""),"")</f>
        <v/>
      </c>
      <c r="Z592" s="1" t="str">
        <f>IFERROR(__xludf.DUMMYFUNCTION("""COMPUTED_VALUE"""),"Yes")</f>
        <v>Yes</v>
      </c>
      <c r="AA592" s="1" t="str">
        <f>IFERROR(__xludf.DUMMYFUNCTION("""COMPUTED_VALUE"""),"Climate Revolution NJ")</f>
        <v>Climate Revolution NJ</v>
      </c>
      <c r="AB592" s="1" t="str">
        <f>IFERROR(__xludf.DUMMYFUNCTION("""COMPUTED_VALUE"""),"")</f>
        <v/>
      </c>
      <c r="AC592" s="1" t="str">
        <f>IFERROR(__xludf.DUMMYFUNCTION("""COMPUTED_VALUE"""),"")</f>
        <v/>
      </c>
      <c r="AD592" s="2" t="str">
        <f>IFERROR(__xludf.DUMMYFUNCTION("""COMPUTED_VALUE"""),"https://www.instagram.com/climaterevolutionnj/?utm_source=ig_embed&amp;ig_rid=2c789900-56ad-411d-b731-4bf9a380550f")</f>
        <v>https://www.instagram.com/climaterevolutionnj/?utm_source=ig_embed&amp;ig_rid=2c789900-56ad-411d-b731-4bf9a380550f</v>
      </c>
      <c r="AE592" s="1" t="str">
        <f>IFERROR(__xludf.DUMMYFUNCTION("""COMPUTED_VALUE"""),"")</f>
        <v/>
      </c>
      <c r="AF592" s="1" t="str">
        <f>IFERROR(__xludf.DUMMYFUNCTION("""COMPUTED_VALUE"""),"")</f>
        <v/>
      </c>
      <c r="AG592" s="1" t="str">
        <f>IFERROR(__xludf.DUMMYFUNCTION("""COMPUTED_VALUE"""),"")</f>
        <v/>
      </c>
      <c r="AH592" s="1" t="str">
        <f>IFERROR(__xludf.DUMMYFUNCTION("""COMPUTED_VALUE"""),"Media Monitoring")</f>
        <v>Media Monitoring</v>
      </c>
      <c r="AI592" s="2" t="str">
        <f>IFERROR(__xludf.DUMMYFUNCTION("""COMPUTED_VALUE"""),"https://www.datacenterdynamics.com/en/news/proposed-data-center-in-new-brunswick-new-jersey-denied-by-local-authorities/")</f>
        <v>https://www.datacenterdynamics.com/en/news/proposed-data-center-in-new-brunswick-new-jersey-denied-by-local-authorities/</v>
      </c>
      <c r="AJ592" s="1" t="str">
        <f>IFERROR(__xludf.DUMMYFUNCTION("""COMPUTED_VALUE"""),"")</f>
        <v/>
      </c>
      <c r="AK592" s="1" t="str">
        <f>IFERROR(__xludf.DUMMYFUNCTION("""COMPUTED_VALUE"""),"")</f>
        <v/>
      </c>
      <c r="AL592" s="1" t="str">
        <f>IFERROR(__xludf.DUMMYFUNCTION("""COMPUTED_VALUE"""),"")</f>
        <v/>
      </c>
      <c r="AM592" s="1" t="str">
        <f>IFERROR(__xludf.DUMMYFUNCTION("""COMPUTED_VALUE"""),"")</f>
        <v/>
      </c>
      <c r="AN592" s="1" t="str">
        <f>IFERROR(__xludf.DUMMYFUNCTION("""COMPUTED_VALUE"""),"")</f>
        <v/>
      </c>
      <c r="AO592" s="1" t="str">
        <f>IFERROR(__xludf.DUMMYFUNCTION("""COMPUTED_VALUE"""),"")</f>
        <v/>
      </c>
      <c r="AP592" s="1" t="str">
        <f>IFERROR(__xludf.DUMMYFUNCTION("""COMPUTED_VALUE"""),"")</f>
        <v/>
      </c>
      <c r="AQ592" s="1" t="str">
        <f>IFERROR(__xludf.DUMMYFUNCTION("""COMPUTED_VALUE"""),"02/24/2026")</f>
        <v>02/24/2026</v>
      </c>
      <c r="AR592" s="1" t="str">
        <f>IFERROR(__xludf.DUMMYFUNCTION("""COMPUTED_VALUE"""),"02/24/2026")</f>
        <v>02/24/2026</v>
      </c>
    </row>
    <row r="593">
      <c r="A593" s="1" t="str">
        <f>IFERROR(__xludf.DUMMYFUNCTION("""COMPUTED_VALUE"""),"Newton Data Center")</f>
        <v>Newton Data Center</v>
      </c>
      <c r="B593" s="1" t="str">
        <f>IFERROR(__xludf.DUMMYFUNCTION("""COMPUTED_VALUE"""),"248 Stickles Pond Rd")</f>
        <v>248 Stickles Pond Rd</v>
      </c>
      <c r="C593" s="1" t="str">
        <f>IFERROR(__xludf.DUMMYFUNCTION("""COMPUTED_VALUE"""),"Newton")</f>
        <v>Newton</v>
      </c>
      <c r="D593" s="1" t="str">
        <f>IFERROR(__xludf.DUMMYFUNCTION("""COMPUTED_VALUE"""),"NJ")</f>
        <v>NJ</v>
      </c>
      <c r="E593" s="1" t="str">
        <f>IFERROR(__xludf.DUMMYFUNCTION("""COMPUTED_VALUE"""),"07860")</f>
        <v>07860</v>
      </c>
      <c r="F593" s="1" t="str">
        <f>IFERROR(__xludf.DUMMYFUNCTION("""COMPUTED_VALUE"""),"Sussex")</f>
        <v>Sussex</v>
      </c>
      <c r="G593" s="1" t="str">
        <f>IFERROR(__xludf.DUMMYFUNCTION("""COMPUTED_VALUE"""),"41.02557")</f>
        <v>41.02557</v>
      </c>
      <c r="H593" s="1" t="str">
        <f>IFERROR(__xludf.DUMMYFUNCTION("""COMPUTED_VALUE"""),"-74.758255")</f>
        <v>-74.758255</v>
      </c>
      <c r="I593" s="1" t="str">
        <f>IFERROR(__xludf.DUMMYFUNCTION("""COMPUTED_VALUE"""),"Cancelled")</f>
        <v>Cancelled</v>
      </c>
      <c r="J593" s="1" t="str">
        <f>IFERROR(__xludf.DUMMYFUNCTION("""COMPUTED_VALUE"""),"High")</f>
        <v>High</v>
      </c>
      <c r="K593" s="1" t="str">
        <f>IFERROR(__xludf.DUMMYFUNCTION("""COMPUTED_VALUE"""),"")</f>
        <v/>
      </c>
      <c r="L593" s="1" t="str">
        <f>IFERROR(__xludf.DUMMYFUNCTION("""COMPUTED_VALUE"""),"")</f>
        <v/>
      </c>
      <c r="M593" s="1" t="str">
        <f>IFERROR(__xludf.DUMMYFUNCTION("""COMPUTED_VALUE"""),"")</f>
        <v/>
      </c>
      <c r="N593" s="1" t="str">
        <f>IFERROR(__xludf.DUMMYFUNCTION("""COMPUTED_VALUE"""),"")</f>
        <v/>
      </c>
      <c r="O593" s="1" t="str">
        <f>IFERROR(__xludf.DUMMYFUNCTION("""COMPUTED_VALUE"""),"Unknown")</f>
        <v>Unknown</v>
      </c>
      <c r="P593" s="1" t="str">
        <f>IFERROR(__xludf.DUMMYFUNCTION("""COMPUTED_VALUE"""),"")</f>
        <v/>
      </c>
      <c r="Q593" s="1" t="str">
        <f>IFERROR(__xludf.DUMMYFUNCTION("""COMPUTED_VALUE"""),"")</f>
        <v/>
      </c>
      <c r="R593" s="1" t="str">
        <f>IFERROR(__xludf.DUMMYFUNCTION("""COMPUTED_VALUE"""),"")</f>
        <v/>
      </c>
      <c r="S593" s="1" t="str">
        <f>IFERROR(__xludf.DUMMYFUNCTION("""COMPUTED_VALUE"""),"")</f>
        <v/>
      </c>
      <c r="T593" s="1" t="str">
        <f>IFERROR(__xludf.DUMMYFUNCTION("""COMPUTED_VALUE"""),"")</f>
        <v/>
      </c>
      <c r="U593" s="1" t="str">
        <f>IFERROR(__xludf.DUMMYFUNCTION("""COMPUTED_VALUE"""),"")</f>
        <v/>
      </c>
      <c r="V593" s="1" t="str">
        <f>IFERROR(__xludf.DUMMYFUNCTION("""COMPUTED_VALUE"""),"650000")</f>
        <v>650000</v>
      </c>
      <c r="W593" s="1" t="str">
        <f>IFERROR(__xludf.DUMMYFUNCTION("""COMPUTED_VALUE"""),"97")</f>
        <v>97</v>
      </c>
      <c r="X593" s="1" t="str">
        <f>IFERROR(__xludf.DUMMYFUNCTION("""COMPUTED_VALUE"""),"")</f>
        <v/>
      </c>
      <c r="Y593" s="1" t="str">
        <f>IFERROR(__xludf.DUMMYFUNCTION("""COMPUTED_VALUE"""),"")</f>
        <v/>
      </c>
      <c r="Z593" s="1" t="str">
        <f>IFERROR(__xludf.DUMMYFUNCTION("""COMPUTED_VALUE"""),"Yes")</f>
        <v>Yes</v>
      </c>
      <c r="AA593" s="1" t="str">
        <f>IFERROR(__xludf.DUMMYFUNCTION("""COMPUTED_VALUE"""),"")</f>
        <v/>
      </c>
      <c r="AB593" s="1" t="str">
        <f>IFERROR(__xludf.DUMMYFUNCTION("""COMPUTED_VALUE"""),"Organized Advocacy")</f>
        <v>Organized Advocacy</v>
      </c>
      <c r="AC593" s="1" t="str">
        <f>IFERROR(__xludf.DUMMYFUNCTION("""COMPUTED_VALUE"""),"")</f>
        <v/>
      </c>
      <c r="AD593" s="1" t="str">
        <f>IFERROR(__xludf.DUMMYFUNCTION("""COMPUTED_VALUE"""),"")</f>
        <v/>
      </c>
      <c r="AE593" s="1" t="str">
        <f>IFERROR(__xludf.DUMMYFUNCTION("""COMPUTED_VALUE"""),"")</f>
        <v/>
      </c>
      <c r="AF593" s="1" t="str">
        <f>IFERROR(__xludf.DUMMYFUNCTION("""COMPUTED_VALUE"""),"")</f>
        <v/>
      </c>
      <c r="AG593" s="1" t="str">
        <f>IFERROR(__xludf.DUMMYFUNCTION("""COMPUTED_VALUE"""),"Significant local push-back resulted in ban")</f>
        <v>Significant local push-back resulted in ban</v>
      </c>
      <c r="AH593" s="1" t="str">
        <f>IFERROR(__xludf.DUMMYFUNCTION("""COMPUTED_VALUE"""),"Media Monitoring")</f>
        <v>Media Monitoring</v>
      </c>
      <c r="AI593" s="2" t="str">
        <f>IFERROR(__xludf.DUMMYFUNCTION("""COMPUTED_VALUE"""),"https://www.nj.com/news/2026/05/a-huge-ai-data-center-could-be-coming-to-an-old-nj-airport-but-some-residents-are-fighting-back.html")</f>
        <v>https://www.nj.com/news/2026/05/a-huge-ai-data-center-could-be-coming-to-an-old-nj-airport-but-some-residents-are-fighting-back.html</v>
      </c>
      <c r="AJ593" s="2" t="str">
        <f>IFERROR(__xludf.DUMMYFUNCTION("""COMPUTED_VALUE"""),"https://www.msn.com/en-us/news/us/town-hall-meeting-erupts-in-cheers-as-plans-for-new-jersey-data-center-are-scrapped/ar-AA24oqHL")</f>
        <v>https://www.msn.com/en-us/news/us/town-hall-meeting-erupts-in-cheers-as-plans-for-new-jersey-data-center-are-scrapped/ar-AA24oqHL</v>
      </c>
      <c r="AK593" s="2" t="str">
        <f>IFERROR(__xludf.DUMMYFUNCTION("""COMPUTED_VALUE"""),"https://nj1015.com/andover-township-data-center-ban/")</f>
        <v>https://nj1015.com/andover-township-data-center-ban/</v>
      </c>
      <c r="AL593" s="1" t="str">
        <f>IFERROR(__xludf.DUMMYFUNCTION("""COMPUTED_VALUE"""),"")</f>
        <v/>
      </c>
      <c r="AM593" s="1" t="str">
        <f>IFERROR(__xludf.DUMMYFUNCTION("""COMPUTED_VALUE"""),"")</f>
        <v/>
      </c>
      <c r="AN593" s="1" t="str">
        <f>IFERROR(__xludf.DUMMYFUNCTION("""COMPUTED_VALUE"""),"")</f>
        <v/>
      </c>
      <c r="AO593" s="1" t="str">
        <f>IFERROR(__xludf.DUMMYFUNCTION("""COMPUTED_VALUE"""),"")</f>
        <v/>
      </c>
      <c r="AP593" s="1" t="str">
        <f>IFERROR(__xludf.DUMMYFUNCTION("""COMPUTED_VALUE"""),"")</f>
        <v/>
      </c>
      <c r="AQ593" s="1" t="str">
        <f>IFERROR(__xludf.DUMMYFUNCTION("""COMPUTED_VALUE"""),"06/01/2026")</f>
        <v>06/01/2026</v>
      </c>
      <c r="AR593" s="1" t="str">
        <f>IFERROR(__xludf.DUMMYFUNCTION("""COMPUTED_VALUE"""),"06/01/2026")</f>
        <v>06/01/2026</v>
      </c>
    </row>
    <row r="594">
      <c r="A594" s="1" t="str">
        <f>IFERROR(__xludf.DUMMYFUNCTION("""COMPUTED_VALUE"""),"GI Partners Data Center")</f>
        <v>GI Partners Data Center</v>
      </c>
      <c r="B594" s="1" t="str">
        <f>IFERROR(__xludf.DUMMYFUNCTION("""COMPUTED_VALUE"""),"492 River Rd")</f>
        <v>492 River Rd</v>
      </c>
      <c r="C594" s="1" t="str">
        <f>IFERROR(__xludf.DUMMYFUNCTION("""COMPUTED_VALUE"""),"Nutley")</f>
        <v>Nutley</v>
      </c>
      <c r="D594" s="1" t="str">
        <f>IFERROR(__xludf.DUMMYFUNCTION("""COMPUTED_VALUE"""),"NJ")</f>
        <v>NJ</v>
      </c>
      <c r="E594" s="1" t="str">
        <f>IFERROR(__xludf.DUMMYFUNCTION("""COMPUTED_VALUE"""),"07110")</f>
        <v>07110</v>
      </c>
      <c r="F594" s="1" t="str">
        <f>IFERROR(__xludf.DUMMYFUNCTION("""COMPUTED_VALUE"""),"Essex")</f>
        <v>Essex</v>
      </c>
      <c r="G594" s="1" t="str">
        <f>IFERROR(__xludf.DUMMYFUNCTION("""COMPUTED_VALUE"""),"40.82151")</f>
        <v>40.82151</v>
      </c>
      <c r="H594" s="1" t="str">
        <f>IFERROR(__xludf.DUMMYFUNCTION("""COMPUTED_VALUE"""),"-74.1342")</f>
        <v>-74.1342</v>
      </c>
      <c r="I594" s="1" t="str">
        <f>IFERROR(__xludf.DUMMYFUNCTION("""COMPUTED_VALUE"""),"Operating")</f>
        <v>Operating</v>
      </c>
      <c r="J594" s="1" t="str">
        <f>IFERROR(__xludf.DUMMYFUNCTION("""COMPUTED_VALUE"""),"High")</f>
        <v>High</v>
      </c>
      <c r="K594" s="1" t="str">
        <f>IFERROR(__xludf.DUMMYFUNCTION("""COMPUTED_VALUE"""),"")</f>
        <v/>
      </c>
      <c r="L594" s="1" t="str">
        <f>IFERROR(__xludf.DUMMYFUNCTION("""COMPUTED_VALUE"""),"")</f>
        <v/>
      </c>
      <c r="M594" s="1" t="str">
        <f>IFERROR(__xludf.DUMMYFUNCTION("""COMPUTED_VALUE"""),"")</f>
        <v/>
      </c>
      <c r="N594" s="1" t="str">
        <f>IFERROR(__xludf.DUMMYFUNCTION("""COMPUTED_VALUE"""),"")</f>
        <v/>
      </c>
      <c r="O594" s="1" t="str">
        <f>IFERROR(__xludf.DUMMYFUNCTION("""COMPUTED_VALUE"""),"Unknown")</f>
        <v>Unknown</v>
      </c>
      <c r="P594" s="1" t="str">
        <f>IFERROR(__xludf.DUMMYFUNCTION("""COMPUTED_VALUE"""),"")</f>
        <v/>
      </c>
      <c r="Q594" s="1" t="str">
        <f>IFERROR(__xludf.DUMMYFUNCTION("""COMPUTED_VALUE"""),"")</f>
        <v/>
      </c>
      <c r="R594" s="1" t="str">
        <f>IFERROR(__xludf.DUMMYFUNCTION("""COMPUTED_VALUE"""),"")</f>
        <v/>
      </c>
      <c r="S594" s="1" t="str">
        <f>IFERROR(__xludf.DUMMYFUNCTION("""COMPUTED_VALUE"""),"")</f>
        <v/>
      </c>
      <c r="T594" s="1" t="str">
        <f>IFERROR(__xludf.DUMMYFUNCTION("""COMPUTED_VALUE"""),"")</f>
        <v/>
      </c>
      <c r="U594" s="1" t="str">
        <f>IFERROR(__xludf.DUMMYFUNCTION("""COMPUTED_VALUE"""),"")</f>
        <v/>
      </c>
      <c r="V594" s="1" t="str">
        <f>IFERROR(__xludf.DUMMYFUNCTION("""COMPUTED_VALUE"""),"130,000")</f>
        <v>130,000</v>
      </c>
      <c r="W594" s="1" t="str">
        <f>IFERROR(__xludf.DUMMYFUNCTION("""COMPUTED_VALUE"""),"")</f>
        <v/>
      </c>
      <c r="X594" s="1" t="str">
        <f>IFERROR(__xludf.DUMMYFUNCTION("""COMPUTED_VALUE"""),"")</f>
        <v/>
      </c>
      <c r="Y594" s="1" t="str">
        <f>IFERROR(__xludf.DUMMYFUNCTION("""COMPUTED_VALUE"""),"")</f>
        <v/>
      </c>
      <c r="Z594" s="1" t="str">
        <f>IFERROR(__xludf.DUMMYFUNCTION("""COMPUTED_VALUE"""),"Unknown")</f>
        <v>Unknown</v>
      </c>
      <c r="AA594" s="1" t="str">
        <f>IFERROR(__xludf.DUMMYFUNCTION("""COMPUTED_VALUE"""),"")</f>
        <v/>
      </c>
      <c r="AB594" s="1" t="str">
        <f>IFERROR(__xludf.DUMMYFUNCTION("""COMPUTED_VALUE"""),"")</f>
        <v/>
      </c>
      <c r="AC594" s="1" t="str">
        <f>IFERROR(__xludf.DUMMYFUNCTION("""COMPUTED_VALUE"""),"")</f>
        <v/>
      </c>
      <c r="AD594" s="1" t="str">
        <f>IFERROR(__xludf.DUMMYFUNCTION("""COMPUTED_VALUE"""),"")</f>
        <v/>
      </c>
      <c r="AE594" s="1" t="str">
        <f>IFERROR(__xludf.DUMMYFUNCTION("""COMPUTED_VALUE"""),"")</f>
        <v/>
      </c>
      <c r="AF594" s="1" t="str">
        <f>IFERROR(__xludf.DUMMYFUNCTION("""COMPUTED_VALUE"""),"")</f>
        <v/>
      </c>
      <c r="AG594" s="1" t="str">
        <f>IFERROR(__xludf.DUMMYFUNCTION("""COMPUTED_VALUE"""),"")</f>
        <v/>
      </c>
      <c r="AH594" s="1" t="str">
        <f>IFERROR(__xludf.DUMMYFUNCTION("""COMPUTED_VALUE"""),"Media Monitoring")</f>
        <v>Media Monitoring</v>
      </c>
      <c r="AI594" s="2" t="str">
        <f>IFERROR(__xludf.DUMMYFUNCTION("""COMPUTED_VALUE"""),"https://www.datacenterdynamics.com/en/news/gi-partners-acquires-130000-sq-ft-data-center-in-nutley-new-jersey/")</f>
        <v>https://www.datacenterdynamics.com/en/news/gi-partners-acquires-130000-sq-ft-data-center-in-nutley-new-jersey/</v>
      </c>
      <c r="AJ594" s="1" t="str">
        <f>IFERROR(__xludf.DUMMYFUNCTION("""COMPUTED_VALUE"""),"")</f>
        <v/>
      </c>
      <c r="AK594" s="1" t="str">
        <f>IFERROR(__xludf.DUMMYFUNCTION("""COMPUTED_VALUE"""),"")</f>
        <v/>
      </c>
      <c r="AL594" s="1" t="str">
        <f>IFERROR(__xludf.DUMMYFUNCTION("""COMPUTED_VALUE"""),"")</f>
        <v/>
      </c>
      <c r="AM594" s="1" t="str">
        <f>IFERROR(__xludf.DUMMYFUNCTION("""COMPUTED_VALUE"""),"")</f>
        <v/>
      </c>
      <c r="AN594" s="1" t="str">
        <f>IFERROR(__xludf.DUMMYFUNCTION("""COMPUTED_VALUE"""),"")</f>
        <v/>
      </c>
      <c r="AO594" s="1" t="str">
        <f>IFERROR(__xludf.DUMMYFUNCTION("""COMPUTED_VALUE"""),"")</f>
        <v/>
      </c>
      <c r="AP594" s="1" t="str">
        <f>IFERROR(__xludf.DUMMYFUNCTION("""COMPUTED_VALUE"""),"")</f>
        <v/>
      </c>
      <c r="AQ594" s="1" t="str">
        <f>IFERROR(__xludf.DUMMYFUNCTION("""COMPUTED_VALUE"""),"07/25/2025")</f>
        <v>07/25/2025</v>
      </c>
      <c r="AR594" s="1" t="str">
        <f>IFERROR(__xludf.DUMMYFUNCTION("""COMPUTED_VALUE"""),"07/25/2025")</f>
        <v>07/25/2025</v>
      </c>
    </row>
    <row r="595">
      <c r="A595" s="1" t="str">
        <f>IFERROR(__xludf.DUMMYFUNCTION("""COMPUTED_VALUE"""),"Prism Capital Partners Data Center")</f>
        <v>Prism Capital Partners Data Center</v>
      </c>
      <c r="B595" s="1" t="str">
        <f>IFERROR(__xludf.DUMMYFUNCTION("""COMPUTED_VALUE"""),"Cathedral Ave &amp; Kingsland St")</f>
        <v>Cathedral Ave &amp; Kingsland St</v>
      </c>
      <c r="C595" s="1" t="str">
        <f>IFERROR(__xludf.DUMMYFUNCTION("""COMPUTED_VALUE"""),"Nutley")</f>
        <v>Nutley</v>
      </c>
      <c r="D595" s="1" t="str">
        <f>IFERROR(__xludf.DUMMYFUNCTION("""COMPUTED_VALUE"""),"NJ")</f>
        <v>NJ</v>
      </c>
      <c r="E595" s="1" t="str">
        <f>IFERROR(__xludf.DUMMYFUNCTION("""COMPUTED_VALUE"""),"07110")</f>
        <v>07110</v>
      </c>
      <c r="F595" s="1" t="str">
        <f>IFERROR(__xludf.DUMMYFUNCTION("""COMPUTED_VALUE"""),"Essex")</f>
        <v>Essex</v>
      </c>
      <c r="G595" s="1" t="str">
        <f>IFERROR(__xludf.DUMMYFUNCTION("""COMPUTED_VALUE"""),"40.8294")</f>
        <v>40.8294</v>
      </c>
      <c r="H595" s="1" t="str">
        <f>IFERROR(__xludf.DUMMYFUNCTION("""COMPUTED_VALUE"""),"-74.1536")</f>
        <v>-74.1536</v>
      </c>
      <c r="I595" s="1" t="str">
        <f>IFERROR(__xludf.DUMMYFUNCTION("""COMPUTED_VALUE"""),"Proposed")</f>
        <v>Proposed</v>
      </c>
      <c r="J595" s="1" t="str">
        <f>IFERROR(__xludf.DUMMYFUNCTION("""COMPUTED_VALUE"""),"High")</f>
        <v>High</v>
      </c>
      <c r="K595" s="1" t="str">
        <f>IFERROR(__xludf.DUMMYFUNCTION("""COMPUTED_VALUE"""),"")</f>
        <v/>
      </c>
      <c r="L595" s="1" t="str">
        <f>IFERROR(__xludf.DUMMYFUNCTION("""COMPUTED_VALUE"""),"")</f>
        <v/>
      </c>
      <c r="M595" s="1" t="str">
        <f>IFERROR(__xludf.DUMMYFUNCTION("""COMPUTED_VALUE"""),"")</f>
        <v/>
      </c>
      <c r="N595" s="1" t="str">
        <f>IFERROR(__xludf.DUMMYFUNCTION("""COMPUTED_VALUE"""),"")</f>
        <v/>
      </c>
      <c r="O595" s="1" t="str">
        <f>IFERROR(__xludf.DUMMYFUNCTION("""COMPUTED_VALUE"""),"Unknown")</f>
        <v>Unknown</v>
      </c>
      <c r="P595" s="1" t="str">
        <f>IFERROR(__xludf.DUMMYFUNCTION("""COMPUTED_VALUE"""),"")</f>
        <v/>
      </c>
      <c r="Q595" s="1" t="str">
        <f>IFERROR(__xludf.DUMMYFUNCTION("""COMPUTED_VALUE"""),"")</f>
        <v/>
      </c>
      <c r="R595" s="1" t="str">
        <f>IFERROR(__xludf.DUMMYFUNCTION("""COMPUTED_VALUE"""),"")</f>
        <v/>
      </c>
      <c r="S595" s="1" t="str">
        <f>IFERROR(__xludf.DUMMYFUNCTION("""COMPUTED_VALUE"""),"")</f>
        <v/>
      </c>
      <c r="T595" s="1" t="str">
        <f>IFERROR(__xludf.DUMMYFUNCTION("""COMPUTED_VALUE"""),"")</f>
        <v/>
      </c>
      <c r="U595" s="1" t="str">
        <f>IFERROR(__xludf.DUMMYFUNCTION("""COMPUTED_VALUE"""),"")</f>
        <v/>
      </c>
      <c r="V595" s="1" t="str">
        <f>IFERROR(__xludf.DUMMYFUNCTION("""COMPUTED_VALUE"""),"")</f>
        <v/>
      </c>
      <c r="W595" s="1" t="str">
        <f>IFERROR(__xludf.DUMMYFUNCTION("""COMPUTED_VALUE"""),"11")</f>
        <v>11</v>
      </c>
      <c r="X595" s="1" t="str">
        <f>IFERROR(__xludf.DUMMYFUNCTION("""COMPUTED_VALUE"""),"")</f>
        <v/>
      </c>
      <c r="Y595" s="1" t="str">
        <f>IFERROR(__xludf.DUMMYFUNCTION("""COMPUTED_VALUE"""),"")</f>
        <v/>
      </c>
      <c r="Z595" s="1" t="str">
        <f>IFERROR(__xludf.DUMMYFUNCTION("""COMPUTED_VALUE"""),"Unknown")</f>
        <v>Unknown</v>
      </c>
      <c r="AA595" s="1" t="str">
        <f>IFERROR(__xludf.DUMMYFUNCTION("""COMPUTED_VALUE"""),"")</f>
        <v/>
      </c>
      <c r="AB595" s="1" t="str">
        <f>IFERROR(__xludf.DUMMYFUNCTION("""COMPUTED_VALUE"""),"")</f>
        <v/>
      </c>
      <c r="AC595" s="1" t="str">
        <f>IFERROR(__xludf.DUMMYFUNCTION("""COMPUTED_VALUE"""),"")</f>
        <v/>
      </c>
      <c r="AD595" s="1" t="str">
        <f>IFERROR(__xludf.DUMMYFUNCTION("""COMPUTED_VALUE"""),"")</f>
        <v/>
      </c>
      <c r="AE595" s="1" t="str">
        <f>IFERROR(__xludf.DUMMYFUNCTION("""COMPUTED_VALUE"""),"")</f>
        <v/>
      </c>
      <c r="AF595" s="1" t="str">
        <f>IFERROR(__xludf.DUMMYFUNCTION("""COMPUTED_VALUE"""),"")</f>
        <v/>
      </c>
      <c r="AG595" s="1" t="str">
        <f>IFERROR(__xludf.DUMMYFUNCTION("""COMPUTED_VALUE"""),"")</f>
        <v/>
      </c>
      <c r="AH595" s="1" t="str">
        <f>IFERROR(__xludf.DUMMYFUNCTION("""COMPUTED_VALUE"""),"Media Monitoring")</f>
        <v>Media Monitoring</v>
      </c>
      <c r="AI595" s="2" t="str">
        <f>IFERROR(__xludf.DUMMYFUNCTION("""COMPUTED_VALUE"""),"https://www.datacenterdynamics.com/en/news/approval-for-major-data-center-development-granted-to-prism-capital-partners-in-nutley-new-jersey/")</f>
        <v>https://www.datacenterdynamics.com/en/news/approval-for-major-data-center-development-granted-to-prism-capital-partners-in-nutley-new-jersey/</v>
      </c>
      <c r="AJ595" s="1" t="str">
        <f>IFERROR(__xludf.DUMMYFUNCTION("""COMPUTED_VALUE"""),"")</f>
        <v/>
      </c>
      <c r="AK595" s="1" t="str">
        <f>IFERROR(__xludf.DUMMYFUNCTION("""COMPUTED_VALUE"""),"")</f>
        <v/>
      </c>
      <c r="AL595" s="1" t="str">
        <f>IFERROR(__xludf.DUMMYFUNCTION("""COMPUTED_VALUE"""),"")</f>
        <v/>
      </c>
      <c r="AM595" s="1" t="str">
        <f>IFERROR(__xludf.DUMMYFUNCTION("""COMPUTED_VALUE"""),"")</f>
        <v/>
      </c>
      <c r="AN595" s="1" t="str">
        <f>IFERROR(__xludf.DUMMYFUNCTION("""COMPUTED_VALUE"""),"")</f>
        <v/>
      </c>
      <c r="AO595" s="1" t="str">
        <f>IFERROR(__xludf.DUMMYFUNCTION("""COMPUTED_VALUE"""),"")</f>
        <v/>
      </c>
      <c r="AP595" s="1" t="str">
        <f>IFERROR(__xludf.DUMMYFUNCTION("""COMPUTED_VALUE"""),"")</f>
        <v/>
      </c>
      <c r="AQ595" s="1" t="str">
        <f>IFERROR(__xludf.DUMMYFUNCTION("""COMPUTED_VALUE"""),"07/25/2025")</f>
        <v>07/25/2025</v>
      </c>
      <c r="AR595" s="1" t="str">
        <f>IFERROR(__xludf.DUMMYFUNCTION("""COMPUTED_VALUE"""),"07/25/2025")</f>
        <v>07/25/2025</v>
      </c>
    </row>
    <row r="596">
      <c r="A596" s="1" t="str">
        <f>IFERROR(__xludf.DUMMYFUNCTION("""COMPUTED_VALUE"""),"Nebius Data Center")</f>
        <v>Nebius Data Center</v>
      </c>
      <c r="B596" s="1" t="str">
        <f>IFERROR(__xludf.DUMMYFUNCTION("""COMPUTED_VALUE"""),"Lincoln and Sheridan Aves")</f>
        <v>Lincoln and Sheridan Aves</v>
      </c>
      <c r="C596" s="1" t="str">
        <f>IFERROR(__xludf.DUMMYFUNCTION("""COMPUTED_VALUE"""),"Vineland")</f>
        <v>Vineland</v>
      </c>
      <c r="D596" s="1" t="str">
        <f>IFERROR(__xludf.DUMMYFUNCTION("""COMPUTED_VALUE"""),"NJ")</f>
        <v>NJ</v>
      </c>
      <c r="E596" s="1" t="str">
        <f>IFERROR(__xludf.DUMMYFUNCTION("""COMPUTED_VALUE"""),"08361")</f>
        <v>08361</v>
      </c>
      <c r="F596" s="1" t="str">
        <f>IFERROR(__xludf.DUMMYFUNCTION("""COMPUTED_VALUE"""),"Cumberland")</f>
        <v>Cumberland</v>
      </c>
      <c r="G596" s="1" t="str">
        <f>IFERROR(__xludf.DUMMYFUNCTION("""COMPUTED_VALUE"""),"39.43012")</f>
        <v>39.43012</v>
      </c>
      <c r="H596" s="1" t="str">
        <f>IFERROR(__xludf.DUMMYFUNCTION("""COMPUTED_VALUE"""),"-75.0131")</f>
        <v>-75.0131</v>
      </c>
      <c r="I596" s="1" t="str">
        <f>IFERROR(__xludf.DUMMYFUNCTION("""COMPUTED_VALUE"""),"Approved/Permitted/Under construction")</f>
        <v>Approved/Permitted/Under construction</v>
      </c>
      <c r="J596" s="1" t="str">
        <f>IFERROR(__xludf.DUMMYFUNCTION("""COMPUTED_VALUE"""),"High")</f>
        <v>High</v>
      </c>
      <c r="K596" s="1" t="str">
        <f>IFERROR(__xludf.DUMMYFUNCTION("""COMPUTED_VALUE"""),"")</f>
        <v/>
      </c>
      <c r="L596" s="1" t="str">
        <f>IFERROR(__xludf.DUMMYFUNCTION("""COMPUTED_VALUE"""),"")</f>
        <v/>
      </c>
      <c r="M596" s="1" t="str">
        <f>IFERROR(__xludf.DUMMYFUNCTION("""COMPUTED_VALUE"""),"")</f>
        <v/>
      </c>
      <c r="N596" s="1" t="str">
        <f>IFERROR(__xludf.DUMMYFUNCTION("""COMPUTED_VALUE"""),"300-2,000")</f>
        <v>300-2,000</v>
      </c>
      <c r="O596" s="1" t="str">
        <f>IFERROR(__xludf.DUMMYFUNCTION("""COMPUTED_VALUE"""),"Mega campus (&gt;1,000 MW)")</f>
        <v>Mega campus (&gt;1,000 MW)</v>
      </c>
      <c r="P596" s="1" t="str">
        <f>IFERROR(__xludf.DUMMYFUNCTION("""COMPUTED_VALUE"""),"")</f>
        <v/>
      </c>
      <c r="Q596" s="1" t="str">
        <f>IFERROR(__xludf.DUMMYFUNCTION("""COMPUTED_VALUE"""),"")</f>
        <v/>
      </c>
      <c r="R596" s="1" t="str">
        <f>IFERROR(__xludf.DUMMYFUNCTION("""COMPUTED_VALUE"""),"")</f>
        <v/>
      </c>
      <c r="S596" s="1" t="str">
        <f>IFERROR(__xludf.DUMMYFUNCTION("""COMPUTED_VALUE"""),"")</f>
        <v/>
      </c>
      <c r="T596" s="1" t="str">
        <f>IFERROR(__xludf.DUMMYFUNCTION("""COMPUTED_VALUE"""),"")</f>
        <v/>
      </c>
      <c r="U596" s="1" t="str">
        <f>IFERROR(__xludf.DUMMYFUNCTION("""COMPUTED_VALUE"""),"")</f>
        <v/>
      </c>
      <c r="V596" s="1" t="str">
        <f>IFERROR(__xludf.DUMMYFUNCTION("""COMPUTED_VALUE"""),"2,600,000")</f>
        <v>2,600,000</v>
      </c>
      <c r="W596" s="1" t="str">
        <f>IFERROR(__xludf.DUMMYFUNCTION("""COMPUTED_VALUE"""),"")</f>
        <v/>
      </c>
      <c r="X596" s="1" t="str">
        <f>IFERROR(__xludf.DUMMYFUNCTION("""COMPUTED_VALUE"""),"")</f>
        <v/>
      </c>
      <c r="Y596" s="1" t="str">
        <f>IFERROR(__xludf.DUMMYFUNCTION("""COMPUTED_VALUE"""),"")</f>
        <v/>
      </c>
      <c r="Z596" s="1" t="str">
        <f>IFERROR(__xludf.DUMMYFUNCTION("""COMPUTED_VALUE"""),"Yes")</f>
        <v>Yes</v>
      </c>
      <c r="AA596" s="1" t="str">
        <f>IFERROR(__xludf.DUMMYFUNCTION("""COMPUTED_VALUE"""),"")</f>
        <v/>
      </c>
      <c r="AB596" s="1" t="str">
        <f>IFERROR(__xludf.DUMMYFUNCTION("""COMPUTED_VALUE"""),"")</f>
        <v/>
      </c>
      <c r="AC596" s="1" t="str">
        <f>IFERROR(__xludf.DUMMYFUNCTION("""COMPUTED_VALUE"""),"")</f>
        <v/>
      </c>
      <c r="AD596" s="1" t="str">
        <f>IFERROR(__xludf.DUMMYFUNCTION("""COMPUTED_VALUE"""),"")</f>
        <v/>
      </c>
      <c r="AE596" s="1" t="str">
        <f>IFERROR(__xludf.DUMMYFUNCTION("""COMPUTED_VALUE"""),"")</f>
        <v/>
      </c>
      <c r="AF596" s="2" t="str">
        <f>IFERROR(__xludf.DUMMYFUNCTION("""COMPUTED_VALUE"""),"https://www.change.org/p/stop-the-release-of-6-million-loan-for-ai-data-center-in-vineland-nj")</f>
        <v>https://www.change.org/p/stop-the-release-of-6-million-loan-for-ai-data-center-in-vineland-nj</v>
      </c>
      <c r="AG596" s="1" t="str">
        <f>IFERROR(__xludf.DUMMYFUNCTION("""COMPUTED_VALUE"""),"")</f>
        <v/>
      </c>
      <c r="AH596" s="1" t="str">
        <f>IFERROR(__xludf.DUMMYFUNCTION("""COMPUTED_VALUE"""),"Media Monitoring")</f>
        <v>Media Monitoring</v>
      </c>
      <c r="AI596" s="2" t="str">
        <f>IFERROR(__xludf.DUMMYFUNCTION("""COMPUTED_VALUE"""),"https://www.msn.com/en-us/money/companies/massive-ai-data-center-with-major-energy-needs-under-construction-in-south-jersey/ar-AA1JwW6r")</f>
        <v>https://www.msn.com/en-us/money/companies/massive-ai-data-center-with-major-energy-needs-under-construction-in-south-jersey/ar-AA1JwW6r</v>
      </c>
      <c r="AJ596" s="2" t="str">
        <f>IFERROR(__xludf.DUMMYFUNCTION("""COMPUTED_VALUE"""),"https://www.nj.com/news/2025/07/massive-ai-data-center-with-major-energy-needs-under-construction-in-south-jersey.html")</f>
        <v>https://www.nj.com/news/2025/07/massive-ai-data-center-with-major-energy-needs-under-construction-in-south-jersey.html</v>
      </c>
      <c r="AK596" s="2" t="str">
        <f>IFERROR(__xludf.DUMMYFUNCTION("""COMPUTED_VALUE"""),"https://www.silive.com/nation/2025/07/gigantic-artificial-intelligence-data-site-coming-to-northeast.html")</f>
        <v>https://www.silive.com/nation/2025/07/gigantic-artificial-intelligence-data-site-coming-to-northeast.html</v>
      </c>
      <c r="AL596" s="2" t="str">
        <f>IFERROR(__xludf.DUMMYFUNCTION("""COMPUTED_VALUE"""),"https://www.fox29.com/news/residents-say-humming-from-new-ai-data-center-vineland-is-disrupting-daily-life")</f>
        <v>https://www.fox29.com/news/residents-say-humming-from-new-ai-data-center-vineland-is-disrupting-daily-life</v>
      </c>
      <c r="AM596" s="1" t="str">
        <f>IFERROR(__xludf.DUMMYFUNCTION("""COMPUTED_VALUE"""),"")</f>
        <v/>
      </c>
      <c r="AN596" s="1" t="str">
        <f>IFERROR(__xludf.DUMMYFUNCTION("""COMPUTED_VALUE"""),"")</f>
        <v/>
      </c>
      <c r="AO596" s="1" t="str">
        <f>IFERROR(__xludf.DUMMYFUNCTION("""COMPUTED_VALUE"""),"")</f>
        <v/>
      </c>
      <c r="AP596" s="1" t="str">
        <f>IFERROR(__xludf.DUMMYFUNCTION("""COMPUTED_VALUE"""),"")</f>
        <v/>
      </c>
      <c r="AQ596" s="1" t="str">
        <f>IFERROR(__xludf.DUMMYFUNCTION("""COMPUTED_VALUE"""),"08/01/2025")</f>
        <v>08/01/2025</v>
      </c>
      <c r="AR596" s="1" t="str">
        <f>IFERROR(__xludf.DUMMYFUNCTION("""COMPUTED_VALUE"""),"03/19/2026")</f>
        <v>03/19/2026</v>
      </c>
    </row>
    <row r="597">
      <c r="A597" s="1" t="str">
        <f>IFERROR(__xludf.DUMMYFUNCTION("""COMPUTED_VALUE"""),"NJFX")</f>
        <v>NJFX</v>
      </c>
      <c r="B597" s="1" t="str">
        <f>IFERROR(__xludf.DUMMYFUNCTION("""COMPUTED_VALUE"""),"1410 Wall Church Rd")</f>
        <v>1410 Wall Church Rd</v>
      </c>
      <c r="C597" s="1" t="str">
        <f>IFERROR(__xludf.DUMMYFUNCTION("""COMPUTED_VALUE"""),"Wall")</f>
        <v>Wall</v>
      </c>
      <c r="D597" s="1" t="str">
        <f>IFERROR(__xludf.DUMMYFUNCTION("""COMPUTED_VALUE"""),"NJ")</f>
        <v>NJ</v>
      </c>
      <c r="E597" s="1" t="str">
        <f>IFERROR(__xludf.DUMMYFUNCTION("""COMPUTED_VALUE"""),"07719")</f>
        <v>07719</v>
      </c>
      <c r="F597" s="1" t="str">
        <f>IFERROR(__xludf.DUMMYFUNCTION("""COMPUTED_VALUE"""),"Monmouth")</f>
        <v>Monmouth</v>
      </c>
      <c r="G597" s="1" t="str">
        <f>IFERROR(__xludf.DUMMYFUNCTION("""COMPUTED_VALUE"""),"40.161446")</f>
        <v>40.161446</v>
      </c>
      <c r="H597" s="1" t="str">
        <f>IFERROR(__xludf.DUMMYFUNCTION("""COMPUTED_VALUE"""),"-74.05334")</f>
        <v>-74.05334</v>
      </c>
      <c r="I597" s="1" t="str">
        <f>IFERROR(__xludf.DUMMYFUNCTION("""COMPUTED_VALUE"""),"Operating")</f>
        <v>Operating</v>
      </c>
      <c r="J597" s="1" t="str">
        <f>IFERROR(__xludf.DUMMYFUNCTION("""COMPUTED_VALUE"""),"High")</f>
        <v>High</v>
      </c>
      <c r="K597" s="1" t="str">
        <f>IFERROR(__xludf.DUMMYFUNCTION("""COMPUTED_VALUE"""),"")</f>
        <v/>
      </c>
      <c r="L597" s="1" t="str">
        <f>IFERROR(__xludf.DUMMYFUNCTION("""COMPUTED_VALUE"""),"")</f>
        <v/>
      </c>
      <c r="M597" s="1" t="str">
        <f>IFERROR(__xludf.DUMMYFUNCTION("""COMPUTED_VALUE"""),"")</f>
        <v/>
      </c>
      <c r="N597" s="1" t="str">
        <f>IFERROR(__xludf.DUMMYFUNCTION("""COMPUTED_VALUE"""),"10")</f>
        <v>10</v>
      </c>
      <c r="O597" s="1" t="str">
        <f>IFERROR(__xludf.DUMMYFUNCTION("""COMPUTED_VALUE"""),"Small (0-10 MW)")</f>
        <v>Small (0-10 MW)</v>
      </c>
      <c r="P597" s="1" t="str">
        <f>IFERROR(__xludf.DUMMYFUNCTION("""COMPUTED_VALUE"""),"")</f>
        <v/>
      </c>
      <c r="Q597" s="1" t="str">
        <f>IFERROR(__xludf.DUMMYFUNCTION("""COMPUTED_VALUE"""),"")</f>
        <v/>
      </c>
      <c r="R597" s="1" t="str">
        <f>IFERROR(__xludf.DUMMYFUNCTION("""COMPUTED_VALUE"""),"")</f>
        <v/>
      </c>
      <c r="S597" s="1" t="str">
        <f>IFERROR(__xludf.DUMMYFUNCTION("""COMPUTED_VALUE"""),"")</f>
        <v/>
      </c>
      <c r="T597" s="1" t="str">
        <f>IFERROR(__xludf.DUMMYFUNCTION("""COMPUTED_VALUE"""),"")</f>
        <v/>
      </c>
      <c r="U597" s="1" t="str">
        <f>IFERROR(__xludf.DUMMYFUNCTION("""COMPUTED_VALUE"""),"")</f>
        <v/>
      </c>
      <c r="V597" s="1" t="str">
        <f>IFERROR(__xludf.DUMMYFUNCTION("""COMPUTED_VALUE"""),"64,800")</f>
        <v>64,800</v>
      </c>
      <c r="W597" s="1" t="str">
        <f>IFERROR(__xludf.DUMMYFUNCTION("""COMPUTED_VALUE"""),"10")</f>
        <v>10</v>
      </c>
      <c r="X597" s="1" t="str">
        <f>IFERROR(__xludf.DUMMYFUNCTION("""COMPUTED_VALUE"""),"")</f>
        <v/>
      </c>
      <c r="Y597" s="1" t="str">
        <f>IFERROR(__xludf.DUMMYFUNCTION("""COMPUTED_VALUE"""),"")</f>
        <v/>
      </c>
      <c r="Z597" s="1" t="str">
        <f>IFERROR(__xludf.DUMMYFUNCTION("""COMPUTED_VALUE"""),"Unknown")</f>
        <v>Unknown</v>
      </c>
      <c r="AA597" s="1" t="str">
        <f>IFERROR(__xludf.DUMMYFUNCTION("""COMPUTED_VALUE"""),"")</f>
        <v/>
      </c>
      <c r="AB597" s="1" t="str">
        <f>IFERROR(__xludf.DUMMYFUNCTION("""COMPUTED_VALUE"""),"")</f>
        <v/>
      </c>
      <c r="AC597" s="1" t="str">
        <f>IFERROR(__xludf.DUMMYFUNCTION("""COMPUTED_VALUE"""),"")</f>
        <v/>
      </c>
      <c r="AD597" s="1" t="str">
        <f>IFERROR(__xludf.DUMMYFUNCTION("""COMPUTED_VALUE"""),"")</f>
        <v/>
      </c>
      <c r="AE597" s="1" t="str">
        <f>IFERROR(__xludf.DUMMYFUNCTION("""COMPUTED_VALUE"""),"")</f>
        <v/>
      </c>
      <c r="AF597" s="1" t="str">
        <f>IFERROR(__xludf.DUMMYFUNCTION("""COMPUTED_VALUE"""),"")</f>
        <v/>
      </c>
      <c r="AG597" s="1" t="str">
        <f>IFERROR(__xludf.DUMMYFUNCTION("""COMPUTED_VALUE"""),"")</f>
        <v/>
      </c>
      <c r="AH597" s="1" t="str">
        <f>IFERROR(__xludf.DUMMYFUNCTION("""COMPUTED_VALUE"""),"Media Monitoring")</f>
        <v>Media Monitoring</v>
      </c>
      <c r="AI597" s="2" t="str">
        <f>IFERROR(__xludf.DUMMYFUNCTION("""COMPUTED_VALUE"""),"https://www.datacenterdynamics.com/en/news/njfx-plans-10mw-liquid-cooled-data-hall-in-new-jersey/")</f>
        <v>https://www.datacenterdynamics.com/en/news/njfx-plans-10mw-liquid-cooled-data-hall-in-new-jersey/</v>
      </c>
      <c r="AJ597" s="1" t="str">
        <f>IFERROR(__xludf.DUMMYFUNCTION("""COMPUTED_VALUE"""),"")</f>
        <v/>
      </c>
      <c r="AK597" s="1" t="str">
        <f>IFERROR(__xludf.DUMMYFUNCTION("""COMPUTED_VALUE"""),"")</f>
        <v/>
      </c>
      <c r="AL597" s="1" t="str">
        <f>IFERROR(__xludf.DUMMYFUNCTION("""COMPUTED_VALUE"""),"")</f>
        <v/>
      </c>
      <c r="AM597" s="1" t="str">
        <f>IFERROR(__xludf.DUMMYFUNCTION("""COMPUTED_VALUE"""),"")</f>
        <v/>
      </c>
      <c r="AN597" s="1" t="str">
        <f>IFERROR(__xludf.DUMMYFUNCTION("""COMPUTED_VALUE"""),"")</f>
        <v/>
      </c>
      <c r="AO597" s="1" t="str">
        <f>IFERROR(__xludf.DUMMYFUNCTION("""COMPUTED_VALUE"""),"")</f>
        <v/>
      </c>
      <c r="AP597" s="1" t="str">
        <f>IFERROR(__xludf.DUMMYFUNCTION("""COMPUTED_VALUE"""),"")</f>
        <v/>
      </c>
      <c r="AQ597" s="1" t="str">
        <f>IFERROR(__xludf.DUMMYFUNCTION("""COMPUTED_VALUE"""),"12/08/2025")</f>
        <v>12/08/2025</v>
      </c>
      <c r="AR597" s="1" t="str">
        <f>IFERROR(__xludf.DUMMYFUNCTION("""COMPUTED_VALUE"""),"12/08/2025")</f>
        <v>12/08/2025</v>
      </c>
    </row>
    <row r="598">
      <c r="A598" s="1" t="str">
        <f>IFERROR(__xludf.DUMMYFUNCTION("""COMPUTED_VALUE"""),"bigbyte.cc Corp. Data Center")</f>
        <v>bigbyte.cc Corp. Data Center</v>
      </c>
      <c r="B598" s="1" t="str">
        <f>IFERROR(__xludf.DUMMYFUNCTION("""COMPUTED_VALUE"""),"123 Central Ave NW")</f>
        <v>123 Central Ave NW</v>
      </c>
      <c r="C598" s="1" t="str">
        <f>IFERROR(__xludf.DUMMYFUNCTION("""COMPUTED_VALUE"""),"Albuquerque")</f>
        <v>Albuquerque</v>
      </c>
      <c r="D598" s="1" t="str">
        <f>IFERROR(__xludf.DUMMYFUNCTION("""COMPUTED_VALUE"""),"NM")</f>
        <v>NM</v>
      </c>
      <c r="E598" s="1" t="str">
        <f>IFERROR(__xludf.DUMMYFUNCTION("""COMPUTED_VALUE"""),"87102")</f>
        <v>87102</v>
      </c>
      <c r="F598" s="1" t="str">
        <f>IFERROR(__xludf.DUMMYFUNCTION("""COMPUTED_VALUE"""),"Bernalillo")</f>
        <v>Bernalillo</v>
      </c>
      <c r="G598" s="1" t="str">
        <f>IFERROR(__xludf.DUMMYFUNCTION("""COMPUTED_VALUE"""),"35.08452")</f>
        <v>35.08452</v>
      </c>
      <c r="H598" s="1" t="str">
        <f>IFERROR(__xludf.DUMMYFUNCTION("""COMPUTED_VALUE"""),"-106.649")</f>
        <v>-106.649</v>
      </c>
      <c r="I598" s="1" t="str">
        <f>IFERROR(__xludf.DUMMYFUNCTION("""COMPUTED_VALUE"""),"Operating")</f>
        <v>Operating</v>
      </c>
      <c r="J598" s="1" t="str">
        <f>IFERROR(__xludf.DUMMYFUNCTION("""COMPUTED_VALUE"""),"High")</f>
        <v>High</v>
      </c>
      <c r="K598" s="1" t="str">
        <f>IFERROR(__xludf.DUMMYFUNCTION("""COMPUTED_VALUE"""),"")</f>
        <v/>
      </c>
      <c r="L598" s="1" t="str">
        <f>IFERROR(__xludf.DUMMYFUNCTION("""COMPUTED_VALUE"""),"")</f>
        <v/>
      </c>
      <c r="M598" s="1" t="str">
        <f>IFERROR(__xludf.DUMMYFUNCTION("""COMPUTED_VALUE"""),"")</f>
        <v/>
      </c>
      <c r="N598" s="1" t="str">
        <f>IFERROR(__xludf.DUMMYFUNCTION("""COMPUTED_VALUE"""),"")</f>
        <v/>
      </c>
      <c r="O598" s="1" t="str">
        <f>IFERROR(__xludf.DUMMYFUNCTION("""COMPUTED_VALUE"""),"Unknown")</f>
        <v>Unknown</v>
      </c>
      <c r="P598" s="1" t="str">
        <f>IFERROR(__xludf.DUMMYFUNCTION("""COMPUTED_VALUE"""),"")</f>
        <v/>
      </c>
      <c r="Q598" s="1" t="str">
        <f>IFERROR(__xludf.DUMMYFUNCTION("""COMPUTED_VALUE"""),"")</f>
        <v/>
      </c>
      <c r="R598" s="1" t="str">
        <f>IFERROR(__xludf.DUMMYFUNCTION("""COMPUTED_VALUE"""),"")</f>
        <v/>
      </c>
      <c r="S598" s="1" t="str">
        <f>IFERROR(__xludf.DUMMYFUNCTION("""COMPUTED_VALUE"""),"")</f>
        <v/>
      </c>
      <c r="T598" s="1" t="str">
        <f>IFERROR(__xludf.DUMMYFUNCTION("""COMPUTED_VALUE"""),"")</f>
        <v/>
      </c>
      <c r="U598" s="1" t="str">
        <f>IFERROR(__xludf.DUMMYFUNCTION("""COMPUTED_VALUE"""),"")</f>
        <v/>
      </c>
      <c r="V598" s="1" t="str">
        <f>IFERROR(__xludf.DUMMYFUNCTION("""COMPUTED_VALUE"""),"")</f>
        <v/>
      </c>
      <c r="W598" s="1" t="str">
        <f>IFERROR(__xludf.DUMMYFUNCTION("""COMPUTED_VALUE"""),"")</f>
        <v/>
      </c>
      <c r="X598" s="1" t="str">
        <f>IFERROR(__xludf.DUMMYFUNCTION("""COMPUTED_VALUE"""),"")</f>
        <v/>
      </c>
      <c r="Y598" s="1" t="str">
        <f>IFERROR(__xludf.DUMMYFUNCTION("""COMPUTED_VALUE"""),"")</f>
        <v/>
      </c>
      <c r="Z598" s="1" t="str">
        <f>IFERROR(__xludf.DUMMYFUNCTION("""COMPUTED_VALUE"""),"Unknown")</f>
        <v>Unknown</v>
      </c>
      <c r="AA598" s="1" t="str">
        <f>IFERROR(__xludf.DUMMYFUNCTION("""COMPUTED_VALUE"""),"")</f>
        <v/>
      </c>
      <c r="AB598" s="1" t="str">
        <f>IFERROR(__xludf.DUMMYFUNCTION("""COMPUTED_VALUE"""),"")</f>
        <v/>
      </c>
      <c r="AC598" s="1" t="str">
        <f>IFERROR(__xludf.DUMMYFUNCTION("""COMPUTED_VALUE"""),"")</f>
        <v/>
      </c>
      <c r="AD598" s="1" t="str">
        <f>IFERROR(__xludf.DUMMYFUNCTION("""COMPUTED_VALUE"""),"")</f>
        <v/>
      </c>
      <c r="AE598" s="1" t="str">
        <f>IFERROR(__xludf.DUMMYFUNCTION("""COMPUTED_VALUE"""),"")</f>
        <v/>
      </c>
      <c r="AF598" s="1" t="str">
        <f>IFERROR(__xludf.DUMMYFUNCTION("""COMPUTED_VALUE"""),"")</f>
        <v/>
      </c>
      <c r="AG598" s="1" t="str">
        <f>IFERROR(__xludf.DUMMYFUNCTION("""COMPUTED_VALUE"""),"")</f>
        <v/>
      </c>
      <c r="AH598" s="1" t="str">
        <f>IFERROR(__xludf.DUMMYFUNCTION("""COMPUTED_VALUE"""),"Media Monitoring")</f>
        <v>Media Monitoring</v>
      </c>
      <c r="AI598" s="1" t="str">
        <f>IFERROR(__xludf.DUMMYFUNCTION("""COMPUTED_VALUE"""),"")</f>
        <v/>
      </c>
      <c r="AJ598" s="1" t="str">
        <f>IFERROR(__xludf.DUMMYFUNCTION("""COMPUTED_VALUE"""),"")</f>
        <v/>
      </c>
      <c r="AK598" s="1" t="str">
        <f>IFERROR(__xludf.DUMMYFUNCTION("""COMPUTED_VALUE"""),"")</f>
        <v/>
      </c>
      <c r="AL598" s="1" t="str">
        <f>IFERROR(__xludf.DUMMYFUNCTION("""COMPUTED_VALUE"""),"")</f>
        <v/>
      </c>
      <c r="AM598" s="1" t="str">
        <f>IFERROR(__xludf.DUMMYFUNCTION("""COMPUTED_VALUE"""),"")</f>
        <v/>
      </c>
      <c r="AN598" s="1" t="str">
        <f>IFERROR(__xludf.DUMMYFUNCTION("""COMPUTED_VALUE"""),"")</f>
        <v/>
      </c>
      <c r="AO598" s="1" t="str">
        <f>IFERROR(__xludf.DUMMYFUNCTION("""COMPUTED_VALUE"""),"")</f>
        <v/>
      </c>
      <c r="AP598" s="1" t="str">
        <f>IFERROR(__xludf.DUMMYFUNCTION("""COMPUTED_VALUE"""),"")</f>
        <v/>
      </c>
      <c r="AQ598" s="1" t="str">
        <f>IFERROR(__xludf.DUMMYFUNCTION("""COMPUTED_VALUE"""),"08/31/2025")</f>
        <v>08/31/2025</v>
      </c>
      <c r="AR598" s="1" t="str">
        <f>IFERROR(__xludf.DUMMYFUNCTION("""COMPUTED_VALUE"""),"08/31/2025")</f>
        <v>08/31/2025</v>
      </c>
    </row>
    <row r="599">
      <c r="A599" s="1" t="str">
        <f>IFERROR(__xludf.DUMMYFUNCTION("""COMPUTED_VALUE"""),"Centersquare Albuquerque Data Center")</f>
        <v>Centersquare Albuquerque Data Center</v>
      </c>
      <c r="B599" s="1" t="str">
        <f>IFERROR(__xludf.DUMMYFUNCTION("""COMPUTED_VALUE"""),"400 Tijeras Ave NW")</f>
        <v>400 Tijeras Ave NW</v>
      </c>
      <c r="C599" s="1" t="str">
        <f>IFERROR(__xludf.DUMMYFUNCTION("""COMPUTED_VALUE"""),"Albuquerque")</f>
        <v>Albuquerque</v>
      </c>
      <c r="D599" s="1" t="str">
        <f>IFERROR(__xludf.DUMMYFUNCTION("""COMPUTED_VALUE"""),"NM")</f>
        <v>NM</v>
      </c>
      <c r="E599" s="1" t="str">
        <f>IFERROR(__xludf.DUMMYFUNCTION("""COMPUTED_VALUE"""),"87102")</f>
        <v>87102</v>
      </c>
      <c r="F599" s="1" t="str">
        <f>IFERROR(__xludf.DUMMYFUNCTION("""COMPUTED_VALUE"""),"Bernalillo")</f>
        <v>Bernalillo</v>
      </c>
      <c r="G599" s="1" t="str">
        <f>IFERROR(__xludf.DUMMYFUNCTION("""COMPUTED_VALUE"""),"35.0862")</f>
        <v>35.0862</v>
      </c>
      <c r="H599" s="1" t="str">
        <f>IFERROR(__xludf.DUMMYFUNCTION("""COMPUTED_VALUE"""),"-106.652")</f>
        <v>-106.652</v>
      </c>
      <c r="I599" s="1" t="str">
        <f>IFERROR(__xludf.DUMMYFUNCTION("""COMPUTED_VALUE"""),"Operating")</f>
        <v>Operating</v>
      </c>
      <c r="J599" s="1" t="str">
        <f>IFERROR(__xludf.DUMMYFUNCTION("""COMPUTED_VALUE"""),"High")</f>
        <v>High</v>
      </c>
      <c r="K599" s="1" t="str">
        <f>IFERROR(__xludf.DUMMYFUNCTION("""COMPUTED_VALUE"""),"")</f>
        <v/>
      </c>
      <c r="L599" s="1" t="str">
        <f>IFERROR(__xludf.DUMMYFUNCTION("""COMPUTED_VALUE"""),"")</f>
        <v/>
      </c>
      <c r="M599" s="1" t="str">
        <f>IFERROR(__xludf.DUMMYFUNCTION("""COMPUTED_VALUE"""),"")</f>
        <v/>
      </c>
      <c r="N599" s="1" t="str">
        <f>IFERROR(__xludf.DUMMYFUNCTION("""COMPUTED_VALUE"""),"")</f>
        <v/>
      </c>
      <c r="O599" s="1" t="str">
        <f>IFERROR(__xludf.DUMMYFUNCTION("""COMPUTED_VALUE"""),"Unknown")</f>
        <v>Unknown</v>
      </c>
      <c r="P599" s="1" t="str">
        <f>IFERROR(__xludf.DUMMYFUNCTION("""COMPUTED_VALUE"""),"")</f>
        <v/>
      </c>
      <c r="Q599" s="1" t="str">
        <f>IFERROR(__xludf.DUMMYFUNCTION("""COMPUTED_VALUE"""),"")</f>
        <v/>
      </c>
      <c r="R599" s="1" t="str">
        <f>IFERROR(__xludf.DUMMYFUNCTION("""COMPUTED_VALUE"""),"")</f>
        <v/>
      </c>
      <c r="S599" s="1" t="str">
        <f>IFERROR(__xludf.DUMMYFUNCTION("""COMPUTED_VALUE"""),"")</f>
        <v/>
      </c>
      <c r="T599" s="1" t="str">
        <f>IFERROR(__xludf.DUMMYFUNCTION("""COMPUTED_VALUE"""),"")</f>
        <v/>
      </c>
      <c r="U599" s="1" t="str">
        <f>IFERROR(__xludf.DUMMYFUNCTION("""COMPUTED_VALUE"""),"")</f>
        <v/>
      </c>
      <c r="V599" s="1" t="str">
        <f>IFERROR(__xludf.DUMMYFUNCTION("""COMPUTED_VALUE"""),"")</f>
        <v/>
      </c>
      <c r="W599" s="1" t="str">
        <f>IFERROR(__xludf.DUMMYFUNCTION("""COMPUTED_VALUE"""),"")</f>
        <v/>
      </c>
      <c r="X599" s="1" t="str">
        <f>IFERROR(__xludf.DUMMYFUNCTION("""COMPUTED_VALUE"""),"")</f>
        <v/>
      </c>
      <c r="Y599" s="1" t="str">
        <f>IFERROR(__xludf.DUMMYFUNCTION("""COMPUTED_VALUE"""),"")</f>
        <v/>
      </c>
      <c r="Z599" s="1" t="str">
        <f>IFERROR(__xludf.DUMMYFUNCTION("""COMPUTED_VALUE"""),"Unknown")</f>
        <v>Unknown</v>
      </c>
      <c r="AA599" s="1" t="str">
        <f>IFERROR(__xludf.DUMMYFUNCTION("""COMPUTED_VALUE"""),"")</f>
        <v/>
      </c>
      <c r="AB599" s="1" t="str">
        <f>IFERROR(__xludf.DUMMYFUNCTION("""COMPUTED_VALUE"""),"")</f>
        <v/>
      </c>
      <c r="AC599" s="1" t="str">
        <f>IFERROR(__xludf.DUMMYFUNCTION("""COMPUTED_VALUE"""),"")</f>
        <v/>
      </c>
      <c r="AD599" s="1" t="str">
        <f>IFERROR(__xludf.DUMMYFUNCTION("""COMPUTED_VALUE"""),"")</f>
        <v/>
      </c>
      <c r="AE599" s="1" t="str">
        <f>IFERROR(__xludf.DUMMYFUNCTION("""COMPUTED_VALUE"""),"")</f>
        <v/>
      </c>
      <c r="AF599" s="1" t="str">
        <f>IFERROR(__xludf.DUMMYFUNCTION("""COMPUTED_VALUE"""),"")</f>
        <v/>
      </c>
      <c r="AG599" s="1" t="str">
        <f>IFERROR(__xludf.DUMMYFUNCTION("""COMPUTED_VALUE"""),"")</f>
        <v/>
      </c>
      <c r="AH599" s="1" t="str">
        <f>IFERROR(__xludf.DUMMYFUNCTION("""COMPUTED_VALUE"""),"Media Monitoring")</f>
        <v>Media Monitoring</v>
      </c>
      <c r="AI599" s="1" t="str">
        <f>IFERROR(__xludf.DUMMYFUNCTION("""COMPUTED_VALUE"""),"")</f>
        <v/>
      </c>
      <c r="AJ599" s="1" t="str">
        <f>IFERROR(__xludf.DUMMYFUNCTION("""COMPUTED_VALUE"""),"")</f>
        <v/>
      </c>
      <c r="AK599" s="1" t="str">
        <f>IFERROR(__xludf.DUMMYFUNCTION("""COMPUTED_VALUE"""),"")</f>
        <v/>
      </c>
      <c r="AL599" s="1" t="str">
        <f>IFERROR(__xludf.DUMMYFUNCTION("""COMPUTED_VALUE"""),"")</f>
        <v/>
      </c>
      <c r="AM599" s="1" t="str">
        <f>IFERROR(__xludf.DUMMYFUNCTION("""COMPUTED_VALUE"""),"")</f>
        <v/>
      </c>
      <c r="AN599" s="1" t="str">
        <f>IFERROR(__xludf.DUMMYFUNCTION("""COMPUTED_VALUE"""),"")</f>
        <v/>
      </c>
      <c r="AO599" s="1" t="str">
        <f>IFERROR(__xludf.DUMMYFUNCTION("""COMPUTED_VALUE"""),"")</f>
        <v/>
      </c>
      <c r="AP599" s="1" t="str">
        <f>IFERROR(__xludf.DUMMYFUNCTION("""COMPUTED_VALUE"""),"")</f>
        <v/>
      </c>
      <c r="AQ599" s="1" t="str">
        <f>IFERROR(__xludf.DUMMYFUNCTION("""COMPUTED_VALUE"""),"08/31/2025")</f>
        <v>08/31/2025</v>
      </c>
      <c r="AR599" s="1" t="str">
        <f>IFERROR(__xludf.DUMMYFUNCTION("""COMPUTED_VALUE"""),"08/31/2025")</f>
        <v>08/31/2025</v>
      </c>
    </row>
    <row r="600">
      <c r="A600" s="1" t="str">
        <f>IFERROR(__xludf.DUMMYFUNCTION("""COMPUTED_VALUE"""),"H5 Data Center")</f>
        <v>H5 Data Center</v>
      </c>
      <c r="B600" s="1" t="str">
        <f>IFERROR(__xludf.DUMMYFUNCTION("""COMPUTED_VALUE"""),"505 Marquette Ave NW")</f>
        <v>505 Marquette Ave NW</v>
      </c>
      <c r="C600" s="1" t="str">
        <f>IFERROR(__xludf.DUMMYFUNCTION("""COMPUTED_VALUE"""),"Albuquerque")</f>
        <v>Albuquerque</v>
      </c>
      <c r="D600" s="1" t="str">
        <f>IFERROR(__xludf.DUMMYFUNCTION("""COMPUTED_VALUE"""),"NM")</f>
        <v>NM</v>
      </c>
      <c r="E600" s="1" t="str">
        <f>IFERROR(__xludf.DUMMYFUNCTION("""COMPUTED_VALUE"""),"87102")</f>
        <v>87102</v>
      </c>
      <c r="F600" s="1" t="str">
        <f>IFERROR(__xludf.DUMMYFUNCTION("""COMPUTED_VALUE"""),"Bernalillo")</f>
        <v>Bernalillo</v>
      </c>
      <c r="G600" s="1" t="str">
        <f>IFERROR(__xludf.DUMMYFUNCTION("""COMPUTED_VALUE"""),"35.08857")</f>
        <v>35.08857</v>
      </c>
      <c r="H600" s="1" t="str">
        <f>IFERROR(__xludf.DUMMYFUNCTION("""COMPUTED_VALUE"""),"-106.652")</f>
        <v>-106.652</v>
      </c>
      <c r="I600" s="1" t="str">
        <f>IFERROR(__xludf.DUMMYFUNCTION("""COMPUTED_VALUE"""),"Operating")</f>
        <v>Operating</v>
      </c>
      <c r="J600" s="1" t="str">
        <f>IFERROR(__xludf.DUMMYFUNCTION("""COMPUTED_VALUE"""),"High")</f>
        <v>High</v>
      </c>
      <c r="K600" s="1" t="str">
        <f>IFERROR(__xludf.DUMMYFUNCTION("""COMPUTED_VALUE"""),"")</f>
        <v/>
      </c>
      <c r="L600" s="1" t="str">
        <f>IFERROR(__xludf.DUMMYFUNCTION("""COMPUTED_VALUE"""),"")</f>
        <v/>
      </c>
      <c r="M600" s="1" t="str">
        <f>IFERROR(__xludf.DUMMYFUNCTION("""COMPUTED_VALUE"""),"")</f>
        <v/>
      </c>
      <c r="N600" s="1" t="str">
        <f>IFERROR(__xludf.DUMMYFUNCTION("""COMPUTED_VALUE"""),"")</f>
        <v/>
      </c>
      <c r="O600" s="1" t="str">
        <f>IFERROR(__xludf.DUMMYFUNCTION("""COMPUTED_VALUE"""),"Unknown")</f>
        <v>Unknown</v>
      </c>
      <c r="P600" s="1" t="str">
        <f>IFERROR(__xludf.DUMMYFUNCTION("""COMPUTED_VALUE"""),"")</f>
        <v/>
      </c>
      <c r="Q600" s="1" t="str">
        <f>IFERROR(__xludf.DUMMYFUNCTION("""COMPUTED_VALUE"""),"")</f>
        <v/>
      </c>
      <c r="R600" s="1" t="str">
        <f>IFERROR(__xludf.DUMMYFUNCTION("""COMPUTED_VALUE"""),"")</f>
        <v/>
      </c>
      <c r="S600" s="1" t="str">
        <f>IFERROR(__xludf.DUMMYFUNCTION("""COMPUTED_VALUE"""),"")</f>
        <v/>
      </c>
      <c r="T600" s="1" t="str">
        <f>IFERROR(__xludf.DUMMYFUNCTION("""COMPUTED_VALUE"""),"")</f>
        <v/>
      </c>
      <c r="U600" s="1" t="str">
        <f>IFERROR(__xludf.DUMMYFUNCTION("""COMPUTED_VALUE"""),"")</f>
        <v/>
      </c>
      <c r="V600" s="1" t="str">
        <f>IFERROR(__xludf.DUMMYFUNCTION("""COMPUTED_VALUE"""),"")</f>
        <v/>
      </c>
      <c r="W600" s="1" t="str">
        <f>IFERROR(__xludf.DUMMYFUNCTION("""COMPUTED_VALUE"""),"")</f>
        <v/>
      </c>
      <c r="X600" s="1" t="str">
        <f>IFERROR(__xludf.DUMMYFUNCTION("""COMPUTED_VALUE"""),"")</f>
        <v/>
      </c>
      <c r="Y600" s="1" t="str">
        <f>IFERROR(__xludf.DUMMYFUNCTION("""COMPUTED_VALUE"""),"")</f>
        <v/>
      </c>
      <c r="Z600" s="1" t="str">
        <f>IFERROR(__xludf.DUMMYFUNCTION("""COMPUTED_VALUE"""),"Unknown")</f>
        <v>Unknown</v>
      </c>
      <c r="AA600" s="1" t="str">
        <f>IFERROR(__xludf.DUMMYFUNCTION("""COMPUTED_VALUE"""),"")</f>
        <v/>
      </c>
      <c r="AB600" s="1" t="str">
        <f>IFERROR(__xludf.DUMMYFUNCTION("""COMPUTED_VALUE"""),"")</f>
        <v/>
      </c>
      <c r="AC600" s="1" t="str">
        <f>IFERROR(__xludf.DUMMYFUNCTION("""COMPUTED_VALUE"""),"")</f>
        <v/>
      </c>
      <c r="AD600" s="1" t="str">
        <f>IFERROR(__xludf.DUMMYFUNCTION("""COMPUTED_VALUE"""),"")</f>
        <v/>
      </c>
      <c r="AE600" s="1" t="str">
        <f>IFERROR(__xludf.DUMMYFUNCTION("""COMPUTED_VALUE"""),"")</f>
        <v/>
      </c>
      <c r="AF600" s="1" t="str">
        <f>IFERROR(__xludf.DUMMYFUNCTION("""COMPUTED_VALUE"""),"")</f>
        <v/>
      </c>
      <c r="AG600" s="1" t="str">
        <f>IFERROR(__xludf.DUMMYFUNCTION("""COMPUTED_VALUE"""),"")</f>
        <v/>
      </c>
      <c r="AH600" s="1" t="str">
        <f>IFERROR(__xludf.DUMMYFUNCTION("""COMPUTED_VALUE"""),"Media Monitoring")</f>
        <v>Media Monitoring</v>
      </c>
      <c r="AI600" s="1" t="str">
        <f>IFERROR(__xludf.DUMMYFUNCTION("""COMPUTED_VALUE"""),"")</f>
        <v/>
      </c>
      <c r="AJ600" s="1" t="str">
        <f>IFERROR(__xludf.DUMMYFUNCTION("""COMPUTED_VALUE"""),"")</f>
        <v/>
      </c>
      <c r="AK600" s="1" t="str">
        <f>IFERROR(__xludf.DUMMYFUNCTION("""COMPUTED_VALUE"""),"")</f>
        <v/>
      </c>
      <c r="AL600" s="1" t="str">
        <f>IFERROR(__xludf.DUMMYFUNCTION("""COMPUTED_VALUE"""),"")</f>
        <v/>
      </c>
      <c r="AM600" s="1" t="str">
        <f>IFERROR(__xludf.DUMMYFUNCTION("""COMPUTED_VALUE"""),"")</f>
        <v/>
      </c>
      <c r="AN600" s="1" t="str">
        <f>IFERROR(__xludf.DUMMYFUNCTION("""COMPUTED_VALUE"""),"")</f>
        <v/>
      </c>
      <c r="AO600" s="1" t="str">
        <f>IFERROR(__xludf.DUMMYFUNCTION("""COMPUTED_VALUE"""),"")</f>
        <v/>
      </c>
      <c r="AP600" s="1" t="str">
        <f>IFERROR(__xludf.DUMMYFUNCTION("""COMPUTED_VALUE"""),"")</f>
        <v/>
      </c>
      <c r="AQ600" s="1" t="str">
        <f>IFERROR(__xludf.DUMMYFUNCTION("""COMPUTED_VALUE"""),"08/31/2025")</f>
        <v>08/31/2025</v>
      </c>
      <c r="AR600" s="1" t="str">
        <f>IFERROR(__xludf.DUMMYFUNCTION("""COMPUTED_VALUE"""),"08/31/2025")</f>
        <v>08/31/2025</v>
      </c>
    </row>
    <row r="601">
      <c r="A601" s="1" t="str">
        <f>IFERROR(__xludf.DUMMYFUNCTION("""COMPUTED_VALUE"""),"Hobbs Data Center")</f>
        <v>Hobbs Data Center</v>
      </c>
      <c r="B601" s="1" t="str">
        <f>IFERROR(__xludf.DUMMYFUNCTION("""COMPUTED_VALUE"""),"320 N Shipp St")</f>
        <v>320 N Shipp St</v>
      </c>
      <c r="C601" s="1" t="str">
        <f>IFERROR(__xludf.DUMMYFUNCTION("""COMPUTED_VALUE"""),"Hobbs")</f>
        <v>Hobbs</v>
      </c>
      <c r="D601" s="1" t="str">
        <f>IFERROR(__xludf.DUMMYFUNCTION("""COMPUTED_VALUE"""),"NM")</f>
        <v>NM</v>
      </c>
      <c r="E601" s="1" t="str">
        <f>IFERROR(__xludf.DUMMYFUNCTION("""COMPUTED_VALUE"""),"88240")</f>
        <v>88240</v>
      </c>
      <c r="F601" s="1" t="str">
        <f>IFERROR(__xludf.DUMMYFUNCTION("""COMPUTED_VALUE"""),"Lea")</f>
        <v>Lea</v>
      </c>
      <c r="G601" s="1" t="str">
        <f>IFERROR(__xludf.DUMMYFUNCTION("""COMPUTED_VALUE"""),"32.70361")</f>
        <v>32.70361</v>
      </c>
      <c r="H601" s="1" t="str">
        <f>IFERROR(__xludf.DUMMYFUNCTION("""COMPUTED_VALUE"""),"-103.137")</f>
        <v>-103.137</v>
      </c>
      <c r="I601" s="1" t="str">
        <f>IFERROR(__xludf.DUMMYFUNCTION("""COMPUTED_VALUE"""),"Operating")</f>
        <v>Operating</v>
      </c>
      <c r="J601" s="1" t="str">
        <f>IFERROR(__xludf.DUMMYFUNCTION("""COMPUTED_VALUE"""),"High")</f>
        <v>High</v>
      </c>
      <c r="K601" s="1" t="str">
        <f>IFERROR(__xludf.DUMMYFUNCTION("""COMPUTED_VALUE"""),"")</f>
        <v/>
      </c>
      <c r="L601" s="1" t="str">
        <f>IFERROR(__xludf.DUMMYFUNCTION("""COMPUTED_VALUE"""),"")</f>
        <v/>
      </c>
      <c r="M601" s="1" t="str">
        <f>IFERROR(__xludf.DUMMYFUNCTION("""COMPUTED_VALUE"""),"")</f>
        <v/>
      </c>
      <c r="N601" s="1" t="str">
        <f>IFERROR(__xludf.DUMMYFUNCTION("""COMPUTED_VALUE"""),"")</f>
        <v/>
      </c>
      <c r="O601" s="1" t="str">
        <f>IFERROR(__xludf.DUMMYFUNCTION("""COMPUTED_VALUE"""),"Unknown")</f>
        <v>Unknown</v>
      </c>
      <c r="P601" s="1" t="str">
        <f>IFERROR(__xludf.DUMMYFUNCTION("""COMPUTED_VALUE"""),"")</f>
        <v/>
      </c>
      <c r="Q601" s="1" t="str">
        <f>IFERROR(__xludf.DUMMYFUNCTION("""COMPUTED_VALUE"""),"")</f>
        <v/>
      </c>
      <c r="R601" s="1" t="str">
        <f>IFERROR(__xludf.DUMMYFUNCTION("""COMPUTED_VALUE"""),"")</f>
        <v/>
      </c>
      <c r="S601" s="1" t="str">
        <f>IFERROR(__xludf.DUMMYFUNCTION("""COMPUTED_VALUE"""),"")</f>
        <v/>
      </c>
      <c r="T601" s="1" t="str">
        <f>IFERROR(__xludf.DUMMYFUNCTION("""COMPUTED_VALUE"""),"")</f>
        <v/>
      </c>
      <c r="U601" s="1" t="str">
        <f>IFERROR(__xludf.DUMMYFUNCTION("""COMPUTED_VALUE"""),"")</f>
        <v/>
      </c>
      <c r="V601" s="1" t="str">
        <f>IFERROR(__xludf.DUMMYFUNCTION("""COMPUTED_VALUE"""),"43,000")</f>
        <v>43,000</v>
      </c>
      <c r="W601" s="1" t="str">
        <f>IFERROR(__xludf.DUMMYFUNCTION("""COMPUTED_VALUE"""),"")</f>
        <v/>
      </c>
      <c r="X601" s="1" t="str">
        <f>IFERROR(__xludf.DUMMYFUNCTION("""COMPUTED_VALUE"""),"")</f>
        <v/>
      </c>
      <c r="Y601" s="1" t="str">
        <f>IFERROR(__xludf.DUMMYFUNCTION("""COMPUTED_VALUE"""),"")</f>
        <v/>
      </c>
      <c r="Z601" s="1" t="str">
        <f>IFERROR(__xludf.DUMMYFUNCTION("""COMPUTED_VALUE"""),"Unknown")</f>
        <v>Unknown</v>
      </c>
      <c r="AA601" s="1" t="str">
        <f>IFERROR(__xludf.DUMMYFUNCTION("""COMPUTED_VALUE"""),"")</f>
        <v/>
      </c>
      <c r="AB601" s="1" t="str">
        <f>IFERROR(__xludf.DUMMYFUNCTION("""COMPUTED_VALUE"""),"")</f>
        <v/>
      </c>
      <c r="AC601" s="1" t="str">
        <f>IFERROR(__xludf.DUMMYFUNCTION("""COMPUTED_VALUE"""),"")</f>
        <v/>
      </c>
      <c r="AD601" s="1" t="str">
        <f>IFERROR(__xludf.DUMMYFUNCTION("""COMPUTED_VALUE"""),"")</f>
        <v/>
      </c>
      <c r="AE601" s="1" t="str">
        <f>IFERROR(__xludf.DUMMYFUNCTION("""COMPUTED_VALUE"""),"")</f>
        <v/>
      </c>
      <c r="AF601" s="1" t="str">
        <f>IFERROR(__xludf.DUMMYFUNCTION("""COMPUTED_VALUE"""),"")</f>
        <v/>
      </c>
      <c r="AG601" s="1" t="str">
        <f>IFERROR(__xludf.DUMMYFUNCTION("""COMPUTED_VALUE"""),"")</f>
        <v/>
      </c>
      <c r="AH601" s="1" t="str">
        <f>IFERROR(__xludf.DUMMYFUNCTION("""COMPUTED_VALUE"""),"Media Monitoring")</f>
        <v>Media Monitoring</v>
      </c>
      <c r="AI601" s="2" t="str">
        <f>IFERROR(__xludf.DUMMYFUNCTION("""COMPUTED_VALUE"""),"https://invest.jll.com/us/en/listings/special-purpose-facility/8-asset-switch-portfolio")</f>
        <v>https://invest.jll.com/us/en/listings/special-purpose-facility/8-asset-switch-portfolio</v>
      </c>
      <c r="AJ601" s="1" t="str">
        <f>IFERROR(__xludf.DUMMYFUNCTION("""COMPUTED_VALUE"""),"")</f>
        <v/>
      </c>
      <c r="AK601" s="1" t="str">
        <f>IFERROR(__xludf.DUMMYFUNCTION("""COMPUTED_VALUE"""),"")</f>
        <v/>
      </c>
      <c r="AL601" s="1" t="str">
        <f>IFERROR(__xludf.DUMMYFUNCTION("""COMPUTED_VALUE"""),"")</f>
        <v/>
      </c>
      <c r="AM601" s="1" t="str">
        <f>IFERROR(__xludf.DUMMYFUNCTION("""COMPUTED_VALUE"""),"")</f>
        <v/>
      </c>
      <c r="AN601" s="1" t="str">
        <f>IFERROR(__xludf.DUMMYFUNCTION("""COMPUTED_VALUE"""),"")</f>
        <v/>
      </c>
      <c r="AO601" s="1" t="str">
        <f>IFERROR(__xludf.DUMMYFUNCTION("""COMPUTED_VALUE"""),"")</f>
        <v/>
      </c>
      <c r="AP601" s="1" t="str">
        <f>IFERROR(__xludf.DUMMYFUNCTION("""COMPUTED_VALUE"""),"")</f>
        <v/>
      </c>
      <c r="AQ601" s="1" t="str">
        <f>IFERROR(__xludf.DUMMYFUNCTION("""COMPUTED_VALUE"""),"05/27/2025")</f>
        <v>05/27/2025</v>
      </c>
      <c r="AR601" s="1" t="str">
        <f>IFERROR(__xludf.DUMMYFUNCTION("""COMPUTED_VALUE"""),"05/27/2025")</f>
        <v>05/27/2025</v>
      </c>
    </row>
    <row r="602">
      <c r="A602" s="1" t="str">
        <f>IFERROR(__xludf.DUMMYFUNCTION("""COMPUTED_VALUE"""),"Aerospace Data Facility Southwest")</f>
        <v>Aerospace Data Facility Southwest</v>
      </c>
      <c r="B602" s="1" t="str">
        <f>IFERROR(__xludf.DUMMYFUNCTION("""COMPUTED_VALUE"""),"12400 NASA Rd")</f>
        <v>12400 NASA Rd</v>
      </c>
      <c r="C602" s="1" t="str">
        <f>IFERROR(__xludf.DUMMYFUNCTION("""COMPUTED_VALUE"""),"Las Cruces")</f>
        <v>Las Cruces</v>
      </c>
      <c r="D602" s="1" t="str">
        <f>IFERROR(__xludf.DUMMYFUNCTION("""COMPUTED_VALUE"""),"NM")</f>
        <v>NM</v>
      </c>
      <c r="E602" s="1" t="str">
        <f>IFERROR(__xludf.DUMMYFUNCTION("""COMPUTED_VALUE"""),"88012")</f>
        <v>88012</v>
      </c>
      <c r="F602" s="1" t="str">
        <f>IFERROR(__xludf.DUMMYFUNCTION("""COMPUTED_VALUE"""),"Doña Ana")</f>
        <v>Doña Ana</v>
      </c>
      <c r="G602" s="1" t="str">
        <f>IFERROR(__xludf.DUMMYFUNCTION("""COMPUTED_VALUE"""),"32.49551")</f>
        <v>32.49551</v>
      </c>
      <c r="H602" s="1" t="str">
        <f>IFERROR(__xludf.DUMMYFUNCTION("""COMPUTED_VALUE"""),"-106.614")</f>
        <v>-106.614</v>
      </c>
      <c r="I602" s="1" t="str">
        <f>IFERROR(__xludf.DUMMYFUNCTION("""COMPUTED_VALUE"""),"Operating")</f>
        <v>Operating</v>
      </c>
      <c r="J602" s="1" t="str">
        <f>IFERROR(__xludf.DUMMYFUNCTION("""COMPUTED_VALUE"""),"High")</f>
        <v>High</v>
      </c>
      <c r="K602" s="1" t="str">
        <f>IFERROR(__xludf.DUMMYFUNCTION("""COMPUTED_VALUE"""),"")</f>
        <v/>
      </c>
      <c r="L602" s="1" t="str">
        <f>IFERROR(__xludf.DUMMYFUNCTION("""COMPUTED_VALUE"""),"")</f>
        <v/>
      </c>
      <c r="M602" s="1" t="str">
        <f>IFERROR(__xludf.DUMMYFUNCTION("""COMPUTED_VALUE"""),"")</f>
        <v/>
      </c>
      <c r="N602" s="1" t="str">
        <f>IFERROR(__xludf.DUMMYFUNCTION("""COMPUTED_VALUE"""),"")</f>
        <v/>
      </c>
      <c r="O602" s="1" t="str">
        <f>IFERROR(__xludf.DUMMYFUNCTION("""COMPUTED_VALUE"""),"Unknown")</f>
        <v>Unknown</v>
      </c>
      <c r="P602" s="1" t="str">
        <f>IFERROR(__xludf.DUMMYFUNCTION("""COMPUTED_VALUE"""),"")</f>
        <v/>
      </c>
      <c r="Q602" s="1" t="str">
        <f>IFERROR(__xludf.DUMMYFUNCTION("""COMPUTED_VALUE"""),"")</f>
        <v/>
      </c>
      <c r="R602" s="1" t="str">
        <f>IFERROR(__xludf.DUMMYFUNCTION("""COMPUTED_VALUE"""),"")</f>
        <v/>
      </c>
      <c r="S602" s="1" t="str">
        <f>IFERROR(__xludf.DUMMYFUNCTION("""COMPUTED_VALUE"""),"")</f>
        <v/>
      </c>
      <c r="T602" s="1" t="str">
        <f>IFERROR(__xludf.DUMMYFUNCTION("""COMPUTED_VALUE"""),"")</f>
        <v/>
      </c>
      <c r="U602" s="1" t="str">
        <f>IFERROR(__xludf.DUMMYFUNCTION("""COMPUTED_VALUE"""),"")</f>
        <v/>
      </c>
      <c r="V602" s="1" t="str">
        <f>IFERROR(__xludf.DUMMYFUNCTION("""COMPUTED_VALUE"""),"")</f>
        <v/>
      </c>
      <c r="W602" s="1" t="str">
        <f>IFERROR(__xludf.DUMMYFUNCTION("""COMPUTED_VALUE"""),"")</f>
        <v/>
      </c>
      <c r="X602" s="1" t="str">
        <f>IFERROR(__xludf.DUMMYFUNCTION("""COMPUTED_VALUE"""),"")</f>
        <v/>
      </c>
      <c r="Y602" s="1" t="str">
        <f>IFERROR(__xludf.DUMMYFUNCTION("""COMPUTED_VALUE"""),"")</f>
        <v/>
      </c>
      <c r="Z602" s="1" t="str">
        <f>IFERROR(__xludf.DUMMYFUNCTION("""COMPUTED_VALUE"""),"Unknown")</f>
        <v>Unknown</v>
      </c>
      <c r="AA602" s="1" t="str">
        <f>IFERROR(__xludf.DUMMYFUNCTION("""COMPUTED_VALUE"""),"")</f>
        <v/>
      </c>
      <c r="AB602" s="1" t="str">
        <f>IFERROR(__xludf.DUMMYFUNCTION("""COMPUTED_VALUE"""),"")</f>
        <v/>
      </c>
      <c r="AC602" s="1" t="str">
        <f>IFERROR(__xludf.DUMMYFUNCTION("""COMPUTED_VALUE"""),"")</f>
        <v/>
      </c>
      <c r="AD602" s="1" t="str">
        <f>IFERROR(__xludf.DUMMYFUNCTION("""COMPUTED_VALUE"""),"")</f>
        <v/>
      </c>
      <c r="AE602" s="1" t="str">
        <f>IFERROR(__xludf.DUMMYFUNCTION("""COMPUTED_VALUE"""),"")</f>
        <v/>
      </c>
      <c r="AF602" s="1" t="str">
        <f>IFERROR(__xludf.DUMMYFUNCTION("""COMPUTED_VALUE"""),"")</f>
        <v/>
      </c>
      <c r="AG602" s="1" t="str">
        <f>IFERROR(__xludf.DUMMYFUNCTION("""COMPUTED_VALUE"""),"")</f>
        <v/>
      </c>
      <c r="AH602" s="1" t="str">
        <f>IFERROR(__xludf.DUMMYFUNCTION("""COMPUTED_VALUE"""),"Media Monitoring")</f>
        <v>Media Monitoring</v>
      </c>
      <c r="AI602" s="1" t="str">
        <f>IFERROR(__xludf.DUMMYFUNCTION("""COMPUTED_VALUE"""),"")</f>
        <v/>
      </c>
      <c r="AJ602" s="1" t="str">
        <f>IFERROR(__xludf.DUMMYFUNCTION("""COMPUTED_VALUE"""),"")</f>
        <v/>
      </c>
      <c r="AK602" s="1" t="str">
        <f>IFERROR(__xludf.DUMMYFUNCTION("""COMPUTED_VALUE"""),"")</f>
        <v/>
      </c>
      <c r="AL602" s="1" t="str">
        <f>IFERROR(__xludf.DUMMYFUNCTION("""COMPUTED_VALUE"""),"")</f>
        <v/>
      </c>
      <c r="AM602" s="1" t="str">
        <f>IFERROR(__xludf.DUMMYFUNCTION("""COMPUTED_VALUE"""),"")</f>
        <v/>
      </c>
      <c r="AN602" s="1" t="str">
        <f>IFERROR(__xludf.DUMMYFUNCTION("""COMPUTED_VALUE"""),"")</f>
        <v/>
      </c>
      <c r="AO602" s="1" t="str">
        <f>IFERROR(__xludf.DUMMYFUNCTION("""COMPUTED_VALUE"""),"")</f>
        <v/>
      </c>
      <c r="AP602" s="1" t="str">
        <f>IFERROR(__xludf.DUMMYFUNCTION("""COMPUTED_VALUE"""),"")</f>
        <v/>
      </c>
      <c r="AQ602" s="1" t="str">
        <f>IFERROR(__xludf.DUMMYFUNCTION("""COMPUTED_VALUE"""),"08/31/2025")</f>
        <v>08/31/2025</v>
      </c>
      <c r="AR602" s="1" t="str">
        <f>IFERROR(__xludf.DUMMYFUNCTION("""COMPUTED_VALUE"""),"08/31/2025")</f>
        <v>08/31/2025</v>
      </c>
    </row>
    <row r="603">
      <c r="A603" s="1" t="str">
        <f>IFERROR(__xludf.DUMMYFUNCTION("""COMPUTED_VALUE"""),"New Era Energy &amp; Digital Data Center")</f>
        <v>New Era Energy &amp; Digital Data Center</v>
      </c>
      <c r="B603" s="1" t="str">
        <f>IFERROR(__xludf.DUMMYFUNCTION("""COMPUTED_VALUE"""),"Near powerlines and energy sources")</f>
        <v>Near powerlines and energy sources</v>
      </c>
      <c r="C603" s="1" t="str">
        <f>IFERROR(__xludf.DUMMYFUNCTION("""COMPUTED_VALUE"""),"Lea County")</f>
        <v>Lea County</v>
      </c>
      <c r="D603" s="1" t="str">
        <f>IFERROR(__xludf.DUMMYFUNCTION("""COMPUTED_VALUE"""),"NM")</f>
        <v>NM</v>
      </c>
      <c r="E603" s="1" t="str">
        <f>IFERROR(__xludf.DUMMYFUNCTION("""COMPUTED_VALUE"""),"")</f>
        <v/>
      </c>
      <c r="F603" s="1" t="str">
        <f>IFERROR(__xludf.DUMMYFUNCTION("""COMPUTED_VALUE"""),"Lea County")</f>
        <v>Lea County</v>
      </c>
      <c r="G603" s="1" t="str">
        <f>IFERROR(__xludf.DUMMYFUNCTION("""COMPUTED_VALUE"""),"32.882626")</f>
        <v>32.882626</v>
      </c>
      <c r="H603" s="1" t="str">
        <f>IFERROR(__xludf.DUMMYFUNCTION("""COMPUTED_VALUE"""),"-103.42699")</f>
        <v>-103.42699</v>
      </c>
      <c r="I603" s="1" t="str">
        <f>IFERROR(__xludf.DUMMYFUNCTION("""COMPUTED_VALUE"""),"Proposed")</f>
        <v>Proposed</v>
      </c>
      <c r="J603" s="1" t="str">
        <f>IFERROR(__xludf.DUMMYFUNCTION("""COMPUTED_VALUE"""),"Low")</f>
        <v>Low</v>
      </c>
      <c r="K603" s="1" t="str">
        <f>IFERROR(__xludf.DUMMYFUNCTION("""COMPUTED_VALUE"""),"")</f>
        <v/>
      </c>
      <c r="L603" s="1" t="str">
        <f>IFERROR(__xludf.DUMMYFUNCTION("""COMPUTED_VALUE"""),"")</f>
        <v/>
      </c>
      <c r="M603" s="1" t="str">
        <f>IFERROR(__xludf.DUMMYFUNCTION("""COMPUTED_VALUE"""),"")</f>
        <v/>
      </c>
      <c r="N603" s="1" t="str">
        <f>IFERROR(__xludf.DUMMYFUNCTION("""COMPUTED_VALUE"""),"7000")</f>
        <v>7000</v>
      </c>
      <c r="O603" s="1" t="str">
        <f>IFERROR(__xludf.DUMMYFUNCTION("""COMPUTED_VALUE"""),"Mega campus (&gt;1,000 MW)")</f>
        <v>Mega campus (&gt;1,000 MW)</v>
      </c>
      <c r="P603" s="1" t="str">
        <f>IFERROR(__xludf.DUMMYFUNCTION("""COMPUTED_VALUE"""),"Natural gas")</f>
        <v>Natural gas</v>
      </c>
      <c r="Q603" s="1" t="str">
        <f>IFERROR(__xludf.DUMMYFUNCTION("""COMPUTED_VALUE"""),"")</f>
        <v/>
      </c>
      <c r="R603" s="1" t="str">
        <f>IFERROR(__xludf.DUMMYFUNCTION("""COMPUTED_VALUE"""),"")</f>
        <v/>
      </c>
      <c r="S603" s="1" t="str">
        <f>IFERROR(__xludf.DUMMYFUNCTION("""COMPUTED_VALUE"""),"")</f>
        <v/>
      </c>
      <c r="T603" s="1" t="str">
        <f>IFERROR(__xludf.DUMMYFUNCTION("""COMPUTED_VALUE"""),"")</f>
        <v/>
      </c>
      <c r="U603" s="1" t="str">
        <f>IFERROR(__xludf.DUMMYFUNCTION("""COMPUTED_VALUE"""),"")</f>
        <v/>
      </c>
      <c r="V603" s="1" t="str">
        <f>IFERROR(__xludf.DUMMYFUNCTION("""COMPUTED_VALUE"""),"")</f>
        <v/>
      </c>
      <c r="W603" s="1" t="str">
        <f>IFERROR(__xludf.DUMMYFUNCTION("""COMPUTED_VALUE"""),"3500")</f>
        <v>3500</v>
      </c>
      <c r="X603" s="1" t="str">
        <f>IFERROR(__xludf.DUMMYFUNCTION("""COMPUTED_VALUE"""),"")</f>
        <v/>
      </c>
      <c r="Y603" s="1" t="str">
        <f>IFERROR(__xludf.DUMMYFUNCTION("""COMPUTED_VALUE"""),"2028")</f>
        <v>2028</v>
      </c>
      <c r="Z603" s="1" t="str">
        <f>IFERROR(__xludf.DUMMYFUNCTION("""COMPUTED_VALUE"""),"Unknown")</f>
        <v>Unknown</v>
      </c>
      <c r="AA603" s="1" t="str">
        <f>IFERROR(__xludf.DUMMYFUNCTION("""COMPUTED_VALUE"""),"")</f>
        <v/>
      </c>
      <c r="AB603" s="1" t="str">
        <f>IFERROR(__xludf.DUMMYFUNCTION("""COMPUTED_VALUE"""),"")</f>
        <v/>
      </c>
      <c r="AC603" s="1" t="str">
        <f>IFERROR(__xludf.DUMMYFUNCTION("""COMPUTED_VALUE"""),"")</f>
        <v/>
      </c>
      <c r="AD603" s="1" t="str">
        <f>IFERROR(__xludf.DUMMYFUNCTION("""COMPUTED_VALUE"""),"")</f>
        <v/>
      </c>
      <c r="AE603" s="1" t="str">
        <f>IFERROR(__xludf.DUMMYFUNCTION("""COMPUTED_VALUE"""),"")</f>
        <v/>
      </c>
      <c r="AF603" s="1" t="str">
        <f>IFERROR(__xludf.DUMMYFUNCTION("""COMPUTED_VALUE"""),"")</f>
        <v/>
      </c>
      <c r="AG603" s="1" t="str">
        <f>IFERROR(__xludf.DUMMYFUNCTION("""COMPUTED_VALUE"""),"Nuclear power component, land near powerlines and energy sources")</f>
        <v>Nuclear power component, land near powerlines and energy sources</v>
      </c>
      <c r="AH603" s="1" t="str">
        <f>IFERROR(__xludf.DUMMYFUNCTION("""COMPUTED_VALUE"""),"Media Monitoring")</f>
        <v>Media Monitoring</v>
      </c>
      <c r="AI603" s="2" t="str">
        <f>IFERROR(__xludf.DUMMYFUNCTION("""COMPUTED_VALUE"""),"https://www.datacenterdynamics.com/en/news/new-era-plans-7gw-ai-data-center-in-lea-county-new-mexico-powered-by-gas-and-nuclear/")</f>
        <v>https://www.datacenterdynamics.com/en/news/new-era-plans-7gw-ai-data-center-in-lea-county-new-mexico-powered-by-gas-and-nuclear/</v>
      </c>
      <c r="AJ603" s="1" t="str">
        <f>IFERROR(__xludf.DUMMYFUNCTION("""COMPUTED_VALUE"""),"")</f>
        <v/>
      </c>
      <c r="AK603" s="1" t="str">
        <f>IFERROR(__xludf.DUMMYFUNCTION("""COMPUTED_VALUE"""),"")</f>
        <v/>
      </c>
      <c r="AL603" s="1" t="str">
        <f>IFERROR(__xludf.DUMMYFUNCTION("""COMPUTED_VALUE"""),"")</f>
        <v/>
      </c>
      <c r="AM603" s="1" t="str">
        <f>IFERROR(__xludf.DUMMYFUNCTION("""COMPUTED_VALUE"""),"")</f>
        <v/>
      </c>
      <c r="AN603" s="1" t="str">
        <f>IFERROR(__xludf.DUMMYFUNCTION("""COMPUTED_VALUE"""),"")</f>
        <v/>
      </c>
      <c r="AO603" s="1" t="str">
        <f>IFERROR(__xludf.DUMMYFUNCTION("""COMPUTED_VALUE"""),"")</f>
        <v/>
      </c>
      <c r="AP603" s="1" t="str">
        <f>IFERROR(__xludf.DUMMYFUNCTION("""COMPUTED_VALUE"""),"")</f>
        <v/>
      </c>
      <c r="AQ603" s="1" t="str">
        <f>IFERROR(__xludf.DUMMYFUNCTION("""COMPUTED_VALUE"""),"11/09/2025")</f>
        <v>11/09/2025</v>
      </c>
      <c r="AR603" s="1" t="str">
        <f>IFERROR(__xludf.DUMMYFUNCTION("""COMPUTED_VALUE"""),"11/09/2025")</f>
        <v>11/09/2025</v>
      </c>
    </row>
    <row r="604">
      <c r="A604" s="1" t="str">
        <f>IFERROR(__xludf.DUMMYFUNCTION("""COMPUTED_VALUE"""),"Zenith Volts Data Center")</f>
        <v>Zenith Volts Data Center</v>
      </c>
      <c r="B604" s="1" t="str">
        <f>IFERROR(__xludf.DUMMYFUNCTION("""COMPUTED_VALUE"""),"")</f>
        <v/>
      </c>
      <c r="C604" s="1" t="str">
        <f>IFERROR(__xludf.DUMMYFUNCTION("""COMPUTED_VALUE"""),"Roswell")</f>
        <v>Roswell</v>
      </c>
      <c r="D604" s="1" t="str">
        <f>IFERROR(__xludf.DUMMYFUNCTION("""COMPUTED_VALUE"""),"NM")</f>
        <v>NM</v>
      </c>
      <c r="E604" s="1" t="str">
        <f>IFERROR(__xludf.DUMMYFUNCTION("""COMPUTED_VALUE"""),"")</f>
        <v/>
      </c>
      <c r="F604" s="1" t="str">
        <f>IFERROR(__xludf.DUMMYFUNCTION("""COMPUTED_VALUE"""),"Chaves")</f>
        <v>Chaves</v>
      </c>
      <c r="G604" s="1" t="str">
        <f>IFERROR(__xludf.DUMMYFUNCTION("""COMPUTED_VALUE"""),"33.38971")</f>
        <v>33.38971</v>
      </c>
      <c r="H604" s="1" t="str">
        <f>IFERROR(__xludf.DUMMYFUNCTION("""COMPUTED_VALUE"""),"-104.536")</f>
        <v>-104.536</v>
      </c>
      <c r="I604" s="1" t="str">
        <f>IFERROR(__xludf.DUMMYFUNCTION("""COMPUTED_VALUE"""),"Proposed")</f>
        <v>Proposed</v>
      </c>
      <c r="J604" s="1" t="str">
        <f>IFERROR(__xludf.DUMMYFUNCTION("""COMPUTED_VALUE"""),"Medium")</f>
        <v>Medium</v>
      </c>
      <c r="K604" s="1" t="str">
        <f>IFERROR(__xludf.DUMMYFUNCTION("""COMPUTED_VALUE"""),"")</f>
        <v/>
      </c>
      <c r="L604" s="1" t="str">
        <f>IFERROR(__xludf.DUMMYFUNCTION("""COMPUTED_VALUE"""),"")</f>
        <v/>
      </c>
      <c r="M604" s="1" t="str">
        <f>IFERROR(__xludf.DUMMYFUNCTION("""COMPUTED_VALUE"""),"")</f>
        <v/>
      </c>
      <c r="N604" s="1" t="str">
        <f>IFERROR(__xludf.DUMMYFUNCTION("""COMPUTED_VALUE"""),"1240")</f>
        <v>1240</v>
      </c>
      <c r="O604" s="1" t="str">
        <f>IFERROR(__xludf.DUMMYFUNCTION("""COMPUTED_VALUE"""),"Hyperscale (100-999 MW)")</f>
        <v>Hyperscale (100-999 MW)</v>
      </c>
      <c r="P604" s="1" t="str">
        <f>IFERROR(__xludf.DUMMYFUNCTION("""COMPUTED_VALUE"""),"")</f>
        <v/>
      </c>
      <c r="Q604" s="1" t="str">
        <f>IFERROR(__xludf.DUMMYFUNCTION("""COMPUTED_VALUE"""),"")</f>
        <v/>
      </c>
      <c r="R604" s="1" t="str">
        <f>IFERROR(__xludf.DUMMYFUNCTION("""COMPUTED_VALUE"""),"")</f>
        <v/>
      </c>
      <c r="S604" s="1" t="str">
        <f>IFERROR(__xludf.DUMMYFUNCTION("""COMPUTED_VALUE"""),"")</f>
        <v/>
      </c>
      <c r="T604" s="1" t="str">
        <f>IFERROR(__xludf.DUMMYFUNCTION("""COMPUTED_VALUE"""),"")</f>
        <v/>
      </c>
      <c r="U604" s="1" t="str">
        <f>IFERROR(__xludf.DUMMYFUNCTION("""COMPUTED_VALUE"""),"")</f>
        <v/>
      </c>
      <c r="V604" s="1" t="str">
        <f>IFERROR(__xludf.DUMMYFUNCTION("""COMPUTED_VALUE"""),"")</f>
        <v/>
      </c>
      <c r="W604" s="1" t="str">
        <f>IFERROR(__xludf.DUMMYFUNCTION("""COMPUTED_VALUE"""),"300")</f>
        <v>300</v>
      </c>
      <c r="X604" s="1" t="str">
        <f>IFERROR(__xludf.DUMMYFUNCTION("""COMPUTED_VALUE"""),"")</f>
        <v/>
      </c>
      <c r="Y604" s="1" t="str">
        <f>IFERROR(__xludf.DUMMYFUNCTION("""COMPUTED_VALUE"""),"")</f>
        <v/>
      </c>
      <c r="Z604" s="1" t="str">
        <f>IFERROR(__xludf.DUMMYFUNCTION("""COMPUTED_VALUE"""),"Unknown")</f>
        <v>Unknown</v>
      </c>
      <c r="AA604" s="1" t="str">
        <f>IFERROR(__xludf.DUMMYFUNCTION("""COMPUTED_VALUE"""),"")</f>
        <v/>
      </c>
      <c r="AB604" s="1" t="str">
        <f>IFERROR(__xludf.DUMMYFUNCTION("""COMPUTED_VALUE"""),"")</f>
        <v/>
      </c>
      <c r="AC604" s="1" t="str">
        <f>IFERROR(__xludf.DUMMYFUNCTION("""COMPUTED_VALUE"""),"")</f>
        <v/>
      </c>
      <c r="AD604" s="1" t="str">
        <f>IFERROR(__xludf.DUMMYFUNCTION("""COMPUTED_VALUE"""),"")</f>
        <v/>
      </c>
      <c r="AE604" s="1" t="str">
        <f>IFERROR(__xludf.DUMMYFUNCTION("""COMPUTED_VALUE"""),"")</f>
        <v/>
      </c>
      <c r="AF604" s="1" t="str">
        <f>IFERROR(__xludf.DUMMYFUNCTION("""COMPUTED_VALUE"""),"")</f>
        <v/>
      </c>
      <c r="AG604" s="1" t="str">
        <f>IFERROR(__xludf.DUMMYFUNCTION("""COMPUTED_VALUE"""),"")</f>
        <v/>
      </c>
      <c r="AH604" s="1" t="str">
        <f>IFERROR(__xludf.DUMMYFUNCTION("""COMPUTED_VALUE"""),"Media Monitoring")</f>
        <v>Media Monitoring</v>
      </c>
      <c r="AI604" s="2" t="str">
        <f>IFERROR(__xludf.DUMMYFUNCTION("""COMPUTED_VALUE"""),"https://www.datacenterdynamics.com/en/news/zenith-obtains-planning-approval-for-124gw-data-center-project-in-roswell-new-mexico/")</f>
        <v>https://www.datacenterdynamics.com/en/news/zenith-obtains-planning-approval-for-124gw-data-center-project-in-roswell-new-mexico/</v>
      </c>
      <c r="AJ604" s="1" t="str">
        <f>IFERROR(__xludf.DUMMYFUNCTION("""COMPUTED_VALUE"""),"")</f>
        <v/>
      </c>
      <c r="AK604" s="1" t="str">
        <f>IFERROR(__xludf.DUMMYFUNCTION("""COMPUTED_VALUE"""),"")</f>
        <v/>
      </c>
      <c r="AL604" s="1" t="str">
        <f>IFERROR(__xludf.DUMMYFUNCTION("""COMPUTED_VALUE"""),"")</f>
        <v/>
      </c>
      <c r="AM604" s="1" t="str">
        <f>IFERROR(__xludf.DUMMYFUNCTION("""COMPUTED_VALUE"""),"")</f>
        <v/>
      </c>
      <c r="AN604" s="1" t="str">
        <f>IFERROR(__xludf.DUMMYFUNCTION("""COMPUTED_VALUE"""),"")</f>
        <v/>
      </c>
      <c r="AO604" s="1" t="str">
        <f>IFERROR(__xludf.DUMMYFUNCTION("""COMPUTED_VALUE"""),"")</f>
        <v/>
      </c>
      <c r="AP604" s="1" t="str">
        <f>IFERROR(__xludf.DUMMYFUNCTION("""COMPUTED_VALUE"""),"")</f>
        <v/>
      </c>
      <c r="AQ604" s="1" t="str">
        <f>IFERROR(__xludf.DUMMYFUNCTION("""COMPUTED_VALUE"""),"08/31/2025")</f>
        <v>08/31/2025</v>
      </c>
      <c r="AR604" s="1" t="str">
        <f>IFERROR(__xludf.DUMMYFUNCTION("""COMPUTED_VALUE"""),"08/31/2025")</f>
        <v>08/31/2025</v>
      </c>
    </row>
    <row r="605">
      <c r="A605" s="1" t="str">
        <f>IFERROR(__xludf.DUMMYFUNCTION("""COMPUTED_VALUE"""),"Project Jupiter")</f>
        <v>Project Jupiter</v>
      </c>
      <c r="B605" s="1" t="str">
        <f>IFERROR(__xludf.DUMMYFUNCTION("""COMPUTED_VALUE"""),"adj to Pete V Domenici Hwy")</f>
        <v>adj to Pete V Domenici Hwy</v>
      </c>
      <c r="C605" s="1" t="str">
        <f>IFERROR(__xludf.DUMMYFUNCTION("""COMPUTED_VALUE"""),"Santa Teresa")</f>
        <v>Santa Teresa</v>
      </c>
      <c r="D605" s="1" t="str">
        <f>IFERROR(__xludf.DUMMYFUNCTION("""COMPUTED_VALUE"""),"NM")</f>
        <v>NM</v>
      </c>
      <c r="E605" s="1" t="str">
        <f>IFERROR(__xludf.DUMMYFUNCTION("""COMPUTED_VALUE"""),"88008")</f>
        <v>88008</v>
      </c>
      <c r="F605" s="1" t="str">
        <f>IFERROR(__xludf.DUMMYFUNCTION("""COMPUTED_VALUE"""),"Doña Ana County")</f>
        <v>Doña Ana County</v>
      </c>
      <c r="G605" s="1" t="str">
        <f>IFERROR(__xludf.DUMMYFUNCTION("""COMPUTED_VALUE"""),"31.81646")</f>
        <v>31.81646</v>
      </c>
      <c r="H605" s="1" t="str">
        <f>IFERROR(__xludf.DUMMYFUNCTION("""COMPUTED_VALUE"""),"-106.678")</f>
        <v>-106.678</v>
      </c>
      <c r="I605" s="1" t="str">
        <f>IFERROR(__xludf.DUMMYFUNCTION("""COMPUTED_VALUE"""),"Approved/Permitted/Under construction")</f>
        <v>Approved/Permitted/Under construction</v>
      </c>
      <c r="J605" s="1" t="str">
        <f>IFERROR(__xludf.DUMMYFUNCTION("""COMPUTED_VALUE"""),"Medium")</f>
        <v>Medium</v>
      </c>
      <c r="K605" s="1" t="str">
        <f>IFERROR(__xludf.DUMMYFUNCTION("""COMPUTED_VALUE"""),"")</f>
        <v/>
      </c>
      <c r="L605" s="1" t="str">
        <f>IFERROR(__xludf.DUMMYFUNCTION("""COMPUTED_VALUE"""),"Open AI/Oracle")</f>
        <v>Open AI/Oracle</v>
      </c>
      <c r="M605" s="1" t="str">
        <f>IFERROR(__xludf.DUMMYFUNCTION("""COMPUTED_VALUE"""),"")</f>
        <v/>
      </c>
      <c r="N605" s="1" t="str">
        <f>IFERROR(__xludf.DUMMYFUNCTION("""COMPUTED_VALUE"""),"700")</f>
        <v>700</v>
      </c>
      <c r="O605" s="1" t="str">
        <f>IFERROR(__xludf.DUMMYFUNCTION("""COMPUTED_VALUE"""),"Mega campus (&gt;1,000 MW)")</f>
        <v>Mega campus (&gt;1,000 MW)</v>
      </c>
      <c r="P605" s="1" t="str">
        <f>IFERROR(__xludf.DUMMYFUNCTION("""COMPUTED_VALUE"""),"")</f>
        <v/>
      </c>
      <c r="Q605" s="1" t="str">
        <f>IFERROR(__xludf.DUMMYFUNCTION("""COMPUTED_VALUE"""),"")</f>
        <v/>
      </c>
      <c r="R605" s="1" t="str">
        <f>IFERROR(__xludf.DUMMYFUNCTION("""COMPUTED_VALUE"""),"")</f>
        <v/>
      </c>
      <c r="S605" s="1" t="str">
        <f>IFERROR(__xludf.DUMMYFUNCTION("""COMPUTED_VALUE"""),"4 - 20")</f>
        <v>4 - 20</v>
      </c>
      <c r="T605" s="1" t="str">
        <f>IFERROR(__xludf.DUMMYFUNCTION("""COMPUTED_VALUE"""),"")</f>
        <v/>
      </c>
      <c r="U605" s="1" t="str">
        <f>IFERROR(__xludf.DUMMYFUNCTION("""COMPUTED_VALUE"""),"")</f>
        <v/>
      </c>
      <c r="V605" s="1" t="str">
        <f>IFERROR(__xludf.DUMMYFUNCTION("""COMPUTED_VALUE"""),"3,000,000")</f>
        <v>3,000,000</v>
      </c>
      <c r="W605" s="1" t="str">
        <f>IFERROR(__xludf.DUMMYFUNCTION("""COMPUTED_VALUE"""),"1400")</f>
        <v>1400</v>
      </c>
      <c r="X605" s="1" t="str">
        <f>IFERROR(__xludf.DUMMYFUNCTION("""COMPUTED_VALUE"""),"$165 billion")</f>
        <v>$165 billion</v>
      </c>
      <c r="Y605" s="1" t="str">
        <f>IFERROR(__xludf.DUMMYFUNCTION("""COMPUTED_VALUE"""),"2026")</f>
        <v>2026</v>
      </c>
      <c r="Z605" s="1" t="str">
        <f>IFERROR(__xludf.DUMMYFUNCTION("""COMPUTED_VALUE"""),"Yes")</f>
        <v>Yes</v>
      </c>
      <c r="AA605" s="1" t="str">
        <f>IFERROR(__xludf.DUMMYFUNCTION("""COMPUTED_VALUE"""),"As of March 2026, Project Jupiter, a proposed $165 billion AI data center complex in Santa Teresa, NM, is facing intense pushback from a coalition of 16 environmental and civil rights organizations. Advocacy centers on the project's potential to strain fi"&amp;"nite natural resources and its bypassing of state environmental regulations.")</f>
        <v>As of March 2026, Project Jupiter, a proposed $165 billion AI data center complex in Santa Teresa, NM, is facing intense pushback from a coalition of 16 environmental and civil rights organizations. Advocacy centers on the project's potential to strain finite natural resources and its bypassing of state environmental regulations.</v>
      </c>
      <c r="AB605" s="1" t="str">
        <f>IFERROR(__xludf.DUMMYFUNCTION("""COMPUTED_VALUE"""),"Organized Advocacy")</f>
        <v>Organized Advocacy</v>
      </c>
      <c r="AC605" s="1" t="str">
        <f>IFERROR(__xludf.DUMMYFUNCTION("""COMPUTED_VALUE"""),"Yes")</f>
        <v>Yes</v>
      </c>
      <c r="AD605" s="2" t="str">
        <f>IFERROR(__xludf.DUMMYFUNCTION("""COMPUTED_VALUE"""),"https://empowernm.org/")</f>
        <v>https://empowernm.org/</v>
      </c>
      <c r="AE605" s="2" t="str">
        <f>IFERROR(__xludf.DUMMYFUNCTION("""COMPUTED_VALUE"""),"https://www.facebook.com/groups/IndivisibleLASCRUCES/")</f>
        <v>https://www.facebook.com/groups/IndivisibleLASCRUCES/</v>
      </c>
      <c r="AF605" s="2" t="str">
        <f>IFERROR(__xludf.DUMMYFUNCTION("""COMPUTED_VALUE"""),"https://nmelc.org/2026/01/20/nm-orgs-demand-public-transparency-and-access-concerning-project-jupiter-air-quality-permits/")</f>
        <v>https://nmelc.org/2026/01/20/nm-orgs-demand-public-transparency-and-access-concerning-project-jupiter-air-quality-permits/</v>
      </c>
      <c r="AG605" s="1" t="str">
        <f>IFERROR(__xludf.DUMMYFUNCTION("""COMPUTED_VALUE"""),"10 million gallons of water/ year to cool. Final vote in late September 2025. Residents demand transparency, project passes anyway.")</f>
        <v>10 million gallons of water/ year to cool. Final vote in late September 2025. Residents demand transparency, project passes anyway.</v>
      </c>
      <c r="AH605" s="1" t="str">
        <f>IFERROR(__xludf.DUMMYFUNCTION("""COMPUTED_VALUE"""),"Media Monitoring")</f>
        <v>Media Monitoring</v>
      </c>
      <c r="AI605" s="2" t="str">
        <f>IFERROR(__xludf.DUMMYFUNCTION("""COMPUTED_VALUE"""),"https://elpasomatters.org/2025/08/27/dona-ana-billion-dollar-data-center-santa-teresa-el-paso-water-meta/")</f>
        <v>https://elpasomatters.org/2025/08/27/dona-ana-billion-dollar-data-center-santa-teresa-el-paso-water-meta/</v>
      </c>
      <c r="AJ605" s="2" t="str">
        <f>IFERROR(__xludf.DUMMYFUNCTION("""COMPUTED_VALUE"""),"https://elpasomatters.org/2025/09/10/project-jupiter-data-center-santa-teresa-new-mexico-el-paso-texas-water-electricity/")</f>
        <v>https://elpasomatters.org/2025/09/10/project-jupiter-data-center-santa-teresa-new-mexico-el-paso-texas-water-electricity/</v>
      </c>
      <c r="AK605" s="2" t="str">
        <f>IFERROR(__xludf.DUMMYFUNCTION("""COMPUTED_VALUE"""),"https://kfoxtv.com/newsletter-daily/residents-demands-transparency-for-165-billion-santa-teresa-data-center-new-mexico-nm-dona-ana-county-project-jupiter-borderplex-digital")</f>
        <v>https://kfoxtv.com/newsletter-daily/residents-demands-transparency-for-165-billion-santa-teresa-data-center-new-mexico-nm-dona-ana-county-project-jupiter-borderplex-digital</v>
      </c>
      <c r="AL605" s="2" t="str">
        <f>IFERROR(__xludf.DUMMYFUNCTION("""COMPUTED_VALUE"""),"https://elpasomatters.org/2025/09/19/project-jupiter-data-center-santa-teresa-approved-dona-ana-commissioners/")</f>
        <v>https://elpasomatters.org/2025/09/19/project-jupiter-data-center-santa-teresa-approved-dona-ana-commissioners/</v>
      </c>
      <c r="AM605" s="2" t="str">
        <f>IFERROR(__xludf.DUMMYFUNCTION("""COMPUTED_VALUE"""),"https://www.bloomberg.com/news/articles/2025-09-19/ai-data-center-gets-approval-for-165-billion-phantom-debt-deal")</f>
        <v>https://www.bloomberg.com/news/articles/2025-09-19/ai-data-center-gets-approval-for-165-billion-phantom-debt-deal</v>
      </c>
      <c r="AN605" s="2" t="str">
        <f>IFERROR(__xludf.DUMMYFUNCTION("""COMPUTED_VALUE"""),"https://elpasomatters.org/2025/09/25/stargate-open-ai-oracle-project-jupiter-data-center-dona-ana-new-mexico-el-paso-texas/")</f>
        <v>https://elpasomatters.org/2025/09/25/stargate-open-ai-oracle-project-jupiter-data-center-dona-ana-new-mexico-el-paso-texas/</v>
      </c>
      <c r="AO605" s="2" t="str">
        <f>IFERROR(__xludf.DUMMYFUNCTION("""COMPUTED_VALUE"""),"https://www.datacenterdynamics.com/en/news/groups-sue-to-stall-data-center-project-in-do%C3%B1a-ana-county-new-mexico/")</f>
        <v>https://www.datacenterdynamics.com/en/news/groups-sue-to-stall-data-center-project-in-do%C3%B1a-ana-county-new-mexico/</v>
      </c>
      <c r="AP605" s="2" t="str">
        <f>IFERROR(__xludf.DUMMYFUNCTION("""COMPUTED_VALUE"""),"https://www.datacenterdynamics.com/en/news/oracle-revealed-as-tenant-of-project-jupiter-data-center-campus-in-new-mexico/")</f>
        <v>https://www.datacenterdynamics.com/en/news/oracle-revealed-as-tenant-of-project-jupiter-data-center-campus-in-new-mexico/</v>
      </c>
      <c r="AQ605" s="1" t="str">
        <f>IFERROR(__xludf.DUMMYFUNCTION("""COMPUTED_VALUE"""),"09/26/2025")</f>
        <v>09/26/2025</v>
      </c>
      <c r="AR605" s="1" t="str">
        <f>IFERROR(__xludf.DUMMYFUNCTION("""COMPUTED_VALUE"""),"05/05/2026")</f>
        <v>05/05/2026</v>
      </c>
    </row>
    <row r="606">
      <c r="A606" s="1" t="str">
        <f>IFERROR(__xludf.DUMMYFUNCTION("""COMPUTED_VALUE"""),"Green Data Center")</f>
        <v>Green Data Center</v>
      </c>
      <c r="B606" s="1" t="str">
        <f>IFERROR(__xludf.DUMMYFUNCTION("""COMPUTED_VALUE"""),"West of Socorro Peak, north of Hwy 60")</f>
        <v>West of Socorro Peak, north of Hwy 60</v>
      </c>
      <c r="C606" s="1" t="str">
        <f>IFERROR(__xludf.DUMMYFUNCTION("""COMPUTED_VALUE"""),"Socorro")</f>
        <v>Socorro</v>
      </c>
      <c r="D606" s="1" t="str">
        <f>IFERROR(__xludf.DUMMYFUNCTION("""COMPUTED_VALUE"""),"NM")</f>
        <v>NM</v>
      </c>
      <c r="E606" s="1" t="str">
        <f>IFERROR(__xludf.DUMMYFUNCTION("""COMPUTED_VALUE"""),"")</f>
        <v/>
      </c>
      <c r="F606" s="1" t="str">
        <f>IFERROR(__xludf.DUMMYFUNCTION("""COMPUTED_VALUE"""),"Socorro")</f>
        <v>Socorro</v>
      </c>
      <c r="G606" s="1" t="str">
        <f>IFERROR(__xludf.DUMMYFUNCTION("""COMPUTED_VALUE"""),"34.077454")</f>
        <v>34.077454</v>
      </c>
      <c r="H606" s="1" t="str">
        <f>IFERROR(__xludf.DUMMYFUNCTION("""COMPUTED_VALUE"""),"-107.02448")</f>
        <v>-107.02448</v>
      </c>
      <c r="I606" s="1" t="str">
        <f>IFERROR(__xludf.DUMMYFUNCTION("""COMPUTED_VALUE"""),"Cancelled")</f>
        <v>Cancelled</v>
      </c>
      <c r="J606" s="1" t="str">
        <f>IFERROR(__xludf.DUMMYFUNCTION("""COMPUTED_VALUE"""),"Medium")</f>
        <v>Medium</v>
      </c>
      <c r="K606" s="1" t="str">
        <f>IFERROR(__xludf.DUMMYFUNCTION("""COMPUTED_VALUE"""),"")</f>
        <v/>
      </c>
      <c r="L606" s="1" t="str">
        <f>IFERROR(__xludf.DUMMYFUNCTION("""COMPUTED_VALUE"""),"")</f>
        <v/>
      </c>
      <c r="M606" s="1" t="str">
        <f>IFERROR(__xludf.DUMMYFUNCTION("""COMPUTED_VALUE"""),"")</f>
        <v/>
      </c>
      <c r="N606" s="1" t="str">
        <f>IFERROR(__xludf.DUMMYFUNCTION("""COMPUTED_VALUE"""),"2000")</f>
        <v>2000</v>
      </c>
      <c r="O606" s="1" t="str">
        <f>IFERROR(__xludf.DUMMYFUNCTION("""COMPUTED_VALUE"""),"Mega campus (&gt;1,000 MW)")</f>
        <v>Mega campus (&gt;1,000 MW)</v>
      </c>
      <c r="P606" s="1" t="str">
        <f>IFERROR(__xludf.DUMMYFUNCTION("""COMPUTED_VALUE"""),"Solar")</f>
        <v>Solar</v>
      </c>
      <c r="Q606" s="1" t="str">
        <f>IFERROR(__xludf.DUMMYFUNCTION("""COMPUTED_VALUE"""),"")</f>
        <v/>
      </c>
      <c r="R606" s="1" t="str">
        <f>IFERROR(__xludf.DUMMYFUNCTION("""COMPUTED_VALUE"""),"")</f>
        <v/>
      </c>
      <c r="S606" s="1" t="str">
        <f>IFERROR(__xludf.DUMMYFUNCTION("""COMPUTED_VALUE"""),"")</f>
        <v/>
      </c>
      <c r="T606" s="1" t="str">
        <f>IFERROR(__xludf.DUMMYFUNCTION("""COMPUTED_VALUE"""),"")</f>
        <v/>
      </c>
      <c r="U606" s="1" t="str">
        <f>IFERROR(__xludf.DUMMYFUNCTION("""COMPUTED_VALUE"""),"")</f>
        <v/>
      </c>
      <c r="V606" s="1" t="str">
        <f>IFERROR(__xludf.DUMMYFUNCTION("""COMPUTED_VALUE"""),"")</f>
        <v/>
      </c>
      <c r="W606" s="1" t="str">
        <f>IFERROR(__xludf.DUMMYFUNCTION("""COMPUTED_VALUE"""),"10000")</f>
        <v>10000</v>
      </c>
      <c r="X606" s="1" t="str">
        <f>IFERROR(__xludf.DUMMYFUNCTION("""COMPUTED_VALUE"""),"")</f>
        <v/>
      </c>
      <c r="Y606" s="1" t="str">
        <f>IFERROR(__xludf.DUMMYFUNCTION("""COMPUTED_VALUE"""),"2030")</f>
        <v>2030</v>
      </c>
      <c r="Z606" s="1" t="str">
        <f>IFERROR(__xludf.DUMMYFUNCTION("""COMPUTED_VALUE"""),"Yes")</f>
        <v>Yes</v>
      </c>
      <c r="AA606" s="1" t="str">
        <f>IFERROR(__xludf.DUMMYFUNCTION("""COMPUTED_VALUE"""),"")</f>
        <v/>
      </c>
      <c r="AB606" s="1" t="str">
        <f>IFERROR(__xludf.DUMMYFUNCTION("""COMPUTED_VALUE"""),"Organized Advocacy")</f>
        <v>Organized Advocacy</v>
      </c>
      <c r="AC606" s="1" t="str">
        <f>IFERROR(__xludf.DUMMYFUNCTION("""COMPUTED_VALUE"""),"")</f>
        <v/>
      </c>
      <c r="AD606" s="1" t="str">
        <f>IFERROR(__xludf.DUMMYFUNCTION("""COMPUTED_VALUE"""),"No Data Center in Socorro")</f>
        <v>No Data Center in Socorro</v>
      </c>
      <c r="AE606" s="2" t="str">
        <f>IFERROR(__xludf.DUMMYFUNCTION("""COMPUTED_VALUE"""),"https://www.facebook.com/groups/467857417314430/posts/2172515400181948/")</f>
        <v>https://www.facebook.com/groups/467857417314430/posts/2172515400181948/</v>
      </c>
      <c r="AF606" s="2" t="str">
        <f>IFERROR(__xludf.DUMMYFUNCTION("""COMPUTED_VALUE"""),"https://www.change.org/p/no-data-center-in-socorro-nm-behind-m-mountain")</f>
        <v>https://www.change.org/p/no-data-center-in-socorro-nm-behind-m-mountain</v>
      </c>
      <c r="AG606" s="1" t="str">
        <f>IFERROR(__xludf.DUMMYFUNCTION("""COMPUTED_VALUE"""),"Proposed 10 GW solar to power this")</f>
        <v>Proposed 10 GW solar to power this</v>
      </c>
      <c r="AH606" s="1" t="str">
        <f>IFERROR(__xludf.DUMMYFUNCTION("""COMPUTED_VALUE"""),"Media Monitoring")</f>
        <v>Media Monitoring</v>
      </c>
      <c r="AI606" s="2" t="str">
        <f>IFERROR(__xludf.DUMMYFUNCTION("""COMPUTED_VALUE"""),"https://www.datacenterdynamics.com/en/news/2gw-data-center-could-come-to-socorro-new-mexico/")</f>
        <v>https://www.datacenterdynamics.com/en/news/2gw-data-center-could-come-to-socorro-new-mexico/</v>
      </c>
      <c r="AJ606" s="2" t="str">
        <f>IFERROR(__xludf.DUMMYFUNCTION("""COMPUTED_VALUE"""),"https://www.datacenterdynamics.com/en/news/plans-for-10000-acre-data-center-scrapped-in-socorro-new-mexico//")</f>
        <v>https://www.datacenterdynamics.com/en/news/plans-for-10000-acre-data-center-scrapped-in-socorro-new-mexico//</v>
      </c>
      <c r="AK606" s="1" t="str">
        <f>IFERROR(__xludf.DUMMYFUNCTION("""COMPUTED_VALUE"""),"")</f>
        <v/>
      </c>
      <c r="AL606" s="1" t="str">
        <f>IFERROR(__xludf.DUMMYFUNCTION("""COMPUTED_VALUE"""),"")</f>
        <v/>
      </c>
      <c r="AM606" s="1" t="str">
        <f>IFERROR(__xludf.DUMMYFUNCTION("""COMPUTED_VALUE"""),"")</f>
        <v/>
      </c>
      <c r="AN606" s="1" t="str">
        <f>IFERROR(__xludf.DUMMYFUNCTION("""COMPUTED_VALUE"""),"")</f>
        <v/>
      </c>
      <c r="AO606" s="1" t="str">
        <f>IFERROR(__xludf.DUMMYFUNCTION("""COMPUTED_VALUE"""),"")</f>
        <v/>
      </c>
      <c r="AP606" s="1" t="str">
        <f>IFERROR(__xludf.DUMMYFUNCTION("""COMPUTED_VALUE"""),"")</f>
        <v/>
      </c>
      <c r="AQ606" s="1" t="str">
        <f>IFERROR(__xludf.DUMMYFUNCTION("""COMPUTED_VALUE"""),"04/15/2026")</f>
        <v>04/15/2026</v>
      </c>
      <c r="AR606" s="1" t="str">
        <f>IFERROR(__xludf.DUMMYFUNCTION("""COMPUTED_VALUE"""),"04/15/2026")</f>
        <v>04/15/2026</v>
      </c>
    </row>
    <row r="607">
      <c r="A607" s="1" t="str">
        <f>IFERROR(__xludf.DUMMYFUNCTION("""COMPUTED_VALUE"""),"Townsite Solar 2 LLC ")</f>
        <v>Townsite Solar 2 LLC </v>
      </c>
      <c r="B607" s="1" t="str">
        <f>IFERROR(__xludf.DUMMYFUNCTION("""COMPUTED_VALUE"""),"West of US-95, south of I-11")</f>
        <v>West of US-95, south of I-11</v>
      </c>
      <c r="C607" s="1" t="str">
        <f>IFERROR(__xludf.DUMMYFUNCTION("""COMPUTED_VALUE"""),"Boulder City")</f>
        <v>Boulder City</v>
      </c>
      <c r="D607" s="1" t="str">
        <f>IFERROR(__xludf.DUMMYFUNCTION("""COMPUTED_VALUE"""),"NV")</f>
        <v>NV</v>
      </c>
      <c r="E607" s="1" t="str">
        <f>IFERROR(__xludf.DUMMYFUNCTION("""COMPUTED_VALUE"""),"89005")</f>
        <v>89005</v>
      </c>
      <c r="F607" s="1" t="str">
        <f>IFERROR(__xludf.DUMMYFUNCTION("""COMPUTED_VALUE"""),"Clark")</f>
        <v>Clark</v>
      </c>
      <c r="G607" s="1" t="str">
        <f>IFERROR(__xludf.DUMMYFUNCTION("""COMPUTED_VALUE"""),"35.94159")</f>
        <v>35.94159</v>
      </c>
      <c r="H607" s="1" t="str">
        <f>IFERROR(__xludf.DUMMYFUNCTION("""COMPUTED_VALUE"""),"-114.913795")</f>
        <v>-114.913795</v>
      </c>
      <c r="I607" s="1" t="str">
        <f>IFERROR(__xludf.DUMMYFUNCTION("""COMPUTED_VALUE"""),"Proposed")</f>
        <v>Proposed</v>
      </c>
      <c r="J607" s="1" t="str">
        <f>IFERROR(__xludf.DUMMYFUNCTION("""COMPUTED_VALUE"""),"Medium")</f>
        <v>Medium</v>
      </c>
      <c r="K607" s="1" t="str">
        <f>IFERROR(__xludf.DUMMYFUNCTION("""COMPUTED_VALUE"""),"")</f>
        <v/>
      </c>
      <c r="L607" s="1" t="str">
        <f>IFERROR(__xludf.DUMMYFUNCTION("""COMPUTED_VALUE"""),"Townsite Solar 2 LLC")</f>
        <v>Townsite Solar 2 LLC</v>
      </c>
      <c r="M607" s="1" t="str">
        <f>IFERROR(__xludf.DUMMYFUNCTION("""COMPUTED_VALUE"""),"")</f>
        <v/>
      </c>
      <c r="N607" s="1" t="str">
        <f>IFERROR(__xludf.DUMMYFUNCTION("""COMPUTED_VALUE"""),"170")</f>
        <v>170</v>
      </c>
      <c r="O607" s="1" t="str">
        <f>IFERROR(__xludf.DUMMYFUNCTION("""COMPUTED_VALUE"""),"Hyperscale (100-999 MW)")</f>
        <v>Hyperscale (100-999 MW)</v>
      </c>
      <c r="P607" s="1" t="str">
        <f>IFERROR(__xludf.DUMMYFUNCTION("""COMPUTED_VALUE"""),"Solar, Hybrid (onsite and grid)")</f>
        <v>Solar, Hybrid (onsite and grid)</v>
      </c>
      <c r="Q607" s="1" t="str">
        <f>IFERROR(__xludf.DUMMYFUNCTION("""COMPUTED_VALUE"""),"")</f>
        <v/>
      </c>
      <c r="R607" s="1" t="str">
        <f>IFERROR(__xludf.DUMMYFUNCTION("""COMPUTED_VALUE"""),"")</f>
        <v/>
      </c>
      <c r="S607" s="1" t="str">
        <f>IFERROR(__xludf.DUMMYFUNCTION("""COMPUTED_VALUE"""),"6")</f>
        <v>6</v>
      </c>
      <c r="T607" s="1" t="str">
        <f>IFERROR(__xludf.DUMMYFUNCTION("""COMPUTED_VALUE"""),"Air")</f>
        <v>Air</v>
      </c>
      <c r="U607" s="1" t="str">
        <f>IFERROR(__xludf.DUMMYFUNCTION("""COMPUTED_VALUE"""),"")</f>
        <v/>
      </c>
      <c r="V607" s="1" t="str">
        <f>IFERROR(__xludf.DUMMYFUNCTION("""COMPUTED_VALUE"""),"")</f>
        <v/>
      </c>
      <c r="W607" s="1" t="str">
        <f>IFERROR(__xludf.DUMMYFUNCTION("""COMPUTED_VALUE"""),"88")</f>
        <v>88</v>
      </c>
      <c r="X607" s="1" t="str">
        <f>IFERROR(__xludf.DUMMYFUNCTION("""COMPUTED_VALUE"""),"")</f>
        <v/>
      </c>
      <c r="Y607" s="1" t="str">
        <f>IFERROR(__xludf.DUMMYFUNCTION("""COMPUTED_VALUE"""),"")</f>
        <v/>
      </c>
      <c r="Z607" s="1" t="str">
        <f>IFERROR(__xludf.DUMMYFUNCTION("""COMPUTED_VALUE"""),"Unknown")</f>
        <v>Unknown</v>
      </c>
      <c r="AA607" s="1" t="str">
        <f>IFERROR(__xludf.DUMMYFUNCTION("""COMPUTED_VALUE"""),"")</f>
        <v/>
      </c>
      <c r="AB607" s="1" t="str">
        <f>IFERROR(__xludf.DUMMYFUNCTION("""COMPUTED_VALUE"""),"")</f>
        <v/>
      </c>
      <c r="AC607" s="1" t="str">
        <f>IFERROR(__xludf.DUMMYFUNCTION("""COMPUTED_VALUE"""),"")</f>
        <v/>
      </c>
      <c r="AD607" s="1" t="str">
        <f>IFERROR(__xludf.DUMMYFUNCTION("""COMPUTED_VALUE"""),"")</f>
        <v/>
      </c>
      <c r="AE607" s="1" t="str">
        <f>IFERROR(__xludf.DUMMYFUNCTION("""COMPUTED_VALUE"""),"")</f>
        <v/>
      </c>
      <c r="AF607" s="2" t="str">
        <f>IFERROR(__xludf.DUMMYFUNCTION("""COMPUTED_VALUE"""),"https://www.change.org/p/no-data-centers-in-boulder-city")</f>
        <v>https://www.change.org/p/no-data-centers-in-boulder-city</v>
      </c>
      <c r="AG607" s="1" t="str">
        <f>IFERROR(__xludf.DUMMYFUNCTION("""COMPUTED_VALUE"""),"Moving from municipal site to adjacent BLM land")</f>
        <v>Moving from municipal site to adjacent BLM land</v>
      </c>
      <c r="AH607" s="1" t="str">
        <f>IFERROR(__xludf.DUMMYFUNCTION("""COMPUTED_VALUE"""),"Media Monitoring")</f>
        <v>Media Monitoring</v>
      </c>
      <c r="AI607" s="2" t="str">
        <f>IFERROR(__xludf.DUMMYFUNCTION("""COMPUTED_VALUE"""),"https://www.datacenterdynamics.com/en/news/170mw-data-center-campus-proposed-in-boulder-nevada/")</f>
        <v>https://www.datacenterdynamics.com/en/news/170mw-data-center-campus-proposed-in-boulder-nevada/</v>
      </c>
      <c r="AJ607" s="2" t="str">
        <f>IFERROR(__xludf.DUMMYFUNCTION("""COMPUTED_VALUE"""),"https://www.datacenterdynamics.com/en/news/170mw-data-center-project-outside-las-vegas-set-to-move-from-city-owned-to-federal-land/")</f>
        <v>https://www.datacenterdynamics.com/en/news/170mw-data-center-project-outside-las-vegas-set-to-move-from-city-owned-to-federal-land/</v>
      </c>
      <c r="AK607" s="1" t="str">
        <f>IFERROR(__xludf.DUMMYFUNCTION("""COMPUTED_VALUE"""),"")</f>
        <v/>
      </c>
      <c r="AL607" s="1" t="str">
        <f>IFERROR(__xludf.DUMMYFUNCTION("""COMPUTED_VALUE"""),"")</f>
        <v/>
      </c>
      <c r="AM607" s="1" t="str">
        <f>IFERROR(__xludf.DUMMYFUNCTION("""COMPUTED_VALUE"""),"")</f>
        <v/>
      </c>
      <c r="AN607" s="1" t="str">
        <f>IFERROR(__xludf.DUMMYFUNCTION("""COMPUTED_VALUE"""),"")</f>
        <v/>
      </c>
      <c r="AO607" s="1" t="str">
        <f>IFERROR(__xludf.DUMMYFUNCTION("""COMPUTED_VALUE"""),"")</f>
        <v/>
      </c>
      <c r="AP607" s="1" t="str">
        <f>IFERROR(__xludf.DUMMYFUNCTION("""COMPUTED_VALUE"""),"")</f>
        <v/>
      </c>
      <c r="AQ607" s="1" t="str">
        <f>IFERROR(__xludf.DUMMYFUNCTION("""COMPUTED_VALUE"""),"04/01/2026")</f>
        <v>04/01/2026</v>
      </c>
      <c r="AR607" s="1" t="str">
        <f>IFERROR(__xludf.DUMMYFUNCTION("""COMPUTED_VALUE"""),"07/11/2026")</f>
        <v>07/11/2026</v>
      </c>
    </row>
    <row r="608">
      <c r="A608" s="1" t="str">
        <f>IFERROR(__xludf.DUMMYFUNCTION("""COMPUTED_VALUE"""),"Novva Data Center")</f>
        <v>Novva Data Center</v>
      </c>
      <c r="B608" s="1" t="str">
        <f>IFERROR(__xludf.DUMMYFUNCTION("""COMPUTED_VALUE"""),"6115 Nicco Way")</f>
        <v>6115 Nicco Way</v>
      </c>
      <c r="C608" s="1" t="str">
        <f>IFERROR(__xludf.DUMMYFUNCTION("""COMPUTED_VALUE"""),"Las Vegas")</f>
        <v>Las Vegas</v>
      </c>
      <c r="D608" s="1" t="str">
        <f>IFERROR(__xludf.DUMMYFUNCTION("""COMPUTED_VALUE"""),"NV")</f>
        <v>NV</v>
      </c>
      <c r="E608" s="1" t="str">
        <f>IFERROR(__xludf.DUMMYFUNCTION("""COMPUTED_VALUE"""),"89115")</f>
        <v>89115</v>
      </c>
      <c r="F608" s="1" t="str">
        <f>IFERROR(__xludf.DUMMYFUNCTION("""COMPUTED_VALUE"""),"Clark")</f>
        <v>Clark</v>
      </c>
      <c r="G608" s="1" t="str">
        <f>IFERROR(__xludf.DUMMYFUNCTION("""COMPUTED_VALUE"""),"36.2705")</f>
        <v>36.2705</v>
      </c>
      <c r="H608" s="1" t="str">
        <f>IFERROR(__xludf.DUMMYFUNCTION("""COMPUTED_VALUE"""),"-115.048")</f>
        <v>-115.048</v>
      </c>
      <c r="I608" s="1" t="str">
        <f>IFERROR(__xludf.DUMMYFUNCTION("""COMPUTED_VALUE"""),"Operating")</f>
        <v>Operating</v>
      </c>
      <c r="J608" s="1" t="str">
        <f>IFERROR(__xludf.DUMMYFUNCTION("""COMPUTED_VALUE"""),"High")</f>
        <v>High</v>
      </c>
      <c r="K608" s="1" t="str">
        <f>IFERROR(__xludf.DUMMYFUNCTION("""COMPUTED_VALUE"""),"")</f>
        <v/>
      </c>
      <c r="L608" s="1" t="str">
        <f>IFERROR(__xludf.DUMMYFUNCTION("""COMPUTED_VALUE"""),"")</f>
        <v/>
      </c>
      <c r="M608" s="1" t="str">
        <f>IFERROR(__xludf.DUMMYFUNCTION("""COMPUTED_VALUE"""),"")</f>
        <v/>
      </c>
      <c r="N608" s="1" t="str">
        <f>IFERROR(__xludf.DUMMYFUNCTION("""COMPUTED_VALUE"""),"100")</f>
        <v>100</v>
      </c>
      <c r="O608" s="1" t="str">
        <f>IFERROR(__xludf.DUMMYFUNCTION("""COMPUTED_VALUE"""),"Hyperscale (100-999 MW)")</f>
        <v>Hyperscale (100-999 MW)</v>
      </c>
      <c r="P608" s="1" t="str">
        <f>IFERROR(__xludf.DUMMYFUNCTION("""COMPUTED_VALUE"""),"")</f>
        <v/>
      </c>
      <c r="Q608" s="1" t="str">
        <f>IFERROR(__xludf.DUMMYFUNCTION("""COMPUTED_VALUE"""),"")</f>
        <v/>
      </c>
      <c r="R608" s="1" t="str">
        <f>IFERROR(__xludf.DUMMYFUNCTION("""COMPUTED_VALUE"""),"")</f>
        <v/>
      </c>
      <c r="S608" s="1" t="str">
        <f>IFERROR(__xludf.DUMMYFUNCTION("""COMPUTED_VALUE"""),"")</f>
        <v/>
      </c>
      <c r="T608" s="1" t="str">
        <f>IFERROR(__xludf.DUMMYFUNCTION("""COMPUTED_VALUE"""),"")</f>
        <v/>
      </c>
      <c r="U608" s="1" t="str">
        <f>IFERROR(__xludf.DUMMYFUNCTION("""COMPUTED_VALUE"""),"")</f>
        <v/>
      </c>
      <c r="V608" s="1" t="str">
        <f>IFERROR(__xludf.DUMMYFUNCTION("""COMPUTED_VALUE"""),"275,000")</f>
        <v>275,000</v>
      </c>
      <c r="W608" s="1" t="str">
        <f>IFERROR(__xludf.DUMMYFUNCTION("""COMPUTED_VALUE"""),"")</f>
        <v/>
      </c>
      <c r="X608" s="1" t="str">
        <f>IFERROR(__xludf.DUMMYFUNCTION("""COMPUTED_VALUE"""),"")</f>
        <v/>
      </c>
      <c r="Y608" s="1" t="str">
        <f>IFERROR(__xludf.DUMMYFUNCTION("""COMPUTED_VALUE"""),"")</f>
        <v/>
      </c>
      <c r="Z608" s="1" t="str">
        <f>IFERROR(__xludf.DUMMYFUNCTION("""COMPUTED_VALUE"""),"Unknown")</f>
        <v>Unknown</v>
      </c>
      <c r="AA608" s="1" t="str">
        <f>IFERROR(__xludf.DUMMYFUNCTION("""COMPUTED_VALUE"""),"")</f>
        <v/>
      </c>
      <c r="AB608" s="1" t="str">
        <f>IFERROR(__xludf.DUMMYFUNCTION("""COMPUTED_VALUE"""),"")</f>
        <v/>
      </c>
      <c r="AC608" s="1" t="str">
        <f>IFERROR(__xludf.DUMMYFUNCTION("""COMPUTED_VALUE"""),"")</f>
        <v/>
      </c>
      <c r="AD608" s="1" t="str">
        <f>IFERROR(__xludf.DUMMYFUNCTION("""COMPUTED_VALUE"""),"")</f>
        <v/>
      </c>
      <c r="AE608" s="1" t="str">
        <f>IFERROR(__xludf.DUMMYFUNCTION("""COMPUTED_VALUE"""),"")</f>
        <v/>
      </c>
      <c r="AF608" s="1" t="str">
        <f>IFERROR(__xludf.DUMMYFUNCTION("""COMPUTED_VALUE"""),"")</f>
        <v/>
      </c>
      <c r="AG608" s="1" t="str">
        <f>IFERROR(__xludf.DUMMYFUNCTION("""COMPUTED_VALUE"""),"")</f>
        <v/>
      </c>
      <c r="AH608" s="1" t="str">
        <f>IFERROR(__xludf.DUMMYFUNCTION("""COMPUTED_VALUE"""),"Media Monitoring")</f>
        <v>Media Monitoring</v>
      </c>
      <c r="AI608" s="2" t="str">
        <f>IFERROR(__xludf.DUMMYFUNCTION("""COMPUTED_VALUE"""),"https://www.datacenterdynamics.com/en/news/novva-data-centers-buys-205-acres-of-land-in-las-vegas-nevada/")</f>
        <v>https://www.datacenterdynamics.com/en/news/novva-data-centers-buys-205-acres-of-land-in-las-vegas-nevada/</v>
      </c>
      <c r="AJ608" s="1" t="str">
        <f>IFERROR(__xludf.DUMMYFUNCTION("""COMPUTED_VALUE"""),"")</f>
        <v/>
      </c>
      <c r="AK608" s="1" t="str">
        <f>IFERROR(__xludf.DUMMYFUNCTION("""COMPUTED_VALUE"""),"")</f>
        <v/>
      </c>
      <c r="AL608" s="1" t="str">
        <f>IFERROR(__xludf.DUMMYFUNCTION("""COMPUTED_VALUE"""),"")</f>
        <v/>
      </c>
      <c r="AM608" s="1" t="str">
        <f>IFERROR(__xludf.DUMMYFUNCTION("""COMPUTED_VALUE"""),"")</f>
        <v/>
      </c>
      <c r="AN608" s="1" t="str">
        <f>IFERROR(__xludf.DUMMYFUNCTION("""COMPUTED_VALUE"""),"")</f>
        <v/>
      </c>
      <c r="AO608" s="1" t="str">
        <f>IFERROR(__xludf.DUMMYFUNCTION("""COMPUTED_VALUE"""),"")</f>
        <v/>
      </c>
      <c r="AP608" s="1" t="str">
        <f>IFERROR(__xludf.DUMMYFUNCTION("""COMPUTED_VALUE"""),"")</f>
        <v/>
      </c>
      <c r="AQ608" s="1" t="str">
        <f>IFERROR(__xludf.DUMMYFUNCTION("""COMPUTED_VALUE"""),"08/30/2025")</f>
        <v>08/30/2025</v>
      </c>
      <c r="AR608" s="1" t="str">
        <f>IFERROR(__xludf.DUMMYFUNCTION("""COMPUTED_VALUE"""),"08/30/2025")</f>
        <v>08/30/2025</v>
      </c>
    </row>
    <row r="609">
      <c r="A609" s="1" t="str">
        <f>IFERROR(__xludf.DUMMYFUNCTION("""COMPUTED_VALUE"""),"Novva Data Center (site 2)")</f>
        <v>Novva Data Center (site 2)</v>
      </c>
      <c r="B609" s="1" t="str">
        <f>IFERROR(__xludf.DUMMYFUNCTION("""COMPUTED_VALUE"""),"I-15 (Apex Industrial Park, North Los Vegas)")</f>
        <v>I-15 (Apex Industrial Park, North Los Vegas)</v>
      </c>
      <c r="C609" s="1" t="str">
        <f>IFERROR(__xludf.DUMMYFUNCTION("""COMPUTED_VALUE"""),"Las Vegas")</f>
        <v>Las Vegas</v>
      </c>
      <c r="D609" s="1" t="str">
        <f>IFERROR(__xludf.DUMMYFUNCTION("""COMPUTED_VALUE"""),"NV")</f>
        <v>NV</v>
      </c>
      <c r="E609" s="1" t="str">
        <f>IFERROR(__xludf.DUMMYFUNCTION("""COMPUTED_VALUE"""),"89115")</f>
        <v>89115</v>
      </c>
      <c r="F609" s="1" t="str">
        <f>IFERROR(__xludf.DUMMYFUNCTION("""COMPUTED_VALUE"""),"Clark")</f>
        <v>Clark</v>
      </c>
      <c r="G609" s="1" t="str">
        <f>IFERROR(__xludf.DUMMYFUNCTION("""COMPUTED_VALUE"""),"36.33975")</f>
        <v>36.33975</v>
      </c>
      <c r="H609" s="1" t="str">
        <f>IFERROR(__xludf.DUMMYFUNCTION("""COMPUTED_VALUE"""),"-114.943")</f>
        <v>-114.943</v>
      </c>
      <c r="I609" s="1" t="str">
        <f>IFERROR(__xludf.DUMMYFUNCTION("""COMPUTED_VALUE"""),"Proposed")</f>
        <v>Proposed</v>
      </c>
      <c r="J609" s="1" t="str">
        <f>IFERROR(__xludf.DUMMYFUNCTION("""COMPUTED_VALUE"""),"Medium")</f>
        <v>Medium</v>
      </c>
      <c r="K609" s="1" t="str">
        <f>IFERROR(__xludf.DUMMYFUNCTION("""COMPUTED_VALUE"""),"")</f>
        <v/>
      </c>
      <c r="L609" s="1" t="str">
        <f>IFERROR(__xludf.DUMMYFUNCTION("""COMPUTED_VALUE"""),"")</f>
        <v/>
      </c>
      <c r="M609" s="1" t="str">
        <f>IFERROR(__xludf.DUMMYFUNCTION("""COMPUTED_VALUE"""),"")</f>
        <v/>
      </c>
      <c r="N609" s="1" t="str">
        <f>IFERROR(__xludf.DUMMYFUNCTION("""COMPUTED_VALUE"""),"")</f>
        <v/>
      </c>
      <c r="O609" s="1" t="str">
        <f>IFERROR(__xludf.DUMMYFUNCTION("""COMPUTED_VALUE"""),"Unknown")</f>
        <v>Unknown</v>
      </c>
      <c r="P609" s="1" t="str">
        <f>IFERROR(__xludf.DUMMYFUNCTION("""COMPUTED_VALUE"""),"")</f>
        <v/>
      </c>
      <c r="Q609" s="1" t="str">
        <f>IFERROR(__xludf.DUMMYFUNCTION("""COMPUTED_VALUE"""),"")</f>
        <v/>
      </c>
      <c r="R609" s="1" t="str">
        <f>IFERROR(__xludf.DUMMYFUNCTION("""COMPUTED_VALUE"""),"")</f>
        <v/>
      </c>
      <c r="S609" s="1" t="str">
        <f>IFERROR(__xludf.DUMMYFUNCTION("""COMPUTED_VALUE"""),"")</f>
        <v/>
      </c>
      <c r="T609" s="1" t="str">
        <f>IFERROR(__xludf.DUMMYFUNCTION("""COMPUTED_VALUE"""),"")</f>
        <v/>
      </c>
      <c r="U609" s="1" t="str">
        <f>IFERROR(__xludf.DUMMYFUNCTION("""COMPUTED_VALUE"""),"")</f>
        <v/>
      </c>
      <c r="V609" s="1" t="str">
        <f>IFERROR(__xludf.DUMMYFUNCTION("""COMPUTED_VALUE"""),"")</f>
        <v/>
      </c>
      <c r="W609" s="1" t="str">
        <f>IFERROR(__xludf.DUMMYFUNCTION("""COMPUTED_VALUE"""),"205")</f>
        <v>205</v>
      </c>
      <c r="X609" s="1" t="str">
        <f>IFERROR(__xludf.DUMMYFUNCTION("""COMPUTED_VALUE"""),"$181 million")</f>
        <v>$181 million</v>
      </c>
      <c r="Y609" s="1" t="str">
        <f>IFERROR(__xludf.DUMMYFUNCTION("""COMPUTED_VALUE"""),"")</f>
        <v/>
      </c>
      <c r="Z609" s="1" t="str">
        <f>IFERROR(__xludf.DUMMYFUNCTION("""COMPUTED_VALUE"""),"Unknown")</f>
        <v>Unknown</v>
      </c>
      <c r="AA609" s="1" t="str">
        <f>IFERROR(__xludf.DUMMYFUNCTION("""COMPUTED_VALUE"""),"")</f>
        <v/>
      </c>
      <c r="AB609" s="1" t="str">
        <f>IFERROR(__xludf.DUMMYFUNCTION("""COMPUTED_VALUE"""),"")</f>
        <v/>
      </c>
      <c r="AC609" s="1" t="str">
        <f>IFERROR(__xludf.DUMMYFUNCTION("""COMPUTED_VALUE"""),"")</f>
        <v/>
      </c>
      <c r="AD609" s="1" t="str">
        <f>IFERROR(__xludf.DUMMYFUNCTION("""COMPUTED_VALUE"""),"")</f>
        <v/>
      </c>
      <c r="AE609" s="1" t="str">
        <f>IFERROR(__xludf.DUMMYFUNCTION("""COMPUTED_VALUE"""),"")</f>
        <v/>
      </c>
      <c r="AF609" s="1" t="str">
        <f>IFERROR(__xludf.DUMMYFUNCTION("""COMPUTED_VALUE"""),"")</f>
        <v/>
      </c>
      <c r="AG609" s="1" t="str">
        <f>IFERROR(__xludf.DUMMYFUNCTION("""COMPUTED_VALUE"""),"Known as the premiere carrier hotel in the world, 60 Hudson Street provides an easy interconnection via undersea cable to the UK, and to the cables from Manasquan and Tuckerton, NY to the EU")</f>
        <v>Known as the premiere carrier hotel in the world, 60 Hudson Street provides an easy interconnection via undersea cable to the UK, and to the cables from Manasquan and Tuckerton, NY to the EU</v>
      </c>
      <c r="AH609" s="1" t="str">
        <f>IFERROR(__xludf.DUMMYFUNCTION("""COMPUTED_VALUE"""),"Media Monitoring")</f>
        <v>Media Monitoring</v>
      </c>
      <c r="AI609" s="2" t="str">
        <f>IFERROR(__xludf.DUMMYFUNCTION("""COMPUTED_VALUE"""),"https://www.datacenterdynamics.com/en/news/novva-data-centers-buys-205-acres-of-land-in-las-vegas-nevada/")</f>
        <v>https://www.datacenterdynamics.com/en/news/novva-data-centers-buys-205-acres-of-land-in-las-vegas-nevada/</v>
      </c>
      <c r="AJ609" s="2" t="str">
        <f>IFERROR(__xludf.DUMMYFUNCTION("""COMPUTED_VALUE"""),"https://www.cityofnorthlasvegas.com/business/economic-development/apex-industrial-park")</f>
        <v>https://www.cityofnorthlasvegas.com/business/economic-development/apex-industrial-park</v>
      </c>
      <c r="AK609" s="1" t="str">
        <f>IFERROR(__xludf.DUMMYFUNCTION("""COMPUTED_VALUE"""),"")</f>
        <v/>
      </c>
      <c r="AL609" s="1" t="str">
        <f>IFERROR(__xludf.DUMMYFUNCTION("""COMPUTED_VALUE"""),"")</f>
        <v/>
      </c>
      <c r="AM609" s="1" t="str">
        <f>IFERROR(__xludf.DUMMYFUNCTION("""COMPUTED_VALUE"""),"")</f>
        <v/>
      </c>
      <c r="AN609" s="1" t="str">
        <f>IFERROR(__xludf.DUMMYFUNCTION("""COMPUTED_VALUE"""),"")</f>
        <v/>
      </c>
      <c r="AO609" s="1" t="str">
        <f>IFERROR(__xludf.DUMMYFUNCTION("""COMPUTED_VALUE"""),"")</f>
        <v/>
      </c>
      <c r="AP609" s="1" t="str">
        <f>IFERROR(__xludf.DUMMYFUNCTION("""COMPUTED_VALUE"""),"")</f>
        <v/>
      </c>
      <c r="AQ609" s="1" t="str">
        <f>IFERROR(__xludf.DUMMYFUNCTION("""COMPUTED_VALUE"""),"08/30/2025")</f>
        <v>08/30/2025</v>
      </c>
      <c r="AR609" s="1" t="str">
        <f>IFERROR(__xludf.DUMMYFUNCTION("""COMPUTED_VALUE"""),"08/30/2025")</f>
        <v>08/30/2025</v>
      </c>
    </row>
    <row r="610">
      <c r="A610" s="1" t="str">
        <f>IFERROR(__xludf.DUMMYFUNCTION("""COMPUTED_VALUE"""),"Switch Data Center")</f>
        <v>Switch Data Center</v>
      </c>
      <c r="B610" s="1" t="str">
        <f>IFERROR(__xludf.DUMMYFUNCTION("""COMPUTED_VALUE"""),"near 4746 W Richmar Ave")</f>
        <v>near 4746 W Richmar Ave</v>
      </c>
      <c r="C610" s="1" t="str">
        <f>IFERROR(__xludf.DUMMYFUNCTION("""COMPUTED_VALUE"""),"Las Vegas")</f>
        <v>Las Vegas</v>
      </c>
      <c r="D610" s="1" t="str">
        <f>IFERROR(__xludf.DUMMYFUNCTION("""COMPUTED_VALUE"""),"NV")</f>
        <v>NV</v>
      </c>
      <c r="E610" s="1" t="str">
        <f>IFERROR(__xludf.DUMMYFUNCTION("""COMPUTED_VALUE"""),"89139")</f>
        <v>89139</v>
      </c>
      <c r="F610" s="1" t="str">
        <f>IFERROR(__xludf.DUMMYFUNCTION("""COMPUTED_VALUE"""),"Clark")</f>
        <v>Clark</v>
      </c>
      <c r="G610" s="1" t="str">
        <f>IFERROR(__xludf.DUMMYFUNCTION("""COMPUTED_VALUE"""),"36.017166")</f>
        <v>36.017166</v>
      </c>
      <c r="H610" s="1" t="str">
        <f>IFERROR(__xludf.DUMMYFUNCTION("""COMPUTED_VALUE"""),"-115.20498")</f>
        <v>-115.20498</v>
      </c>
      <c r="I610" s="1" t="str">
        <f>IFERROR(__xludf.DUMMYFUNCTION("""COMPUTED_VALUE"""),"Proposed")</f>
        <v>Proposed</v>
      </c>
      <c r="J610" s="1" t="str">
        <f>IFERROR(__xludf.DUMMYFUNCTION("""COMPUTED_VALUE"""),"Medium")</f>
        <v>Medium</v>
      </c>
      <c r="K610" s="1" t="str">
        <f>IFERROR(__xludf.DUMMYFUNCTION("""COMPUTED_VALUE"""),"")</f>
        <v/>
      </c>
      <c r="L610" s="1" t="str">
        <f>IFERROR(__xludf.DUMMYFUNCTION("""COMPUTED_VALUE"""),"Switch")</f>
        <v>Switch</v>
      </c>
      <c r="M610" s="1" t="str">
        <f>IFERROR(__xludf.DUMMYFUNCTION("""COMPUTED_VALUE"""),"")</f>
        <v/>
      </c>
      <c r="N610" s="1" t="str">
        <f>IFERROR(__xludf.DUMMYFUNCTION("""COMPUTED_VALUE"""),"")</f>
        <v/>
      </c>
      <c r="O610" s="1" t="str">
        <f>IFERROR(__xludf.DUMMYFUNCTION("""COMPUTED_VALUE"""),"Unknown")</f>
        <v>Unknown</v>
      </c>
      <c r="P610" s="1" t="str">
        <f>IFERROR(__xludf.DUMMYFUNCTION("""COMPUTED_VALUE"""),"")</f>
        <v/>
      </c>
      <c r="Q610" s="1" t="str">
        <f>IFERROR(__xludf.DUMMYFUNCTION("""COMPUTED_VALUE"""),"")</f>
        <v/>
      </c>
      <c r="R610" s="1" t="str">
        <f>IFERROR(__xludf.DUMMYFUNCTION("""COMPUTED_VALUE"""),"")</f>
        <v/>
      </c>
      <c r="S610" s="1" t="str">
        <f>IFERROR(__xludf.DUMMYFUNCTION("""COMPUTED_VALUE"""),"")</f>
        <v/>
      </c>
      <c r="T610" s="1" t="str">
        <f>IFERROR(__xludf.DUMMYFUNCTION("""COMPUTED_VALUE"""),"")</f>
        <v/>
      </c>
      <c r="U610" s="1" t="str">
        <f>IFERROR(__xludf.DUMMYFUNCTION("""COMPUTED_VALUE"""),"")</f>
        <v/>
      </c>
      <c r="V610" s="1" t="str">
        <f>IFERROR(__xludf.DUMMYFUNCTION("""COMPUTED_VALUE"""),"")</f>
        <v/>
      </c>
      <c r="W610" s="1" t="str">
        <f>IFERROR(__xludf.DUMMYFUNCTION("""COMPUTED_VALUE"""),"54")</f>
        <v>54</v>
      </c>
      <c r="X610" s="1" t="str">
        <f>IFERROR(__xludf.DUMMYFUNCTION("""COMPUTED_VALUE"""),"")</f>
        <v/>
      </c>
      <c r="Y610" s="1" t="str">
        <f>IFERROR(__xludf.DUMMYFUNCTION("""COMPUTED_VALUE"""),"")</f>
        <v/>
      </c>
      <c r="Z610" s="1" t="str">
        <f>IFERROR(__xludf.DUMMYFUNCTION("""COMPUTED_VALUE"""),"Unknown")</f>
        <v>Unknown</v>
      </c>
      <c r="AA610" s="1" t="str">
        <f>IFERROR(__xludf.DUMMYFUNCTION("""COMPUTED_VALUE"""),"")</f>
        <v/>
      </c>
      <c r="AB610" s="1" t="str">
        <f>IFERROR(__xludf.DUMMYFUNCTION("""COMPUTED_VALUE"""),"")</f>
        <v/>
      </c>
      <c r="AC610" s="1" t="str">
        <f>IFERROR(__xludf.DUMMYFUNCTION("""COMPUTED_VALUE"""),"")</f>
        <v/>
      </c>
      <c r="AD610" s="1" t="str">
        <f>IFERROR(__xludf.DUMMYFUNCTION("""COMPUTED_VALUE"""),"")</f>
        <v/>
      </c>
      <c r="AE610" s="1" t="str">
        <f>IFERROR(__xludf.DUMMYFUNCTION("""COMPUTED_VALUE"""),"")</f>
        <v/>
      </c>
      <c r="AF610" s="1" t="str">
        <f>IFERROR(__xludf.DUMMYFUNCTION("""COMPUTED_VALUE"""),"")</f>
        <v/>
      </c>
      <c r="AG610" s="1" t="str">
        <f>IFERROR(__xludf.DUMMYFUNCTION("""COMPUTED_VALUE"""),"")</f>
        <v/>
      </c>
      <c r="AH610" s="1" t="str">
        <f>IFERROR(__xludf.DUMMYFUNCTION("""COMPUTED_VALUE"""),"Media Monitoring")</f>
        <v>Media Monitoring</v>
      </c>
      <c r="AI610" s="2" t="str">
        <f>IFERROR(__xludf.DUMMYFUNCTION("""COMPUTED_VALUE"""),"https://www.datacenterdynamics.com/en/news/switch-buys-another-site-outside-las-vegas/")</f>
        <v>https://www.datacenterdynamics.com/en/news/switch-buys-another-site-outside-las-vegas/</v>
      </c>
      <c r="AJ610" s="1" t="str">
        <f>IFERROR(__xludf.DUMMYFUNCTION("""COMPUTED_VALUE"""),"")</f>
        <v/>
      </c>
      <c r="AK610" s="1" t="str">
        <f>IFERROR(__xludf.DUMMYFUNCTION("""COMPUTED_VALUE"""),"")</f>
        <v/>
      </c>
      <c r="AL610" s="1" t="str">
        <f>IFERROR(__xludf.DUMMYFUNCTION("""COMPUTED_VALUE"""),"")</f>
        <v/>
      </c>
      <c r="AM610" s="1" t="str">
        <f>IFERROR(__xludf.DUMMYFUNCTION("""COMPUTED_VALUE"""),"")</f>
        <v/>
      </c>
      <c r="AN610" s="1" t="str">
        <f>IFERROR(__xludf.DUMMYFUNCTION("""COMPUTED_VALUE"""),"")</f>
        <v/>
      </c>
      <c r="AO610" s="1" t="str">
        <f>IFERROR(__xludf.DUMMYFUNCTION("""COMPUTED_VALUE"""),"")</f>
        <v/>
      </c>
      <c r="AP610" s="1" t="str">
        <f>IFERROR(__xludf.DUMMYFUNCTION("""COMPUTED_VALUE"""),"")</f>
        <v/>
      </c>
      <c r="AQ610" s="1" t="str">
        <f>IFERROR(__xludf.DUMMYFUNCTION("""COMPUTED_VALUE"""),"06/22/2026")</f>
        <v>06/22/2026</v>
      </c>
      <c r="AR610" s="1" t="str">
        <f>IFERROR(__xludf.DUMMYFUNCTION("""COMPUTED_VALUE"""),"06/22/2026")</f>
        <v>06/22/2026</v>
      </c>
    </row>
    <row r="611">
      <c r="A611" s="1" t="str">
        <f>IFERROR(__xludf.DUMMYFUNCTION("""COMPUTED_VALUE"""),"Switch Data Center")</f>
        <v>Switch Data Center</v>
      </c>
      <c r="B611" s="1" t="str">
        <f>IFERROR(__xludf.DUMMYFUNCTION("""COMPUTED_VALUE"""),"Apex Industrial Park, 10020 W Cheyenne Ave")</f>
        <v>Apex Industrial Park, 10020 W Cheyenne Ave</v>
      </c>
      <c r="C611" s="1" t="str">
        <f>IFERROR(__xludf.DUMMYFUNCTION("""COMPUTED_VALUE"""),"Las Vegas")</f>
        <v>Las Vegas</v>
      </c>
      <c r="D611" s="1" t="str">
        <f>IFERROR(__xludf.DUMMYFUNCTION("""COMPUTED_VALUE"""),"NV")</f>
        <v>NV</v>
      </c>
      <c r="E611" s="1" t="str">
        <f>IFERROR(__xludf.DUMMYFUNCTION("""COMPUTED_VALUE"""),"89129")</f>
        <v>89129</v>
      </c>
      <c r="F611" s="1" t="str">
        <f>IFERROR(__xludf.DUMMYFUNCTION("""COMPUTED_VALUE"""),"Clark")</f>
        <v>Clark</v>
      </c>
      <c r="G611" s="1" t="str">
        <f>IFERROR(__xludf.DUMMYFUNCTION("""COMPUTED_VALUE"""),"36.219105")</f>
        <v>36.219105</v>
      </c>
      <c r="H611" s="1" t="str">
        <f>IFERROR(__xludf.DUMMYFUNCTION("""COMPUTED_VALUE"""),"-115.3135")</f>
        <v>-115.3135</v>
      </c>
      <c r="I611" s="1" t="str">
        <f>IFERROR(__xludf.DUMMYFUNCTION("""COMPUTED_VALUE"""),"Proposed")</f>
        <v>Proposed</v>
      </c>
      <c r="J611" s="1" t="str">
        <f>IFERROR(__xludf.DUMMYFUNCTION("""COMPUTED_VALUE"""),"High")</f>
        <v>High</v>
      </c>
      <c r="K611" s="1" t="str">
        <f>IFERROR(__xludf.DUMMYFUNCTION("""COMPUTED_VALUE"""),"AI")</f>
        <v>AI</v>
      </c>
      <c r="L611" s="1" t="str">
        <f>IFERROR(__xludf.DUMMYFUNCTION("""COMPUTED_VALUE"""),"")</f>
        <v/>
      </c>
      <c r="M611" s="1" t="str">
        <f>IFERROR(__xludf.DUMMYFUNCTION("""COMPUTED_VALUE"""),"")</f>
        <v/>
      </c>
      <c r="N611" s="1" t="str">
        <f>IFERROR(__xludf.DUMMYFUNCTION("""COMPUTED_VALUE"""),"")</f>
        <v/>
      </c>
      <c r="O611" s="1" t="str">
        <f>IFERROR(__xludf.DUMMYFUNCTION("""COMPUTED_VALUE"""),"Unknown")</f>
        <v>Unknown</v>
      </c>
      <c r="P611" s="1" t="str">
        <f>IFERROR(__xludf.DUMMYFUNCTION("""COMPUTED_VALUE"""),"")</f>
        <v/>
      </c>
      <c r="Q611" s="1" t="str">
        <f>IFERROR(__xludf.DUMMYFUNCTION("""COMPUTED_VALUE"""),"")</f>
        <v/>
      </c>
      <c r="R611" s="1" t="str">
        <f>IFERROR(__xludf.DUMMYFUNCTION("""COMPUTED_VALUE"""),"")</f>
        <v/>
      </c>
      <c r="S611" s="1" t="str">
        <f>IFERROR(__xludf.DUMMYFUNCTION("""COMPUTED_VALUE"""),"")</f>
        <v/>
      </c>
      <c r="T611" s="1" t="str">
        <f>IFERROR(__xludf.DUMMYFUNCTION("""COMPUTED_VALUE"""),"")</f>
        <v/>
      </c>
      <c r="U611" s="1" t="str">
        <f>IFERROR(__xludf.DUMMYFUNCTION("""COMPUTED_VALUE"""),"")</f>
        <v/>
      </c>
      <c r="V611" s="1" t="str">
        <f>IFERROR(__xludf.DUMMYFUNCTION("""COMPUTED_VALUE"""),"")</f>
        <v/>
      </c>
      <c r="W611" s="1" t="str">
        <f>IFERROR(__xludf.DUMMYFUNCTION("""COMPUTED_VALUE"""),"176")</f>
        <v>176</v>
      </c>
      <c r="X611" s="1" t="str">
        <f>IFERROR(__xludf.DUMMYFUNCTION("""COMPUTED_VALUE"""),"$85.5 million ")</f>
        <v>$85.5 million </v>
      </c>
      <c r="Y611" s="1" t="str">
        <f>IFERROR(__xludf.DUMMYFUNCTION("""COMPUTED_VALUE"""),"")</f>
        <v/>
      </c>
      <c r="Z611" s="1" t="str">
        <f>IFERROR(__xludf.DUMMYFUNCTION("""COMPUTED_VALUE"""),"Unknown")</f>
        <v>Unknown</v>
      </c>
      <c r="AA611" s="1" t="str">
        <f>IFERROR(__xludf.DUMMYFUNCTION("""COMPUTED_VALUE"""),"")</f>
        <v/>
      </c>
      <c r="AB611" s="1" t="str">
        <f>IFERROR(__xludf.DUMMYFUNCTION("""COMPUTED_VALUE"""),"")</f>
        <v/>
      </c>
      <c r="AC611" s="1" t="str">
        <f>IFERROR(__xludf.DUMMYFUNCTION("""COMPUTED_VALUE"""),"")</f>
        <v/>
      </c>
      <c r="AD611" s="1" t="str">
        <f>IFERROR(__xludf.DUMMYFUNCTION("""COMPUTED_VALUE"""),"")</f>
        <v/>
      </c>
      <c r="AE611" s="1" t="str">
        <f>IFERROR(__xludf.DUMMYFUNCTION("""COMPUTED_VALUE"""),"")</f>
        <v/>
      </c>
      <c r="AF611" s="1" t="str">
        <f>IFERROR(__xludf.DUMMYFUNCTION("""COMPUTED_VALUE"""),"")</f>
        <v/>
      </c>
      <c r="AG611" s="1" t="str">
        <f>IFERROR(__xludf.DUMMYFUNCTION("""COMPUTED_VALUE"""),"")</f>
        <v/>
      </c>
      <c r="AH611" s="1" t="str">
        <f>IFERROR(__xludf.DUMMYFUNCTION("""COMPUTED_VALUE"""),"Media Monitoring")</f>
        <v>Media Monitoring</v>
      </c>
      <c r="AI611" s="1" t="str">
        <f>IFERROR(__xludf.DUMMYFUNCTION("""COMPUTED_VALUE"""),"County moving towards Moratorium, March 2026")</f>
        <v>County moving towards Moratorium, March 2026</v>
      </c>
      <c r="AJ611" s="1" t="str">
        <f>IFERROR(__xludf.DUMMYFUNCTION("""COMPUTED_VALUE"""),"")</f>
        <v/>
      </c>
      <c r="AK611" s="1" t="str">
        <f>IFERROR(__xludf.DUMMYFUNCTION("""COMPUTED_VALUE"""),"")</f>
        <v/>
      </c>
      <c r="AL611" s="1" t="str">
        <f>IFERROR(__xludf.DUMMYFUNCTION("""COMPUTED_VALUE"""),"")</f>
        <v/>
      </c>
      <c r="AM611" s="1" t="str">
        <f>IFERROR(__xludf.DUMMYFUNCTION("""COMPUTED_VALUE"""),"")</f>
        <v/>
      </c>
      <c r="AN611" s="1" t="str">
        <f>IFERROR(__xludf.DUMMYFUNCTION("""COMPUTED_VALUE"""),"")</f>
        <v/>
      </c>
      <c r="AO611" s="1" t="str">
        <f>IFERROR(__xludf.DUMMYFUNCTION("""COMPUTED_VALUE"""),"")</f>
        <v/>
      </c>
      <c r="AP611" s="1" t="str">
        <f>IFERROR(__xludf.DUMMYFUNCTION("""COMPUTED_VALUE"""),"")</f>
        <v/>
      </c>
      <c r="AQ611" s="1" t="str">
        <f>IFERROR(__xludf.DUMMYFUNCTION("""COMPUTED_VALUE"""),"01/22/2026")</f>
        <v>01/22/2026</v>
      </c>
      <c r="AR611" s="1" t="str">
        <f>IFERROR(__xludf.DUMMYFUNCTION("""COMPUTED_VALUE"""),"01/22/2026")</f>
        <v>01/22/2026</v>
      </c>
    </row>
    <row r="612">
      <c r="A612" s="1" t="str">
        <f>IFERROR(__xludf.DUMMYFUNCTION("""COMPUTED_VALUE"""),"Switch Las Vegas CORE campus")</f>
        <v>Switch Las Vegas CORE campus</v>
      </c>
      <c r="B612" s="1" t="str">
        <f>IFERROR(__xludf.DUMMYFUNCTION("""COMPUTED_VALUE"""),"7135 S Decatur Blvd")</f>
        <v>7135 S Decatur Blvd</v>
      </c>
      <c r="C612" s="1" t="str">
        <f>IFERROR(__xludf.DUMMYFUNCTION("""COMPUTED_VALUE"""),"Las Vegas")</f>
        <v>Las Vegas</v>
      </c>
      <c r="D612" s="1" t="str">
        <f>IFERROR(__xludf.DUMMYFUNCTION("""COMPUTED_VALUE"""),"NV")</f>
        <v>NV</v>
      </c>
      <c r="E612" s="1" t="str">
        <f>IFERROR(__xludf.DUMMYFUNCTION("""COMPUTED_VALUE"""),"89118")</f>
        <v>89118</v>
      </c>
      <c r="F612" s="1" t="str">
        <f>IFERROR(__xludf.DUMMYFUNCTION("""COMPUTED_VALUE"""),"Clark")</f>
        <v>Clark</v>
      </c>
      <c r="G612" s="1" t="str">
        <f>IFERROR(__xludf.DUMMYFUNCTION("""COMPUTED_VALUE"""),"36.0603")</f>
        <v>36.0603</v>
      </c>
      <c r="H612" s="1" t="str">
        <f>IFERROR(__xludf.DUMMYFUNCTION("""COMPUTED_VALUE"""),"-115.21189")</f>
        <v>-115.21189</v>
      </c>
      <c r="I612" s="1" t="str">
        <f>IFERROR(__xludf.DUMMYFUNCTION("""COMPUTED_VALUE"""),"Operating")</f>
        <v>Operating</v>
      </c>
      <c r="J612" s="1" t="str">
        <f>IFERROR(__xludf.DUMMYFUNCTION("""COMPUTED_VALUE"""),"High")</f>
        <v>High</v>
      </c>
      <c r="K612" s="1" t="str">
        <f>IFERROR(__xludf.DUMMYFUNCTION("""COMPUTED_VALUE"""),"")</f>
        <v/>
      </c>
      <c r="L612" s="1" t="str">
        <f>IFERROR(__xludf.DUMMYFUNCTION("""COMPUTED_VALUE"""),"Switch")</f>
        <v>Switch</v>
      </c>
      <c r="M612" s="1" t="str">
        <f>IFERROR(__xludf.DUMMYFUNCTION("""COMPUTED_VALUE"""),"")</f>
        <v/>
      </c>
      <c r="N612" s="1" t="str">
        <f>IFERROR(__xludf.DUMMYFUNCTION("""COMPUTED_VALUE"""),"495")</f>
        <v>495</v>
      </c>
      <c r="O612" s="1" t="str">
        <f>IFERROR(__xludf.DUMMYFUNCTION("""COMPUTED_VALUE"""),"Hyperscale (100-999 MW)")</f>
        <v>Hyperscale (100-999 MW)</v>
      </c>
      <c r="P612" s="1" t="str">
        <f>IFERROR(__xludf.DUMMYFUNCTION("""COMPUTED_VALUE"""),"")</f>
        <v/>
      </c>
      <c r="Q612" s="1" t="str">
        <f>IFERROR(__xludf.DUMMYFUNCTION("""COMPUTED_VALUE"""),"")</f>
        <v/>
      </c>
      <c r="R612" s="1" t="str">
        <f>IFERROR(__xludf.DUMMYFUNCTION("""COMPUTED_VALUE"""),"")</f>
        <v/>
      </c>
      <c r="S612" s="1" t="str">
        <f>IFERROR(__xludf.DUMMYFUNCTION("""COMPUTED_VALUE"""),"")</f>
        <v/>
      </c>
      <c r="T612" s="1" t="str">
        <f>IFERROR(__xludf.DUMMYFUNCTION("""COMPUTED_VALUE"""),"")</f>
        <v/>
      </c>
      <c r="U612" s="1" t="str">
        <f>IFERROR(__xludf.DUMMYFUNCTION("""COMPUTED_VALUE"""),"")</f>
        <v/>
      </c>
      <c r="V612" s="1" t="str">
        <f>IFERROR(__xludf.DUMMYFUNCTION("""COMPUTED_VALUE"""),"3,500,000")</f>
        <v>3,500,000</v>
      </c>
      <c r="W612" s="1" t="str">
        <f>IFERROR(__xludf.DUMMYFUNCTION("""COMPUTED_VALUE"""),"")</f>
        <v/>
      </c>
      <c r="X612" s="1" t="str">
        <f>IFERROR(__xludf.DUMMYFUNCTION("""COMPUTED_VALUE"""),"")</f>
        <v/>
      </c>
      <c r="Y612" s="1" t="str">
        <f>IFERROR(__xludf.DUMMYFUNCTION("""COMPUTED_VALUE"""),"")</f>
        <v/>
      </c>
      <c r="Z612" s="1" t="str">
        <f>IFERROR(__xludf.DUMMYFUNCTION("""COMPUTED_VALUE"""),"Unknown")</f>
        <v>Unknown</v>
      </c>
      <c r="AA612" s="1" t="str">
        <f>IFERROR(__xludf.DUMMYFUNCTION("""COMPUTED_VALUE"""),"")</f>
        <v/>
      </c>
      <c r="AB612" s="1" t="str">
        <f>IFERROR(__xludf.DUMMYFUNCTION("""COMPUTED_VALUE"""),"")</f>
        <v/>
      </c>
      <c r="AC612" s="1" t="str">
        <f>IFERROR(__xludf.DUMMYFUNCTION("""COMPUTED_VALUE"""),"")</f>
        <v/>
      </c>
      <c r="AD612" s="1" t="str">
        <f>IFERROR(__xludf.DUMMYFUNCTION("""COMPUTED_VALUE"""),"")</f>
        <v/>
      </c>
      <c r="AE612" s="1" t="str">
        <f>IFERROR(__xludf.DUMMYFUNCTION("""COMPUTED_VALUE"""),"")</f>
        <v/>
      </c>
      <c r="AF612" s="1" t="str">
        <f>IFERROR(__xludf.DUMMYFUNCTION("""COMPUTED_VALUE"""),"")</f>
        <v/>
      </c>
      <c r="AG612" s="1" t="str">
        <f>IFERROR(__xludf.DUMMYFUNCTION("""COMPUTED_VALUE"""),"")</f>
        <v/>
      </c>
      <c r="AH612" s="1" t="str">
        <f>IFERROR(__xludf.DUMMYFUNCTION("""COMPUTED_VALUE"""),"Media Monitoring")</f>
        <v>Media Monitoring</v>
      </c>
      <c r="AI612" s="2" t="str">
        <f>IFERROR(__xludf.DUMMYFUNCTION("""COMPUTED_VALUE"""),"https://www.datacenterdynamics.com/en/news/switch-buys-176-acres-at-apex-industrial-park-las-vegas/")</f>
        <v>https://www.datacenterdynamics.com/en/news/switch-buys-176-acres-at-apex-industrial-park-las-vegas/</v>
      </c>
      <c r="AJ612" s="1" t="str">
        <f>IFERROR(__xludf.DUMMYFUNCTION("""COMPUTED_VALUE"""),"")</f>
        <v/>
      </c>
      <c r="AK612" s="1" t="str">
        <f>IFERROR(__xludf.DUMMYFUNCTION("""COMPUTED_VALUE"""),"")</f>
        <v/>
      </c>
      <c r="AL612" s="1" t="str">
        <f>IFERROR(__xludf.DUMMYFUNCTION("""COMPUTED_VALUE"""),"")</f>
        <v/>
      </c>
      <c r="AM612" s="1" t="str">
        <f>IFERROR(__xludf.DUMMYFUNCTION("""COMPUTED_VALUE"""),"")</f>
        <v/>
      </c>
      <c r="AN612" s="1" t="str">
        <f>IFERROR(__xludf.DUMMYFUNCTION("""COMPUTED_VALUE"""),"")</f>
        <v/>
      </c>
      <c r="AO612" s="1" t="str">
        <f>IFERROR(__xludf.DUMMYFUNCTION("""COMPUTED_VALUE"""),"")</f>
        <v/>
      </c>
      <c r="AP612" s="1" t="str">
        <f>IFERROR(__xludf.DUMMYFUNCTION("""COMPUTED_VALUE"""),"")</f>
        <v/>
      </c>
      <c r="AQ612" s="1" t="str">
        <f>IFERROR(__xludf.DUMMYFUNCTION("""COMPUTED_VALUE"""),"01/22/2026")</f>
        <v>01/22/2026</v>
      </c>
      <c r="AR612" s="1" t="str">
        <f>IFERROR(__xludf.DUMMYFUNCTION("""COMPUTED_VALUE"""),"01/22/2026")</f>
        <v>01/22/2026</v>
      </c>
    </row>
    <row r="613">
      <c r="A613" s="2" t="str">
        <f>IFERROR(__xludf.DUMMYFUNCTION("""COMPUTED_VALUE"""),"Jet.AI")</f>
        <v>Jet.AI</v>
      </c>
      <c r="B613" s="1" t="str">
        <f>IFERROR(__xludf.DUMMYFUNCTION("""COMPUTED_VALUE"""),"Curocee Rd")</f>
        <v>Curocee Rd</v>
      </c>
      <c r="C613" s="1" t="str">
        <f>IFERROR(__xludf.DUMMYFUNCTION("""COMPUTED_VALUE"""),"Moapa")</f>
        <v>Moapa</v>
      </c>
      <c r="D613" s="1" t="str">
        <f>IFERROR(__xludf.DUMMYFUNCTION("""COMPUTED_VALUE"""),"NV")</f>
        <v>NV</v>
      </c>
      <c r="E613" s="1" t="str">
        <f>IFERROR(__xludf.DUMMYFUNCTION("""COMPUTED_VALUE"""),"89025")</f>
        <v>89025</v>
      </c>
      <c r="F613" s="1" t="str">
        <f>IFERROR(__xludf.DUMMYFUNCTION("""COMPUTED_VALUE"""),"Clark")</f>
        <v>Clark</v>
      </c>
      <c r="G613" s="1" t="str">
        <f>IFERROR(__xludf.DUMMYFUNCTION("""COMPUTED_VALUE"""),"36.688816")</f>
        <v>36.688816</v>
      </c>
      <c r="H613" s="1" t="str">
        <f>IFERROR(__xludf.DUMMYFUNCTION("""COMPUTED_VALUE"""),"-114.62739")</f>
        <v>-114.62739</v>
      </c>
      <c r="I613" s="1" t="str">
        <f>IFERROR(__xludf.DUMMYFUNCTION("""COMPUTED_VALUE"""),"Proposed")</f>
        <v>Proposed</v>
      </c>
      <c r="J613" s="1" t="str">
        <f>IFERROR(__xludf.DUMMYFUNCTION("""COMPUTED_VALUE"""),"High")</f>
        <v>High</v>
      </c>
      <c r="K613" s="1" t="str">
        <f>IFERROR(__xludf.DUMMYFUNCTION("""COMPUTED_VALUE"""),"")</f>
        <v/>
      </c>
      <c r="L613" s="1" t="str">
        <f>IFERROR(__xludf.DUMMYFUNCTION("""COMPUTED_VALUE"""),"")</f>
        <v/>
      </c>
      <c r="M613" s="1" t="str">
        <f>IFERROR(__xludf.DUMMYFUNCTION("""COMPUTED_VALUE"""),"")</f>
        <v/>
      </c>
      <c r="N613" s="1" t="str">
        <f>IFERROR(__xludf.DUMMYFUNCTION("""COMPUTED_VALUE"""),"50")</f>
        <v>50</v>
      </c>
      <c r="O613" s="1" t="str">
        <f>IFERROR(__xludf.DUMMYFUNCTION("""COMPUTED_VALUE"""),"Medium (11-50 MW)")</f>
        <v>Medium (11-50 MW)</v>
      </c>
      <c r="P613" s="1" t="str">
        <f>IFERROR(__xludf.DUMMYFUNCTION("""COMPUTED_VALUE"""),"Grid (unspecified mix)")</f>
        <v>Grid (unspecified mix)</v>
      </c>
      <c r="Q613" s="1" t="str">
        <f>IFERROR(__xludf.DUMMYFUNCTION("""COMPUTED_VALUE"""),"")</f>
        <v/>
      </c>
      <c r="R613" s="1" t="str">
        <f>IFERROR(__xludf.DUMMYFUNCTION("""COMPUTED_VALUE"""),"")</f>
        <v/>
      </c>
      <c r="S613" s="1" t="str">
        <f>IFERROR(__xludf.DUMMYFUNCTION("""COMPUTED_VALUE"""),"")</f>
        <v/>
      </c>
      <c r="T613" s="1" t="str">
        <f>IFERROR(__xludf.DUMMYFUNCTION("""COMPUTED_VALUE"""),"")</f>
        <v/>
      </c>
      <c r="U613" s="1" t="str">
        <f>IFERROR(__xludf.DUMMYFUNCTION("""COMPUTED_VALUE"""),"")</f>
        <v/>
      </c>
      <c r="V613" s="1" t="str">
        <f>IFERROR(__xludf.DUMMYFUNCTION("""COMPUTED_VALUE"""),"")</f>
        <v/>
      </c>
      <c r="W613" s="1" t="str">
        <f>IFERROR(__xludf.DUMMYFUNCTION("""COMPUTED_VALUE"""),"20")</f>
        <v>20</v>
      </c>
      <c r="X613" s="1" t="str">
        <f>IFERROR(__xludf.DUMMYFUNCTION("""COMPUTED_VALUE"""),"")</f>
        <v/>
      </c>
      <c r="Y613" s="1" t="str">
        <f>IFERROR(__xludf.DUMMYFUNCTION("""COMPUTED_VALUE"""),"")</f>
        <v/>
      </c>
      <c r="Z613" s="1" t="str">
        <f>IFERROR(__xludf.DUMMYFUNCTION("""COMPUTED_VALUE"""),"Unknown")</f>
        <v>Unknown</v>
      </c>
      <c r="AA613" s="1" t="str">
        <f>IFERROR(__xludf.DUMMYFUNCTION("""COMPUTED_VALUE"""),"")</f>
        <v/>
      </c>
      <c r="AB613" s="1" t="str">
        <f>IFERROR(__xludf.DUMMYFUNCTION("""COMPUTED_VALUE"""),"")</f>
        <v/>
      </c>
      <c r="AC613" s="1" t="str">
        <f>IFERROR(__xludf.DUMMYFUNCTION("""COMPUTED_VALUE"""),"")</f>
        <v/>
      </c>
      <c r="AD613" s="1" t="str">
        <f>IFERROR(__xludf.DUMMYFUNCTION("""COMPUTED_VALUE"""),"")</f>
        <v/>
      </c>
      <c r="AE613" s="1" t="str">
        <f>IFERROR(__xludf.DUMMYFUNCTION("""COMPUTED_VALUE"""),"")</f>
        <v/>
      </c>
      <c r="AF613" s="1" t="str">
        <f>IFERROR(__xludf.DUMMYFUNCTION("""COMPUTED_VALUE"""),"")</f>
        <v/>
      </c>
      <c r="AG613" s="1" t="str">
        <f>IFERROR(__xludf.DUMMYFUNCTION("""COMPUTED_VALUE"""),"Nearby 200 MW battery storage")</f>
        <v>Nearby 200 MW battery storage</v>
      </c>
      <c r="AH613" s="1" t="str">
        <f>IFERROR(__xludf.DUMMYFUNCTION("""COMPUTED_VALUE"""),"Media Monitoring")</f>
        <v>Media Monitoring</v>
      </c>
      <c r="AI613" s="2" t="str">
        <f>IFERROR(__xludf.DUMMYFUNCTION("""COMPUTED_VALUE"""),"https://www.datacenterdynamics.com/en/news/jetai-cce-form-jv-to-develop-50mw-data-center-in-clark-county-nevada/")</f>
        <v>https://www.datacenterdynamics.com/en/news/jetai-cce-form-jv-to-develop-50mw-data-center-in-clark-county-nevada/</v>
      </c>
      <c r="AJ613" s="1" t="str">
        <f>IFERROR(__xludf.DUMMYFUNCTION("""COMPUTED_VALUE"""),"")</f>
        <v/>
      </c>
      <c r="AK613" s="1" t="str">
        <f>IFERROR(__xludf.DUMMYFUNCTION("""COMPUTED_VALUE"""),"")</f>
        <v/>
      </c>
      <c r="AL613" s="1" t="str">
        <f>IFERROR(__xludf.DUMMYFUNCTION("""COMPUTED_VALUE"""),"")</f>
        <v/>
      </c>
      <c r="AM613" s="1" t="str">
        <f>IFERROR(__xludf.DUMMYFUNCTION("""COMPUTED_VALUE"""),"")</f>
        <v/>
      </c>
      <c r="AN613" s="1" t="str">
        <f>IFERROR(__xludf.DUMMYFUNCTION("""COMPUTED_VALUE"""),"")</f>
        <v/>
      </c>
      <c r="AO613" s="1" t="str">
        <f>IFERROR(__xludf.DUMMYFUNCTION("""COMPUTED_VALUE"""),"")</f>
        <v/>
      </c>
      <c r="AP613" s="1" t="str">
        <f>IFERROR(__xludf.DUMMYFUNCTION("""COMPUTED_VALUE"""),"")</f>
        <v/>
      </c>
      <c r="AQ613" s="1" t="str">
        <f>IFERROR(__xludf.DUMMYFUNCTION("""COMPUTED_VALUE"""),"01/06/2026")</f>
        <v>01/06/2026</v>
      </c>
      <c r="AR613" s="1" t="str">
        <f>IFERROR(__xludf.DUMMYFUNCTION("""COMPUTED_VALUE"""),"01/06/2026")</f>
        <v>01/06/2026</v>
      </c>
    </row>
    <row r="614">
      <c r="A614" s="1" t="str">
        <f>IFERROR(__xludf.DUMMYFUNCTION("""COMPUTED_VALUE"""),"Centra")</f>
        <v>Centra</v>
      </c>
      <c r="B614" s="1" t="str">
        <f>IFERROR(__xludf.DUMMYFUNCTION("""COMPUTED_VALUE"""),"265 Keystone Ave")</f>
        <v>265 Keystone Ave</v>
      </c>
      <c r="C614" s="1" t="str">
        <f>IFERROR(__xludf.DUMMYFUNCTION("""COMPUTED_VALUE"""),"Reno")</f>
        <v>Reno</v>
      </c>
      <c r="D614" s="1" t="str">
        <f>IFERROR(__xludf.DUMMYFUNCTION("""COMPUTED_VALUE"""),"NV")</f>
        <v>NV</v>
      </c>
      <c r="E614" s="1" t="str">
        <f>IFERROR(__xludf.DUMMYFUNCTION("""COMPUTED_VALUE"""),"89503")</f>
        <v>89503</v>
      </c>
      <c r="F614" s="1" t="str">
        <f>IFERROR(__xludf.DUMMYFUNCTION("""COMPUTED_VALUE"""),"Washoe")</f>
        <v>Washoe</v>
      </c>
      <c r="G614" s="1" t="str">
        <f>IFERROR(__xludf.DUMMYFUNCTION("""COMPUTED_VALUE"""),"39.525772")</f>
        <v>39.525772</v>
      </c>
      <c r="H614" s="1" t="str">
        <f>IFERROR(__xludf.DUMMYFUNCTION("""COMPUTED_VALUE"""),"-119.82659")</f>
        <v>-119.82659</v>
      </c>
      <c r="I614" s="1" t="str">
        <f>IFERROR(__xludf.DUMMYFUNCTION("""COMPUTED_VALUE"""),"Approved/Permitted/Under construction")</f>
        <v>Approved/Permitted/Under construction</v>
      </c>
      <c r="J614" s="1" t="str">
        <f>IFERROR(__xludf.DUMMYFUNCTION("""COMPUTED_VALUE"""),"High")</f>
        <v>High</v>
      </c>
      <c r="K614" s="1" t="str">
        <f>IFERROR(__xludf.DUMMYFUNCTION("""COMPUTED_VALUE"""),"")</f>
        <v/>
      </c>
      <c r="L614" s="1" t="str">
        <f>IFERROR(__xludf.DUMMYFUNCTION("""COMPUTED_VALUE"""),"")</f>
        <v/>
      </c>
      <c r="M614" s="1" t="str">
        <f>IFERROR(__xludf.DUMMYFUNCTION("""COMPUTED_VALUE"""),"")</f>
        <v/>
      </c>
      <c r="N614" s="1" t="str">
        <f>IFERROR(__xludf.DUMMYFUNCTION("""COMPUTED_VALUE"""),"12")</f>
        <v>12</v>
      </c>
      <c r="O614" s="1" t="str">
        <f>IFERROR(__xludf.DUMMYFUNCTION("""COMPUTED_VALUE"""),"Medium (11-50 MW)")</f>
        <v>Medium (11-50 MW)</v>
      </c>
      <c r="P614" s="1" t="str">
        <f>IFERROR(__xludf.DUMMYFUNCTION("""COMPUTED_VALUE"""),"")</f>
        <v/>
      </c>
      <c r="Q614" s="1" t="str">
        <f>IFERROR(__xludf.DUMMYFUNCTION("""COMPUTED_VALUE"""),"")</f>
        <v/>
      </c>
      <c r="R614" s="1" t="str">
        <f>IFERROR(__xludf.DUMMYFUNCTION("""COMPUTED_VALUE"""),"")</f>
        <v/>
      </c>
      <c r="S614" s="1" t="str">
        <f>IFERROR(__xludf.DUMMYFUNCTION("""COMPUTED_VALUE"""),"")</f>
        <v/>
      </c>
      <c r="T614" s="1" t="str">
        <f>IFERROR(__xludf.DUMMYFUNCTION("""COMPUTED_VALUE"""),"")</f>
        <v/>
      </c>
      <c r="U614" s="1" t="str">
        <f>IFERROR(__xludf.DUMMYFUNCTION("""COMPUTED_VALUE"""),"")</f>
        <v/>
      </c>
      <c r="V614" s="1" t="str">
        <f>IFERROR(__xludf.DUMMYFUNCTION("""COMPUTED_VALUE"""),"")</f>
        <v/>
      </c>
      <c r="W614" s="1" t="str">
        <f>IFERROR(__xludf.DUMMYFUNCTION("""COMPUTED_VALUE"""),"")</f>
        <v/>
      </c>
      <c r="X614" s="1" t="str">
        <f>IFERROR(__xludf.DUMMYFUNCTION("""COMPUTED_VALUE"""),"")</f>
        <v/>
      </c>
      <c r="Y614" s="1" t="str">
        <f>IFERROR(__xludf.DUMMYFUNCTION("""COMPUTED_VALUE"""),"")</f>
        <v/>
      </c>
      <c r="Z614" s="1" t="str">
        <f>IFERROR(__xludf.DUMMYFUNCTION("""COMPUTED_VALUE"""),"Unknown")</f>
        <v>Unknown</v>
      </c>
      <c r="AA614" s="1" t="str">
        <f>IFERROR(__xludf.DUMMYFUNCTION("""COMPUTED_VALUE"""),"")</f>
        <v/>
      </c>
      <c r="AB614" s="1" t="str">
        <f>IFERROR(__xludf.DUMMYFUNCTION("""COMPUTED_VALUE"""),"")</f>
        <v/>
      </c>
      <c r="AC614" s="1" t="str">
        <f>IFERROR(__xludf.DUMMYFUNCTION("""COMPUTED_VALUE"""),"")</f>
        <v/>
      </c>
      <c r="AD614" s="1" t="str">
        <f>IFERROR(__xludf.DUMMYFUNCTION("""COMPUTED_VALUE"""),"")</f>
        <v/>
      </c>
      <c r="AE614" s="1" t="str">
        <f>IFERROR(__xludf.DUMMYFUNCTION("""COMPUTED_VALUE"""),"")</f>
        <v/>
      </c>
      <c r="AF614" s="1" t="str">
        <f>IFERROR(__xludf.DUMMYFUNCTION("""COMPUTED_VALUE"""),"")</f>
        <v/>
      </c>
      <c r="AG614" s="1" t="str">
        <f>IFERROR(__xludf.DUMMYFUNCTION("""COMPUTED_VALUE"""),"")</f>
        <v/>
      </c>
      <c r="AH614" s="1" t="str">
        <f>IFERROR(__xludf.DUMMYFUNCTION("""COMPUTED_VALUE"""),"Media Monitoring")</f>
        <v>Media Monitoring</v>
      </c>
      <c r="AI614" s="2" t="str">
        <f>IFERROR(__xludf.DUMMYFUNCTION("""COMPUTED_VALUE"""),"https://www.datacenterdynamics.com/en/news/centra-breaks-ground-on-second-reno-data-center/")</f>
        <v>https://www.datacenterdynamics.com/en/news/centra-breaks-ground-on-second-reno-data-center/</v>
      </c>
      <c r="AJ614" s="1" t="str">
        <f>IFERROR(__xludf.DUMMYFUNCTION("""COMPUTED_VALUE"""),"")</f>
        <v/>
      </c>
      <c r="AK614" s="1" t="str">
        <f>IFERROR(__xludf.DUMMYFUNCTION("""COMPUTED_VALUE"""),"")</f>
        <v/>
      </c>
      <c r="AL614" s="1" t="str">
        <f>IFERROR(__xludf.DUMMYFUNCTION("""COMPUTED_VALUE"""),"")</f>
        <v/>
      </c>
      <c r="AM614" s="1" t="str">
        <f>IFERROR(__xludf.DUMMYFUNCTION("""COMPUTED_VALUE"""),"")</f>
        <v/>
      </c>
      <c r="AN614" s="1" t="str">
        <f>IFERROR(__xludf.DUMMYFUNCTION("""COMPUTED_VALUE"""),"")</f>
        <v/>
      </c>
      <c r="AO614" s="1" t="str">
        <f>IFERROR(__xludf.DUMMYFUNCTION("""COMPUTED_VALUE"""),"")</f>
        <v/>
      </c>
      <c r="AP614" s="1" t="str">
        <f>IFERROR(__xludf.DUMMYFUNCTION("""COMPUTED_VALUE"""),"")</f>
        <v/>
      </c>
      <c r="AQ614" s="1" t="str">
        <f>IFERROR(__xludf.DUMMYFUNCTION("""COMPUTED_VALUE"""),"11/27/2025")</f>
        <v>11/27/2025</v>
      </c>
      <c r="AR614" s="1" t="str">
        <f>IFERROR(__xludf.DUMMYFUNCTION("""COMPUTED_VALUE"""),"11/27/2025")</f>
        <v>11/27/2025</v>
      </c>
    </row>
    <row r="615">
      <c r="A615" s="1" t="str">
        <f>IFERROR(__xludf.DUMMYFUNCTION("""COMPUTED_VALUE"""),"Lumen Technologies mini Data Center")</f>
        <v>Lumen Technologies mini Data Center</v>
      </c>
      <c r="B615" s="1" t="str">
        <f>IFERROR(__xludf.DUMMYFUNCTION("""COMPUTED_VALUE"""),"148 Gardner St")</f>
        <v>148 Gardner St</v>
      </c>
      <c r="C615" s="1" t="str">
        <f>IFERROR(__xludf.DUMMYFUNCTION("""COMPUTED_VALUE"""),"Reno")</f>
        <v>Reno</v>
      </c>
      <c r="D615" s="1" t="str">
        <f>IFERROR(__xludf.DUMMYFUNCTION("""COMPUTED_VALUE"""),"NV")</f>
        <v>NV</v>
      </c>
      <c r="E615" s="1" t="str">
        <f>IFERROR(__xludf.DUMMYFUNCTION("""COMPUTED_VALUE"""),"89503")</f>
        <v>89503</v>
      </c>
      <c r="F615" s="1" t="str">
        <f>IFERROR(__xludf.DUMMYFUNCTION("""COMPUTED_VALUE"""),"Washoe")</f>
        <v>Washoe</v>
      </c>
      <c r="G615" s="1" t="str">
        <f>IFERROR(__xludf.DUMMYFUNCTION("""COMPUTED_VALUE"""),"39.52402")</f>
        <v>39.52402</v>
      </c>
      <c r="H615" s="1" t="str">
        <f>IFERROR(__xludf.DUMMYFUNCTION("""COMPUTED_VALUE"""),"-119.827")</f>
        <v>-119.827</v>
      </c>
      <c r="I615" s="1" t="str">
        <f>IFERROR(__xludf.DUMMYFUNCTION("""COMPUTED_VALUE"""),"Operating")</f>
        <v>Operating</v>
      </c>
      <c r="J615" s="1" t="str">
        <f>IFERROR(__xludf.DUMMYFUNCTION("""COMPUTED_VALUE"""),"High")</f>
        <v>High</v>
      </c>
      <c r="K615" s="1" t="str">
        <f>IFERROR(__xludf.DUMMYFUNCTION("""COMPUTED_VALUE"""),"")</f>
        <v/>
      </c>
      <c r="L615" s="1" t="str">
        <f>IFERROR(__xludf.DUMMYFUNCTION("""COMPUTED_VALUE"""),"")</f>
        <v/>
      </c>
      <c r="M615" s="1" t="str">
        <f>IFERROR(__xludf.DUMMYFUNCTION("""COMPUTED_VALUE"""),"")</f>
        <v/>
      </c>
      <c r="N615" s="1" t="str">
        <f>IFERROR(__xludf.DUMMYFUNCTION("""COMPUTED_VALUE"""),"2")</f>
        <v>2</v>
      </c>
      <c r="O615" s="1" t="str">
        <f>IFERROR(__xludf.DUMMYFUNCTION("""COMPUTED_VALUE"""),"Small (0-10 MW)")</f>
        <v>Small (0-10 MW)</v>
      </c>
      <c r="P615" s="1" t="str">
        <f>IFERROR(__xludf.DUMMYFUNCTION("""COMPUTED_VALUE"""),"")</f>
        <v/>
      </c>
      <c r="Q615" s="1" t="str">
        <f>IFERROR(__xludf.DUMMYFUNCTION("""COMPUTED_VALUE"""),"")</f>
        <v/>
      </c>
      <c r="R615" s="1" t="str">
        <f>IFERROR(__xludf.DUMMYFUNCTION("""COMPUTED_VALUE"""),"")</f>
        <v/>
      </c>
      <c r="S615" s="1" t="str">
        <f>IFERROR(__xludf.DUMMYFUNCTION("""COMPUTED_VALUE"""),"")</f>
        <v/>
      </c>
      <c r="T615" s="1" t="str">
        <f>IFERROR(__xludf.DUMMYFUNCTION("""COMPUTED_VALUE"""),"")</f>
        <v/>
      </c>
      <c r="U615" s="1" t="str">
        <f>IFERROR(__xludf.DUMMYFUNCTION("""COMPUTED_VALUE"""),"")</f>
        <v/>
      </c>
      <c r="V615" s="1" t="str">
        <f>IFERROR(__xludf.DUMMYFUNCTION("""COMPUTED_VALUE"""),"")</f>
        <v/>
      </c>
      <c r="W615" s="1" t="str">
        <f>IFERROR(__xludf.DUMMYFUNCTION("""COMPUTED_VALUE"""),"")</f>
        <v/>
      </c>
      <c r="X615" s="1" t="str">
        <f>IFERROR(__xludf.DUMMYFUNCTION("""COMPUTED_VALUE"""),"")</f>
        <v/>
      </c>
      <c r="Y615" s="1" t="str">
        <f>IFERROR(__xludf.DUMMYFUNCTION("""COMPUTED_VALUE"""),"")</f>
        <v/>
      </c>
      <c r="Z615" s="1" t="str">
        <f>IFERROR(__xludf.DUMMYFUNCTION("""COMPUTED_VALUE"""),"Unknown")</f>
        <v>Unknown</v>
      </c>
      <c r="AA615" s="1" t="str">
        <f>IFERROR(__xludf.DUMMYFUNCTION("""COMPUTED_VALUE"""),"")</f>
        <v/>
      </c>
      <c r="AB615" s="1" t="str">
        <f>IFERROR(__xludf.DUMMYFUNCTION("""COMPUTED_VALUE"""),"")</f>
        <v/>
      </c>
      <c r="AC615" s="1" t="str">
        <f>IFERROR(__xludf.DUMMYFUNCTION("""COMPUTED_VALUE"""),"")</f>
        <v/>
      </c>
      <c r="AD615" s="1" t="str">
        <f>IFERROR(__xludf.DUMMYFUNCTION("""COMPUTED_VALUE"""),"")</f>
        <v/>
      </c>
      <c r="AE615" s="1" t="str">
        <f>IFERROR(__xludf.DUMMYFUNCTION("""COMPUTED_VALUE"""),"")</f>
        <v/>
      </c>
      <c r="AF615" s="1" t="str">
        <f>IFERROR(__xludf.DUMMYFUNCTION("""COMPUTED_VALUE"""),"")</f>
        <v/>
      </c>
      <c r="AG615" s="1" t="str">
        <f>IFERROR(__xludf.DUMMYFUNCTION("""COMPUTED_VALUE"""),"Very small data center capacity")</f>
        <v>Very small data center capacity</v>
      </c>
      <c r="AH615" s="1" t="str">
        <f>IFERROR(__xludf.DUMMYFUNCTION("""COMPUTED_VALUE"""),"Media Monitoring")</f>
        <v>Media Monitoring</v>
      </c>
      <c r="AI615" s="2" t="str">
        <f>IFERROR(__xludf.DUMMYFUNCTION("""COMPUTED_VALUE"""),"https://www.rgj.com/story/news/government/2025/09/22/reno-planning-commission-approves-existing-minor-data-center/86250213007/")</f>
        <v>https://www.rgj.com/story/news/government/2025/09/22/reno-planning-commission-approves-existing-minor-data-center/86250213007/</v>
      </c>
      <c r="AJ615" s="1" t="str">
        <f>IFERROR(__xludf.DUMMYFUNCTION("""COMPUTED_VALUE"""),"")</f>
        <v/>
      </c>
      <c r="AK615" s="1" t="str">
        <f>IFERROR(__xludf.DUMMYFUNCTION("""COMPUTED_VALUE"""),"")</f>
        <v/>
      </c>
      <c r="AL615" s="1" t="str">
        <f>IFERROR(__xludf.DUMMYFUNCTION("""COMPUTED_VALUE"""),"")</f>
        <v/>
      </c>
      <c r="AM615" s="1" t="str">
        <f>IFERROR(__xludf.DUMMYFUNCTION("""COMPUTED_VALUE"""),"")</f>
        <v/>
      </c>
      <c r="AN615" s="1" t="str">
        <f>IFERROR(__xludf.DUMMYFUNCTION("""COMPUTED_VALUE"""),"")</f>
        <v/>
      </c>
      <c r="AO615" s="1" t="str">
        <f>IFERROR(__xludf.DUMMYFUNCTION("""COMPUTED_VALUE"""),"")</f>
        <v/>
      </c>
      <c r="AP615" s="1" t="str">
        <f>IFERROR(__xludf.DUMMYFUNCTION("""COMPUTED_VALUE"""),"")</f>
        <v/>
      </c>
      <c r="AQ615" s="1" t="str">
        <f>IFERROR(__xludf.DUMMYFUNCTION("""COMPUTED_VALUE"""),"09/23/2025")</f>
        <v>09/23/2025</v>
      </c>
      <c r="AR615" s="1" t="str">
        <f>IFERROR(__xludf.DUMMYFUNCTION("""COMPUTED_VALUE"""),"09/23/2025")</f>
        <v>09/23/2025</v>
      </c>
    </row>
    <row r="616">
      <c r="A616" s="1" t="str">
        <f>IFERROR(__xludf.DUMMYFUNCTION("""COMPUTED_VALUE"""),"Oppidan Data Center")</f>
        <v>Oppidan Data Center</v>
      </c>
      <c r="B616" s="1" t="str">
        <f>IFERROR(__xludf.DUMMYFUNCTION("""COMPUTED_VALUE"""),"9745 N Virginia St")</f>
        <v>9745 N Virginia St</v>
      </c>
      <c r="C616" s="1" t="str">
        <f>IFERROR(__xludf.DUMMYFUNCTION("""COMPUTED_VALUE"""),"Reno")</f>
        <v>Reno</v>
      </c>
      <c r="D616" s="1" t="str">
        <f>IFERROR(__xludf.DUMMYFUNCTION("""COMPUTED_VALUE"""),"NV")</f>
        <v>NV</v>
      </c>
      <c r="E616" s="1" t="str">
        <f>IFERROR(__xludf.DUMMYFUNCTION("""COMPUTED_VALUE"""),"89507")</f>
        <v>89507</v>
      </c>
      <c r="F616" s="1" t="str">
        <f>IFERROR(__xludf.DUMMYFUNCTION("""COMPUTED_VALUE"""),"Washoe")</f>
        <v>Washoe</v>
      </c>
      <c r="G616" s="1" t="str">
        <f>IFERROR(__xludf.DUMMYFUNCTION("""COMPUTED_VALUE"""),"39.61418")</f>
        <v>39.61418</v>
      </c>
      <c r="H616" s="1" t="str">
        <f>IFERROR(__xludf.DUMMYFUNCTION("""COMPUTED_VALUE"""),"-119.877")</f>
        <v>-119.877</v>
      </c>
      <c r="I616" s="1" t="str">
        <f>IFERROR(__xludf.DUMMYFUNCTION("""COMPUTED_VALUE"""),"Approved/Permitted/Under construction")</f>
        <v>Approved/Permitted/Under construction</v>
      </c>
      <c r="J616" s="1" t="str">
        <f>IFERROR(__xludf.DUMMYFUNCTION("""COMPUTED_VALUE"""),"High")</f>
        <v>High</v>
      </c>
      <c r="K616" s="1" t="str">
        <f>IFERROR(__xludf.DUMMYFUNCTION("""COMPUTED_VALUE"""),"")</f>
        <v/>
      </c>
      <c r="L616" s="1" t="str">
        <f>IFERROR(__xludf.DUMMYFUNCTION("""COMPUTED_VALUE"""),"")</f>
        <v/>
      </c>
      <c r="M616" s="1" t="str">
        <f>IFERROR(__xludf.DUMMYFUNCTION("""COMPUTED_VALUE"""),"")</f>
        <v/>
      </c>
      <c r="N616" s="1" t="str">
        <f>IFERROR(__xludf.DUMMYFUNCTION("""COMPUTED_VALUE"""),"8")</f>
        <v>8</v>
      </c>
      <c r="O616" s="1" t="str">
        <f>IFERROR(__xludf.DUMMYFUNCTION("""COMPUTED_VALUE"""),"Small (0-10 MW)")</f>
        <v>Small (0-10 MW)</v>
      </c>
      <c r="P616" s="1" t="str">
        <f>IFERROR(__xludf.DUMMYFUNCTION("""COMPUTED_VALUE"""),"")</f>
        <v/>
      </c>
      <c r="Q616" s="1" t="str">
        <f>IFERROR(__xludf.DUMMYFUNCTION("""COMPUTED_VALUE"""),"")</f>
        <v/>
      </c>
      <c r="R616" s="1" t="str">
        <f>IFERROR(__xludf.DUMMYFUNCTION("""COMPUTED_VALUE"""),"")</f>
        <v/>
      </c>
      <c r="S616" s="1" t="str">
        <f>IFERROR(__xludf.DUMMYFUNCTION("""COMPUTED_VALUE"""),"")</f>
        <v/>
      </c>
      <c r="T616" s="1" t="str">
        <f>IFERROR(__xludf.DUMMYFUNCTION("""COMPUTED_VALUE"""),"")</f>
        <v/>
      </c>
      <c r="U616" s="1" t="str">
        <f>IFERROR(__xludf.DUMMYFUNCTION("""COMPUTED_VALUE"""),"")</f>
        <v/>
      </c>
      <c r="V616" s="1" t="str">
        <f>IFERROR(__xludf.DUMMYFUNCTION("""COMPUTED_VALUE"""),"")</f>
        <v/>
      </c>
      <c r="W616" s="1" t="str">
        <f>IFERROR(__xludf.DUMMYFUNCTION("""COMPUTED_VALUE"""),"")</f>
        <v/>
      </c>
      <c r="X616" s="1" t="str">
        <f>IFERROR(__xludf.DUMMYFUNCTION("""COMPUTED_VALUE"""),"")</f>
        <v/>
      </c>
      <c r="Y616" s="1" t="str">
        <f>IFERROR(__xludf.DUMMYFUNCTION("""COMPUTED_VALUE"""),"")</f>
        <v/>
      </c>
      <c r="Z616" s="1" t="str">
        <f>IFERROR(__xludf.DUMMYFUNCTION("""COMPUTED_VALUE"""),"Unknown")</f>
        <v>Unknown</v>
      </c>
      <c r="AA616" s="1" t="str">
        <f>IFERROR(__xludf.DUMMYFUNCTION("""COMPUTED_VALUE"""),"")</f>
        <v/>
      </c>
      <c r="AB616" s="1" t="str">
        <f>IFERROR(__xludf.DUMMYFUNCTION("""COMPUTED_VALUE"""),"")</f>
        <v/>
      </c>
      <c r="AC616" s="1" t="str">
        <f>IFERROR(__xludf.DUMMYFUNCTION("""COMPUTED_VALUE"""),"")</f>
        <v/>
      </c>
      <c r="AD616" s="1" t="str">
        <f>IFERROR(__xludf.DUMMYFUNCTION("""COMPUTED_VALUE"""),"")</f>
        <v/>
      </c>
      <c r="AE616" s="1" t="str">
        <f>IFERROR(__xludf.DUMMYFUNCTION("""COMPUTED_VALUE"""),"")</f>
        <v/>
      </c>
      <c r="AF616" s="1" t="str">
        <f>IFERROR(__xludf.DUMMYFUNCTION("""COMPUTED_VALUE"""),"")</f>
        <v/>
      </c>
      <c r="AG616" s="1" t="str">
        <f>IFERROR(__xludf.DUMMYFUNCTION("""COMPUTED_VALUE"""),"")</f>
        <v/>
      </c>
      <c r="AH616" s="1" t="str">
        <f>IFERROR(__xludf.DUMMYFUNCTION("""COMPUTED_VALUE"""),"Media Monitoring")</f>
        <v>Media Monitoring</v>
      </c>
      <c r="AI616" s="2" t="str">
        <f>IFERROR(__xludf.DUMMYFUNCTION("""COMPUTED_VALUE"""),"https://www.rgj.com/story/news/government/2025/03/14/north-valleys-data-center-approved-reno-nevada/82372711007/")</f>
        <v>https://www.rgj.com/story/news/government/2025/03/14/north-valleys-data-center-approved-reno-nevada/82372711007/</v>
      </c>
      <c r="AJ616" s="1" t="str">
        <f>IFERROR(__xludf.DUMMYFUNCTION("""COMPUTED_VALUE"""),"")</f>
        <v/>
      </c>
      <c r="AK616" s="1" t="str">
        <f>IFERROR(__xludf.DUMMYFUNCTION("""COMPUTED_VALUE"""),"")</f>
        <v/>
      </c>
      <c r="AL616" s="1" t="str">
        <f>IFERROR(__xludf.DUMMYFUNCTION("""COMPUTED_VALUE"""),"")</f>
        <v/>
      </c>
      <c r="AM616" s="1" t="str">
        <f>IFERROR(__xludf.DUMMYFUNCTION("""COMPUTED_VALUE"""),"")</f>
        <v/>
      </c>
      <c r="AN616" s="1" t="str">
        <f>IFERROR(__xludf.DUMMYFUNCTION("""COMPUTED_VALUE"""),"")</f>
        <v/>
      </c>
      <c r="AO616" s="1" t="str">
        <f>IFERROR(__xludf.DUMMYFUNCTION("""COMPUTED_VALUE"""),"")</f>
        <v/>
      </c>
      <c r="AP616" s="1" t="str">
        <f>IFERROR(__xludf.DUMMYFUNCTION("""COMPUTED_VALUE"""),"")</f>
        <v/>
      </c>
      <c r="AQ616" s="1" t="str">
        <f>IFERROR(__xludf.DUMMYFUNCTION("""COMPUTED_VALUE"""),"09/23/2025")</f>
        <v>09/23/2025</v>
      </c>
      <c r="AR616" s="1" t="str">
        <f>IFERROR(__xludf.DUMMYFUNCTION("""COMPUTED_VALUE"""),"09/23/2025")</f>
        <v>09/23/2025</v>
      </c>
    </row>
    <row r="617">
      <c r="A617" s="1" t="str">
        <f>IFERROR(__xludf.DUMMYFUNCTION("""COMPUTED_VALUE"""),"Webb Data Center")</f>
        <v>Webb Data Center</v>
      </c>
      <c r="B617" s="1" t="str">
        <f>IFERROR(__xludf.DUMMYFUNCTION("""COMPUTED_VALUE"""),"9805 N Virginia St")</f>
        <v>9805 N Virginia St</v>
      </c>
      <c r="C617" s="1" t="str">
        <f>IFERROR(__xludf.DUMMYFUNCTION("""COMPUTED_VALUE"""),"Reno")</f>
        <v>Reno</v>
      </c>
      <c r="D617" s="1" t="str">
        <f>IFERROR(__xludf.DUMMYFUNCTION("""COMPUTED_VALUE"""),"NV")</f>
        <v>NV</v>
      </c>
      <c r="E617" s="1" t="str">
        <f>IFERROR(__xludf.DUMMYFUNCTION("""COMPUTED_VALUE"""),"89506")</f>
        <v>89506</v>
      </c>
      <c r="F617" s="1" t="str">
        <f>IFERROR(__xludf.DUMMYFUNCTION("""COMPUTED_VALUE"""),"Washoe")</f>
        <v>Washoe</v>
      </c>
      <c r="G617" s="1" t="str">
        <f>IFERROR(__xludf.DUMMYFUNCTION("""COMPUTED_VALUE"""),"39.61473")</f>
        <v>39.61473</v>
      </c>
      <c r="H617" s="1" t="str">
        <f>IFERROR(__xludf.DUMMYFUNCTION("""COMPUTED_VALUE"""),"-119.879")</f>
        <v>-119.879</v>
      </c>
      <c r="I617" s="1" t="str">
        <f>IFERROR(__xludf.DUMMYFUNCTION("""COMPUTED_VALUE"""),"Approved/Permitted/Under construction")</f>
        <v>Approved/Permitted/Under construction</v>
      </c>
      <c r="J617" s="1" t="str">
        <f>IFERROR(__xludf.DUMMYFUNCTION("""COMPUTED_VALUE"""),"High")</f>
        <v>High</v>
      </c>
      <c r="K617" s="1" t="str">
        <f>IFERROR(__xludf.DUMMYFUNCTION("""COMPUTED_VALUE"""),"")</f>
        <v/>
      </c>
      <c r="L617" s="1" t="str">
        <f>IFERROR(__xludf.DUMMYFUNCTION("""COMPUTED_VALUE"""),"")</f>
        <v/>
      </c>
      <c r="M617" s="1" t="str">
        <f>IFERROR(__xludf.DUMMYFUNCTION("""COMPUTED_VALUE"""),"")</f>
        <v/>
      </c>
      <c r="N617" s="1" t="str">
        <f>IFERROR(__xludf.DUMMYFUNCTION("""COMPUTED_VALUE"""),"28")</f>
        <v>28</v>
      </c>
      <c r="O617" s="1" t="str">
        <f>IFERROR(__xludf.DUMMYFUNCTION("""COMPUTED_VALUE"""),"Medium (11-50 MW)")</f>
        <v>Medium (11-50 MW)</v>
      </c>
      <c r="P617" s="1" t="str">
        <f>IFERROR(__xludf.DUMMYFUNCTION("""COMPUTED_VALUE"""),"")</f>
        <v/>
      </c>
      <c r="Q617" s="1" t="str">
        <f>IFERROR(__xludf.DUMMYFUNCTION("""COMPUTED_VALUE"""),"")</f>
        <v/>
      </c>
      <c r="R617" s="1" t="str">
        <f>IFERROR(__xludf.DUMMYFUNCTION("""COMPUTED_VALUE"""),"")</f>
        <v/>
      </c>
      <c r="S617" s="1" t="str">
        <f>IFERROR(__xludf.DUMMYFUNCTION("""COMPUTED_VALUE"""),"")</f>
        <v/>
      </c>
      <c r="T617" s="1" t="str">
        <f>IFERROR(__xludf.DUMMYFUNCTION("""COMPUTED_VALUE"""),"")</f>
        <v/>
      </c>
      <c r="U617" s="1" t="str">
        <f>IFERROR(__xludf.DUMMYFUNCTION("""COMPUTED_VALUE"""),"")</f>
        <v/>
      </c>
      <c r="V617" s="1" t="str">
        <f>IFERROR(__xludf.DUMMYFUNCTION("""COMPUTED_VALUE"""),"82,000")</f>
        <v>82,000</v>
      </c>
      <c r="W617" s="1" t="str">
        <f>IFERROR(__xludf.DUMMYFUNCTION("""COMPUTED_VALUE"""),"")</f>
        <v/>
      </c>
      <c r="X617" s="1" t="str">
        <f>IFERROR(__xludf.DUMMYFUNCTION("""COMPUTED_VALUE"""),"")</f>
        <v/>
      </c>
      <c r="Y617" s="1" t="str">
        <f>IFERROR(__xludf.DUMMYFUNCTION("""COMPUTED_VALUE"""),"")</f>
        <v/>
      </c>
      <c r="Z617" s="1" t="str">
        <f>IFERROR(__xludf.DUMMYFUNCTION("""COMPUTED_VALUE"""),"Unknown")</f>
        <v>Unknown</v>
      </c>
      <c r="AA617" s="1" t="str">
        <f>IFERROR(__xludf.DUMMYFUNCTION("""COMPUTED_VALUE"""),"")</f>
        <v/>
      </c>
      <c r="AB617" s="1" t="str">
        <f>IFERROR(__xludf.DUMMYFUNCTION("""COMPUTED_VALUE"""),"")</f>
        <v/>
      </c>
      <c r="AC617" s="1" t="str">
        <f>IFERROR(__xludf.DUMMYFUNCTION("""COMPUTED_VALUE"""),"")</f>
        <v/>
      </c>
      <c r="AD617" s="1" t="str">
        <f>IFERROR(__xludf.DUMMYFUNCTION("""COMPUTED_VALUE"""),"")</f>
        <v/>
      </c>
      <c r="AE617" s="1" t="str">
        <f>IFERROR(__xludf.DUMMYFUNCTION("""COMPUTED_VALUE"""),"")</f>
        <v/>
      </c>
      <c r="AF617" s="1" t="str">
        <f>IFERROR(__xludf.DUMMYFUNCTION("""COMPUTED_VALUE"""),"")</f>
        <v/>
      </c>
      <c r="AG617" s="1" t="str">
        <f>IFERROR(__xludf.DUMMYFUNCTION("""COMPUTED_VALUE"""),"")</f>
        <v/>
      </c>
      <c r="AH617" s="1" t="str">
        <f>IFERROR(__xludf.DUMMYFUNCTION("""COMPUTED_VALUE"""),"Media Monitoring")</f>
        <v>Media Monitoring</v>
      </c>
      <c r="AI617" s="2" t="str">
        <f>IFERROR(__xludf.DUMMYFUNCTION("""COMPUTED_VALUE"""),"https://www.rgj.com/story/news/2025/01/29/reno-council-allows-data-center-despite-environmental-groupblocks/77939893007/")</f>
        <v>https://www.rgj.com/story/news/2025/01/29/reno-council-allows-data-center-despite-environmental-groupblocks/77939893007/</v>
      </c>
      <c r="AJ617" s="2" t="str">
        <f>IFERROR(__xludf.DUMMYFUNCTION("""COMPUTED_VALUE"""),"https://www.rgj.com/story/news/government/2025/03/14/north-valleys-data-center-approved-reno-nevada/82372711007/")</f>
        <v>https://www.rgj.com/story/news/government/2025/03/14/north-valleys-data-center-approved-reno-nevada/82372711007/</v>
      </c>
      <c r="AK617" s="1" t="str">
        <f>IFERROR(__xludf.DUMMYFUNCTION("""COMPUTED_VALUE"""),"")</f>
        <v/>
      </c>
      <c r="AL617" s="1" t="str">
        <f>IFERROR(__xludf.DUMMYFUNCTION("""COMPUTED_VALUE"""),"")</f>
        <v/>
      </c>
      <c r="AM617" s="1" t="str">
        <f>IFERROR(__xludf.DUMMYFUNCTION("""COMPUTED_VALUE"""),"")</f>
        <v/>
      </c>
      <c r="AN617" s="1" t="str">
        <f>IFERROR(__xludf.DUMMYFUNCTION("""COMPUTED_VALUE"""),"")</f>
        <v/>
      </c>
      <c r="AO617" s="1" t="str">
        <f>IFERROR(__xludf.DUMMYFUNCTION("""COMPUTED_VALUE"""),"")</f>
        <v/>
      </c>
      <c r="AP617" s="1" t="str">
        <f>IFERROR(__xludf.DUMMYFUNCTION("""COMPUTED_VALUE"""),"")</f>
        <v/>
      </c>
      <c r="AQ617" s="1" t="str">
        <f>IFERROR(__xludf.DUMMYFUNCTION("""COMPUTED_VALUE"""),"09/23/2025")</f>
        <v>09/23/2025</v>
      </c>
      <c r="AR617" s="1" t="str">
        <f>IFERROR(__xludf.DUMMYFUNCTION("""COMPUTED_VALUE"""),"09/23/2025")</f>
        <v>09/23/2025</v>
      </c>
    </row>
    <row r="618">
      <c r="A618" s="1" t="str">
        <f>IFERROR(__xludf.DUMMYFUNCTION("""COMPUTED_VALUE"""),"Tract Data Center")</f>
        <v>Tract Data Center</v>
      </c>
      <c r="B618" s="1" t="str">
        <f>IFERROR(__xludf.DUMMYFUNCTION("""COMPUTED_VALUE"""),"USA Parkway")</f>
        <v>USA Parkway</v>
      </c>
      <c r="C618" s="1" t="str">
        <f>IFERROR(__xludf.DUMMYFUNCTION("""COMPUTED_VALUE"""),"Silver Springs")</f>
        <v>Silver Springs</v>
      </c>
      <c r="D618" s="1" t="str">
        <f>IFERROR(__xludf.DUMMYFUNCTION("""COMPUTED_VALUE"""),"NV")</f>
        <v>NV</v>
      </c>
      <c r="E618" s="1" t="str">
        <f>IFERROR(__xludf.DUMMYFUNCTION("""COMPUTED_VALUE"""),"89429")</f>
        <v>89429</v>
      </c>
      <c r="F618" s="1" t="str">
        <f>IFERROR(__xludf.DUMMYFUNCTION("""COMPUTED_VALUE"""),"Storey County")</f>
        <v>Storey County</v>
      </c>
      <c r="G618" s="1" t="str">
        <f>IFERROR(__xludf.DUMMYFUNCTION("""COMPUTED_VALUE"""),"39.47083")</f>
        <v>39.47083</v>
      </c>
      <c r="H618" s="1" t="str">
        <f>IFERROR(__xludf.DUMMYFUNCTION("""COMPUTED_VALUE"""),"-119.40618")</f>
        <v>-119.40618</v>
      </c>
      <c r="I618" s="1" t="str">
        <f>IFERROR(__xludf.DUMMYFUNCTION("""COMPUTED_VALUE"""),"Approved/Permitted/Under construction")</f>
        <v>Approved/Permitted/Under construction</v>
      </c>
      <c r="J618" s="1" t="str">
        <f>IFERROR(__xludf.DUMMYFUNCTION("""COMPUTED_VALUE"""),"High")</f>
        <v>High</v>
      </c>
      <c r="K618" s="1" t="str">
        <f>IFERROR(__xludf.DUMMYFUNCTION("""COMPUTED_VALUE"""),"")</f>
        <v/>
      </c>
      <c r="L618" s="1" t="str">
        <f>IFERROR(__xludf.DUMMYFUNCTION("""COMPUTED_VALUE"""),"Fleet")</f>
        <v>Fleet</v>
      </c>
      <c r="M618" s="1" t="str">
        <f>IFERROR(__xludf.DUMMYFUNCTION("""COMPUTED_VALUE"""),"")</f>
        <v/>
      </c>
      <c r="N618" s="1" t="str">
        <f>IFERROR(__xludf.DUMMYFUNCTION("""COMPUTED_VALUE"""),"1200")</f>
        <v>1200</v>
      </c>
      <c r="O618" s="1" t="str">
        <f>IFERROR(__xludf.DUMMYFUNCTION("""COMPUTED_VALUE"""),"Mega campus (&gt;1,000 MW)")</f>
        <v>Mega campus (&gt;1,000 MW)</v>
      </c>
      <c r="P618" s="1" t="str">
        <f>IFERROR(__xludf.DUMMYFUNCTION("""COMPUTED_VALUE"""),"")</f>
        <v/>
      </c>
      <c r="Q618" s="1" t="str">
        <f>IFERROR(__xludf.DUMMYFUNCTION("""COMPUTED_VALUE"""),"")</f>
        <v/>
      </c>
      <c r="R618" s="1" t="str">
        <f>IFERROR(__xludf.DUMMYFUNCTION("""COMPUTED_VALUE"""),"")</f>
        <v/>
      </c>
      <c r="S618" s="1" t="str">
        <f>IFERROR(__xludf.DUMMYFUNCTION("""COMPUTED_VALUE"""),"")</f>
        <v/>
      </c>
      <c r="T618" s="1" t="str">
        <f>IFERROR(__xludf.DUMMYFUNCTION("""COMPUTED_VALUE"""),"")</f>
        <v/>
      </c>
      <c r="U618" s="1" t="str">
        <f>IFERROR(__xludf.DUMMYFUNCTION("""COMPUTED_VALUE"""),"")</f>
        <v/>
      </c>
      <c r="V618" s="1" t="str">
        <f>IFERROR(__xludf.DUMMYFUNCTION("""COMPUTED_VALUE"""),"")</f>
        <v/>
      </c>
      <c r="W618" s="1" t="str">
        <f>IFERROR(__xludf.DUMMYFUNCTION("""COMPUTED_VALUE"""),"1500")</f>
        <v>1500</v>
      </c>
      <c r="X618" s="1" t="str">
        <f>IFERROR(__xludf.DUMMYFUNCTION("""COMPUTED_VALUE"""),"")</f>
        <v/>
      </c>
      <c r="Y618" s="1" t="str">
        <f>IFERROR(__xludf.DUMMYFUNCTION("""COMPUTED_VALUE"""),"")</f>
        <v/>
      </c>
      <c r="Z618" s="1" t="str">
        <f>IFERROR(__xludf.DUMMYFUNCTION("""COMPUTED_VALUE"""),"Unknown")</f>
        <v>Unknown</v>
      </c>
      <c r="AA618" s="1" t="str">
        <f>IFERROR(__xludf.DUMMYFUNCTION("""COMPUTED_VALUE"""),"")</f>
        <v/>
      </c>
      <c r="AB618" s="1" t="str">
        <f>IFERROR(__xludf.DUMMYFUNCTION("""COMPUTED_VALUE"""),"")</f>
        <v/>
      </c>
      <c r="AC618" s="1" t="str">
        <f>IFERROR(__xludf.DUMMYFUNCTION("""COMPUTED_VALUE"""),"")</f>
        <v/>
      </c>
      <c r="AD618" s="1" t="str">
        <f>IFERROR(__xludf.DUMMYFUNCTION("""COMPUTED_VALUE"""),"")</f>
        <v/>
      </c>
      <c r="AE618" s="1" t="str">
        <f>IFERROR(__xludf.DUMMYFUNCTION("""COMPUTED_VALUE"""),"")</f>
        <v/>
      </c>
      <c r="AF618" s="1" t="str">
        <f>IFERROR(__xludf.DUMMYFUNCTION("""COMPUTED_VALUE"""),"")</f>
        <v/>
      </c>
      <c r="AG618" s="1" t="str">
        <f>IFERROR(__xludf.DUMMYFUNCTION("""COMPUTED_VALUE"""),"")</f>
        <v/>
      </c>
      <c r="AH618" s="1" t="str">
        <f>IFERROR(__xludf.DUMMYFUNCTION("""COMPUTED_VALUE"""),"Media Monitoring")</f>
        <v>Media Monitoring</v>
      </c>
      <c r="AI618" s="2" t="str">
        <f>IFERROR(__xludf.DUMMYFUNCTION("""COMPUTED_VALUE"""),"https://www.datacenterdynamics.com/en/news/tract-acquires-8590-acres-in-reno-nevada-for-data-center-park/")</f>
        <v>https://www.datacenterdynamics.com/en/news/tract-acquires-8590-acres-in-reno-nevada-for-data-center-park/</v>
      </c>
      <c r="AJ618" s="2" t="str">
        <f>IFERROR(__xludf.DUMMYFUNCTION("""COMPUTED_VALUE"""),"https://www.tract.com/project/south-valley/")</f>
        <v>https://www.tract.com/project/south-valley/</v>
      </c>
      <c r="AK618" s="2" t="str">
        <f>IFERROR(__xludf.DUMMYFUNCTION("""COMPUTED_VALUE"""),"https://www.datacenterdynamics.com/en/news/fleet-breaks-ground-on-data-center-outside-reno-nevada/")</f>
        <v>https://www.datacenterdynamics.com/en/news/fleet-breaks-ground-on-data-center-outside-reno-nevada/</v>
      </c>
      <c r="AL618" s="1" t="str">
        <f>IFERROR(__xludf.DUMMYFUNCTION("""COMPUTED_VALUE"""),"")</f>
        <v/>
      </c>
      <c r="AM618" s="1" t="str">
        <f>IFERROR(__xludf.DUMMYFUNCTION("""COMPUTED_VALUE"""),"")</f>
        <v/>
      </c>
      <c r="AN618" s="1" t="str">
        <f>IFERROR(__xludf.DUMMYFUNCTION("""COMPUTED_VALUE"""),"")</f>
        <v/>
      </c>
      <c r="AO618" s="1" t="str">
        <f>IFERROR(__xludf.DUMMYFUNCTION("""COMPUTED_VALUE"""),"")</f>
        <v/>
      </c>
      <c r="AP618" s="1" t="str">
        <f>IFERROR(__xludf.DUMMYFUNCTION("""COMPUTED_VALUE"""),"")</f>
        <v/>
      </c>
      <c r="AQ618" s="1" t="str">
        <f>IFERROR(__xludf.DUMMYFUNCTION("""COMPUTED_VALUE"""),"11/09/2025")</f>
        <v>11/09/2025</v>
      </c>
      <c r="AR618" s="1" t="str">
        <f>IFERROR(__xludf.DUMMYFUNCTION("""COMPUTED_VALUE"""),"05/28/2026")</f>
        <v>05/28/2026</v>
      </c>
    </row>
    <row r="619">
      <c r="A619" s="1" t="str">
        <f>IFERROR(__xludf.DUMMYFUNCTION("""COMPUTED_VALUE"""),"Tract Data Center")</f>
        <v>Tract Data Center</v>
      </c>
      <c r="B619" s="1" t="str">
        <f>IFERROR(__xludf.DUMMYFUNCTION("""COMPUTED_VALUE"""),"off Alt-95")</f>
        <v>off Alt-95</v>
      </c>
      <c r="C619" s="1" t="str">
        <f>IFERROR(__xludf.DUMMYFUNCTION("""COMPUTED_VALUE"""),"Silver Springs")</f>
        <v>Silver Springs</v>
      </c>
      <c r="D619" s="1" t="str">
        <f>IFERROR(__xludf.DUMMYFUNCTION("""COMPUTED_VALUE"""),"NV")</f>
        <v>NV</v>
      </c>
      <c r="E619" s="1" t="str">
        <f>IFERROR(__xludf.DUMMYFUNCTION("""COMPUTED_VALUE"""),"89429")</f>
        <v>89429</v>
      </c>
      <c r="F619" s="1" t="str">
        <f>IFERROR(__xludf.DUMMYFUNCTION("""COMPUTED_VALUE"""),"Lyon County")</f>
        <v>Lyon County</v>
      </c>
      <c r="G619" s="1" t="str">
        <f>IFERROR(__xludf.DUMMYFUNCTION("""COMPUTED_VALUE"""),"39.42805")</f>
        <v>39.42805</v>
      </c>
      <c r="H619" s="1" t="str">
        <f>IFERROR(__xludf.DUMMYFUNCTION("""COMPUTED_VALUE"""),"-119.232")</f>
        <v>-119.232</v>
      </c>
      <c r="I619" s="1" t="str">
        <f>IFERROR(__xludf.DUMMYFUNCTION("""COMPUTED_VALUE"""),"Proposed")</f>
        <v>Proposed</v>
      </c>
      <c r="J619" s="1" t="str">
        <f>IFERROR(__xludf.DUMMYFUNCTION("""COMPUTED_VALUE"""),"High")</f>
        <v>High</v>
      </c>
      <c r="K619" s="1" t="str">
        <f>IFERROR(__xludf.DUMMYFUNCTION("""COMPUTED_VALUE"""),"")</f>
        <v/>
      </c>
      <c r="L619" s="1" t="str">
        <f>IFERROR(__xludf.DUMMYFUNCTION("""COMPUTED_VALUE"""),"")</f>
        <v/>
      </c>
      <c r="M619" s="1" t="str">
        <f>IFERROR(__xludf.DUMMYFUNCTION("""COMPUTED_VALUE"""),"")</f>
        <v/>
      </c>
      <c r="N619" s="1" t="str">
        <f>IFERROR(__xludf.DUMMYFUNCTION("""COMPUTED_VALUE"""),"1600")</f>
        <v>1600</v>
      </c>
      <c r="O619" s="1" t="str">
        <f>IFERROR(__xludf.DUMMYFUNCTION("""COMPUTED_VALUE"""),"Mega campus (&gt;1,000 MW)")</f>
        <v>Mega campus (&gt;1,000 MW)</v>
      </c>
      <c r="P619" s="1" t="str">
        <f>IFERROR(__xludf.DUMMYFUNCTION("""COMPUTED_VALUE"""),"")</f>
        <v/>
      </c>
      <c r="Q619" s="1" t="str">
        <f>IFERROR(__xludf.DUMMYFUNCTION("""COMPUTED_VALUE"""),"")</f>
        <v/>
      </c>
      <c r="R619" s="1" t="str">
        <f>IFERROR(__xludf.DUMMYFUNCTION("""COMPUTED_VALUE"""),"")</f>
        <v/>
      </c>
      <c r="S619" s="1" t="str">
        <f>IFERROR(__xludf.DUMMYFUNCTION("""COMPUTED_VALUE"""),"")</f>
        <v/>
      </c>
      <c r="T619" s="1" t="str">
        <f>IFERROR(__xludf.DUMMYFUNCTION("""COMPUTED_VALUE"""),"")</f>
        <v/>
      </c>
      <c r="U619" s="1" t="str">
        <f>IFERROR(__xludf.DUMMYFUNCTION("""COMPUTED_VALUE"""),"")</f>
        <v/>
      </c>
      <c r="V619" s="1" t="str">
        <f>IFERROR(__xludf.DUMMYFUNCTION("""COMPUTED_VALUE"""),"")</f>
        <v/>
      </c>
      <c r="W619" s="1" t="str">
        <f>IFERROR(__xludf.DUMMYFUNCTION("""COMPUTED_VALUE"""),"1060")</f>
        <v>1060</v>
      </c>
      <c r="X619" s="1" t="str">
        <f>IFERROR(__xludf.DUMMYFUNCTION("""COMPUTED_VALUE"""),"")</f>
        <v/>
      </c>
      <c r="Y619" s="1" t="str">
        <f>IFERROR(__xludf.DUMMYFUNCTION("""COMPUTED_VALUE"""),"")</f>
        <v/>
      </c>
      <c r="Z619" s="1" t="str">
        <f>IFERROR(__xludf.DUMMYFUNCTION("""COMPUTED_VALUE"""),"Unknown")</f>
        <v>Unknown</v>
      </c>
      <c r="AA619" s="1" t="str">
        <f>IFERROR(__xludf.DUMMYFUNCTION("""COMPUTED_VALUE"""),"")</f>
        <v/>
      </c>
      <c r="AB619" s="1" t="str">
        <f>IFERROR(__xludf.DUMMYFUNCTION("""COMPUTED_VALUE"""),"")</f>
        <v/>
      </c>
      <c r="AC619" s="1" t="str">
        <f>IFERROR(__xludf.DUMMYFUNCTION("""COMPUTED_VALUE"""),"")</f>
        <v/>
      </c>
      <c r="AD619" s="1" t="str">
        <f>IFERROR(__xludf.DUMMYFUNCTION("""COMPUTED_VALUE"""),"")</f>
        <v/>
      </c>
      <c r="AE619" s="1" t="str">
        <f>IFERROR(__xludf.DUMMYFUNCTION("""COMPUTED_VALUE"""),"")</f>
        <v/>
      </c>
      <c r="AF619" s="1" t="str">
        <f>IFERROR(__xludf.DUMMYFUNCTION("""COMPUTED_VALUE"""),"")</f>
        <v/>
      </c>
      <c r="AG619" s="1" t="str">
        <f>IFERROR(__xludf.DUMMYFUNCTION("""COMPUTED_VALUE"""),"")</f>
        <v/>
      </c>
      <c r="AH619" s="1" t="str">
        <f>IFERROR(__xludf.DUMMYFUNCTION("""COMPUTED_VALUE"""),"Media Monitoring")</f>
        <v>Media Monitoring</v>
      </c>
      <c r="AI619" s="2" t="str">
        <f>IFERROR(__xludf.DUMMYFUNCTION("""COMPUTED_VALUE"""),"https://www.datacenterdynamics.com/en/news/tract-acquires-1000-acres-in-nevada-for-16gw-data-center-park/")</f>
        <v>https://www.datacenterdynamics.com/en/news/tract-acquires-1000-acres-in-nevada-for-16gw-data-center-park/</v>
      </c>
      <c r="AJ619" s="1" t="str">
        <f>IFERROR(__xludf.DUMMYFUNCTION("""COMPUTED_VALUE"""),"")</f>
        <v/>
      </c>
      <c r="AK619" s="1" t="str">
        <f>IFERROR(__xludf.DUMMYFUNCTION("""COMPUTED_VALUE"""),"")</f>
        <v/>
      </c>
      <c r="AL619" s="1" t="str">
        <f>IFERROR(__xludf.DUMMYFUNCTION("""COMPUTED_VALUE"""),"")</f>
        <v/>
      </c>
      <c r="AM619" s="1" t="str">
        <f>IFERROR(__xludf.DUMMYFUNCTION("""COMPUTED_VALUE"""),"")</f>
        <v/>
      </c>
      <c r="AN619" s="1" t="str">
        <f>IFERROR(__xludf.DUMMYFUNCTION("""COMPUTED_VALUE"""),"")</f>
        <v/>
      </c>
      <c r="AO619" s="1" t="str">
        <f>IFERROR(__xludf.DUMMYFUNCTION("""COMPUTED_VALUE"""),"")</f>
        <v/>
      </c>
      <c r="AP619" s="1" t="str">
        <f>IFERROR(__xludf.DUMMYFUNCTION("""COMPUTED_VALUE"""),"")</f>
        <v/>
      </c>
      <c r="AQ619" s="1" t="str">
        <f>IFERROR(__xludf.DUMMYFUNCTION("""COMPUTED_VALUE"""),"09/20/2025")</f>
        <v>09/20/2025</v>
      </c>
      <c r="AR619" s="1" t="str">
        <f>IFERROR(__xludf.DUMMYFUNCTION("""COMPUTED_VALUE"""),"11/09/2025")</f>
        <v>11/09/2025</v>
      </c>
    </row>
    <row r="620">
      <c r="A620" s="1" t="str">
        <f>IFERROR(__xludf.DUMMYFUNCTION("""COMPUTED_VALUE"""),"Apple Data Center")</f>
        <v>Apple Data Center</v>
      </c>
      <c r="B620" s="1" t="str">
        <f>IFERROR(__xludf.DUMMYFUNCTION("""COMPUTED_VALUE"""),"21905 Reno Technology Pkwy E")</f>
        <v>21905 Reno Technology Pkwy E</v>
      </c>
      <c r="C620" s="1" t="str">
        <f>IFERROR(__xludf.DUMMYFUNCTION("""COMPUTED_VALUE"""),"Sparks")</f>
        <v>Sparks</v>
      </c>
      <c r="D620" s="1" t="str">
        <f>IFERROR(__xludf.DUMMYFUNCTION("""COMPUTED_VALUE"""),"NV")</f>
        <v>NV</v>
      </c>
      <c r="E620" s="1" t="str">
        <f>IFERROR(__xludf.DUMMYFUNCTION("""COMPUTED_VALUE"""),"89434")</f>
        <v>89434</v>
      </c>
      <c r="F620" s="1" t="str">
        <f>IFERROR(__xludf.DUMMYFUNCTION("""COMPUTED_VALUE"""),"Washoe")</f>
        <v>Washoe</v>
      </c>
      <c r="G620" s="1" t="str">
        <f>IFERROR(__xludf.DUMMYFUNCTION("""COMPUTED_VALUE"""),"39.56298")</f>
        <v>39.56298</v>
      </c>
      <c r="H620" s="1" t="str">
        <f>IFERROR(__xludf.DUMMYFUNCTION("""COMPUTED_VALUE"""),"-119.551")</f>
        <v>-119.551</v>
      </c>
      <c r="I620" s="1" t="str">
        <f>IFERROR(__xludf.DUMMYFUNCTION("""COMPUTED_VALUE"""),"Operating")</f>
        <v>Operating</v>
      </c>
      <c r="J620" s="1" t="str">
        <f>IFERROR(__xludf.DUMMYFUNCTION("""COMPUTED_VALUE"""),"High")</f>
        <v>High</v>
      </c>
      <c r="K620" s="1" t="str">
        <f>IFERROR(__xludf.DUMMYFUNCTION("""COMPUTED_VALUE"""),"")</f>
        <v/>
      </c>
      <c r="L620" s="1" t="str">
        <f>IFERROR(__xludf.DUMMYFUNCTION("""COMPUTED_VALUE"""),"")</f>
        <v/>
      </c>
      <c r="M620" s="1" t="str">
        <f>IFERROR(__xludf.DUMMYFUNCTION("""COMPUTED_VALUE"""),"")</f>
        <v/>
      </c>
      <c r="N620" s="1" t="str">
        <f>IFERROR(__xludf.DUMMYFUNCTION("""COMPUTED_VALUE"""),"")</f>
        <v/>
      </c>
      <c r="O620" s="1" t="str">
        <f>IFERROR(__xludf.DUMMYFUNCTION("""COMPUTED_VALUE"""),"Unknown")</f>
        <v>Unknown</v>
      </c>
      <c r="P620" s="1" t="str">
        <f>IFERROR(__xludf.DUMMYFUNCTION("""COMPUTED_VALUE"""),"")</f>
        <v/>
      </c>
      <c r="Q620" s="1" t="str">
        <f>IFERROR(__xludf.DUMMYFUNCTION("""COMPUTED_VALUE"""),"")</f>
        <v/>
      </c>
      <c r="R620" s="1" t="str">
        <f>IFERROR(__xludf.DUMMYFUNCTION("""COMPUTED_VALUE"""),"")</f>
        <v/>
      </c>
      <c r="S620" s="1" t="str">
        <f>IFERROR(__xludf.DUMMYFUNCTION("""COMPUTED_VALUE"""),"")</f>
        <v/>
      </c>
      <c r="T620" s="1" t="str">
        <f>IFERROR(__xludf.DUMMYFUNCTION("""COMPUTED_VALUE"""),"")</f>
        <v/>
      </c>
      <c r="U620" s="1" t="str">
        <f>IFERROR(__xludf.DUMMYFUNCTION("""COMPUTED_VALUE"""),"")</f>
        <v/>
      </c>
      <c r="V620" s="1" t="str">
        <f>IFERROR(__xludf.DUMMYFUNCTION("""COMPUTED_VALUE"""),"")</f>
        <v/>
      </c>
      <c r="W620" s="1" t="str">
        <f>IFERROR(__xludf.DUMMYFUNCTION("""COMPUTED_VALUE"""),"")</f>
        <v/>
      </c>
      <c r="X620" s="1" t="str">
        <f>IFERROR(__xludf.DUMMYFUNCTION("""COMPUTED_VALUE"""),"")</f>
        <v/>
      </c>
      <c r="Y620" s="1" t="str">
        <f>IFERROR(__xludf.DUMMYFUNCTION("""COMPUTED_VALUE"""),"")</f>
        <v/>
      </c>
      <c r="Z620" s="1" t="str">
        <f>IFERROR(__xludf.DUMMYFUNCTION("""COMPUTED_VALUE"""),"Unknown")</f>
        <v>Unknown</v>
      </c>
      <c r="AA620" s="1" t="str">
        <f>IFERROR(__xludf.DUMMYFUNCTION("""COMPUTED_VALUE"""),"")</f>
        <v/>
      </c>
      <c r="AB620" s="1" t="str">
        <f>IFERROR(__xludf.DUMMYFUNCTION("""COMPUTED_VALUE"""),"")</f>
        <v/>
      </c>
      <c r="AC620" s="1" t="str">
        <f>IFERROR(__xludf.DUMMYFUNCTION("""COMPUTED_VALUE"""),"")</f>
        <v/>
      </c>
      <c r="AD620" s="1" t="str">
        <f>IFERROR(__xludf.DUMMYFUNCTION("""COMPUTED_VALUE"""),"")</f>
        <v/>
      </c>
      <c r="AE620" s="1" t="str">
        <f>IFERROR(__xludf.DUMMYFUNCTION("""COMPUTED_VALUE"""),"")</f>
        <v/>
      </c>
      <c r="AF620" s="1" t="str">
        <f>IFERROR(__xludf.DUMMYFUNCTION("""COMPUTED_VALUE"""),"")</f>
        <v/>
      </c>
      <c r="AG620" s="1" t="str">
        <f>IFERROR(__xludf.DUMMYFUNCTION("""COMPUTED_VALUE"""),"")</f>
        <v/>
      </c>
      <c r="AH620" s="1" t="str">
        <f>IFERROR(__xludf.DUMMYFUNCTION("""COMPUTED_VALUE"""),"Media Monitoring")</f>
        <v>Media Monitoring</v>
      </c>
      <c r="AI620" s="1" t="str">
        <f>IFERROR(__xludf.DUMMYFUNCTION("""COMPUTED_VALUE"""),"")</f>
        <v/>
      </c>
      <c r="AJ620" s="1" t="str">
        <f>IFERROR(__xludf.DUMMYFUNCTION("""COMPUTED_VALUE"""),"")</f>
        <v/>
      </c>
      <c r="AK620" s="1" t="str">
        <f>IFERROR(__xludf.DUMMYFUNCTION("""COMPUTED_VALUE"""),"")</f>
        <v/>
      </c>
      <c r="AL620" s="1" t="str">
        <f>IFERROR(__xludf.DUMMYFUNCTION("""COMPUTED_VALUE"""),"")</f>
        <v/>
      </c>
      <c r="AM620" s="1" t="str">
        <f>IFERROR(__xludf.DUMMYFUNCTION("""COMPUTED_VALUE"""),"")</f>
        <v/>
      </c>
      <c r="AN620" s="1" t="str">
        <f>IFERROR(__xludf.DUMMYFUNCTION("""COMPUTED_VALUE"""),"")</f>
        <v/>
      </c>
      <c r="AO620" s="1" t="str">
        <f>IFERROR(__xludf.DUMMYFUNCTION("""COMPUTED_VALUE"""),"")</f>
        <v/>
      </c>
      <c r="AP620" s="1" t="str">
        <f>IFERROR(__xludf.DUMMYFUNCTION("""COMPUTED_VALUE"""),"")</f>
        <v/>
      </c>
      <c r="AQ620" s="1" t="str">
        <f>IFERROR(__xludf.DUMMYFUNCTION("""COMPUTED_VALUE"""),"08/14/2025")</f>
        <v>08/14/2025</v>
      </c>
      <c r="AR620" s="1" t="str">
        <f>IFERROR(__xludf.DUMMYFUNCTION("""COMPUTED_VALUE"""),"08/14/2025")</f>
        <v>08/14/2025</v>
      </c>
    </row>
    <row r="621">
      <c r="A621" s="1" t="str">
        <f>IFERROR(__xludf.DUMMYFUNCTION("""COMPUTED_VALUE"""),"NV11–NV14 Data Center Campus")</f>
        <v>NV11–NV14 Data Center Campus</v>
      </c>
      <c r="B621" s="1" t="str">
        <f>IFERROR(__xludf.DUMMYFUNCTION("""COMPUTED_VALUE"""),"100 Electric Ave")</f>
        <v>100 Electric Ave</v>
      </c>
      <c r="C621" s="1" t="str">
        <f>IFERROR(__xludf.DUMMYFUNCTION("""COMPUTED_VALUE"""),"Sparks")</f>
        <v>Sparks</v>
      </c>
      <c r="D621" s="1" t="str">
        <f>IFERROR(__xludf.DUMMYFUNCTION("""COMPUTED_VALUE"""),"NV")</f>
        <v>NV</v>
      </c>
      <c r="E621" s="1" t="str">
        <f>IFERROR(__xludf.DUMMYFUNCTION("""COMPUTED_VALUE"""),"89437")</f>
        <v>89437</v>
      </c>
      <c r="F621" s="1" t="str">
        <f>IFERROR(__xludf.DUMMYFUNCTION("""COMPUTED_VALUE"""),"Storey")</f>
        <v>Storey</v>
      </c>
      <c r="G621" s="1" t="str">
        <f>IFERROR(__xludf.DUMMYFUNCTION("""COMPUTED_VALUE"""),"39.55287")</f>
        <v>39.55287</v>
      </c>
      <c r="H621" s="1" t="str">
        <f>IFERROR(__xludf.DUMMYFUNCTION("""COMPUTED_VALUE"""),"-119.474")</f>
        <v>-119.474</v>
      </c>
      <c r="I621" s="1" t="str">
        <f>IFERROR(__xludf.DUMMYFUNCTION("""COMPUTED_VALUE"""),"Proposed")</f>
        <v>Proposed</v>
      </c>
      <c r="J621" s="1" t="str">
        <f>IFERROR(__xludf.DUMMYFUNCTION("""COMPUTED_VALUE"""),"High")</f>
        <v>High</v>
      </c>
      <c r="K621" s="1" t="str">
        <f>IFERROR(__xludf.DUMMYFUNCTION("""COMPUTED_VALUE"""),"")</f>
        <v/>
      </c>
      <c r="L621" s="1" t="str">
        <f>IFERROR(__xludf.DUMMYFUNCTION("""COMPUTED_VALUE"""),"")</f>
        <v/>
      </c>
      <c r="M621" s="1" t="str">
        <f>IFERROR(__xludf.DUMMYFUNCTION("""COMPUTED_VALUE"""),"")</f>
        <v/>
      </c>
      <c r="N621" s="1" t="str">
        <f>IFERROR(__xludf.DUMMYFUNCTION("""COMPUTED_VALUE"""),"224")</f>
        <v>224</v>
      </c>
      <c r="O621" s="1" t="str">
        <f>IFERROR(__xludf.DUMMYFUNCTION("""COMPUTED_VALUE"""),"Hyperscale (100-999 MW)")</f>
        <v>Hyperscale (100-999 MW)</v>
      </c>
      <c r="P621" s="1" t="str">
        <f>IFERROR(__xludf.DUMMYFUNCTION("""COMPUTED_VALUE"""),"")</f>
        <v/>
      </c>
      <c r="Q621" s="1" t="str">
        <f>IFERROR(__xludf.DUMMYFUNCTION("""COMPUTED_VALUE"""),"")</f>
        <v/>
      </c>
      <c r="R621" s="1" t="str">
        <f>IFERROR(__xludf.DUMMYFUNCTION("""COMPUTED_VALUE"""),"")</f>
        <v/>
      </c>
      <c r="S621" s="1" t="str">
        <f>IFERROR(__xludf.DUMMYFUNCTION("""COMPUTED_VALUE"""),"")</f>
        <v/>
      </c>
      <c r="T621" s="1" t="str">
        <f>IFERROR(__xludf.DUMMYFUNCTION("""COMPUTED_VALUE"""),"")</f>
        <v/>
      </c>
      <c r="U621" s="1" t="str">
        <f>IFERROR(__xludf.DUMMYFUNCTION("""COMPUTED_VALUE"""),"")</f>
        <v/>
      </c>
      <c r="V621" s="1" t="str">
        <f>IFERROR(__xludf.DUMMYFUNCTION("""COMPUTED_VALUE"""),"1,000,000")</f>
        <v>1,000,000</v>
      </c>
      <c r="W621" s="1" t="str">
        <f>IFERROR(__xludf.DUMMYFUNCTION("""COMPUTED_VALUE"""),"137")</f>
        <v>137</v>
      </c>
      <c r="X621" s="1" t="str">
        <f>IFERROR(__xludf.DUMMYFUNCTION("""COMPUTED_VALUE"""),"$3 billion")</f>
        <v>$3 billion</v>
      </c>
      <c r="Y621" s="1" t="str">
        <f>IFERROR(__xludf.DUMMYFUNCTION("""COMPUTED_VALUE"""),"")</f>
        <v/>
      </c>
      <c r="Z621" s="1" t="str">
        <f>IFERROR(__xludf.DUMMYFUNCTION("""COMPUTED_VALUE"""),"Unknown")</f>
        <v>Unknown</v>
      </c>
      <c r="AA621" s="1" t="str">
        <f>IFERROR(__xludf.DUMMYFUNCTION("""COMPUTED_VALUE"""),"")</f>
        <v/>
      </c>
      <c r="AB621" s="1" t="str">
        <f>IFERROR(__xludf.DUMMYFUNCTION("""COMPUTED_VALUE"""),"")</f>
        <v/>
      </c>
      <c r="AC621" s="1" t="str">
        <f>IFERROR(__xludf.DUMMYFUNCTION("""COMPUTED_VALUE"""),"")</f>
        <v/>
      </c>
      <c r="AD621" s="1" t="str">
        <f>IFERROR(__xludf.DUMMYFUNCTION("""COMPUTED_VALUE"""),"")</f>
        <v/>
      </c>
      <c r="AE621" s="1" t="str">
        <f>IFERROR(__xludf.DUMMYFUNCTION("""COMPUTED_VALUE"""),"")</f>
        <v/>
      </c>
      <c r="AF621" s="1" t="str">
        <f>IFERROR(__xludf.DUMMYFUNCTION("""COMPUTED_VALUE"""),"")</f>
        <v/>
      </c>
      <c r="AG621" s="1" t="str">
        <f>IFERROR(__xludf.DUMMYFUNCTION("""COMPUTED_VALUE"""),"")</f>
        <v/>
      </c>
      <c r="AH621" s="1" t="str">
        <f>IFERROR(__xludf.DUMMYFUNCTION("""COMPUTED_VALUE"""),"Media Monitoring")</f>
        <v>Media Monitoring</v>
      </c>
      <c r="AI621" s="2" t="str">
        <f>IFERROR(__xludf.DUMMYFUNCTION("""COMPUTED_VALUE"""),"https://www.datacenterdynamics.com/en/news/vantage-announces-224mw-data-center-campus-in-reno-nevada/")</f>
        <v>https://www.datacenterdynamics.com/en/news/vantage-announces-224mw-data-center-campus-in-reno-nevada/</v>
      </c>
      <c r="AJ621" s="1" t="str">
        <f>IFERROR(__xludf.DUMMYFUNCTION("""COMPUTED_VALUE"""),"")</f>
        <v/>
      </c>
      <c r="AK621" s="1" t="str">
        <f>IFERROR(__xludf.DUMMYFUNCTION("""COMPUTED_VALUE"""),"")</f>
        <v/>
      </c>
      <c r="AL621" s="1" t="str">
        <f>IFERROR(__xludf.DUMMYFUNCTION("""COMPUTED_VALUE"""),"")</f>
        <v/>
      </c>
      <c r="AM621" s="1" t="str">
        <f>IFERROR(__xludf.DUMMYFUNCTION("""COMPUTED_VALUE"""),"")</f>
        <v/>
      </c>
      <c r="AN621" s="1" t="str">
        <f>IFERROR(__xludf.DUMMYFUNCTION("""COMPUTED_VALUE"""),"")</f>
        <v/>
      </c>
      <c r="AO621" s="1" t="str">
        <f>IFERROR(__xludf.DUMMYFUNCTION("""COMPUTED_VALUE"""),"")</f>
        <v/>
      </c>
      <c r="AP621" s="1" t="str">
        <f>IFERROR(__xludf.DUMMYFUNCTION("""COMPUTED_VALUE"""),"")</f>
        <v/>
      </c>
      <c r="AQ621" s="1" t="str">
        <f>IFERROR(__xludf.DUMMYFUNCTION("""COMPUTED_VALUE"""),"07/22/2025")</f>
        <v>07/22/2025</v>
      </c>
      <c r="AR621" s="1" t="str">
        <f>IFERROR(__xludf.DUMMYFUNCTION("""COMPUTED_VALUE"""),"07/22/2025")</f>
        <v>07/22/2025</v>
      </c>
    </row>
    <row r="622">
      <c r="A622" s="1" t="str">
        <f>IFERROR(__xludf.DUMMYFUNCTION("""COMPUTED_VALUE"""),"Peru Ridge/ Peru Shelf Data Centers")</f>
        <v>Peru Ridge/ Peru Shelf Data Centers</v>
      </c>
      <c r="B622" s="1" t="str">
        <f>IFERROR(__xludf.DUMMYFUNCTION("""COMPUTED_VALUE"""),"1995 Peru Dr")</f>
        <v>1995 Peru Dr</v>
      </c>
      <c r="C622" s="1" t="str">
        <f>IFERROR(__xludf.DUMMYFUNCTION("""COMPUTED_VALUE"""),"Sparks")</f>
        <v>Sparks</v>
      </c>
      <c r="D622" s="1" t="str">
        <f>IFERROR(__xludf.DUMMYFUNCTION("""COMPUTED_VALUE"""),"NV")</f>
        <v>NV</v>
      </c>
      <c r="E622" s="1" t="str">
        <f>IFERROR(__xludf.DUMMYFUNCTION("""COMPUTED_VALUE"""),"89434")</f>
        <v>89434</v>
      </c>
      <c r="F622" s="1" t="str">
        <f>IFERROR(__xludf.DUMMYFUNCTION("""COMPUTED_VALUE"""),"Storey County")</f>
        <v>Storey County</v>
      </c>
      <c r="G622" s="1" t="str">
        <f>IFERROR(__xludf.DUMMYFUNCTION("""COMPUTED_VALUE"""),"39.540768")</f>
        <v>39.540768</v>
      </c>
      <c r="H622" s="1" t="str">
        <f>IFERROR(__xludf.DUMMYFUNCTION("""COMPUTED_VALUE"""),"-119.49811")</f>
        <v>-119.49811</v>
      </c>
      <c r="I622" s="1" t="str">
        <f>IFERROR(__xludf.DUMMYFUNCTION("""COMPUTED_VALUE"""),"Proposed")</f>
        <v>Proposed</v>
      </c>
      <c r="J622" s="1" t="str">
        <f>IFERROR(__xludf.DUMMYFUNCTION("""COMPUTED_VALUE"""),"High")</f>
        <v>High</v>
      </c>
      <c r="K622" s="1" t="str">
        <f>IFERROR(__xludf.DUMMYFUNCTION("""COMPUTED_VALUE"""),"")</f>
        <v/>
      </c>
      <c r="L622" s="1" t="str">
        <f>IFERROR(__xludf.DUMMYFUNCTION("""COMPUTED_VALUE"""),"Tract/ Fleet")</f>
        <v>Tract/ Fleet</v>
      </c>
      <c r="M622" s="1" t="str">
        <f>IFERROR(__xludf.DUMMYFUNCTION("""COMPUTED_VALUE"""),"")</f>
        <v/>
      </c>
      <c r="N622" s="1" t="str">
        <f>IFERROR(__xludf.DUMMYFUNCTION("""COMPUTED_VALUE"""),"810")</f>
        <v>810</v>
      </c>
      <c r="O622" s="1" t="str">
        <f>IFERROR(__xludf.DUMMYFUNCTION("""COMPUTED_VALUE"""),"Mega campus (&gt;1,000 MW)")</f>
        <v>Mega campus (&gt;1,000 MW)</v>
      </c>
      <c r="P622" s="1" t="str">
        <f>IFERROR(__xludf.DUMMYFUNCTION("""COMPUTED_VALUE"""),"")</f>
        <v/>
      </c>
      <c r="Q622" s="1" t="str">
        <f>IFERROR(__xludf.DUMMYFUNCTION("""COMPUTED_VALUE"""),"")</f>
        <v/>
      </c>
      <c r="R622" s="1" t="str">
        <f>IFERROR(__xludf.DUMMYFUNCTION("""COMPUTED_VALUE"""),"")</f>
        <v/>
      </c>
      <c r="S622" s="1" t="str">
        <f>IFERROR(__xludf.DUMMYFUNCTION("""COMPUTED_VALUE"""),"")</f>
        <v/>
      </c>
      <c r="T622" s="1" t="str">
        <f>IFERROR(__xludf.DUMMYFUNCTION("""COMPUTED_VALUE"""),"")</f>
        <v/>
      </c>
      <c r="U622" s="1" t="str">
        <f>IFERROR(__xludf.DUMMYFUNCTION("""COMPUTED_VALUE"""),"")</f>
        <v/>
      </c>
      <c r="V622" s="1" t="str">
        <f>IFERROR(__xludf.DUMMYFUNCTION("""COMPUTED_VALUE"""),"")</f>
        <v/>
      </c>
      <c r="W622" s="1" t="str">
        <f>IFERROR(__xludf.DUMMYFUNCTION("""COMPUTED_VALUE"""),"517")</f>
        <v>517</v>
      </c>
      <c r="X622" s="1" t="str">
        <f>IFERROR(__xludf.DUMMYFUNCTION("""COMPUTED_VALUE"""),"")</f>
        <v/>
      </c>
      <c r="Y622" s="1" t="str">
        <f>IFERROR(__xludf.DUMMYFUNCTION("""COMPUTED_VALUE"""),"")</f>
        <v/>
      </c>
      <c r="Z622" s="1" t="str">
        <f>IFERROR(__xludf.DUMMYFUNCTION("""COMPUTED_VALUE"""),"Unknown")</f>
        <v>Unknown</v>
      </c>
      <c r="AA622" s="1" t="str">
        <f>IFERROR(__xludf.DUMMYFUNCTION("""COMPUTED_VALUE"""),"")</f>
        <v/>
      </c>
      <c r="AB622" s="1" t="str">
        <f>IFERROR(__xludf.DUMMYFUNCTION("""COMPUTED_VALUE"""),"")</f>
        <v/>
      </c>
      <c r="AC622" s="1" t="str">
        <f>IFERROR(__xludf.DUMMYFUNCTION("""COMPUTED_VALUE"""),"")</f>
        <v/>
      </c>
      <c r="AD622" s="1" t="str">
        <f>IFERROR(__xludf.DUMMYFUNCTION("""COMPUTED_VALUE"""),"")</f>
        <v/>
      </c>
      <c r="AE622" s="1" t="str">
        <f>IFERROR(__xludf.DUMMYFUNCTION("""COMPUTED_VALUE"""),"")</f>
        <v/>
      </c>
      <c r="AF622" s="1" t="str">
        <f>IFERROR(__xludf.DUMMYFUNCTION("""COMPUTED_VALUE"""),"")</f>
        <v/>
      </c>
      <c r="AG622" s="1" t="str">
        <f>IFERROR(__xludf.DUMMYFUNCTION("""COMPUTED_VALUE"""),"")</f>
        <v/>
      </c>
      <c r="AH622" s="1" t="str">
        <f>IFERROR(__xludf.DUMMYFUNCTION("""COMPUTED_VALUE"""),"Media Monitoring")</f>
        <v>Media Monitoring</v>
      </c>
      <c r="AI622" s="2" t="str">
        <f>IFERROR(__xludf.DUMMYFUNCTION("""COMPUTED_VALUE"""),"https://www.datacenterdynamics.com/en/news/tract-acquires-1000-acres-in-nevada-for-16gw-data-center-park/")</f>
        <v>https://www.datacenterdynamics.com/en/news/tract-acquires-1000-acres-in-nevada-for-16gw-data-center-park/</v>
      </c>
      <c r="AJ622" s="2" t="str">
        <f>IFERROR(__xludf.DUMMYFUNCTION("""COMPUTED_VALUE"""),"https://www.datacenterdynamics.com/en/news/tract-acquires-8590-acres-in-reno-nevada-for-data-center-park/")</f>
        <v>https://www.datacenterdynamics.com/en/news/tract-acquires-8590-acres-in-reno-nevada-for-data-center-park/</v>
      </c>
      <c r="AK622" s="2" t="str">
        <f>IFERROR(__xludf.DUMMYFUNCTION("""COMPUTED_VALUE"""),"https://www.datacenterdynamics.com/en/news/tract-acquires-8590-acres-in-reno-nevada-for-data-center-park/")</f>
        <v>https://www.datacenterdynamics.com/en/news/tract-acquires-8590-acres-in-reno-nevada-for-data-center-park/</v>
      </c>
      <c r="AL622" s="2" t="str">
        <f>IFERROR(__xludf.DUMMYFUNCTION("""COMPUTED_VALUE"""),"https://www.tract.com/project/peru-ridge/")</f>
        <v>https://www.tract.com/project/peru-ridge/</v>
      </c>
      <c r="AM622" s="2" t="str">
        <f>IFERROR(__xludf.DUMMYFUNCTION("""COMPUTED_VALUE"""),"https://www.datacenterdynamics.com/en/news/fleet-breaks-ground-on-data-center-outside-reno-nevada/")</f>
        <v>https://www.datacenterdynamics.com/en/news/fleet-breaks-ground-on-data-center-outside-reno-nevada/</v>
      </c>
      <c r="AN622" s="1" t="str">
        <f>IFERROR(__xludf.DUMMYFUNCTION("""COMPUTED_VALUE"""),"")</f>
        <v/>
      </c>
      <c r="AO622" s="1" t="str">
        <f>IFERROR(__xludf.DUMMYFUNCTION("""COMPUTED_VALUE"""),"")</f>
        <v/>
      </c>
      <c r="AP622" s="1" t="str">
        <f>IFERROR(__xludf.DUMMYFUNCTION("""COMPUTED_VALUE"""),"")</f>
        <v/>
      </c>
      <c r="AQ622" s="1" t="str">
        <f>IFERROR(__xludf.DUMMYFUNCTION("""COMPUTED_VALUE"""),"09/20/2025")</f>
        <v>09/20/2025</v>
      </c>
      <c r="AR622" s="1" t="str">
        <f>IFERROR(__xludf.DUMMYFUNCTION("""COMPUTED_VALUE"""),"06/14/2026")</f>
        <v>06/14/2026</v>
      </c>
    </row>
    <row r="623">
      <c r="A623" s="1" t="str">
        <f>IFERROR(__xludf.DUMMYFUNCTION("""COMPUTED_VALUE"""),"South Valley Technology Park Data Center")</f>
        <v>South Valley Technology Park Data Center</v>
      </c>
      <c r="B623" s="1" t="str">
        <f>IFERROR(__xludf.DUMMYFUNCTION("""COMPUTED_VALUE"""),"9000 USA Pkwy")</f>
        <v>9000 USA Pkwy</v>
      </c>
      <c r="C623" s="1" t="str">
        <f>IFERROR(__xludf.DUMMYFUNCTION("""COMPUTED_VALUE"""),"Sparks")</f>
        <v>Sparks</v>
      </c>
      <c r="D623" s="1" t="str">
        <f>IFERROR(__xludf.DUMMYFUNCTION("""COMPUTED_VALUE"""),"NV")</f>
        <v>NV</v>
      </c>
      <c r="E623" s="1" t="str">
        <f>IFERROR(__xludf.DUMMYFUNCTION("""COMPUTED_VALUE"""),"89434")</f>
        <v>89434</v>
      </c>
      <c r="F623" s="1" t="str">
        <f>IFERROR(__xludf.DUMMYFUNCTION("""COMPUTED_VALUE"""),"Storey")</f>
        <v>Storey</v>
      </c>
      <c r="G623" s="1" t="str">
        <f>IFERROR(__xludf.DUMMYFUNCTION("""COMPUTED_VALUE"""),"39.51259")</f>
        <v>39.51259</v>
      </c>
      <c r="H623" s="1" t="str">
        <f>IFERROR(__xludf.DUMMYFUNCTION("""COMPUTED_VALUE"""),"-119.435585")</f>
        <v>-119.435585</v>
      </c>
      <c r="I623" s="1" t="str">
        <f>IFERROR(__xludf.DUMMYFUNCTION("""COMPUTED_VALUE"""),"Proposed")</f>
        <v>Proposed</v>
      </c>
      <c r="J623" s="1" t="str">
        <f>IFERROR(__xludf.DUMMYFUNCTION("""COMPUTED_VALUE"""),"High")</f>
        <v>High</v>
      </c>
      <c r="K623" s="1" t="str">
        <f>IFERROR(__xludf.DUMMYFUNCTION("""COMPUTED_VALUE"""),"")</f>
        <v/>
      </c>
      <c r="L623" s="1" t="str">
        <f>IFERROR(__xludf.DUMMYFUNCTION("""COMPUTED_VALUE"""),"Tract")</f>
        <v>Tract</v>
      </c>
      <c r="M623" s="1" t="str">
        <f>IFERROR(__xludf.DUMMYFUNCTION("""COMPUTED_VALUE"""),"")</f>
        <v/>
      </c>
      <c r="N623" s="1" t="str">
        <f>IFERROR(__xludf.DUMMYFUNCTION("""COMPUTED_VALUE"""),"1200")</f>
        <v>1200</v>
      </c>
      <c r="O623" s="1" t="str">
        <f>IFERROR(__xludf.DUMMYFUNCTION("""COMPUTED_VALUE"""),"Mega campus (&gt;1,000 MW)")</f>
        <v>Mega campus (&gt;1,000 MW)</v>
      </c>
      <c r="P623" s="1" t="str">
        <f>IFERROR(__xludf.DUMMYFUNCTION("""COMPUTED_VALUE"""),"")</f>
        <v/>
      </c>
      <c r="Q623" s="1" t="str">
        <f>IFERROR(__xludf.DUMMYFUNCTION("""COMPUTED_VALUE"""),"")</f>
        <v/>
      </c>
      <c r="R623" s="1" t="str">
        <f>IFERROR(__xludf.DUMMYFUNCTION("""COMPUTED_VALUE"""),"")</f>
        <v/>
      </c>
      <c r="S623" s="1" t="str">
        <f>IFERROR(__xludf.DUMMYFUNCTION("""COMPUTED_VALUE"""),"")</f>
        <v/>
      </c>
      <c r="T623" s="1" t="str">
        <f>IFERROR(__xludf.DUMMYFUNCTION("""COMPUTED_VALUE"""),"")</f>
        <v/>
      </c>
      <c r="U623" s="1" t="str">
        <f>IFERROR(__xludf.DUMMYFUNCTION("""COMPUTED_VALUE"""),"")</f>
        <v/>
      </c>
      <c r="V623" s="1" t="str">
        <f>IFERROR(__xludf.DUMMYFUNCTION("""COMPUTED_VALUE"""),"")</f>
        <v/>
      </c>
      <c r="W623" s="1" t="str">
        <f>IFERROR(__xludf.DUMMYFUNCTION("""COMPUTED_VALUE"""),"1500")</f>
        <v>1500</v>
      </c>
      <c r="X623" s="1" t="str">
        <f>IFERROR(__xludf.DUMMYFUNCTION("""COMPUTED_VALUE"""),"")</f>
        <v/>
      </c>
      <c r="Y623" s="1" t="str">
        <f>IFERROR(__xludf.DUMMYFUNCTION("""COMPUTED_VALUE"""),"")</f>
        <v/>
      </c>
      <c r="Z623" s="1" t="str">
        <f>IFERROR(__xludf.DUMMYFUNCTION("""COMPUTED_VALUE"""),"Unknown")</f>
        <v>Unknown</v>
      </c>
      <c r="AA623" s="1" t="str">
        <f>IFERROR(__xludf.DUMMYFUNCTION("""COMPUTED_VALUE"""),"")</f>
        <v/>
      </c>
      <c r="AB623" s="1" t="str">
        <f>IFERROR(__xludf.DUMMYFUNCTION("""COMPUTED_VALUE"""),"")</f>
        <v/>
      </c>
      <c r="AC623" s="1" t="str">
        <f>IFERROR(__xludf.DUMMYFUNCTION("""COMPUTED_VALUE"""),"")</f>
        <v/>
      </c>
      <c r="AD623" s="1" t="str">
        <f>IFERROR(__xludf.DUMMYFUNCTION("""COMPUTED_VALUE"""),"")</f>
        <v/>
      </c>
      <c r="AE623" s="1" t="str">
        <f>IFERROR(__xludf.DUMMYFUNCTION("""COMPUTED_VALUE"""),"")</f>
        <v/>
      </c>
      <c r="AF623" s="1" t="str">
        <f>IFERROR(__xludf.DUMMYFUNCTION("""COMPUTED_VALUE"""),"")</f>
        <v/>
      </c>
      <c r="AG623" s="1" t="str">
        <f>IFERROR(__xludf.DUMMYFUNCTION("""COMPUTED_VALUE"""),"")</f>
        <v/>
      </c>
      <c r="AH623" s="1" t="str">
        <f>IFERROR(__xludf.DUMMYFUNCTION("""COMPUTED_VALUE"""),"Media Monitoring")</f>
        <v>Media Monitoring</v>
      </c>
      <c r="AI623" s="2" t="str">
        <f>IFERROR(__xludf.DUMMYFUNCTION("""COMPUTED_VALUE"""),"https://www.datacenterdynamics.com/en/news/tract-acquires-8590-acres-in-reno-nevada-for-data-center-park/")</f>
        <v>https://www.datacenterdynamics.com/en/news/tract-acquires-8590-acres-in-reno-nevada-for-data-center-park/</v>
      </c>
      <c r="AJ623" s="2" t="str">
        <f>IFERROR(__xludf.DUMMYFUNCTION("""COMPUTED_VALUE"""),"https://www.tract.com/project/south-valley/")</f>
        <v>https://www.tract.com/project/south-valley/</v>
      </c>
      <c r="AK623" s="1" t="str">
        <f>IFERROR(__xludf.DUMMYFUNCTION("""COMPUTED_VALUE"""),"")</f>
        <v/>
      </c>
      <c r="AL623" s="1" t="str">
        <f>IFERROR(__xludf.DUMMYFUNCTION("""COMPUTED_VALUE"""),"")</f>
        <v/>
      </c>
      <c r="AM623" s="1" t="str">
        <f>IFERROR(__xludf.DUMMYFUNCTION("""COMPUTED_VALUE"""),"")</f>
        <v/>
      </c>
      <c r="AN623" s="1" t="str">
        <f>IFERROR(__xludf.DUMMYFUNCTION("""COMPUTED_VALUE"""),"")</f>
        <v/>
      </c>
      <c r="AO623" s="1" t="str">
        <f>IFERROR(__xludf.DUMMYFUNCTION("""COMPUTED_VALUE"""),"")</f>
        <v/>
      </c>
      <c r="AP623" s="1" t="str">
        <f>IFERROR(__xludf.DUMMYFUNCTION("""COMPUTED_VALUE"""),"")</f>
        <v/>
      </c>
      <c r="AQ623" s="1" t="str">
        <f>IFERROR(__xludf.DUMMYFUNCTION("""COMPUTED_VALUE"""),"06/14/2026")</f>
        <v>06/14/2026</v>
      </c>
      <c r="AR623" s="1" t="str">
        <f>IFERROR(__xludf.DUMMYFUNCTION("""COMPUTED_VALUE"""),"06/14/2026")</f>
        <v>06/14/2026</v>
      </c>
    </row>
    <row r="624">
      <c r="A624" s="1" t="str">
        <f>IFERROR(__xludf.DUMMYFUNCTION("""COMPUTED_VALUE"""),"STAMP Data Center")</f>
        <v>STAMP Data Center</v>
      </c>
      <c r="B624" s="1" t="str">
        <f>IFERROR(__xludf.DUMMYFUNCTION("""COMPUTED_VALUE"""),"1249 Stamp Dr")</f>
        <v>1249 Stamp Dr</v>
      </c>
      <c r="C624" s="1" t="str">
        <f>IFERROR(__xludf.DUMMYFUNCTION("""COMPUTED_VALUE"""),"Alabama")</f>
        <v>Alabama</v>
      </c>
      <c r="D624" s="1" t="str">
        <f>IFERROR(__xludf.DUMMYFUNCTION("""COMPUTED_VALUE"""),"NY")</f>
        <v>NY</v>
      </c>
      <c r="E624" s="1" t="str">
        <f>IFERROR(__xludf.DUMMYFUNCTION("""COMPUTED_VALUE"""),"14013")</f>
        <v>14013</v>
      </c>
      <c r="F624" s="1" t="str">
        <f>IFERROR(__xludf.DUMMYFUNCTION("""COMPUTED_VALUE"""),"Genesee County")</f>
        <v>Genesee County</v>
      </c>
      <c r="G624" s="1" t="str">
        <f>IFERROR(__xludf.DUMMYFUNCTION("""COMPUTED_VALUE"""),"43.08677")</f>
        <v>43.08677</v>
      </c>
      <c r="H624" s="1" t="str">
        <f>IFERROR(__xludf.DUMMYFUNCTION("""COMPUTED_VALUE"""),"-78.3978")</f>
        <v>-78.3978</v>
      </c>
      <c r="I624" s="1" t="str">
        <f>IFERROR(__xludf.DUMMYFUNCTION("""COMPUTED_VALUE"""),"Proposed")</f>
        <v>Proposed</v>
      </c>
      <c r="J624" s="1" t="str">
        <f>IFERROR(__xludf.DUMMYFUNCTION("""COMPUTED_VALUE"""),"High")</f>
        <v>High</v>
      </c>
      <c r="K624" s="1" t="str">
        <f>IFERROR(__xludf.DUMMYFUNCTION("""COMPUTED_VALUE"""),"")</f>
        <v/>
      </c>
      <c r="L624" s="1" t="str">
        <f>IFERROR(__xludf.DUMMYFUNCTION("""COMPUTED_VALUE"""),"Genesee County Economic Development Corporation (GCEDC)/Plug Power/Edwards Vaccum")</f>
        <v>Genesee County Economic Development Corporation (GCEDC)/Plug Power/Edwards Vaccum</v>
      </c>
      <c r="M624" s="1" t="str">
        <f>IFERROR(__xludf.DUMMYFUNCTION("""COMPUTED_VALUE"""),"")</f>
        <v/>
      </c>
      <c r="N624" s="1" t="str">
        <f>IFERROR(__xludf.DUMMYFUNCTION("""COMPUTED_VALUE"""),"500")</f>
        <v>500</v>
      </c>
      <c r="O624" s="1" t="str">
        <f>IFERROR(__xludf.DUMMYFUNCTION("""COMPUTED_VALUE"""),"Hyperscale (100-999 MW)")</f>
        <v>Hyperscale (100-999 MW)</v>
      </c>
      <c r="P624" s="1" t="str">
        <f>IFERROR(__xludf.DUMMYFUNCTION("""COMPUTED_VALUE"""),"")</f>
        <v/>
      </c>
      <c r="Q624" s="1" t="str">
        <f>IFERROR(__xludf.DUMMYFUNCTION("""COMPUTED_VALUE"""),"")</f>
        <v/>
      </c>
      <c r="R624" s="1" t="str">
        <f>IFERROR(__xludf.DUMMYFUNCTION("""COMPUTED_VALUE"""),"")</f>
        <v/>
      </c>
      <c r="S624" s="1" t="str">
        <f>IFERROR(__xludf.DUMMYFUNCTION("""COMPUTED_VALUE"""),"")</f>
        <v/>
      </c>
      <c r="T624" s="1" t="str">
        <f>IFERROR(__xludf.DUMMYFUNCTION("""COMPUTED_VALUE"""),"Water")</f>
        <v>Water</v>
      </c>
      <c r="U624" s="1" t="str">
        <f>IFERROR(__xludf.DUMMYFUNCTION("""COMPUTED_VALUE"""),"")</f>
        <v/>
      </c>
      <c r="V624" s="1" t="str">
        <f>IFERROR(__xludf.DUMMYFUNCTION("""COMPUTED_VALUE"""),"2,200,000")</f>
        <v>2,200,000</v>
      </c>
      <c r="W624" s="1" t="str">
        <f>IFERROR(__xludf.DUMMYFUNCTION("""COMPUTED_VALUE"""),"1263")</f>
        <v>1263</v>
      </c>
      <c r="X624" s="1" t="str">
        <f>IFERROR(__xludf.DUMMYFUNCTION("""COMPUTED_VALUE"""),"410 million ")</f>
        <v>410 million </v>
      </c>
      <c r="Y624" s="1" t="str">
        <f>IFERROR(__xludf.DUMMYFUNCTION("""COMPUTED_VALUE"""),"")</f>
        <v/>
      </c>
      <c r="Z624" s="1" t="str">
        <f>IFERROR(__xludf.DUMMYFUNCTION("""COMPUTED_VALUE"""),"Yes")</f>
        <v>Yes</v>
      </c>
      <c r="AA624" s="1" t="str">
        <f>IFERROR(__xludf.DUMMYFUNCTION("""COMPUTED_VALUE"""),"A public hearing is being held March 19 at 7:00 PM in the town of Alabama on Judge Rd. Public comments being accepted through March 31: https://docs.google.com/document/d/1V9JcpmERQ7EZ5vxm9KiaX6AqYO6XUkpuCELwxKIxHKs/edit?usp=drivesdk")</f>
        <v>A public hearing is being held March 19 at 7:00 PM in the town of Alabama on Judge Rd. Public comments being accepted through March 31: https://docs.google.com/document/d/1V9JcpmERQ7EZ5vxm9KiaX6AqYO6XUkpuCELwxKIxHKs/edit?usp=drivesdk</v>
      </c>
      <c r="AB624" s="1" t="str">
        <f>IFERROR(__xludf.DUMMYFUNCTION("""COMPUTED_VALUE"""),"Organized Advocacy")</f>
        <v>Organized Advocacy</v>
      </c>
      <c r="AC624" s="1" t="str">
        <f>IFERROR(__xludf.DUMMYFUNCTION("""COMPUTED_VALUE"""),"")</f>
        <v/>
      </c>
      <c r="AD624" s="2" t="str">
        <f>IFERROR(__xludf.DUMMYFUNCTION("""COMPUTED_VALUE"""),"https://alliesoftsn.weebly.com/no-data-centers-at-stamp.html")</f>
        <v>https://alliesoftsn.weebly.com/no-data-centers-at-stamp.html</v>
      </c>
      <c r="AE624" s="1" t="str">
        <f>IFERROR(__xludf.DUMMYFUNCTION("""COMPUTED_VALUE"""),"")</f>
        <v/>
      </c>
      <c r="AF624" s="2" t="str">
        <f>IFERROR(__xludf.DUMMYFUNCTION("""COMPUTED_VALUE"""),"https://www.change.org/p/prevent-stamp-from-destroying-vital-wetlands-in-iroquois-nwr-no-data-centers?source_location=topics_page")</f>
        <v>https://www.change.org/p/prevent-stamp-from-destroying-vital-wetlands-in-iroquois-nwr-no-data-centers?source_location=topics_page</v>
      </c>
      <c r="AG624" s="1" t="str">
        <f>IFERROR(__xludf.DUMMYFUNCTION("""COMPUTED_VALUE"""),"The site plan includes 775 acres of impervious surface cover (ISC) in the form of roads, parking lots, roofs, and other infrastructure acres dedicated to data center)")</f>
        <v>The site plan includes 775 acres of impervious surface cover (ISC) in the form of roads, parking lots, roofs, and other infrastructure acres dedicated to data center)</v>
      </c>
      <c r="AH624" s="1" t="str">
        <f>IFERROR(__xludf.DUMMYFUNCTION("""COMPUTED_VALUE"""),"Media Monitoring")</f>
        <v>Media Monitoring</v>
      </c>
      <c r="AI624" s="2" t="str">
        <f>IFERROR(__xludf.DUMMYFUNCTION("""COMPUTED_VALUE"""),"https://www.wxxinews.org/local-news/2025-03-03/stamp-board-to-consider-proposal-for-regions-largest-data-center")</f>
        <v>https://www.wxxinews.org/local-news/2025-03-03/stamp-board-to-consider-proposal-for-regions-largest-data-center</v>
      </c>
      <c r="AJ624" s="2" t="str">
        <f>IFERROR(__xludf.DUMMYFUNCTION("""COMPUTED_VALUE"""),"https://www.datacenterdynamics.com/en/news/jll-to-develop-data-center-on-stamp-site-in-genesee-county-new-york/")</f>
        <v>https://www.datacenterdynamics.com/en/news/jll-to-develop-data-center-on-stamp-site-in-genesee-county-new-york/</v>
      </c>
      <c r="AK624" s="2" t="str">
        <f>IFERROR(__xludf.DUMMYFUNCTION("""COMPUTED_VALUE"""),"https://act.nyrenews.org/tell-nysdec-to-take-lead-agency-status-for-project-double-reed")</f>
        <v>https://act.nyrenews.org/tell-nysdec-to-take-lead-agency-status-for-project-double-reed</v>
      </c>
      <c r="AL624" s="2" t="str">
        <f>IFERROR(__xludf.DUMMYFUNCTION("""COMPUTED_VALUE"""),"https://www.democratandchronicle.com/story/news/2025/09/20/proposed-data-center-in-genesee-county-could-grow-after-approvals-rescinded/86245696007/")</f>
        <v>https://www.democratandchronicle.com/story/news/2025/09/20/proposed-data-center-in-genesee-county-could-grow-after-approvals-rescinded/86245696007/</v>
      </c>
      <c r="AM624" s="2" t="str">
        <f>IFERROR(__xludf.DUMMYFUNCTION("""COMPUTED_VALUE"""),"https://www.thebatavian.com/howard-owens/dozens-of-speakers-tell-gcedc-proposed-data-centers-pose-big-environmental-threat-for")</f>
        <v>https://www.thebatavian.com/howard-owens/dozens-of-speakers-tell-gcedc-proposed-data-centers-pose-big-environmental-threat-for</v>
      </c>
      <c r="AN624" s="2" t="str">
        <f>IFERROR(__xludf.DUMMYFUNCTION("""COMPUTED_VALUE"""),"https://www.thedailynewsonline.com/news/stream-u-s-submits-seqr-application-for-2-2-million-square-foot-data-center-at/article_c1dc5183-19aa-42ba-ab8b-8808b354bcf7.html")</f>
        <v>https://www.thedailynewsonline.com/news/stream-u-s-submits-seqr-application-for-2-2-million-square-foot-data-center-at/article_c1dc5183-19aa-42ba-ab8b-8808b354bcf7.html</v>
      </c>
      <c r="AO624" s="2" t="str">
        <f>IFERROR(__xludf.DUMMYFUNCTION("""COMPUTED_VALUE"""),"https://truthout.org/articles/new-york-residents-are-fighting-a-data-center-backed-by-a-billionaire-trump-ally/")</f>
        <v>https://truthout.org/articles/new-york-residents-are-fighting-a-data-center-backed-by-a-billionaire-trump-ally/</v>
      </c>
      <c r="AP624" s="2" t="str">
        <f>IFERROR(__xludf.DUMMYFUNCTION("""COMPUTED_VALUE"""),"https://www.nytimes.com/2026/03/17/nyregion/ai-data-center-new-york.html")</f>
        <v>https://www.nytimes.com/2026/03/17/nyregion/ai-data-center-new-york.html</v>
      </c>
      <c r="AQ624" s="1" t="str">
        <f>IFERROR(__xludf.DUMMYFUNCTION("""COMPUTED_VALUE"""),"09/23/2025")</f>
        <v>09/23/2025</v>
      </c>
      <c r="AR624" s="1" t="str">
        <f>IFERROR(__xludf.DUMMYFUNCTION("""COMPUTED_VALUE"""),"04/28/2026")</f>
        <v>04/28/2026</v>
      </c>
    </row>
    <row r="625">
      <c r="A625" s="1" t="str">
        <f>IFERROR(__xludf.DUMMYFUNCTION("""COMPUTED_VALUE"""),"Kenwood Commons ")</f>
        <v>Kenwood Commons </v>
      </c>
      <c r="B625" s="1" t="str">
        <f>IFERROR(__xludf.DUMMYFUNCTION("""COMPUTED_VALUE"""),"100 Kenwood Rd")</f>
        <v>100 Kenwood Rd</v>
      </c>
      <c r="C625" s="1" t="str">
        <f>IFERROR(__xludf.DUMMYFUNCTION("""COMPUTED_VALUE"""),"Albany")</f>
        <v>Albany</v>
      </c>
      <c r="D625" s="1" t="str">
        <f>IFERROR(__xludf.DUMMYFUNCTION("""COMPUTED_VALUE"""),"NY")</f>
        <v>NY</v>
      </c>
      <c r="E625" s="1" t="str">
        <f>IFERROR(__xludf.DUMMYFUNCTION("""COMPUTED_VALUE"""),"12202")</f>
        <v>12202</v>
      </c>
      <c r="F625" s="1" t="str">
        <f>IFERROR(__xludf.DUMMYFUNCTION("""COMPUTED_VALUE"""),"Albany")</f>
        <v>Albany</v>
      </c>
      <c r="G625" s="1" t="str">
        <f>IFERROR(__xludf.DUMMYFUNCTION("""COMPUTED_VALUE"""),"42.628124")</f>
        <v>42.628124</v>
      </c>
      <c r="H625" s="1" t="str">
        <f>IFERROR(__xludf.DUMMYFUNCTION("""COMPUTED_VALUE"""),"-73.77215")</f>
        <v>-73.77215</v>
      </c>
      <c r="I625" s="1" t="str">
        <f>IFERROR(__xludf.DUMMYFUNCTION("""COMPUTED_VALUE"""),"Proposed")</f>
        <v>Proposed</v>
      </c>
      <c r="J625" s="1" t="str">
        <f>IFERROR(__xludf.DUMMYFUNCTION("""COMPUTED_VALUE"""),"High")</f>
        <v>High</v>
      </c>
      <c r="K625" s="1" t="str">
        <f>IFERROR(__xludf.DUMMYFUNCTION("""COMPUTED_VALUE"""),"")</f>
        <v/>
      </c>
      <c r="L625" s="1" t="str">
        <f>IFERROR(__xludf.DUMMYFUNCTION("""COMPUTED_VALUE"""),"Edge")</f>
        <v>Edge</v>
      </c>
      <c r="M625" s="1" t="str">
        <f>IFERROR(__xludf.DUMMYFUNCTION("""COMPUTED_VALUE"""),"")</f>
        <v/>
      </c>
      <c r="N625" s="1" t="str">
        <f>IFERROR(__xludf.DUMMYFUNCTION("""COMPUTED_VALUE"""),"100")</f>
        <v>100</v>
      </c>
      <c r="O625" s="1" t="str">
        <f>IFERROR(__xludf.DUMMYFUNCTION("""COMPUTED_VALUE"""),"Hyperscale (100-999 MW)")</f>
        <v>Hyperscale (100-999 MW)</v>
      </c>
      <c r="P625" s="1" t="str">
        <f>IFERROR(__xludf.DUMMYFUNCTION("""COMPUTED_VALUE"""),"")</f>
        <v/>
      </c>
      <c r="Q625" s="1" t="str">
        <f>IFERROR(__xludf.DUMMYFUNCTION("""COMPUTED_VALUE"""),"")</f>
        <v/>
      </c>
      <c r="R625" s="1" t="str">
        <f>IFERROR(__xludf.DUMMYFUNCTION("""COMPUTED_VALUE"""),"")</f>
        <v/>
      </c>
      <c r="S625" s="1" t="str">
        <f>IFERROR(__xludf.DUMMYFUNCTION("""COMPUTED_VALUE"""),"3")</f>
        <v>3</v>
      </c>
      <c r="T625" s="1" t="str">
        <f>IFERROR(__xludf.DUMMYFUNCTION("""COMPUTED_VALUE"""),"")</f>
        <v/>
      </c>
      <c r="U625" s="1" t="str">
        <f>IFERROR(__xludf.DUMMYFUNCTION("""COMPUTED_VALUE"""),"")</f>
        <v/>
      </c>
      <c r="V625" s="1" t="str">
        <f>IFERROR(__xludf.DUMMYFUNCTION("""COMPUTED_VALUE"""),"")</f>
        <v/>
      </c>
      <c r="W625" s="1" t="str">
        <f>IFERROR(__xludf.DUMMYFUNCTION("""COMPUTED_VALUE"""),"76")</f>
        <v>76</v>
      </c>
      <c r="X625" s="1" t="str">
        <f>IFERROR(__xludf.DUMMYFUNCTION("""COMPUTED_VALUE"""),"")</f>
        <v/>
      </c>
      <c r="Y625" s="1" t="str">
        <f>IFERROR(__xludf.DUMMYFUNCTION("""COMPUTED_VALUE"""),"")</f>
        <v/>
      </c>
      <c r="Z625" s="1" t="str">
        <f>IFERROR(__xludf.DUMMYFUNCTION("""COMPUTED_VALUE"""),"Yes")</f>
        <v>Yes</v>
      </c>
      <c r="AA625" s="1" t="str">
        <f>IFERROR(__xludf.DUMMYFUNCTION("""COMPUTED_VALUE"""),"")</f>
        <v/>
      </c>
      <c r="AB625" s="1" t="str">
        <f>IFERROR(__xludf.DUMMYFUNCTION("""COMPUTED_VALUE"""),"Emerging Concern")</f>
        <v>Emerging Concern</v>
      </c>
      <c r="AC625" s="1" t="str">
        <f>IFERROR(__xludf.DUMMYFUNCTION("""COMPUTED_VALUE"""),"")</f>
        <v/>
      </c>
      <c r="AD625" s="1" t="str">
        <f>IFERROR(__xludf.DUMMYFUNCTION("""COMPUTED_VALUE"""),"")</f>
        <v/>
      </c>
      <c r="AE625" s="1" t="str">
        <f>IFERROR(__xludf.DUMMYFUNCTION("""COMPUTED_VALUE"""),"")</f>
        <v/>
      </c>
      <c r="AF625" s="1" t="str">
        <f>IFERROR(__xludf.DUMMYFUNCTION("""COMPUTED_VALUE"""),"")</f>
        <v/>
      </c>
      <c r="AG625" s="1" t="str">
        <f>IFERROR(__xludf.DUMMYFUNCTION("""COMPUTED_VALUE"""),"")</f>
        <v/>
      </c>
      <c r="AH625" s="1" t="str">
        <f>IFERROR(__xludf.DUMMYFUNCTION("""COMPUTED_VALUE"""),"Crowdsourced")</f>
        <v>Crowdsourced</v>
      </c>
      <c r="AI625" s="2" t="str">
        <f>IFERROR(__xludf.DUMMYFUNCTION("""COMPUTED_VALUE"""),"https://drive.google.com/file/d/1vVzC512mN4V8rhcgZoehh_pgZ-5OZIwx/view")</f>
        <v>https://drive.google.com/file/d/1vVzC512mN4V8rhcgZoehh_pgZ-5OZIwx/view</v>
      </c>
      <c r="AJ625" s="1" t="str">
        <f>IFERROR(__xludf.DUMMYFUNCTION("""COMPUTED_VALUE"""),"")</f>
        <v/>
      </c>
      <c r="AK625" s="1" t="str">
        <f>IFERROR(__xludf.DUMMYFUNCTION("""COMPUTED_VALUE"""),"")</f>
        <v/>
      </c>
      <c r="AL625" s="1" t="str">
        <f>IFERROR(__xludf.DUMMYFUNCTION("""COMPUTED_VALUE"""),"")</f>
        <v/>
      </c>
      <c r="AM625" s="1" t="str">
        <f>IFERROR(__xludf.DUMMYFUNCTION("""COMPUTED_VALUE"""),"")</f>
        <v/>
      </c>
      <c r="AN625" s="1" t="str">
        <f>IFERROR(__xludf.DUMMYFUNCTION("""COMPUTED_VALUE"""),"")</f>
        <v/>
      </c>
      <c r="AO625" s="1" t="str">
        <f>IFERROR(__xludf.DUMMYFUNCTION("""COMPUTED_VALUE"""),"")</f>
        <v/>
      </c>
      <c r="AP625" s="1" t="str">
        <f>IFERROR(__xludf.DUMMYFUNCTION("""COMPUTED_VALUE"""),"")</f>
        <v/>
      </c>
      <c r="AQ625" s="1" t="str">
        <f>IFERROR(__xludf.DUMMYFUNCTION("""COMPUTED_VALUE"""),"04/28/2026")</f>
        <v>04/28/2026</v>
      </c>
      <c r="AR625" s="1" t="str">
        <f>IFERROR(__xludf.DUMMYFUNCTION("""COMPUTED_VALUE"""),"04/28/2026")</f>
        <v>04/28/2026</v>
      </c>
    </row>
    <row r="626">
      <c r="A626" s="1" t="str">
        <f>IFERROR(__xludf.DUMMYFUNCTION("""COMPUTED_VALUE"""),"Lake Mariner Data Center")</f>
        <v>Lake Mariner Data Center</v>
      </c>
      <c r="B626" s="1" t="str">
        <f>IFERROR(__xludf.DUMMYFUNCTION("""COMPUTED_VALUE"""),"7725 Lake Rd")</f>
        <v>7725 Lake Rd</v>
      </c>
      <c r="C626" s="1" t="str">
        <f>IFERROR(__xludf.DUMMYFUNCTION("""COMPUTED_VALUE"""),"Barker")</f>
        <v>Barker</v>
      </c>
      <c r="D626" s="1" t="str">
        <f>IFERROR(__xludf.DUMMYFUNCTION("""COMPUTED_VALUE"""),"NY")</f>
        <v>NY</v>
      </c>
      <c r="E626" s="1" t="str">
        <f>IFERROR(__xludf.DUMMYFUNCTION("""COMPUTED_VALUE"""),"14012")</f>
        <v>14012</v>
      </c>
      <c r="F626" s="1" t="str">
        <f>IFERROR(__xludf.DUMMYFUNCTION("""COMPUTED_VALUE"""),"Niagara")</f>
        <v>Niagara</v>
      </c>
      <c r="G626" s="1" t="str">
        <f>IFERROR(__xludf.DUMMYFUNCTION("""COMPUTED_VALUE"""),"43.35908")</f>
        <v>43.35908</v>
      </c>
      <c r="H626" s="1" t="str">
        <f>IFERROR(__xludf.DUMMYFUNCTION("""COMPUTED_VALUE"""),"-78.6068")</f>
        <v>-78.6068</v>
      </c>
      <c r="I626" s="1" t="str">
        <f>IFERROR(__xludf.DUMMYFUNCTION("""COMPUTED_VALUE"""),"Expanding")</f>
        <v>Expanding</v>
      </c>
      <c r="J626" s="1" t="str">
        <f>IFERROR(__xludf.DUMMYFUNCTION("""COMPUTED_VALUE"""),"High")</f>
        <v>High</v>
      </c>
      <c r="K626" s="1" t="str">
        <f>IFERROR(__xludf.DUMMYFUNCTION("""COMPUTED_VALUE"""),"")</f>
        <v/>
      </c>
      <c r="L626" s="1" t="str">
        <f>IFERROR(__xludf.DUMMYFUNCTION("""COMPUTED_VALUE"""),"TeraWulf/Fluidstack/Google/Core42")</f>
        <v>TeraWulf/Fluidstack/Google/Core42</v>
      </c>
      <c r="M626" s="1" t="str">
        <f>IFERROR(__xludf.DUMMYFUNCTION("""COMPUTED_VALUE"""),"")</f>
        <v/>
      </c>
      <c r="N626" s="1" t="str">
        <f>IFERROR(__xludf.DUMMYFUNCTION("""COMPUTED_VALUE"""),"500")</f>
        <v>500</v>
      </c>
      <c r="O626" s="1" t="str">
        <f>IFERROR(__xludf.DUMMYFUNCTION("""COMPUTED_VALUE"""),"Hyperscale (100-999 MW)")</f>
        <v>Hyperscale (100-999 MW)</v>
      </c>
      <c r="P626" s="1" t="str">
        <f>IFERROR(__xludf.DUMMYFUNCTION("""COMPUTED_VALUE"""),"Natural gas")</f>
        <v>Natural gas</v>
      </c>
      <c r="Q626" s="1" t="str">
        <f>IFERROR(__xludf.DUMMYFUNCTION("""COMPUTED_VALUE"""),"")</f>
        <v/>
      </c>
      <c r="R626" s="1" t="str">
        <f>IFERROR(__xludf.DUMMYFUNCTION("""COMPUTED_VALUE"""),"")</f>
        <v/>
      </c>
      <c r="S626" s="1" t="str">
        <f>IFERROR(__xludf.DUMMYFUNCTION("""COMPUTED_VALUE"""),"6")</f>
        <v>6</v>
      </c>
      <c r="T626" s="1" t="str">
        <f>IFERROR(__xludf.DUMMYFUNCTION("""COMPUTED_VALUE"""),"")</f>
        <v/>
      </c>
      <c r="U626" s="1" t="str">
        <f>IFERROR(__xludf.DUMMYFUNCTION("""COMPUTED_VALUE"""),"")</f>
        <v/>
      </c>
      <c r="V626" s="1" t="str">
        <f>IFERROR(__xludf.DUMMYFUNCTION("""COMPUTED_VALUE"""),"")</f>
        <v/>
      </c>
      <c r="W626" s="1" t="str">
        <f>IFERROR(__xludf.DUMMYFUNCTION("""COMPUTED_VALUE"""),"")</f>
        <v/>
      </c>
      <c r="X626" s="1" t="str">
        <f>IFERROR(__xludf.DUMMYFUNCTION("""COMPUTED_VALUE"""),"")</f>
        <v/>
      </c>
      <c r="Y626" s="1" t="str">
        <f>IFERROR(__xludf.DUMMYFUNCTION("""COMPUTED_VALUE"""),"")</f>
        <v/>
      </c>
      <c r="Z626" s="1" t="str">
        <f>IFERROR(__xludf.DUMMYFUNCTION("""COMPUTED_VALUE"""),"Unknown")</f>
        <v>Unknown</v>
      </c>
      <c r="AA626" s="1" t="str">
        <f>IFERROR(__xludf.DUMMYFUNCTION("""COMPUTED_VALUE"""),"")</f>
        <v/>
      </c>
      <c r="AB626" s="1" t="str">
        <f>IFERROR(__xludf.DUMMYFUNCTION("""COMPUTED_VALUE"""),"")</f>
        <v/>
      </c>
      <c r="AC626" s="1" t="str">
        <f>IFERROR(__xludf.DUMMYFUNCTION("""COMPUTED_VALUE"""),"")</f>
        <v/>
      </c>
      <c r="AD626" s="1" t="str">
        <f>IFERROR(__xludf.DUMMYFUNCTION("""COMPUTED_VALUE"""),"")</f>
        <v/>
      </c>
      <c r="AE626" s="1" t="str">
        <f>IFERROR(__xludf.DUMMYFUNCTION("""COMPUTED_VALUE"""),"")</f>
        <v/>
      </c>
      <c r="AF626" s="1" t="str">
        <f>IFERROR(__xludf.DUMMYFUNCTION("""COMPUTED_VALUE"""),"")</f>
        <v/>
      </c>
      <c r="AG626" s="1" t="str">
        <f>IFERROR(__xludf.DUMMYFUNCTION("""COMPUTED_VALUE"""),"Includes bitcoin")</f>
        <v>Includes bitcoin</v>
      </c>
      <c r="AH626" s="1" t="str">
        <f>IFERROR(__xludf.DUMMYFUNCTION("""COMPUTED_VALUE"""),"Media Monitoring")</f>
        <v>Media Monitoring</v>
      </c>
      <c r="AI626" s="2" t="str">
        <f>IFERROR(__xludf.DUMMYFUNCTION("""COMPUTED_VALUE"""),"https://investors.terawulf.com/news-events/press-releases/detail/100/terawulf-announces-december-2024-production-and-operations")</f>
        <v>https://investors.terawulf.com/news-events/press-releases/detail/100/terawulf-announces-december-2024-production-and-operations</v>
      </c>
      <c r="AJ626" s="2" t="str">
        <f>IFERROR(__xludf.DUMMYFUNCTION("""COMPUTED_VALUE"""),"https://www.globenewswire.com/news-release/2025/08/14/3133308/0/en/TeraWulf-Signs-200-MW-10-Year-AI-Hosting-Agreements-with-Fluidstack.html")</f>
        <v>https://www.globenewswire.com/news-release/2025/08/14/3133308/0/en/TeraWulf-Signs-200-MW-10-Year-AI-Hosting-Agreements-with-Fluidstack.html</v>
      </c>
      <c r="AK626" s="2" t="str">
        <f>IFERROR(__xludf.DUMMYFUNCTION("""COMPUTED_VALUE"""),"https://www.morningstar.com/news/dow-jones/202508182652/google-lifting-stake-in-terawulf-with-additional-14-billion-backstop")</f>
        <v>https://www.morningstar.com/news/dow-jones/202508182652/google-lifting-stake-in-terawulf-with-additional-14-billion-backstop</v>
      </c>
      <c r="AL626" s="2" t="str">
        <f>IFERROR(__xludf.DUMMYFUNCTION("""COMPUTED_VALUE"""),"https://www.datacenterdynamics.com/en/news/fluidstack-to-lease-another-160mw-of-capacity-from-terawulf-at-new-york-campus-google-to-increase-stake-in-cryptominer/")</f>
        <v>https://www.datacenterdynamics.com/en/news/fluidstack-to-lease-another-160mw-of-capacity-from-terawulf-at-new-york-campus-google-to-increase-stake-in-cryptominer/</v>
      </c>
      <c r="AM626" s="2" t="str">
        <f>IFERROR(__xludf.DUMMYFUNCTION("""COMPUTED_VALUE"""),"https://www.datacenterdynamics.com/en/news/terawulf-tops-out-latest-data-center-at-lake-mariner-campus-in-new-york/")</f>
        <v>https://www.datacenterdynamics.com/en/news/terawulf-tops-out-latest-data-center-at-lake-mariner-campus-in-new-york/</v>
      </c>
      <c r="AN626" s="2" t="str">
        <f>IFERROR(__xludf.DUMMYFUNCTION("""COMPUTED_VALUE"""),"https://www.datacenterdynamics.com/en/news/core42-expands-ai-cluster-by-42mw-in-buffalo-new-york/")</f>
        <v>https://www.datacenterdynamics.com/en/news/core42-expands-ai-cluster-by-42mw-in-buffalo-new-york/</v>
      </c>
      <c r="AO626" s="1" t="str">
        <f>IFERROR(__xludf.DUMMYFUNCTION("""COMPUTED_VALUE"""),"")</f>
        <v/>
      </c>
      <c r="AP626" s="1" t="str">
        <f>IFERROR(__xludf.DUMMYFUNCTION("""COMPUTED_VALUE"""),"")</f>
        <v/>
      </c>
      <c r="AQ626" s="1" t="str">
        <f>IFERROR(__xludf.DUMMYFUNCTION("""COMPUTED_VALUE"""),"08/18/2025")</f>
        <v>08/18/2025</v>
      </c>
      <c r="AR626" s="1" t="str">
        <f>IFERROR(__xludf.DUMMYFUNCTION("""COMPUTED_VALUE"""),"06/07/2026")</f>
        <v>06/07/2026</v>
      </c>
    </row>
    <row r="627">
      <c r="A627" s="1" t="str">
        <f>IFERROR(__xludf.DUMMYFUNCTION("""COMPUTED_VALUE"""),"Camp Monterey Data Center")</f>
        <v>Camp Monterey Data Center</v>
      </c>
      <c r="B627" s="1" t="str">
        <f>IFERROR(__xludf.DUMMYFUNCTION("""COMPUTED_VALUE"""),"2150 Evergreen Hill Rd")</f>
        <v>2150 Evergreen Hill Rd</v>
      </c>
      <c r="C627" s="1" t="str">
        <f>IFERROR(__xludf.DUMMYFUNCTION("""COMPUTED_VALUE"""),"Beaver Dams")</f>
        <v>Beaver Dams</v>
      </c>
      <c r="D627" s="1" t="str">
        <f>IFERROR(__xludf.DUMMYFUNCTION("""COMPUTED_VALUE"""),"NY")</f>
        <v>NY</v>
      </c>
      <c r="E627" s="1" t="str">
        <f>IFERROR(__xludf.DUMMYFUNCTION("""COMPUTED_VALUE"""),"14812")</f>
        <v>14812</v>
      </c>
      <c r="F627" s="1" t="str">
        <f>IFERROR(__xludf.DUMMYFUNCTION("""COMPUTED_VALUE"""),"Schuyler")</f>
        <v>Schuyler</v>
      </c>
      <c r="G627" s="1" t="str">
        <f>IFERROR(__xludf.DUMMYFUNCTION("""COMPUTED_VALUE"""),"42.337475")</f>
        <v>42.337475</v>
      </c>
      <c r="H627" s="1" t="str">
        <f>IFERROR(__xludf.DUMMYFUNCTION("""COMPUTED_VALUE"""),"-77.019035")</f>
        <v>-77.019035</v>
      </c>
      <c r="I627" s="1" t="str">
        <f>IFERROR(__xludf.DUMMYFUNCTION("""COMPUTED_VALUE"""),"Proposed")</f>
        <v>Proposed</v>
      </c>
      <c r="J627" s="1" t="str">
        <f>IFERROR(__xludf.DUMMYFUNCTION("""COMPUTED_VALUE"""),"High")</f>
        <v>High</v>
      </c>
      <c r="K627" s="1" t="str">
        <f>IFERROR(__xludf.DUMMYFUNCTION("""COMPUTED_VALUE"""),"")</f>
        <v/>
      </c>
      <c r="L627" s="1" t="str">
        <f>IFERROR(__xludf.DUMMYFUNCTION("""COMPUTED_VALUE"""),"FLX Gateway")</f>
        <v>FLX Gateway</v>
      </c>
      <c r="M627" s="1" t="str">
        <f>IFERROR(__xludf.DUMMYFUNCTION("""COMPUTED_VALUE"""),"")</f>
        <v/>
      </c>
      <c r="N627" s="1" t="str">
        <f>IFERROR(__xludf.DUMMYFUNCTION("""COMPUTED_VALUE"""),"")</f>
        <v/>
      </c>
      <c r="O627" s="1" t="str">
        <f>IFERROR(__xludf.DUMMYFUNCTION("""COMPUTED_VALUE"""),"Unknown")</f>
        <v>Unknown</v>
      </c>
      <c r="P627" s="1" t="str">
        <f>IFERROR(__xludf.DUMMYFUNCTION("""COMPUTED_VALUE"""),"")</f>
        <v/>
      </c>
      <c r="Q627" s="1" t="str">
        <f>IFERROR(__xludf.DUMMYFUNCTION("""COMPUTED_VALUE"""),"")</f>
        <v/>
      </c>
      <c r="R627" s="1" t="str">
        <f>IFERROR(__xludf.DUMMYFUNCTION("""COMPUTED_VALUE"""),"")</f>
        <v/>
      </c>
      <c r="S627" s="1" t="str">
        <f>IFERROR(__xludf.DUMMYFUNCTION("""COMPUTED_VALUE"""),"")</f>
        <v/>
      </c>
      <c r="T627" s="1" t="str">
        <f>IFERROR(__xludf.DUMMYFUNCTION("""COMPUTED_VALUE"""),"")</f>
        <v/>
      </c>
      <c r="U627" s="1" t="str">
        <f>IFERROR(__xludf.DUMMYFUNCTION("""COMPUTED_VALUE"""),"")</f>
        <v/>
      </c>
      <c r="V627" s="1" t="str">
        <f>IFERROR(__xludf.DUMMYFUNCTION("""COMPUTED_VALUE"""),"")</f>
        <v/>
      </c>
      <c r="W627" s="1" t="str">
        <f>IFERROR(__xludf.DUMMYFUNCTION("""COMPUTED_VALUE"""),"")</f>
        <v/>
      </c>
      <c r="X627" s="1" t="str">
        <f>IFERROR(__xludf.DUMMYFUNCTION("""COMPUTED_VALUE"""),"")</f>
        <v/>
      </c>
      <c r="Y627" s="1" t="str">
        <f>IFERROR(__xludf.DUMMYFUNCTION("""COMPUTED_VALUE"""),"")</f>
        <v/>
      </c>
      <c r="Z627" s="1" t="str">
        <f>IFERROR(__xludf.DUMMYFUNCTION("""COMPUTED_VALUE"""),"Unknown")</f>
        <v>Unknown</v>
      </c>
      <c r="AA627" s="1" t="str">
        <f>IFERROR(__xludf.DUMMYFUNCTION("""COMPUTED_VALUE"""),"")</f>
        <v/>
      </c>
      <c r="AB627" s="1" t="str">
        <f>IFERROR(__xludf.DUMMYFUNCTION("""COMPUTED_VALUE"""),"")</f>
        <v/>
      </c>
      <c r="AC627" s="1" t="str">
        <f>IFERROR(__xludf.DUMMYFUNCTION("""COMPUTED_VALUE"""),"")</f>
        <v/>
      </c>
      <c r="AD627" s="1" t="str">
        <f>IFERROR(__xludf.DUMMYFUNCTION("""COMPUTED_VALUE"""),"")</f>
        <v/>
      </c>
      <c r="AE627" s="1" t="str">
        <f>IFERROR(__xludf.DUMMYFUNCTION("""COMPUTED_VALUE"""),"")</f>
        <v/>
      </c>
      <c r="AF627" s="1" t="str">
        <f>IFERROR(__xludf.DUMMYFUNCTION("""COMPUTED_VALUE"""),"")</f>
        <v/>
      </c>
      <c r="AG627" s="1" t="str">
        <f>IFERROR(__xludf.DUMMYFUNCTION("""COMPUTED_VALUE"""),"Discussed in FOIL'd emails. No actual proposal on the table. Site also discussed as location for small nuclear reactor.")</f>
        <v>Discussed in FOIL'd emails. No actual proposal on the table. Site also discussed as location for small nuclear reactor.</v>
      </c>
      <c r="AH627" s="1" t="str">
        <f>IFERROR(__xludf.DUMMYFUNCTION("""COMPUTED_VALUE"""),"Media Monitoring")</f>
        <v>Media Monitoring</v>
      </c>
      <c r="AI627" s="2" t="str">
        <f>IFERROR(__xludf.DUMMYFUNCTION("""COMPUTED_VALUE"""),"https://www.fingerlakes1.com/2026/05/27/foild-emails-fuel-concern-over-possible-data-center-interest-at-former-camp-monterey-site/")</f>
        <v>https://www.fingerlakes1.com/2026/05/27/foild-emails-fuel-concern-over-possible-data-center-interest-at-former-camp-monterey-site/</v>
      </c>
      <c r="AJ627" s="1" t="str">
        <f>IFERROR(__xludf.DUMMYFUNCTION("""COMPUTED_VALUE"""),"")</f>
        <v/>
      </c>
      <c r="AK627" s="1" t="str">
        <f>IFERROR(__xludf.DUMMYFUNCTION("""COMPUTED_VALUE"""),"")</f>
        <v/>
      </c>
      <c r="AL627" s="1" t="str">
        <f>IFERROR(__xludf.DUMMYFUNCTION("""COMPUTED_VALUE"""),"")</f>
        <v/>
      </c>
      <c r="AM627" s="1" t="str">
        <f>IFERROR(__xludf.DUMMYFUNCTION("""COMPUTED_VALUE"""),"")</f>
        <v/>
      </c>
      <c r="AN627" s="1" t="str">
        <f>IFERROR(__xludf.DUMMYFUNCTION("""COMPUTED_VALUE"""),"")</f>
        <v/>
      </c>
      <c r="AO627" s="1" t="str">
        <f>IFERROR(__xludf.DUMMYFUNCTION("""COMPUTED_VALUE"""),"")</f>
        <v/>
      </c>
      <c r="AP627" s="1" t="str">
        <f>IFERROR(__xludf.DUMMYFUNCTION("""COMPUTED_VALUE"""),"")</f>
        <v/>
      </c>
      <c r="AQ627" s="1" t="str">
        <f>IFERROR(__xludf.DUMMYFUNCTION("""COMPUTED_VALUE"""),"05/28/2026")</f>
        <v>05/28/2026</v>
      </c>
      <c r="AR627" s="1" t="str">
        <f>IFERROR(__xludf.DUMMYFUNCTION("""COMPUTED_VALUE"""),"05/28/2026")</f>
        <v>05/28/2026</v>
      </c>
    </row>
    <row r="628">
      <c r="A628" s="1" t="str">
        <f>IFERROR(__xludf.DUMMYFUNCTION("""COMPUTED_VALUE"""),"DataVerge/ Industry City Data Center")</f>
        <v>DataVerge/ Industry City Data Center</v>
      </c>
      <c r="B628" s="1" t="str">
        <f>IFERROR(__xludf.DUMMYFUNCTION("""COMPUTED_VALUE"""),"882 3rd Avenue")</f>
        <v>882 3rd Avenue</v>
      </c>
      <c r="C628" s="1" t="str">
        <f>IFERROR(__xludf.DUMMYFUNCTION("""COMPUTED_VALUE"""),"Brooklyn")</f>
        <v>Brooklyn</v>
      </c>
      <c r="D628" s="1" t="str">
        <f>IFERROR(__xludf.DUMMYFUNCTION("""COMPUTED_VALUE"""),"NY")</f>
        <v>NY</v>
      </c>
      <c r="E628" s="1" t="str">
        <f>IFERROR(__xludf.DUMMYFUNCTION("""COMPUTED_VALUE"""),"11232")</f>
        <v>11232</v>
      </c>
      <c r="F628" s="1" t="str">
        <f>IFERROR(__xludf.DUMMYFUNCTION("""COMPUTED_VALUE"""),"Kings")</f>
        <v>Kings</v>
      </c>
      <c r="G628" s="1" t="str">
        <f>IFERROR(__xludf.DUMMYFUNCTION("""COMPUTED_VALUE"""),"40.65775")</f>
        <v>40.65775</v>
      </c>
      <c r="H628" s="1" t="str">
        <f>IFERROR(__xludf.DUMMYFUNCTION("""COMPUTED_VALUE"""),"-74.004974")</f>
        <v>-74.004974</v>
      </c>
      <c r="I628" s="1" t="str">
        <f>IFERROR(__xludf.DUMMYFUNCTION("""COMPUTED_VALUE"""),"Operating")</f>
        <v>Operating</v>
      </c>
      <c r="J628" s="1" t="str">
        <f>IFERROR(__xludf.DUMMYFUNCTION("""COMPUTED_VALUE"""),"High")</f>
        <v>High</v>
      </c>
      <c r="K628" s="1" t="str">
        <f>IFERROR(__xludf.DUMMYFUNCTION("""COMPUTED_VALUE"""),"")</f>
        <v/>
      </c>
      <c r="L628" s="1" t="str">
        <f>IFERROR(__xludf.DUMMYFUNCTION("""COMPUTED_VALUE"""),"DataVerge")</f>
        <v>DataVerge</v>
      </c>
      <c r="M628" s="1" t="str">
        <f>IFERROR(__xludf.DUMMYFUNCTION("""COMPUTED_VALUE"""),"")</f>
        <v/>
      </c>
      <c r="N628" s="1" t="str">
        <f>IFERROR(__xludf.DUMMYFUNCTION("""COMPUTED_VALUE"""),"10")</f>
        <v>10</v>
      </c>
      <c r="O628" s="1" t="str">
        <f>IFERROR(__xludf.DUMMYFUNCTION("""COMPUTED_VALUE"""),"Small (0-10 MW)")</f>
        <v>Small (0-10 MW)</v>
      </c>
      <c r="P628" s="1" t="str">
        <f>IFERROR(__xludf.DUMMYFUNCTION("""COMPUTED_VALUE"""),"")</f>
        <v/>
      </c>
      <c r="Q628" s="1" t="str">
        <f>IFERROR(__xludf.DUMMYFUNCTION("""COMPUTED_VALUE"""),"")</f>
        <v/>
      </c>
      <c r="R628" s="1" t="str">
        <f>IFERROR(__xludf.DUMMYFUNCTION("""COMPUTED_VALUE"""),"")</f>
        <v/>
      </c>
      <c r="S628" s="1" t="str">
        <f>IFERROR(__xludf.DUMMYFUNCTION("""COMPUTED_VALUE"""),"")</f>
        <v/>
      </c>
      <c r="T628" s="1" t="str">
        <f>IFERROR(__xludf.DUMMYFUNCTION("""COMPUTED_VALUE"""),"")</f>
        <v/>
      </c>
      <c r="U628" s="1" t="str">
        <f>IFERROR(__xludf.DUMMYFUNCTION("""COMPUTED_VALUE"""),"")</f>
        <v/>
      </c>
      <c r="V628" s="1" t="str">
        <f>IFERROR(__xludf.DUMMYFUNCTION("""COMPUTED_VALUE"""),"50,000")</f>
        <v>50,000</v>
      </c>
      <c r="W628" s="1" t="str">
        <f>IFERROR(__xludf.DUMMYFUNCTION("""COMPUTED_VALUE"""),"")</f>
        <v/>
      </c>
      <c r="X628" s="1" t="str">
        <f>IFERROR(__xludf.DUMMYFUNCTION("""COMPUTED_VALUE"""),"")</f>
        <v/>
      </c>
      <c r="Y628" s="1" t="str">
        <f>IFERROR(__xludf.DUMMYFUNCTION("""COMPUTED_VALUE"""),"")</f>
        <v/>
      </c>
      <c r="Z628" s="1" t="str">
        <f>IFERROR(__xludf.DUMMYFUNCTION("""COMPUTED_VALUE"""),"Unknown")</f>
        <v>Unknown</v>
      </c>
      <c r="AA628" s="1" t="str">
        <f>IFERROR(__xludf.DUMMYFUNCTION("""COMPUTED_VALUE"""),"")</f>
        <v/>
      </c>
      <c r="AB628" s="1" t="str">
        <f>IFERROR(__xludf.DUMMYFUNCTION("""COMPUTED_VALUE"""),"")</f>
        <v/>
      </c>
      <c r="AC628" s="1" t="str">
        <f>IFERROR(__xludf.DUMMYFUNCTION("""COMPUTED_VALUE"""),"")</f>
        <v/>
      </c>
      <c r="AD628" s="1" t="str">
        <f>IFERROR(__xludf.DUMMYFUNCTION("""COMPUTED_VALUE"""),"")</f>
        <v/>
      </c>
      <c r="AE628" s="1" t="str">
        <f>IFERROR(__xludf.DUMMYFUNCTION("""COMPUTED_VALUE"""),"")</f>
        <v/>
      </c>
      <c r="AF628" s="1" t="str">
        <f>IFERROR(__xludf.DUMMYFUNCTION("""COMPUTED_VALUE"""),"")</f>
        <v/>
      </c>
      <c r="AG628" s="1" t="str">
        <f>IFERROR(__xludf.DUMMYFUNCTION("""COMPUTED_VALUE"""),"")</f>
        <v/>
      </c>
      <c r="AH628" s="1" t="str">
        <f>IFERROR(__xludf.DUMMYFUNCTION("""COMPUTED_VALUE"""),"Media Monitoring")</f>
        <v>Media Monitoring</v>
      </c>
      <c r="AI628" s="2" t="str">
        <f>IFERROR(__xludf.DUMMYFUNCTION("""COMPUTED_VALUE"""),"https://dataverge.com/interconnected-colocation-new-york/#")</f>
        <v>https://dataverge.com/interconnected-colocation-new-york/#</v>
      </c>
      <c r="AJ628" s="1" t="str">
        <f>IFERROR(__xludf.DUMMYFUNCTION("""COMPUTED_VALUE"""),"")</f>
        <v/>
      </c>
      <c r="AK628" s="1" t="str">
        <f>IFERROR(__xludf.DUMMYFUNCTION("""COMPUTED_VALUE"""),"")</f>
        <v/>
      </c>
      <c r="AL628" s="1" t="str">
        <f>IFERROR(__xludf.DUMMYFUNCTION("""COMPUTED_VALUE"""),"")</f>
        <v/>
      </c>
      <c r="AM628" s="1" t="str">
        <f>IFERROR(__xludf.DUMMYFUNCTION("""COMPUTED_VALUE"""),"")</f>
        <v/>
      </c>
      <c r="AN628" s="1" t="str">
        <f>IFERROR(__xludf.DUMMYFUNCTION("""COMPUTED_VALUE"""),"")</f>
        <v/>
      </c>
      <c r="AO628" s="1" t="str">
        <f>IFERROR(__xludf.DUMMYFUNCTION("""COMPUTED_VALUE"""),"")</f>
        <v/>
      </c>
      <c r="AP628" s="1" t="str">
        <f>IFERROR(__xludf.DUMMYFUNCTION("""COMPUTED_VALUE"""),"")</f>
        <v/>
      </c>
      <c r="AQ628" s="1" t="str">
        <f>IFERROR(__xludf.DUMMYFUNCTION("""COMPUTED_VALUE"""),"11/14/2025")</f>
        <v>11/14/2025</v>
      </c>
      <c r="AR628" s="1" t="str">
        <f>IFERROR(__xludf.DUMMYFUNCTION("""COMPUTED_VALUE"""),"03/04/2026")</f>
        <v>03/04/2026</v>
      </c>
    </row>
    <row r="629">
      <c r="A629" s="1" t="str">
        <f>IFERROR(__xludf.DUMMYFUNCTION("""COMPUTED_VALUE"""),"Holtec Decommissioning International Data Center")</f>
        <v>Holtec Decommissioning International Data Center</v>
      </c>
      <c r="B629" s="1" t="str">
        <f>IFERROR(__xludf.DUMMYFUNCTION("""COMPUTED_VALUE"""),"450 Broadway")</f>
        <v>450 Broadway</v>
      </c>
      <c r="C629" s="1" t="str">
        <f>IFERROR(__xludf.DUMMYFUNCTION("""COMPUTED_VALUE"""),"Buchanan")</f>
        <v>Buchanan</v>
      </c>
      <c r="D629" s="1" t="str">
        <f>IFERROR(__xludf.DUMMYFUNCTION("""COMPUTED_VALUE"""),"NY")</f>
        <v>NY</v>
      </c>
      <c r="E629" s="1" t="str">
        <f>IFERROR(__xludf.DUMMYFUNCTION("""COMPUTED_VALUE"""),"10511")</f>
        <v>10511</v>
      </c>
      <c r="F629" s="1" t="str">
        <f>IFERROR(__xludf.DUMMYFUNCTION("""COMPUTED_VALUE"""),"Westchester")</f>
        <v>Westchester</v>
      </c>
      <c r="G629" s="1" t="str">
        <f>IFERROR(__xludf.DUMMYFUNCTION("""COMPUTED_VALUE"""),"41.265106")</f>
        <v>41.265106</v>
      </c>
      <c r="H629" s="1" t="str">
        <f>IFERROR(__xludf.DUMMYFUNCTION("""COMPUTED_VALUE"""),"-73.9493")</f>
        <v>-73.9493</v>
      </c>
      <c r="I629" s="1" t="str">
        <f>IFERROR(__xludf.DUMMYFUNCTION("""COMPUTED_VALUE"""),"Proposed")</f>
        <v>Proposed</v>
      </c>
      <c r="J629" s="1" t="str">
        <f>IFERROR(__xludf.DUMMYFUNCTION("""COMPUTED_VALUE"""),"High")</f>
        <v>High</v>
      </c>
      <c r="K629" s="1" t="str">
        <f>IFERROR(__xludf.DUMMYFUNCTION("""COMPUTED_VALUE"""),"")</f>
        <v/>
      </c>
      <c r="L629" s="1" t="str">
        <f>IFERROR(__xludf.DUMMYFUNCTION("""COMPUTED_VALUE"""),"")</f>
        <v/>
      </c>
      <c r="M629" s="1" t="str">
        <f>IFERROR(__xludf.DUMMYFUNCTION("""COMPUTED_VALUE"""),"")</f>
        <v/>
      </c>
      <c r="N629" s="1" t="str">
        <f>IFERROR(__xludf.DUMMYFUNCTION("""COMPUTED_VALUE"""),"200")</f>
        <v>200</v>
      </c>
      <c r="O629" s="1" t="str">
        <f>IFERROR(__xludf.DUMMYFUNCTION("""COMPUTED_VALUE"""),"Hyperscale (100-999 MW)")</f>
        <v>Hyperscale (100-999 MW)</v>
      </c>
      <c r="P629" s="1" t="str">
        <f>IFERROR(__xludf.DUMMYFUNCTION("""COMPUTED_VALUE"""),"")</f>
        <v/>
      </c>
      <c r="Q629" s="1" t="str">
        <f>IFERROR(__xludf.DUMMYFUNCTION("""COMPUTED_VALUE"""),"")</f>
        <v/>
      </c>
      <c r="R629" s="1" t="str">
        <f>IFERROR(__xludf.DUMMYFUNCTION("""COMPUTED_VALUE"""),"")</f>
        <v/>
      </c>
      <c r="S629" s="1" t="str">
        <f>IFERROR(__xludf.DUMMYFUNCTION("""COMPUTED_VALUE"""),"")</f>
        <v/>
      </c>
      <c r="T629" s="1" t="str">
        <f>IFERROR(__xludf.DUMMYFUNCTION("""COMPUTED_VALUE"""),"")</f>
        <v/>
      </c>
      <c r="U629" s="1" t="str">
        <f>IFERROR(__xludf.DUMMYFUNCTION("""COMPUTED_VALUE"""),"")</f>
        <v/>
      </c>
      <c r="V629" s="1" t="str">
        <f>IFERROR(__xludf.DUMMYFUNCTION("""COMPUTED_VALUE"""),"")</f>
        <v/>
      </c>
      <c r="W629" s="1" t="str">
        <f>IFERROR(__xludf.DUMMYFUNCTION("""COMPUTED_VALUE"""),"")</f>
        <v/>
      </c>
      <c r="X629" s="1" t="str">
        <f>IFERROR(__xludf.DUMMYFUNCTION("""COMPUTED_VALUE"""),"")</f>
        <v/>
      </c>
      <c r="Y629" s="1" t="str">
        <f>IFERROR(__xludf.DUMMYFUNCTION("""COMPUTED_VALUE"""),"")</f>
        <v/>
      </c>
      <c r="Z629" s="1" t="str">
        <f>IFERROR(__xludf.DUMMYFUNCTION("""COMPUTED_VALUE"""),"Unknown")</f>
        <v>Unknown</v>
      </c>
      <c r="AA629" s="1" t="str">
        <f>IFERROR(__xludf.DUMMYFUNCTION("""COMPUTED_VALUE"""),"")</f>
        <v/>
      </c>
      <c r="AB629" s="1" t="str">
        <f>IFERROR(__xludf.DUMMYFUNCTION("""COMPUTED_VALUE"""),"")</f>
        <v/>
      </c>
      <c r="AC629" s="1" t="str">
        <f>IFERROR(__xludf.DUMMYFUNCTION("""COMPUTED_VALUE"""),"")</f>
        <v/>
      </c>
      <c r="AD629" s="1" t="str">
        <f>IFERROR(__xludf.DUMMYFUNCTION("""COMPUTED_VALUE"""),"")</f>
        <v/>
      </c>
      <c r="AE629" s="1" t="str">
        <f>IFERROR(__xludf.DUMMYFUNCTION("""COMPUTED_VALUE"""),"")</f>
        <v/>
      </c>
      <c r="AF629" s="1" t="str">
        <f>IFERROR(__xludf.DUMMYFUNCTION("""COMPUTED_VALUE"""),"")</f>
        <v/>
      </c>
      <c r="AG629" s="1" t="str">
        <f>IFERROR(__xludf.DUMMYFUNCTION("""COMPUTED_VALUE"""),"42.86061168")</f>
        <v>42.86061168</v>
      </c>
      <c r="AH629" s="1" t="str">
        <f>IFERROR(__xludf.DUMMYFUNCTION("""COMPUTED_VALUE"""),"Media Monitoring")</f>
        <v>Media Monitoring</v>
      </c>
      <c r="AI629" s="2" t="str">
        <f>IFERROR(__xludf.DUMMYFUNCTION("""COMPUTED_VALUE"""),"https://www.nyiso.com/documents/20142/2226333/2025-Gold-Book-Public.pdf/088438e1-02f1-5316-211b-dbca17c01b4b")</f>
        <v>https://www.nyiso.com/documents/20142/2226333/2025-Gold-Book-Public.pdf/088438e1-02f1-5316-211b-dbca17c01b4b</v>
      </c>
      <c r="AJ629" s="2" t="str">
        <f>IFERROR(__xludf.DUMMYFUNCTION("""COMPUTED_VALUE"""),"https://holtecinternational.com/2025/07/31/hh-40-16/")</f>
        <v>https://holtecinternational.com/2025/07/31/hh-40-16/</v>
      </c>
      <c r="AK629" s="1" t="str">
        <f>IFERROR(__xludf.DUMMYFUNCTION("""COMPUTED_VALUE"""),"")</f>
        <v/>
      </c>
      <c r="AL629" s="1" t="str">
        <f>IFERROR(__xludf.DUMMYFUNCTION("""COMPUTED_VALUE"""),"")</f>
        <v/>
      </c>
      <c r="AM629" s="1" t="str">
        <f>IFERROR(__xludf.DUMMYFUNCTION("""COMPUTED_VALUE"""),"")</f>
        <v/>
      </c>
      <c r="AN629" s="1" t="str">
        <f>IFERROR(__xludf.DUMMYFUNCTION("""COMPUTED_VALUE"""),"")</f>
        <v/>
      </c>
      <c r="AO629" s="1" t="str">
        <f>IFERROR(__xludf.DUMMYFUNCTION("""COMPUTED_VALUE"""),"")</f>
        <v/>
      </c>
      <c r="AP629" s="1" t="str">
        <f>IFERROR(__xludf.DUMMYFUNCTION("""COMPUTED_VALUE"""),"")</f>
        <v/>
      </c>
      <c r="AQ629" s="1" t="str">
        <f>IFERROR(__xludf.DUMMYFUNCTION("""COMPUTED_VALUE"""),"11/14/2025")</f>
        <v>11/14/2025</v>
      </c>
      <c r="AR629" s="1" t="str">
        <f>IFERROR(__xludf.DUMMYFUNCTION("""COMPUTED_VALUE"""),"11/14/2025")</f>
        <v>11/14/2025</v>
      </c>
    </row>
    <row r="630">
      <c r="A630" s="1" t="str">
        <f>IFERROR(__xludf.DUMMYFUNCTION("""COMPUTED_VALUE"""),"H5 Data Centers Buffalo")</f>
        <v>H5 Data Centers Buffalo</v>
      </c>
      <c r="B630" s="1" t="str">
        <f>IFERROR(__xludf.DUMMYFUNCTION("""COMPUTED_VALUE""")," 350 Main Street, 18th/19th Floors, Suite 102")</f>
        <v> 350 Main Street, 18th/19th Floors, Suite 102</v>
      </c>
      <c r="C630" s="1" t="str">
        <f>IFERROR(__xludf.DUMMYFUNCTION("""COMPUTED_VALUE"""),"Buffalo")</f>
        <v>Buffalo</v>
      </c>
      <c r="D630" s="1" t="str">
        <f>IFERROR(__xludf.DUMMYFUNCTION("""COMPUTED_VALUE"""),"NY")</f>
        <v>NY</v>
      </c>
      <c r="E630" s="1" t="str">
        <f>IFERROR(__xludf.DUMMYFUNCTION("""COMPUTED_VALUE"""),"14202")</f>
        <v>14202</v>
      </c>
      <c r="F630" s="1" t="str">
        <f>IFERROR(__xludf.DUMMYFUNCTION("""COMPUTED_VALUE"""),"Erie")</f>
        <v>Erie</v>
      </c>
      <c r="G630" s="1" t="str">
        <f>IFERROR(__xludf.DUMMYFUNCTION("""COMPUTED_VALUE"""),"42.88409")</f>
        <v>42.88409</v>
      </c>
      <c r="H630" s="1" t="str">
        <f>IFERROR(__xludf.DUMMYFUNCTION("""COMPUTED_VALUE"""),"-78.875725")</f>
        <v>-78.875725</v>
      </c>
      <c r="I630" s="1" t="str">
        <f>IFERROR(__xludf.DUMMYFUNCTION("""COMPUTED_VALUE"""),"Operating")</f>
        <v>Operating</v>
      </c>
      <c r="J630" s="1" t="str">
        <f>IFERROR(__xludf.DUMMYFUNCTION("""COMPUTED_VALUE"""),"High")</f>
        <v>High</v>
      </c>
      <c r="K630" s="1" t="str">
        <f>IFERROR(__xludf.DUMMYFUNCTION("""COMPUTED_VALUE"""),"")</f>
        <v/>
      </c>
      <c r="L630" s="1" t="str">
        <f>IFERROR(__xludf.DUMMYFUNCTION("""COMPUTED_VALUE"""),"")</f>
        <v/>
      </c>
      <c r="M630" s="1" t="str">
        <f>IFERROR(__xludf.DUMMYFUNCTION("""COMPUTED_VALUE"""),"")</f>
        <v/>
      </c>
      <c r="N630" s="1" t="str">
        <f>IFERROR(__xludf.DUMMYFUNCTION("""COMPUTED_VALUE"""),"1")</f>
        <v>1</v>
      </c>
      <c r="O630" s="1" t="str">
        <f>IFERROR(__xludf.DUMMYFUNCTION("""COMPUTED_VALUE"""),"Small (0-10 MW)")</f>
        <v>Small (0-10 MW)</v>
      </c>
      <c r="P630" s="1" t="str">
        <f>IFERROR(__xludf.DUMMYFUNCTION("""COMPUTED_VALUE"""),"")</f>
        <v/>
      </c>
      <c r="Q630" s="1" t="str">
        <f>IFERROR(__xludf.DUMMYFUNCTION("""COMPUTED_VALUE"""),"")</f>
        <v/>
      </c>
      <c r="R630" s="1" t="str">
        <f>IFERROR(__xludf.DUMMYFUNCTION("""COMPUTED_VALUE"""),"")</f>
        <v/>
      </c>
      <c r="S630" s="1" t="str">
        <f>IFERROR(__xludf.DUMMYFUNCTION("""COMPUTED_VALUE"""),"")</f>
        <v/>
      </c>
      <c r="T630" s="1" t="str">
        <f>IFERROR(__xludf.DUMMYFUNCTION("""COMPUTED_VALUE"""),"")</f>
        <v/>
      </c>
      <c r="U630" s="1" t="str">
        <f>IFERROR(__xludf.DUMMYFUNCTION("""COMPUTED_VALUE"""),"")</f>
        <v/>
      </c>
      <c r="V630" s="1" t="str">
        <f>IFERROR(__xludf.DUMMYFUNCTION("""COMPUTED_VALUE"""),"341,000")</f>
        <v>341,000</v>
      </c>
      <c r="W630" s="1" t="str">
        <f>IFERROR(__xludf.DUMMYFUNCTION("""COMPUTED_VALUE"""),"")</f>
        <v/>
      </c>
      <c r="X630" s="1" t="str">
        <f>IFERROR(__xludf.DUMMYFUNCTION("""COMPUTED_VALUE"""),"")</f>
        <v/>
      </c>
      <c r="Y630" s="1" t="str">
        <f>IFERROR(__xludf.DUMMYFUNCTION("""COMPUTED_VALUE"""),"")</f>
        <v/>
      </c>
      <c r="Z630" s="1" t="str">
        <f>IFERROR(__xludf.DUMMYFUNCTION("""COMPUTED_VALUE"""),"Unknown")</f>
        <v>Unknown</v>
      </c>
      <c r="AA630" s="1" t="str">
        <f>IFERROR(__xludf.DUMMYFUNCTION("""COMPUTED_VALUE"""),"")</f>
        <v/>
      </c>
      <c r="AB630" s="1" t="str">
        <f>IFERROR(__xludf.DUMMYFUNCTION("""COMPUTED_VALUE"""),"")</f>
        <v/>
      </c>
      <c r="AC630" s="1" t="str">
        <f>IFERROR(__xludf.DUMMYFUNCTION("""COMPUTED_VALUE"""),"")</f>
        <v/>
      </c>
      <c r="AD630" s="1" t="str">
        <f>IFERROR(__xludf.DUMMYFUNCTION("""COMPUTED_VALUE"""),"")</f>
        <v/>
      </c>
      <c r="AE630" s="1" t="str">
        <f>IFERROR(__xludf.DUMMYFUNCTION("""COMPUTED_VALUE"""),"")</f>
        <v/>
      </c>
      <c r="AF630" s="1" t="str">
        <f>IFERROR(__xludf.DUMMYFUNCTION("""COMPUTED_VALUE"""),"")</f>
        <v/>
      </c>
      <c r="AG630" s="1" t="str">
        <f>IFERROR(__xludf.DUMMYFUNCTION("""COMPUTED_VALUE"""),"")</f>
        <v/>
      </c>
      <c r="AH630" s="1" t="str">
        <f>IFERROR(__xludf.DUMMYFUNCTION("""COMPUTED_VALUE"""),"Media Monitoring")</f>
        <v>Media Monitoring</v>
      </c>
      <c r="AI630" s="2" t="str">
        <f>IFERROR(__xludf.DUMMYFUNCTION("""COMPUTED_VALUE"""),"https://www.datacenters.com/365-bu1-buffalo")</f>
        <v>https://www.datacenters.com/365-bu1-buffalo</v>
      </c>
      <c r="AJ630" s="2" t="str">
        <f>IFERROR(__xludf.DUMMYFUNCTION("""COMPUTED_VALUE"""),"https://h5datacenters.com/buffalo-III-data-center.html")</f>
        <v>https://h5datacenters.com/buffalo-III-data-center.html</v>
      </c>
      <c r="AK630" s="2" t="str">
        <f>IFERROR(__xludf.DUMMYFUNCTION("""COMPUTED_VALUE"""),"https://www.datacenterdynamics.com/en/news/h5-and-novacap-launch-new-data-center-platform-acquire-three-carrier-hotels-from-365/")</f>
        <v>https://www.datacenterdynamics.com/en/news/h5-and-novacap-launch-new-data-center-platform-acquire-three-carrier-hotels-from-365/</v>
      </c>
      <c r="AL630" s="1" t="str">
        <f>IFERROR(__xludf.DUMMYFUNCTION("""COMPUTED_VALUE"""),"")</f>
        <v/>
      </c>
      <c r="AM630" s="1" t="str">
        <f>IFERROR(__xludf.DUMMYFUNCTION("""COMPUTED_VALUE"""),"")</f>
        <v/>
      </c>
      <c r="AN630" s="1" t="str">
        <f>IFERROR(__xludf.DUMMYFUNCTION("""COMPUTED_VALUE"""),"")</f>
        <v/>
      </c>
      <c r="AO630" s="1" t="str">
        <f>IFERROR(__xludf.DUMMYFUNCTION("""COMPUTED_VALUE"""),"")</f>
        <v/>
      </c>
      <c r="AP630" s="1" t="str">
        <f>IFERROR(__xludf.DUMMYFUNCTION("""COMPUTED_VALUE"""),"")</f>
        <v/>
      </c>
      <c r="AQ630" s="1" t="str">
        <f>IFERROR(__xludf.DUMMYFUNCTION("""COMPUTED_VALUE"""),"03/04/2026")</f>
        <v>03/04/2026</v>
      </c>
      <c r="AR630" s="1" t="str">
        <f>IFERROR(__xludf.DUMMYFUNCTION("""COMPUTED_VALUE"""),"03/04/2026")</f>
        <v>03/04/2026</v>
      </c>
    </row>
    <row r="631">
      <c r="A631" s="1" t="str">
        <f>IFERROR(__xludf.DUMMYFUNCTION("""COMPUTED_VALUE"""),"Tesla Dojo Supercomputer")</f>
        <v>Tesla Dojo Supercomputer</v>
      </c>
      <c r="B631" s="1" t="str">
        <f>IFERROR(__xludf.DUMMYFUNCTION("""COMPUTED_VALUE"""),"1339 South Park Ave")</f>
        <v>1339 South Park Ave</v>
      </c>
      <c r="C631" s="1" t="str">
        <f>IFERROR(__xludf.DUMMYFUNCTION("""COMPUTED_VALUE"""),"Buffalo")</f>
        <v>Buffalo</v>
      </c>
      <c r="D631" s="1" t="str">
        <f>IFERROR(__xludf.DUMMYFUNCTION("""COMPUTED_VALUE"""),"NY")</f>
        <v>NY</v>
      </c>
      <c r="E631" s="1" t="str">
        <f>IFERROR(__xludf.DUMMYFUNCTION("""COMPUTED_VALUE"""),"14220")</f>
        <v>14220</v>
      </c>
      <c r="F631" s="1" t="str">
        <f>IFERROR(__xludf.DUMMYFUNCTION("""COMPUTED_VALUE"""),"Erie")</f>
        <v>Erie</v>
      </c>
      <c r="G631" s="1" t="str">
        <f>IFERROR(__xludf.DUMMYFUNCTION("""COMPUTED_VALUE"""),"42.86061")</f>
        <v>42.86061</v>
      </c>
      <c r="H631" s="1" t="str">
        <f>IFERROR(__xludf.DUMMYFUNCTION("""COMPUTED_VALUE"""),"-78.84132")</f>
        <v>-78.84132</v>
      </c>
      <c r="I631" s="1" t="str">
        <f>IFERROR(__xludf.DUMMYFUNCTION("""COMPUTED_VALUE"""),"Cancelled")</f>
        <v>Cancelled</v>
      </c>
      <c r="J631" s="1" t="str">
        <f>IFERROR(__xludf.DUMMYFUNCTION("""COMPUTED_VALUE"""),"High")</f>
        <v>High</v>
      </c>
      <c r="K631" s="1" t="str">
        <f>IFERROR(__xludf.DUMMYFUNCTION("""COMPUTED_VALUE"""),"")</f>
        <v/>
      </c>
      <c r="L631" s="1" t="str">
        <f>IFERROR(__xludf.DUMMYFUNCTION("""COMPUTED_VALUE"""),"")</f>
        <v/>
      </c>
      <c r="M631" s="1" t="str">
        <f>IFERROR(__xludf.DUMMYFUNCTION("""COMPUTED_VALUE"""),"")</f>
        <v/>
      </c>
      <c r="N631" s="1" t="str">
        <f>IFERROR(__xludf.DUMMYFUNCTION("""COMPUTED_VALUE"""),"")</f>
        <v/>
      </c>
      <c r="O631" s="1" t="str">
        <f>IFERROR(__xludf.DUMMYFUNCTION("""COMPUTED_VALUE"""),"Unknown")</f>
        <v>Unknown</v>
      </c>
      <c r="P631" s="1" t="str">
        <f>IFERROR(__xludf.DUMMYFUNCTION("""COMPUTED_VALUE"""),"")</f>
        <v/>
      </c>
      <c r="Q631" s="1" t="str">
        <f>IFERROR(__xludf.DUMMYFUNCTION("""COMPUTED_VALUE"""),"")</f>
        <v/>
      </c>
      <c r="R631" s="1" t="str">
        <f>IFERROR(__xludf.DUMMYFUNCTION("""COMPUTED_VALUE"""),"")</f>
        <v/>
      </c>
      <c r="S631" s="1" t="str">
        <f>IFERROR(__xludf.DUMMYFUNCTION("""COMPUTED_VALUE"""),"")</f>
        <v/>
      </c>
      <c r="T631" s="1" t="str">
        <f>IFERROR(__xludf.DUMMYFUNCTION("""COMPUTED_VALUE"""),"")</f>
        <v/>
      </c>
      <c r="U631" s="1" t="str">
        <f>IFERROR(__xludf.DUMMYFUNCTION("""COMPUTED_VALUE"""),"")</f>
        <v/>
      </c>
      <c r="V631" s="1" t="str">
        <f>IFERROR(__xludf.DUMMYFUNCTION("""COMPUTED_VALUE"""),"")</f>
        <v/>
      </c>
      <c r="W631" s="1" t="str">
        <f>IFERROR(__xludf.DUMMYFUNCTION("""COMPUTED_VALUE"""),"")</f>
        <v/>
      </c>
      <c r="X631" s="1" t="str">
        <f>IFERROR(__xludf.DUMMYFUNCTION("""COMPUTED_VALUE"""),"")</f>
        <v/>
      </c>
      <c r="Y631" s="1" t="str">
        <f>IFERROR(__xludf.DUMMYFUNCTION("""COMPUTED_VALUE"""),"")</f>
        <v/>
      </c>
      <c r="Z631" s="1" t="str">
        <f>IFERROR(__xludf.DUMMYFUNCTION("""COMPUTED_VALUE"""),"Unknown")</f>
        <v>Unknown</v>
      </c>
      <c r="AA631" s="1" t="str">
        <f>IFERROR(__xludf.DUMMYFUNCTION("""COMPUTED_VALUE"""),"")</f>
        <v/>
      </c>
      <c r="AB631" s="1" t="str">
        <f>IFERROR(__xludf.DUMMYFUNCTION("""COMPUTED_VALUE"""),"")</f>
        <v/>
      </c>
      <c r="AC631" s="1" t="str">
        <f>IFERROR(__xludf.DUMMYFUNCTION("""COMPUTED_VALUE"""),"")</f>
        <v/>
      </c>
      <c r="AD631" s="1" t="str">
        <f>IFERROR(__xludf.DUMMYFUNCTION("""COMPUTED_VALUE"""),"")</f>
        <v/>
      </c>
      <c r="AE631" s="1" t="str">
        <f>IFERROR(__xludf.DUMMYFUNCTION("""COMPUTED_VALUE"""),"")</f>
        <v/>
      </c>
      <c r="AF631" s="1" t="str">
        <f>IFERROR(__xludf.DUMMYFUNCTION("""COMPUTED_VALUE"""),"")</f>
        <v/>
      </c>
      <c r="AG631" s="1" t="str">
        <f>IFERROR(__xludf.DUMMYFUNCTION("""COMPUTED_VALUE"""),"Would have been for training self-driving cars.")</f>
        <v>Would have been for training self-driving cars.</v>
      </c>
      <c r="AH631" s="1" t="str">
        <f>IFERROR(__xludf.DUMMYFUNCTION("""COMPUTED_VALUE"""),"Media Monitoring")</f>
        <v>Media Monitoring</v>
      </c>
      <c r="AI631" s="2" t="str">
        <f>IFERROR(__xludf.DUMMYFUNCTION("""COMPUTED_VALUE"""),"https://www.wgrz.com/article/money/business/tesla-halts-dojo-project-buffalo-supercomputing-plans/71-76c01060-0511-4fbd-aac7-284d0d7795aa")</f>
        <v>https://www.wgrz.com/article/money/business/tesla-halts-dojo-project-buffalo-supercomputing-plans/71-76c01060-0511-4fbd-aac7-284d0d7795aa</v>
      </c>
      <c r="AJ631" s="2" t="str">
        <f>IFERROR(__xludf.DUMMYFUNCTION("""COMPUTED_VALUE"""),"https://techcrunch.com/2025/09/02/tesla-dojo-the-rise-and-fall-of-elon-musks-ai-supercomputer/")</f>
        <v>https://techcrunch.com/2025/09/02/tesla-dojo-the-rise-and-fall-of-elon-musks-ai-supercomputer/</v>
      </c>
      <c r="AK631" s="1" t="str">
        <f>IFERROR(__xludf.DUMMYFUNCTION("""COMPUTED_VALUE"""),"")</f>
        <v/>
      </c>
      <c r="AL631" s="1" t="str">
        <f>IFERROR(__xludf.DUMMYFUNCTION("""COMPUTED_VALUE"""),"")</f>
        <v/>
      </c>
      <c r="AM631" s="1" t="str">
        <f>IFERROR(__xludf.DUMMYFUNCTION("""COMPUTED_VALUE"""),"")</f>
        <v/>
      </c>
      <c r="AN631" s="1" t="str">
        <f>IFERROR(__xludf.DUMMYFUNCTION("""COMPUTED_VALUE"""),"")</f>
        <v/>
      </c>
      <c r="AO631" s="1" t="str">
        <f>IFERROR(__xludf.DUMMYFUNCTION("""COMPUTED_VALUE"""),"")</f>
        <v/>
      </c>
      <c r="AP631" s="1" t="str">
        <f>IFERROR(__xludf.DUMMYFUNCTION("""COMPUTED_VALUE"""),"")</f>
        <v/>
      </c>
      <c r="AQ631" s="1" t="str">
        <f>IFERROR(__xludf.DUMMYFUNCTION("""COMPUTED_VALUE"""),"01/15/2026")</f>
        <v>01/15/2026</v>
      </c>
      <c r="AR631" s="1" t="str">
        <f>IFERROR(__xludf.DUMMYFUNCTION("""COMPUTED_VALUE"""),"01/15/2026")</f>
        <v>01/15/2026</v>
      </c>
    </row>
    <row r="632">
      <c r="A632" s="1" t="str">
        <f>IFERROR(__xludf.DUMMYFUNCTION("""COMPUTED_VALUE"""),"Greenidge Generation Yates County facility")</f>
        <v>Greenidge Generation Yates County facility</v>
      </c>
      <c r="B632" s="1" t="str">
        <f>IFERROR(__xludf.DUMMYFUNCTION("""COMPUTED_VALUE"""),"590 Plant Rd")</f>
        <v>590 Plant Rd</v>
      </c>
      <c r="C632" s="1" t="str">
        <f>IFERROR(__xludf.DUMMYFUNCTION("""COMPUTED_VALUE"""),"Dresden")</f>
        <v>Dresden</v>
      </c>
      <c r="D632" s="1" t="str">
        <f>IFERROR(__xludf.DUMMYFUNCTION("""COMPUTED_VALUE"""),"NY")</f>
        <v>NY</v>
      </c>
      <c r="E632" s="1" t="str">
        <f>IFERROR(__xludf.DUMMYFUNCTION("""COMPUTED_VALUE"""),"14441")</f>
        <v>14441</v>
      </c>
      <c r="F632" s="1" t="str">
        <f>IFERROR(__xludf.DUMMYFUNCTION("""COMPUTED_VALUE"""),"Yates")</f>
        <v>Yates</v>
      </c>
      <c r="G632" s="1" t="str">
        <f>IFERROR(__xludf.DUMMYFUNCTION("""COMPUTED_VALUE"""),"42.67687")</f>
        <v>42.67687</v>
      </c>
      <c r="H632" s="1" t="str">
        <f>IFERROR(__xludf.DUMMYFUNCTION("""COMPUTED_VALUE"""),"-76.94491")</f>
        <v>-76.94491</v>
      </c>
      <c r="I632" s="1" t="str">
        <f>IFERROR(__xludf.DUMMYFUNCTION("""COMPUTED_VALUE"""),"Operating")</f>
        <v>Operating</v>
      </c>
      <c r="J632" s="1" t="str">
        <f>IFERROR(__xludf.DUMMYFUNCTION("""COMPUTED_VALUE"""),"High")</f>
        <v>High</v>
      </c>
      <c r="K632" s="1" t="str">
        <f>IFERROR(__xludf.DUMMYFUNCTION("""COMPUTED_VALUE"""),"Bitcoin transitioning to AI")</f>
        <v>Bitcoin transitioning to AI</v>
      </c>
      <c r="L632" s="1" t="str">
        <f>IFERROR(__xludf.DUMMYFUNCTION("""COMPUTED_VALUE"""),"")</f>
        <v/>
      </c>
      <c r="M632" s="1" t="str">
        <f>IFERROR(__xludf.DUMMYFUNCTION("""COMPUTED_VALUE"""),"")</f>
        <v/>
      </c>
      <c r="N632" s="1" t="str">
        <f>IFERROR(__xludf.DUMMYFUNCTION("""COMPUTED_VALUE"""),"55")</f>
        <v>55</v>
      </c>
      <c r="O632" s="1" t="str">
        <f>IFERROR(__xludf.DUMMYFUNCTION("""COMPUTED_VALUE"""),"Large (51-99 MW)")</f>
        <v>Large (51-99 MW)</v>
      </c>
      <c r="P632" s="1" t="str">
        <f>IFERROR(__xludf.DUMMYFUNCTION("""COMPUTED_VALUE"""),"Natural gas")</f>
        <v>Natural gas</v>
      </c>
      <c r="Q632" s="1" t="str">
        <f>IFERROR(__xludf.DUMMYFUNCTION("""COMPUTED_VALUE"""),"")</f>
        <v/>
      </c>
      <c r="R632" s="1" t="str">
        <f>IFERROR(__xludf.DUMMYFUNCTION("""COMPUTED_VALUE"""),"")</f>
        <v/>
      </c>
      <c r="S632" s="1" t="str">
        <f>IFERROR(__xludf.DUMMYFUNCTION("""COMPUTED_VALUE"""),"")</f>
        <v/>
      </c>
      <c r="T632" s="1" t="str">
        <f>IFERROR(__xludf.DUMMYFUNCTION("""COMPUTED_VALUE"""),"")</f>
        <v/>
      </c>
      <c r="U632" s="1" t="str">
        <f>IFERROR(__xludf.DUMMYFUNCTION("""COMPUTED_VALUE"""),"")</f>
        <v/>
      </c>
      <c r="V632" s="1" t="str">
        <f>IFERROR(__xludf.DUMMYFUNCTION("""COMPUTED_VALUE"""),"")</f>
        <v/>
      </c>
      <c r="W632" s="1" t="str">
        <f>IFERROR(__xludf.DUMMYFUNCTION("""COMPUTED_VALUE"""),"150")</f>
        <v>150</v>
      </c>
      <c r="X632" s="1" t="str">
        <f>IFERROR(__xludf.DUMMYFUNCTION("""COMPUTED_VALUE"""),"")</f>
        <v/>
      </c>
      <c r="Y632" s="1" t="str">
        <f>IFERROR(__xludf.DUMMYFUNCTION("""COMPUTED_VALUE"""),"")</f>
        <v/>
      </c>
      <c r="Z632" s="1" t="str">
        <f>IFERROR(__xludf.DUMMYFUNCTION("""COMPUTED_VALUE"""),"Yes")</f>
        <v>Yes</v>
      </c>
      <c r="AA632" s="1" t="str">
        <f>IFERROR(__xludf.DUMMYFUNCTION("""COMPUTED_VALUE"""),"")</f>
        <v/>
      </c>
      <c r="AB632" s="1" t="str">
        <f>IFERROR(__xludf.DUMMYFUNCTION("""COMPUTED_VALUE"""),"")</f>
        <v/>
      </c>
      <c r="AC632" s="1" t="str">
        <f>IFERROR(__xludf.DUMMYFUNCTION("""COMPUTED_VALUE"""),"")</f>
        <v/>
      </c>
      <c r="AD632" s="2" t="str">
        <f>IFERROR(__xludf.DUMMYFUNCTION("""COMPUTED_VALUE"""),"https://senecalakeguardian.org/")</f>
        <v>https://senecalakeguardian.org/</v>
      </c>
      <c r="AE632" s="1" t="str">
        <f>IFERROR(__xludf.DUMMYFUNCTION("""COMPUTED_VALUE"""),"")</f>
        <v/>
      </c>
      <c r="AF632" s="1" t="str">
        <f>IFERROR(__xludf.DUMMYFUNCTION("""COMPUTED_VALUE"""),"")</f>
        <v/>
      </c>
      <c r="AG632" s="1" t="str">
        <f>IFERROR(__xludf.DUMMYFUNCTION("""COMPUTED_VALUE"""),"Bitcoin transitioning to AI, with expansion designs to 260 MW")</f>
        <v>Bitcoin transitioning to AI, with expansion designs to 260 MW</v>
      </c>
      <c r="AH632" s="1" t="str">
        <f>IFERROR(__xludf.DUMMYFUNCTION("""COMPUTED_VALUE"""),"Media Monitoring")</f>
        <v>Media Monitoring</v>
      </c>
      <c r="AI632" s="2" t="str">
        <f>IFERROR(__xludf.DUMMYFUNCTION("""COMPUTED_VALUE"""),"https://insideclimatenews.org/news/10052025/new-york-bitcoin-mines-buying-up-power-plants/")</f>
        <v>https://insideclimatenews.org/news/10052025/new-york-bitcoin-mines-buying-up-power-plants/</v>
      </c>
      <c r="AJ632" s="2" t="str">
        <f>IFERROR(__xludf.DUMMYFUNCTION("""COMPUTED_VALUE"""),"https://www.nytimes.com/2023/04/09/business/bitcoin-mining-electricity-pollution.html")</f>
        <v>https://www.nytimes.com/2023/04/09/business/bitcoin-mining-electricity-pollution.html</v>
      </c>
      <c r="AK632" s="2" t="str">
        <f>IFERROR(__xludf.DUMMYFUNCTION("""COMPUTED_VALUE"""),"https://www.mytwintiers.com/news-cat/local-news/locals-say-a-dresden-bitcoin-mining-operation-is-ruining-seneca-lake/")</f>
        <v>https://www.mytwintiers.com/news-cat/local-news/locals-say-a-dresden-bitcoin-mining-operation-is-ruining-seneca-lake/</v>
      </c>
      <c r="AL632" s="1" t="str">
        <f>IFERROR(__xludf.DUMMYFUNCTION("""COMPUTED_VALUE"""),"")</f>
        <v/>
      </c>
      <c r="AM632" s="1" t="str">
        <f>IFERROR(__xludf.DUMMYFUNCTION("""COMPUTED_VALUE"""),"")</f>
        <v/>
      </c>
      <c r="AN632" s="1" t="str">
        <f>IFERROR(__xludf.DUMMYFUNCTION("""COMPUTED_VALUE"""),"")</f>
        <v/>
      </c>
      <c r="AO632" s="1" t="str">
        <f>IFERROR(__xludf.DUMMYFUNCTION("""COMPUTED_VALUE"""),"")</f>
        <v/>
      </c>
      <c r="AP632" s="1" t="str">
        <f>IFERROR(__xludf.DUMMYFUNCTION("""COMPUTED_VALUE"""),"")</f>
        <v/>
      </c>
      <c r="AQ632" s="1" t="str">
        <f>IFERROR(__xludf.DUMMYFUNCTION("""COMPUTED_VALUE"""),"11/16/2025")</f>
        <v>11/16/2025</v>
      </c>
      <c r="AR632" s="1" t="str">
        <f>IFERROR(__xludf.DUMMYFUNCTION("""COMPUTED_VALUE"""),"11/16/2025")</f>
        <v>11/16/2025</v>
      </c>
    </row>
    <row r="633">
      <c r="A633" s="1" t="str">
        <f>IFERROR(__xludf.DUMMYFUNCTION("""COMPUTED_VALUE"""),"Global AI")</f>
        <v>Global AI</v>
      </c>
      <c r="B633" s="1" t="str">
        <f>IFERROR(__xludf.DUMMYFUNCTION("""COMPUTED_VALUE"""),"1701 North St")</f>
        <v>1701 North St</v>
      </c>
      <c r="C633" s="1" t="str">
        <f>IFERROR(__xludf.DUMMYFUNCTION("""COMPUTED_VALUE"""),"Endicott")</f>
        <v>Endicott</v>
      </c>
      <c r="D633" s="1" t="str">
        <f>IFERROR(__xludf.DUMMYFUNCTION("""COMPUTED_VALUE"""),"NY")</f>
        <v>NY</v>
      </c>
      <c r="E633" s="1" t="str">
        <f>IFERROR(__xludf.DUMMYFUNCTION("""COMPUTED_VALUE"""),"13760")</f>
        <v>13760</v>
      </c>
      <c r="F633" s="1" t="str">
        <f>IFERROR(__xludf.DUMMYFUNCTION("""COMPUTED_VALUE"""),"Broome")</f>
        <v>Broome</v>
      </c>
      <c r="G633" s="1" t="str">
        <f>IFERROR(__xludf.DUMMYFUNCTION("""COMPUTED_VALUE"""),"42.104294")</f>
        <v>42.104294</v>
      </c>
      <c r="H633" s="1" t="str">
        <f>IFERROR(__xludf.DUMMYFUNCTION("""COMPUTED_VALUE"""),"-76.04444")</f>
        <v>-76.04444</v>
      </c>
      <c r="I633" s="1" t="str">
        <f>IFERROR(__xludf.DUMMYFUNCTION("""COMPUTED_VALUE"""),"Operating")</f>
        <v>Operating</v>
      </c>
      <c r="J633" s="1" t="str">
        <f>IFERROR(__xludf.DUMMYFUNCTION("""COMPUTED_VALUE"""),"High")</f>
        <v>High</v>
      </c>
      <c r="K633" s="1" t="str">
        <f>IFERROR(__xludf.DUMMYFUNCTION("""COMPUTED_VALUE"""),"")</f>
        <v/>
      </c>
      <c r="L633" s="1" t="str">
        <f>IFERROR(__xludf.DUMMYFUNCTION("""COMPUTED_VALUE"""),"")</f>
        <v/>
      </c>
      <c r="M633" s="1" t="str">
        <f>IFERROR(__xludf.DUMMYFUNCTION("""COMPUTED_VALUE"""),"")</f>
        <v/>
      </c>
      <c r="N633" s="1" t="str">
        <f>IFERROR(__xludf.DUMMYFUNCTION("""COMPUTED_VALUE"""),"32")</f>
        <v>32</v>
      </c>
      <c r="O633" s="1" t="str">
        <f>IFERROR(__xludf.DUMMYFUNCTION("""COMPUTED_VALUE"""),"Medium (11-50 MW)")</f>
        <v>Medium (11-50 MW)</v>
      </c>
      <c r="P633" s="1" t="str">
        <f>IFERROR(__xludf.DUMMYFUNCTION("""COMPUTED_VALUE"""),"")</f>
        <v/>
      </c>
      <c r="Q633" s="1" t="str">
        <f>IFERROR(__xludf.DUMMYFUNCTION("""COMPUTED_VALUE"""),"")</f>
        <v/>
      </c>
      <c r="R633" s="1" t="str">
        <f>IFERROR(__xludf.DUMMYFUNCTION("""COMPUTED_VALUE"""),"")</f>
        <v/>
      </c>
      <c r="S633" s="1" t="str">
        <f>IFERROR(__xludf.DUMMYFUNCTION("""COMPUTED_VALUE"""),"")</f>
        <v/>
      </c>
      <c r="T633" s="1" t="str">
        <f>IFERROR(__xludf.DUMMYFUNCTION("""COMPUTED_VALUE"""),"")</f>
        <v/>
      </c>
      <c r="U633" s="1" t="str">
        <f>IFERROR(__xludf.DUMMYFUNCTION("""COMPUTED_VALUE"""),"")</f>
        <v/>
      </c>
      <c r="V633" s="1" t="str">
        <f>IFERROR(__xludf.DUMMYFUNCTION("""COMPUTED_VALUE"""),"")</f>
        <v/>
      </c>
      <c r="W633" s="1" t="str">
        <f>IFERROR(__xludf.DUMMYFUNCTION("""COMPUTED_VALUE"""),"")</f>
        <v/>
      </c>
      <c r="X633" s="1" t="str">
        <f>IFERROR(__xludf.DUMMYFUNCTION("""COMPUTED_VALUE"""),"")</f>
        <v/>
      </c>
      <c r="Y633" s="1" t="str">
        <f>IFERROR(__xludf.DUMMYFUNCTION("""COMPUTED_VALUE"""),"")</f>
        <v/>
      </c>
      <c r="Z633" s="1" t="str">
        <f>IFERROR(__xludf.DUMMYFUNCTION("""COMPUTED_VALUE"""),"Unknown")</f>
        <v>Unknown</v>
      </c>
      <c r="AA633" s="1" t="str">
        <f>IFERROR(__xludf.DUMMYFUNCTION("""COMPUTED_VALUE"""),"")</f>
        <v/>
      </c>
      <c r="AB633" s="1" t="str">
        <f>IFERROR(__xludf.DUMMYFUNCTION("""COMPUTED_VALUE"""),"")</f>
        <v/>
      </c>
      <c r="AC633" s="1" t="str">
        <f>IFERROR(__xludf.DUMMYFUNCTION("""COMPUTED_VALUE"""),"")</f>
        <v/>
      </c>
      <c r="AD633" s="1" t="str">
        <f>IFERROR(__xludf.DUMMYFUNCTION("""COMPUTED_VALUE"""),"")</f>
        <v/>
      </c>
      <c r="AE633" s="1" t="str">
        <f>IFERROR(__xludf.DUMMYFUNCTION("""COMPUTED_VALUE"""),"")</f>
        <v/>
      </c>
      <c r="AF633" s="1" t="str">
        <f>IFERROR(__xludf.DUMMYFUNCTION("""COMPUTED_VALUE"""),"")</f>
        <v/>
      </c>
      <c r="AG633" s="1" t="str">
        <f>IFERROR(__xludf.DUMMYFUNCTION("""COMPUTED_VALUE"""),"")</f>
        <v/>
      </c>
      <c r="AH633" s="1" t="str">
        <f>IFERROR(__xludf.DUMMYFUNCTION("""COMPUTED_VALUE"""),"Media Monitoring")</f>
        <v>Media Monitoring</v>
      </c>
      <c r="AI633" s="2" t="str">
        <f>IFERROR(__xludf.DUMMYFUNCTION("""COMPUTED_VALUE"""),"https://www.datacenterdynamics.com/en/news/global-ai-set-to-develop-data-center-outside-denver-colorado/")</f>
        <v>https://www.datacenterdynamics.com/en/news/global-ai-set-to-develop-data-center-outside-denver-colorado/</v>
      </c>
      <c r="AJ633" s="1" t="str">
        <f>IFERROR(__xludf.DUMMYFUNCTION("""COMPUTED_VALUE"""),"")</f>
        <v/>
      </c>
      <c r="AK633" s="1" t="str">
        <f>IFERROR(__xludf.DUMMYFUNCTION("""COMPUTED_VALUE"""),"")</f>
        <v/>
      </c>
      <c r="AL633" s="1" t="str">
        <f>IFERROR(__xludf.DUMMYFUNCTION("""COMPUTED_VALUE"""),"")</f>
        <v/>
      </c>
      <c r="AM633" s="1" t="str">
        <f>IFERROR(__xludf.DUMMYFUNCTION("""COMPUTED_VALUE"""),"")</f>
        <v/>
      </c>
      <c r="AN633" s="1" t="str">
        <f>IFERROR(__xludf.DUMMYFUNCTION("""COMPUTED_VALUE"""),"")</f>
        <v/>
      </c>
      <c r="AO633" s="1" t="str">
        <f>IFERROR(__xludf.DUMMYFUNCTION("""COMPUTED_VALUE"""),"")</f>
        <v/>
      </c>
      <c r="AP633" s="1" t="str">
        <f>IFERROR(__xludf.DUMMYFUNCTION("""COMPUTED_VALUE"""),"")</f>
        <v/>
      </c>
      <c r="AQ633" s="1" t="str">
        <f>IFERROR(__xludf.DUMMYFUNCTION("""COMPUTED_VALUE"""),"03/04/2026")</f>
        <v>03/04/2026</v>
      </c>
      <c r="AR633" s="1" t="str">
        <f>IFERROR(__xludf.DUMMYFUNCTION("""COMPUTED_VALUE"""),"03/04/2026")</f>
        <v>03/04/2026</v>
      </c>
    </row>
    <row r="634">
      <c r="A634" s="1" t="str">
        <f>IFERROR(__xludf.DUMMYFUNCTION("""COMPUTED_VALUE"""),"Treetop Development Project")</f>
        <v>Treetop Development Project</v>
      </c>
      <c r="B634" s="1" t="str">
        <f>IFERROR(__xludf.DUMMYFUNCTION("""COMPUTED_VALUE"""),"near 7 Donovan Dr")</f>
        <v>near 7 Donovan Dr</v>
      </c>
      <c r="C634" s="1" t="str">
        <f>IFERROR(__xludf.DUMMYFUNCTION("""COMPUTED_VALUE"""),"Hopewell Junction")</f>
        <v>Hopewell Junction</v>
      </c>
      <c r="D634" s="1" t="str">
        <f>IFERROR(__xludf.DUMMYFUNCTION("""COMPUTED_VALUE"""),"NY")</f>
        <v>NY</v>
      </c>
      <c r="E634" s="1" t="str">
        <f>IFERROR(__xludf.DUMMYFUNCTION("""COMPUTED_VALUE"""),"12533")</f>
        <v>12533</v>
      </c>
      <c r="F634" s="1" t="str">
        <f>IFERROR(__xludf.DUMMYFUNCTION("""COMPUTED_VALUE"""),"Dutchess")</f>
        <v>Dutchess</v>
      </c>
      <c r="G634" s="1" t="str">
        <f>IFERROR(__xludf.DUMMYFUNCTION("""COMPUTED_VALUE"""),"41.523403")</f>
        <v>41.523403</v>
      </c>
      <c r="H634" s="1" t="str">
        <f>IFERROR(__xludf.DUMMYFUNCTION("""COMPUTED_VALUE"""),"-73.81024")</f>
        <v>-73.81024</v>
      </c>
      <c r="I634" s="1" t="str">
        <f>IFERROR(__xludf.DUMMYFUNCTION("""COMPUTED_VALUE"""),"Suspended")</f>
        <v>Suspended</v>
      </c>
      <c r="J634" s="1" t="str">
        <f>IFERROR(__xludf.DUMMYFUNCTION("""COMPUTED_VALUE"""),"High")</f>
        <v>High</v>
      </c>
      <c r="K634" s="1" t="str">
        <f>IFERROR(__xludf.DUMMYFUNCTION("""COMPUTED_VALUE"""),"")</f>
        <v/>
      </c>
      <c r="L634" s="1" t="str">
        <f>IFERROR(__xludf.DUMMYFUNCTION("""COMPUTED_VALUE"""),"onovan Drive Holdings LLC")</f>
        <v>onovan Drive Holdings LLC</v>
      </c>
      <c r="M634" s="1" t="str">
        <f>IFERROR(__xludf.DUMMYFUNCTION("""COMPUTED_VALUE"""),"")</f>
        <v/>
      </c>
      <c r="N634" s="1" t="str">
        <f>IFERROR(__xludf.DUMMYFUNCTION("""COMPUTED_VALUE"""),"1000")</f>
        <v>1000</v>
      </c>
      <c r="O634" s="1" t="str">
        <f>IFERROR(__xludf.DUMMYFUNCTION("""COMPUTED_VALUE"""),"Mega campus (&gt;1,000 MW)")</f>
        <v>Mega campus (&gt;1,000 MW)</v>
      </c>
      <c r="P634" s="1" t="str">
        <f>IFERROR(__xludf.DUMMYFUNCTION("""COMPUTED_VALUE"""),"")</f>
        <v/>
      </c>
      <c r="Q634" s="1" t="str">
        <f>IFERROR(__xludf.DUMMYFUNCTION("""COMPUTED_VALUE"""),"")</f>
        <v/>
      </c>
      <c r="R634" s="1" t="str">
        <f>IFERROR(__xludf.DUMMYFUNCTION("""COMPUTED_VALUE"""),"")</f>
        <v/>
      </c>
      <c r="S634" s="1" t="str">
        <f>IFERROR(__xludf.DUMMYFUNCTION("""COMPUTED_VALUE"""),"")</f>
        <v/>
      </c>
      <c r="T634" s="1" t="str">
        <f>IFERROR(__xludf.DUMMYFUNCTION("""COMPUTED_VALUE"""),"")</f>
        <v/>
      </c>
      <c r="U634" s="1" t="str">
        <f>IFERROR(__xludf.DUMMYFUNCTION("""COMPUTED_VALUE"""),"")</f>
        <v/>
      </c>
      <c r="V634" s="1" t="str">
        <f>IFERROR(__xludf.DUMMYFUNCTION("""COMPUTED_VALUE"""),"800,000")</f>
        <v>800,000</v>
      </c>
      <c r="W634" s="1" t="str">
        <f>IFERROR(__xludf.DUMMYFUNCTION("""COMPUTED_VALUE"""),"")</f>
        <v/>
      </c>
      <c r="X634" s="1" t="str">
        <f>IFERROR(__xludf.DUMMYFUNCTION("""COMPUTED_VALUE"""),"")</f>
        <v/>
      </c>
      <c r="Y634" s="1" t="str">
        <f>IFERROR(__xludf.DUMMYFUNCTION("""COMPUTED_VALUE"""),"")</f>
        <v/>
      </c>
      <c r="Z634" s="1" t="str">
        <f>IFERROR(__xludf.DUMMYFUNCTION("""COMPUTED_VALUE"""),"Unknown")</f>
        <v>Unknown</v>
      </c>
      <c r="AA634" s="1" t="str">
        <f>IFERROR(__xludf.DUMMYFUNCTION("""COMPUTED_VALUE"""),"")</f>
        <v/>
      </c>
      <c r="AB634" s="1" t="str">
        <f>IFERROR(__xludf.DUMMYFUNCTION("""COMPUTED_VALUE"""),"")</f>
        <v/>
      </c>
      <c r="AC634" s="1" t="str">
        <f>IFERROR(__xludf.DUMMYFUNCTION("""COMPUTED_VALUE"""),"")</f>
        <v/>
      </c>
      <c r="AD634" s="1" t="str">
        <f>IFERROR(__xludf.DUMMYFUNCTION("""COMPUTED_VALUE"""),"")</f>
        <v/>
      </c>
      <c r="AE634" s="1" t="str">
        <f>IFERROR(__xludf.DUMMYFUNCTION("""COMPUTED_VALUE"""),"")</f>
        <v/>
      </c>
      <c r="AF634" s="1" t="str">
        <f>IFERROR(__xludf.DUMMYFUNCTION("""COMPUTED_VALUE"""),"")</f>
        <v/>
      </c>
      <c r="AG634" s="1" t="str">
        <f>IFERROR(__xludf.DUMMYFUNCTION("""COMPUTED_VALUE"""),"")</f>
        <v/>
      </c>
      <c r="AH634" s="1" t="str">
        <f>IFERROR(__xludf.DUMMYFUNCTION("""COMPUTED_VALUE"""),"Media Monitoring")</f>
        <v>Media Monitoring</v>
      </c>
      <c r="AI634" s="2" t="str">
        <f>IFERROR(__xludf.DUMMYFUNCTION("""COMPUTED_VALUE"""),"https://www.nyiso.com/documents/20142/1407078/NYISO-Interconnection-Queue.xlsx")</f>
        <v>https://www.nyiso.com/documents/20142/1407078/NYISO-Interconnection-Queue.xlsx</v>
      </c>
      <c r="AJ634" s="2" t="str">
        <f>IFERROR(__xludf.DUMMYFUNCTION("""COMPUTED_VALUE"""),"https://www.lohud.com/story/news/local/2026/05/07/this-new-dutchess-county-ny-data-center-project-would-use-as-much-power-as-a-city/89935200007/")</f>
        <v>https://www.lohud.com/story/news/local/2026/05/07/this-new-dutchess-county-ny-data-center-project-would-use-as-much-power-as-a-city/89935200007/</v>
      </c>
      <c r="AK634" s="2" t="str">
        <f>IFERROR(__xludf.DUMMYFUNCTION("""COMPUTED_VALUE"""),"https://www.timesunion.com/hudsonvalley/news/article/east-fishkill-data-center-plan-sparks-backlash-22270553.php")</f>
        <v>https://www.timesunion.com/hudsonvalley/news/article/east-fishkill-data-center-plan-sparks-backlash-22270553.php</v>
      </c>
      <c r="AL634" s="2" t="str">
        <f>IFERROR(__xludf.DUMMYFUNCTION("""COMPUTED_VALUE"""),"https://www.datacenterdynamics.com/en/news/three-year-data-center-moratorium-passed-in-town-of-east-fishkill-new-york-state-blocking-planned-campus/")</f>
        <v>https://www.datacenterdynamics.com/en/news/three-year-data-center-moratorium-passed-in-town-of-east-fishkill-new-york-state-blocking-planned-campus/</v>
      </c>
      <c r="AM634" s="1" t="str">
        <f>IFERROR(__xludf.DUMMYFUNCTION("""COMPUTED_VALUE"""),"")</f>
        <v/>
      </c>
      <c r="AN634" s="1" t="str">
        <f>IFERROR(__xludf.DUMMYFUNCTION("""COMPUTED_VALUE"""),"")</f>
        <v/>
      </c>
      <c r="AO634" s="1" t="str">
        <f>IFERROR(__xludf.DUMMYFUNCTION("""COMPUTED_VALUE"""),"")</f>
        <v/>
      </c>
      <c r="AP634" s="1" t="str">
        <f>IFERROR(__xludf.DUMMYFUNCTION("""COMPUTED_VALUE"""),"")</f>
        <v/>
      </c>
      <c r="AQ634" s="1" t="str">
        <f>IFERROR(__xludf.DUMMYFUNCTION("""COMPUTED_VALUE"""),"02/16/2026")</f>
        <v>02/16/2026</v>
      </c>
      <c r="AR634" s="1" t="str">
        <f>IFERROR(__xludf.DUMMYFUNCTION("""COMPUTED_VALUE"""),"06/29/2026")</f>
        <v>06/29/2026</v>
      </c>
    </row>
    <row r="635">
      <c r="A635" s="1" t="str">
        <f>IFERROR(__xludf.DUMMYFUNCTION("""COMPUTED_VALUE"""),"Former Remington Gun Factory Data Center")</f>
        <v>Former Remington Gun Factory Data Center</v>
      </c>
      <c r="B635" s="1" t="str">
        <f>IFERROR(__xludf.DUMMYFUNCTION("""COMPUTED_VALUE"""),"14 Hoefler Ave")</f>
        <v>14 Hoefler Ave</v>
      </c>
      <c r="C635" s="1" t="str">
        <f>IFERROR(__xludf.DUMMYFUNCTION("""COMPUTED_VALUE"""),"Ilion")</f>
        <v>Ilion</v>
      </c>
      <c r="D635" s="1" t="str">
        <f>IFERROR(__xludf.DUMMYFUNCTION("""COMPUTED_VALUE"""),"NY")</f>
        <v>NY</v>
      </c>
      <c r="E635" s="1" t="str">
        <f>IFERROR(__xludf.DUMMYFUNCTION("""COMPUTED_VALUE"""),"13357")</f>
        <v>13357</v>
      </c>
      <c r="F635" s="1" t="str">
        <f>IFERROR(__xludf.DUMMYFUNCTION("""COMPUTED_VALUE"""),"Herkimer")</f>
        <v>Herkimer</v>
      </c>
      <c r="G635" s="1" t="str">
        <f>IFERROR(__xludf.DUMMYFUNCTION("""COMPUTED_VALUE"""),"43.01354")</f>
        <v>43.01354</v>
      </c>
      <c r="H635" s="1" t="str">
        <f>IFERROR(__xludf.DUMMYFUNCTION("""COMPUTED_VALUE"""),"-75.033745")</f>
        <v>-75.033745</v>
      </c>
      <c r="I635" s="1" t="str">
        <f>IFERROR(__xludf.DUMMYFUNCTION("""COMPUTED_VALUE"""),"Proposed")</f>
        <v>Proposed</v>
      </c>
      <c r="J635" s="1" t="str">
        <f>IFERROR(__xludf.DUMMYFUNCTION("""COMPUTED_VALUE"""),"High")</f>
        <v>High</v>
      </c>
      <c r="K635" s="1" t="str">
        <f>IFERROR(__xludf.DUMMYFUNCTION("""COMPUTED_VALUE"""),"")</f>
        <v/>
      </c>
      <c r="L635" s="1" t="str">
        <f>IFERROR(__xludf.DUMMYFUNCTION("""COMPUTED_VALUE"""),"")</f>
        <v/>
      </c>
      <c r="M635" s="1" t="str">
        <f>IFERROR(__xludf.DUMMYFUNCTION("""COMPUTED_VALUE"""),"")</f>
        <v/>
      </c>
      <c r="N635" s="1" t="str">
        <f>IFERROR(__xludf.DUMMYFUNCTION("""COMPUTED_VALUE"""),"200")</f>
        <v>200</v>
      </c>
      <c r="O635" s="1" t="str">
        <f>IFERROR(__xludf.DUMMYFUNCTION("""COMPUTED_VALUE"""),"Hyperscale (100-999 MW)")</f>
        <v>Hyperscale (100-999 MW)</v>
      </c>
      <c r="P635" s="1" t="str">
        <f>IFERROR(__xludf.DUMMYFUNCTION("""COMPUTED_VALUE"""),"Grid (unspecified mix)")</f>
        <v>Grid (unspecified mix)</v>
      </c>
      <c r="Q635" s="1" t="str">
        <f>IFERROR(__xludf.DUMMYFUNCTION("""COMPUTED_VALUE"""),"")</f>
        <v/>
      </c>
      <c r="R635" s="1" t="str">
        <f>IFERROR(__xludf.DUMMYFUNCTION("""COMPUTED_VALUE"""),"")</f>
        <v/>
      </c>
      <c r="S635" s="1" t="str">
        <f>IFERROR(__xludf.DUMMYFUNCTION("""COMPUTED_VALUE"""),"2")</f>
        <v>2</v>
      </c>
      <c r="T635" s="1" t="str">
        <f>IFERROR(__xludf.DUMMYFUNCTION("""COMPUTED_VALUE"""),"")</f>
        <v/>
      </c>
      <c r="U635" s="1" t="str">
        <f>IFERROR(__xludf.DUMMYFUNCTION("""COMPUTED_VALUE"""),"")</f>
        <v/>
      </c>
      <c r="V635" s="1" t="str">
        <f>IFERROR(__xludf.DUMMYFUNCTION("""COMPUTED_VALUE"""),"500,000")</f>
        <v>500,000</v>
      </c>
      <c r="W635" s="1" t="str">
        <f>IFERROR(__xludf.DUMMYFUNCTION("""COMPUTED_VALUE"""),"32")</f>
        <v>32</v>
      </c>
      <c r="X635" s="1" t="str">
        <f>IFERROR(__xludf.DUMMYFUNCTION("""COMPUTED_VALUE"""),"$2-3 billion")</f>
        <v>$2-3 billion</v>
      </c>
      <c r="Y635" s="1" t="str">
        <f>IFERROR(__xludf.DUMMYFUNCTION("""COMPUTED_VALUE"""),"")</f>
        <v/>
      </c>
      <c r="Z635" s="1" t="str">
        <f>IFERROR(__xludf.DUMMYFUNCTION("""COMPUTED_VALUE"""),"Yes")</f>
        <v>Yes</v>
      </c>
      <c r="AA635" s="1" t="str">
        <f>IFERROR(__xludf.DUMMYFUNCTION("""COMPUTED_VALUE"""),"")</f>
        <v/>
      </c>
      <c r="AB635" s="1" t="str">
        <f>IFERROR(__xludf.DUMMYFUNCTION("""COMPUTED_VALUE"""),"Organized Advocacy")</f>
        <v>Organized Advocacy</v>
      </c>
      <c r="AC635" s="1" t="str">
        <f>IFERROR(__xludf.DUMMYFUNCTION("""COMPUTED_VALUE"""),"")</f>
        <v/>
      </c>
      <c r="AD635" s="1" t="str">
        <f>IFERROR(__xludf.DUMMYFUNCTION("""COMPUTED_VALUE"""),"")</f>
        <v/>
      </c>
      <c r="AE635" s="1" t="str">
        <f>IFERROR(__xludf.DUMMYFUNCTION("""COMPUTED_VALUE"""),"")</f>
        <v/>
      </c>
      <c r="AF635" s="2" t="str">
        <f>IFERROR(__xludf.DUMMYFUNCTION("""COMPUTED_VALUE"""),"https://www.change.org/p/oppose-large-scale-ai-data-center-development-in-the-mohawk-valley")</f>
        <v>https://www.change.org/p/oppose-large-scale-ai-data-center-development-in-the-mohawk-valley</v>
      </c>
      <c r="AG635" s="1" t="str">
        <f>IFERROR(__xludf.DUMMYFUNCTION("""COMPUTED_VALUE"""),"Brownfield site")</f>
        <v>Brownfield site</v>
      </c>
      <c r="AH635" s="1" t="str">
        <f>IFERROR(__xludf.DUMMYFUNCTION("""COMPUTED_VALUE"""),"Media Monitoring")</f>
        <v>Media Monitoring</v>
      </c>
      <c r="AI635" s="2" t="str">
        <f>IFERROR(__xludf.DUMMYFUNCTION("""COMPUTED_VALUE"""),"https://www.datacenterdynamics.com/en/news/former-remington-gun-factory-in-new-york-set-to-become-200mw-data-center/")</f>
        <v>https://www.datacenterdynamics.com/en/news/former-remington-gun-factory-in-new-york-set-to-become-200mw-data-center/</v>
      </c>
      <c r="AJ635" s="1" t="str">
        <f>IFERROR(__xludf.DUMMYFUNCTION("""COMPUTED_VALUE"""),"")</f>
        <v/>
      </c>
      <c r="AK635" s="1" t="str">
        <f>IFERROR(__xludf.DUMMYFUNCTION("""COMPUTED_VALUE"""),"")</f>
        <v/>
      </c>
      <c r="AL635" s="1" t="str">
        <f>IFERROR(__xludf.DUMMYFUNCTION("""COMPUTED_VALUE"""),"")</f>
        <v/>
      </c>
      <c r="AM635" s="1" t="str">
        <f>IFERROR(__xludf.DUMMYFUNCTION("""COMPUTED_VALUE"""),"")</f>
        <v/>
      </c>
      <c r="AN635" s="1" t="str">
        <f>IFERROR(__xludf.DUMMYFUNCTION("""COMPUTED_VALUE"""),"")</f>
        <v/>
      </c>
      <c r="AO635" s="1" t="str">
        <f>IFERROR(__xludf.DUMMYFUNCTION("""COMPUTED_VALUE"""),"")</f>
        <v/>
      </c>
      <c r="AP635" s="1" t="str">
        <f>IFERROR(__xludf.DUMMYFUNCTION("""COMPUTED_VALUE"""),"")</f>
        <v/>
      </c>
      <c r="AQ635" s="1" t="str">
        <f>IFERROR(__xludf.DUMMYFUNCTION("""COMPUTED_VALUE"""),"04/22/2026")</f>
        <v>04/22/2026</v>
      </c>
      <c r="AR635" s="1" t="str">
        <f>IFERROR(__xludf.DUMMYFUNCTION("""COMPUTED_VALUE"""),"04/22/2026")</f>
        <v>04/22/2026</v>
      </c>
    </row>
    <row r="636">
      <c r="A636" s="1" t="str">
        <f>IFERROR(__xludf.DUMMYFUNCTION("""COMPUTED_VALUE"""),"Lake Hawkeye Data Center")</f>
        <v>Lake Hawkeye Data Center</v>
      </c>
      <c r="B636" s="1" t="str">
        <f>IFERROR(__xludf.DUMMYFUNCTION("""COMPUTED_VALUE"""),"Miliken Station Rd")</f>
        <v>Miliken Station Rd</v>
      </c>
      <c r="C636" s="1" t="str">
        <f>IFERROR(__xludf.DUMMYFUNCTION("""COMPUTED_VALUE"""),"Lansing")</f>
        <v>Lansing</v>
      </c>
      <c r="D636" s="1" t="str">
        <f>IFERROR(__xludf.DUMMYFUNCTION("""COMPUTED_VALUE"""),"NY")</f>
        <v>NY</v>
      </c>
      <c r="E636" s="1" t="str">
        <f>IFERROR(__xludf.DUMMYFUNCTION("""COMPUTED_VALUE"""),"14882")</f>
        <v>14882</v>
      </c>
      <c r="F636" s="1" t="str">
        <f>IFERROR(__xludf.DUMMYFUNCTION("""COMPUTED_VALUE"""),"Tompkins County")</f>
        <v>Tompkins County</v>
      </c>
      <c r="G636" s="1" t="str">
        <f>IFERROR(__xludf.DUMMYFUNCTION("""COMPUTED_VALUE"""),"42.60211")</f>
        <v>42.60211</v>
      </c>
      <c r="H636" s="1" t="str">
        <f>IFERROR(__xludf.DUMMYFUNCTION("""COMPUTED_VALUE"""),"-76.635")</f>
        <v>-76.635</v>
      </c>
      <c r="I636" s="1" t="str">
        <f>IFERROR(__xludf.DUMMYFUNCTION("""COMPUTED_VALUE"""),"Proposed")</f>
        <v>Proposed</v>
      </c>
      <c r="J636" s="1" t="str">
        <f>IFERROR(__xludf.DUMMYFUNCTION("""COMPUTED_VALUE"""),"High")</f>
        <v>High</v>
      </c>
      <c r="K636" s="1" t="str">
        <f>IFERROR(__xludf.DUMMYFUNCTION("""COMPUTED_VALUE"""),"")</f>
        <v/>
      </c>
      <c r="L636" s="1" t="str">
        <f>IFERROR(__xludf.DUMMYFUNCTION("""COMPUTED_VALUE"""),"TeraWulf")</f>
        <v>TeraWulf</v>
      </c>
      <c r="M636" s="1" t="str">
        <f>IFERROR(__xludf.DUMMYFUNCTION("""COMPUTED_VALUE"""),"")</f>
        <v/>
      </c>
      <c r="N636" s="1" t="str">
        <f>IFERROR(__xludf.DUMMYFUNCTION("""COMPUTED_VALUE"""),"150")</f>
        <v>150</v>
      </c>
      <c r="O636" s="1" t="str">
        <f>IFERROR(__xludf.DUMMYFUNCTION("""COMPUTED_VALUE"""),"Hyperscale (100-999 MW)")</f>
        <v>Hyperscale (100-999 MW)</v>
      </c>
      <c r="P636" s="1" t="str">
        <f>IFERROR(__xludf.DUMMYFUNCTION("""COMPUTED_VALUE"""),"Solar, Grid (unspecified mix)")</f>
        <v>Solar, Grid (unspecified mix)</v>
      </c>
      <c r="Q636" s="1" t="str">
        <f>IFERROR(__xludf.DUMMYFUNCTION("""COMPUTED_VALUE"""),"")</f>
        <v/>
      </c>
      <c r="R636" s="1" t="str">
        <f>IFERROR(__xludf.DUMMYFUNCTION("""COMPUTED_VALUE"""),"")</f>
        <v/>
      </c>
      <c r="S636" s="1" t="str">
        <f>IFERROR(__xludf.DUMMYFUNCTION("""COMPUTED_VALUE"""),"4")</f>
        <v>4</v>
      </c>
      <c r="T636" s="1" t="str">
        <f>IFERROR(__xludf.DUMMYFUNCTION("""COMPUTED_VALUE"""),"")</f>
        <v/>
      </c>
      <c r="U636" s="1" t="str">
        <f>IFERROR(__xludf.DUMMYFUNCTION("""COMPUTED_VALUE"""),"Closed loop")</f>
        <v>Closed loop</v>
      </c>
      <c r="V636" s="1" t="str">
        <f>IFERROR(__xludf.DUMMYFUNCTION("""COMPUTED_VALUE"""),"1,360,000")</f>
        <v>1,360,000</v>
      </c>
      <c r="W636" s="1" t="str">
        <f>IFERROR(__xludf.DUMMYFUNCTION("""COMPUTED_VALUE"""),"183")</f>
        <v>183</v>
      </c>
      <c r="X636" s="1" t="str">
        <f>IFERROR(__xludf.DUMMYFUNCTION("""COMPUTED_VALUE"""),"")</f>
        <v/>
      </c>
      <c r="Y636" s="1" t="str">
        <f>IFERROR(__xludf.DUMMYFUNCTION("""COMPUTED_VALUE"""),"")</f>
        <v/>
      </c>
      <c r="Z636" s="1" t="str">
        <f>IFERROR(__xludf.DUMMYFUNCTION("""COMPUTED_VALUE"""),"Yes")</f>
        <v>Yes</v>
      </c>
      <c r="AA636" s="1" t="str">
        <f>IFERROR(__xludf.DUMMYFUNCTION("""COMPUTED_VALUE"""),"")</f>
        <v/>
      </c>
      <c r="AB636" s="1" t="str">
        <f>IFERROR(__xludf.DUMMYFUNCTION("""COMPUTED_VALUE"""),"Organized Advocacy")</f>
        <v>Organized Advocacy</v>
      </c>
      <c r="AC636" s="1" t="str">
        <f>IFERROR(__xludf.DUMMYFUNCTION("""COMPUTED_VALUE"""),"")</f>
        <v/>
      </c>
      <c r="AD636" s="2" t="str">
        <f>IFERROR(__xludf.DUMMYFUNCTION("""COMPUTED_VALUE"""),"https://www.nodatacenterflx.com/")</f>
        <v>https://www.nodatacenterflx.com/</v>
      </c>
      <c r="AE636" s="1" t="str">
        <f>IFERROR(__xludf.DUMMYFUNCTION("""COMPUTED_VALUE"""),"")</f>
        <v/>
      </c>
      <c r="AF636" s="2" t="str">
        <f>IFERROR(__xludf.DUMMYFUNCTION("""COMPUTED_VALUE"""),"https://actionnetwork.org/petitions/reject-the-development-of-an-ai-data-center-on-cayuga-lake")</f>
        <v>https://actionnetwork.org/petitions/reject-the-development-of-an-ai-data-center-on-cayuga-lake</v>
      </c>
      <c r="AG636" s="1" t="str">
        <f>IFERROR(__xludf.DUMMYFUNCTION("""COMPUTED_VALUE"""),"Data center and battery storage, former coal power plant. Up to 1 million plus sq feet. Phase 1 is western 3 buildings, followed by Phase 2, a single larger building east of those 3.")</f>
        <v>Data center and battery storage, former coal power plant. Up to 1 million plus sq feet. Phase 1 is western 3 buildings, followed by Phase 2, a single larger building east of those 3.</v>
      </c>
      <c r="AH636" s="1" t="str">
        <f>IFERROR(__xludf.DUMMYFUNCTION("""COMPUTED_VALUE"""),"Crowdsourced")</f>
        <v>Crowdsourced</v>
      </c>
      <c r="AI636" s="2" t="str">
        <f>IFERROR(__xludf.DUMMYFUNCTION("""COMPUTED_VALUE"""),"https://www.globenewswire.com/news-release/2025/08/14/3133326/0/en/TeraWulf-Secures-Long-Term-Ground-Lease-at-Cayuga-Site-to-Expand-High-Performance-Computing-Infrastructure.html")</f>
        <v>https://www.globenewswire.com/news-release/2025/08/14/3133326/0/en/TeraWulf-Secures-Long-Term-Ground-Lease-at-Cayuga-Site-to-Expand-High-Performance-Computing-Infrastructure.html</v>
      </c>
      <c r="AJ636" s="2" t="str">
        <f>IFERROR(__xludf.DUMMYFUNCTION("""COMPUTED_VALUE"""),"https://www.lansingtownny.gov/sites/default/files/fileattachments/town_board/meeting/3576/m121824.pdf#page=25")</f>
        <v>https://www.lansingtownny.gov/sites/default/files/fileattachments/town_board/meeting/3576/m121824.pdf#page=25</v>
      </c>
      <c r="AK636" s="2" t="str">
        <f>IFERROR(__xludf.DUMMYFUNCTION("""COMPUTED_VALUE"""),"https://waterfrontonline.blog/2019/05/17/cayuga-power-plant-wants-to-shut-down-convert-to-power-hungry-data-center/")</f>
        <v>https://waterfrontonline.blog/2019/05/17/cayuga-power-plant-wants-to-shut-down-convert-to-power-hungry-data-center/</v>
      </c>
      <c r="AL636" s="2" t="str">
        <f>IFERROR(__xludf.DUMMYFUNCTION("""COMPUTED_VALUE"""),"https://ithacavoice.org/2025/09/environmentalists-sound-alarm-as-plan-to-convert-cayuga-power-plant-to-data-center-advances/")</f>
        <v>https://ithacavoice.org/2025/09/environmentalists-sound-alarm-as-plan-to-convert-cayuga-power-plant-to-data-center-advances/</v>
      </c>
      <c r="AM636" s="2" t="str">
        <f>IFERROR(__xludf.DUMMYFUNCTION("""COMPUTED_VALUE"""),"https://tompkinsweekly.com/articles/cayuga-data-campus-lansing/")</f>
        <v>https://tompkinsweekly.com/articles/cayuga-data-campus-lansing/</v>
      </c>
      <c r="AN636" s="2" t="str">
        <f>IFERROR(__xludf.DUMMYFUNCTION("""COMPUTED_VALUE"""),"https://ithacavoice.org/2026/01/local-groups-file-suit-against-terawulf-lansing-zoning-board-over-data-center/")</f>
        <v>https://ithacavoice.org/2026/01/local-groups-file-suit-against-terawulf-lansing-zoning-board-over-data-center/</v>
      </c>
      <c r="AO636" s="2" t="str">
        <f>IFERROR(__xludf.DUMMYFUNCTION("""COMPUTED_VALUE"""),"https://www.ithaca.com/news/lansing/flx-strong-clean-file-lawsuit-against-lansing-zba-terawulf-to-block-data-center/article_97b45f0f-c849-497c-9daa-6040f1f1710b.html")</f>
        <v>https://www.ithaca.com/news/lansing/flx-strong-clean-file-lawsuit-against-lansing-zba-terawulf-to-block-data-center/article_97b45f0f-c849-497c-9daa-6040f1f1710b.html</v>
      </c>
      <c r="AP636" s="1" t="str">
        <f>IFERROR(__xludf.DUMMYFUNCTION("""COMPUTED_VALUE"""),"")</f>
        <v/>
      </c>
      <c r="AQ636" s="1" t="str">
        <f>IFERROR(__xludf.DUMMYFUNCTION("""COMPUTED_VALUE"""),"08/14/2025")</f>
        <v>08/14/2025</v>
      </c>
      <c r="AR636" s="1" t="str">
        <f>IFERROR(__xludf.DUMMYFUNCTION("""COMPUTED_VALUE"""),"05/11/2026")</f>
        <v>05/11/2026</v>
      </c>
    </row>
    <row r="637">
      <c r="A637" s="1" t="str">
        <f>IFERROR(__xludf.DUMMYFUNCTION("""COMPUTED_VALUE"""),"H5 Data Center")</f>
        <v>H5 Data Center</v>
      </c>
      <c r="B637" s="1" t="str">
        <f>IFERROR(__xludf.DUMMYFUNCTION("""COMPUTED_VALUE"""),"5365 Crown Dr and 5319 Enterprise Dr")</f>
        <v>5365 Crown Dr and 5319 Enterprise Dr</v>
      </c>
      <c r="C637" s="1" t="str">
        <f>IFERROR(__xludf.DUMMYFUNCTION("""COMPUTED_VALUE"""),"Lockport")</f>
        <v>Lockport</v>
      </c>
      <c r="D637" s="1" t="str">
        <f>IFERROR(__xludf.DUMMYFUNCTION("""COMPUTED_VALUE"""),"NY")</f>
        <v>NY</v>
      </c>
      <c r="E637" s="1" t="str">
        <f>IFERROR(__xludf.DUMMYFUNCTION("""COMPUTED_VALUE"""),"14094")</f>
        <v>14094</v>
      </c>
      <c r="F637" s="1" t="str">
        <f>IFERROR(__xludf.DUMMYFUNCTION("""COMPUTED_VALUE"""),"Niagara")</f>
        <v>Niagara</v>
      </c>
      <c r="G637" s="1" t="str">
        <f>IFERROR(__xludf.DUMMYFUNCTION("""COMPUTED_VALUE"""),"43.169827")</f>
        <v>43.169827</v>
      </c>
      <c r="H637" s="1" t="str">
        <f>IFERROR(__xludf.DUMMYFUNCTION("""COMPUTED_VALUE"""),"-78.74797")</f>
        <v>-78.74797</v>
      </c>
      <c r="I637" s="1" t="str">
        <f>IFERROR(__xludf.DUMMYFUNCTION("""COMPUTED_VALUE"""),"Operating")</f>
        <v>Operating</v>
      </c>
      <c r="J637" s="1" t="str">
        <f>IFERROR(__xludf.DUMMYFUNCTION("""COMPUTED_VALUE"""),"High")</f>
        <v>High</v>
      </c>
      <c r="K637" s="1" t="str">
        <f>IFERROR(__xludf.DUMMYFUNCTION("""COMPUTED_VALUE"""),"")</f>
        <v/>
      </c>
      <c r="L637" s="1" t="str">
        <f>IFERROR(__xludf.DUMMYFUNCTION("""COMPUTED_VALUE"""),"")</f>
        <v/>
      </c>
      <c r="M637" s="1" t="str">
        <f>IFERROR(__xludf.DUMMYFUNCTION("""COMPUTED_VALUE"""),"")</f>
        <v/>
      </c>
      <c r="N637" s="1" t="str">
        <f>IFERROR(__xludf.DUMMYFUNCTION("""COMPUTED_VALUE"""),"44")</f>
        <v>44</v>
      </c>
      <c r="O637" s="1" t="str">
        <f>IFERROR(__xludf.DUMMYFUNCTION("""COMPUTED_VALUE"""),"Medium (11-50 MW)")</f>
        <v>Medium (11-50 MW)</v>
      </c>
      <c r="P637" s="1" t="str">
        <f>IFERROR(__xludf.DUMMYFUNCTION("""COMPUTED_VALUE"""),"")</f>
        <v/>
      </c>
      <c r="Q637" s="1" t="str">
        <f>IFERROR(__xludf.DUMMYFUNCTION("""COMPUTED_VALUE"""),"")</f>
        <v/>
      </c>
      <c r="R637" s="1" t="str">
        <f>IFERROR(__xludf.DUMMYFUNCTION("""COMPUTED_VALUE"""),"")</f>
        <v/>
      </c>
      <c r="S637" s="1" t="str">
        <f>IFERROR(__xludf.DUMMYFUNCTION("""COMPUTED_VALUE"""),"8")</f>
        <v>8</v>
      </c>
      <c r="T637" s="1" t="str">
        <f>IFERROR(__xludf.DUMMYFUNCTION("""COMPUTED_VALUE"""),"")</f>
        <v/>
      </c>
      <c r="U637" s="1" t="str">
        <f>IFERROR(__xludf.DUMMYFUNCTION("""COMPUTED_VALUE"""),"")</f>
        <v/>
      </c>
      <c r="V637" s="1" t="str">
        <f>IFERROR(__xludf.DUMMYFUNCTION("""COMPUTED_VALUE"""),"409,200")</f>
        <v>409,200</v>
      </c>
      <c r="W637" s="1" t="str">
        <f>IFERROR(__xludf.DUMMYFUNCTION("""COMPUTED_VALUE"""),"43")</f>
        <v>43</v>
      </c>
      <c r="X637" s="1" t="str">
        <f>IFERROR(__xludf.DUMMYFUNCTION("""COMPUTED_VALUE"""),"")</f>
        <v/>
      </c>
      <c r="Y637" s="1" t="str">
        <f>IFERROR(__xludf.DUMMYFUNCTION("""COMPUTED_VALUE"""),"")</f>
        <v/>
      </c>
      <c r="Z637" s="1" t="str">
        <f>IFERROR(__xludf.DUMMYFUNCTION("""COMPUTED_VALUE"""),"Unknown")</f>
        <v>Unknown</v>
      </c>
      <c r="AA637" s="1" t="str">
        <f>IFERROR(__xludf.DUMMYFUNCTION("""COMPUTED_VALUE"""),"")</f>
        <v/>
      </c>
      <c r="AB637" s="1" t="str">
        <f>IFERROR(__xludf.DUMMYFUNCTION("""COMPUTED_VALUE"""),"")</f>
        <v/>
      </c>
      <c r="AC637" s="1" t="str">
        <f>IFERROR(__xludf.DUMMYFUNCTION("""COMPUTED_VALUE"""),"")</f>
        <v/>
      </c>
      <c r="AD637" s="1" t="str">
        <f>IFERROR(__xludf.DUMMYFUNCTION("""COMPUTED_VALUE"""),"")</f>
        <v/>
      </c>
      <c r="AE637" s="1" t="str">
        <f>IFERROR(__xludf.DUMMYFUNCTION("""COMPUTED_VALUE"""),"")</f>
        <v/>
      </c>
      <c r="AF637" s="1" t="str">
        <f>IFERROR(__xludf.DUMMYFUNCTION("""COMPUTED_VALUE"""),"")</f>
        <v/>
      </c>
      <c r="AG637" s="1" t="str">
        <f>IFERROR(__xludf.DUMMYFUNCTION("""COMPUTED_VALUE"""),"2 data centers")</f>
        <v>2 data centers</v>
      </c>
      <c r="AH637" s="1" t="str">
        <f>IFERROR(__xludf.DUMMYFUNCTION("""COMPUTED_VALUE"""),"Media Monitoring")</f>
        <v>Media Monitoring</v>
      </c>
      <c r="AI637" s="2" t="str">
        <f>IFERROR(__xludf.DUMMYFUNCTION("""COMPUTED_VALUE"""),"https://www.datacenterdynamics.com/en/news/h5-acquires-new-york-data-centers-from-yahoo-in-sale-leaseback-deal/")</f>
        <v>https://www.datacenterdynamics.com/en/news/h5-acquires-new-york-data-centers-from-yahoo-in-sale-leaseback-deal/</v>
      </c>
      <c r="AJ637" s="1" t="str">
        <f>IFERROR(__xludf.DUMMYFUNCTION("""COMPUTED_VALUE"""),"")</f>
        <v/>
      </c>
      <c r="AK637" s="1" t="str">
        <f>IFERROR(__xludf.DUMMYFUNCTION("""COMPUTED_VALUE"""),"")</f>
        <v/>
      </c>
      <c r="AL637" s="1" t="str">
        <f>IFERROR(__xludf.DUMMYFUNCTION("""COMPUTED_VALUE"""),"")</f>
        <v/>
      </c>
      <c r="AM637" s="1" t="str">
        <f>IFERROR(__xludf.DUMMYFUNCTION("""COMPUTED_VALUE"""),"")</f>
        <v/>
      </c>
      <c r="AN637" s="1" t="str">
        <f>IFERROR(__xludf.DUMMYFUNCTION("""COMPUTED_VALUE"""),"")</f>
        <v/>
      </c>
      <c r="AO637" s="1" t="str">
        <f>IFERROR(__xludf.DUMMYFUNCTION("""COMPUTED_VALUE"""),"")</f>
        <v/>
      </c>
      <c r="AP637" s="1" t="str">
        <f>IFERROR(__xludf.DUMMYFUNCTION("""COMPUTED_VALUE"""),"")</f>
        <v/>
      </c>
      <c r="AQ637" s="1" t="str">
        <f>IFERROR(__xludf.DUMMYFUNCTION("""COMPUTED_VALUE"""),"11/14/2025")</f>
        <v>11/14/2025</v>
      </c>
      <c r="AR637" s="1" t="str">
        <f>IFERROR(__xludf.DUMMYFUNCTION("""COMPUTED_VALUE"""),"11/14/2025")</f>
        <v>11/14/2025</v>
      </c>
    </row>
    <row r="638">
      <c r="A638" s="1" t="str">
        <f>IFERROR(__xludf.DUMMYFUNCTION("""COMPUTED_VALUE"""),"Ranalli Super DC, LLC Data Center")</f>
        <v>Ranalli Super DC, LLC Data Center</v>
      </c>
      <c r="B638" s="1" t="str">
        <f>IFERROR(__xludf.DUMMYFUNCTION("""COMPUTED_VALUE"""),"Hencle Blvd and Rt 48")</f>
        <v>Hencle Blvd and Rt 48</v>
      </c>
      <c r="C638" s="1" t="str">
        <f>IFERROR(__xludf.DUMMYFUNCTION("""COMPUTED_VALUE"""),"Lysander")</f>
        <v>Lysander</v>
      </c>
      <c r="D638" s="1" t="str">
        <f>IFERROR(__xludf.DUMMYFUNCTION("""COMPUTED_VALUE"""),"NY")</f>
        <v>NY</v>
      </c>
      <c r="E638" s="1" t="str">
        <f>IFERROR(__xludf.DUMMYFUNCTION("""COMPUTED_VALUE"""),"13027")</f>
        <v>13027</v>
      </c>
      <c r="F638" s="1" t="str">
        <f>IFERROR(__xludf.DUMMYFUNCTION("""COMPUTED_VALUE"""),"Onondaga")</f>
        <v>Onondaga</v>
      </c>
      <c r="G638" s="1" t="str">
        <f>IFERROR(__xludf.DUMMYFUNCTION("""COMPUTED_VALUE"""),"43.18687")</f>
        <v>43.18687</v>
      </c>
      <c r="H638" s="1" t="str">
        <f>IFERROR(__xludf.DUMMYFUNCTION("""COMPUTED_VALUE"""),"-76.35703")</f>
        <v>-76.35703</v>
      </c>
      <c r="I638" s="1" t="str">
        <f>IFERROR(__xludf.DUMMYFUNCTION("""COMPUTED_VALUE"""),"Proposed")</f>
        <v>Proposed</v>
      </c>
      <c r="J638" s="1" t="str">
        <f>IFERROR(__xludf.DUMMYFUNCTION("""COMPUTED_VALUE"""),"High")</f>
        <v>High</v>
      </c>
      <c r="K638" s="1" t="str">
        <f>IFERROR(__xludf.DUMMYFUNCTION("""COMPUTED_VALUE"""),"")</f>
        <v/>
      </c>
      <c r="L638" s="1" t="str">
        <f>IFERROR(__xludf.DUMMYFUNCTION("""COMPUTED_VALUE"""),"")</f>
        <v/>
      </c>
      <c r="M638" s="1" t="str">
        <f>IFERROR(__xludf.DUMMYFUNCTION("""COMPUTED_VALUE"""),"")</f>
        <v/>
      </c>
      <c r="N638" s="1" t="str">
        <f>IFERROR(__xludf.DUMMYFUNCTION("""COMPUTED_VALUE"""),"300")</f>
        <v>300</v>
      </c>
      <c r="O638" s="1" t="str">
        <f>IFERROR(__xludf.DUMMYFUNCTION("""COMPUTED_VALUE"""),"Hyperscale (100-999 MW)")</f>
        <v>Hyperscale (100-999 MW)</v>
      </c>
      <c r="P638" s="1" t="str">
        <f>IFERROR(__xludf.DUMMYFUNCTION("""COMPUTED_VALUE"""),"")</f>
        <v/>
      </c>
      <c r="Q638" s="1" t="str">
        <f>IFERROR(__xludf.DUMMYFUNCTION("""COMPUTED_VALUE"""),"")</f>
        <v/>
      </c>
      <c r="R638" s="1" t="str">
        <f>IFERROR(__xludf.DUMMYFUNCTION("""COMPUTED_VALUE"""),"")</f>
        <v/>
      </c>
      <c r="S638" s="1" t="str">
        <f>IFERROR(__xludf.DUMMYFUNCTION("""COMPUTED_VALUE"""),"")</f>
        <v/>
      </c>
      <c r="T638" s="1" t="str">
        <f>IFERROR(__xludf.DUMMYFUNCTION("""COMPUTED_VALUE"""),"")</f>
        <v/>
      </c>
      <c r="U638" s="1" t="str">
        <f>IFERROR(__xludf.DUMMYFUNCTION("""COMPUTED_VALUE"""),"")</f>
        <v/>
      </c>
      <c r="V638" s="1" t="str">
        <f>IFERROR(__xludf.DUMMYFUNCTION("""COMPUTED_VALUE"""),"")</f>
        <v/>
      </c>
      <c r="W638" s="1" t="str">
        <f>IFERROR(__xludf.DUMMYFUNCTION("""COMPUTED_VALUE"""),"124")</f>
        <v>124</v>
      </c>
      <c r="X638" s="1" t="str">
        <f>IFERROR(__xludf.DUMMYFUNCTION("""COMPUTED_VALUE"""),"$4-8 billion")</f>
        <v>$4-8 billion</v>
      </c>
      <c r="Y638" s="1" t="str">
        <f>IFERROR(__xludf.DUMMYFUNCTION("""COMPUTED_VALUE"""),"")</f>
        <v/>
      </c>
      <c r="Z638" s="1" t="str">
        <f>IFERROR(__xludf.DUMMYFUNCTION("""COMPUTED_VALUE"""),"Yes")</f>
        <v>Yes</v>
      </c>
      <c r="AA638" s="1" t="str">
        <f>IFERROR(__xludf.DUMMYFUNCTION("""COMPUTED_VALUE"""),"")</f>
        <v/>
      </c>
      <c r="AB638" s="1" t="str">
        <f>IFERROR(__xludf.DUMMYFUNCTION("""COMPUTED_VALUE"""),"Organized Advocacy")</f>
        <v>Organized Advocacy</v>
      </c>
      <c r="AC638" s="1" t="str">
        <f>IFERROR(__xludf.DUMMYFUNCTION("""COMPUTED_VALUE"""),"")</f>
        <v/>
      </c>
      <c r="AD638" s="1" t="str">
        <f>IFERROR(__xludf.DUMMYFUNCTION("""COMPUTED_VALUE"""),"")</f>
        <v/>
      </c>
      <c r="AE638" s="1" t="str">
        <f>IFERROR(__xludf.DUMMYFUNCTION("""COMPUTED_VALUE"""),"")</f>
        <v/>
      </c>
      <c r="AF638" s="2" t="str">
        <f>IFERROR(__xludf.DUMMYFUNCTION("""COMPUTED_VALUE"""),"https://www.petitions.com/data_center_moratorium_in_lysander_ny")</f>
        <v>https://www.petitions.com/data_center_moratorium_in_lysander_ny</v>
      </c>
      <c r="AG638" s="1" t="str">
        <f>IFERROR(__xludf.DUMMYFUNCTION("""COMPUTED_VALUE"""),"energy draw equivalent to 200,000 households. Adjacent to Three Rivers Wildlife Area")</f>
        <v>energy draw equivalent to 200,000 households. Adjacent to Three Rivers Wildlife Area</v>
      </c>
      <c r="AH638" s="1" t="str">
        <f>IFERROR(__xludf.DUMMYFUNCTION("""COMPUTED_VALUE"""),"Media Monitoring")</f>
        <v>Media Monitoring</v>
      </c>
      <c r="AI638" s="2" t="str">
        <f>IFERROR(__xludf.DUMMYFUNCTION("""COMPUTED_VALUE"""),"https://www.syracuse.com/news/2025/11/prominent-syracuse-developer-plans-for-data-center-at-suburban-site-of-scuttled-warehouse.html")</f>
        <v>https://www.syracuse.com/news/2025/11/prominent-syracuse-developer-plans-for-data-center-at-suburban-site-of-scuttled-warehouse.html</v>
      </c>
      <c r="AJ638" s="2" t="str">
        <f>IFERROR(__xludf.DUMMYFUNCTION("""COMPUTED_VALUE"""),"https://cnycentral.com/news/local/lysander-residents-challenge-potential-data-cen")</f>
        <v>https://cnycentral.com/news/local/lysander-residents-challenge-potential-data-cen</v>
      </c>
      <c r="AK638" s="2" t="str">
        <f>IFERROR(__xludf.DUMMYFUNCTION("""COMPUTED_VALUE"""),"https://www.syracuse.com/news/2026/04/lysander-town-board-moves-forward-on-data-center-moratorium-as-massive-project-looms.html")</f>
        <v>https://www.syracuse.com/news/2026/04/lysander-town-board-moves-forward-on-data-center-moratorium-as-massive-project-looms.html</v>
      </c>
      <c r="AL638" s="1" t="str">
        <f>IFERROR(__xludf.DUMMYFUNCTION("""COMPUTED_VALUE"""),"")</f>
        <v/>
      </c>
      <c r="AM638" s="1" t="str">
        <f>IFERROR(__xludf.DUMMYFUNCTION("""COMPUTED_VALUE"""),"")</f>
        <v/>
      </c>
      <c r="AN638" s="1" t="str">
        <f>IFERROR(__xludf.DUMMYFUNCTION("""COMPUTED_VALUE"""),"")</f>
        <v/>
      </c>
      <c r="AO638" s="1" t="str">
        <f>IFERROR(__xludf.DUMMYFUNCTION("""COMPUTED_VALUE"""),"")</f>
        <v/>
      </c>
      <c r="AP638" s="1" t="str">
        <f>IFERROR(__xludf.DUMMYFUNCTION("""COMPUTED_VALUE"""),"")</f>
        <v/>
      </c>
      <c r="AQ638" s="1" t="str">
        <f>IFERROR(__xludf.DUMMYFUNCTION("""COMPUTED_VALUE"""),"11/26/2025")</f>
        <v>11/26/2025</v>
      </c>
      <c r="AR638" s="1" t="str">
        <f>IFERROR(__xludf.DUMMYFUNCTION("""COMPUTED_VALUE"""),"04/26/2026")</f>
        <v>04/26/2026</v>
      </c>
    </row>
    <row r="639">
      <c r="A639" s="1" t="str">
        <f>IFERROR(__xludf.DUMMYFUNCTION("""COMPUTED_VALUE"""),"Former Sears Data Center")</f>
        <v>Former Sears Data Center</v>
      </c>
      <c r="B639" s="1" t="str">
        <f>IFERROR(__xludf.DUMMYFUNCTION("""COMPUTED_VALUE"""),"6100 St Lawrence Centre SR 37")</f>
        <v>6100 St Lawrence Centre SR 37</v>
      </c>
      <c r="C639" s="1" t="str">
        <f>IFERROR(__xludf.DUMMYFUNCTION("""COMPUTED_VALUE"""),"Massena")</f>
        <v>Massena</v>
      </c>
      <c r="D639" s="1" t="str">
        <f>IFERROR(__xludf.DUMMYFUNCTION("""COMPUTED_VALUE"""),"NY")</f>
        <v>NY</v>
      </c>
      <c r="E639" s="1" t="str">
        <f>IFERROR(__xludf.DUMMYFUNCTION("""COMPUTED_VALUE"""),"13662")</f>
        <v>13662</v>
      </c>
      <c r="F639" s="1" t="str">
        <f>IFERROR(__xludf.DUMMYFUNCTION("""COMPUTED_VALUE"""),"St. Lawrence")</f>
        <v>St. Lawrence</v>
      </c>
      <c r="G639" s="1" t="str">
        <f>IFERROR(__xludf.DUMMYFUNCTION("""COMPUTED_VALUE"""),"44.948536")</f>
        <v>44.948536</v>
      </c>
      <c r="H639" s="1" t="str">
        <f>IFERROR(__xludf.DUMMYFUNCTION("""COMPUTED_VALUE"""),"-74.84243")</f>
        <v>-74.84243</v>
      </c>
      <c r="I639" s="1" t="str">
        <f>IFERROR(__xludf.DUMMYFUNCTION("""COMPUTED_VALUE"""),"Proposed")</f>
        <v>Proposed</v>
      </c>
      <c r="J639" s="1" t="str">
        <f>IFERROR(__xludf.DUMMYFUNCTION("""COMPUTED_VALUE"""),"High")</f>
        <v>High</v>
      </c>
      <c r="K639" s="1" t="str">
        <f>IFERROR(__xludf.DUMMYFUNCTION("""COMPUTED_VALUE"""),"")</f>
        <v/>
      </c>
      <c r="L639" s="1" t="str">
        <f>IFERROR(__xludf.DUMMYFUNCTION("""COMPUTED_VALUE"""),"")</f>
        <v/>
      </c>
      <c r="M639" s="1" t="str">
        <f>IFERROR(__xludf.DUMMYFUNCTION("""COMPUTED_VALUE"""),"")</f>
        <v/>
      </c>
      <c r="N639" s="1" t="str">
        <f>IFERROR(__xludf.DUMMYFUNCTION("""COMPUTED_VALUE"""),"")</f>
        <v/>
      </c>
      <c r="O639" s="1" t="str">
        <f>IFERROR(__xludf.DUMMYFUNCTION("""COMPUTED_VALUE"""),"Unknown")</f>
        <v>Unknown</v>
      </c>
      <c r="P639" s="1" t="str">
        <f>IFERROR(__xludf.DUMMYFUNCTION("""COMPUTED_VALUE"""),"")</f>
        <v/>
      </c>
      <c r="Q639" s="1" t="str">
        <f>IFERROR(__xludf.DUMMYFUNCTION("""COMPUTED_VALUE"""),"")</f>
        <v/>
      </c>
      <c r="R639" s="1" t="str">
        <f>IFERROR(__xludf.DUMMYFUNCTION("""COMPUTED_VALUE"""),"")</f>
        <v/>
      </c>
      <c r="S639" s="1" t="str">
        <f>IFERROR(__xludf.DUMMYFUNCTION("""COMPUTED_VALUE"""),"")</f>
        <v/>
      </c>
      <c r="T639" s="1" t="str">
        <f>IFERROR(__xludf.DUMMYFUNCTION("""COMPUTED_VALUE"""),"")</f>
        <v/>
      </c>
      <c r="U639" s="1" t="str">
        <f>IFERROR(__xludf.DUMMYFUNCTION("""COMPUTED_VALUE"""),"")</f>
        <v/>
      </c>
      <c r="V639" s="1" t="str">
        <f>IFERROR(__xludf.DUMMYFUNCTION("""COMPUTED_VALUE"""),"")</f>
        <v/>
      </c>
      <c r="W639" s="1" t="str">
        <f>IFERROR(__xludf.DUMMYFUNCTION("""COMPUTED_VALUE"""),"")</f>
        <v/>
      </c>
      <c r="X639" s="1" t="str">
        <f>IFERROR(__xludf.DUMMYFUNCTION("""COMPUTED_VALUE"""),"")</f>
        <v/>
      </c>
      <c r="Y639" s="1" t="str">
        <f>IFERROR(__xludf.DUMMYFUNCTION("""COMPUTED_VALUE"""),"")</f>
        <v/>
      </c>
      <c r="Z639" s="1" t="str">
        <f>IFERROR(__xludf.DUMMYFUNCTION("""COMPUTED_VALUE"""),"Unknown")</f>
        <v>Unknown</v>
      </c>
      <c r="AA639" s="1" t="str">
        <f>IFERROR(__xludf.DUMMYFUNCTION("""COMPUTED_VALUE"""),"")</f>
        <v/>
      </c>
      <c r="AB639" s="1" t="str">
        <f>IFERROR(__xludf.DUMMYFUNCTION("""COMPUTED_VALUE"""),"")</f>
        <v/>
      </c>
      <c r="AC639" s="1" t="str">
        <f>IFERROR(__xludf.DUMMYFUNCTION("""COMPUTED_VALUE"""),"")</f>
        <v/>
      </c>
      <c r="AD639" s="1" t="str">
        <f>IFERROR(__xludf.DUMMYFUNCTION("""COMPUTED_VALUE"""),"")</f>
        <v/>
      </c>
      <c r="AE639" s="1" t="str">
        <f>IFERROR(__xludf.DUMMYFUNCTION("""COMPUTED_VALUE"""),"")</f>
        <v/>
      </c>
      <c r="AF639" s="1" t="str">
        <f>IFERROR(__xludf.DUMMYFUNCTION("""COMPUTED_VALUE"""),"")</f>
        <v/>
      </c>
      <c r="AG639" s="1" t="str">
        <f>IFERROR(__xludf.DUMMYFUNCTION("""COMPUTED_VALUE"""),"Potential bitcoin or data center in 2020")</f>
        <v>Potential bitcoin or data center in 2020</v>
      </c>
      <c r="AH639" s="1" t="str">
        <f>IFERROR(__xludf.DUMMYFUNCTION("""COMPUTED_VALUE"""),"Media Monitoring")</f>
        <v>Media Monitoring</v>
      </c>
      <c r="AI639" s="2" t="str">
        <f>IFERROR(__xludf.DUMMYFUNCTION("""COMPUTED_VALUE"""),"https://www.datacenterdynamics.com/en/news/st-lawrence-county-planning-board-approves-conversion-sears-store-data-center/")</f>
        <v>https://www.datacenterdynamics.com/en/news/st-lawrence-county-planning-board-approves-conversion-sears-store-data-center/</v>
      </c>
      <c r="AJ639" s="2" t="str">
        <f>IFERROR(__xludf.DUMMYFUNCTION("""COMPUTED_VALUE"""),"https://www.govtech.com/policy/upstate-new-york-planning-board-converts-sears-to-data-center.html")</f>
        <v>https://www.govtech.com/policy/upstate-new-york-planning-board-converts-sears-to-data-center.html</v>
      </c>
      <c r="AK639" s="2" t="str">
        <f>IFERROR(__xludf.DUMMYFUNCTION("""COMPUTED_VALUE"""),"https://finance.yahoo.com/news/former-massena-mall-now-industrial-035900751.html")</f>
        <v>https://finance.yahoo.com/news/former-massena-mall-now-industrial-035900751.html</v>
      </c>
      <c r="AL639" s="1" t="str">
        <f>IFERROR(__xludf.DUMMYFUNCTION("""COMPUTED_VALUE"""),"")</f>
        <v/>
      </c>
      <c r="AM639" s="1" t="str">
        <f>IFERROR(__xludf.DUMMYFUNCTION("""COMPUTED_VALUE"""),"")</f>
        <v/>
      </c>
      <c r="AN639" s="1" t="str">
        <f>IFERROR(__xludf.DUMMYFUNCTION("""COMPUTED_VALUE"""),"")</f>
        <v/>
      </c>
      <c r="AO639" s="1" t="str">
        <f>IFERROR(__xludf.DUMMYFUNCTION("""COMPUTED_VALUE"""),"")</f>
        <v/>
      </c>
      <c r="AP639" s="1" t="str">
        <f>IFERROR(__xludf.DUMMYFUNCTION("""COMPUTED_VALUE"""),"")</f>
        <v/>
      </c>
      <c r="AQ639" s="1" t="str">
        <f>IFERROR(__xludf.DUMMYFUNCTION("""COMPUTED_VALUE"""),"11/14/2025")</f>
        <v>11/14/2025</v>
      </c>
      <c r="AR639" s="1" t="str">
        <f>IFERROR(__xludf.DUMMYFUNCTION("""COMPUTED_VALUE"""),"11/14/2025")</f>
        <v>11/14/2025</v>
      </c>
    </row>
    <row r="640">
      <c r="A640" s="1" t="str">
        <f>IFERROR(__xludf.DUMMYFUNCTION("""COMPUTED_VALUE"""),"New York State Artificial Intelligence Data Center")</f>
        <v>New York State Artificial Intelligence Data Center</v>
      </c>
      <c r="B640" s="1" t="str">
        <f>IFERROR(__xludf.DUMMYFUNCTION("""COMPUTED_VALUE"""),"Rt 42 and Horton Rd")</f>
        <v>Rt 42 and Horton Rd</v>
      </c>
      <c r="C640" s="1" t="str">
        <f>IFERROR(__xludf.DUMMYFUNCTION("""COMPUTED_VALUE"""),"Massena")</f>
        <v>Massena</v>
      </c>
      <c r="D640" s="1" t="str">
        <f>IFERROR(__xludf.DUMMYFUNCTION("""COMPUTED_VALUE"""),"NY")</f>
        <v>NY</v>
      </c>
      <c r="E640" s="1" t="str">
        <f>IFERROR(__xludf.DUMMYFUNCTION("""COMPUTED_VALUE"""),"13662")</f>
        <v>13662</v>
      </c>
      <c r="F640" s="1" t="str">
        <f>IFERROR(__xludf.DUMMYFUNCTION("""COMPUTED_VALUE"""),"St. Lawrence")</f>
        <v>St. Lawrence</v>
      </c>
      <c r="G640" s="1" t="str">
        <f>IFERROR(__xludf.DUMMYFUNCTION("""COMPUTED_VALUE"""),"44.95557")</f>
        <v>44.95557</v>
      </c>
      <c r="H640" s="1" t="str">
        <f>IFERROR(__xludf.DUMMYFUNCTION("""COMPUTED_VALUE"""),"-74.853615")</f>
        <v>-74.853615</v>
      </c>
      <c r="I640" s="1" t="str">
        <f>IFERROR(__xludf.DUMMYFUNCTION("""COMPUTED_VALUE"""),"Cancelled")</f>
        <v>Cancelled</v>
      </c>
      <c r="J640" s="1" t="str">
        <f>IFERROR(__xludf.DUMMYFUNCTION("""COMPUTED_VALUE"""),"Medium")</f>
        <v>Medium</v>
      </c>
      <c r="K640" s="1" t="str">
        <f>IFERROR(__xludf.DUMMYFUNCTION("""COMPUTED_VALUE"""),"")</f>
        <v/>
      </c>
      <c r="L640" s="1" t="str">
        <f>IFERROR(__xludf.DUMMYFUNCTION("""COMPUTED_VALUE"""),"")</f>
        <v/>
      </c>
      <c r="M640" s="1" t="str">
        <f>IFERROR(__xludf.DUMMYFUNCTION("""COMPUTED_VALUE"""),"")</f>
        <v/>
      </c>
      <c r="N640" s="1" t="str">
        <f>IFERROR(__xludf.DUMMYFUNCTION("""COMPUTED_VALUE"""),"300")</f>
        <v>300</v>
      </c>
      <c r="O640" s="1" t="str">
        <f>IFERROR(__xludf.DUMMYFUNCTION("""COMPUTED_VALUE"""),"Hyperscale (100-999 MW)")</f>
        <v>Hyperscale (100-999 MW)</v>
      </c>
      <c r="P640" s="1" t="str">
        <f>IFERROR(__xludf.DUMMYFUNCTION("""COMPUTED_VALUE"""),"")</f>
        <v/>
      </c>
      <c r="Q640" s="1" t="str">
        <f>IFERROR(__xludf.DUMMYFUNCTION("""COMPUTED_VALUE"""),"")</f>
        <v/>
      </c>
      <c r="R640" s="1" t="str">
        <f>IFERROR(__xludf.DUMMYFUNCTION("""COMPUTED_VALUE"""),"")</f>
        <v/>
      </c>
      <c r="S640" s="1" t="str">
        <f>IFERROR(__xludf.DUMMYFUNCTION("""COMPUTED_VALUE"""),"")</f>
        <v/>
      </c>
      <c r="T640" s="1" t="str">
        <f>IFERROR(__xludf.DUMMYFUNCTION("""COMPUTED_VALUE"""),"")</f>
        <v/>
      </c>
      <c r="U640" s="1" t="str">
        <f>IFERROR(__xludf.DUMMYFUNCTION("""COMPUTED_VALUE"""),"")</f>
        <v/>
      </c>
      <c r="V640" s="1" t="str">
        <f>IFERROR(__xludf.DUMMYFUNCTION("""COMPUTED_VALUE"""),"")</f>
        <v/>
      </c>
      <c r="W640" s="1" t="str">
        <f>IFERROR(__xludf.DUMMYFUNCTION("""COMPUTED_VALUE"""),"")</f>
        <v/>
      </c>
      <c r="X640" s="1" t="str">
        <f>IFERROR(__xludf.DUMMYFUNCTION("""COMPUTED_VALUE"""),"")</f>
        <v/>
      </c>
      <c r="Y640" s="1" t="str">
        <f>IFERROR(__xludf.DUMMYFUNCTION("""COMPUTED_VALUE"""),"")</f>
        <v/>
      </c>
      <c r="Z640" s="1" t="str">
        <f>IFERROR(__xludf.DUMMYFUNCTION("""COMPUTED_VALUE"""),"Unknown")</f>
        <v>Unknown</v>
      </c>
      <c r="AA640" s="1" t="str">
        <f>IFERROR(__xludf.DUMMYFUNCTION("""COMPUTED_VALUE"""),"")</f>
        <v/>
      </c>
      <c r="AB640" s="1" t="str">
        <f>IFERROR(__xludf.DUMMYFUNCTION("""COMPUTED_VALUE"""),"")</f>
        <v/>
      </c>
      <c r="AC640" s="1" t="str">
        <f>IFERROR(__xludf.DUMMYFUNCTION("""COMPUTED_VALUE"""),"")</f>
        <v/>
      </c>
      <c r="AD640" s="1" t="str">
        <f>IFERROR(__xludf.DUMMYFUNCTION("""COMPUTED_VALUE"""),"")</f>
        <v/>
      </c>
      <c r="AE640" s="1" t="str">
        <f>IFERROR(__xludf.DUMMYFUNCTION("""COMPUTED_VALUE"""),"")</f>
        <v/>
      </c>
      <c r="AF640" s="1" t="str">
        <f>IFERROR(__xludf.DUMMYFUNCTION("""COMPUTED_VALUE"""),"")</f>
        <v/>
      </c>
      <c r="AG640" s="1" t="str">
        <f>IFERROR(__xludf.DUMMYFUNCTION("""COMPUTED_VALUE"""),"")</f>
        <v/>
      </c>
      <c r="AH640" s="1" t="str">
        <f>IFERROR(__xludf.DUMMYFUNCTION("""COMPUTED_VALUE"""),"Media Monitoring")</f>
        <v>Media Monitoring</v>
      </c>
      <c r="AI640" s="2" t="str">
        <f>IFERROR(__xludf.DUMMYFUNCTION("""COMPUTED_VALUE"""),"https://www.interconnection.fyi/project/nyiso-1719")</f>
        <v>https://www.interconnection.fyi/project/nyiso-1719</v>
      </c>
      <c r="AJ640" s="1" t="str">
        <f>IFERROR(__xludf.DUMMYFUNCTION("""COMPUTED_VALUE"""),"")</f>
        <v/>
      </c>
      <c r="AK640" s="1" t="str">
        <f>IFERROR(__xludf.DUMMYFUNCTION("""COMPUTED_VALUE"""),"")</f>
        <v/>
      </c>
      <c r="AL640" s="1" t="str">
        <f>IFERROR(__xludf.DUMMYFUNCTION("""COMPUTED_VALUE"""),"")</f>
        <v/>
      </c>
      <c r="AM640" s="1" t="str">
        <f>IFERROR(__xludf.DUMMYFUNCTION("""COMPUTED_VALUE"""),"")</f>
        <v/>
      </c>
      <c r="AN640" s="1" t="str">
        <f>IFERROR(__xludf.DUMMYFUNCTION("""COMPUTED_VALUE"""),"")</f>
        <v/>
      </c>
      <c r="AO640" s="1" t="str">
        <f>IFERROR(__xludf.DUMMYFUNCTION("""COMPUTED_VALUE"""),"")</f>
        <v/>
      </c>
      <c r="AP640" s="1" t="str">
        <f>IFERROR(__xludf.DUMMYFUNCTION("""COMPUTED_VALUE"""),"")</f>
        <v/>
      </c>
      <c r="AQ640" s="1" t="str">
        <f>IFERROR(__xludf.DUMMYFUNCTION("""COMPUTED_VALUE"""),"02/16/2026")</f>
        <v>02/16/2026</v>
      </c>
      <c r="AR640" s="1" t="str">
        <f>IFERROR(__xludf.DUMMYFUNCTION("""COMPUTED_VALUE"""),"02/16/2026")</f>
        <v>02/16/2026</v>
      </c>
    </row>
    <row r="641">
      <c r="A641" s="1" t="str">
        <f>IFERROR(__xludf.DUMMYFUNCTION("""COMPUTED_VALUE"""),"North Country Data Center")</f>
        <v>North Country Data Center</v>
      </c>
      <c r="B641" s="1" t="str">
        <f>IFERROR(__xludf.DUMMYFUNCTION("""COMPUTED_VALUE"""),"1814 State Hwy 131")</f>
        <v>1814 State Hwy 131</v>
      </c>
      <c r="C641" s="1" t="str">
        <f>IFERROR(__xludf.DUMMYFUNCTION("""COMPUTED_VALUE"""),"Massena")</f>
        <v>Massena</v>
      </c>
      <c r="D641" s="1" t="str">
        <f>IFERROR(__xludf.DUMMYFUNCTION("""COMPUTED_VALUE"""),"NY")</f>
        <v>NY</v>
      </c>
      <c r="E641" s="1" t="str">
        <f>IFERROR(__xludf.DUMMYFUNCTION("""COMPUTED_VALUE"""),"13662")</f>
        <v>13662</v>
      </c>
      <c r="F641" s="1" t="str">
        <f>IFERROR(__xludf.DUMMYFUNCTION("""COMPUTED_VALUE"""),"St. Lawrence")</f>
        <v>St. Lawrence</v>
      </c>
      <c r="G641" s="1" t="str">
        <f>IFERROR(__xludf.DUMMYFUNCTION("""COMPUTED_VALUE"""),"44.961773")</f>
        <v>44.961773</v>
      </c>
      <c r="H641" s="1" t="str">
        <f>IFERROR(__xludf.DUMMYFUNCTION("""COMPUTED_VALUE"""),"-74.8913")</f>
        <v>-74.8913</v>
      </c>
      <c r="I641" s="1" t="str">
        <f>IFERROR(__xludf.DUMMYFUNCTION("""COMPUTED_VALUE"""),"Expanding")</f>
        <v>Expanding</v>
      </c>
      <c r="J641" s="1" t="str">
        <f>IFERROR(__xludf.DUMMYFUNCTION("""COMPUTED_VALUE"""),"High")</f>
        <v>High</v>
      </c>
      <c r="K641" s="1" t="str">
        <f>IFERROR(__xludf.DUMMYFUNCTION("""COMPUTED_VALUE"""),"Bitcoin transitioning to AI")</f>
        <v>Bitcoin transitioning to AI</v>
      </c>
      <c r="L641" s="1" t="str">
        <f>IFERROR(__xludf.DUMMYFUNCTION("""COMPUTED_VALUE"""),"")</f>
        <v/>
      </c>
      <c r="M641" s="1" t="str">
        <f>IFERROR(__xludf.DUMMYFUNCTION("""COMPUTED_VALUE"""),"")</f>
        <v/>
      </c>
      <c r="N641" s="1" t="str">
        <f>IFERROR(__xludf.DUMMYFUNCTION("""COMPUTED_VALUE"""),"176")</f>
        <v>176</v>
      </c>
      <c r="O641" s="1" t="str">
        <f>IFERROR(__xludf.DUMMYFUNCTION("""COMPUTED_VALUE"""),"Hyperscale (100-999 MW)")</f>
        <v>Hyperscale (100-999 MW)</v>
      </c>
      <c r="P641" s="1" t="str">
        <f>IFERROR(__xludf.DUMMYFUNCTION("""COMPUTED_VALUE"""),"")</f>
        <v/>
      </c>
      <c r="Q641" s="1" t="str">
        <f>IFERROR(__xludf.DUMMYFUNCTION("""COMPUTED_VALUE"""),"")</f>
        <v/>
      </c>
      <c r="R641" s="1" t="str">
        <f>IFERROR(__xludf.DUMMYFUNCTION("""COMPUTED_VALUE"""),"")</f>
        <v/>
      </c>
      <c r="S641" s="1" t="str">
        <f>IFERROR(__xludf.DUMMYFUNCTION("""COMPUTED_VALUE"""),"")</f>
        <v/>
      </c>
      <c r="T641" s="1" t="str">
        <f>IFERROR(__xludf.DUMMYFUNCTION("""COMPUTED_VALUE"""),"")</f>
        <v/>
      </c>
      <c r="U641" s="1" t="str">
        <f>IFERROR(__xludf.DUMMYFUNCTION("""COMPUTED_VALUE"""),"Closed loop")</f>
        <v>Closed loop</v>
      </c>
      <c r="V641" s="1" t="str">
        <f>IFERROR(__xludf.DUMMYFUNCTION("""COMPUTED_VALUE"""),"400,000 - 1.5 million")</f>
        <v>400,000 - 1.5 million</v>
      </c>
      <c r="W641" s="1" t="str">
        <f>IFERROR(__xludf.DUMMYFUNCTION("""COMPUTED_VALUE"""),"")</f>
        <v/>
      </c>
      <c r="X641" s="1" t="str">
        <f>IFERROR(__xludf.DUMMYFUNCTION("""COMPUTED_VALUE"""),"")</f>
        <v/>
      </c>
      <c r="Y641" s="1" t="str">
        <f>IFERROR(__xludf.DUMMYFUNCTION("""COMPUTED_VALUE"""),"")</f>
        <v/>
      </c>
      <c r="Z641" s="1" t="str">
        <f>IFERROR(__xludf.DUMMYFUNCTION("""COMPUTED_VALUE"""),"Yes")</f>
        <v>Yes</v>
      </c>
      <c r="AA641" s="1" t="str">
        <f>IFERROR(__xludf.DUMMYFUNCTION("""COMPUTED_VALUE"""),"")</f>
        <v/>
      </c>
      <c r="AB641" s="1" t="str">
        <f>IFERROR(__xludf.DUMMYFUNCTION("""COMPUTED_VALUE"""),"")</f>
        <v/>
      </c>
      <c r="AC641" s="1" t="str">
        <f>IFERROR(__xludf.DUMMYFUNCTION("""COMPUTED_VALUE"""),"")</f>
        <v/>
      </c>
      <c r="AD641" s="1" t="str">
        <f>IFERROR(__xludf.DUMMYFUNCTION("""COMPUTED_VALUE"""),"")</f>
        <v/>
      </c>
      <c r="AE641" s="1" t="str">
        <f>IFERROR(__xludf.DUMMYFUNCTION("""COMPUTED_VALUE"""),"")</f>
        <v/>
      </c>
      <c r="AF641" s="1" t="str">
        <f>IFERROR(__xludf.DUMMYFUNCTION("""COMPUTED_VALUE"""),"")</f>
        <v/>
      </c>
      <c r="AG641" s="1" t="str">
        <f>IFERROR(__xludf.DUMMYFUNCTION("""COMPUTED_VALUE"""),"former Alcoa plant")</f>
        <v>former Alcoa plant</v>
      </c>
      <c r="AH641" s="1" t="str">
        <f>IFERROR(__xludf.DUMMYFUNCTION("""COMPUTED_VALUE"""),"Media Monitoring")</f>
        <v>Media Monitoring</v>
      </c>
      <c r="AI641" s="2" t="str">
        <f>IFERROR(__xludf.DUMMYFUNCTION("""COMPUTED_VALUE"""),"https://northcountrynow.com/stories/north-country-data-centers-future-thwarted-by-proposed-regulations,236005")</f>
        <v>https://northcountrynow.com/stories/north-country-data-centers-future-thwarted-by-proposed-regulations,236005</v>
      </c>
      <c r="AJ641" s="2" t="str">
        <f>IFERROR(__xludf.DUMMYFUNCTION("""COMPUTED_VALUE"""),"https://www.nyiso.com/documents/20142/2226333/2025-Gold-Book-Public.pdf/088438e1-02f1-5316-211b-dbca17c01b4b")</f>
        <v>https://www.nyiso.com/documents/20142/2226333/2025-Gold-Book-Public.pdf/088438e1-02f1-5316-211b-dbca17c01b4b</v>
      </c>
      <c r="AK641" s="2" t="str">
        <f>IFERROR(__xludf.DUMMYFUNCTION("""COMPUTED_VALUE"""),"https://www.datacenterdynamics.com/en/news/nydig-looks-to-expand-data-center-at-massena-site-new-york/")</f>
        <v>https://www.datacenterdynamics.com/en/news/nydig-looks-to-expand-data-center-at-massena-site-new-york/</v>
      </c>
      <c r="AL641" s="1" t="str">
        <f>IFERROR(__xludf.DUMMYFUNCTION("""COMPUTED_VALUE"""),"")</f>
        <v/>
      </c>
      <c r="AM641" s="1" t="str">
        <f>IFERROR(__xludf.DUMMYFUNCTION("""COMPUTED_VALUE"""),"")</f>
        <v/>
      </c>
      <c r="AN641" s="1" t="str">
        <f>IFERROR(__xludf.DUMMYFUNCTION("""COMPUTED_VALUE"""),"")</f>
        <v/>
      </c>
      <c r="AO641" s="1" t="str">
        <f>IFERROR(__xludf.DUMMYFUNCTION("""COMPUTED_VALUE"""),"")</f>
        <v/>
      </c>
      <c r="AP641" s="1" t="str">
        <f>IFERROR(__xludf.DUMMYFUNCTION("""COMPUTED_VALUE"""),"")</f>
        <v/>
      </c>
      <c r="AQ641" s="1" t="str">
        <f>IFERROR(__xludf.DUMMYFUNCTION("""COMPUTED_VALUE"""),"11/14/2025")</f>
        <v>11/14/2025</v>
      </c>
      <c r="AR641" s="1" t="str">
        <f>IFERROR(__xludf.DUMMYFUNCTION("""COMPUTED_VALUE"""),"07/11/2026")</f>
        <v>07/11/2026</v>
      </c>
    </row>
    <row r="642">
      <c r="A642" s="1" t="str">
        <f>IFERROR(__xludf.DUMMYFUNCTION("""COMPUTED_VALUE"""),"St Lawrence Data and Agricultural Center")</f>
        <v>St Lawrence Data and Agricultural Center</v>
      </c>
      <c r="B642" s="1" t="str">
        <f>IFERROR(__xludf.DUMMYFUNCTION("""COMPUTED_VALUE"""),"417 County Route 42")</f>
        <v>417 County Route 42</v>
      </c>
      <c r="C642" s="1" t="str">
        <f>IFERROR(__xludf.DUMMYFUNCTION("""COMPUTED_VALUE"""),"Massena")</f>
        <v>Massena</v>
      </c>
      <c r="D642" s="1" t="str">
        <f>IFERROR(__xludf.DUMMYFUNCTION("""COMPUTED_VALUE"""),"NY")</f>
        <v>NY</v>
      </c>
      <c r="E642" s="1" t="str">
        <f>IFERROR(__xludf.DUMMYFUNCTION("""COMPUTED_VALUE"""),"13662")</f>
        <v>13662</v>
      </c>
      <c r="F642" s="1" t="str">
        <f>IFERROR(__xludf.DUMMYFUNCTION("""COMPUTED_VALUE"""),"St. Lawrence")</f>
        <v>St. Lawrence</v>
      </c>
      <c r="G642" s="1" t="str">
        <f>IFERROR(__xludf.DUMMYFUNCTION("""COMPUTED_VALUE"""),"44.954838")</f>
        <v>44.954838</v>
      </c>
      <c r="H642" s="1" t="str">
        <f>IFERROR(__xludf.DUMMYFUNCTION("""COMPUTED_VALUE"""),"-74.84906")</f>
        <v>-74.84906</v>
      </c>
      <c r="I642" s="1" t="str">
        <f>IFERROR(__xludf.DUMMYFUNCTION("""COMPUTED_VALUE"""),"Proposed")</f>
        <v>Proposed</v>
      </c>
      <c r="J642" s="1" t="str">
        <f>IFERROR(__xludf.DUMMYFUNCTION("""COMPUTED_VALUE"""),"High")</f>
        <v>High</v>
      </c>
      <c r="K642" s="1" t="str">
        <f>IFERROR(__xludf.DUMMYFUNCTION("""COMPUTED_VALUE"""),"")</f>
        <v/>
      </c>
      <c r="L642" s="1" t="str">
        <f>IFERROR(__xludf.DUMMYFUNCTION("""COMPUTED_VALUE"""),"Petawatt Holdings")</f>
        <v>Petawatt Holdings</v>
      </c>
      <c r="M642" s="1" t="str">
        <f>IFERROR(__xludf.DUMMYFUNCTION("""COMPUTED_VALUE"""),"")</f>
        <v/>
      </c>
      <c r="N642" s="1" t="str">
        <f>IFERROR(__xludf.DUMMYFUNCTION("""COMPUTED_VALUE"""),"200")</f>
        <v>200</v>
      </c>
      <c r="O642" s="1" t="str">
        <f>IFERROR(__xludf.DUMMYFUNCTION("""COMPUTED_VALUE"""),"Hyperscale (100-999 MW)")</f>
        <v>Hyperscale (100-999 MW)</v>
      </c>
      <c r="P642" s="1" t="str">
        <f>IFERROR(__xludf.DUMMYFUNCTION("""COMPUTED_VALUE"""),"")</f>
        <v/>
      </c>
      <c r="Q642" s="1" t="str">
        <f>IFERROR(__xludf.DUMMYFUNCTION("""COMPUTED_VALUE"""),"")</f>
        <v/>
      </c>
      <c r="R642" s="1" t="str">
        <f>IFERROR(__xludf.DUMMYFUNCTION("""COMPUTED_VALUE"""),"")</f>
        <v/>
      </c>
      <c r="S642" s="1" t="str">
        <f>IFERROR(__xludf.DUMMYFUNCTION("""COMPUTED_VALUE"""),"")</f>
        <v/>
      </c>
      <c r="T642" s="1" t="str">
        <f>IFERROR(__xludf.DUMMYFUNCTION("""COMPUTED_VALUE"""),"")</f>
        <v/>
      </c>
      <c r="U642" s="1" t="str">
        <f>IFERROR(__xludf.DUMMYFUNCTION("""COMPUTED_VALUE"""),"")</f>
        <v/>
      </c>
      <c r="V642" s="1" t="str">
        <f>IFERROR(__xludf.DUMMYFUNCTION("""COMPUTED_VALUE"""),"")</f>
        <v/>
      </c>
      <c r="W642" s="1" t="str">
        <f>IFERROR(__xludf.DUMMYFUNCTION("""COMPUTED_VALUE"""),"14")</f>
        <v>14</v>
      </c>
      <c r="X642" s="1" t="str">
        <f>IFERROR(__xludf.DUMMYFUNCTION("""COMPUTED_VALUE"""),"")</f>
        <v/>
      </c>
      <c r="Y642" s="1" t="str">
        <f>IFERROR(__xludf.DUMMYFUNCTION("""COMPUTED_VALUE"""),"")</f>
        <v/>
      </c>
      <c r="Z642" s="1" t="str">
        <f>IFERROR(__xludf.DUMMYFUNCTION("""COMPUTED_VALUE"""),"Unknown")</f>
        <v>Unknown</v>
      </c>
      <c r="AA642" s="1" t="str">
        <f>IFERROR(__xludf.DUMMYFUNCTION("""COMPUTED_VALUE"""),"")</f>
        <v/>
      </c>
      <c r="AB642" s="1" t="str">
        <f>IFERROR(__xludf.DUMMYFUNCTION("""COMPUTED_VALUE"""),"")</f>
        <v/>
      </c>
      <c r="AC642" s="1" t="str">
        <f>IFERROR(__xludf.DUMMYFUNCTION("""COMPUTED_VALUE"""),"")</f>
        <v/>
      </c>
      <c r="AD642" s="1" t="str">
        <f>IFERROR(__xludf.DUMMYFUNCTION("""COMPUTED_VALUE"""),"")</f>
        <v/>
      </c>
      <c r="AE642" s="1" t="str">
        <f>IFERROR(__xludf.DUMMYFUNCTION("""COMPUTED_VALUE"""),"")</f>
        <v/>
      </c>
      <c r="AF642" s="1" t="str">
        <f>IFERROR(__xludf.DUMMYFUNCTION("""COMPUTED_VALUE"""),"")</f>
        <v/>
      </c>
      <c r="AG642" s="1" t="str">
        <f>IFERROR(__xludf.DUMMYFUNCTION("""COMPUTED_VALUE"""),"")</f>
        <v/>
      </c>
      <c r="AH642" s="1" t="str">
        <f>IFERROR(__xludf.DUMMYFUNCTION("""COMPUTED_VALUE"""),"Media Monitoring")</f>
        <v>Media Monitoring</v>
      </c>
      <c r="AI642" s="2" t="str">
        <f>IFERROR(__xludf.DUMMYFUNCTION("""COMPUTED_VALUE"""),"https://www.yahoo.com/news/land-clearing-underway-massena-data-045900706.html")</f>
        <v>https://www.yahoo.com/news/land-clearing-underway-massena-data-045900706.html</v>
      </c>
      <c r="AJ642" s="2" t="str">
        <f>IFERROR(__xludf.DUMMYFUNCTION("""COMPUTED_VALUE"""),"https://www.nyiso.com/documents/20142/2226333/2025-Gold-Book-Public.pdf/088438e1-02f1-5316-211b-dbca17c01b4b")</f>
        <v>https://www.nyiso.com/documents/20142/2226333/2025-Gold-Book-Public.pdf/088438e1-02f1-5316-211b-dbca17c01b4b</v>
      </c>
      <c r="AK642" s="1" t="str">
        <f>IFERROR(__xludf.DUMMYFUNCTION("""COMPUTED_VALUE"""),"")</f>
        <v/>
      </c>
      <c r="AL642" s="1" t="str">
        <f>IFERROR(__xludf.DUMMYFUNCTION("""COMPUTED_VALUE"""),"")</f>
        <v/>
      </c>
      <c r="AM642" s="1" t="str">
        <f>IFERROR(__xludf.DUMMYFUNCTION("""COMPUTED_VALUE"""),"")</f>
        <v/>
      </c>
      <c r="AN642" s="1" t="str">
        <f>IFERROR(__xludf.DUMMYFUNCTION("""COMPUTED_VALUE"""),"")</f>
        <v/>
      </c>
      <c r="AO642" s="1" t="str">
        <f>IFERROR(__xludf.DUMMYFUNCTION("""COMPUTED_VALUE"""),"")</f>
        <v/>
      </c>
      <c r="AP642" s="1" t="str">
        <f>IFERROR(__xludf.DUMMYFUNCTION("""COMPUTED_VALUE"""),"")</f>
        <v/>
      </c>
      <c r="AQ642" s="1" t="str">
        <f>IFERROR(__xludf.DUMMYFUNCTION("""COMPUTED_VALUE"""),"11/14/2025")</f>
        <v>11/14/2025</v>
      </c>
      <c r="AR642" s="1" t="str">
        <f>IFERROR(__xludf.DUMMYFUNCTION("""COMPUTED_VALUE"""),"11/14/2025")</f>
        <v>11/14/2025</v>
      </c>
    </row>
    <row r="643">
      <c r="A643" s="1" t="str">
        <f>IFERROR(__xludf.DUMMYFUNCTION("""COMPUTED_VALUE"""),"LGA1")</f>
        <v>LGA1</v>
      </c>
      <c r="B643" s="1" t="str">
        <f>IFERROR(__xludf.DUMMYFUNCTION("""COMPUTED_VALUE"""),"60 Hudson Street Suite #1903")</f>
        <v>60 Hudson Street Suite #1903</v>
      </c>
      <c r="C643" s="1" t="str">
        <f>IFERROR(__xludf.DUMMYFUNCTION("""COMPUTED_VALUE"""),"New York")</f>
        <v>New York</v>
      </c>
      <c r="D643" s="1" t="str">
        <f>IFERROR(__xludf.DUMMYFUNCTION("""COMPUTED_VALUE"""),"NY")</f>
        <v>NY</v>
      </c>
      <c r="E643" s="1" t="str">
        <f>IFERROR(__xludf.DUMMYFUNCTION("""COMPUTED_VALUE"""),"10013")</f>
        <v>10013</v>
      </c>
      <c r="F643" s="1" t="str">
        <f>IFERROR(__xludf.DUMMYFUNCTION("""COMPUTED_VALUE"""),"New York")</f>
        <v>New York</v>
      </c>
      <c r="G643" s="1" t="str">
        <f>IFERROR(__xludf.DUMMYFUNCTION("""COMPUTED_VALUE"""),"40.717728")</f>
        <v>40.717728</v>
      </c>
      <c r="H643" s="1" t="str">
        <f>IFERROR(__xludf.DUMMYFUNCTION("""COMPUTED_VALUE"""),"-74.00832")</f>
        <v>-74.00832</v>
      </c>
      <c r="I643" s="1" t="str">
        <f>IFERROR(__xludf.DUMMYFUNCTION("""COMPUTED_VALUE"""),"Operating")</f>
        <v>Operating</v>
      </c>
      <c r="J643" s="1" t="str">
        <f>IFERROR(__xludf.DUMMYFUNCTION("""COMPUTED_VALUE"""),"High")</f>
        <v>High</v>
      </c>
      <c r="K643" s="1" t="str">
        <f>IFERROR(__xludf.DUMMYFUNCTION("""COMPUTED_VALUE"""),"")</f>
        <v/>
      </c>
      <c r="L643" s="1" t="str">
        <f>IFERROR(__xludf.DUMMYFUNCTION("""COMPUTED_VALUE"""),"DataBank")</f>
        <v>DataBank</v>
      </c>
      <c r="M643" s="1" t="str">
        <f>IFERROR(__xludf.DUMMYFUNCTION("""COMPUTED_VALUE"""),"")</f>
        <v/>
      </c>
      <c r="N643" s="1" t="str">
        <f>IFERROR(__xludf.DUMMYFUNCTION("""COMPUTED_VALUE"""),"0.74")</f>
        <v>0.74</v>
      </c>
      <c r="O643" s="1" t="str">
        <f>IFERROR(__xludf.DUMMYFUNCTION("""COMPUTED_VALUE"""),"Small (0-10 MW)")</f>
        <v>Small (0-10 MW)</v>
      </c>
      <c r="P643" s="1" t="str">
        <f>IFERROR(__xludf.DUMMYFUNCTION("""COMPUTED_VALUE"""),"")</f>
        <v/>
      </c>
      <c r="Q643" s="1" t="str">
        <f>IFERROR(__xludf.DUMMYFUNCTION("""COMPUTED_VALUE"""),"")</f>
        <v/>
      </c>
      <c r="R643" s="1" t="str">
        <f>IFERROR(__xludf.DUMMYFUNCTION("""COMPUTED_VALUE"""),"")</f>
        <v/>
      </c>
      <c r="S643" s="1" t="str">
        <f>IFERROR(__xludf.DUMMYFUNCTION("""COMPUTED_VALUE"""),"")</f>
        <v/>
      </c>
      <c r="T643" s="1" t="str">
        <f>IFERROR(__xludf.DUMMYFUNCTION("""COMPUTED_VALUE"""),"")</f>
        <v/>
      </c>
      <c r="U643" s="1" t="str">
        <f>IFERROR(__xludf.DUMMYFUNCTION("""COMPUTED_VALUE"""),"")</f>
        <v/>
      </c>
      <c r="V643" s="1" t="str">
        <f>IFERROR(__xludf.DUMMYFUNCTION("""COMPUTED_VALUE"""),"23,940")</f>
        <v>23,940</v>
      </c>
      <c r="W643" s="1" t="str">
        <f>IFERROR(__xludf.DUMMYFUNCTION("""COMPUTED_VALUE"""),"")</f>
        <v/>
      </c>
      <c r="X643" s="1" t="str">
        <f>IFERROR(__xludf.DUMMYFUNCTION("""COMPUTED_VALUE"""),"")</f>
        <v/>
      </c>
      <c r="Y643" s="1" t="str">
        <f>IFERROR(__xludf.DUMMYFUNCTION("""COMPUTED_VALUE"""),"2024")</f>
        <v>2024</v>
      </c>
      <c r="Z643" s="1" t="str">
        <f>IFERROR(__xludf.DUMMYFUNCTION("""COMPUTED_VALUE"""),"Unknown")</f>
        <v>Unknown</v>
      </c>
      <c r="AA643" s="1" t="str">
        <f>IFERROR(__xludf.DUMMYFUNCTION("""COMPUTED_VALUE"""),"")</f>
        <v/>
      </c>
      <c r="AB643" s="1" t="str">
        <f>IFERROR(__xludf.DUMMYFUNCTION("""COMPUTED_VALUE"""),"")</f>
        <v/>
      </c>
      <c r="AC643" s="1" t="str">
        <f>IFERROR(__xludf.DUMMYFUNCTION("""COMPUTED_VALUE"""),"")</f>
        <v/>
      </c>
      <c r="AD643" s="1" t="str">
        <f>IFERROR(__xludf.DUMMYFUNCTION("""COMPUTED_VALUE"""),"")</f>
        <v/>
      </c>
      <c r="AE643" s="1" t="str">
        <f>IFERROR(__xludf.DUMMYFUNCTION("""COMPUTED_VALUE"""),"")</f>
        <v/>
      </c>
      <c r="AF643" s="1" t="str">
        <f>IFERROR(__xludf.DUMMYFUNCTION("""COMPUTED_VALUE"""),"")</f>
        <v/>
      </c>
      <c r="AG643" s="1" t="str">
        <f>IFERROR(__xludf.DUMMYFUNCTION("""COMPUTED_VALUE"""),"Known as the premiere carrier hotel in the world, 60 Hudson Street provides an easy interconnection via undersea cable to the UK, and to the cables from Manasquan and Tuckerton, NY to the EU")</f>
        <v>Known as the premiere carrier hotel in the world, 60 Hudson Street provides an easy interconnection via undersea cable to the UK, and to the cables from Manasquan and Tuckerton, NY to the EU</v>
      </c>
      <c r="AH643" s="1" t="str">
        <f>IFERROR(__xludf.DUMMYFUNCTION("""COMPUTED_VALUE"""),"Media Monitoring")</f>
        <v>Media Monitoring</v>
      </c>
      <c r="AI643" s="2" t="str">
        <f>IFERROR(__xludf.DUMMYFUNCTION("""COMPUTED_VALUE"""),"https://www.databank.com/data-centers/new-york-city/")</f>
        <v>https://www.databank.com/data-centers/new-york-city/</v>
      </c>
      <c r="AJ643" s="1" t="str">
        <f>IFERROR(__xludf.DUMMYFUNCTION("""COMPUTED_VALUE"""),"")</f>
        <v/>
      </c>
      <c r="AK643" s="1" t="str">
        <f>IFERROR(__xludf.DUMMYFUNCTION("""COMPUTED_VALUE"""),"")</f>
        <v/>
      </c>
      <c r="AL643" s="1" t="str">
        <f>IFERROR(__xludf.DUMMYFUNCTION("""COMPUTED_VALUE"""),"")</f>
        <v/>
      </c>
      <c r="AM643" s="1" t="str">
        <f>IFERROR(__xludf.DUMMYFUNCTION("""COMPUTED_VALUE"""),"")</f>
        <v/>
      </c>
      <c r="AN643" s="1" t="str">
        <f>IFERROR(__xludf.DUMMYFUNCTION("""COMPUTED_VALUE"""),"")</f>
        <v/>
      </c>
      <c r="AO643" s="1" t="str">
        <f>IFERROR(__xludf.DUMMYFUNCTION("""COMPUTED_VALUE"""),"")</f>
        <v/>
      </c>
      <c r="AP643" s="1" t="str">
        <f>IFERROR(__xludf.DUMMYFUNCTION("""COMPUTED_VALUE"""),"")</f>
        <v/>
      </c>
      <c r="AQ643" s="1" t="str">
        <f>IFERROR(__xludf.DUMMYFUNCTION("""COMPUTED_VALUE"""),"11/14/2025")</f>
        <v>11/14/2025</v>
      </c>
      <c r="AR643" s="1" t="str">
        <f>IFERROR(__xludf.DUMMYFUNCTION("""COMPUTED_VALUE"""),"11/14/2025")</f>
        <v>11/14/2025</v>
      </c>
    </row>
    <row r="644">
      <c r="A644" s="1" t="str">
        <f>IFERROR(__xludf.DUMMYFUNCTION("""COMPUTED_VALUE"""),"LGA2")</f>
        <v>LGA2</v>
      </c>
      <c r="B644" s="1" t="str">
        <f>IFERROR(__xludf.DUMMYFUNCTION("""COMPUTED_VALUE"""),"111 8th Avenue")</f>
        <v>111 8th Avenue</v>
      </c>
      <c r="C644" s="1" t="str">
        <f>IFERROR(__xludf.DUMMYFUNCTION("""COMPUTED_VALUE"""),"New York")</f>
        <v>New York</v>
      </c>
      <c r="D644" s="1" t="str">
        <f>IFERROR(__xludf.DUMMYFUNCTION("""COMPUTED_VALUE"""),"NY")</f>
        <v>NY</v>
      </c>
      <c r="E644" s="1" t="str">
        <f>IFERROR(__xludf.DUMMYFUNCTION("""COMPUTED_VALUE"""),"10011")</f>
        <v>10011</v>
      </c>
      <c r="F644" s="1" t="str">
        <f>IFERROR(__xludf.DUMMYFUNCTION("""COMPUTED_VALUE"""),"New York")</f>
        <v>New York</v>
      </c>
      <c r="G644" s="1" t="str">
        <f>IFERROR(__xludf.DUMMYFUNCTION("""COMPUTED_VALUE"""),"40.740993")</f>
        <v>40.740993</v>
      </c>
      <c r="H644" s="1" t="str">
        <f>IFERROR(__xludf.DUMMYFUNCTION("""COMPUTED_VALUE"""),"-74.00215")</f>
        <v>-74.00215</v>
      </c>
      <c r="I644" s="1" t="str">
        <f>IFERROR(__xludf.DUMMYFUNCTION("""COMPUTED_VALUE"""),"Operating")</f>
        <v>Operating</v>
      </c>
      <c r="J644" s="1" t="str">
        <f>IFERROR(__xludf.DUMMYFUNCTION("""COMPUTED_VALUE"""),"High")</f>
        <v>High</v>
      </c>
      <c r="K644" s="1" t="str">
        <f>IFERROR(__xludf.DUMMYFUNCTION("""COMPUTED_VALUE"""),"")</f>
        <v/>
      </c>
      <c r="L644" s="1" t="str">
        <f>IFERROR(__xludf.DUMMYFUNCTION("""COMPUTED_VALUE"""),"DataBank")</f>
        <v>DataBank</v>
      </c>
      <c r="M644" s="1" t="str">
        <f>IFERROR(__xludf.DUMMYFUNCTION("""COMPUTED_VALUE"""),"")</f>
        <v/>
      </c>
      <c r="N644" s="1" t="str">
        <f>IFERROR(__xludf.DUMMYFUNCTION("""COMPUTED_VALUE"""),"0.68")</f>
        <v>0.68</v>
      </c>
      <c r="O644" s="1" t="str">
        <f>IFERROR(__xludf.DUMMYFUNCTION("""COMPUTED_VALUE"""),"Small (0-10 MW)")</f>
        <v>Small (0-10 MW)</v>
      </c>
      <c r="P644" s="1" t="str">
        <f>IFERROR(__xludf.DUMMYFUNCTION("""COMPUTED_VALUE"""),"")</f>
        <v/>
      </c>
      <c r="Q644" s="1" t="str">
        <f>IFERROR(__xludf.DUMMYFUNCTION("""COMPUTED_VALUE"""),"")</f>
        <v/>
      </c>
      <c r="R644" s="1" t="str">
        <f>IFERROR(__xludf.DUMMYFUNCTION("""COMPUTED_VALUE"""),"")</f>
        <v/>
      </c>
      <c r="S644" s="1" t="str">
        <f>IFERROR(__xludf.DUMMYFUNCTION("""COMPUTED_VALUE"""),"")</f>
        <v/>
      </c>
      <c r="T644" s="1" t="str">
        <f>IFERROR(__xludf.DUMMYFUNCTION("""COMPUTED_VALUE"""),"")</f>
        <v/>
      </c>
      <c r="U644" s="1" t="str">
        <f>IFERROR(__xludf.DUMMYFUNCTION("""COMPUTED_VALUE"""),"")</f>
        <v/>
      </c>
      <c r="V644" s="1" t="str">
        <f>IFERROR(__xludf.DUMMYFUNCTION("""COMPUTED_VALUE"""),"")</f>
        <v/>
      </c>
      <c r="W644" s="1" t="str">
        <f>IFERROR(__xludf.DUMMYFUNCTION("""COMPUTED_VALUE"""),"")</f>
        <v/>
      </c>
      <c r="X644" s="1" t="str">
        <f>IFERROR(__xludf.DUMMYFUNCTION("""COMPUTED_VALUE"""),"")</f>
        <v/>
      </c>
      <c r="Y644" s="1" t="str">
        <f>IFERROR(__xludf.DUMMYFUNCTION("""COMPUTED_VALUE"""),"")</f>
        <v/>
      </c>
      <c r="Z644" s="1" t="str">
        <f>IFERROR(__xludf.DUMMYFUNCTION("""COMPUTED_VALUE"""),"Unknown")</f>
        <v>Unknown</v>
      </c>
      <c r="AA644" s="1" t="str">
        <f>IFERROR(__xludf.DUMMYFUNCTION("""COMPUTED_VALUE"""),"")</f>
        <v/>
      </c>
      <c r="AB644" s="1" t="str">
        <f>IFERROR(__xludf.DUMMYFUNCTION("""COMPUTED_VALUE"""),"")</f>
        <v/>
      </c>
      <c r="AC644" s="1" t="str">
        <f>IFERROR(__xludf.DUMMYFUNCTION("""COMPUTED_VALUE"""),"")</f>
        <v/>
      </c>
      <c r="AD644" s="1" t="str">
        <f>IFERROR(__xludf.DUMMYFUNCTION("""COMPUTED_VALUE"""),"")</f>
        <v/>
      </c>
      <c r="AE644" s="1" t="str">
        <f>IFERROR(__xludf.DUMMYFUNCTION("""COMPUTED_VALUE"""),"")</f>
        <v/>
      </c>
      <c r="AF644" s="1" t="str">
        <f>IFERROR(__xludf.DUMMYFUNCTION("""COMPUTED_VALUE"""),"")</f>
        <v/>
      </c>
      <c r="AG644" s="1" t="str">
        <f>IFERROR(__xludf.DUMMYFUNCTION("""COMPUTED_VALUE"""),"")</f>
        <v/>
      </c>
      <c r="AH644" s="1" t="str">
        <f>IFERROR(__xludf.DUMMYFUNCTION("""COMPUTED_VALUE"""),"Media Monitoring")</f>
        <v>Media Monitoring</v>
      </c>
      <c r="AI644" s="2" t="str">
        <f>IFERROR(__xludf.DUMMYFUNCTION("""COMPUTED_VALUE"""),"https://www.databank.com/data-centers/new-york-city/")</f>
        <v>https://www.databank.com/data-centers/new-york-city/</v>
      </c>
      <c r="AJ644" s="1" t="str">
        <f>IFERROR(__xludf.DUMMYFUNCTION("""COMPUTED_VALUE"""),"")</f>
        <v/>
      </c>
      <c r="AK644" s="1" t="str">
        <f>IFERROR(__xludf.DUMMYFUNCTION("""COMPUTED_VALUE"""),"")</f>
        <v/>
      </c>
      <c r="AL644" s="1" t="str">
        <f>IFERROR(__xludf.DUMMYFUNCTION("""COMPUTED_VALUE"""),"")</f>
        <v/>
      </c>
      <c r="AM644" s="1" t="str">
        <f>IFERROR(__xludf.DUMMYFUNCTION("""COMPUTED_VALUE"""),"")</f>
        <v/>
      </c>
      <c r="AN644" s="1" t="str">
        <f>IFERROR(__xludf.DUMMYFUNCTION("""COMPUTED_VALUE"""),"")</f>
        <v/>
      </c>
      <c r="AO644" s="1" t="str">
        <f>IFERROR(__xludf.DUMMYFUNCTION("""COMPUTED_VALUE"""),"")</f>
        <v/>
      </c>
      <c r="AP644" s="1" t="str">
        <f>IFERROR(__xludf.DUMMYFUNCTION("""COMPUTED_VALUE"""),"")</f>
        <v/>
      </c>
      <c r="AQ644" s="1" t="str">
        <f>IFERROR(__xludf.DUMMYFUNCTION("""COMPUTED_VALUE"""),"11/14/2025")</f>
        <v>11/14/2025</v>
      </c>
      <c r="AR644" s="1" t="str">
        <f>IFERROR(__xludf.DUMMYFUNCTION("""COMPUTED_VALUE"""),"11/14/2025")</f>
        <v>11/14/2025</v>
      </c>
    </row>
    <row r="645">
      <c r="A645" s="1" t="str">
        <f>IFERROR(__xludf.DUMMYFUNCTION("""COMPUTED_VALUE"""),"Oxford Quantum Circuits Data Center")</f>
        <v>Oxford Quantum Circuits Data Center</v>
      </c>
      <c r="B645" s="1" t="str">
        <f>IFERROR(__xludf.DUMMYFUNCTION("""COMPUTED_VALUE"""),"111 8th Avenue")</f>
        <v>111 8th Avenue</v>
      </c>
      <c r="C645" s="1" t="str">
        <f>IFERROR(__xludf.DUMMYFUNCTION("""COMPUTED_VALUE"""),"New York")</f>
        <v>New York</v>
      </c>
      <c r="D645" s="1" t="str">
        <f>IFERROR(__xludf.DUMMYFUNCTION("""COMPUTED_VALUE"""),"NY")</f>
        <v>NY</v>
      </c>
      <c r="E645" s="1" t="str">
        <f>IFERROR(__xludf.DUMMYFUNCTION("""COMPUTED_VALUE"""),"10011")</f>
        <v>10011</v>
      </c>
      <c r="F645" s="1" t="str">
        <f>IFERROR(__xludf.DUMMYFUNCTION("""COMPUTED_VALUE"""),"New York")</f>
        <v>New York</v>
      </c>
      <c r="G645" s="1" t="str">
        <f>IFERROR(__xludf.DUMMYFUNCTION("""COMPUTED_VALUE"""),"40.74102")</f>
        <v>40.74102</v>
      </c>
      <c r="H645" s="1" t="str">
        <f>IFERROR(__xludf.DUMMYFUNCTION("""COMPUTED_VALUE"""),"-74.0021")</f>
        <v>-74.0021</v>
      </c>
      <c r="I645" s="1" t="str">
        <f>IFERROR(__xludf.DUMMYFUNCTION("""COMPUTED_VALUE"""),"Operating")</f>
        <v>Operating</v>
      </c>
      <c r="J645" s="1" t="str">
        <f>IFERROR(__xludf.DUMMYFUNCTION("""COMPUTED_VALUE"""),"High")</f>
        <v>High</v>
      </c>
      <c r="K645" s="1" t="str">
        <f>IFERROR(__xludf.DUMMYFUNCTION("""COMPUTED_VALUE"""),"")</f>
        <v/>
      </c>
      <c r="L645" s="1" t="str">
        <f>IFERROR(__xludf.DUMMYFUNCTION("""COMPUTED_VALUE"""),"")</f>
        <v/>
      </c>
      <c r="M645" s="1" t="str">
        <f>IFERROR(__xludf.DUMMYFUNCTION("""COMPUTED_VALUE"""),"")</f>
        <v/>
      </c>
      <c r="N645" s="1" t="str">
        <f>IFERROR(__xludf.DUMMYFUNCTION("""COMPUTED_VALUE"""),"")</f>
        <v/>
      </c>
      <c r="O645" s="1" t="str">
        <f>IFERROR(__xludf.DUMMYFUNCTION("""COMPUTED_VALUE"""),"Unknown")</f>
        <v>Unknown</v>
      </c>
      <c r="P645" s="1" t="str">
        <f>IFERROR(__xludf.DUMMYFUNCTION("""COMPUTED_VALUE"""),"")</f>
        <v/>
      </c>
      <c r="Q645" s="1" t="str">
        <f>IFERROR(__xludf.DUMMYFUNCTION("""COMPUTED_VALUE"""),"")</f>
        <v/>
      </c>
      <c r="R645" s="1" t="str">
        <f>IFERROR(__xludf.DUMMYFUNCTION("""COMPUTED_VALUE"""),"")</f>
        <v/>
      </c>
      <c r="S645" s="1" t="str">
        <f>IFERROR(__xludf.DUMMYFUNCTION("""COMPUTED_VALUE"""),"")</f>
        <v/>
      </c>
      <c r="T645" s="1" t="str">
        <f>IFERROR(__xludf.DUMMYFUNCTION("""COMPUTED_VALUE"""),"")</f>
        <v/>
      </c>
      <c r="U645" s="1" t="str">
        <f>IFERROR(__xludf.DUMMYFUNCTION("""COMPUTED_VALUE"""),"")</f>
        <v/>
      </c>
      <c r="V645" s="1" t="str">
        <f>IFERROR(__xludf.DUMMYFUNCTION("""COMPUTED_VALUE"""),"")</f>
        <v/>
      </c>
      <c r="W645" s="1" t="str">
        <f>IFERROR(__xludf.DUMMYFUNCTION("""COMPUTED_VALUE"""),"")</f>
        <v/>
      </c>
      <c r="X645" s="1" t="str">
        <f>IFERROR(__xludf.DUMMYFUNCTION("""COMPUTED_VALUE"""),"")</f>
        <v/>
      </c>
      <c r="Y645" s="1" t="str">
        <f>IFERROR(__xludf.DUMMYFUNCTION("""COMPUTED_VALUE"""),"")</f>
        <v/>
      </c>
      <c r="Z645" s="1" t="str">
        <f>IFERROR(__xludf.DUMMYFUNCTION("""COMPUTED_VALUE"""),"Unknown")</f>
        <v>Unknown</v>
      </c>
      <c r="AA645" s="1" t="str">
        <f>IFERROR(__xludf.DUMMYFUNCTION("""COMPUTED_VALUE"""),"")</f>
        <v/>
      </c>
      <c r="AB645" s="1" t="str">
        <f>IFERROR(__xludf.DUMMYFUNCTION("""COMPUTED_VALUE"""),"")</f>
        <v/>
      </c>
      <c r="AC645" s="1" t="str">
        <f>IFERROR(__xludf.DUMMYFUNCTION("""COMPUTED_VALUE"""),"")</f>
        <v/>
      </c>
      <c r="AD645" s="1" t="str">
        <f>IFERROR(__xludf.DUMMYFUNCTION("""COMPUTED_VALUE"""),"")</f>
        <v/>
      </c>
      <c r="AE645" s="1" t="str">
        <f>IFERROR(__xludf.DUMMYFUNCTION("""COMPUTED_VALUE"""),"")</f>
        <v/>
      </c>
      <c r="AF645" s="1" t="str">
        <f>IFERROR(__xludf.DUMMYFUNCTION("""COMPUTED_VALUE"""),"")</f>
        <v/>
      </c>
      <c r="AG645" s="1" t="str">
        <f>IFERROR(__xludf.DUMMYFUNCTION("""COMPUTED_VALUE"""),"")</f>
        <v/>
      </c>
      <c r="AH645" s="1" t="str">
        <f>IFERROR(__xludf.DUMMYFUNCTION("""COMPUTED_VALUE"""),"Media Monitoring")</f>
        <v>Media Monitoring</v>
      </c>
      <c r="AI645" s="2" t="str">
        <f>IFERROR(__xludf.DUMMYFUNCTION("""COMPUTED_VALUE"""),"https://www.datacenterdynamics.com/en/news/oxford-quantum-circuits-deploys-quantum-computer-at-quantum-ai-data-center-in-new-york-city/")</f>
        <v>https://www.datacenterdynamics.com/en/news/oxford-quantum-circuits-deploys-quantum-computer-at-quantum-ai-data-center-in-new-york-city/</v>
      </c>
      <c r="AJ645" s="1" t="str">
        <f>IFERROR(__xludf.DUMMYFUNCTION("""COMPUTED_VALUE"""),"")</f>
        <v/>
      </c>
      <c r="AK645" s="1" t="str">
        <f>IFERROR(__xludf.DUMMYFUNCTION("""COMPUTED_VALUE"""),"")</f>
        <v/>
      </c>
      <c r="AL645" s="1" t="str">
        <f>IFERROR(__xludf.DUMMYFUNCTION("""COMPUTED_VALUE"""),"")</f>
        <v/>
      </c>
      <c r="AM645" s="1" t="str">
        <f>IFERROR(__xludf.DUMMYFUNCTION("""COMPUTED_VALUE"""),"")</f>
        <v/>
      </c>
      <c r="AN645" s="1" t="str">
        <f>IFERROR(__xludf.DUMMYFUNCTION("""COMPUTED_VALUE"""),"")</f>
        <v/>
      </c>
      <c r="AO645" s="1" t="str">
        <f>IFERROR(__xludf.DUMMYFUNCTION("""COMPUTED_VALUE"""),"")</f>
        <v/>
      </c>
      <c r="AP645" s="1" t="str">
        <f>IFERROR(__xludf.DUMMYFUNCTION("""COMPUTED_VALUE"""),"")</f>
        <v/>
      </c>
      <c r="AQ645" s="1" t="str">
        <f>IFERROR(__xludf.DUMMYFUNCTION("""COMPUTED_VALUE"""),"09/19/2025")</f>
        <v>09/19/2025</v>
      </c>
      <c r="AR645" s="1" t="str">
        <f>IFERROR(__xludf.DUMMYFUNCTION("""COMPUTED_VALUE"""),"09/19/2025")</f>
        <v>09/19/2025</v>
      </c>
    </row>
    <row r="646">
      <c r="A646" s="1" t="str">
        <f>IFERROR(__xludf.DUMMYFUNCTION("""COMPUTED_VALUE"""),"Telehouse: Chelsea")</f>
        <v>Telehouse: Chelsea</v>
      </c>
      <c r="B646" s="1" t="str">
        <f>IFERROR(__xludf.DUMMYFUNCTION("""COMPUTED_VALUE"""),"85 10th Ave")</f>
        <v>85 10th Ave</v>
      </c>
      <c r="C646" s="1" t="str">
        <f>IFERROR(__xludf.DUMMYFUNCTION("""COMPUTED_VALUE"""),"New York")</f>
        <v>New York</v>
      </c>
      <c r="D646" s="1" t="str">
        <f>IFERROR(__xludf.DUMMYFUNCTION("""COMPUTED_VALUE"""),"NY")</f>
        <v>NY</v>
      </c>
      <c r="E646" s="1" t="str">
        <f>IFERROR(__xludf.DUMMYFUNCTION("""COMPUTED_VALUE"""),"10011")</f>
        <v>10011</v>
      </c>
      <c r="F646" s="1" t="str">
        <f>IFERROR(__xludf.DUMMYFUNCTION("""COMPUTED_VALUE"""),"New York")</f>
        <v>New York</v>
      </c>
      <c r="G646" s="1" t="str">
        <f>IFERROR(__xludf.DUMMYFUNCTION("""COMPUTED_VALUE"""),"40.743084")</f>
        <v>40.743084</v>
      </c>
      <c r="H646" s="1" t="str">
        <f>IFERROR(__xludf.DUMMYFUNCTION("""COMPUTED_VALUE"""),"-74.007866")</f>
        <v>-74.007866</v>
      </c>
      <c r="I646" s="1" t="str">
        <f>IFERROR(__xludf.DUMMYFUNCTION("""COMPUTED_VALUE"""),"Operating")</f>
        <v>Operating</v>
      </c>
      <c r="J646" s="1" t="str">
        <f>IFERROR(__xludf.DUMMYFUNCTION("""COMPUTED_VALUE"""),"High")</f>
        <v>High</v>
      </c>
      <c r="K646" s="1" t="str">
        <f>IFERROR(__xludf.DUMMYFUNCTION("""COMPUTED_VALUE"""),"")</f>
        <v/>
      </c>
      <c r="L646" s="1" t="str">
        <f>IFERROR(__xludf.DUMMYFUNCTION("""COMPUTED_VALUE"""),"")</f>
        <v/>
      </c>
      <c r="M646" s="1" t="str">
        <f>IFERROR(__xludf.DUMMYFUNCTION("""COMPUTED_VALUE"""),"")</f>
        <v/>
      </c>
      <c r="N646" s="1" t="str">
        <f>IFERROR(__xludf.DUMMYFUNCTION("""COMPUTED_VALUE"""),"4")</f>
        <v>4</v>
      </c>
      <c r="O646" s="1" t="str">
        <f>IFERROR(__xludf.DUMMYFUNCTION("""COMPUTED_VALUE"""),"Small (0-10 MW)")</f>
        <v>Small (0-10 MW)</v>
      </c>
      <c r="P646" s="1" t="str">
        <f>IFERROR(__xludf.DUMMYFUNCTION("""COMPUTED_VALUE"""),"")</f>
        <v/>
      </c>
      <c r="Q646" s="1" t="str">
        <f>IFERROR(__xludf.DUMMYFUNCTION("""COMPUTED_VALUE"""),"")</f>
        <v/>
      </c>
      <c r="R646" s="1" t="str">
        <f>IFERROR(__xludf.DUMMYFUNCTION("""COMPUTED_VALUE"""),"")</f>
        <v/>
      </c>
      <c r="S646" s="1" t="str">
        <f>IFERROR(__xludf.DUMMYFUNCTION("""COMPUTED_VALUE"""),"")</f>
        <v/>
      </c>
      <c r="T646" s="1" t="str">
        <f>IFERROR(__xludf.DUMMYFUNCTION("""COMPUTED_VALUE"""),"")</f>
        <v/>
      </c>
      <c r="U646" s="1" t="str">
        <f>IFERROR(__xludf.DUMMYFUNCTION("""COMPUTED_VALUE"""),"")</f>
        <v/>
      </c>
      <c r="V646" s="1" t="str">
        <f>IFERROR(__xludf.DUMMYFUNCTION("""COMPUTED_VALUE"""),"63,500")</f>
        <v>63,500</v>
      </c>
      <c r="W646" s="1" t="str">
        <f>IFERROR(__xludf.DUMMYFUNCTION("""COMPUTED_VALUE"""),"")</f>
        <v/>
      </c>
      <c r="X646" s="1" t="str">
        <f>IFERROR(__xludf.DUMMYFUNCTION("""COMPUTED_VALUE"""),"")</f>
        <v/>
      </c>
      <c r="Y646" s="1" t="str">
        <f>IFERROR(__xludf.DUMMYFUNCTION("""COMPUTED_VALUE"""),"")</f>
        <v/>
      </c>
      <c r="Z646" s="1" t="str">
        <f>IFERROR(__xludf.DUMMYFUNCTION("""COMPUTED_VALUE"""),"Unknown")</f>
        <v>Unknown</v>
      </c>
      <c r="AA646" s="1" t="str">
        <f>IFERROR(__xludf.DUMMYFUNCTION("""COMPUTED_VALUE"""),"")</f>
        <v/>
      </c>
      <c r="AB646" s="1" t="str">
        <f>IFERROR(__xludf.DUMMYFUNCTION("""COMPUTED_VALUE"""),"")</f>
        <v/>
      </c>
      <c r="AC646" s="1" t="str">
        <f>IFERROR(__xludf.DUMMYFUNCTION("""COMPUTED_VALUE"""),"")</f>
        <v/>
      </c>
      <c r="AD646" s="1" t="str">
        <f>IFERROR(__xludf.DUMMYFUNCTION("""COMPUTED_VALUE"""),"")</f>
        <v/>
      </c>
      <c r="AE646" s="1" t="str">
        <f>IFERROR(__xludf.DUMMYFUNCTION("""COMPUTED_VALUE"""),"")</f>
        <v/>
      </c>
      <c r="AF646" s="1" t="str">
        <f>IFERROR(__xludf.DUMMYFUNCTION("""COMPUTED_VALUE"""),"")</f>
        <v/>
      </c>
      <c r="AG646" s="1" t="str">
        <f>IFERROR(__xludf.DUMMYFUNCTION("""COMPUTED_VALUE"""),"")</f>
        <v/>
      </c>
      <c r="AH646" s="1" t="str">
        <f>IFERROR(__xludf.DUMMYFUNCTION("""COMPUTED_VALUE"""),"Media Monitoring")</f>
        <v>Media Monitoring</v>
      </c>
      <c r="AI646" s="1" t="str">
        <f>IFERROR(__xludf.DUMMYFUNCTION("""COMPUTED_VALUE"""),"")</f>
        <v/>
      </c>
      <c r="AJ646" s="1" t="str">
        <f>IFERROR(__xludf.DUMMYFUNCTION("""COMPUTED_VALUE"""),"")</f>
        <v/>
      </c>
      <c r="AK646" s="1" t="str">
        <f>IFERROR(__xludf.DUMMYFUNCTION("""COMPUTED_VALUE"""),"")</f>
        <v/>
      </c>
      <c r="AL646" s="1" t="str">
        <f>IFERROR(__xludf.DUMMYFUNCTION("""COMPUTED_VALUE"""),"")</f>
        <v/>
      </c>
      <c r="AM646" s="1" t="str">
        <f>IFERROR(__xludf.DUMMYFUNCTION("""COMPUTED_VALUE"""),"")</f>
        <v/>
      </c>
      <c r="AN646" s="1" t="str">
        <f>IFERROR(__xludf.DUMMYFUNCTION("""COMPUTED_VALUE"""),"")</f>
        <v/>
      </c>
      <c r="AO646" s="1" t="str">
        <f>IFERROR(__xludf.DUMMYFUNCTION("""COMPUTED_VALUE"""),"")</f>
        <v/>
      </c>
      <c r="AP646" s="1" t="str">
        <f>IFERROR(__xludf.DUMMYFUNCTION("""COMPUTED_VALUE"""),"")</f>
        <v/>
      </c>
      <c r="AQ646" s="1" t="str">
        <f>IFERROR(__xludf.DUMMYFUNCTION("""COMPUTED_VALUE"""),"11/14/2025")</f>
        <v>11/14/2025</v>
      </c>
      <c r="AR646" s="1" t="str">
        <f>IFERROR(__xludf.DUMMYFUNCTION("""COMPUTED_VALUE"""),"11/14/2025")</f>
        <v>11/14/2025</v>
      </c>
    </row>
    <row r="647">
      <c r="A647" s="1" t="str">
        <f>IFERROR(__xludf.DUMMYFUNCTION("""COMPUTED_VALUE"""),"9Lives Data Center")</f>
        <v>9Lives Data Center</v>
      </c>
      <c r="B647" s="1" t="str">
        <f>IFERROR(__xludf.DUMMYFUNCTION("""COMPUTED_VALUE"""),"3807 Highland Ave")</f>
        <v>3807 Highland Ave</v>
      </c>
      <c r="C647" s="1" t="str">
        <f>IFERROR(__xludf.DUMMYFUNCTION("""COMPUTED_VALUE"""),"Niagara Falls")</f>
        <v>Niagara Falls</v>
      </c>
      <c r="D647" s="1" t="str">
        <f>IFERROR(__xludf.DUMMYFUNCTION("""COMPUTED_VALUE"""),"NY")</f>
        <v>NY</v>
      </c>
      <c r="E647" s="1" t="str">
        <f>IFERROR(__xludf.DUMMYFUNCTION("""COMPUTED_VALUE"""),"14305")</f>
        <v>14305</v>
      </c>
      <c r="F647" s="1" t="str">
        <f>IFERROR(__xludf.DUMMYFUNCTION("""COMPUTED_VALUE"""),"Erie")</f>
        <v>Erie</v>
      </c>
      <c r="G647" s="1" t="str">
        <f>IFERROR(__xludf.DUMMYFUNCTION("""COMPUTED_VALUE"""),"43.12389")</f>
        <v>43.12389</v>
      </c>
      <c r="H647" s="1" t="str">
        <f>IFERROR(__xludf.DUMMYFUNCTION("""COMPUTED_VALUE"""),"-79.04118")</f>
        <v>-79.04118</v>
      </c>
      <c r="I647" s="1" t="str">
        <f>IFERROR(__xludf.DUMMYFUNCTION("""COMPUTED_VALUE"""),"Proposed")</f>
        <v>Proposed</v>
      </c>
      <c r="J647" s="1" t="str">
        <f>IFERROR(__xludf.DUMMYFUNCTION("""COMPUTED_VALUE"""),"High")</f>
        <v>High</v>
      </c>
      <c r="K647" s="1" t="str">
        <f>IFERROR(__xludf.DUMMYFUNCTION("""COMPUTED_VALUE"""),"")</f>
        <v/>
      </c>
      <c r="L647" s="1" t="str">
        <f>IFERROR(__xludf.DUMMYFUNCTION("""COMPUTED_VALUE"""),"")</f>
        <v/>
      </c>
      <c r="M647" s="1" t="str">
        <f>IFERROR(__xludf.DUMMYFUNCTION("""COMPUTED_VALUE"""),"")</f>
        <v/>
      </c>
      <c r="N647" s="1" t="str">
        <f>IFERROR(__xludf.DUMMYFUNCTION("""COMPUTED_VALUE"""),"600")</f>
        <v>600</v>
      </c>
      <c r="O647" s="1" t="str">
        <f>IFERROR(__xludf.DUMMYFUNCTION("""COMPUTED_VALUE"""),"Hyperscale (100-999 MW)")</f>
        <v>Hyperscale (100-999 MW)</v>
      </c>
      <c r="P647" s="1" t="str">
        <f>IFERROR(__xludf.DUMMYFUNCTION("""COMPUTED_VALUE"""),"")</f>
        <v/>
      </c>
      <c r="Q647" s="1" t="str">
        <f>IFERROR(__xludf.DUMMYFUNCTION("""COMPUTED_VALUE"""),"")</f>
        <v/>
      </c>
      <c r="R647" s="1" t="str">
        <f>IFERROR(__xludf.DUMMYFUNCTION("""COMPUTED_VALUE"""),"")</f>
        <v/>
      </c>
      <c r="S647" s="1" t="str">
        <f>IFERROR(__xludf.DUMMYFUNCTION("""COMPUTED_VALUE"""),"3")</f>
        <v>3</v>
      </c>
      <c r="T647" s="1" t="str">
        <f>IFERROR(__xludf.DUMMYFUNCTION("""COMPUTED_VALUE"""),"")</f>
        <v/>
      </c>
      <c r="U647" s="1" t="str">
        <f>IFERROR(__xludf.DUMMYFUNCTION("""COMPUTED_VALUE"""),"")</f>
        <v/>
      </c>
      <c r="V647" s="1" t="str">
        <f>IFERROR(__xludf.DUMMYFUNCTION("""COMPUTED_VALUE"""),"")</f>
        <v/>
      </c>
      <c r="W647" s="1" t="str">
        <f>IFERROR(__xludf.DUMMYFUNCTION("""COMPUTED_VALUE"""),"11")</f>
        <v>11</v>
      </c>
      <c r="X647" s="1" t="str">
        <f>IFERROR(__xludf.DUMMYFUNCTION("""COMPUTED_VALUE"""),"")</f>
        <v/>
      </c>
      <c r="Y647" s="1" t="str">
        <f>IFERROR(__xludf.DUMMYFUNCTION("""COMPUTED_VALUE"""),"")</f>
        <v/>
      </c>
      <c r="Z647" s="1" t="str">
        <f>IFERROR(__xludf.DUMMYFUNCTION("""COMPUTED_VALUE"""),"Unknown")</f>
        <v>Unknown</v>
      </c>
      <c r="AA647" s="1" t="str">
        <f>IFERROR(__xludf.DUMMYFUNCTION("""COMPUTED_VALUE"""),"")</f>
        <v/>
      </c>
      <c r="AB647" s="1" t="str">
        <f>IFERROR(__xludf.DUMMYFUNCTION("""COMPUTED_VALUE"""),"")</f>
        <v/>
      </c>
      <c r="AC647" s="1" t="str">
        <f>IFERROR(__xludf.DUMMYFUNCTION("""COMPUTED_VALUE"""),"")</f>
        <v/>
      </c>
      <c r="AD647" s="1" t="str">
        <f>IFERROR(__xludf.DUMMYFUNCTION("""COMPUTED_VALUE"""),"")</f>
        <v/>
      </c>
      <c r="AE647" s="1" t="str">
        <f>IFERROR(__xludf.DUMMYFUNCTION("""COMPUTED_VALUE"""),"")</f>
        <v/>
      </c>
      <c r="AF647" s="1" t="str">
        <f>IFERROR(__xludf.DUMMYFUNCTION("""COMPUTED_VALUE"""),"")</f>
        <v/>
      </c>
      <c r="AG647" s="1" t="str">
        <f>IFERROR(__xludf.DUMMYFUNCTION("""COMPUTED_VALUE"""),"")</f>
        <v/>
      </c>
      <c r="AH647" s="1" t="str">
        <f>IFERROR(__xludf.DUMMYFUNCTION("""COMPUTED_VALUE"""),"Media Monitoring")</f>
        <v>Media Monitoring</v>
      </c>
      <c r="AI647" s="2" t="str">
        <f>IFERROR(__xludf.DUMMYFUNCTION("""COMPUTED_VALUE"""),"https://www.datacenterdynamics.com/en/news/9ldg-plans-ai-data-center-at-niagara-falls")</f>
        <v>https://www.datacenterdynamics.com/en/news/9ldg-plans-ai-data-center-at-niagara-falls</v>
      </c>
      <c r="AJ647" s="1" t="str">
        <f>IFERROR(__xludf.DUMMYFUNCTION("""COMPUTED_VALUE"""),"")</f>
        <v/>
      </c>
      <c r="AK647" s="1" t="str">
        <f>IFERROR(__xludf.DUMMYFUNCTION("""COMPUTED_VALUE"""),"")</f>
        <v/>
      </c>
      <c r="AL647" s="1" t="str">
        <f>IFERROR(__xludf.DUMMYFUNCTION("""COMPUTED_VALUE"""),"")</f>
        <v/>
      </c>
      <c r="AM647" s="1" t="str">
        <f>IFERROR(__xludf.DUMMYFUNCTION("""COMPUTED_VALUE"""),"")</f>
        <v/>
      </c>
      <c r="AN647" s="1" t="str">
        <f>IFERROR(__xludf.DUMMYFUNCTION("""COMPUTED_VALUE"""),"")</f>
        <v/>
      </c>
      <c r="AO647" s="1" t="str">
        <f>IFERROR(__xludf.DUMMYFUNCTION("""COMPUTED_VALUE"""),"")</f>
        <v/>
      </c>
      <c r="AP647" s="1" t="str">
        <f>IFERROR(__xludf.DUMMYFUNCTION("""COMPUTED_VALUE"""),"")</f>
        <v/>
      </c>
      <c r="AQ647" s="1" t="str">
        <f>IFERROR(__xludf.DUMMYFUNCTION("""COMPUTED_VALUE"""),"01/14/2026")</f>
        <v>01/14/2026</v>
      </c>
      <c r="AR647" s="1" t="str">
        <f>IFERROR(__xludf.DUMMYFUNCTION("""COMPUTED_VALUE"""),"01/14/2026")</f>
        <v>01/14/2026</v>
      </c>
    </row>
    <row r="648">
      <c r="A648" s="1" t="str">
        <f>IFERROR(__xludf.DUMMYFUNCTION("""COMPUTED_VALUE"""),"BlockFusion aka North East Data Center LLC")</f>
        <v>BlockFusion aka North East Data Center LLC</v>
      </c>
      <c r="B648" s="1" t="str">
        <f>IFERROR(__xludf.DUMMYFUNCTION("""COMPUTED_VALUE"""),"5380 Frontier Ave.")</f>
        <v>5380 Frontier Ave.</v>
      </c>
      <c r="C648" s="1" t="str">
        <f>IFERROR(__xludf.DUMMYFUNCTION("""COMPUTED_VALUE"""),"Niagara Falls")</f>
        <v>Niagara Falls</v>
      </c>
      <c r="D648" s="1" t="str">
        <f>IFERROR(__xludf.DUMMYFUNCTION("""COMPUTED_VALUE"""),"NY")</f>
        <v>NY</v>
      </c>
      <c r="E648" s="1" t="str">
        <f>IFERROR(__xludf.DUMMYFUNCTION("""COMPUTED_VALUE"""),"14304")</f>
        <v>14304</v>
      </c>
      <c r="F648" s="1" t="str">
        <f>IFERROR(__xludf.DUMMYFUNCTION("""COMPUTED_VALUE"""),"Niagara")</f>
        <v>Niagara</v>
      </c>
      <c r="G648" s="1" t="str">
        <f>IFERROR(__xludf.DUMMYFUNCTION("""COMPUTED_VALUE"""),"43.083187")</f>
        <v>43.083187</v>
      </c>
      <c r="H648" s="1" t="str">
        <f>IFERROR(__xludf.DUMMYFUNCTION("""COMPUTED_VALUE"""),"-79.00317")</f>
        <v>-79.00317</v>
      </c>
      <c r="I648" s="1" t="str">
        <f>IFERROR(__xludf.DUMMYFUNCTION("""COMPUTED_VALUE"""),"Operating")</f>
        <v>Operating</v>
      </c>
      <c r="J648" s="1" t="str">
        <f>IFERROR(__xludf.DUMMYFUNCTION("""COMPUTED_VALUE"""),"High")</f>
        <v>High</v>
      </c>
      <c r="K648" s="1" t="str">
        <f>IFERROR(__xludf.DUMMYFUNCTION("""COMPUTED_VALUE"""),"")</f>
        <v/>
      </c>
      <c r="L648" s="1" t="str">
        <f>IFERROR(__xludf.DUMMYFUNCTION("""COMPUTED_VALUE"""),"")</f>
        <v/>
      </c>
      <c r="M648" s="1" t="str">
        <f>IFERROR(__xludf.DUMMYFUNCTION("""COMPUTED_VALUE"""),"")</f>
        <v/>
      </c>
      <c r="N648" s="1" t="str">
        <f>IFERROR(__xludf.DUMMYFUNCTION("""COMPUTED_VALUE"""),"50+")</f>
        <v>50+</v>
      </c>
      <c r="O648" s="1" t="str">
        <f>IFERROR(__xludf.DUMMYFUNCTION("""COMPUTED_VALUE"""),"Large (51-99 MW)")</f>
        <v>Large (51-99 MW)</v>
      </c>
      <c r="P648" s="1" t="str">
        <f>IFERROR(__xludf.DUMMYFUNCTION("""COMPUTED_VALUE"""),"")</f>
        <v/>
      </c>
      <c r="Q648" s="1" t="str">
        <f>IFERROR(__xludf.DUMMYFUNCTION("""COMPUTED_VALUE"""),"")</f>
        <v/>
      </c>
      <c r="R648" s="1" t="str">
        <f>IFERROR(__xludf.DUMMYFUNCTION("""COMPUTED_VALUE"""),"")</f>
        <v/>
      </c>
      <c r="S648" s="1" t="str">
        <f>IFERROR(__xludf.DUMMYFUNCTION("""COMPUTED_VALUE"""),"")</f>
        <v/>
      </c>
      <c r="T648" s="1" t="str">
        <f>IFERROR(__xludf.DUMMYFUNCTION("""COMPUTED_VALUE"""),"")</f>
        <v/>
      </c>
      <c r="U648" s="1" t="str">
        <f>IFERROR(__xludf.DUMMYFUNCTION("""COMPUTED_VALUE"""),"")</f>
        <v/>
      </c>
      <c r="V648" s="1" t="str">
        <f>IFERROR(__xludf.DUMMYFUNCTION("""COMPUTED_VALUE"""),"")</f>
        <v/>
      </c>
      <c r="W648" s="1" t="str">
        <f>IFERROR(__xludf.DUMMYFUNCTION("""COMPUTED_VALUE"""),"")</f>
        <v/>
      </c>
      <c r="X648" s="1" t="str">
        <f>IFERROR(__xludf.DUMMYFUNCTION("""COMPUTED_VALUE"""),"")</f>
        <v/>
      </c>
      <c r="Y648" s="1" t="str">
        <f>IFERROR(__xludf.DUMMYFUNCTION("""COMPUTED_VALUE"""),"")</f>
        <v/>
      </c>
      <c r="Z648" s="1" t="str">
        <f>IFERROR(__xludf.DUMMYFUNCTION("""COMPUTED_VALUE"""),"Unknown")</f>
        <v>Unknown</v>
      </c>
      <c r="AA648" s="1" t="str">
        <f>IFERROR(__xludf.DUMMYFUNCTION("""COMPUTED_VALUE"""),"")</f>
        <v/>
      </c>
      <c r="AB648" s="1" t="str">
        <f>IFERROR(__xludf.DUMMYFUNCTION("""COMPUTED_VALUE"""),"")</f>
        <v/>
      </c>
      <c r="AC648" s="1" t="str">
        <f>IFERROR(__xludf.DUMMYFUNCTION("""COMPUTED_VALUE"""),"")</f>
        <v/>
      </c>
      <c r="AD648" s="1" t="str">
        <f>IFERROR(__xludf.DUMMYFUNCTION("""COMPUTED_VALUE"""),"")</f>
        <v/>
      </c>
      <c r="AE648" s="1" t="str">
        <f>IFERROR(__xludf.DUMMYFUNCTION("""COMPUTED_VALUE"""),"")</f>
        <v/>
      </c>
      <c r="AF648" s="1" t="str">
        <f>IFERROR(__xludf.DUMMYFUNCTION("""COMPUTED_VALUE"""),"")</f>
        <v/>
      </c>
      <c r="AG648" s="1" t="str">
        <f>IFERROR(__xludf.DUMMYFUNCTION("""COMPUTED_VALUE"""),"Bitcoin")</f>
        <v>Bitcoin</v>
      </c>
      <c r="AH648" s="1" t="str">
        <f>IFERROR(__xludf.DUMMYFUNCTION("""COMPUTED_VALUE"""),"Media Monitoring")</f>
        <v>Media Monitoring</v>
      </c>
      <c r="AI648" s="2" t="str">
        <f>IFERROR(__xludf.DUMMYFUNCTION("""COMPUTED_VALUE"""),"https://finance.yahoo.com/news/blockfusion-wins-approval-reopen-bitcoin-035900770.html")</f>
        <v>https://finance.yahoo.com/news/blockfusion-wins-approval-reopen-bitcoin-035900770.html</v>
      </c>
      <c r="AJ648" s="2" t="str">
        <f>IFERROR(__xludf.DUMMYFUNCTION("""COMPUTED_VALUE"""),"https://cms3.revize.com/revize/repository/niagarafallsny/Documents/Government/Department/Planning%20And%20Environmental/Block%20Fusion%20FEIS/Final%20Environmental%20Impact%20Statement_7.17.25(12819203.1).pdf?908")</f>
        <v>https://cms3.revize.com/revize/repository/niagarafallsny/Documents/Government/Department/Planning%20And%20Environmental/Block%20Fusion%20FEIS/Final%20Environmental%20Impact%20Statement_7.17.25(12819203.1).pdf?908</v>
      </c>
      <c r="AK648" s="1" t="str">
        <f>IFERROR(__xludf.DUMMYFUNCTION("""COMPUTED_VALUE"""),"")</f>
        <v/>
      </c>
      <c r="AL648" s="1" t="str">
        <f>IFERROR(__xludf.DUMMYFUNCTION("""COMPUTED_VALUE"""),"")</f>
        <v/>
      </c>
      <c r="AM648" s="1" t="str">
        <f>IFERROR(__xludf.DUMMYFUNCTION("""COMPUTED_VALUE"""),"")</f>
        <v/>
      </c>
      <c r="AN648" s="1" t="str">
        <f>IFERROR(__xludf.DUMMYFUNCTION("""COMPUTED_VALUE"""),"")</f>
        <v/>
      </c>
      <c r="AO648" s="1" t="str">
        <f>IFERROR(__xludf.DUMMYFUNCTION("""COMPUTED_VALUE"""),"")</f>
        <v/>
      </c>
      <c r="AP648" s="1" t="str">
        <f>IFERROR(__xludf.DUMMYFUNCTION("""COMPUTED_VALUE"""),"")</f>
        <v/>
      </c>
      <c r="AQ648" s="1" t="str">
        <f>IFERROR(__xludf.DUMMYFUNCTION("""COMPUTED_VALUE"""),"11/17/2025")</f>
        <v>11/17/2025</v>
      </c>
      <c r="AR648" s="1" t="str">
        <f>IFERROR(__xludf.DUMMYFUNCTION("""COMPUTED_VALUE"""),"11/17/2025")</f>
        <v>11/17/2025</v>
      </c>
    </row>
    <row r="649">
      <c r="A649" s="1" t="str">
        <f>IFERROR(__xludf.DUMMYFUNCTION("""COMPUTED_VALUE"""),"Niagara Digital Campus")</f>
        <v>Niagara Digital Campus</v>
      </c>
      <c r="B649" s="1" t="str">
        <f>IFERROR(__xludf.DUMMYFUNCTION("""COMPUTED_VALUE"""),"Rainbow Blvd &amp; John B Daly Blvds")</f>
        <v>Rainbow Blvd &amp; John B Daly Blvds</v>
      </c>
      <c r="C649" s="1" t="str">
        <f>IFERROR(__xludf.DUMMYFUNCTION("""COMPUTED_VALUE"""),"Niagara Falls")</f>
        <v>Niagara Falls</v>
      </c>
      <c r="D649" s="1" t="str">
        <f>IFERROR(__xludf.DUMMYFUNCTION("""COMPUTED_VALUE"""),"NY")</f>
        <v>NY</v>
      </c>
      <c r="E649" s="1" t="str">
        <f>IFERROR(__xludf.DUMMYFUNCTION("""COMPUTED_VALUE"""),"14303")</f>
        <v>14303</v>
      </c>
      <c r="F649" s="1" t="str">
        <f>IFERROR(__xludf.DUMMYFUNCTION("""COMPUTED_VALUE"""),"Niagara")</f>
        <v>Niagara</v>
      </c>
      <c r="G649" s="1" t="str">
        <f>IFERROR(__xludf.DUMMYFUNCTION("""COMPUTED_VALUE"""),"43.084515")</f>
        <v>43.084515</v>
      </c>
      <c r="H649" s="1" t="str">
        <f>IFERROR(__xludf.DUMMYFUNCTION("""COMPUTED_VALUE"""),"-79.05135")</f>
        <v>-79.05135</v>
      </c>
      <c r="I649" s="1" t="str">
        <f>IFERROR(__xludf.DUMMYFUNCTION("""COMPUTED_VALUE"""),"Approved/Permitted/Under construction")</f>
        <v>Approved/Permitted/Under construction</v>
      </c>
      <c r="J649" s="1" t="str">
        <f>IFERROR(__xludf.DUMMYFUNCTION("""COMPUTED_VALUE"""),"High")</f>
        <v>High</v>
      </c>
      <c r="K649" s="1" t="str">
        <f>IFERROR(__xludf.DUMMYFUNCTION("""COMPUTED_VALUE"""),"")</f>
        <v/>
      </c>
      <c r="L649" s="1" t="str">
        <f>IFERROR(__xludf.DUMMYFUNCTION("""COMPUTED_VALUE"""),"")</f>
        <v/>
      </c>
      <c r="M649" s="1" t="str">
        <f>IFERROR(__xludf.DUMMYFUNCTION("""COMPUTED_VALUE"""),"")</f>
        <v/>
      </c>
      <c r="N649" s="1" t="str">
        <f>IFERROR(__xludf.DUMMYFUNCTION("""COMPUTED_VALUE"""),"140")</f>
        <v>140</v>
      </c>
      <c r="O649" s="1" t="str">
        <f>IFERROR(__xludf.DUMMYFUNCTION("""COMPUTED_VALUE"""),"Hyperscale (100-999 MW)")</f>
        <v>Hyperscale (100-999 MW)</v>
      </c>
      <c r="P649" s="1" t="str">
        <f>IFERROR(__xludf.DUMMYFUNCTION("""COMPUTED_VALUE"""),"")</f>
        <v/>
      </c>
      <c r="Q649" s="1" t="str">
        <f>IFERROR(__xludf.DUMMYFUNCTION("""COMPUTED_VALUE"""),"")</f>
        <v/>
      </c>
      <c r="R649" s="1" t="str">
        <f>IFERROR(__xludf.DUMMYFUNCTION("""COMPUTED_VALUE"""),"")</f>
        <v/>
      </c>
      <c r="S649" s="1" t="str">
        <f>IFERROR(__xludf.DUMMYFUNCTION("""COMPUTED_VALUE"""),"")</f>
        <v/>
      </c>
      <c r="T649" s="1" t="str">
        <f>IFERROR(__xludf.DUMMYFUNCTION("""COMPUTED_VALUE"""),"")</f>
        <v/>
      </c>
      <c r="U649" s="1" t="str">
        <f>IFERROR(__xludf.DUMMYFUNCTION("""COMPUTED_VALUE"""),"")</f>
        <v/>
      </c>
      <c r="V649" s="1" t="str">
        <f>IFERROR(__xludf.DUMMYFUNCTION("""COMPUTED_VALUE"""),"600,000")</f>
        <v>600,000</v>
      </c>
      <c r="W649" s="1" t="str">
        <f>IFERROR(__xludf.DUMMYFUNCTION("""COMPUTED_VALUE"""),"53")</f>
        <v>53</v>
      </c>
      <c r="X649" s="1" t="str">
        <f>IFERROR(__xludf.DUMMYFUNCTION("""COMPUTED_VALUE"""),"$1.5 billion")</f>
        <v>$1.5 billion</v>
      </c>
      <c r="Y649" s="1" t="str">
        <f>IFERROR(__xludf.DUMMYFUNCTION("""COMPUTED_VALUE"""),"")</f>
        <v/>
      </c>
      <c r="Z649" s="1" t="str">
        <f>IFERROR(__xludf.DUMMYFUNCTION("""COMPUTED_VALUE"""),"Unknown")</f>
        <v>Unknown</v>
      </c>
      <c r="AA649" s="1" t="str">
        <f>IFERROR(__xludf.DUMMYFUNCTION("""COMPUTED_VALUE"""),"")</f>
        <v/>
      </c>
      <c r="AB649" s="1" t="str">
        <f>IFERROR(__xludf.DUMMYFUNCTION("""COMPUTED_VALUE"""),"")</f>
        <v/>
      </c>
      <c r="AC649" s="1" t="str">
        <f>IFERROR(__xludf.DUMMYFUNCTION("""COMPUTED_VALUE"""),"")</f>
        <v/>
      </c>
      <c r="AD649" s="1" t="str">
        <f>IFERROR(__xludf.DUMMYFUNCTION("""COMPUTED_VALUE"""),"")</f>
        <v/>
      </c>
      <c r="AE649" s="1" t="str">
        <f>IFERROR(__xludf.DUMMYFUNCTION("""COMPUTED_VALUE"""),"")</f>
        <v/>
      </c>
      <c r="AF649" s="1" t="str">
        <f>IFERROR(__xludf.DUMMYFUNCTION("""COMPUTED_VALUE"""),"")</f>
        <v/>
      </c>
      <c r="AG649" s="1" t="str">
        <f>IFERROR(__xludf.DUMMYFUNCTION("""COMPUTED_VALUE"""),"")</f>
        <v/>
      </c>
      <c r="AH649" s="1" t="str">
        <f>IFERROR(__xludf.DUMMYFUNCTION("""COMPUTED_VALUE"""),"Media Monitoring")</f>
        <v>Media Monitoring</v>
      </c>
      <c r="AI649" s="2" t="str">
        <f>IFERROR(__xludf.DUMMYFUNCTION("""COMPUTED_VALUE"""),"https://www.nyiso.com/documents/20142/2226333/2025-Gold-Book-Public.pdf/088438e1-02f1-5316-211b-dbca17c01b4b")</f>
        <v>https://www.nyiso.com/documents/20142/2226333/2025-Gold-Book-Public.pdf/088438e1-02f1-5316-211b-dbca17c01b4b</v>
      </c>
      <c r="AJ649" s="2" t="str">
        <f>IFERROR(__xludf.DUMMYFUNCTION("""COMPUTED_VALUE"""),"https://cms3.revize.com/revize/niagarafallsny/Documents/Government/Department/Planning%20And%20Environmental/PUD%20PETITION_FULL_5.14.2025.pdf")</f>
        <v>https://cms3.revize.com/revize/niagarafallsny/Documents/Government/Department/Planning%20And%20Environmental/PUD%20PETITION_FULL_5.14.2025.pdf</v>
      </c>
      <c r="AK649" s="2" t="str">
        <f>IFERROR(__xludf.DUMMYFUNCTION("""COMPUTED_VALUE"""),"https://finance.yahoo.com/news/nfr-submits-proposed-plans-data-035900195.html")</f>
        <v>https://finance.yahoo.com/news/nfr-submits-proposed-plans-data-035900195.html</v>
      </c>
      <c r="AL649" s="2" t="str">
        <f>IFERROR(__xludf.DUMMYFUNCTION("""COMPUTED_VALUE"""),"https://www.datacentermap.com/usa/new-york/buffalo/niagara-digital-campus/")</f>
        <v>https://www.datacentermap.com/usa/new-york/buffalo/niagara-digital-campus/</v>
      </c>
      <c r="AM649" s="2" t="str">
        <f>IFERROR(__xludf.DUMMYFUNCTION("""COMPUTED_VALUE"""),"https://www.wgrz.com/article/news/local/niagara-falls-city-council-approves-settlement-with-nfr-new-data-center-to-move-forward/71-6ea0cd08-f43a-4ebc-9628-2700cef83f6c")</f>
        <v>https://www.wgrz.com/article/news/local/niagara-falls-city-council-approves-settlement-with-nfr-new-data-center-to-move-forward/71-6ea0cd08-f43a-4ebc-9628-2700cef83f6c</v>
      </c>
      <c r="AN649" s="1" t="str">
        <f>IFERROR(__xludf.DUMMYFUNCTION("""COMPUTED_VALUE"""),"")</f>
        <v/>
      </c>
      <c r="AO649" s="1" t="str">
        <f>IFERROR(__xludf.DUMMYFUNCTION("""COMPUTED_VALUE"""),"")</f>
        <v/>
      </c>
      <c r="AP649" s="1" t="str">
        <f>IFERROR(__xludf.DUMMYFUNCTION("""COMPUTED_VALUE"""),"")</f>
        <v/>
      </c>
      <c r="AQ649" s="1" t="str">
        <f>IFERROR(__xludf.DUMMYFUNCTION("""COMPUTED_VALUE"""),"11/14/2025")</f>
        <v>11/14/2025</v>
      </c>
      <c r="AR649" s="1" t="str">
        <f>IFERROR(__xludf.DUMMYFUNCTION("""COMPUTED_VALUE"""),"06/04/2026")</f>
        <v>06/04/2026</v>
      </c>
    </row>
    <row r="650">
      <c r="A650" s="1" t="str">
        <f>IFERROR(__xludf.DUMMYFUNCTION("""COMPUTED_VALUE"""),"North Tonawanda Data Center")</f>
        <v>North Tonawanda Data Center</v>
      </c>
      <c r="B650" s="1" t="str">
        <f>IFERROR(__xludf.DUMMYFUNCTION("""COMPUTED_VALUE"""),"1070 Erie Ave")</f>
        <v>1070 Erie Ave</v>
      </c>
      <c r="C650" s="1" t="str">
        <f>IFERROR(__xludf.DUMMYFUNCTION("""COMPUTED_VALUE"""),"North Tonawanda")</f>
        <v>North Tonawanda</v>
      </c>
      <c r="D650" s="1" t="str">
        <f>IFERROR(__xludf.DUMMYFUNCTION("""COMPUTED_VALUE"""),"NY")</f>
        <v>NY</v>
      </c>
      <c r="E650" s="1" t="str">
        <f>IFERROR(__xludf.DUMMYFUNCTION("""COMPUTED_VALUE"""),"14120")</f>
        <v>14120</v>
      </c>
      <c r="F650" s="1" t="str">
        <f>IFERROR(__xludf.DUMMYFUNCTION("""COMPUTED_VALUE"""),"Niagara")</f>
        <v>Niagara</v>
      </c>
      <c r="G650" s="1" t="str">
        <f>IFERROR(__xludf.DUMMYFUNCTION("""COMPUTED_VALUE"""),"43.06086")</f>
        <v>43.06086</v>
      </c>
      <c r="H650" s="1" t="str">
        <f>IFERROR(__xludf.DUMMYFUNCTION("""COMPUTED_VALUE"""),"-78.85376")</f>
        <v>-78.85376</v>
      </c>
      <c r="I650" s="1" t="str">
        <f>IFERROR(__xludf.DUMMYFUNCTION("""COMPUTED_VALUE"""),"Operating")</f>
        <v>Operating</v>
      </c>
      <c r="J650" s="1" t="str">
        <f>IFERROR(__xludf.DUMMYFUNCTION("""COMPUTED_VALUE"""),"High")</f>
        <v>High</v>
      </c>
      <c r="K650" s="1" t="str">
        <f>IFERROR(__xludf.DUMMYFUNCTION("""COMPUTED_VALUE"""),"")</f>
        <v/>
      </c>
      <c r="L650" s="1" t="str">
        <f>IFERROR(__xludf.DUMMYFUNCTION("""COMPUTED_VALUE"""),"")</f>
        <v/>
      </c>
      <c r="M650" s="1" t="str">
        <f>IFERROR(__xludf.DUMMYFUNCTION("""COMPUTED_VALUE"""),"")</f>
        <v/>
      </c>
      <c r="N650" s="1" t="str">
        <f>IFERROR(__xludf.DUMMYFUNCTION("""COMPUTED_VALUE"""),"46")</f>
        <v>46</v>
      </c>
      <c r="O650" s="1" t="str">
        <f>IFERROR(__xludf.DUMMYFUNCTION("""COMPUTED_VALUE"""),"Medium (11-50 MW)")</f>
        <v>Medium (11-50 MW)</v>
      </c>
      <c r="P650" s="1" t="str">
        <f>IFERROR(__xludf.DUMMYFUNCTION("""COMPUTED_VALUE"""),"")</f>
        <v/>
      </c>
      <c r="Q650" s="1" t="str">
        <f>IFERROR(__xludf.DUMMYFUNCTION("""COMPUTED_VALUE"""),"")</f>
        <v/>
      </c>
      <c r="R650" s="1" t="str">
        <f>IFERROR(__xludf.DUMMYFUNCTION("""COMPUTED_VALUE"""),"")</f>
        <v/>
      </c>
      <c r="S650" s="1" t="str">
        <f>IFERROR(__xludf.DUMMYFUNCTION("""COMPUTED_VALUE"""),"")</f>
        <v/>
      </c>
      <c r="T650" s="1" t="str">
        <f>IFERROR(__xludf.DUMMYFUNCTION("""COMPUTED_VALUE"""),"")</f>
        <v/>
      </c>
      <c r="U650" s="1" t="str">
        <f>IFERROR(__xludf.DUMMYFUNCTION("""COMPUTED_VALUE"""),"")</f>
        <v/>
      </c>
      <c r="V650" s="1" t="str">
        <f>IFERROR(__xludf.DUMMYFUNCTION("""COMPUTED_VALUE"""),"")</f>
        <v/>
      </c>
      <c r="W650" s="1" t="str">
        <f>IFERROR(__xludf.DUMMYFUNCTION("""COMPUTED_VALUE"""),"")</f>
        <v/>
      </c>
      <c r="X650" s="1" t="str">
        <f>IFERROR(__xludf.DUMMYFUNCTION("""COMPUTED_VALUE"""),"")</f>
        <v/>
      </c>
      <c r="Y650" s="1" t="str">
        <f>IFERROR(__xludf.DUMMYFUNCTION("""COMPUTED_VALUE"""),"")</f>
        <v/>
      </c>
      <c r="Z650" s="1" t="str">
        <f>IFERROR(__xludf.DUMMYFUNCTION("""COMPUTED_VALUE"""),"Yes")</f>
        <v>Yes</v>
      </c>
      <c r="AA650" s="1" t="str">
        <f>IFERROR(__xludf.DUMMYFUNCTION("""COMPUTED_VALUE"""),"")</f>
        <v/>
      </c>
      <c r="AB650" s="1" t="str">
        <f>IFERROR(__xludf.DUMMYFUNCTION("""COMPUTED_VALUE"""),"Organized Advocacy")</f>
        <v>Organized Advocacy</v>
      </c>
      <c r="AC650" s="1" t="str">
        <f>IFERROR(__xludf.DUMMYFUNCTION("""COMPUTED_VALUE"""),"")</f>
        <v/>
      </c>
      <c r="AD650" s="2" t="str">
        <f>IFERROR(__xludf.DUMMYFUNCTION("""COMPUTED_VALUE"""),"https://www.cacwny.org/campaigns/north-tonawanda/")</f>
        <v>https://www.cacwny.org/campaigns/north-tonawanda/</v>
      </c>
      <c r="AE650" s="1" t="str">
        <f>IFERROR(__xludf.DUMMYFUNCTION("""COMPUTED_VALUE"""),"")</f>
        <v/>
      </c>
      <c r="AF650" s="2" t="str">
        <f>IFERROR(__xludf.DUMMYFUNCTION("""COMPUTED_VALUE"""),"https://actionnetwork.org/petitions/north-tonawanda-common-council-regulate-cryptocurrency-mining?nowrapper=true&amp;referrer=&amp;source=")</f>
        <v>https://actionnetwork.org/petitions/north-tonawanda-common-council-regulate-cryptocurrency-mining?nowrapper=true&amp;referrer=&amp;source=</v>
      </c>
      <c r="AG650" s="1" t="str">
        <f>IFERROR(__xludf.DUMMYFUNCTION("""COMPUTED_VALUE"""),"Bitcoin, currently local moratorium against expansion")</f>
        <v>Bitcoin, currently local moratorium against expansion</v>
      </c>
      <c r="AH650" s="1" t="str">
        <f>IFERROR(__xludf.DUMMYFUNCTION("""COMPUTED_VALUE"""),"Media Monitoring")</f>
        <v>Media Monitoring</v>
      </c>
      <c r="AI650" s="2" t="str">
        <f>IFERROR(__xludf.DUMMYFUNCTION("""COMPUTED_VALUE"""),"https://www.wgrz.com/article/news/local/digihost-crypto-mining-facility-fortistar-power-plant-money-business/71-9fbc4c21-8f47-4cf4-951e-32513d3090a9")</f>
        <v>https://www.wgrz.com/article/news/local/digihost-crypto-mining-facility-fortistar-power-plant-money-business/71-9fbc4c21-8f47-4cf4-951e-32513d3090a9</v>
      </c>
      <c r="AJ650" s="2" t="str">
        <f>IFERROR(__xludf.DUMMYFUNCTION("""COMPUTED_VALUE"""),"https://buffalonews.com/news/local/article_6fb79889-7e52-49e3-9016-7b91fed9b05b.html")</f>
        <v>https://buffalonews.com/news/local/article_6fb79889-7e52-49e3-9016-7b91fed9b05b.html</v>
      </c>
      <c r="AK650" s="1" t="str">
        <f>IFERROR(__xludf.DUMMYFUNCTION("""COMPUTED_VALUE"""),"")</f>
        <v/>
      </c>
      <c r="AL650" s="1" t="str">
        <f>IFERROR(__xludf.DUMMYFUNCTION("""COMPUTED_VALUE"""),"")</f>
        <v/>
      </c>
      <c r="AM650" s="1" t="str">
        <f>IFERROR(__xludf.DUMMYFUNCTION("""COMPUTED_VALUE"""),"")</f>
        <v/>
      </c>
      <c r="AN650" s="1" t="str">
        <f>IFERROR(__xludf.DUMMYFUNCTION("""COMPUTED_VALUE"""),"")</f>
        <v/>
      </c>
      <c r="AO650" s="1" t="str">
        <f>IFERROR(__xludf.DUMMYFUNCTION("""COMPUTED_VALUE"""),"")</f>
        <v/>
      </c>
      <c r="AP650" s="1" t="str">
        <f>IFERROR(__xludf.DUMMYFUNCTION("""COMPUTED_VALUE"""),"")</f>
        <v/>
      </c>
      <c r="AQ650" s="1" t="str">
        <f>IFERROR(__xludf.DUMMYFUNCTION("""COMPUTED_VALUE"""),"11/17/2025")</f>
        <v>11/17/2025</v>
      </c>
      <c r="AR650" s="1" t="str">
        <f>IFERROR(__xludf.DUMMYFUNCTION("""COMPUTED_VALUE"""),"04/08/2026")</f>
        <v>04/08/2026</v>
      </c>
    </row>
    <row r="651">
      <c r="A651" s="1" t="str">
        <f>IFERROR(__xludf.DUMMYFUNCTION("""COMPUTED_VALUE"""),"Oneonta Data Center")</f>
        <v>Oneonta Data Center</v>
      </c>
      <c r="B651" s="1" t="str">
        <f>IFERROR(__xludf.DUMMYFUNCTION("""COMPUTED_VALUE"""),"357 County Highway 9")</f>
        <v>357 County Highway 9</v>
      </c>
      <c r="C651" s="1" t="str">
        <f>IFERROR(__xludf.DUMMYFUNCTION("""COMPUTED_VALUE"""),"Oneonta")</f>
        <v>Oneonta</v>
      </c>
      <c r="D651" s="1" t="str">
        <f>IFERROR(__xludf.DUMMYFUNCTION("""COMPUTED_VALUE"""),"NY")</f>
        <v>NY</v>
      </c>
      <c r="E651" s="1" t="str">
        <f>IFERROR(__xludf.DUMMYFUNCTION("""COMPUTED_VALUE"""),"13820")</f>
        <v>13820</v>
      </c>
      <c r="F651" s="1" t="str">
        <f>IFERROR(__xludf.DUMMYFUNCTION("""COMPUTED_VALUE"""),"Otsego")</f>
        <v>Otsego</v>
      </c>
      <c r="G651" s="1" t="str">
        <f>IFERROR(__xludf.DUMMYFUNCTION("""COMPUTED_VALUE"""),"42.45303")</f>
        <v>42.45303</v>
      </c>
      <c r="H651" s="1" t="str">
        <f>IFERROR(__xludf.DUMMYFUNCTION("""COMPUTED_VALUE"""),"-75.1168")</f>
        <v>-75.1168</v>
      </c>
      <c r="I651" s="1" t="str">
        <f>IFERROR(__xludf.DUMMYFUNCTION("""COMPUTED_VALUE"""),"Suspended")</f>
        <v>Suspended</v>
      </c>
      <c r="J651" s="1" t="str">
        <f>IFERROR(__xludf.DUMMYFUNCTION("""COMPUTED_VALUE"""),"High")</f>
        <v>High</v>
      </c>
      <c r="K651" s="1" t="str">
        <f>IFERROR(__xludf.DUMMYFUNCTION("""COMPUTED_VALUE"""),"AI")</f>
        <v>AI</v>
      </c>
      <c r="L651" s="1" t="str">
        <f>IFERROR(__xludf.DUMMYFUNCTION("""COMPUTED_VALUE"""),"")</f>
        <v/>
      </c>
      <c r="M651" s="1" t="str">
        <f>IFERROR(__xludf.DUMMYFUNCTION("""COMPUTED_VALUE"""),"")</f>
        <v/>
      </c>
      <c r="N651" s="1" t="str">
        <f>IFERROR(__xludf.DUMMYFUNCTION("""COMPUTED_VALUE"""),"")</f>
        <v/>
      </c>
      <c r="O651" s="1" t="str">
        <f>IFERROR(__xludf.DUMMYFUNCTION("""COMPUTED_VALUE"""),"Small (0-10 MW)")</f>
        <v>Small (0-10 MW)</v>
      </c>
      <c r="P651" s="1" t="str">
        <f>IFERROR(__xludf.DUMMYFUNCTION("""COMPUTED_VALUE"""),"")</f>
        <v/>
      </c>
      <c r="Q651" s="1" t="str">
        <f>IFERROR(__xludf.DUMMYFUNCTION("""COMPUTED_VALUE"""),"")</f>
        <v/>
      </c>
      <c r="R651" s="1" t="str">
        <f>IFERROR(__xludf.DUMMYFUNCTION("""COMPUTED_VALUE"""),"")</f>
        <v/>
      </c>
      <c r="S651" s="1" t="str">
        <f>IFERROR(__xludf.DUMMYFUNCTION("""COMPUTED_VALUE"""),"")</f>
        <v/>
      </c>
      <c r="T651" s="1" t="str">
        <f>IFERROR(__xludf.DUMMYFUNCTION("""COMPUTED_VALUE"""),"")</f>
        <v/>
      </c>
      <c r="U651" s="1" t="str">
        <f>IFERROR(__xludf.DUMMYFUNCTION("""COMPUTED_VALUE"""),"")</f>
        <v/>
      </c>
      <c r="V651" s="1" t="str">
        <f>IFERROR(__xludf.DUMMYFUNCTION("""COMPUTED_VALUE"""),"")</f>
        <v/>
      </c>
      <c r="W651" s="1" t="str">
        <f>IFERROR(__xludf.DUMMYFUNCTION("""COMPUTED_VALUE"""),"")</f>
        <v/>
      </c>
      <c r="X651" s="1" t="str">
        <f>IFERROR(__xludf.DUMMYFUNCTION("""COMPUTED_VALUE"""),"")</f>
        <v/>
      </c>
      <c r="Y651" s="1" t="str">
        <f>IFERROR(__xludf.DUMMYFUNCTION("""COMPUTED_VALUE"""),"")</f>
        <v/>
      </c>
      <c r="Z651" s="1" t="str">
        <f>IFERROR(__xludf.DUMMYFUNCTION("""COMPUTED_VALUE"""),"Yes")</f>
        <v>Yes</v>
      </c>
      <c r="AA651" s="1" t="str">
        <f>IFERROR(__xludf.DUMMYFUNCTION("""COMPUTED_VALUE"""),"Residents have organized through town hall attendance and social media, citing concerns that the ""green"" branding is a ""Trojan horse"" for high-noise industrial operations.")</f>
        <v>Residents have organized through town hall attendance and social media, citing concerns that the "green" branding is a "Trojan horse" for high-noise industrial operations.</v>
      </c>
      <c r="AB651" s="1" t="str">
        <f>IFERROR(__xludf.DUMMYFUNCTION("""COMPUTED_VALUE"""),"")</f>
        <v/>
      </c>
      <c r="AC651" s="1" t="str">
        <f>IFERROR(__xludf.DUMMYFUNCTION("""COMPUTED_VALUE"""),"")</f>
        <v/>
      </c>
      <c r="AD651" s="2" t="str">
        <f>IFERROR(__xludf.DUMMYFUNCTION("""COMPUTED_VALUE"""),"https://www.facebook.com/groups/143492322411081/posts/25299508549716111/")</f>
        <v>https://www.facebook.com/groups/143492322411081/posts/25299508549716111/</v>
      </c>
      <c r="AE651" s="2" t="str">
        <f>IFERROR(__xludf.DUMMYFUNCTION("""COMPUTED_VALUE"""),"https://www.facebook.com/otsego2000/posts/the-eco-yotta-proposal-for-the-town-of-oneonta-was-never-about-farming-and-hydro/1149697390645539/")</f>
        <v>https://www.facebook.com/otsego2000/posts/the-eco-yotta-proposal-for-the-town-of-oneonta-was-never-about-farming-and-hydro/1149697390645539/</v>
      </c>
      <c r="AF651" s="1" t="str">
        <f>IFERROR(__xludf.DUMMYFUNCTION("""COMPUTED_VALUE"""),"")</f>
        <v/>
      </c>
      <c r="AG651" s="1" t="str">
        <f>IFERROR(__xludf.DUMMYFUNCTION("""COMPUTED_VALUE"""),"Excess heat to warm a greenhouse on-site")</f>
        <v>Excess heat to warm a greenhouse on-site</v>
      </c>
      <c r="AH651" s="1" t="str">
        <f>IFERROR(__xludf.DUMMYFUNCTION("""COMPUTED_VALUE"""),"Media Monitoring")</f>
        <v>Media Monitoring</v>
      </c>
      <c r="AI651" s="2" t="str">
        <f>IFERROR(__xludf.DUMMYFUNCTION("""COMPUTED_VALUE"""),"https://www.allotsego.com/residents-oppose-data-center-proposal-in-heated-board-meeting/")</f>
        <v>https://www.allotsego.com/residents-oppose-data-center-proposal-in-heated-board-meeting/</v>
      </c>
      <c r="AJ651" s="1" t="str">
        <f>IFERROR(__xludf.DUMMYFUNCTION("""COMPUTED_VALUE"""),"")</f>
        <v/>
      </c>
      <c r="AK651" s="1" t="str">
        <f>IFERROR(__xludf.DUMMYFUNCTION("""COMPUTED_VALUE"""),"")</f>
        <v/>
      </c>
      <c r="AL651" s="1" t="str">
        <f>IFERROR(__xludf.DUMMYFUNCTION("""COMPUTED_VALUE"""),"")</f>
        <v/>
      </c>
      <c r="AM651" s="1" t="str">
        <f>IFERROR(__xludf.DUMMYFUNCTION("""COMPUTED_VALUE"""),"")</f>
        <v/>
      </c>
      <c r="AN651" s="1" t="str">
        <f>IFERROR(__xludf.DUMMYFUNCTION("""COMPUTED_VALUE"""),"")</f>
        <v/>
      </c>
      <c r="AO651" s="1" t="str">
        <f>IFERROR(__xludf.DUMMYFUNCTION("""COMPUTED_VALUE"""),"")</f>
        <v/>
      </c>
      <c r="AP651" s="1" t="str">
        <f>IFERROR(__xludf.DUMMYFUNCTION("""COMPUTED_VALUE"""),"")</f>
        <v/>
      </c>
      <c r="AQ651" s="1" t="str">
        <f>IFERROR(__xludf.DUMMYFUNCTION("""COMPUTED_VALUE"""),"11/26/2025")</f>
        <v>11/26/2025</v>
      </c>
      <c r="AR651" s="1" t="str">
        <f>IFERROR(__xludf.DUMMYFUNCTION("""COMPUTED_VALUE"""),"03/24/2026")</f>
        <v>03/24/2026</v>
      </c>
    </row>
    <row r="652">
      <c r="A652" s="1" t="str">
        <f>IFERROR(__xludf.DUMMYFUNCTION("""COMPUTED_VALUE"""),"Bloomberg-RDC 8/ Sentinel NY-1")</f>
        <v>Bloomberg-RDC 8/ Sentinel NY-1</v>
      </c>
      <c r="B652" s="1" t="str">
        <f>IFERROR(__xludf.DUMMYFUNCTION("""COMPUTED_VALUE"""),"155 Corporate Dr")</f>
        <v>155 Corporate Dr</v>
      </c>
      <c r="C652" s="1" t="str">
        <f>IFERROR(__xludf.DUMMYFUNCTION("""COMPUTED_VALUE"""),"Orangeburg")</f>
        <v>Orangeburg</v>
      </c>
      <c r="D652" s="1" t="str">
        <f>IFERROR(__xludf.DUMMYFUNCTION("""COMPUTED_VALUE"""),"NY")</f>
        <v>NY</v>
      </c>
      <c r="E652" s="1" t="str">
        <f>IFERROR(__xludf.DUMMYFUNCTION("""COMPUTED_VALUE"""),"10962")</f>
        <v>10962</v>
      </c>
      <c r="F652" s="1" t="str">
        <f>IFERROR(__xludf.DUMMYFUNCTION("""COMPUTED_VALUE"""),"Rockland")</f>
        <v>Rockland</v>
      </c>
      <c r="G652" s="1" t="str">
        <f>IFERROR(__xludf.DUMMYFUNCTION("""COMPUTED_VALUE"""),"41.03556")</f>
        <v>41.03556</v>
      </c>
      <c r="H652" s="1" t="str">
        <f>IFERROR(__xludf.DUMMYFUNCTION("""COMPUTED_VALUE"""),"-73.9866")</f>
        <v>-73.9866</v>
      </c>
      <c r="I652" s="1" t="str">
        <f>IFERROR(__xludf.DUMMYFUNCTION("""COMPUTED_VALUE"""),"Operating")</f>
        <v>Operating</v>
      </c>
      <c r="J652" s="1" t="str">
        <f>IFERROR(__xludf.DUMMYFUNCTION("""COMPUTED_VALUE"""),"High")</f>
        <v>High</v>
      </c>
      <c r="K652" s="1" t="str">
        <f>IFERROR(__xludf.DUMMYFUNCTION("""COMPUTED_VALUE"""),"")</f>
        <v/>
      </c>
      <c r="L652" s="1" t="str">
        <f>IFERROR(__xludf.DUMMYFUNCTION("""COMPUTED_VALUE"""),"")</f>
        <v/>
      </c>
      <c r="M652" s="1" t="str">
        <f>IFERROR(__xludf.DUMMYFUNCTION("""COMPUTED_VALUE"""),"")</f>
        <v/>
      </c>
      <c r="N652" s="1" t="str">
        <f>IFERROR(__xludf.DUMMYFUNCTION("""COMPUTED_VALUE"""),"7")</f>
        <v>7</v>
      </c>
      <c r="O652" s="1" t="str">
        <f>IFERROR(__xludf.DUMMYFUNCTION("""COMPUTED_VALUE"""),"Small (0-10 MW)")</f>
        <v>Small (0-10 MW)</v>
      </c>
      <c r="P652" s="1" t="str">
        <f>IFERROR(__xludf.DUMMYFUNCTION("""COMPUTED_VALUE"""),"")</f>
        <v/>
      </c>
      <c r="Q652" s="1" t="str">
        <f>IFERROR(__xludf.DUMMYFUNCTION("""COMPUTED_VALUE"""),"")</f>
        <v/>
      </c>
      <c r="R652" s="1" t="str">
        <f>IFERROR(__xludf.DUMMYFUNCTION("""COMPUTED_VALUE"""),"")</f>
        <v/>
      </c>
      <c r="S652" s="1" t="str">
        <f>IFERROR(__xludf.DUMMYFUNCTION("""COMPUTED_VALUE"""),"")</f>
        <v/>
      </c>
      <c r="T652" s="1" t="str">
        <f>IFERROR(__xludf.DUMMYFUNCTION("""COMPUTED_VALUE"""),"")</f>
        <v/>
      </c>
      <c r="U652" s="1" t="str">
        <f>IFERROR(__xludf.DUMMYFUNCTION("""COMPUTED_VALUE"""),"")</f>
        <v/>
      </c>
      <c r="V652" s="1" t="str">
        <f>IFERROR(__xludf.DUMMYFUNCTION("""COMPUTED_VALUE"""),"130,000")</f>
        <v>130,000</v>
      </c>
      <c r="W652" s="1" t="str">
        <f>IFERROR(__xludf.DUMMYFUNCTION("""COMPUTED_VALUE"""),"15")</f>
        <v>15</v>
      </c>
      <c r="X652" s="1" t="str">
        <f>IFERROR(__xludf.DUMMYFUNCTION("""COMPUTED_VALUE"""),"")</f>
        <v/>
      </c>
      <c r="Y652" s="1" t="str">
        <f>IFERROR(__xludf.DUMMYFUNCTION("""COMPUTED_VALUE"""),"")</f>
        <v/>
      </c>
      <c r="Z652" s="1" t="str">
        <f>IFERROR(__xludf.DUMMYFUNCTION("""COMPUTED_VALUE"""),"Unknown")</f>
        <v>Unknown</v>
      </c>
      <c r="AA652" s="1" t="str">
        <f>IFERROR(__xludf.DUMMYFUNCTION("""COMPUTED_VALUE"""),"")</f>
        <v/>
      </c>
      <c r="AB652" s="1" t="str">
        <f>IFERROR(__xludf.DUMMYFUNCTION("""COMPUTED_VALUE"""),"")</f>
        <v/>
      </c>
      <c r="AC652" s="1" t="str">
        <f>IFERROR(__xludf.DUMMYFUNCTION("""COMPUTED_VALUE"""),"")</f>
        <v/>
      </c>
      <c r="AD652" s="1" t="str">
        <f>IFERROR(__xludf.DUMMYFUNCTION("""COMPUTED_VALUE"""),"")</f>
        <v/>
      </c>
      <c r="AE652" s="1" t="str">
        <f>IFERROR(__xludf.DUMMYFUNCTION("""COMPUTED_VALUE"""),"")</f>
        <v/>
      </c>
      <c r="AF652" s="1" t="str">
        <f>IFERROR(__xludf.DUMMYFUNCTION("""COMPUTED_VALUE"""),"")</f>
        <v/>
      </c>
      <c r="AG652" s="1" t="str">
        <f>IFERROR(__xludf.DUMMYFUNCTION("""COMPUTED_VALUE"""),"")</f>
        <v/>
      </c>
      <c r="AH652" s="1" t="str">
        <f>IFERROR(__xludf.DUMMYFUNCTION("""COMPUTED_VALUE"""),"Media Monitoring")</f>
        <v>Media Monitoring</v>
      </c>
      <c r="AI652" s="2" t="str">
        <f>IFERROR(__xludf.DUMMYFUNCTION("""COMPUTED_VALUE"""),"https://russodevelopment.com/property/rdc-purpose-built-data-center/")</f>
        <v>https://russodevelopment.com/property/rdc-purpose-built-data-center/</v>
      </c>
      <c r="AJ652" s="2" t="str">
        <f>IFERROR(__xludf.DUMMYFUNCTION("""COMPUTED_VALUE"""),"https://baxtel.com/data-center/bloomberg-orangetown")</f>
        <v>https://baxtel.com/data-center/bloomberg-orangetown</v>
      </c>
      <c r="AK652" s="1" t="str">
        <f>IFERROR(__xludf.DUMMYFUNCTION("""COMPUTED_VALUE"""),"")</f>
        <v/>
      </c>
      <c r="AL652" s="1" t="str">
        <f>IFERROR(__xludf.DUMMYFUNCTION("""COMPUTED_VALUE"""),"")</f>
        <v/>
      </c>
      <c r="AM652" s="1" t="str">
        <f>IFERROR(__xludf.DUMMYFUNCTION("""COMPUTED_VALUE"""),"")</f>
        <v/>
      </c>
      <c r="AN652" s="1" t="str">
        <f>IFERROR(__xludf.DUMMYFUNCTION("""COMPUTED_VALUE"""),"")</f>
        <v/>
      </c>
      <c r="AO652" s="1" t="str">
        <f>IFERROR(__xludf.DUMMYFUNCTION("""COMPUTED_VALUE"""),"")</f>
        <v/>
      </c>
      <c r="AP652" s="1" t="str">
        <f>IFERROR(__xludf.DUMMYFUNCTION("""COMPUTED_VALUE"""),"")</f>
        <v/>
      </c>
      <c r="AQ652" s="1" t="str">
        <f>IFERROR(__xludf.DUMMYFUNCTION("""COMPUTED_VALUE"""),"11/14/2025")</f>
        <v>11/14/2025</v>
      </c>
      <c r="AR652" s="1" t="str">
        <f>IFERROR(__xludf.DUMMYFUNCTION("""COMPUTED_VALUE"""),"11/14/2025")</f>
        <v>11/14/2025</v>
      </c>
    </row>
    <row r="653">
      <c r="A653" s="1" t="str">
        <f>IFERROR(__xludf.DUMMYFUNCTION("""COMPUTED_VALUE"""),"DataBank LGA3 and LGA4")</f>
        <v>DataBank LGA3 and LGA4</v>
      </c>
      <c r="B653" s="1" t="str">
        <f>IFERROR(__xludf.DUMMYFUNCTION("""COMPUTED_VALUE"""),"2000 Corporate Dr")</f>
        <v>2000 Corporate Dr</v>
      </c>
      <c r="C653" s="1" t="str">
        <f>IFERROR(__xludf.DUMMYFUNCTION("""COMPUTED_VALUE"""),"Orangeburg")</f>
        <v>Orangeburg</v>
      </c>
      <c r="D653" s="1" t="str">
        <f>IFERROR(__xludf.DUMMYFUNCTION("""COMPUTED_VALUE"""),"NY")</f>
        <v>NY</v>
      </c>
      <c r="E653" s="1" t="str">
        <f>IFERROR(__xludf.DUMMYFUNCTION("""COMPUTED_VALUE"""),"10962")</f>
        <v>10962</v>
      </c>
      <c r="F653" s="1" t="str">
        <f>IFERROR(__xludf.DUMMYFUNCTION("""COMPUTED_VALUE"""),"Rockland")</f>
        <v>Rockland</v>
      </c>
      <c r="G653" s="1" t="str">
        <f>IFERROR(__xludf.DUMMYFUNCTION("""COMPUTED_VALUE"""),"41.03986")</f>
        <v>41.03986</v>
      </c>
      <c r="H653" s="1" t="str">
        <f>IFERROR(__xludf.DUMMYFUNCTION("""COMPUTED_VALUE"""),"-73.9899")</f>
        <v>-73.9899</v>
      </c>
      <c r="I653" s="1" t="str">
        <f>IFERROR(__xludf.DUMMYFUNCTION("""COMPUTED_VALUE"""),"Operating")</f>
        <v>Operating</v>
      </c>
      <c r="J653" s="1" t="str">
        <f>IFERROR(__xludf.DUMMYFUNCTION("""COMPUTED_VALUE"""),"High")</f>
        <v>High</v>
      </c>
      <c r="K653" s="1" t="str">
        <f>IFERROR(__xludf.DUMMYFUNCTION("""COMPUTED_VALUE"""),"")</f>
        <v/>
      </c>
      <c r="L653" s="1" t="str">
        <f>IFERROR(__xludf.DUMMYFUNCTION("""COMPUTED_VALUE"""),"")</f>
        <v/>
      </c>
      <c r="M653" s="1" t="str">
        <f>IFERROR(__xludf.DUMMYFUNCTION("""COMPUTED_VALUE"""),"")</f>
        <v/>
      </c>
      <c r="N653" s="1" t="str">
        <f>IFERROR(__xludf.DUMMYFUNCTION("""COMPUTED_VALUE"""),"40")</f>
        <v>40</v>
      </c>
      <c r="O653" s="1" t="str">
        <f>IFERROR(__xludf.DUMMYFUNCTION("""COMPUTED_VALUE"""),"Medium (11-50 MW)")</f>
        <v>Medium (11-50 MW)</v>
      </c>
      <c r="P653" s="1" t="str">
        <f>IFERROR(__xludf.DUMMYFUNCTION("""COMPUTED_VALUE"""),"")</f>
        <v/>
      </c>
      <c r="Q653" s="1" t="str">
        <f>IFERROR(__xludf.DUMMYFUNCTION("""COMPUTED_VALUE"""),"")</f>
        <v/>
      </c>
      <c r="R653" s="1" t="str">
        <f>IFERROR(__xludf.DUMMYFUNCTION("""COMPUTED_VALUE"""),"")</f>
        <v/>
      </c>
      <c r="S653" s="1" t="str">
        <f>IFERROR(__xludf.DUMMYFUNCTION("""COMPUTED_VALUE"""),"")</f>
        <v/>
      </c>
      <c r="T653" s="1" t="str">
        <f>IFERROR(__xludf.DUMMYFUNCTION("""COMPUTED_VALUE"""),"")</f>
        <v/>
      </c>
      <c r="U653" s="1" t="str">
        <f>IFERROR(__xludf.DUMMYFUNCTION("""COMPUTED_VALUE"""),"")</f>
        <v/>
      </c>
      <c r="V653" s="1" t="str">
        <f>IFERROR(__xludf.DUMMYFUNCTION("""COMPUTED_VALUE"""),"220,000")</f>
        <v>220,000</v>
      </c>
      <c r="W653" s="1" t="str">
        <f>IFERROR(__xludf.DUMMYFUNCTION("""COMPUTED_VALUE"""),"34")</f>
        <v>34</v>
      </c>
      <c r="X653" s="1" t="str">
        <f>IFERROR(__xludf.DUMMYFUNCTION("""COMPUTED_VALUE"""),"")</f>
        <v/>
      </c>
      <c r="Y653" s="1" t="str">
        <f>IFERROR(__xludf.DUMMYFUNCTION("""COMPUTED_VALUE"""),"2025")</f>
        <v>2025</v>
      </c>
      <c r="Z653" s="1" t="str">
        <f>IFERROR(__xludf.DUMMYFUNCTION("""COMPUTED_VALUE"""),"Unknown")</f>
        <v>Unknown</v>
      </c>
      <c r="AA653" s="1" t="str">
        <f>IFERROR(__xludf.DUMMYFUNCTION("""COMPUTED_VALUE"""),"")</f>
        <v/>
      </c>
      <c r="AB653" s="1" t="str">
        <f>IFERROR(__xludf.DUMMYFUNCTION("""COMPUTED_VALUE"""),"")</f>
        <v/>
      </c>
      <c r="AC653" s="1" t="str">
        <f>IFERROR(__xludf.DUMMYFUNCTION("""COMPUTED_VALUE"""),"")</f>
        <v/>
      </c>
      <c r="AD653" s="1" t="str">
        <f>IFERROR(__xludf.DUMMYFUNCTION("""COMPUTED_VALUE"""),"")</f>
        <v/>
      </c>
      <c r="AE653" s="1" t="str">
        <f>IFERROR(__xludf.DUMMYFUNCTION("""COMPUTED_VALUE"""),"")</f>
        <v/>
      </c>
      <c r="AF653" s="1" t="str">
        <f>IFERROR(__xludf.DUMMYFUNCTION("""COMPUTED_VALUE"""),"")</f>
        <v/>
      </c>
      <c r="AG653" s="1" t="str">
        <f>IFERROR(__xludf.DUMMYFUNCTION("""COMPUTED_VALUE"""),"")</f>
        <v/>
      </c>
      <c r="AH653" s="1" t="str">
        <f>IFERROR(__xludf.DUMMYFUNCTION("""COMPUTED_VALUE"""),"Media Monitoring")</f>
        <v>Media Monitoring</v>
      </c>
      <c r="AI653" s="2" t="str">
        <f>IFERROR(__xludf.DUMMYFUNCTION("""COMPUTED_VALUE"""),"https://www.databank.com/data-centers/new-york-city/orangeburg-campus/lga3/")</f>
        <v>https://www.databank.com/data-centers/new-york-city/orangeburg-campus/lga3/</v>
      </c>
      <c r="AJ653" s="2" t="str">
        <f>IFERROR(__xludf.DUMMYFUNCTION("""COMPUTED_VALUE"""),"https://www.datacenterdynamics.com/en/news/databank-launches-20mw-data-center-in-orangeburg-new-york/")</f>
        <v>https://www.datacenterdynamics.com/en/news/databank-launches-20mw-data-center-in-orangeburg-new-york/</v>
      </c>
      <c r="AK653" s="2" t="str">
        <f>IFERROR(__xludf.DUMMYFUNCTION("""COMPUTED_VALUE"""),"https://www.databank.com/data-centers/new-york-city/")</f>
        <v>https://www.databank.com/data-centers/new-york-city/</v>
      </c>
      <c r="AL653" s="1" t="str">
        <f>IFERROR(__xludf.DUMMYFUNCTION("""COMPUTED_VALUE"""),"")</f>
        <v/>
      </c>
      <c r="AM653" s="1" t="str">
        <f>IFERROR(__xludf.DUMMYFUNCTION("""COMPUTED_VALUE"""),"")</f>
        <v/>
      </c>
      <c r="AN653" s="1" t="str">
        <f>IFERROR(__xludf.DUMMYFUNCTION("""COMPUTED_VALUE"""),"")</f>
        <v/>
      </c>
      <c r="AO653" s="1" t="str">
        <f>IFERROR(__xludf.DUMMYFUNCTION("""COMPUTED_VALUE"""),"")</f>
        <v/>
      </c>
      <c r="AP653" s="1" t="str">
        <f>IFERROR(__xludf.DUMMYFUNCTION("""COMPUTED_VALUE"""),"")</f>
        <v/>
      </c>
      <c r="AQ653" s="1" t="str">
        <f>IFERROR(__xludf.DUMMYFUNCTION("""COMPUTED_VALUE"""),"05/24/2025")</f>
        <v>05/24/2025</v>
      </c>
      <c r="AR653" s="1" t="str">
        <f>IFERROR(__xludf.DUMMYFUNCTION("""COMPUTED_VALUE"""),"11/14/2025")</f>
        <v>11/14/2025</v>
      </c>
    </row>
    <row r="654">
      <c r="A654" s="1" t="str">
        <f>IFERROR(__xludf.DUMMYFUNCTION("""COMPUTED_VALUE"""),"Orangeburg Data Center")</f>
        <v>Orangeburg Data Center</v>
      </c>
      <c r="B654" s="1" t="str">
        <f>IFERROR(__xludf.DUMMYFUNCTION("""COMPUTED_VALUE"""),"1 Ramland Rd")</f>
        <v>1 Ramland Rd</v>
      </c>
      <c r="C654" s="1" t="str">
        <f>IFERROR(__xludf.DUMMYFUNCTION("""COMPUTED_VALUE"""),"Orangeburg")</f>
        <v>Orangeburg</v>
      </c>
      <c r="D654" s="1" t="str">
        <f>IFERROR(__xludf.DUMMYFUNCTION("""COMPUTED_VALUE"""),"NY")</f>
        <v>NY</v>
      </c>
      <c r="E654" s="1" t="str">
        <f>IFERROR(__xludf.DUMMYFUNCTION("""COMPUTED_VALUE"""),"10962")</f>
        <v>10962</v>
      </c>
      <c r="F654" s="1" t="str">
        <f>IFERROR(__xludf.DUMMYFUNCTION("""COMPUTED_VALUE"""),"Rockland")</f>
        <v>Rockland</v>
      </c>
      <c r="G654" s="1" t="str">
        <f>IFERROR(__xludf.DUMMYFUNCTION("""COMPUTED_VALUE"""),"41.0345")</f>
        <v>41.0345</v>
      </c>
      <c r="H654" s="1" t="str">
        <f>IFERROR(__xludf.DUMMYFUNCTION("""COMPUTED_VALUE"""),"-73.9758")</f>
        <v>-73.9758</v>
      </c>
      <c r="I654" s="1" t="str">
        <f>IFERROR(__xludf.DUMMYFUNCTION("""COMPUTED_VALUE"""),"Operating")</f>
        <v>Operating</v>
      </c>
      <c r="J654" s="1" t="str">
        <f>IFERROR(__xludf.DUMMYFUNCTION("""COMPUTED_VALUE"""),"High")</f>
        <v>High</v>
      </c>
      <c r="K654" s="1" t="str">
        <f>IFERROR(__xludf.DUMMYFUNCTION("""COMPUTED_VALUE"""),"")</f>
        <v/>
      </c>
      <c r="L654" s="1" t="str">
        <f>IFERROR(__xludf.DUMMYFUNCTION("""COMPUTED_VALUE"""),"")</f>
        <v/>
      </c>
      <c r="M654" s="1" t="str">
        <f>IFERROR(__xludf.DUMMYFUNCTION("""COMPUTED_VALUE"""),"")</f>
        <v/>
      </c>
      <c r="N654" s="1" t="str">
        <f>IFERROR(__xludf.DUMMYFUNCTION("""COMPUTED_VALUE"""),"24")</f>
        <v>24</v>
      </c>
      <c r="O654" s="1" t="str">
        <f>IFERROR(__xludf.DUMMYFUNCTION("""COMPUTED_VALUE"""),"Medium (11-50 MW)")</f>
        <v>Medium (11-50 MW)</v>
      </c>
      <c r="P654" s="1" t="str">
        <f>IFERROR(__xludf.DUMMYFUNCTION("""COMPUTED_VALUE"""),"")</f>
        <v/>
      </c>
      <c r="Q654" s="1" t="str">
        <f>IFERROR(__xludf.DUMMYFUNCTION("""COMPUTED_VALUE"""),"")</f>
        <v/>
      </c>
      <c r="R654" s="1" t="str">
        <f>IFERROR(__xludf.DUMMYFUNCTION("""COMPUTED_VALUE"""),"")</f>
        <v/>
      </c>
      <c r="S654" s="1" t="str">
        <f>IFERROR(__xludf.DUMMYFUNCTION("""COMPUTED_VALUE"""),"")</f>
        <v/>
      </c>
      <c r="T654" s="1" t="str">
        <f>IFERROR(__xludf.DUMMYFUNCTION("""COMPUTED_VALUE"""),"")</f>
        <v/>
      </c>
      <c r="U654" s="1" t="str">
        <f>IFERROR(__xludf.DUMMYFUNCTION("""COMPUTED_VALUE"""),"")</f>
        <v/>
      </c>
      <c r="V654" s="1" t="str">
        <f>IFERROR(__xludf.DUMMYFUNCTION("""COMPUTED_VALUE"""),"232,000")</f>
        <v>232,000</v>
      </c>
      <c r="W654" s="1" t="str">
        <f>IFERROR(__xludf.DUMMYFUNCTION("""COMPUTED_VALUE"""),"")</f>
        <v/>
      </c>
      <c r="X654" s="1" t="str">
        <f>IFERROR(__xludf.DUMMYFUNCTION("""COMPUTED_VALUE"""),"")</f>
        <v/>
      </c>
      <c r="Y654" s="1" t="str">
        <f>IFERROR(__xludf.DUMMYFUNCTION("""COMPUTED_VALUE"""),"")</f>
        <v/>
      </c>
      <c r="Z654" s="1" t="str">
        <f>IFERROR(__xludf.DUMMYFUNCTION("""COMPUTED_VALUE"""),"Unknown")</f>
        <v>Unknown</v>
      </c>
      <c r="AA654" s="1" t="str">
        <f>IFERROR(__xludf.DUMMYFUNCTION("""COMPUTED_VALUE"""),"")</f>
        <v/>
      </c>
      <c r="AB654" s="1" t="str">
        <f>IFERROR(__xludf.DUMMYFUNCTION("""COMPUTED_VALUE"""),"")</f>
        <v/>
      </c>
      <c r="AC654" s="1" t="str">
        <f>IFERROR(__xludf.DUMMYFUNCTION("""COMPUTED_VALUE"""),"")</f>
        <v/>
      </c>
      <c r="AD654" s="1" t="str">
        <f>IFERROR(__xludf.DUMMYFUNCTION("""COMPUTED_VALUE"""),"")</f>
        <v/>
      </c>
      <c r="AE654" s="1" t="str">
        <f>IFERROR(__xludf.DUMMYFUNCTION("""COMPUTED_VALUE"""),"")</f>
        <v/>
      </c>
      <c r="AF654" s="1" t="str">
        <f>IFERROR(__xludf.DUMMYFUNCTION("""COMPUTED_VALUE"""),"")</f>
        <v/>
      </c>
      <c r="AG654" s="1" t="str">
        <f>IFERROR(__xludf.DUMMYFUNCTION("""COMPUTED_VALUE"""),"")</f>
        <v/>
      </c>
      <c r="AH654" s="1" t="str">
        <f>IFERROR(__xludf.DUMMYFUNCTION("""COMPUTED_VALUE"""),"Media Monitoring")</f>
        <v>Media Monitoring</v>
      </c>
      <c r="AI654" s="1" t="str">
        <f>IFERROR(__xludf.DUMMYFUNCTION("""COMPUTED_VALUE"""),"")</f>
        <v/>
      </c>
      <c r="AJ654" s="1" t="str">
        <f>IFERROR(__xludf.DUMMYFUNCTION("""COMPUTED_VALUE"""),"")</f>
        <v/>
      </c>
      <c r="AK654" s="1" t="str">
        <f>IFERROR(__xludf.DUMMYFUNCTION("""COMPUTED_VALUE"""),"")</f>
        <v/>
      </c>
      <c r="AL654" s="1" t="str">
        <f>IFERROR(__xludf.DUMMYFUNCTION("""COMPUTED_VALUE"""),"")</f>
        <v/>
      </c>
      <c r="AM654" s="1" t="str">
        <f>IFERROR(__xludf.DUMMYFUNCTION("""COMPUTED_VALUE"""),"")</f>
        <v/>
      </c>
      <c r="AN654" s="1" t="str">
        <f>IFERROR(__xludf.DUMMYFUNCTION("""COMPUTED_VALUE"""),"")</f>
        <v/>
      </c>
      <c r="AO654" s="1" t="str">
        <f>IFERROR(__xludf.DUMMYFUNCTION("""COMPUTED_VALUE"""),"")</f>
        <v/>
      </c>
      <c r="AP654" s="1" t="str">
        <f>IFERROR(__xludf.DUMMYFUNCTION("""COMPUTED_VALUE"""),"")</f>
        <v/>
      </c>
      <c r="AQ654" s="1" t="str">
        <f>IFERROR(__xludf.DUMMYFUNCTION("""COMPUTED_VALUE"""),"06/09/2025")</f>
        <v>06/09/2025</v>
      </c>
      <c r="AR654" s="1" t="str">
        <f>IFERROR(__xludf.DUMMYFUNCTION("""COMPUTED_VALUE"""),"06/09/2025")</f>
        <v>06/09/2025</v>
      </c>
    </row>
    <row r="655">
      <c r="A655" s="1" t="str">
        <f>IFERROR(__xludf.DUMMYFUNCTION("""COMPUTED_VALUE"""),"IBM Data Center")</f>
        <v>IBM Data Center</v>
      </c>
      <c r="B655" s="1" t="str">
        <f>IFERROR(__xludf.DUMMYFUNCTION("""COMPUTED_VALUE"""),"2455 South Road (Route 9)")</f>
        <v>2455 South Road (Route 9)</v>
      </c>
      <c r="C655" s="1" t="str">
        <f>IFERROR(__xludf.DUMMYFUNCTION("""COMPUTED_VALUE"""),"Poughkeepsie")</f>
        <v>Poughkeepsie</v>
      </c>
      <c r="D655" s="1" t="str">
        <f>IFERROR(__xludf.DUMMYFUNCTION("""COMPUTED_VALUE"""),"NY")</f>
        <v>NY</v>
      </c>
      <c r="E655" s="1" t="str">
        <f>IFERROR(__xludf.DUMMYFUNCTION("""COMPUTED_VALUE"""),"12601")</f>
        <v>12601</v>
      </c>
      <c r="F655" s="1" t="str">
        <f>IFERROR(__xludf.DUMMYFUNCTION("""COMPUTED_VALUE"""),"Dutchess")</f>
        <v>Dutchess</v>
      </c>
      <c r="G655" s="1" t="str">
        <f>IFERROR(__xludf.DUMMYFUNCTION("""COMPUTED_VALUE"""),"41.660404")</f>
        <v>41.660404</v>
      </c>
      <c r="H655" s="1" t="str">
        <f>IFERROR(__xludf.DUMMYFUNCTION("""COMPUTED_VALUE"""),"-73.93994")</f>
        <v>-73.93994</v>
      </c>
      <c r="I655" s="1" t="str">
        <f>IFERROR(__xludf.DUMMYFUNCTION("""COMPUTED_VALUE"""),"Approved/Permitted/Under construction")</f>
        <v>Approved/Permitted/Under construction</v>
      </c>
      <c r="J655" s="1" t="str">
        <f>IFERROR(__xludf.DUMMYFUNCTION("""COMPUTED_VALUE"""),"High")</f>
        <v>High</v>
      </c>
      <c r="K655" s="1" t="str">
        <f>IFERROR(__xludf.DUMMYFUNCTION("""COMPUTED_VALUE"""),"")</f>
        <v/>
      </c>
      <c r="L655" s="1" t="str">
        <f>IFERROR(__xludf.DUMMYFUNCTION("""COMPUTED_VALUE"""),"")</f>
        <v/>
      </c>
      <c r="M655" s="1" t="str">
        <f>IFERROR(__xludf.DUMMYFUNCTION("""COMPUTED_VALUE"""),"")</f>
        <v/>
      </c>
      <c r="N655" s="1" t="str">
        <f>IFERROR(__xludf.DUMMYFUNCTION("""COMPUTED_VALUE"""),"100")</f>
        <v>100</v>
      </c>
      <c r="O655" s="1" t="str">
        <f>IFERROR(__xludf.DUMMYFUNCTION("""COMPUTED_VALUE"""),"Hyperscale (100-999 MW)")</f>
        <v>Hyperscale (100-999 MW)</v>
      </c>
      <c r="P655" s="1" t="str">
        <f>IFERROR(__xludf.DUMMYFUNCTION("""COMPUTED_VALUE"""),"Grid (unspecified mix)")</f>
        <v>Grid (unspecified mix)</v>
      </c>
      <c r="Q655" s="1" t="str">
        <f>IFERROR(__xludf.DUMMYFUNCTION("""COMPUTED_VALUE"""),"")</f>
        <v/>
      </c>
      <c r="R655" s="1" t="str">
        <f>IFERROR(__xludf.DUMMYFUNCTION("""COMPUTED_VALUE"""),"")</f>
        <v/>
      </c>
      <c r="S655" s="1" t="str">
        <f>IFERROR(__xludf.DUMMYFUNCTION("""COMPUTED_VALUE"""),"")</f>
        <v/>
      </c>
      <c r="T655" s="1" t="str">
        <f>IFERROR(__xludf.DUMMYFUNCTION("""COMPUTED_VALUE"""),"")</f>
        <v/>
      </c>
      <c r="U655" s="1" t="str">
        <f>IFERROR(__xludf.DUMMYFUNCTION("""COMPUTED_VALUE"""),"")</f>
        <v/>
      </c>
      <c r="V655" s="1" t="str">
        <f>IFERROR(__xludf.DUMMYFUNCTION("""COMPUTED_VALUE"""),"3,600,000")</f>
        <v>3,600,000</v>
      </c>
      <c r="W655" s="1" t="str">
        <f>IFERROR(__xludf.DUMMYFUNCTION("""COMPUTED_VALUE"""),"400")</f>
        <v>400</v>
      </c>
      <c r="X655" s="1" t="str">
        <f>IFERROR(__xludf.DUMMYFUNCTION("""COMPUTED_VALUE"""),"")</f>
        <v/>
      </c>
      <c r="Y655" s="1" t="str">
        <f>IFERROR(__xludf.DUMMYFUNCTION("""COMPUTED_VALUE"""),"")</f>
        <v/>
      </c>
      <c r="Z655" s="1" t="str">
        <f>IFERROR(__xludf.DUMMYFUNCTION("""COMPUTED_VALUE"""),"Unknown")</f>
        <v>Unknown</v>
      </c>
      <c r="AA655" s="1" t="str">
        <f>IFERROR(__xludf.DUMMYFUNCTION("""COMPUTED_VALUE"""),"")</f>
        <v/>
      </c>
      <c r="AB655" s="1" t="str">
        <f>IFERROR(__xludf.DUMMYFUNCTION("""COMPUTED_VALUE"""),"")</f>
        <v/>
      </c>
      <c r="AC655" s="1" t="str">
        <f>IFERROR(__xludf.DUMMYFUNCTION("""COMPUTED_VALUE"""),"")</f>
        <v/>
      </c>
      <c r="AD655" s="1" t="str">
        <f>IFERROR(__xludf.DUMMYFUNCTION("""COMPUTED_VALUE"""),"")</f>
        <v/>
      </c>
      <c r="AE655" s="1" t="str">
        <f>IFERROR(__xludf.DUMMYFUNCTION("""COMPUTED_VALUE"""),"")</f>
        <v/>
      </c>
      <c r="AF655" s="1" t="str">
        <f>IFERROR(__xludf.DUMMYFUNCTION("""COMPUTED_VALUE"""),"")</f>
        <v/>
      </c>
      <c r="AG655" s="1" t="str">
        <f>IFERROR(__xludf.DUMMYFUNCTION("""COMPUTED_VALUE"""),"")</f>
        <v/>
      </c>
      <c r="AH655" s="1" t="str">
        <f>IFERROR(__xludf.DUMMYFUNCTION("""COMPUTED_VALUE"""),"Media Monitoring")</f>
        <v>Media Monitoring</v>
      </c>
      <c r="AI655" s="2" t="str">
        <f>IFERROR(__xludf.DUMMYFUNCTION("""COMPUTED_VALUE"""),"https://newsroom.ibm.com/2024-09-26-ibm-expands-quantum-data-center-in-poughkeepsie,-new-york-to-advance-algorithm-discovery-globally")</f>
        <v>https://newsroom.ibm.com/2024-09-26-ibm-expands-quantum-data-center-in-poughkeepsie,-new-york-to-advance-algorithm-discovery-globally</v>
      </c>
      <c r="AJ655" s="1" t="str">
        <f>IFERROR(__xludf.DUMMYFUNCTION("""COMPUTED_VALUE"""),"")</f>
        <v/>
      </c>
      <c r="AK655" s="1" t="str">
        <f>IFERROR(__xludf.DUMMYFUNCTION("""COMPUTED_VALUE"""),"")</f>
        <v/>
      </c>
      <c r="AL655" s="1" t="str">
        <f>IFERROR(__xludf.DUMMYFUNCTION("""COMPUTED_VALUE"""),"")</f>
        <v/>
      </c>
      <c r="AM655" s="1" t="str">
        <f>IFERROR(__xludf.DUMMYFUNCTION("""COMPUTED_VALUE"""),"")</f>
        <v/>
      </c>
      <c r="AN655" s="1" t="str">
        <f>IFERROR(__xludf.DUMMYFUNCTION("""COMPUTED_VALUE"""),"")</f>
        <v/>
      </c>
      <c r="AO655" s="1" t="str">
        <f>IFERROR(__xludf.DUMMYFUNCTION("""COMPUTED_VALUE"""),"")</f>
        <v/>
      </c>
      <c r="AP655" s="1" t="str">
        <f>IFERROR(__xludf.DUMMYFUNCTION("""COMPUTED_VALUE"""),"")</f>
        <v/>
      </c>
      <c r="AQ655" s="1" t="str">
        <f>IFERROR(__xludf.DUMMYFUNCTION("""COMPUTED_VALUE"""),"03/04/2026")</f>
        <v>03/04/2026</v>
      </c>
      <c r="AR655" s="1" t="str">
        <f>IFERROR(__xludf.DUMMYFUNCTION("""COMPUTED_VALUE"""),"03/04/2026")</f>
        <v>03/04/2026</v>
      </c>
    </row>
    <row r="656">
      <c r="A656" s="1" t="str">
        <f>IFERROR(__xludf.DUMMYFUNCTION("""COMPUTED_VALUE"""),"Telehouse: Teleport")</f>
        <v>Telehouse: Teleport</v>
      </c>
      <c r="B656" s="1" t="str">
        <f>IFERROR(__xludf.DUMMYFUNCTION("""COMPUTED_VALUE"""),"7 Teleport Dr")</f>
        <v>7 Teleport Dr</v>
      </c>
      <c r="C656" s="1" t="str">
        <f>IFERROR(__xludf.DUMMYFUNCTION("""COMPUTED_VALUE"""),"Staten Island")</f>
        <v>Staten Island</v>
      </c>
      <c r="D656" s="1" t="str">
        <f>IFERROR(__xludf.DUMMYFUNCTION("""COMPUTED_VALUE"""),"NY")</f>
        <v>NY</v>
      </c>
      <c r="E656" s="1" t="str">
        <f>IFERROR(__xludf.DUMMYFUNCTION("""COMPUTED_VALUE"""),"10311")</f>
        <v>10311</v>
      </c>
      <c r="F656" s="1" t="str">
        <f>IFERROR(__xludf.DUMMYFUNCTION("""COMPUTED_VALUE"""),"Richmond")</f>
        <v>Richmond</v>
      </c>
      <c r="G656" s="1" t="str">
        <f>IFERROR(__xludf.DUMMYFUNCTION("""COMPUTED_VALUE"""),"40.60713")</f>
        <v>40.60713</v>
      </c>
      <c r="H656" s="1" t="str">
        <f>IFERROR(__xludf.DUMMYFUNCTION("""COMPUTED_VALUE"""),"-74.174934")</f>
        <v>-74.174934</v>
      </c>
      <c r="I656" s="1" t="str">
        <f>IFERROR(__xludf.DUMMYFUNCTION("""COMPUTED_VALUE"""),"Operating")</f>
        <v>Operating</v>
      </c>
      <c r="J656" s="1" t="str">
        <f>IFERROR(__xludf.DUMMYFUNCTION("""COMPUTED_VALUE"""),"High")</f>
        <v>High</v>
      </c>
      <c r="K656" s="1" t="str">
        <f>IFERROR(__xludf.DUMMYFUNCTION("""COMPUTED_VALUE"""),"")</f>
        <v/>
      </c>
      <c r="L656" s="1" t="str">
        <f>IFERROR(__xludf.DUMMYFUNCTION("""COMPUTED_VALUE"""),"")</f>
        <v/>
      </c>
      <c r="M656" s="1" t="str">
        <f>IFERROR(__xludf.DUMMYFUNCTION("""COMPUTED_VALUE"""),"")</f>
        <v/>
      </c>
      <c r="N656" s="1" t="str">
        <f>IFERROR(__xludf.DUMMYFUNCTION("""COMPUTED_VALUE"""),"10")</f>
        <v>10</v>
      </c>
      <c r="O656" s="1" t="str">
        <f>IFERROR(__xludf.DUMMYFUNCTION("""COMPUTED_VALUE"""),"Small (0-10 MW)")</f>
        <v>Small (0-10 MW)</v>
      </c>
      <c r="P656" s="1" t="str">
        <f>IFERROR(__xludf.DUMMYFUNCTION("""COMPUTED_VALUE"""),"")</f>
        <v/>
      </c>
      <c r="Q656" s="1" t="str">
        <f>IFERROR(__xludf.DUMMYFUNCTION("""COMPUTED_VALUE"""),"")</f>
        <v/>
      </c>
      <c r="R656" s="1" t="str">
        <f>IFERROR(__xludf.DUMMYFUNCTION("""COMPUTED_VALUE"""),"")</f>
        <v/>
      </c>
      <c r="S656" s="1" t="str">
        <f>IFERROR(__xludf.DUMMYFUNCTION("""COMPUTED_VALUE"""),"")</f>
        <v/>
      </c>
      <c r="T656" s="1" t="str">
        <f>IFERROR(__xludf.DUMMYFUNCTION("""COMPUTED_VALUE"""),"")</f>
        <v/>
      </c>
      <c r="U656" s="1" t="str">
        <f>IFERROR(__xludf.DUMMYFUNCTION("""COMPUTED_VALUE"""),"")</f>
        <v/>
      </c>
      <c r="V656" s="1" t="str">
        <f>IFERROR(__xludf.DUMMYFUNCTION("""COMPUTED_VALUE"""),"162,000")</f>
        <v>162,000</v>
      </c>
      <c r="W656" s="1" t="str">
        <f>IFERROR(__xludf.DUMMYFUNCTION("""COMPUTED_VALUE"""),"")</f>
        <v/>
      </c>
      <c r="X656" s="1" t="str">
        <f>IFERROR(__xludf.DUMMYFUNCTION("""COMPUTED_VALUE"""),"")</f>
        <v/>
      </c>
      <c r="Y656" s="1" t="str">
        <f>IFERROR(__xludf.DUMMYFUNCTION("""COMPUTED_VALUE"""),"")</f>
        <v/>
      </c>
      <c r="Z656" s="1" t="str">
        <f>IFERROR(__xludf.DUMMYFUNCTION("""COMPUTED_VALUE"""),"Unknown")</f>
        <v>Unknown</v>
      </c>
      <c r="AA656" s="1" t="str">
        <f>IFERROR(__xludf.DUMMYFUNCTION("""COMPUTED_VALUE"""),"")</f>
        <v/>
      </c>
      <c r="AB656" s="1" t="str">
        <f>IFERROR(__xludf.DUMMYFUNCTION("""COMPUTED_VALUE"""),"")</f>
        <v/>
      </c>
      <c r="AC656" s="1" t="str">
        <f>IFERROR(__xludf.DUMMYFUNCTION("""COMPUTED_VALUE"""),"")</f>
        <v/>
      </c>
      <c r="AD656" s="1" t="str">
        <f>IFERROR(__xludf.DUMMYFUNCTION("""COMPUTED_VALUE"""),"")</f>
        <v/>
      </c>
      <c r="AE656" s="1" t="str">
        <f>IFERROR(__xludf.DUMMYFUNCTION("""COMPUTED_VALUE"""),"")</f>
        <v/>
      </c>
      <c r="AF656" s="1" t="str">
        <f>IFERROR(__xludf.DUMMYFUNCTION("""COMPUTED_VALUE"""),"")</f>
        <v/>
      </c>
      <c r="AG656" s="1" t="str">
        <f>IFERROR(__xludf.DUMMYFUNCTION("""COMPUTED_VALUE"""),"")</f>
        <v/>
      </c>
      <c r="AH656" s="1" t="str">
        <f>IFERROR(__xludf.DUMMYFUNCTION("""COMPUTED_VALUE"""),"Media Monitoring")</f>
        <v>Media Monitoring</v>
      </c>
      <c r="AI656" s="1" t="str">
        <f>IFERROR(__xludf.DUMMYFUNCTION("""COMPUTED_VALUE"""),"")</f>
        <v/>
      </c>
      <c r="AJ656" s="1" t="str">
        <f>IFERROR(__xludf.DUMMYFUNCTION("""COMPUTED_VALUE"""),"")</f>
        <v/>
      </c>
      <c r="AK656" s="1" t="str">
        <f>IFERROR(__xludf.DUMMYFUNCTION("""COMPUTED_VALUE"""),"")</f>
        <v/>
      </c>
      <c r="AL656" s="1" t="str">
        <f>IFERROR(__xludf.DUMMYFUNCTION("""COMPUTED_VALUE"""),"")</f>
        <v/>
      </c>
      <c r="AM656" s="1" t="str">
        <f>IFERROR(__xludf.DUMMYFUNCTION("""COMPUTED_VALUE"""),"")</f>
        <v/>
      </c>
      <c r="AN656" s="1" t="str">
        <f>IFERROR(__xludf.DUMMYFUNCTION("""COMPUTED_VALUE"""),"")</f>
        <v/>
      </c>
      <c r="AO656" s="1" t="str">
        <f>IFERROR(__xludf.DUMMYFUNCTION("""COMPUTED_VALUE"""),"")</f>
        <v/>
      </c>
      <c r="AP656" s="1" t="str">
        <f>IFERROR(__xludf.DUMMYFUNCTION("""COMPUTED_VALUE"""),"")</f>
        <v/>
      </c>
      <c r="AQ656" s="1" t="str">
        <f>IFERROR(__xludf.DUMMYFUNCTION("""COMPUTED_VALUE"""),"11/14/2025")</f>
        <v>11/14/2025</v>
      </c>
      <c r="AR656" s="1" t="str">
        <f>IFERROR(__xludf.DUMMYFUNCTION("""COMPUTED_VALUE"""),"11/14/2025")</f>
        <v>11/14/2025</v>
      </c>
    </row>
    <row r="657">
      <c r="A657" s="1" t="str">
        <f>IFERROR(__xludf.DUMMYFUNCTION("""COMPUTED_VALUE"""),"Riverview Innovation &amp; Technology Campus")</f>
        <v>Riverview Innovation &amp; Technology Campus</v>
      </c>
      <c r="B657" s="1" t="str">
        <f>IFERROR(__xludf.DUMMYFUNCTION("""COMPUTED_VALUE"""),"3800-3875 River Rd")</f>
        <v>3800-3875 River Rd</v>
      </c>
      <c r="C657" s="1" t="str">
        <f>IFERROR(__xludf.DUMMYFUNCTION("""COMPUTED_VALUE"""),"Tonawanda")</f>
        <v>Tonawanda</v>
      </c>
      <c r="D657" s="1" t="str">
        <f>IFERROR(__xludf.DUMMYFUNCTION("""COMPUTED_VALUE"""),"NY")</f>
        <v>NY</v>
      </c>
      <c r="E657" s="1" t="str">
        <f>IFERROR(__xludf.DUMMYFUNCTION("""COMPUTED_VALUE"""),"14150")</f>
        <v>14150</v>
      </c>
      <c r="F657" s="1" t="str">
        <f>IFERROR(__xludf.DUMMYFUNCTION("""COMPUTED_VALUE"""),"Erie")</f>
        <v>Erie</v>
      </c>
      <c r="G657" s="1" t="str">
        <f>IFERROR(__xludf.DUMMYFUNCTION("""COMPUTED_VALUE"""),"42.978775")</f>
        <v>42.978775</v>
      </c>
      <c r="H657" s="1" t="str">
        <f>IFERROR(__xludf.DUMMYFUNCTION("""COMPUTED_VALUE"""),"-78.93396")</f>
        <v>-78.93396</v>
      </c>
      <c r="I657" s="1" t="str">
        <f>IFERROR(__xludf.DUMMYFUNCTION("""COMPUTED_VALUE"""),"Suspended")</f>
        <v>Suspended</v>
      </c>
      <c r="J657" s="1" t="str">
        <f>IFERROR(__xludf.DUMMYFUNCTION("""COMPUTED_VALUE"""),"High")</f>
        <v>High</v>
      </c>
      <c r="K657" s="1" t="str">
        <f>IFERROR(__xludf.DUMMYFUNCTION("""COMPUTED_VALUE"""),"")</f>
        <v/>
      </c>
      <c r="L657" s="1" t="str">
        <f>IFERROR(__xludf.DUMMYFUNCTION("""COMPUTED_VALUE"""),"")</f>
        <v/>
      </c>
      <c r="M657" s="1" t="str">
        <f>IFERROR(__xludf.DUMMYFUNCTION("""COMPUTED_VALUE"""),"")</f>
        <v/>
      </c>
      <c r="N657" s="1" t="str">
        <f>IFERROR(__xludf.DUMMYFUNCTION("""COMPUTED_VALUE"""),"600")</f>
        <v>600</v>
      </c>
      <c r="O657" s="1" t="str">
        <f>IFERROR(__xludf.DUMMYFUNCTION("""COMPUTED_VALUE"""),"Hyperscale (100-999 MW)")</f>
        <v>Hyperscale (100-999 MW)</v>
      </c>
      <c r="P657" s="1" t="str">
        <f>IFERROR(__xludf.DUMMYFUNCTION("""COMPUTED_VALUE"""),"")</f>
        <v/>
      </c>
      <c r="Q657" s="1" t="str">
        <f>IFERROR(__xludf.DUMMYFUNCTION("""COMPUTED_VALUE"""),"")</f>
        <v/>
      </c>
      <c r="R657" s="1" t="str">
        <f>IFERROR(__xludf.DUMMYFUNCTION("""COMPUTED_VALUE"""),"")</f>
        <v/>
      </c>
      <c r="S657" s="1" t="str">
        <f>IFERROR(__xludf.DUMMYFUNCTION("""COMPUTED_VALUE"""),"")</f>
        <v/>
      </c>
      <c r="T657" s="1" t="str">
        <f>IFERROR(__xludf.DUMMYFUNCTION("""COMPUTED_VALUE"""),"")</f>
        <v/>
      </c>
      <c r="U657" s="1" t="str">
        <f>IFERROR(__xludf.DUMMYFUNCTION("""COMPUTED_VALUE"""),"")</f>
        <v/>
      </c>
      <c r="V657" s="1" t="str">
        <f>IFERROR(__xludf.DUMMYFUNCTION("""COMPUTED_VALUE"""),"500,000")</f>
        <v>500,000</v>
      </c>
      <c r="W657" s="1" t="str">
        <f>IFERROR(__xludf.DUMMYFUNCTION("""COMPUTED_VALUE"""),"140")</f>
        <v>140</v>
      </c>
      <c r="X657" s="1" t="str">
        <f>IFERROR(__xludf.DUMMYFUNCTION("""COMPUTED_VALUE"""),"")</f>
        <v/>
      </c>
      <c r="Y657" s="1" t="str">
        <f>IFERROR(__xludf.DUMMYFUNCTION("""COMPUTED_VALUE"""),"")</f>
        <v/>
      </c>
      <c r="Z657" s="1" t="str">
        <f>IFERROR(__xludf.DUMMYFUNCTION("""COMPUTED_VALUE"""),"Unknown")</f>
        <v>Unknown</v>
      </c>
      <c r="AA657" s="1" t="str">
        <f>IFERROR(__xludf.DUMMYFUNCTION("""COMPUTED_VALUE"""),"")</f>
        <v/>
      </c>
      <c r="AB657" s="1" t="str">
        <f>IFERROR(__xludf.DUMMYFUNCTION("""COMPUTED_VALUE"""),"")</f>
        <v/>
      </c>
      <c r="AC657" s="1" t="str">
        <f>IFERROR(__xludf.DUMMYFUNCTION("""COMPUTED_VALUE"""),"")</f>
        <v/>
      </c>
      <c r="AD657" s="2" t="str">
        <f>IFERROR(__xludf.DUMMYFUNCTION("""COMPUTED_VALUE"""),"https://www.cacwny.org/2024/10/we-want-renewable-power-generation-not-data-centers-at-tonawanda-coke/")</f>
        <v>https://www.cacwny.org/2024/10/we-want-renewable-power-generation-not-data-centers-at-tonawanda-coke/</v>
      </c>
      <c r="AE657" s="2" t="str">
        <f>IFERROR(__xludf.DUMMYFUNCTION("""COMPUTED_VALUE"""),"https://www.wgrz.com/article/news/local/data-center-proposed-for-tonawanda-coke-site-now-on-hold/71-eea5beb5-20cd-41e8-ab68-af42f7507770")</f>
        <v>https://www.wgrz.com/article/news/local/data-center-proposed-for-tonawanda-coke-site-now-on-hold/71-eea5beb5-20cd-41e8-ab68-af42f7507770</v>
      </c>
      <c r="AF657" s="1" t="str">
        <f>IFERROR(__xludf.DUMMYFUNCTION("""COMPUTED_VALUE"""),"")</f>
        <v/>
      </c>
      <c r="AG657" s="1" t="str">
        <f>IFERROR(__xludf.DUMMYFUNCTION("""COMPUTED_VALUE"""),"Site developer is a subsidiary of Ontario Speciality Consulting, a WNY-centric brownfield developer with a mixed portfolio of commercial and industrial projects. Owner, Jon Williams, has very close ties to cryptomining companies, including US Bitcon and D"&amp;"igihost Technologies")</f>
        <v>Site developer is a subsidiary of Ontario Speciality Consulting, a WNY-centric brownfield developer with a mixed portfolio of commercial and industrial projects. Owner, Jon Williams, has very close ties to cryptomining companies, including US Bitcon and Digihost Technologies</v>
      </c>
      <c r="AH657" s="1" t="str">
        <f>IFERROR(__xludf.DUMMYFUNCTION("""COMPUTED_VALUE"""),"Media Monitoring")</f>
        <v>Media Monitoring</v>
      </c>
      <c r="AI657" s="2" t="str">
        <f>IFERROR(__xludf.DUMMYFUNCTION("""COMPUTED_VALUE"""),"http://www.riverviewtechcampus.com/")</f>
        <v>http://www.riverviewtechcampus.com/</v>
      </c>
      <c r="AJ657" s="2" t="str">
        <f>IFERROR(__xludf.DUMMYFUNCTION("""COMPUTED_VALUE"""),"https://www.datacenterdynamics.com/en/news/developer-buys-new-york-coal-plant-data-center-project/")</f>
        <v>https://www.datacenterdynamics.com/en/news/developer-buys-new-york-coal-plant-data-center-project/</v>
      </c>
      <c r="AK657" s="2" t="str">
        <f>IFERROR(__xludf.DUMMYFUNCTION("""COMPUTED_VALUE"""),"https://archive.ph/Y2kcW")</f>
        <v>https://archive.ph/Y2kcW</v>
      </c>
      <c r="AL657" s="1" t="str">
        <f>IFERROR(__xludf.DUMMYFUNCTION("""COMPUTED_VALUE"""),"")</f>
        <v/>
      </c>
      <c r="AM657" s="1" t="str">
        <f>IFERROR(__xludf.DUMMYFUNCTION("""COMPUTED_VALUE"""),"")</f>
        <v/>
      </c>
      <c r="AN657" s="1" t="str">
        <f>IFERROR(__xludf.DUMMYFUNCTION("""COMPUTED_VALUE"""),"")</f>
        <v/>
      </c>
      <c r="AO657" s="1" t="str">
        <f>IFERROR(__xludf.DUMMYFUNCTION("""COMPUTED_VALUE"""),"")</f>
        <v/>
      </c>
      <c r="AP657" s="1" t="str">
        <f>IFERROR(__xludf.DUMMYFUNCTION("""COMPUTED_VALUE"""),"")</f>
        <v/>
      </c>
      <c r="AQ657" s="1" t="str">
        <f>IFERROR(__xludf.DUMMYFUNCTION("""COMPUTED_VALUE"""),"11/14/2025")</f>
        <v>11/14/2025</v>
      </c>
      <c r="AR657" s="1" t="str">
        <f>IFERROR(__xludf.DUMMYFUNCTION("""COMPUTED_VALUE"""),"03/27/2026")</f>
        <v>03/27/2026</v>
      </c>
    </row>
    <row r="658">
      <c r="A658" s="1" t="str">
        <f>IFERROR(__xludf.DUMMYFUNCTION("""COMPUTED_VALUE"""),"Brookhaven Logistics Center")</f>
        <v>Brookhaven Logistics Center</v>
      </c>
      <c r="B658" s="1" t="str">
        <f>IFERROR(__xludf.DUMMYFUNCTION("""COMPUTED_VALUE"""),"1001 Expressway Dr N")</f>
        <v>1001 Expressway Dr N</v>
      </c>
      <c r="C658" s="1" t="str">
        <f>IFERROR(__xludf.DUMMYFUNCTION("""COMPUTED_VALUE"""),"Yaphank")</f>
        <v>Yaphank</v>
      </c>
      <c r="D658" s="1" t="str">
        <f>IFERROR(__xludf.DUMMYFUNCTION("""COMPUTED_VALUE"""),"NY")</f>
        <v>NY</v>
      </c>
      <c r="E658" s="1" t="str">
        <f>IFERROR(__xludf.DUMMYFUNCTION("""COMPUTED_VALUE"""),"11980")</f>
        <v>11980</v>
      </c>
      <c r="F658" s="1" t="str">
        <f>IFERROR(__xludf.DUMMYFUNCTION("""COMPUTED_VALUE"""),"Suffolk")</f>
        <v>Suffolk</v>
      </c>
      <c r="G658" s="1" t="str">
        <f>IFERROR(__xludf.DUMMYFUNCTION("""COMPUTED_VALUE"""),"40.82991")</f>
        <v>40.82991</v>
      </c>
      <c r="H658" s="1" t="str">
        <f>IFERROR(__xludf.DUMMYFUNCTION("""COMPUTED_VALUE"""),"-72.94618")</f>
        <v>-72.94618</v>
      </c>
      <c r="I658" s="1" t="str">
        <f>IFERROR(__xludf.DUMMYFUNCTION("""COMPUTED_VALUE"""),"Proposed")</f>
        <v>Proposed</v>
      </c>
      <c r="J658" s="1" t="str">
        <f>IFERROR(__xludf.DUMMYFUNCTION("""COMPUTED_VALUE"""),"High")</f>
        <v>High</v>
      </c>
      <c r="K658" s="1" t="str">
        <f>IFERROR(__xludf.DUMMYFUNCTION("""COMPUTED_VALUE"""),"")</f>
        <v/>
      </c>
      <c r="L658" s="1" t="str">
        <f>IFERROR(__xludf.DUMMYFUNCTION("""COMPUTED_VALUE"""),"")</f>
        <v/>
      </c>
      <c r="M658" s="1" t="str">
        <f>IFERROR(__xludf.DUMMYFUNCTION("""COMPUTED_VALUE"""),"")</f>
        <v/>
      </c>
      <c r="N658" s="1" t="str">
        <f>IFERROR(__xludf.DUMMYFUNCTION("""COMPUTED_VALUE"""),"176")</f>
        <v>176</v>
      </c>
      <c r="O658" s="1" t="str">
        <f>IFERROR(__xludf.DUMMYFUNCTION("""COMPUTED_VALUE"""),"Hyperscale (100-999 MW)")</f>
        <v>Hyperscale (100-999 MW)</v>
      </c>
      <c r="P658" s="1" t="str">
        <f>IFERROR(__xludf.DUMMYFUNCTION("""COMPUTED_VALUE"""),"")</f>
        <v/>
      </c>
      <c r="Q658" s="1" t="str">
        <f>IFERROR(__xludf.DUMMYFUNCTION("""COMPUTED_VALUE"""),"")</f>
        <v/>
      </c>
      <c r="R658" s="1" t="str">
        <f>IFERROR(__xludf.DUMMYFUNCTION("""COMPUTED_VALUE"""),"")</f>
        <v/>
      </c>
      <c r="S658" s="1" t="str">
        <f>IFERROR(__xludf.DUMMYFUNCTION("""COMPUTED_VALUE"""),"")</f>
        <v/>
      </c>
      <c r="T658" s="1" t="str">
        <f>IFERROR(__xludf.DUMMYFUNCTION("""COMPUTED_VALUE"""),"")</f>
        <v/>
      </c>
      <c r="U658" s="1" t="str">
        <f>IFERROR(__xludf.DUMMYFUNCTION("""COMPUTED_VALUE"""),"")</f>
        <v/>
      </c>
      <c r="V658" s="1" t="str">
        <f>IFERROR(__xludf.DUMMYFUNCTION("""COMPUTED_VALUE"""),"")</f>
        <v/>
      </c>
      <c r="W658" s="1" t="str">
        <f>IFERROR(__xludf.DUMMYFUNCTION("""COMPUTED_VALUE"""),"")</f>
        <v/>
      </c>
      <c r="X658" s="1" t="str">
        <f>IFERROR(__xludf.DUMMYFUNCTION("""COMPUTED_VALUE"""),"")</f>
        <v/>
      </c>
      <c r="Y658" s="1" t="str">
        <f>IFERROR(__xludf.DUMMYFUNCTION("""COMPUTED_VALUE"""),"")</f>
        <v/>
      </c>
      <c r="Z658" s="1" t="str">
        <f>IFERROR(__xludf.DUMMYFUNCTION("""COMPUTED_VALUE"""),"Unknown")</f>
        <v>Unknown</v>
      </c>
      <c r="AA658" s="1" t="str">
        <f>IFERROR(__xludf.DUMMYFUNCTION("""COMPUTED_VALUE"""),"")</f>
        <v/>
      </c>
      <c r="AB658" s="1" t="str">
        <f>IFERROR(__xludf.DUMMYFUNCTION("""COMPUTED_VALUE"""),"")</f>
        <v/>
      </c>
      <c r="AC658" s="1" t="str">
        <f>IFERROR(__xludf.DUMMYFUNCTION("""COMPUTED_VALUE"""),"")</f>
        <v/>
      </c>
      <c r="AD658" s="1" t="str">
        <f>IFERROR(__xludf.DUMMYFUNCTION("""COMPUTED_VALUE"""),"")</f>
        <v/>
      </c>
      <c r="AE658" s="1" t="str">
        <f>IFERROR(__xludf.DUMMYFUNCTION("""COMPUTED_VALUE"""),"")</f>
        <v/>
      </c>
      <c r="AF658" s="1" t="str">
        <f>IFERROR(__xludf.DUMMYFUNCTION("""COMPUTED_VALUE"""),"")</f>
        <v/>
      </c>
      <c r="AG658" s="1" t="str">
        <f>IFERROR(__xludf.DUMMYFUNCTION("""COMPUTED_VALUE"""),"")</f>
        <v/>
      </c>
      <c r="AH658" s="1" t="str">
        <f>IFERROR(__xludf.DUMMYFUNCTION("""COMPUTED_VALUE"""),"Media Monitoring")</f>
        <v>Media Monitoring</v>
      </c>
      <c r="AI658" s="2" t="str">
        <f>IFERROR(__xludf.DUMMYFUNCTION("""COMPUTED_VALUE"""),"https://www.newsday.com/long-island/computer-data-center-warehouse-yaphank-hfdnl8i8")</f>
        <v>https://www.newsday.com/long-island/computer-data-center-warehouse-yaphank-hfdnl8i8</v>
      </c>
      <c r="AJ658" s="1" t="str">
        <f>IFERROR(__xludf.DUMMYFUNCTION("""COMPUTED_VALUE"""),"")</f>
        <v/>
      </c>
      <c r="AK658" s="1" t="str">
        <f>IFERROR(__xludf.DUMMYFUNCTION("""COMPUTED_VALUE"""),"")</f>
        <v/>
      </c>
      <c r="AL658" s="1" t="str">
        <f>IFERROR(__xludf.DUMMYFUNCTION("""COMPUTED_VALUE"""),"")</f>
        <v/>
      </c>
      <c r="AM658" s="1" t="str">
        <f>IFERROR(__xludf.DUMMYFUNCTION("""COMPUTED_VALUE"""),"")</f>
        <v/>
      </c>
      <c r="AN658" s="1" t="str">
        <f>IFERROR(__xludf.DUMMYFUNCTION("""COMPUTED_VALUE"""),"")</f>
        <v/>
      </c>
      <c r="AO658" s="1" t="str">
        <f>IFERROR(__xludf.DUMMYFUNCTION("""COMPUTED_VALUE"""),"")</f>
        <v/>
      </c>
      <c r="AP658" s="1" t="str">
        <f>IFERROR(__xludf.DUMMYFUNCTION("""COMPUTED_VALUE"""),"")</f>
        <v/>
      </c>
      <c r="AQ658" s="1" t="str">
        <f>IFERROR(__xludf.DUMMYFUNCTION("""COMPUTED_VALUE"""),"11/14/2025")</f>
        <v>11/14/2025</v>
      </c>
      <c r="AR658" s="1" t="str">
        <f>IFERROR(__xludf.DUMMYFUNCTION("""COMPUTED_VALUE"""),"11/14/2025")</f>
        <v>11/14/2025</v>
      </c>
    </row>
    <row r="659">
      <c r="A659" s="1" t="str">
        <f>IFERROR(__xludf.DUMMYFUNCTION("""COMPUTED_VALUE"""),"Aberdeen Data Center")</f>
        <v>Aberdeen Data Center</v>
      </c>
      <c r="B659" s="1" t="str">
        <f>IFERROR(__xludf.DUMMYFUNCTION("""COMPUTED_VALUE"""),"Former Dayton Power and Light Stuart landfill, 745 US-52")</f>
        <v>Former Dayton Power and Light Stuart landfill, 745 US-52</v>
      </c>
      <c r="C659" s="1" t="str">
        <f>IFERROR(__xludf.DUMMYFUNCTION("""COMPUTED_VALUE"""),"Aberdeen")</f>
        <v>Aberdeen</v>
      </c>
      <c r="D659" s="1" t="str">
        <f>IFERROR(__xludf.DUMMYFUNCTION("""COMPUTED_VALUE"""),"OH")</f>
        <v>OH</v>
      </c>
      <c r="E659" s="1" t="str">
        <f>IFERROR(__xludf.DUMMYFUNCTION("""COMPUTED_VALUE"""),"45101")</f>
        <v>45101</v>
      </c>
      <c r="F659" s="1" t="str">
        <f>IFERROR(__xludf.DUMMYFUNCTION("""COMPUTED_VALUE"""),"Adams")</f>
        <v>Adams</v>
      </c>
      <c r="G659" s="1" t="str">
        <f>IFERROR(__xludf.DUMMYFUNCTION("""COMPUTED_VALUE"""),"38.638145")</f>
        <v>38.638145</v>
      </c>
      <c r="H659" s="1" t="str">
        <f>IFERROR(__xludf.DUMMYFUNCTION("""COMPUTED_VALUE"""),"-83.69277")</f>
        <v>-83.69277</v>
      </c>
      <c r="I659" s="1" t="str">
        <f>IFERROR(__xludf.DUMMYFUNCTION("""COMPUTED_VALUE"""),"Proposed")</f>
        <v>Proposed</v>
      </c>
      <c r="J659" s="1" t="str">
        <f>IFERROR(__xludf.DUMMYFUNCTION("""COMPUTED_VALUE"""),"High")</f>
        <v>High</v>
      </c>
      <c r="K659" s="1" t="str">
        <f>IFERROR(__xludf.DUMMYFUNCTION("""COMPUTED_VALUE"""),"")</f>
        <v/>
      </c>
      <c r="L659" s="1" t="str">
        <f>IFERROR(__xludf.DUMMYFUNCTION("""COMPUTED_VALUE"""),"")</f>
        <v/>
      </c>
      <c r="M659" s="1" t="str">
        <f>IFERROR(__xludf.DUMMYFUNCTION("""COMPUTED_VALUE"""),"")</f>
        <v/>
      </c>
      <c r="N659" s="1" t="str">
        <f>IFERROR(__xludf.DUMMYFUNCTION("""COMPUTED_VALUE"""),"400-1100")</f>
        <v>400-1100</v>
      </c>
      <c r="O659" s="1" t="str">
        <f>IFERROR(__xludf.DUMMYFUNCTION("""COMPUTED_VALUE"""),"Mega campus (&gt;1,000 MW)")</f>
        <v>Mega campus (&gt;1,000 MW)</v>
      </c>
      <c r="P659" s="1" t="str">
        <f>IFERROR(__xludf.DUMMYFUNCTION("""COMPUTED_VALUE"""),"")</f>
        <v/>
      </c>
      <c r="Q659" s="1" t="str">
        <f>IFERROR(__xludf.DUMMYFUNCTION("""COMPUTED_VALUE"""),"")</f>
        <v/>
      </c>
      <c r="R659" s="1" t="str">
        <f>IFERROR(__xludf.DUMMYFUNCTION("""COMPUTED_VALUE"""),"")</f>
        <v/>
      </c>
      <c r="S659" s="1" t="str">
        <f>IFERROR(__xludf.DUMMYFUNCTION("""COMPUTED_VALUE"""),"")</f>
        <v/>
      </c>
      <c r="T659" s="1" t="str">
        <f>IFERROR(__xludf.DUMMYFUNCTION("""COMPUTED_VALUE"""),"")</f>
        <v/>
      </c>
      <c r="U659" s="1" t="str">
        <f>IFERROR(__xludf.DUMMYFUNCTION("""COMPUTED_VALUE"""),"")</f>
        <v/>
      </c>
      <c r="V659" s="1" t="str">
        <f>IFERROR(__xludf.DUMMYFUNCTION("""COMPUTED_VALUE"""),"")</f>
        <v/>
      </c>
      <c r="W659" s="1" t="str">
        <f>IFERROR(__xludf.DUMMYFUNCTION("""COMPUTED_VALUE"""),"")</f>
        <v/>
      </c>
      <c r="X659" s="1" t="str">
        <f>IFERROR(__xludf.DUMMYFUNCTION("""COMPUTED_VALUE"""),"")</f>
        <v/>
      </c>
      <c r="Y659" s="1" t="str">
        <f>IFERROR(__xludf.DUMMYFUNCTION("""COMPUTED_VALUE"""),"2028")</f>
        <v>2028</v>
      </c>
      <c r="Z659" s="1" t="str">
        <f>IFERROR(__xludf.DUMMYFUNCTION("""COMPUTED_VALUE"""),"Yes")</f>
        <v>Yes</v>
      </c>
      <c r="AA659" s="1" t="str">
        <f>IFERROR(__xludf.DUMMYFUNCTION("""COMPUTED_VALUE"""),"")</f>
        <v/>
      </c>
      <c r="AB659" s="1" t="str">
        <f>IFERROR(__xludf.DUMMYFUNCTION("""COMPUTED_VALUE"""),"")</f>
        <v/>
      </c>
      <c r="AC659" s="1" t="str">
        <f>IFERROR(__xludf.DUMMYFUNCTION("""COMPUTED_VALUE"""),"")</f>
        <v/>
      </c>
      <c r="AD659" s="1" t="str">
        <f>IFERROR(__xludf.DUMMYFUNCTION("""COMPUTED_VALUE"""),"")</f>
        <v/>
      </c>
      <c r="AE659" s="1" t="str">
        <f>IFERROR(__xludf.DUMMYFUNCTION("""COMPUTED_VALUE"""),"")</f>
        <v/>
      </c>
      <c r="AF659" s="1" t="str">
        <f>IFERROR(__xludf.DUMMYFUNCTION("""COMPUTED_VALUE"""),"")</f>
        <v/>
      </c>
      <c r="AG659" s="1" t="str">
        <f>IFERROR(__xludf.DUMMYFUNCTION("""COMPUTED_VALUE"""),"Could reach 11.4 million megawatt hours annually by 2032, 31 times Adams County’s 2025 consumption of 366")</f>
        <v>Could reach 11.4 million megawatt hours annually by 2032, 31 times Adams County’s 2025 consumption of 366</v>
      </c>
      <c r="AH659" s="1" t="str">
        <f>IFERROR(__xludf.DUMMYFUNCTION("""COMPUTED_VALUE"""),"Media Monitoring")</f>
        <v>Media Monitoring</v>
      </c>
      <c r="AI659" s="2" t="str">
        <f>IFERROR(__xludf.DUMMYFUNCTION("""COMPUTED_VALUE"""),"https://www.datacenterdynamics.com/en/news/new-data-center-construction-confirmed-in-adams-county-ohio/")</f>
        <v>https://www.datacenterdynamics.com/en/news/new-data-center-construction-confirmed-in-adams-county-ohio/</v>
      </c>
      <c r="AJ659" s="2" t="str">
        <f>IFERROR(__xludf.DUMMYFUNCTION("""COMPUTED_VALUE"""),"https://www.pjm.com/-/media/DotCom/committees-groups/committees/teac/2026/20260203/20260203-item-06---dayton-supplemental-projects.pdf")</f>
        <v>https://www.pjm.com/-/media/DotCom/committees-groups/committees/teac/2026/20260203/20260203-item-06---dayton-supplemental-projects.pdf</v>
      </c>
      <c r="AK659" s="1" t="str">
        <f>IFERROR(__xludf.DUMMYFUNCTION("""COMPUTED_VALUE"""),"")</f>
        <v/>
      </c>
      <c r="AL659" s="1" t="str">
        <f>IFERROR(__xludf.DUMMYFUNCTION("""COMPUTED_VALUE"""),"")</f>
        <v/>
      </c>
      <c r="AM659" s="1" t="str">
        <f>IFERROR(__xludf.DUMMYFUNCTION("""COMPUTED_VALUE"""),"")</f>
        <v/>
      </c>
      <c r="AN659" s="1" t="str">
        <f>IFERROR(__xludf.DUMMYFUNCTION("""COMPUTED_VALUE"""),"")</f>
        <v/>
      </c>
      <c r="AO659" s="1" t="str">
        <f>IFERROR(__xludf.DUMMYFUNCTION("""COMPUTED_VALUE"""),"")</f>
        <v/>
      </c>
      <c r="AP659" s="1" t="str">
        <f>IFERROR(__xludf.DUMMYFUNCTION("""COMPUTED_VALUE"""),"")</f>
        <v/>
      </c>
      <c r="AQ659" s="1" t="str">
        <f>IFERROR(__xludf.DUMMYFUNCTION("""COMPUTED_VALUE"""),"03/13/2026")</f>
        <v>03/13/2026</v>
      </c>
      <c r="AR659" s="1" t="str">
        <f>IFERROR(__xludf.DUMMYFUNCTION("""COMPUTED_VALUE"""),"03/13/2026")</f>
        <v>03/13/2026</v>
      </c>
    </row>
    <row r="660">
      <c r="A660" s="1" t="str">
        <f>IFERROR(__xludf.DUMMYFUNCTION("""COMPUTED_VALUE"""),"Viking Data Centers")</f>
        <v>Viking Data Centers</v>
      </c>
      <c r="B660" s="1" t="str">
        <f>IFERROR(__xludf.DUMMYFUNCTION("""COMPUTED_VALUE"""),"428 Seiberling St")</f>
        <v>428 Seiberling St</v>
      </c>
      <c r="C660" s="1" t="str">
        <f>IFERROR(__xludf.DUMMYFUNCTION("""COMPUTED_VALUE"""),"Akron ")</f>
        <v>Akron </v>
      </c>
      <c r="D660" s="1" t="str">
        <f>IFERROR(__xludf.DUMMYFUNCTION("""COMPUTED_VALUE"""),"OH")</f>
        <v>OH</v>
      </c>
      <c r="E660" s="1" t="str">
        <f>IFERROR(__xludf.DUMMYFUNCTION("""COMPUTED_VALUE"""),"44306")</f>
        <v>44306</v>
      </c>
      <c r="F660" s="1" t="str">
        <f>IFERROR(__xludf.DUMMYFUNCTION("""COMPUTED_VALUE"""),"Summit")</f>
        <v>Summit</v>
      </c>
      <c r="G660" s="1" t="str">
        <f>IFERROR(__xludf.DUMMYFUNCTION("""COMPUTED_VALUE"""),"41.050426")</f>
        <v>41.050426</v>
      </c>
      <c r="H660" s="1" t="str">
        <f>IFERROR(__xludf.DUMMYFUNCTION("""COMPUTED_VALUE"""),"-81.4743")</f>
        <v>-81.4743</v>
      </c>
      <c r="I660" s="1" t="str">
        <f>IFERROR(__xludf.DUMMYFUNCTION("""COMPUTED_VALUE"""),"Operating")</f>
        <v>Operating</v>
      </c>
      <c r="J660" s="1" t="str">
        <f>IFERROR(__xludf.DUMMYFUNCTION("""COMPUTED_VALUE"""),"High")</f>
        <v>High</v>
      </c>
      <c r="K660" s="1" t="str">
        <f>IFERROR(__xludf.DUMMYFUNCTION("""COMPUTED_VALUE"""),"Crypto and AI")</f>
        <v>Crypto and AI</v>
      </c>
      <c r="L660" s="1" t="str">
        <f>IFERROR(__xludf.DUMMYFUNCTION("""COMPUTED_VALUE"""),"")</f>
        <v/>
      </c>
      <c r="M660" s="1" t="str">
        <f>IFERROR(__xludf.DUMMYFUNCTION("""COMPUTED_VALUE"""),"")</f>
        <v/>
      </c>
      <c r="N660" s="1" t="str">
        <f>IFERROR(__xludf.DUMMYFUNCTION("""COMPUTED_VALUE"""),"150-400")</f>
        <v>150-400</v>
      </c>
      <c r="O660" s="1" t="str">
        <f>IFERROR(__xludf.DUMMYFUNCTION("""COMPUTED_VALUE"""),"Hyperscale (100-999 MW)")</f>
        <v>Hyperscale (100-999 MW)</v>
      </c>
      <c r="P660" s="1" t="str">
        <f>IFERROR(__xludf.DUMMYFUNCTION("""COMPUTED_VALUE"""),"")</f>
        <v/>
      </c>
      <c r="Q660" s="1" t="str">
        <f>IFERROR(__xludf.DUMMYFUNCTION("""COMPUTED_VALUE"""),"")</f>
        <v/>
      </c>
      <c r="R660" s="1" t="str">
        <f>IFERROR(__xludf.DUMMYFUNCTION("""COMPUTED_VALUE"""),"")</f>
        <v/>
      </c>
      <c r="S660" s="1" t="str">
        <f>IFERROR(__xludf.DUMMYFUNCTION("""COMPUTED_VALUE"""),"")</f>
        <v/>
      </c>
      <c r="T660" s="1" t="str">
        <f>IFERROR(__xludf.DUMMYFUNCTION("""COMPUTED_VALUE"""),"")</f>
        <v/>
      </c>
      <c r="U660" s="1" t="str">
        <f>IFERROR(__xludf.DUMMYFUNCTION("""COMPUTED_VALUE"""),"")</f>
        <v/>
      </c>
      <c r="V660" s="1" t="str">
        <f>IFERROR(__xludf.DUMMYFUNCTION("""COMPUTED_VALUE"""),"380,000")</f>
        <v>380,000</v>
      </c>
      <c r="W660" s="1" t="str">
        <f>IFERROR(__xludf.DUMMYFUNCTION("""COMPUTED_VALUE"""),"")</f>
        <v/>
      </c>
      <c r="X660" s="1" t="str">
        <f>IFERROR(__xludf.DUMMYFUNCTION("""COMPUTED_VALUE"""),"")</f>
        <v/>
      </c>
      <c r="Y660" s="1" t="str">
        <f>IFERROR(__xludf.DUMMYFUNCTION("""COMPUTED_VALUE"""),"")</f>
        <v/>
      </c>
      <c r="Z660" s="1" t="str">
        <f>IFERROR(__xludf.DUMMYFUNCTION("""COMPUTED_VALUE"""),"Unknown")</f>
        <v>Unknown</v>
      </c>
      <c r="AA660" s="1" t="str">
        <f>IFERROR(__xludf.DUMMYFUNCTION("""COMPUTED_VALUE"""),"")</f>
        <v/>
      </c>
      <c r="AB660" s="1" t="str">
        <f>IFERROR(__xludf.DUMMYFUNCTION("""COMPUTED_VALUE"""),"")</f>
        <v/>
      </c>
      <c r="AC660" s="1" t="str">
        <f>IFERROR(__xludf.DUMMYFUNCTION("""COMPUTED_VALUE"""),"")</f>
        <v/>
      </c>
      <c r="AD660" s="1" t="str">
        <f>IFERROR(__xludf.DUMMYFUNCTION("""COMPUTED_VALUE"""),"")</f>
        <v/>
      </c>
      <c r="AE660" s="1" t="str">
        <f>IFERROR(__xludf.DUMMYFUNCTION("""COMPUTED_VALUE"""),"")</f>
        <v/>
      </c>
      <c r="AF660" s="1" t="str">
        <f>IFERROR(__xludf.DUMMYFUNCTION("""COMPUTED_VALUE"""),"")</f>
        <v/>
      </c>
      <c r="AG660" s="1" t="str">
        <f>IFERROR(__xludf.DUMMYFUNCTION("""COMPUTED_VALUE"""),"Substation on property")</f>
        <v>Substation on property</v>
      </c>
      <c r="AH660" s="1" t="str">
        <f>IFERROR(__xludf.DUMMYFUNCTION("""COMPUTED_VALUE"""),"Crowdsourced")</f>
        <v>Crowdsourced</v>
      </c>
      <c r="AI660" s="2" t="str">
        <f>IFERROR(__xludf.DUMMYFUNCTION("""COMPUTED_VALUE"""),"https://www.vikingdata.io/")</f>
        <v>https://www.vikingdata.io/</v>
      </c>
      <c r="AJ660" s="1" t="str">
        <f>IFERROR(__xludf.DUMMYFUNCTION("""COMPUTED_VALUE"""),"")</f>
        <v/>
      </c>
      <c r="AK660" s="1" t="str">
        <f>IFERROR(__xludf.DUMMYFUNCTION("""COMPUTED_VALUE"""),"")</f>
        <v/>
      </c>
      <c r="AL660" s="1" t="str">
        <f>IFERROR(__xludf.DUMMYFUNCTION("""COMPUTED_VALUE"""),"")</f>
        <v/>
      </c>
      <c r="AM660" s="1" t="str">
        <f>IFERROR(__xludf.DUMMYFUNCTION("""COMPUTED_VALUE"""),"")</f>
        <v/>
      </c>
      <c r="AN660" s="1" t="str">
        <f>IFERROR(__xludf.DUMMYFUNCTION("""COMPUTED_VALUE"""),"")</f>
        <v/>
      </c>
      <c r="AO660" s="1" t="str">
        <f>IFERROR(__xludf.DUMMYFUNCTION("""COMPUTED_VALUE"""),"")</f>
        <v/>
      </c>
      <c r="AP660" s="1" t="str">
        <f>IFERROR(__xludf.DUMMYFUNCTION("""COMPUTED_VALUE"""),"")</f>
        <v/>
      </c>
      <c r="AQ660" s="1" t="str">
        <f>IFERROR(__xludf.DUMMYFUNCTION("""COMPUTED_VALUE"""),"03/25/2026")</f>
        <v>03/25/2026</v>
      </c>
      <c r="AR660" s="1" t="str">
        <f>IFERROR(__xludf.DUMMYFUNCTION("""COMPUTED_VALUE"""),"03/25/2026")</f>
        <v>03/25/2026</v>
      </c>
    </row>
    <row r="661">
      <c r="A661" s="1" t="str">
        <f>IFERROR(__xludf.DUMMYFUNCTION("""COMPUTED_VALUE"""),"EdgeConneX Ashville Data Center")</f>
        <v>EdgeConneX Ashville Data Center</v>
      </c>
      <c r="B661" s="1" t="str">
        <f>IFERROR(__xludf.DUMMYFUNCTION("""COMPUTED_VALUE"""),"Btwn Rt 752 and Weigand Rd")</f>
        <v>Btwn Rt 752 and Weigand Rd</v>
      </c>
      <c r="C661" s="1" t="str">
        <f>IFERROR(__xludf.DUMMYFUNCTION("""COMPUTED_VALUE"""),"Ashville")</f>
        <v>Ashville</v>
      </c>
      <c r="D661" s="1" t="str">
        <f>IFERROR(__xludf.DUMMYFUNCTION("""COMPUTED_VALUE"""),"OH")</f>
        <v>OH</v>
      </c>
      <c r="E661" s="1" t="str">
        <f>IFERROR(__xludf.DUMMYFUNCTION("""COMPUTED_VALUE"""),"43103")</f>
        <v>43103</v>
      </c>
      <c r="F661" s="1" t="str">
        <f>IFERROR(__xludf.DUMMYFUNCTION("""COMPUTED_VALUE"""),"Pickaway")</f>
        <v>Pickaway</v>
      </c>
      <c r="G661" s="1" t="str">
        <f>IFERROR(__xludf.DUMMYFUNCTION("""COMPUTED_VALUE"""),"39.733818")</f>
        <v>39.733818</v>
      </c>
      <c r="H661" s="1" t="str">
        <f>IFERROR(__xludf.DUMMYFUNCTION("""COMPUTED_VALUE"""),"-82.97449")</f>
        <v>-82.97449</v>
      </c>
      <c r="I661" s="1" t="str">
        <f>IFERROR(__xludf.DUMMYFUNCTION("""COMPUTED_VALUE"""),"Proposed")</f>
        <v>Proposed</v>
      </c>
      <c r="J661" s="1" t="str">
        <f>IFERROR(__xludf.DUMMYFUNCTION("""COMPUTED_VALUE"""),"High")</f>
        <v>High</v>
      </c>
      <c r="K661" s="1" t="str">
        <f>IFERROR(__xludf.DUMMYFUNCTION("""COMPUTED_VALUE"""),"")</f>
        <v/>
      </c>
      <c r="L661" s="1" t="str">
        <f>IFERROR(__xludf.DUMMYFUNCTION("""COMPUTED_VALUE"""),"EdgeConneX")</f>
        <v>EdgeConneX</v>
      </c>
      <c r="M661" s="1" t="str">
        <f>IFERROR(__xludf.DUMMYFUNCTION("""COMPUTED_VALUE"""),"")</f>
        <v/>
      </c>
      <c r="N661" s="1" t="str">
        <f>IFERROR(__xludf.DUMMYFUNCTION("""COMPUTED_VALUE"""),"200")</f>
        <v>200</v>
      </c>
      <c r="O661" s="1" t="str">
        <f>IFERROR(__xludf.DUMMYFUNCTION("""COMPUTED_VALUE"""),"Hyperscale (100-999 MW)")</f>
        <v>Hyperscale (100-999 MW)</v>
      </c>
      <c r="P661" s="1" t="str">
        <f>IFERROR(__xludf.DUMMYFUNCTION("""COMPUTED_VALUE"""),"Natural gas")</f>
        <v>Natural gas</v>
      </c>
      <c r="Q661" s="1" t="str">
        <f>IFERROR(__xludf.DUMMYFUNCTION("""COMPUTED_VALUE"""),"Yes ")</f>
        <v>Yes </v>
      </c>
      <c r="R661" s="1" t="str">
        <f>IFERROR(__xludf.DUMMYFUNCTION("""COMPUTED_VALUE"""),"")</f>
        <v/>
      </c>
      <c r="S661" s="1" t="str">
        <f>IFERROR(__xludf.DUMMYFUNCTION("""COMPUTED_VALUE"""),"")</f>
        <v/>
      </c>
      <c r="T661" s="1" t="str">
        <f>IFERROR(__xludf.DUMMYFUNCTION("""COMPUTED_VALUE"""),"")</f>
        <v/>
      </c>
      <c r="U661" s="1" t="str">
        <f>IFERROR(__xludf.DUMMYFUNCTION("""COMPUTED_VALUE"""),"")</f>
        <v/>
      </c>
      <c r="V661" s="1" t="str">
        <f>IFERROR(__xludf.DUMMYFUNCTION("""COMPUTED_VALUE"""),"")</f>
        <v/>
      </c>
      <c r="W661" s="1" t="str">
        <f>IFERROR(__xludf.DUMMYFUNCTION("""COMPUTED_VALUE"""),"200")</f>
        <v>200</v>
      </c>
      <c r="X661" s="1" t="str">
        <f>IFERROR(__xludf.DUMMYFUNCTION("""COMPUTED_VALUE"""),"")</f>
        <v/>
      </c>
      <c r="Y661" s="1" t="str">
        <f>IFERROR(__xludf.DUMMYFUNCTION("""COMPUTED_VALUE"""),"")</f>
        <v/>
      </c>
      <c r="Z661" s="1" t="str">
        <f>IFERROR(__xludf.DUMMYFUNCTION("""COMPUTED_VALUE"""),"Yes")</f>
        <v>Yes</v>
      </c>
      <c r="AA661" s="2" t="str">
        <f>IFERROR(__xludf.DUMMYFUNCTION("""COMPUTED_VALUE"""),"https://abc6onyourside.com/news/local/ashville-ohio-residents-push-back-against-proposed-edgeconnex-project-data-center-at-packed-council-meeting")</f>
        <v>https://abc6onyourside.com/news/local/ashville-ohio-residents-push-back-against-proposed-edgeconnex-project-data-center-at-packed-council-meeting</v>
      </c>
      <c r="AB661" s="1" t="str">
        <f>IFERROR(__xludf.DUMMYFUNCTION("""COMPUTED_VALUE"""),"")</f>
        <v/>
      </c>
      <c r="AC661" s="1" t="str">
        <f>IFERROR(__xludf.DUMMYFUNCTION("""COMPUTED_VALUE"""),"")</f>
        <v/>
      </c>
      <c r="AD661" s="1" t="str">
        <f>IFERROR(__xludf.DUMMYFUNCTION("""COMPUTED_VALUE"""),"")</f>
        <v/>
      </c>
      <c r="AE661" s="1" t="str">
        <f>IFERROR(__xludf.DUMMYFUNCTION("""COMPUTED_VALUE"""),"")</f>
        <v/>
      </c>
      <c r="AF661" s="1" t="str">
        <f>IFERROR(__xludf.DUMMYFUNCTION("""COMPUTED_VALUE"""),"")</f>
        <v/>
      </c>
      <c r="AG661" s="1" t="str">
        <f>IFERROR(__xludf.DUMMYFUNCTION("""COMPUTED_VALUE"""),"Land annexation voted down, 4-2, site restricted to 200 acres. Site plan included 1.8GW substation and dedicated gas plant")</f>
        <v>Land annexation voted down, 4-2, site restricted to 200 acres. Site plan included 1.8GW substation and dedicated gas plant</v>
      </c>
      <c r="AH661" s="1" t="str">
        <f>IFERROR(__xludf.DUMMYFUNCTION("""COMPUTED_VALUE"""),"Media Monitoring")</f>
        <v>Media Monitoring</v>
      </c>
      <c r="AI661" s="2" t="str">
        <f>IFERROR(__xludf.DUMMYFUNCTION("""COMPUTED_VALUE"""),"https://www.datacenterdynamics.com/en/news/proposed-edgeconnex-data-center-in-pickaway-county-ohio-facing-criticism/")</f>
        <v>https://www.datacenterdynamics.com/en/news/proposed-edgeconnex-data-center-in-pickaway-county-ohio-facing-criticism/</v>
      </c>
      <c r="AJ661" s="2" t="str">
        <f>IFERROR(__xludf.DUMMYFUNCTION("""COMPUTED_VALUE"""),"https://www.datacenterdynamics.com/en/news/local-authorities-in-ashville-ohio-deny-annexation-request-for-data-center-project/")</f>
        <v>https://www.datacenterdynamics.com/en/news/local-authorities-in-ashville-ohio-deny-annexation-request-for-data-center-project/</v>
      </c>
      <c r="AK661" s="2" t="str">
        <f>IFERROR(__xludf.DUMMYFUNCTION("""COMPUTED_VALUE"""),"https://www.sciotopost.com/ashville-council-rejects-data-center-annexation-emphasizes-regional-cooperation-and-updated-ceda-agreement/")</f>
        <v>https://www.sciotopost.com/ashville-council-rejects-data-center-annexation-emphasizes-regional-cooperation-and-updated-ceda-agreement/</v>
      </c>
      <c r="AL661" s="1" t="str">
        <f>IFERROR(__xludf.DUMMYFUNCTION("""COMPUTED_VALUE"""),"")</f>
        <v/>
      </c>
      <c r="AM661" s="1" t="str">
        <f>IFERROR(__xludf.DUMMYFUNCTION("""COMPUTED_VALUE"""),"")</f>
        <v/>
      </c>
      <c r="AN661" s="1" t="str">
        <f>IFERROR(__xludf.DUMMYFUNCTION("""COMPUTED_VALUE"""),"")</f>
        <v/>
      </c>
      <c r="AO661" s="1" t="str">
        <f>IFERROR(__xludf.DUMMYFUNCTION("""COMPUTED_VALUE"""),"")</f>
        <v/>
      </c>
      <c r="AP661" s="1" t="str">
        <f>IFERROR(__xludf.DUMMYFUNCTION("""COMPUTED_VALUE"""),"")</f>
        <v/>
      </c>
      <c r="AQ661" s="1" t="str">
        <f>IFERROR(__xludf.DUMMYFUNCTION("""COMPUTED_VALUE"""),"02/15/2026")</f>
        <v>02/15/2026</v>
      </c>
      <c r="AR661" s="1" t="str">
        <f>IFERROR(__xludf.DUMMYFUNCTION("""COMPUTED_VALUE"""),"04/23/2026")</f>
        <v>04/23/2026</v>
      </c>
    </row>
    <row r="662">
      <c r="A662" s="1" t="str">
        <f>IFERROR(__xludf.DUMMYFUNCTION("""COMPUTED_VALUE"""),"Project Triton")</f>
        <v>Project Triton</v>
      </c>
      <c r="B662" s="1" t="str">
        <f>IFERROR(__xludf.DUMMYFUNCTION("""COMPUTED_VALUE"""),"3700 Limestone Dr")</f>
        <v>3700 Limestone Dr</v>
      </c>
      <c r="C662" s="1" t="str">
        <f>IFERROR(__xludf.DUMMYFUNCTION("""COMPUTED_VALUE"""),"Barberton")</f>
        <v>Barberton</v>
      </c>
      <c r="D662" s="1" t="str">
        <f>IFERROR(__xludf.DUMMYFUNCTION("""COMPUTED_VALUE"""),"OH")</f>
        <v>OH</v>
      </c>
      <c r="E662" s="1" t="str">
        <f>IFERROR(__xludf.DUMMYFUNCTION("""COMPUTED_VALUE"""),"44203")</f>
        <v>44203</v>
      </c>
      <c r="F662" s="1" t="str">
        <f>IFERROR(__xludf.DUMMYFUNCTION("""COMPUTED_VALUE"""),"Summit")</f>
        <v>Summit</v>
      </c>
      <c r="G662" s="1" t="str">
        <f>IFERROR(__xludf.DUMMYFUNCTION("""COMPUTED_VALUE"""),"41.014168")</f>
        <v>41.014168</v>
      </c>
      <c r="H662" s="1" t="str">
        <f>IFERROR(__xludf.DUMMYFUNCTION("""COMPUTED_VALUE"""),"-81.6502")</f>
        <v>-81.6502</v>
      </c>
      <c r="I662" s="1" t="str">
        <f>IFERROR(__xludf.DUMMYFUNCTION("""COMPUTED_VALUE"""),"Proposed")</f>
        <v>Proposed</v>
      </c>
      <c r="J662" s="1" t="str">
        <f>IFERROR(__xludf.DUMMYFUNCTION("""COMPUTED_VALUE"""),"High")</f>
        <v>High</v>
      </c>
      <c r="K662" s="1" t="str">
        <f>IFERROR(__xludf.DUMMYFUNCTION("""COMPUTED_VALUE"""),"")</f>
        <v/>
      </c>
      <c r="L662" s="1" t="str">
        <f>IFERROR(__xludf.DUMMYFUNCTION("""COMPUTED_VALUE"""),"")</f>
        <v/>
      </c>
      <c r="M662" s="1" t="str">
        <f>IFERROR(__xludf.DUMMYFUNCTION("""COMPUTED_VALUE"""),"")</f>
        <v/>
      </c>
      <c r="N662" s="1" t="str">
        <f>IFERROR(__xludf.DUMMYFUNCTION("""COMPUTED_VALUE"""),"")</f>
        <v/>
      </c>
      <c r="O662" s="1" t="str">
        <f>IFERROR(__xludf.DUMMYFUNCTION("""COMPUTED_VALUE"""),"Hyperscale (100-999 MW)")</f>
        <v>Hyperscale (100-999 MW)</v>
      </c>
      <c r="P662" s="1" t="str">
        <f>IFERROR(__xludf.DUMMYFUNCTION("""COMPUTED_VALUE"""),"Natural gas")</f>
        <v>Natural gas</v>
      </c>
      <c r="Q662" s="1" t="str">
        <f>IFERROR(__xludf.DUMMYFUNCTION("""COMPUTED_VALUE"""),"")</f>
        <v/>
      </c>
      <c r="R662" s="1" t="str">
        <f>IFERROR(__xludf.DUMMYFUNCTION("""COMPUTED_VALUE"""),"")</f>
        <v/>
      </c>
      <c r="S662" s="1" t="str">
        <f>IFERROR(__xludf.DUMMYFUNCTION("""COMPUTED_VALUE"""),"")</f>
        <v/>
      </c>
      <c r="T662" s="1" t="str">
        <f>IFERROR(__xludf.DUMMYFUNCTION("""COMPUTED_VALUE"""),"Water")</f>
        <v>Water</v>
      </c>
      <c r="U662" s="1" t="str">
        <f>IFERROR(__xludf.DUMMYFUNCTION("""COMPUTED_VALUE"""),"Closed loop")</f>
        <v>Closed loop</v>
      </c>
      <c r="V662" s="1" t="str">
        <f>IFERROR(__xludf.DUMMYFUNCTION("""COMPUTED_VALUE"""),"485,000")</f>
        <v>485,000</v>
      </c>
      <c r="W662" s="1" t="str">
        <f>IFERROR(__xludf.DUMMYFUNCTION("""COMPUTED_VALUE"""),"90")</f>
        <v>90</v>
      </c>
      <c r="X662" s="1" t="str">
        <f>IFERROR(__xludf.DUMMYFUNCTION("""COMPUTED_VALUE"""),"")</f>
        <v/>
      </c>
      <c r="Y662" s="1" t="str">
        <f>IFERROR(__xludf.DUMMYFUNCTION("""COMPUTED_VALUE"""),"")</f>
        <v/>
      </c>
      <c r="Z662" s="1" t="str">
        <f>IFERROR(__xludf.DUMMYFUNCTION("""COMPUTED_VALUE"""),"Yes")</f>
        <v>Yes</v>
      </c>
      <c r="AA662" s="1" t="str">
        <f>IFERROR(__xludf.DUMMYFUNCTION("""COMPUTED_VALUE"""),"")</f>
        <v/>
      </c>
      <c r="AB662" s="1" t="str">
        <f>IFERROR(__xludf.DUMMYFUNCTION("""COMPUTED_VALUE"""),"")</f>
        <v/>
      </c>
      <c r="AC662" s="1" t="str">
        <f>IFERROR(__xludf.DUMMYFUNCTION("""COMPUTED_VALUE"""),"")</f>
        <v/>
      </c>
      <c r="AD662" s="1" t="str">
        <f>IFERROR(__xludf.DUMMYFUNCTION("""COMPUTED_VALUE"""),"")</f>
        <v/>
      </c>
      <c r="AE662" s="1" t="str">
        <f>IFERROR(__xludf.DUMMYFUNCTION("""COMPUTED_VALUE"""),"")</f>
        <v/>
      </c>
      <c r="AF662" s="2" t="str">
        <f>IFERROR(__xludf.DUMMYFUNCTION("""COMPUTED_VALUE"""),"https://www.change.org/p/stop-construction-of-project-triton-in-norton-and-barberton-residential-areas")</f>
        <v>https://www.change.org/p/stop-construction-of-project-triton-in-norton-and-barberton-residential-areas</v>
      </c>
      <c r="AG662" s="1" t="str">
        <f>IFERROR(__xludf.DUMMYFUNCTION("""COMPUTED_VALUE"""),"6 on-site natural gas turbines proposed")</f>
        <v>6 on-site natural gas turbines proposed</v>
      </c>
      <c r="AH662" s="1" t="str">
        <f>IFERROR(__xludf.DUMMYFUNCTION("""COMPUTED_VALUE"""),"Media Monitoring")</f>
        <v>Media Monitoring</v>
      </c>
      <c r="AI662" s="2" t="str">
        <f>IFERROR(__xludf.DUMMYFUNCTION("""COMPUTED_VALUE"""),"https://www.wkyc.com/article/news/local/summit-county/norton-residents-push-back-proposed-data-center-quantum-hpc/95-bded910f-b3ba-496f-8a62-f41b5a0506c0")</f>
        <v>https://www.wkyc.com/article/news/local/summit-county/norton-residents-push-back-proposed-data-center-quantum-hpc/95-bded910f-b3ba-496f-8a62-f41b5a0506c0</v>
      </c>
      <c r="AJ662" s="2" t="str">
        <f>IFERROR(__xludf.DUMMYFUNCTION("""COMPUTED_VALUE"""),"https://www.qhpcnorton.com/")</f>
        <v>https://www.qhpcnorton.com/</v>
      </c>
      <c r="AK662" s="2" t="str">
        <f>IFERROR(__xludf.DUMMYFUNCTION("""COMPUTED_VALUE"""),"https://www.beaconjournal.com/story/news/2025/10/13/norton-to-host-meeting-to-discuss-proposed-data-center-at-mine-site/86585723007/")</f>
        <v>https://www.beaconjournal.com/story/news/2025/10/13/norton-to-host-meeting-to-discuss-proposed-data-center-at-mine-site/86585723007/</v>
      </c>
      <c r="AL662" s="2" t="str">
        <f>IFERROR(__xludf.DUMMYFUNCTION("""COMPUTED_VALUE"""),"https://cityofnorton.org/DocumentCenter/View/4031/Data-Center-Background-Information23985548_1")</f>
        <v>https://cityofnorton.org/DocumentCenter/View/4031/Data-Center-Background-Information23985548_1</v>
      </c>
      <c r="AM662" s="2" t="str">
        <f>IFERROR(__xludf.DUMMYFUNCTION("""COMPUTED_VALUE"""),"https://www.cityofnorton.org/DocumentCenter/View/4025/Triton-400132701-Site-Plan-2025-10-0923967014_1")</f>
        <v>https://www.cityofnorton.org/DocumentCenter/View/4025/Triton-400132701-Site-Plan-2025-10-0923967014_1</v>
      </c>
      <c r="AN662" s="1" t="str">
        <f>IFERROR(__xludf.DUMMYFUNCTION("""COMPUTED_VALUE"""),"")</f>
        <v/>
      </c>
      <c r="AO662" s="1" t="str">
        <f>IFERROR(__xludf.DUMMYFUNCTION("""COMPUTED_VALUE"""),"")</f>
        <v/>
      </c>
      <c r="AP662" s="1" t="str">
        <f>IFERROR(__xludf.DUMMYFUNCTION("""COMPUTED_VALUE"""),"")</f>
        <v/>
      </c>
      <c r="AQ662" s="1" t="str">
        <f>IFERROR(__xludf.DUMMYFUNCTION("""COMPUTED_VALUE"""),"10/15/2025")</f>
        <v>10/15/2025</v>
      </c>
      <c r="AR662" s="1" t="str">
        <f>IFERROR(__xludf.DUMMYFUNCTION("""COMPUTED_VALUE"""),"3036-03-23")</f>
        <v>3036-03-23</v>
      </c>
    </row>
    <row r="663">
      <c r="A663" s="1" t="str">
        <f>IFERROR(__xludf.DUMMYFUNCTION("""COMPUTED_VALUE"""),"Meta Bowling Green Data Center/ Project Accordion")</f>
        <v>Meta Bowling Green Data Center/ Project Accordion</v>
      </c>
      <c r="B663" s="1" t="str">
        <f>IFERROR(__xludf.DUMMYFUNCTION("""COMPUTED_VALUE"""),"20750 Midstar Dr")</f>
        <v>20750 Midstar Dr</v>
      </c>
      <c r="C663" s="1" t="str">
        <f>IFERROR(__xludf.DUMMYFUNCTION("""COMPUTED_VALUE"""),"Bowling Green")</f>
        <v>Bowling Green</v>
      </c>
      <c r="D663" s="1" t="str">
        <f>IFERROR(__xludf.DUMMYFUNCTION("""COMPUTED_VALUE"""),"OH")</f>
        <v>OH</v>
      </c>
      <c r="E663" s="1" t="str">
        <f>IFERROR(__xludf.DUMMYFUNCTION("""COMPUTED_VALUE"""),"43402")</f>
        <v>43402</v>
      </c>
      <c r="F663" s="1" t="str">
        <f>IFERROR(__xludf.DUMMYFUNCTION("""COMPUTED_VALUE"""),"Wood")</f>
        <v>Wood</v>
      </c>
      <c r="G663" s="1" t="str">
        <f>IFERROR(__xludf.DUMMYFUNCTION("""COMPUTED_VALUE"""),"41.45447")</f>
        <v>41.45447</v>
      </c>
      <c r="H663" s="1" t="str">
        <f>IFERROR(__xludf.DUMMYFUNCTION("""COMPUTED_VALUE"""),"-83.6489")</f>
        <v>-83.6489</v>
      </c>
      <c r="I663" s="1" t="str">
        <f>IFERROR(__xludf.DUMMYFUNCTION("""COMPUTED_VALUE"""),"Approved/Permitted/Under construction")</f>
        <v>Approved/Permitted/Under construction</v>
      </c>
      <c r="J663" s="1" t="str">
        <f>IFERROR(__xludf.DUMMYFUNCTION("""COMPUTED_VALUE"""),"High")</f>
        <v>High</v>
      </c>
      <c r="K663" s="1" t="str">
        <f>IFERROR(__xludf.DUMMYFUNCTION("""COMPUTED_VALUE"""),"")</f>
        <v/>
      </c>
      <c r="L663" s="1" t="str">
        <f>IFERROR(__xludf.DUMMYFUNCTION("""COMPUTED_VALUE"""),"Meta")</f>
        <v>Meta</v>
      </c>
      <c r="M663" s="1" t="str">
        <f>IFERROR(__xludf.DUMMYFUNCTION("""COMPUTED_VALUE"""),"")</f>
        <v/>
      </c>
      <c r="N663" s="1" t="str">
        <f>IFERROR(__xludf.DUMMYFUNCTION("""COMPUTED_VALUE"""),"514")</f>
        <v>514</v>
      </c>
      <c r="O663" s="1" t="str">
        <f>IFERROR(__xludf.DUMMYFUNCTION("""COMPUTED_VALUE"""),"Hyperscale (100-999 MW)")</f>
        <v>Hyperscale (100-999 MW)</v>
      </c>
      <c r="P663" s="1" t="str">
        <f>IFERROR(__xludf.DUMMYFUNCTION("""COMPUTED_VALUE"""),"Natural gas")</f>
        <v>Natural gas</v>
      </c>
      <c r="Q663" s="1" t="str">
        <f>IFERROR(__xludf.DUMMYFUNCTION("""COMPUTED_VALUE"""),"Yes - Apollo Generating Station")</f>
        <v>Yes - Apollo Generating Station</v>
      </c>
      <c r="R663" s="1" t="str">
        <f>IFERROR(__xludf.DUMMYFUNCTION("""COMPUTED_VALUE"""),"")</f>
        <v/>
      </c>
      <c r="S663" s="1" t="str">
        <f>IFERROR(__xludf.DUMMYFUNCTION("""COMPUTED_VALUE"""),"")</f>
        <v/>
      </c>
      <c r="T663" s="1" t="str">
        <f>IFERROR(__xludf.DUMMYFUNCTION("""COMPUTED_VALUE"""),"")</f>
        <v/>
      </c>
      <c r="U663" s="1" t="str">
        <f>IFERROR(__xludf.DUMMYFUNCTION("""COMPUTED_VALUE"""),"")</f>
        <v/>
      </c>
      <c r="V663" s="1" t="str">
        <f>IFERROR(__xludf.DUMMYFUNCTION("""COMPUTED_VALUE"""),"715,000")</f>
        <v>715,000</v>
      </c>
      <c r="W663" s="1" t="str">
        <f>IFERROR(__xludf.DUMMYFUNCTION("""COMPUTED_VALUE"""),"280")</f>
        <v>280</v>
      </c>
      <c r="X663" s="1" t="str">
        <f>IFERROR(__xludf.DUMMYFUNCTION("""COMPUTED_VALUE"""),"$800 million")</f>
        <v>$800 million</v>
      </c>
      <c r="Y663" s="1" t="str">
        <f>IFERROR(__xludf.DUMMYFUNCTION("""COMPUTED_VALUE"""),"2027")</f>
        <v>2027</v>
      </c>
      <c r="Z663" s="1" t="str">
        <f>IFERROR(__xludf.DUMMYFUNCTION("""COMPUTED_VALUE"""),"Yes")</f>
        <v>Yes</v>
      </c>
      <c r="AA663" s="1" t="str">
        <f>IFERROR(__xludf.DUMMYFUNCTION("""COMPUTED_VALUE"""),"")</f>
        <v/>
      </c>
      <c r="AB663" s="1" t="str">
        <f>IFERROR(__xludf.DUMMYFUNCTION("""COMPUTED_VALUE"""),"")</f>
        <v/>
      </c>
      <c r="AC663" s="1" t="str">
        <f>IFERROR(__xludf.DUMMYFUNCTION("""COMPUTED_VALUE"""),"Officials knew of the Meta plan as “Project Accordion” for more than a year before it was officially announced")</f>
        <v>Officials knew of the Meta plan as “Project Accordion” for more than a year before it was officially announced</v>
      </c>
      <c r="AD663" s="1" t="str">
        <f>IFERROR(__xludf.DUMMYFUNCTION("""COMPUTED_VALUE"""),"")</f>
        <v/>
      </c>
      <c r="AE663" s="1" t="str">
        <f>IFERROR(__xludf.DUMMYFUNCTION("""COMPUTED_VALUE"""),"")</f>
        <v/>
      </c>
      <c r="AF663" s="1" t="str">
        <f>IFERROR(__xludf.DUMMYFUNCTION("""COMPUTED_VALUE"""),"")</f>
        <v/>
      </c>
      <c r="AG663" s="1" t="str">
        <f>IFERROR(__xludf.DUMMYFUNCTION("""COMPUTED_VALUE"""),"Apollo Generating Station being built to supply this data center, which is a 350 megawatt (MW) natural gas fired electric generation facility. Two 16 inch gas pipelines will feed plant. Nearby land rezoning of 112 acres canceled (possible additional data "&amp;"center?) but rest of Meta project still on track. ")</f>
        <v>Apollo Generating Station being built to supply this data center, which is a 350 megawatt (MW) natural gas fired electric generation facility. Two 16 inch gas pipelines will feed plant. Nearby land rezoning of 112 acres canceled (possible additional data center?) but rest of Meta project still on track. </v>
      </c>
      <c r="AH663" s="1" t="str">
        <f>IFERROR(__xludf.DUMMYFUNCTION("""COMPUTED_VALUE"""),"Media Monitoring")</f>
        <v>Media Monitoring</v>
      </c>
      <c r="AI663" s="2" t="str">
        <f>IFERROR(__xludf.DUMMYFUNCTION("""COMPUTED_VALUE"""),"https://datacenters.atmeta.com/2025/04/hello-bowling-green/")</f>
        <v>https://datacenters.atmeta.com/2025/04/hello-bowling-green/</v>
      </c>
      <c r="AJ663" s="2" t="str">
        <f>IFERROR(__xludf.DUMMYFUNCTION("""COMPUTED_VALUE"""),"https://www.datacenterdynamics.com/en/news/meta-to-develop-data-center-campus-outside-toledo-ohio/")</f>
        <v>https://www.datacenterdynamics.com/en/news/meta-to-develop-data-center-campus-outside-toledo-ohio/</v>
      </c>
      <c r="AK663" s="2" t="str">
        <f>IFERROR(__xludf.DUMMYFUNCTION("""COMPUTED_VALUE"""),"https://web.archive.org/web/20250910163909/https://www.toledoblade.com/local/suburbs/2025/09/09/rezoning-request-around-middleton-twp-data-center-withdrawn/stories/20250909109")</f>
        <v>https://web.archive.org/web/20250910163909/https://www.toledoblade.com/local/suburbs/2025/09/09/rezoning-request-around-middleton-twp-data-center-withdrawn/stories/20250909109</v>
      </c>
      <c r="AL663" s="2" t="str">
        <f>IFERROR(__xludf.DUMMYFUNCTION("""COMPUTED_VALUE"""),"https://bgindependentmedia.org/power-plant-for-meta-data-center-in-wood-county-fast-tracked-approved-with-no-public-hearings/")</f>
        <v>https://bgindependentmedia.org/power-plant-for-meta-data-center-in-wood-county-fast-tracked-approved-with-no-public-hearings/</v>
      </c>
      <c r="AM663" s="2" t="str">
        <f>IFERROR(__xludf.DUMMYFUNCTION("""COMPUTED_VALUE"""),"https://opsb.ohio.gov/news/opsb-authorizes-construction-of-wood-county-power-plant")</f>
        <v>https://opsb.ohio.gov/news/opsb-authorizes-construction-of-wood-county-power-plant</v>
      </c>
      <c r="AN663" s="2" t="str">
        <f>IFERROR(__xludf.DUMMYFUNCTION("""COMPUTED_VALUE"""),"https://www.constructionowners.com/news/ohio-data-center-gas-plant-sparks-backlash")</f>
        <v>https://www.constructionowners.com/news/ohio-data-center-gas-plant-sparks-backlash</v>
      </c>
      <c r="AO663" s="2" t="str">
        <f>IFERROR(__xludf.DUMMYFUNCTION("""COMPUTED_VALUE"""),"https://oilandgaswatch.org/facility/rec_d5eiru1uih89upkga2qg")</f>
        <v>https://oilandgaswatch.org/facility/rec_d5eiru1uih89upkga2qg</v>
      </c>
      <c r="AP663" s="2" t="str">
        <f>IFERROR(__xludf.DUMMYFUNCTION("""COMPUTED_VALUE"""),"https://bgindependentmedia.org/meta-data-center-how-it-went-from-economic-development-coup-to-project-local-residents-rue/")</f>
        <v>https://bgindependentmedia.org/meta-data-center-how-it-went-from-economic-development-coup-to-project-local-residents-rue/</v>
      </c>
      <c r="AQ663" s="1" t="str">
        <f>IFERROR(__xludf.DUMMYFUNCTION("""COMPUTED_VALUE"""),"09/10/2025")</f>
        <v>09/10/2025</v>
      </c>
      <c r="AR663" s="1" t="str">
        <f>IFERROR(__xludf.DUMMYFUNCTION("""COMPUTED_VALUE"""),"06/05/2026")</f>
        <v>06/05/2026</v>
      </c>
    </row>
    <row r="664">
      <c r="A664" s="1" t="str">
        <f>IFERROR(__xludf.DUMMYFUNCTION("""COMPUTED_VALUE"""),"Canton Data Center")</f>
        <v>Canton Data Center</v>
      </c>
      <c r="B664" s="1" t="str">
        <f>IFERROR(__xludf.DUMMYFUNCTION("""COMPUTED_VALUE"""),"4726 Hills and Dales Rd NW")</f>
        <v>4726 Hills and Dales Rd NW</v>
      </c>
      <c r="C664" s="1" t="str">
        <f>IFERROR(__xludf.DUMMYFUNCTION("""COMPUTED_VALUE"""),"Canton")</f>
        <v>Canton</v>
      </c>
      <c r="D664" s="1" t="str">
        <f>IFERROR(__xludf.DUMMYFUNCTION("""COMPUTED_VALUE"""),"OH")</f>
        <v>OH</v>
      </c>
      <c r="E664" s="1" t="str">
        <f>IFERROR(__xludf.DUMMYFUNCTION("""COMPUTED_VALUE"""),"44708")</f>
        <v>44708</v>
      </c>
      <c r="F664" s="1" t="str">
        <f>IFERROR(__xludf.DUMMYFUNCTION("""COMPUTED_VALUE"""),"Stark")</f>
        <v>Stark</v>
      </c>
      <c r="G664" s="1" t="str">
        <f>IFERROR(__xludf.DUMMYFUNCTION("""COMPUTED_VALUE"""),"40.8489")</f>
        <v>40.8489</v>
      </c>
      <c r="H664" s="1" t="str">
        <f>IFERROR(__xludf.DUMMYFUNCTION("""COMPUTED_VALUE"""),"-81.4408")</f>
        <v>-81.4408</v>
      </c>
      <c r="I664" s="1" t="str">
        <f>IFERROR(__xludf.DUMMYFUNCTION("""COMPUTED_VALUE"""),"Operating")</f>
        <v>Operating</v>
      </c>
      <c r="J664" s="1" t="str">
        <f>IFERROR(__xludf.DUMMYFUNCTION("""COMPUTED_VALUE"""),"High")</f>
        <v>High</v>
      </c>
      <c r="K664" s="1" t="str">
        <f>IFERROR(__xludf.DUMMYFUNCTION("""COMPUTED_VALUE"""),"Colocation data center")</f>
        <v>Colocation data center</v>
      </c>
      <c r="L664" s="1" t="str">
        <f>IFERROR(__xludf.DUMMYFUNCTION("""COMPUTED_VALUE"""),"Ark Data Centers")</f>
        <v>Ark Data Centers</v>
      </c>
      <c r="M664" s="1" t="str">
        <f>IFERROR(__xludf.DUMMYFUNCTION("""COMPUTED_VALUE"""),"")</f>
        <v/>
      </c>
      <c r="N664" s="1" t="str">
        <f>IFERROR(__xludf.DUMMYFUNCTION("""COMPUTED_VALUE"""),"1.5")</f>
        <v>1.5</v>
      </c>
      <c r="O664" s="1" t="str">
        <f>IFERROR(__xludf.DUMMYFUNCTION("""COMPUTED_VALUE"""),"Small (0-10 MW)")</f>
        <v>Small (0-10 MW)</v>
      </c>
      <c r="P664" s="1" t="str">
        <f>IFERROR(__xludf.DUMMYFUNCTION("""COMPUTED_VALUE"""),"")</f>
        <v/>
      </c>
      <c r="Q664" s="1" t="str">
        <f>IFERROR(__xludf.DUMMYFUNCTION("""COMPUTED_VALUE"""),"")</f>
        <v/>
      </c>
      <c r="R664" s="1" t="str">
        <f>IFERROR(__xludf.DUMMYFUNCTION("""COMPUTED_VALUE"""),"")</f>
        <v/>
      </c>
      <c r="S664" s="1" t="str">
        <f>IFERROR(__xludf.DUMMYFUNCTION("""COMPUTED_VALUE"""),"")</f>
        <v/>
      </c>
      <c r="T664" s="1" t="str">
        <f>IFERROR(__xludf.DUMMYFUNCTION("""COMPUTED_VALUE"""),"")</f>
        <v/>
      </c>
      <c r="U664" s="1" t="str">
        <f>IFERROR(__xludf.DUMMYFUNCTION("""COMPUTED_VALUE"""),"")</f>
        <v/>
      </c>
      <c r="V664" s="1" t="str">
        <f>IFERROR(__xludf.DUMMYFUNCTION("""COMPUTED_VALUE"""),"29,960")</f>
        <v>29,960</v>
      </c>
      <c r="W664" s="1" t="str">
        <f>IFERROR(__xludf.DUMMYFUNCTION("""COMPUTED_VALUE"""),"2")</f>
        <v>2</v>
      </c>
      <c r="X664" s="1" t="str">
        <f>IFERROR(__xludf.DUMMYFUNCTION("""COMPUTED_VALUE"""),"")</f>
        <v/>
      </c>
      <c r="Y664" s="1" t="str">
        <f>IFERROR(__xludf.DUMMYFUNCTION("""COMPUTED_VALUE"""),"")</f>
        <v/>
      </c>
      <c r="Z664" s="1" t="str">
        <f>IFERROR(__xludf.DUMMYFUNCTION("""COMPUTED_VALUE"""),"Yes")</f>
        <v>Yes</v>
      </c>
      <c r="AA664" s="1" t="str">
        <f>IFERROR(__xludf.DUMMYFUNCTION("""COMPUTED_VALUE"""),"")</f>
        <v/>
      </c>
      <c r="AB664" s="1" t="str">
        <f>IFERROR(__xludf.DUMMYFUNCTION("""COMPUTED_VALUE"""),"")</f>
        <v/>
      </c>
      <c r="AC664" s="1" t="str">
        <f>IFERROR(__xludf.DUMMYFUNCTION("""COMPUTED_VALUE"""),"")</f>
        <v/>
      </c>
      <c r="AD664" s="1" t="str">
        <f>IFERROR(__xludf.DUMMYFUNCTION("""COMPUTED_VALUE"""),"")</f>
        <v/>
      </c>
      <c r="AE664" s="1" t="str">
        <f>IFERROR(__xludf.DUMMYFUNCTION("""COMPUTED_VALUE"""),"")</f>
        <v/>
      </c>
      <c r="AF664" s="2" t="str">
        <f>IFERROR(__xludf.DUMMYFUNCTION("""COMPUTED_VALUE"""),"https://www.change.org/p/abolish-the-data-center-in-fulton-county-illinois")</f>
        <v>https://www.change.org/p/abolish-the-data-center-in-fulton-county-illinois</v>
      </c>
      <c r="AG664" s="1" t="str">
        <f>IFERROR(__xludf.DUMMYFUNCTION("""COMPUTED_VALUE"""),"")</f>
        <v/>
      </c>
      <c r="AH664" s="1" t="str">
        <f>IFERROR(__xludf.DUMMYFUNCTION("""COMPUTED_VALUE"""),"Media Monitoring")</f>
        <v>Media Monitoring</v>
      </c>
      <c r="AI664" s="2" t="str">
        <f>IFERROR(__xludf.DUMMYFUNCTION("""COMPUTED_VALUE"""),"https://www.datacenterdynamics.com/en/news/carter-validus-mission-critical-reit-ii-acquires-canton-data-center-94-million/?utm_source=chatgpt.com")</f>
        <v>https://www.datacenterdynamics.com/en/news/carter-validus-mission-critical-reit-ii-acquires-canton-data-center-94-million/?utm_source=chatgpt.com</v>
      </c>
      <c r="AJ664" s="2" t="str">
        <f>IFERROR(__xludf.DUMMYFUNCTION("""COMPUTED_VALUE"""),"https://www.datacenterdynamics.com/en/news/involta-acquires-securedata-365-takes-over-data-center-in-canton-ohio/")</f>
        <v>https://www.datacenterdynamics.com/en/news/involta-acquires-securedata-365-takes-over-data-center-in-canton-ohio/</v>
      </c>
      <c r="AK664" s="1" t="str">
        <f>IFERROR(__xludf.DUMMYFUNCTION("""COMPUTED_VALUE"""),"")</f>
        <v/>
      </c>
      <c r="AL664" s="1" t="str">
        <f>IFERROR(__xludf.DUMMYFUNCTION("""COMPUTED_VALUE"""),"")</f>
        <v/>
      </c>
      <c r="AM664" s="1" t="str">
        <f>IFERROR(__xludf.DUMMYFUNCTION("""COMPUTED_VALUE"""),"")</f>
        <v/>
      </c>
      <c r="AN664" s="1" t="str">
        <f>IFERROR(__xludf.DUMMYFUNCTION("""COMPUTED_VALUE"""),"")</f>
        <v/>
      </c>
      <c r="AO664" s="1" t="str">
        <f>IFERROR(__xludf.DUMMYFUNCTION("""COMPUTED_VALUE"""),"")</f>
        <v/>
      </c>
      <c r="AP664" s="1" t="str">
        <f>IFERROR(__xludf.DUMMYFUNCTION("""COMPUTED_VALUE"""),"")</f>
        <v/>
      </c>
      <c r="AQ664" s="1" t="str">
        <f>IFERROR(__xludf.DUMMYFUNCTION("""COMPUTED_VALUE"""),"02/25/2026")</f>
        <v>02/25/2026</v>
      </c>
      <c r="AR664" s="1" t="str">
        <f>IFERROR(__xludf.DUMMYFUNCTION("""COMPUTED_VALUE"""),"02/25/2026")</f>
        <v>02/25/2026</v>
      </c>
    </row>
    <row r="665">
      <c r="A665" s="1" t="str">
        <f>IFERROR(__xludf.DUMMYFUNCTION("""COMPUTED_VALUE"""),"DartPoints Data Center")</f>
        <v>DartPoints Data Center</v>
      </c>
      <c r="B665" s="1" t="str">
        <f>IFERROR(__xludf.DUMMYFUNCTION("""COMPUTED_VALUE"""),"302 W. Third St.")</f>
        <v>302 W. Third St.</v>
      </c>
      <c r="C665" s="1" t="str">
        <f>IFERROR(__xludf.DUMMYFUNCTION("""COMPUTED_VALUE"""),"Cincinnati")</f>
        <v>Cincinnati</v>
      </c>
      <c r="D665" s="1" t="str">
        <f>IFERROR(__xludf.DUMMYFUNCTION("""COMPUTED_VALUE"""),"OH")</f>
        <v>OH</v>
      </c>
      <c r="E665" s="1" t="str">
        <f>IFERROR(__xludf.DUMMYFUNCTION("""COMPUTED_VALUE"""),"45202")</f>
        <v>45202</v>
      </c>
      <c r="F665" s="1" t="str">
        <f>IFERROR(__xludf.DUMMYFUNCTION("""COMPUTED_VALUE"""),"Hamilton")</f>
        <v>Hamilton</v>
      </c>
      <c r="G665" s="1" t="str">
        <f>IFERROR(__xludf.DUMMYFUNCTION("""COMPUTED_VALUE"""),"39.09831")</f>
        <v>39.09831</v>
      </c>
      <c r="H665" s="1" t="str">
        <f>IFERROR(__xludf.DUMMYFUNCTION("""COMPUTED_VALUE"""),"-84.5179")</f>
        <v>-84.5179</v>
      </c>
      <c r="I665" s="1" t="str">
        <f>IFERROR(__xludf.DUMMYFUNCTION("""COMPUTED_VALUE"""),"Approved/Permitted/Under construction")</f>
        <v>Approved/Permitted/Under construction</v>
      </c>
      <c r="J665" s="1" t="str">
        <f>IFERROR(__xludf.DUMMYFUNCTION("""COMPUTED_VALUE"""),"High")</f>
        <v>High</v>
      </c>
      <c r="K665" s="1" t="str">
        <f>IFERROR(__xludf.DUMMYFUNCTION("""COMPUTED_VALUE"""),"")</f>
        <v/>
      </c>
      <c r="L665" s="1" t="str">
        <f>IFERROR(__xludf.DUMMYFUNCTION("""COMPUTED_VALUE"""),"")</f>
        <v/>
      </c>
      <c r="M665" s="1" t="str">
        <f>IFERROR(__xludf.DUMMYFUNCTION("""COMPUTED_VALUE"""),"")</f>
        <v/>
      </c>
      <c r="N665" s="1" t="str">
        <f>IFERROR(__xludf.DUMMYFUNCTION("""COMPUTED_VALUE"""),"")</f>
        <v/>
      </c>
      <c r="O665" s="1" t="str">
        <f>IFERROR(__xludf.DUMMYFUNCTION("""COMPUTED_VALUE"""),"Unknown")</f>
        <v>Unknown</v>
      </c>
      <c r="P665" s="1" t="str">
        <f>IFERROR(__xludf.DUMMYFUNCTION("""COMPUTED_VALUE"""),"")</f>
        <v/>
      </c>
      <c r="Q665" s="1" t="str">
        <f>IFERROR(__xludf.DUMMYFUNCTION("""COMPUTED_VALUE"""),"")</f>
        <v/>
      </c>
      <c r="R665" s="1" t="str">
        <f>IFERROR(__xludf.DUMMYFUNCTION("""COMPUTED_VALUE"""),"")</f>
        <v/>
      </c>
      <c r="S665" s="1" t="str">
        <f>IFERROR(__xludf.DUMMYFUNCTION("""COMPUTED_VALUE"""),"")</f>
        <v/>
      </c>
      <c r="T665" s="1" t="str">
        <f>IFERROR(__xludf.DUMMYFUNCTION("""COMPUTED_VALUE"""),"")</f>
        <v/>
      </c>
      <c r="U665" s="1" t="str">
        <f>IFERROR(__xludf.DUMMYFUNCTION("""COMPUTED_VALUE"""),"")</f>
        <v/>
      </c>
      <c r="V665" s="1" t="str">
        <f>IFERROR(__xludf.DUMMYFUNCTION("""COMPUTED_VALUE"""),"15,000")</f>
        <v>15,000</v>
      </c>
      <c r="W665" s="1" t="str">
        <f>IFERROR(__xludf.DUMMYFUNCTION("""COMPUTED_VALUE"""),"")</f>
        <v/>
      </c>
      <c r="X665" s="1" t="str">
        <f>IFERROR(__xludf.DUMMYFUNCTION("""COMPUTED_VALUE"""),"")</f>
        <v/>
      </c>
      <c r="Y665" s="1" t="str">
        <f>IFERROR(__xludf.DUMMYFUNCTION("""COMPUTED_VALUE"""),"")</f>
        <v/>
      </c>
      <c r="Z665" s="1" t="str">
        <f>IFERROR(__xludf.DUMMYFUNCTION("""COMPUTED_VALUE"""),"Unknown")</f>
        <v>Unknown</v>
      </c>
      <c r="AA665" s="1" t="str">
        <f>IFERROR(__xludf.DUMMYFUNCTION("""COMPUTED_VALUE"""),"")</f>
        <v/>
      </c>
      <c r="AB665" s="1" t="str">
        <f>IFERROR(__xludf.DUMMYFUNCTION("""COMPUTED_VALUE"""),"")</f>
        <v/>
      </c>
      <c r="AC665" s="1" t="str">
        <f>IFERROR(__xludf.DUMMYFUNCTION("""COMPUTED_VALUE"""),"")</f>
        <v/>
      </c>
      <c r="AD665" s="1" t="str">
        <f>IFERROR(__xludf.DUMMYFUNCTION("""COMPUTED_VALUE"""),"")</f>
        <v/>
      </c>
      <c r="AE665" s="1" t="str">
        <f>IFERROR(__xludf.DUMMYFUNCTION("""COMPUTED_VALUE"""),"")</f>
        <v/>
      </c>
      <c r="AF665" s="1" t="str">
        <f>IFERROR(__xludf.DUMMYFUNCTION("""COMPUTED_VALUE"""),"")</f>
        <v/>
      </c>
      <c r="AG665" s="1" t="str">
        <f>IFERROR(__xludf.DUMMYFUNCTION("""COMPUTED_VALUE"""),"")</f>
        <v/>
      </c>
      <c r="AH665" s="1" t="str">
        <f>IFERROR(__xludf.DUMMYFUNCTION("""COMPUTED_VALUE"""),"Media Monitoring")</f>
        <v>Media Monitoring</v>
      </c>
      <c r="AI665" s="2" t="str">
        <f>IFERROR(__xludf.DUMMYFUNCTION("""COMPUTED_VALUE"""),"https://local12.com/news/local/texas-company-expand-downtown-cincinnati-data-center-following-250-million-dollars-infusion-dartpoints-hpc-megawatts")</f>
        <v>https://local12.com/news/local/texas-company-expand-downtown-cincinnati-data-center-following-250-million-dollars-infusion-dartpoints-hpc-megawatts</v>
      </c>
      <c r="AJ665" s="1" t="str">
        <f>IFERROR(__xludf.DUMMYFUNCTION("""COMPUTED_VALUE"""),"")</f>
        <v/>
      </c>
      <c r="AK665" s="1" t="str">
        <f>IFERROR(__xludf.DUMMYFUNCTION("""COMPUTED_VALUE"""),"")</f>
        <v/>
      </c>
      <c r="AL665" s="1" t="str">
        <f>IFERROR(__xludf.DUMMYFUNCTION("""COMPUTED_VALUE"""),"")</f>
        <v/>
      </c>
      <c r="AM665" s="1" t="str">
        <f>IFERROR(__xludf.DUMMYFUNCTION("""COMPUTED_VALUE"""),"")</f>
        <v/>
      </c>
      <c r="AN665" s="1" t="str">
        <f>IFERROR(__xludf.DUMMYFUNCTION("""COMPUTED_VALUE"""),"")</f>
        <v/>
      </c>
      <c r="AO665" s="1" t="str">
        <f>IFERROR(__xludf.DUMMYFUNCTION("""COMPUTED_VALUE"""),"")</f>
        <v/>
      </c>
      <c r="AP665" s="1" t="str">
        <f>IFERROR(__xludf.DUMMYFUNCTION("""COMPUTED_VALUE"""),"")</f>
        <v/>
      </c>
      <c r="AQ665" s="1" t="str">
        <f>IFERROR(__xludf.DUMMYFUNCTION("""COMPUTED_VALUE"""),"09/18/2025")</f>
        <v>09/18/2025</v>
      </c>
      <c r="AR665" s="1" t="str">
        <f>IFERROR(__xludf.DUMMYFUNCTION("""COMPUTED_VALUE"""),"09/18/2025")</f>
        <v>09/18/2025</v>
      </c>
    </row>
    <row r="666">
      <c r="A666" s="1" t="str">
        <f>IFERROR(__xludf.DUMMYFUNCTION("""COMPUTED_VALUE"""),"H5 Data Center")</f>
        <v>H5 Data Center</v>
      </c>
      <c r="B666" s="1" t="str">
        <f>IFERROR(__xludf.DUMMYFUNCTION("""COMPUTED_VALUE"""),"925 Dalton Avenue")</f>
        <v>925 Dalton Avenue</v>
      </c>
      <c r="C666" s="1" t="str">
        <f>IFERROR(__xludf.DUMMYFUNCTION("""COMPUTED_VALUE"""),"Cincinnati")</f>
        <v>Cincinnati</v>
      </c>
      <c r="D666" s="1" t="str">
        <f>IFERROR(__xludf.DUMMYFUNCTION("""COMPUTED_VALUE"""),"OH")</f>
        <v>OH</v>
      </c>
      <c r="E666" s="1" t="str">
        <f>IFERROR(__xludf.DUMMYFUNCTION("""COMPUTED_VALUE"""),"45203")</f>
        <v>45203</v>
      </c>
      <c r="F666" s="1" t="str">
        <f>IFERROR(__xludf.DUMMYFUNCTION("""COMPUTED_VALUE"""),"Hamilton")</f>
        <v>Hamilton</v>
      </c>
      <c r="G666" s="1" t="str">
        <f>IFERROR(__xludf.DUMMYFUNCTION("""COMPUTED_VALUE"""),"39.10586")</f>
        <v>39.10586</v>
      </c>
      <c r="H666" s="1" t="str">
        <f>IFERROR(__xludf.DUMMYFUNCTION("""COMPUTED_VALUE"""),"-84.5366")</f>
        <v>-84.5366</v>
      </c>
      <c r="I666" s="1" t="str">
        <f>IFERROR(__xludf.DUMMYFUNCTION("""COMPUTED_VALUE"""),"Operating")</f>
        <v>Operating</v>
      </c>
      <c r="J666" s="1" t="str">
        <f>IFERROR(__xludf.DUMMYFUNCTION("""COMPUTED_VALUE"""),"High")</f>
        <v>High</v>
      </c>
      <c r="K666" s="1" t="str">
        <f>IFERROR(__xludf.DUMMYFUNCTION("""COMPUTED_VALUE"""),"")</f>
        <v/>
      </c>
      <c r="L666" s="1" t="str">
        <f>IFERROR(__xludf.DUMMYFUNCTION("""COMPUTED_VALUE"""),"")</f>
        <v/>
      </c>
      <c r="M666" s="1" t="str">
        <f>IFERROR(__xludf.DUMMYFUNCTION("""COMPUTED_VALUE"""),"")</f>
        <v/>
      </c>
      <c r="N666" s="1" t="str">
        <f>IFERROR(__xludf.DUMMYFUNCTION("""COMPUTED_VALUE"""),"2-6")</f>
        <v>2-6</v>
      </c>
      <c r="O666" s="1" t="str">
        <f>IFERROR(__xludf.DUMMYFUNCTION("""COMPUTED_VALUE"""),"Small (0-10 MW)")</f>
        <v>Small (0-10 MW)</v>
      </c>
      <c r="P666" s="1" t="str">
        <f>IFERROR(__xludf.DUMMYFUNCTION("""COMPUTED_VALUE"""),"")</f>
        <v/>
      </c>
      <c r="Q666" s="1" t="str">
        <f>IFERROR(__xludf.DUMMYFUNCTION("""COMPUTED_VALUE"""),"")</f>
        <v/>
      </c>
      <c r="R666" s="1" t="str">
        <f>IFERROR(__xludf.DUMMYFUNCTION("""COMPUTED_VALUE"""),"")</f>
        <v/>
      </c>
      <c r="S666" s="1" t="str">
        <f>IFERROR(__xludf.DUMMYFUNCTION("""COMPUTED_VALUE"""),"")</f>
        <v/>
      </c>
      <c r="T666" s="1" t="str">
        <f>IFERROR(__xludf.DUMMYFUNCTION("""COMPUTED_VALUE"""),"")</f>
        <v/>
      </c>
      <c r="U666" s="1" t="str">
        <f>IFERROR(__xludf.DUMMYFUNCTION("""COMPUTED_VALUE"""),"")</f>
        <v/>
      </c>
      <c r="V666" s="1" t="str">
        <f>IFERROR(__xludf.DUMMYFUNCTION("""COMPUTED_VALUE"""),"107,000")</f>
        <v>107,000</v>
      </c>
      <c r="W666" s="1" t="str">
        <f>IFERROR(__xludf.DUMMYFUNCTION("""COMPUTED_VALUE"""),"")</f>
        <v/>
      </c>
      <c r="X666" s="1" t="str">
        <f>IFERROR(__xludf.DUMMYFUNCTION("""COMPUTED_VALUE"""),"")</f>
        <v/>
      </c>
      <c r="Y666" s="1" t="str">
        <f>IFERROR(__xludf.DUMMYFUNCTION("""COMPUTED_VALUE"""),"")</f>
        <v/>
      </c>
      <c r="Z666" s="1" t="str">
        <f>IFERROR(__xludf.DUMMYFUNCTION("""COMPUTED_VALUE"""),"Unknown")</f>
        <v>Unknown</v>
      </c>
      <c r="AA666" s="1" t="str">
        <f>IFERROR(__xludf.DUMMYFUNCTION("""COMPUTED_VALUE"""),"")</f>
        <v/>
      </c>
      <c r="AB666" s="1" t="str">
        <f>IFERROR(__xludf.DUMMYFUNCTION("""COMPUTED_VALUE"""),"")</f>
        <v/>
      </c>
      <c r="AC666" s="1" t="str">
        <f>IFERROR(__xludf.DUMMYFUNCTION("""COMPUTED_VALUE"""),"")</f>
        <v/>
      </c>
      <c r="AD666" s="1" t="str">
        <f>IFERROR(__xludf.DUMMYFUNCTION("""COMPUTED_VALUE"""),"")</f>
        <v/>
      </c>
      <c r="AE666" s="1" t="str">
        <f>IFERROR(__xludf.DUMMYFUNCTION("""COMPUTED_VALUE"""),"")</f>
        <v/>
      </c>
      <c r="AF666" s="1" t="str">
        <f>IFERROR(__xludf.DUMMYFUNCTION("""COMPUTED_VALUE"""),"")</f>
        <v/>
      </c>
      <c r="AG666" s="1" t="str">
        <f>IFERROR(__xludf.DUMMYFUNCTION("""COMPUTED_VALUE"""),"")</f>
        <v/>
      </c>
      <c r="AH666" s="1" t="str">
        <f>IFERROR(__xludf.DUMMYFUNCTION("""COMPUTED_VALUE"""),"Media Monitoring")</f>
        <v>Media Monitoring</v>
      </c>
      <c r="AI666" s="2" t="str">
        <f>IFERROR(__xludf.DUMMYFUNCTION("""COMPUTED_VALUE"""),"https://www.datacenterdynamics.com/en/news/h5-data-centers-acquires-data-center-in-cincinnati-ohio/")</f>
        <v>https://www.datacenterdynamics.com/en/news/h5-data-centers-acquires-data-center-in-cincinnati-ohio/</v>
      </c>
      <c r="AJ666" s="1" t="str">
        <f>IFERROR(__xludf.DUMMYFUNCTION("""COMPUTED_VALUE"""),"")</f>
        <v/>
      </c>
      <c r="AK666" s="1" t="str">
        <f>IFERROR(__xludf.DUMMYFUNCTION("""COMPUTED_VALUE"""),"")</f>
        <v/>
      </c>
      <c r="AL666" s="1" t="str">
        <f>IFERROR(__xludf.DUMMYFUNCTION("""COMPUTED_VALUE"""),"")</f>
        <v/>
      </c>
      <c r="AM666" s="1" t="str">
        <f>IFERROR(__xludf.DUMMYFUNCTION("""COMPUTED_VALUE"""),"")</f>
        <v/>
      </c>
      <c r="AN666" s="1" t="str">
        <f>IFERROR(__xludf.DUMMYFUNCTION("""COMPUTED_VALUE"""),"")</f>
        <v/>
      </c>
      <c r="AO666" s="1" t="str">
        <f>IFERROR(__xludf.DUMMYFUNCTION("""COMPUTED_VALUE"""),"")</f>
        <v/>
      </c>
      <c r="AP666" s="1" t="str">
        <f>IFERROR(__xludf.DUMMYFUNCTION("""COMPUTED_VALUE"""),"")</f>
        <v/>
      </c>
      <c r="AQ666" s="1" t="str">
        <f>IFERROR(__xludf.DUMMYFUNCTION("""COMPUTED_VALUE"""),"06/05/2025")</f>
        <v>06/05/2025</v>
      </c>
      <c r="AR666" s="1" t="str">
        <f>IFERROR(__xludf.DUMMYFUNCTION("""COMPUTED_VALUE"""),"06/05/2025")</f>
        <v>06/05/2025</v>
      </c>
    </row>
    <row r="667">
      <c r="A667" s="1" t="str">
        <f>IFERROR(__xludf.DUMMYFUNCTION("""COMPUTED_VALUE"""),"CLE1")</f>
        <v>CLE1</v>
      </c>
      <c r="B667" s="1" t="str">
        <f>IFERROR(__xludf.DUMMYFUNCTION("""COMPUTED_VALUE"""),"15166 Neo Pkwy")</f>
        <v>15166 Neo Pkwy</v>
      </c>
      <c r="C667" s="1" t="str">
        <f>IFERROR(__xludf.DUMMYFUNCTION("""COMPUTED_VALUE"""),"Cleveland")</f>
        <v>Cleveland</v>
      </c>
      <c r="D667" s="1" t="str">
        <f>IFERROR(__xludf.DUMMYFUNCTION("""COMPUTED_VALUE"""),"OH")</f>
        <v>OH</v>
      </c>
      <c r="E667" s="1" t="str">
        <f>IFERROR(__xludf.DUMMYFUNCTION("""COMPUTED_VALUE"""),"44128")</f>
        <v>44128</v>
      </c>
      <c r="F667" s="1" t="str">
        <f>IFERROR(__xludf.DUMMYFUNCTION("""COMPUTED_VALUE"""),"Cuyahoga")</f>
        <v>Cuyahoga</v>
      </c>
      <c r="G667" s="1" t="str">
        <f>IFERROR(__xludf.DUMMYFUNCTION("""COMPUTED_VALUE"""),"41.42835")</f>
        <v>41.42835</v>
      </c>
      <c r="H667" s="1" t="str">
        <f>IFERROR(__xludf.DUMMYFUNCTION("""COMPUTED_VALUE"""),"-81.574")</f>
        <v>-81.574</v>
      </c>
      <c r="I667" s="1" t="str">
        <f>IFERROR(__xludf.DUMMYFUNCTION("""COMPUTED_VALUE"""),"Operating")</f>
        <v>Operating</v>
      </c>
      <c r="J667" s="1" t="str">
        <f>IFERROR(__xludf.DUMMYFUNCTION("""COMPUTED_VALUE"""),"High")</f>
        <v>High</v>
      </c>
      <c r="K667" s="1" t="str">
        <f>IFERROR(__xludf.DUMMYFUNCTION("""COMPUTED_VALUE"""),"")</f>
        <v/>
      </c>
      <c r="L667" s="1" t="str">
        <f>IFERROR(__xludf.DUMMYFUNCTION("""COMPUTED_VALUE"""),"")</f>
        <v/>
      </c>
      <c r="M667" s="1" t="str">
        <f>IFERROR(__xludf.DUMMYFUNCTION("""COMPUTED_VALUE"""),"")</f>
        <v/>
      </c>
      <c r="N667" s="1" t="str">
        <f>IFERROR(__xludf.DUMMYFUNCTION("""COMPUTED_VALUE"""),"4.7")</f>
        <v>4.7</v>
      </c>
      <c r="O667" s="1" t="str">
        <f>IFERROR(__xludf.DUMMYFUNCTION("""COMPUTED_VALUE"""),"Small (0-10 MW)")</f>
        <v>Small (0-10 MW)</v>
      </c>
      <c r="P667" s="1" t="str">
        <f>IFERROR(__xludf.DUMMYFUNCTION("""COMPUTED_VALUE"""),"")</f>
        <v/>
      </c>
      <c r="Q667" s="1" t="str">
        <f>IFERROR(__xludf.DUMMYFUNCTION("""COMPUTED_VALUE"""),"")</f>
        <v/>
      </c>
      <c r="R667" s="1" t="str">
        <f>IFERROR(__xludf.DUMMYFUNCTION("""COMPUTED_VALUE"""),"")</f>
        <v/>
      </c>
      <c r="S667" s="1" t="str">
        <f>IFERROR(__xludf.DUMMYFUNCTION("""COMPUTED_VALUE"""),"")</f>
        <v/>
      </c>
      <c r="T667" s="1" t="str">
        <f>IFERROR(__xludf.DUMMYFUNCTION("""COMPUTED_VALUE"""),"")</f>
        <v/>
      </c>
      <c r="U667" s="1" t="str">
        <f>IFERROR(__xludf.DUMMYFUNCTION("""COMPUTED_VALUE"""),"")</f>
        <v/>
      </c>
      <c r="V667" s="1" t="str">
        <f>IFERROR(__xludf.DUMMYFUNCTION("""COMPUTED_VALUE"""),"66,800")</f>
        <v>66,800</v>
      </c>
      <c r="W667" s="1" t="str">
        <f>IFERROR(__xludf.DUMMYFUNCTION("""COMPUTED_VALUE"""),"")</f>
        <v/>
      </c>
      <c r="X667" s="1" t="str">
        <f>IFERROR(__xludf.DUMMYFUNCTION("""COMPUTED_VALUE"""),"")</f>
        <v/>
      </c>
      <c r="Y667" s="1" t="str">
        <f>IFERROR(__xludf.DUMMYFUNCTION("""COMPUTED_VALUE"""),"")</f>
        <v/>
      </c>
      <c r="Z667" s="1" t="str">
        <f>IFERROR(__xludf.DUMMYFUNCTION("""COMPUTED_VALUE"""),"Unknown")</f>
        <v>Unknown</v>
      </c>
      <c r="AA667" s="1" t="str">
        <f>IFERROR(__xludf.DUMMYFUNCTION("""COMPUTED_VALUE"""),"")</f>
        <v/>
      </c>
      <c r="AB667" s="1" t="str">
        <f>IFERROR(__xludf.DUMMYFUNCTION("""COMPUTED_VALUE"""),"")</f>
        <v/>
      </c>
      <c r="AC667" s="1" t="str">
        <f>IFERROR(__xludf.DUMMYFUNCTION("""COMPUTED_VALUE"""),"")</f>
        <v/>
      </c>
      <c r="AD667" s="1" t="str">
        <f>IFERROR(__xludf.DUMMYFUNCTION("""COMPUTED_VALUE"""),"")</f>
        <v/>
      </c>
      <c r="AE667" s="1" t="str">
        <f>IFERROR(__xludf.DUMMYFUNCTION("""COMPUTED_VALUE"""),"")</f>
        <v/>
      </c>
      <c r="AF667" s="1" t="str">
        <f>IFERROR(__xludf.DUMMYFUNCTION("""COMPUTED_VALUE"""),"")</f>
        <v/>
      </c>
      <c r="AG667" s="1" t="str">
        <f>IFERROR(__xludf.DUMMYFUNCTION("""COMPUTED_VALUE"""),"")</f>
        <v/>
      </c>
      <c r="AH667" s="1" t="str">
        <f>IFERROR(__xludf.DUMMYFUNCTION("""COMPUTED_VALUE"""),"Media Monitoring")</f>
        <v>Media Monitoring</v>
      </c>
      <c r="AI667" s="2" t="str">
        <f>IFERROR(__xludf.DUMMYFUNCTION("""COMPUTED_VALUE"""),"https://www.expedient.com/data-centers/cleveland/")</f>
        <v>https://www.expedient.com/data-centers/cleveland/</v>
      </c>
      <c r="AJ667" s="1" t="str">
        <f>IFERROR(__xludf.DUMMYFUNCTION("""COMPUTED_VALUE"""),"")</f>
        <v/>
      </c>
      <c r="AK667" s="1" t="str">
        <f>IFERROR(__xludf.DUMMYFUNCTION("""COMPUTED_VALUE"""),"")</f>
        <v/>
      </c>
      <c r="AL667" s="1" t="str">
        <f>IFERROR(__xludf.DUMMYFUNCTION("""COMPUTED_VALUE"""),"")</f>
        <v/>
      </c>
      <c r="AM667" s="1" t="str">
        <f>IFERROR(__xludf.DUMMYFUNCTION("""COMPUTED_VALUE"""),"")</f>
        <v/>
      </c>
      <c r="AN667" s="1" t="str">
        <f>IFERROR(__xludf.DUMMYFUNCTION("""COMPUTED_VALUE"""),"")</f>
        <v/>
      </c>
      <c r="AO667" s="1" t="str">
        <f>IFERROR(__xludf.DUMMYFUNCTION("""COMPUTED_VALUE"""),"")</f>
        <v/>
      </c>
      <c r="AP667" s="1" t="str">
        <f>IFERROR(__xludf.DUMMYFUNCTION("""COMPUTED_VALUE"""),"")</f>
        <v/>
      </c>
      <c r="AQ667" s="1" t="str">
        <f>IFERROR(__xludf.DUMMYFUNCTION("""COMPUTED_VALUE"""),"09/01/2025")</f>
        <v>09/01/2025</v>
      </c>
      <c r="AR667" s="1" t="str">
        <f>IFERROR(__xludf.DUMMYFUNCTION("""COMPUTED_VALUE"""),"09/01/2025")</f>
        <v>09/01/2025</v>
      </c>
    </row>
    <row r="668">
      <c r="A668" s="1" t="str">
        <f>IFERROR(__xludf.DUMMYFUNCTION("""COMPUTED_VALUE"""),"CLE2")</f>
        <v>CLE2</v>
      </c>
      <c r="B668" s="1" t="str">
        <f>IFERROR(__xludf.DUMMYFUNCTION("""COMPUTED_VALUE"""),"15248 NEO Parkway")</f>
        <v>15248 NEO Parkway</v>
      </c>
      <c r="C668" s="1" t="str">
        <f>IFERROR(__xludf.DUMMYFUNCTION("""COMPUTED_VALUE"""),"Cleveland")</f>
        <v>Cleveland</v>
      </c>
      <c r="D668" s="1" t="str">
        <f>IFERROR(__xludf.DUMMYFUNCTION("""COMPUTED_VALUE"""),"OH")</f>
        <v>OH</v>
      </c>
      <c r="E668" s="1" t="str">
        <f>IFERROR(__xludf.DUMMYFUNCTION("""COMPUTED_VALUE"""),"44128")</f>
        <v>44128</v>
      </c>
      <c r="F668" s="1" t="str">
        <f>IFERROR(__xludf.DUMMYFUNCTION("""COMPUTED_VALUE"""),"Cuyahoga")</f>
        <v>Cuyahoga</v>
      </c>
      <c r="G668" s="1" t="str">
        <f>IFERROR(__xludf.DUMMYFUNCTION("""COMPUTED_VALUE"""),"41.42939")</f>
        <v>41.42939</v>
      </c>
      <c r="H668" s="1" t="str">
        <f>IFERROR(__xludf.DUMMYFUNCTION("""COMPUTED_VALUE"""),"-81.5739")</f>
        <v>-81.5739</v>
      </c>
      <c r="I668" s="1" t="str">
        <f>IFERROR(__xludf.DUMMYFUNCTION("""COMPUTED_VALUE"""),"Operating")</f>
        <v>Operating</v>
      </c>
      <c r="J668" s="1" t="str">
        <f>IFERROR(__xludf.DUMMYFUNCTION("""COMPUTED_VALUE"""),"High")</f>
        <v>High</v>
      </c>
      <c r="K668" s="1" t="str">
        <f>IFERROR(__xludf.DUMMYFUNCTION("""COMPUTED_VALUE"""),"")</f>
        <v/>
      </c>
      <c r="L668" s="1" t="str">
        <f>IFERROR(__xludf.DUMMYFUNCTION("""COMPUTED_VALUE"""),"")</f>
        <v/>
      </c>
      <c r="M668" s="1" t="str">
        <f>IFERROR(__xludf.DUMMYFUNCTION("""COMPUTED_VALUE"""),"")</f>
        <v/>
      </c>
      <c r="N668" s="1" t="str">
        <f>IFERROR(__xludf.DUMMYFUNCTION("""COMPUTED_VALUE"""),"2")</f>
        <v>2</v>
      </c>
      <c r="O668" s="1" t="str">
        <f>IFERROR(__xludf.DUMMYFUNCTION("""COMPUTED_VALUE"""),"Small (0-10 MW)")</f>
        <v>Small (0-10 MW)</v>
      </c>
      <c r="P668" s="1" t="str">
        <f>IFERROR(__xludf.DUMMYFUNCTION("""COMPUTED_VALUE"""),"")</f>
        <v/>
      </c>
      <c r="Q668" s="1" t="str">
        <f>IFERROR(__xludf.DUMMYFUNCTION("""COMPUTED_VALUE"""),"")</f>
        <v/>
      </c>
      <c r="R668" s="1" t="str">
        <f>IFERROR(__xludf.DUMMYFUNCTION("""COMPUTED_VALUE"""),"")</f>
        <v/>
      </c>
      <c r="S668" s="1" t="str">
        <f>IFERROR(__xludf.DUMMYFUNCTION("""COMPUTED_VALUE"""),"")</f>
        <v/>
      </c>
      <c r="T668" s="1" t="str">
        <f>IFERROR(__xludf.DUMMYFUNCTION("""COMPUTED_VALUE"""),"")</f>
        <v/>
      </c>
      <c r="U668" s="1" t="str">
        <f>IFERROR(__xludf.DUMMYFUNCTION("""COMPUTED_VALUE"""),"")</f>
        <v/>
      </c>
      <c r="V668" s="1" t="str">
        <f>IFERROR(__xludf.DUMMYFUNCTION("""COMPUTED_VALUE"""),"24,850")</f>
        <v>24,850</v>
      </c>
      <c r="W668" s="1" t="str">
        <f>IFERROR(__xludf.DUMMYFUNCTION("""COMPUTED_VALUE"""),"")</f>
        <v/>
      </c>
      <c r="X668" s="1" t="str">
        <f>IFERROR(__xludf.DUMMYFUNCTION("""COMPUTED_VALUE"""),"")</f>
        <v/>
      </c>
      <c r="Y668" s="1" t="str">
        <f>IFERROR(__xludf.DUMMYFUNCTION("""COMPUTED_VALUE"""),"")</f>
        <v/>
      </c>
      <c r="Z668" s="1" t="str">
        <f>IFERROR(__xludf.DUMMYFUNCTION("""COMPUTED_VALUE"""),"Unknown")</f>
        <v>Unknown</v>
      </c>
      <c r="AA668" s="1" t="str">
        <f>IFERROR(__xludf.DUMMYFUNCTION("""COMPUTED_VALUE"""),"")</f>
        <v/>
      </c>
      <c r="AB668" s="1" t="str">
        <f>IFERROR(__xludf.DUMMYFUNCTION("""COMPUTED_VALUE"""),"")</f>
        <v/>
      </c>
      <c r="AC668" s="1" t="str">
        <f>IFERROR(__xludf.DUMMYFUNCTION("""COMPUTED_VALUE"""),"")</f>
        <v/>
      </c>
      <c r="AD668" s="1" t="str">
        <f>IFERROR(__xludf.DUMMYFUNCTION("""COMPUTED_VALUE"""),"")</f>
        <v/>
      </c>
      <c r="AE668" s="1" t="str">
        <f>IFERROR(__xludf.DUMMYFUNCTION("""COMPUTED_VALUE"""),"")</f>
        <v/>
      </c>
      <c r="AF668" s="1" t="str">
        <f>IFERROR(__xludf.DUMMYFUNCTION("""COMPUTED_VALUE"""),"")</f>
        <v/>
      </c>
      <c r="AG668" s="1" t="str">
        <f>IFERROR(__xludf.DUMMYFUNCTION("""COMPUTED_VALUE"""),"")</f>
        <v/>
      </c>
      <c r="AH668" s="1" t="str">
        <f>IFERROR(__xludf.DUMMYFUNCTION("""COMPUTED_VALUE"""),"Media Monitoring")</f>
        <v>Media Monitoring</v>
      </c>
      <c r="AI668" s="2" t="str">
        <f>IFERROR(__xludf.DUMMYFUNCTION("""COMPUTED_VALUE"""),"https://www.expedient.com/data-centers/cleveland/")</f>
        <v>https://www.expedient.com/data-centers/cleveland/</v>
      </c>
      <c r="AJ668" s="1" t="str">
        <f>IFERROR(__xludf.DUMMYFUNCTION("""COMPUTED_VALUE"""),"")</f>
        <v/>
      </c>
      <c r="AK668" s="1" t="str">
        <f>IFERROR(__xludf.DUMMYFUNCTION("""COMPUTED_VALUE"""),"")</f>
        <v/>
      </c>
      <c r="AL668" s="1" t="str">
        <f>IFERROR(__xludf.DUMMYFUNCTION("""COMPUTED_VALUE"""),"")</f>
        <v/>
      </c>
      <c r="AM668" s="1" t="str">
        <f>IFERROR(__xludf.DUMMYFUNCTION("""COMPUTED_VALUE"""),"")</f>
        <v/>
      </c>
      <c r="AN668" s="1" t="str">
        <f>IFERROR(__xludf.DUMMYFUNCTION("""COMPUTED_VALUE"""),"")</f>
        <v/>
      </c>
      <c r="AO668" s="1" t="str">
        <f>IFERROR(__xludf.DUMMYFUNCTION("""COMPUTED_VALUE"""),"")</f>
        <v/>
      </c>
      <c r="AP668" s="1" t="str">
        <f>IFERROR(__xludf.DUMMYFUNCTION("""COMPUTED_VALUE"""),"")</f>
        <v/>
      </c>
      <c r="AQ668" s="1" t="str">
        <f>IFERROR(__xludf.DUMMYFUNCTION("""COMPUTED_VALUE"""),"09/01/2025")</f>
        <v>09/01/2025</v>
      </c>
      <c r="AR668" s="1" t="str">
        <f>IFERROR(__xludf.DUMMYFUNCTION("""COMPUTED_VALUE"""),"09/01/2025")</f>
        <v>09/01/2025</v>
      </c>
    </row>
    <row r="669">
      <c r="A669" s="1" t="str">
        <f>IFERROR(__xludf.DUMMYFUNCTION("""COMPUTED_VALUE"""),"Lakeland Equity Group Data Center")</f>
        <v>Lakeland Equity Group Data Center</v>
      </c>
      <c r="B669" s="1" t="str">
        <f>IFERROR(__xludf.DUMMYFUNCTION("""COMPUTED_VALUE"""),"3560 E 55th St")</f>
        <v>3560 E 55th St</v>
      </c>
      <c r="C669" s="1" t="str">
        <f>IFERROR(__xludf.DUMMYFUNCTION("""COMPUTED_VALUE"""),"Cleveland")</f>
        <v>Cleveland</v>
      </c>
      <c r="D669" s="1" t="str">
        <f>IFERROR(__xludf.DUMMYFUNCTION("""COMPUTED_VALUE"""),"OH")</f>
        <v>OH</v>
      </c>
      <c r="E669" s="1" t="str">
        <f>IFERROR(__xludf.DUMMYFUNCTION("""COMPUTED_VALUE"""),"44105")</f>
        <v>44105</v>
      </c>
      <c r="F669" s="1" t="str">
        <f>IFERROR(__xludf.DUMMYFUNCTION("""COMPUTED_VALUE"""),"Cuyahoga")</f>
        <v>Cuyahoga</v>
      </c>
      <c r="G669" s="1" t="str">
        <f>IFERROR(__xludf.DUMMYFUNCTION("""COMPUTED_VALUE"""),"41.461937")</f>
        <v>41.461937</v>
      </c>
      <c r="H669" s="1" t="str">
        <f>IFERROR(__xludf.DUMMYFUNCTION("""COMPUTED_VALUE"""),"-81.65161")</f>
        <v>-81.65161</v>
      </c>
      <c r="I669" s="1" t="str">
        <f>IFERROR(__xludf.DUMMYFUNCTION("""COMPUTED_VALUE"""),"Cancelled")</f>
        <v>Cancelled</v>
      </c>
      <c r="J669" s="1" t="str">
        <f>IFERROR(__xludf.DUMMYFUNCTION("""COMPUTED_VALUE"""),"High")</f>
        <v>High</v>
      </c>
      <c r="K669" s="1" t="str">
        <f>IFERROR(__xludf.DUMMYFUNCTION("""COMPUTED_VALUE"""),"")</f>
        <v/>
      </c>
      <c r="L669" s="1" t="str">
        <f>IFERROR(__xludf.DUMMYFUNCTION("""COMPUTED_VALUE"""),"")</f>
        <v/>
      </c>
      <c r="M669" s="1" t="str">
        <f>IFERROR(__xludf.DUMMYFUNCTION("""COMPUTED_VALUE"""),"")</f>
        <v/>
      </c>
      <c r="N669" s="1" t="str">
        <f>IFERROR(__xludf.DUMMYFUNCTION("""COMPUTED_VALUE"""),"150")</f>
        <v>150</v>
      </c>
      <c r="O669" s="1" t="str">
        <f>IFERROR(__xludf.DUMMYFUNCTION("""COMPUTED_VALUE"""),"Hyperscale (100-999 MW)")</f>
        <v>Hyperscale (100-999 MW)</v>
      </c>
      <c r="P669" s="1" t="str">
        <f>IFERROR(__xludf.DUMMYFUNCTION("""COMPUTED_VALUE"""),"")</f>
        <v/>
      </c>
      <c r="Q669" s="1" t="str">
        <f>IFERROR(__xludf.DUMMYFUNCTION("""COMPUTED_VALUE"""),"")</f>
        <v/>
      </c>
      <c r="R669" s="1" t="str">
        <f>IFERROR(__xludf.DUMMYFUNCTION("""COMPUTED_VALUE"""),"")</f>
        <v/>
      </c>
      <c r="S669" s="1" t="str">
        <f>IFERROR(__xludf.DUMMYFUNCTION("""COMPUTED_VALUE"""),"3")</f>
        <v>3</v>
      </c>
      <c r="T669" s="1" t="str">
        <f>IFERROR(__xludf.DUMMYFUNCTION("""COMPUTED_VALUE"""),"")</f>
        <v/>
      </c>
      <c r="U669" s="1" t="str">
        <f>IFERROR(__xludf.DUMMYFUNCTION("""COMPUTED_VALUE"""),"")</f>
        <v/>
      </c>
      <c r="V669" s="1" t="str">
        <f>IFERROR(__xludf.DUMMYFUNCTION("""COMPUTED_VALUE"""),"300,000")</f>
        <v>300,000</v>
      </c>
      <c r="W669" s="1" t="str">
        <f>IFERROR(__xludf.DUMMYFUNCTION("""COMPUTED_VALUE"""),"35")</f>
        <v>35</v>
      </c>
      <c r="X669" s="1" t="str">
        <f>IFERROR(__xludf.DUMMYFUNCTION("""COMPUTED_VALUE"""),"$1.6 billion")</f>
        <v>$1.6 billion</v>
      </c>
      <c r="Y669" s="1" t="str">
        <f>IFERROR(__xludf.DUMMYFUNCTION("""COMPUTED_VALUE"""),"")</f>
        <v/>
      </c>
      <c r="Z669" s="1" t="str">
        <f>IFERROR(__xludf.DUMMYFUNCTION("""COMPUTED_VALUE"""),"Yes")</f>
        <v>Yes</v>
      </c>
      <c r="AA669" s="1" t="str">
        <f>IFERROR(__xludf.DUMMYFUNCTION("""COMPUTED_VALUE"""),"")</f>
        <v/>
      </c>
      <c r="AB669" s="1" t="str">
        <f>IFERROR(__xludf.DUMMYFUNCTION("""COMPUTED_VALUE"""),"Emerging Concern")</f>
        <v>Emerging Concern</v>
      </c>
      <c r="AC669" s="1" t="str">
        <f>IFERROR(__xludf.DUMMYFUNCTION("""COMPUTED_VALUE"""),"")</f>
        <v/>
      </c>
      <c r="AD669" s="1" t="str">
        <f>IFERROR(__xludf.DUMMYFUNCTION("""COMPUTED_VALUE"""),"")</f>
        <v/>
      </c>
      <c r="AE669" s="1" t="str">
        <f>IFERROR(__xludf.DUMMYFUNCTION("""COMPUTED_VALUE"""),"")</f>
        <v/>
      </c>
      <c r="AF669" s="1" t="str">
        <f>IFERROR(__xludf.DUMMYFUNCTION("""COMPUTED_VALUE"""),"")</f>
        <v/>
      </c>
      <c r="AG669" s="1" t="str">
        <f>IFERROR(__xludf.DUMMYFUNCTION("""COMPUTED_VALUE"""),"Moratorium being considered")</f>
        <v>Moratorium being considered</v>
      </c>
      <c r="AH669" s="1" t="str">
        <f>IFERROR(__xludf.DUMMYFUNCTION("""COMPUTED_VALUE"""),"Media Monitoring")</f>
        <v>Media Monitoring</v>
      </c>
      <c r="AI669" s="2" t="str">
        <f>IFERROR(__xludf.DUMMYFUNCTION("""COMPUTED_VALUE"""),"https://www.datacenterdynamics.com/en/news/developers-file-application-for-16bn-data-center-in-cleveland-ohio/")</f>
        <v>https://www.datacenterdynamics.com/en/news/developers-file-application-for-16bn-data-center-in-cleveland-ohio/</v>
      </c>
      <c r="AJ669" s="2" t="str">
        <f>IFERROR(__xludf.DUMMYFUNCTION("""COMPUTED_VALUE"""),"https://www.datacenterdynamics.com/en/news/16bn-data-center-plan-rejected-in-cleveland-ohio/")</f>
        <v>https://www.datacenterdynamics.com/en/news/16bn-data-center-plan-rejected-in-cleveland-ohio/</v>
      </c>
      <c r="AK669" s="1" t="str">
        <f>IFERROR(__xludf.DUMMYFUNCTION("""COMPUTED_VALUE"""),"")</f>
        <v/>
      </c>
      <c r="AL669" s="1" t="str">
        <f>IFERROR(__xludf.DUMMYFUNCTION("""COMPUTED_VALUE"""),"")</f>
        <v/>
      </c>
      <c r="AM669" s="1" t="str">
        <f>IFERROR(__xludf.DUMMYFUNCTION("""COMPUTED_VALUE"""),"")</f>
        <v/>
      </c>
      <c r="AN669" s="1" t="str">
        <f>IFERROR(__xludf.DUMMYFUNCTION("""COMPUTED_VALUE"""),"")</f>
        <v/>
      </c>
      <c r="AO669" s="1" t="str">
        <f>IFERROR(__xludf.DUMMYFUNCTION("""COMPUTED_VALUE"""),"")</f>
        <v/>
      </c>
      <c r="AP669" s="1" t="str">
        <f>IFERROR(__xludf.DUMMYFUNCTION("""COMPUTED_VALUE"""),"")</f>
        <v/>
      </c>
      <c r="AQ669" s="1" t="str">
        <f>IFERROR(__xludf.DUMMYFUNCTION("""COMPUTED_VALUE"""),"05/12/2026")</f>
        <v>05/12/2026</v>
      </c>
      <c r="AR669" s="1" t="str">
        <f>IFERROR(__xludf.DUMMYFUNCTION("""COMPUTED_VALUE"""),"05/20/2026")</f>
        <v>05/20/2026</v>
      </c>
    </row>
    <row r="670">
      <c r="A670" s="1" t="str">
        <f>IFERROR(__xludf.DUMMYFUNCTION("""COMPUTED_VALUE"""),"Slavic Village Data Center")</f>
        <v>Slavic Village Data Center</v>
      </c>
      <c r="B670" s="1" t="str">
        <f>IFERROR(__xludf.DUMMYFUNCTION("""COMPUTED_VALUE"""),"3560 E. 55th St.")</f>
        <v>3560 E. 55th St.</v>
      </c>
      <c r="C670" s="1" t="str">
        <f>IFERROR(__xludf.DUMMYFUNCTION("""COMPUTED_VALUE"""),"Cleveland")</f>
        <v>Cleveland</v>
      </c>
      <c r="D670" s="1" t="str">
        <f>IFERROR(__xludf.DUMMYFUNCTION("""COMPUTED_VALUE"""),"OH")</f>
        <v>OH</v>
      </c>
      <c r="E670" s="1" t="str">
        <f>IFERROR(__xludf.DUMMYFUNCTION("""COMPUTED_VALUE"""),"44105")</f>
        <v>44105</v>
      </c>
      <c r="F670" s="1" t="str">
        <f>IFERROR(__xludf.DUMMYFUNCTION("""COMPUTED_VALUE"""),"Cuyahoga")</f>
        <v>Cuyahoga</v>
      </c>
      <c r="G670" s="1" t="str">
        <f>IFERROR(__xludf.DUMMYFUNCTION("""COMPUTED_VALUE"""),"41.4646")</f>
        <v>41.4646</v>
      </c>
      <c r="H670" s="1" t="str">
        <f>IFERROR(__xludf.DUMMYFUNCTION("""COMPUTED_VALUE"""),"-81.6521")</f>
        <v>-81.6521</v>
      </c>
      <c r="I670" s="1" t="str">
        <f>IFERROR(__xludf.DUMMYFUNCTION("""COMPUTED_VALUE"""),"Proposed")</f>
        <v>Proposed</v>
      </c>
      <c r="J670" s="1" t="str">
        <f>IFERROR(__xludf.DUMMYFUNCTION("""COMPUTED_VALUE"""),"High")</f>
        <v>High</v>
      </c>
      <c r="K670" s="1" t="str">
        <f>IFERROR(__xludf.DUMMYFUNCTION("""COMPUTED_VALUE"""),"")</f>
        <v/>
      </c>
      <c r="L670" s="1" t="str">
        <f>IFERROR(__xludf.DUMMYFUNCTION("""COMPUTED_VALUE"""),"Lakeland Equity Group ")</f>
        <v>Lakeland Equity Group </v>
      </c>
      <c r="M670" s="1" t="str">
        <f>IFERROR(__xludf.DUMMYFUNCTION("""COMPUTED_VALUE"""),"")</f>
        <v/>
      </c>
      <c r="N670" s="1" t="str">
        <f>IFERROR(__xludf.DUMMYFUNCTION("""COMPUTED_VALUE"""),"150")</f>
        <v>150</v>
      </c>
      <c r="O670" s="1" t="str">
        <f>IFERROR(__xludf.DUMMYFUNCTION("""COMPUTED_VALUE"""),"Hyperscale (100-999 MW)")</f>
        <v>Hyperscale (100-999 MW)</v>
      </c>
      <c r="P670" s="1" t="str">
        <f>IFERROR(__xludf.DUMMYFUNCTION("""COMPUTED_VALUE"""),"")</f>
        <v/>
      </c>
      <c r="Q670" s="1" t="str">
        <f>IFERROR(__xludf.DUMMYFUNCTION("""COMPUTED_VALUE"""),"")</f>
        <v/>
      </c>
      <c r="R670" s="1" t="str">
        <f>IFERROR(__xludf.DUMMYFUNCTION("""COMPUTED_VALUE"""),"")</f>
        <v/>
      </c>
      <c r="S670" s="1" t="str">
        <f>IFERROR(__xludf.DUMMYFUNCTION("""COMPUTED_VALUE"""),"3")</f>
        <v>3</v>
      </c>
      <c r="T670" s="1" t="str">
        <f>IFERROR(__xludf.DUMMYFUNCTION("""COMPUTED_VALUE"""),"")</f>
        <v/>
      </c>
      <c r="U670" s="1" t="str">
        <f>IFERROR(__xludf.DUMMYFUNCTION("""COMPUTED_VALUE"""),"")</f>
        <v/>
      </c>
      <c r="V670" s="1" t="str">
        <f>IFERROR(__xludf.DUMMYFUNCTION("""COMPUTED_VALUE"""),"300,000")</f>
        <v>300,000</v>
      </c>
      <c r="W670" s="1" t="str">
        <f>IFERROR(__xludf.DUMMYFUNCTION("""COMPUTED_VALUE"""),"35")</f>
        <v>35</v>
      </c>
      <c r="X670" s="1" t="str">
        <f>IFERROR(__xludf.DUMMYFUNCTION("""COMPUTED_VALUE"""),"1.6 billion")</f>
        <v>1.6 billion</v>
      </c>
      <c r="Y670" s="1" t="str">
        <f>IFERROR(__xludf.DUMMYFUNCTION("""COMPUTED_VALUE"""),"")</f>
        <v/>
      </c>
      <c r="Z670" s="1" t="str">
        <f>IFERROR(__xludf.DUMMYFUNCTION("""COMPUTED_VALUE"""),"Yes")</f>
        <v>Yes</v>
      </c>
      <c r="AA670" s="1" t="str">
        <f>IFERROR(__xludf.DUMMYFUNCTION("""COMPUTED_VALUE"""),"")</f>
        <v/>
      </c>
      <c r="AB670" s="1" t="str">
        <f>IFERROR(__xludf.DUMMYFUNCTION("""COMPUTED_VALUE"""),"Emerging Concern")</f>
        <v>Emerging Concern</v>
      </c>
      <c r="AC670" s="1" t="str">
        <f>IFERROR(__xludf.DUMMYFUNCTION("""COMPUTED_VALUE"""),"")</f>
        <v/>
      </c>
      <c r="AD670" s="1" t="str">
        <f>IFERROR(__xludf.DUMMYFUNCTION("""COMPUTED_VALUE"""),"")</f>
        <v/>
      </c>
      <c r="AE670" s="1" t="str">
        <f>IFERROR(__xludf.DUMMYFUNCTION("""COMPUTED_VALUE"""),"")</f>
        <v/>
      </c>
      <c r="AF670" s="1" t="str">
        <f>IFERROR(__xludf.DUMMYFUNCTION("""COMPUTED_VALUE"""),"")</f>
        <v/>
      </c>
      <c r="AG670" s="1" t="str">
        <f>IFERROR(__xludf.DUMMYFUNCTION("""COMPUTED_VALUE"""),"")</f>
        <v/>
      </c>
      <c r="AH670" s="1" t="str">
        <f>IFERROR(__xludf.DUMMYFUNCTION("""COMPUTED_VALUE"""),"Media Monitoring")</f>
        <v>Media Monitoring</v>
      </c>
      <c r="AI670" s="2" t="str">
        <f>IFERROR(__xludf.DUMMYFUNCTION("""COMPUTED_VALUE"""),"https://neo-trans.blog/2026/05/06/1-6b-data-center-planned-in-cleveland/")</f>
        <v>https://neo-trans.blog/2026/05/06/1-6b-data-center-planned-in-cleveland/</v>
      </c>
      <c r="AJ670" s="2" t="str">
        <f>IFERROR(__xludf.DUMMYFUNCTION("""COMPUTED_VALUE"""),"https://www.cleveland19.com/2026/05/07/neighbors-raise-concerns-about-proposed-cleveland-data-center/")</f>
        <v>https://www.cleveland19.com/2026/05/07/neighbors-raise-concerns-about-proposed-cleveland-data-center/</v>
      </c>
      <c r="AK670" s="1" t="str">
        <f>IFERROR(__xludf.DUMMYFUNCTION("""COMPUTED_VALUE"""),"")</f>
        <v/>
      </c>
      <c r="AL670" s="1" t="str">
        <f>IFERROR(__xludf.DUMMYFUNCTION("""COMPUTED_VALUE"""),"")</f>
        <v/>
      </c>
      <c r="AM670" s="1" t="str">
        <f>IFERROR(__xludf.DUMMYFUNCTION("""COMPUTED_VALUE"""),"")</f>
        <v/>
      </c>
      <c r="AN670" s="1" t="str">
        <f>IFERROR(__xludf.DUMMYFUNCTION("""COMPUTED_VALUE"""),"")</f>
        <v/>
      </c>
      <c r="AO670" s="1" t="str">
        <f>IFERROR(__xludf.DUMMYFUNCTION("""COMPUTED_VALUE"""),"")</f>
        <v/>
      </c>
      <c r="AP670" s="1" t="str">
        <f>IFERROR(__xludf.DUMMYFUNCTION("""COMPUTED_VALUE"""),"")</f>
        <v/>
      </c>
      <c r="AQ670" s="1" t="str">
        <f>IFERROR(__xludf.DUMMYFUNCTION("""COMPUTED_VALUE"""),"05/08/2026")</f>
        <v>05/08/2026</v>
      </c>
      <c r="AR670" s="1" t="str">
        <f>IFERROR(__xludf.DUMMYFUNCTION("""COMPUTED_VALUE"""),"05/08/2026")</f>
        <v>05/08/2026</v>
      </c>
    </row>
    <row r="671">
      <c r="A671" s="1" t="str">
        <f>IFERROR(__xludf.DUMMYFUNCTION("""COMPUTED_VALUE"""),"COL 1 (Cologix) Data Center")</f>
        <v>COL 1 (Cologix) Data Center</v>
      </c>
      <c r="B671" s="1" t="str">
        <f>IFERROR(__xludf.DUMMYFUNCTION("""COMPUTED_VALUE"""),"535 Scherers Ct")</f>
        <v>535 Scherers Ct</v>
      </c>
      <c r="C671" s="1" t="str">
        <f>IFERROR(__xludf.DUMMYFUNCTION("""COMPUTED_VALUE"""),"Columbus")</f>
        <v>Columbus</v>
      </c>
      <c r="D671" s="1" t="str">
        <f>IFERROR(__xludf.DUMMYFUNCTION("""COMPUTED_VALUE"""),"OH")</f>
        <v>OH</v>
      </c>
      <c r="E671" s="1" t="str">
        <f>IFERROR(__xludf.DUMMYFUNCTION("""COMPUTED_VALUE"""),"43085")</f>
        <v>43085</v>
      </c>
      <c r="F671" s="1" t="str">
        <f>IFERROR(__xludf.DUMMYFUNCTION("""COMPUTED_VALUE"""),"Franklin")</f>
        <v>Franklin</v>
      </c>
      <c r="G671" s="1" t="str">
        <f>IFERROR(__xludf.DUMMYFUNCTION("""COMPUTED_VALUE"""),"40.11592")</f>
        <v>40.11592</v>
      </c>
      <c r="H671" s="1" t="str">
        <f>IFERROR(__xludf.DUMMYFUNCTION("""COMPUTED_VALUE"""),"-83.0025")</f>
        <v>-83.0025</v>
      </c>
      <c r="I671" s="1" t="str">
        <f>IFERROR(__xludf.DUMMYFUNCTION("""COMPUTED_VALUE"""),"Operating")</f>
        <v>Operating</v>
      </c>
      <c r="J671" s="1" t="str">
        <f>IFERROR(__xludf.DUMMYFUNCTION("""COMPUTED_VALUE"""),"High")</f>
        <v>High</v>
      </c>
      <c r="K671" s="1" t="str">
        <f>IFERROR(__xludf.DUMMYFUNCTION("""COMPUTED_VALUE"""),"")</f>
        <v/>
      </c>
      <c r="L671" s="1" t="str">
        <f>IFERROR(__xludf.DUMMYFUNCTION("""COMPUTED_VALUE"""),"")</f>
        <v/>
      </c>
      <c r="M671" s="1" t="str">
        <f>IFERROR(__xludf.DUMMYFUNCTION("""COMPUTED_VALUE"""),"")</f>
        <v/>
      </c>
      <c r="N671" s="1" t="str">
        <f>IFERROR(__xludf.DUMMYFUNCTION("""COMPUTED_VALUE"""),"30")</f>
        <v>30</v>
      </c>
      <c r="O671" s="1" t="str">
        <f>IFERROR(__xludf.DUMMYFUNCTION("""COMPUTED_VALUE"""),"Medium (11-50 MW)")</f>
        <v>Medium (11-50 MW)</v>
      </c>
      <c r="P671" s="1" t="str">
        <f>IFERROR(__xludf.DUMMYFUNCTION("""COMPUTED_VALUE"""),"")</f>
        <v/>
      </c>
      <c r="Q671" s="1" t="str">
        <f>IFERROR(__xludf.DUMMYFUNCTION("""COMPUTED_VALUE"""),"")</f>
        <v/>
      </c>
      <c r="R671" s="1" t="str">
        <f>IFERROR(__xludf.DUMMYFUNCTION("""COMPUTED_VALUE"""),"")</f>
        <v/>
      </c>
      <c r="S671" s="1" t="str">
        <f>IFERROR(__xludf.DUMMYFUNCTION("""COMPUTED_VALUE"""),"")</f>
        <v/>
      </c>
      <c r="T671" s="1" t="str">
        <f>IFERROR(__xludf.DUMMYFUNCTION("""COMPUTED_VALUE"""),"")</f>
        <v/>
      </c>
      <c r="U671" s="1" t="str">
        <f>IFERROR(__xludf.DUMMYFUNCTION("""COMPUTED_VALUE"""),"")</f>
        <v/>
      </c>
      <c r="V671" s="1" t="str">
        <f>IFERROR(__xludf.DUMMYFUNCTION("""COMPUTED_VALUE"""),"44,000")</f>
        <v>44,000</v>
      </c>
      <c r="W671" s="1" t="str">
        <f>IFERROR(__xludf.DUMMYFUNCTION("""COMPUTED_VALUE"""),"")</f>
        <v/>
      </c>
      <c r="X671" s="1" t="str">
        <f>IFERROR(__xludf.DUMMYFUNCTION("""COMPUTED_VALUE"""),"")</f>
        <v/>
      </c>
      <c r="Y671" s="1" t="str">
        <f>IFERROR(__xludf.DUMMYFUNCTION("""COMPUTED_VALUE"""),"")</f>
        <v/>
      </c>
      <c r="Z671" s="1" t="str">
        <f>IFERROR(__xludf.DUMMYFUNCTION("""COMPUTED_VALUE"""),"Unknown")</f>
        <v>Unknown</v>
      </c>
      <c r="AA671" s="1" t="str">
        <f>IFERROR(__xludf.DUMMYFUNCTION("""COMPUTED_VALUE"""),"")</f>
        <v/>
      </c>
      <c r="AB671" s="1" t="str">
        <f>IFERROR(__xludf.DUMMYFUNCTION("""COMPUTED_VALUE"""),"")</f>
        <v/>
      </c>
      <c r="AC671" s="1" t="str">
        <f>IFERROR(__xludf.DUMMYFUNCTION("""COMPUTED_VALUE"""),"")</f>
        <v/>
      </c>
      <c r="AD671" s="1" t="str">
        <f>IFERROR(__xludf.DUMMYFUNCTION("""COMPUTED_VALUE"""),"")</f>
        <v/>
      </c>
      <c r="AE671" s="1" t="str">
        <f>IFERROR(__xludf.DUMMYFUNCTION("""COMPUTED_VALUE"""),"")</f>
        <v/>
      </c>
      <c r="AF671" s="1" t="str">
        <f>IFERROR(__xludf.DUMMYFUNCTION("""COMPUTED_VALUE"""),"")</f>
        <v/>
      </c>
      <c r="AG671" s="1" t="str">
        <f>IFERROR(__xludf.DUMMYFUNCTION("""COMPUTED_VALUE"""),"")</f>
        <v/>
      </c>
      <c r="AH671" s="1" t="str">
        <f>IFERROR(__xludf.DUMMYFUNCTION("""COMPUTED_VALUE"""),"Media Monitoring")</f>
        <v>Media Monitoring</v>
      </c>
      <c r="AI671" s="2" t="str">
        <f>IFERROR(__xludf.DUMMYFUNCTION("""COMPUTED_VALUE"""),"https://marcellusdrilling.com/2025/04/microsoft-hits-pause-button-on-1b-data-centers-near-columbus-oh/")</f>
        <v>https://marcellusdrilling.com/2025/04/microsoft-hits-pause-button-on-1b-data-centers-near-columbus-oh/</v>
      </c>
      <c r="AJ671" s="2" t="str">
        <f>IFERROR(__xludf.DUMMYFUNCTION("""COMPUTED_VALUE"""),"https://www.dispatch.com/story/business/2025/04/07/microsoft-backs-out-of-plans-to-build-data-centers-in-licking-county/82973097007/")</f>
        <v>https://www.dispatch.com/story/business/2025/04/07/microsoft-backs-out-of-plans-to-build-data-centers-in-licking-county/82973097007/</v>
      </c>
      <c r="AK671" s="2" t="str">
        <f>IFERROR(__xludf.DUMMYFUNCTION("""COMPUTED_VALUE"""),"https://cologix.com/data-centers/columbus/")</f>
        <v>https://cologix.com/data-centers/columbus/</v>
      </c>
      <c r="AL671" s="1" t="str">
        <f>IFERROR(__xludf.DUMMYFUNCTION("""COMPUTED_VALUE"""),"")</f>
        <v/>
      </c>
      <c r="AM671" s="1" t="str">
        <f>IFERROR(__xludf.DUMMYFUNCTION("""COMPUTED_VALUE"""),"")</f>
        <v/>
      </c>
      <c r="AN671" s="1" t="str">
        <f>IFERROR(__xludf.DUMMYFUNCTION("""COMPUTED_VALUE"""),"")</f>
        <v/>
      </c>
      <c r="AO671" s="1" t="str">
        <f>IFERROR(__xludf.DUMMYFUNCTION("""COMPUTED_VALUE"""),"")</f>
        <v/>
      </c>
      <c r="AP671" s="1" t="str">
        <f>IFERROR(__xludf.DUMMYFUNCTION("""COMPUTED_VALUE"""),"")</f>
        <v/>
      </c>
      <c r="AQ671" s="1" t="str">
        <f>IFERROR(__xludf.DUMMYFUNCTION("""COMPUTED_VALUE"""),"08/30/2025")</f>
        <v>08/30/2025</v>
      </c>
      <c r="AR671" s="1" t="str">
        <f>IFERROR(__xludf.DUMMYFUNCTION("""COMPUTED_VALUE"""),"08/30/2025")</f>
        <v>08/30/2025</v>
      </c>
    </row>
    <row r="672">
      <c r="A672" s="1" t="str">
        <f>IFERROR(__xludf.DUMMYFUNCTION("""COMPUTED_VALUE"""),"COL 2 (Cologix) Data Center")</f>
        <v>COL 2 (Cologix) Data Center</v>
      </c>
      <c r="B672" s="1" t="str">
        <f>IFERROR(__xludf.DUMMYFUNCTION("""COMPUTED_VALUE"""),"555 Scherers Ct")</f>
        <v>555 Scherers Ct</v>
      </c>
      <c r="C672" s="1" t="str">
        <f>IFERROR(__xludf.DUMMYFUNCTION("""COMPUTED_VALUE"""),"Columbus")</f>
        <v>Columbus</v>
      </c>
      <c r="D672" s="1" t="str">
        <f>IFERROR(__xludf.DUMMYFUNCTION("""COMPUTED_VALUE"""),"OH")</f>
        <v>OH</v>
      </c>
      <c r="E672" s="1" t="str">
        <f>IFERROR(__xludf.DUMMYFUNCTION("""COMPUTED_VALUE"""),"43085")</f>
        <v>43085</v>
      </c>
      <c r="F672" s="1" t="str">
        <f>IFERROR(__xludf.DUMMYFUNCTION("""COMPUTED_VALUE"""),"Franklin")</f>
        <v>Franklin</v>
      </c>
      <c r="G672" s="1" t="str">
        <f>IFERROR(__xludf.DUMMYFUNCTION("""COMPUTED_VALUE"""),"40.11582")</f>
        <v>40.11582</v>
      </c>
      <c r="H672" s="1" t="str">
        <f>IFERROR(__xludf.DUMMYFUNCTION("""COMPUTED_VALUE"""),"-83.0025")</f>
        <v>-83.0025</v>
      </c>
      <c r="I672" s="1" t="str">
        <f>IFERROR(__xludf.DUMMYFUNCTION("""COMPUTED_VALUE"""),"Operating")</f>
        <v>Operating</v>
      </c>
      <c r="J672" s="1" t="str">
        <f>IFERROR(__xludf.DUMMYFUNCTION("""COMPUTED_VALUE"""),"High")</f>
        <v>High</v>
      </c>
      <c r="K672" s="1" t="str">
        <f>IFERROR(__xludf.DUMMYFUNCTION("""COMPUTED_VALUE"""),"")</f>
        <v/>
      </c>
      <c r="L672" s="1" t="str">
        <f>IFERROR(__xludf.DUMMYFUNCTION("""COMPUTED_VALUE"""),"")</f>
        <v/>
      </c>
      <c r="M672" s="1" t="str">
        <f>IFERROR(__xludf.DUMMYFUNCTION("""COMPUTED_VALUE"""),"")</f>
        <v/>
      </c>
      <c r="N672" s="1" t="str">
        <f>IFERROR(__xludf.DUMMYFUNCTION("""COMPUTED_VALUE"""),"30")</f>
        <v>30</v>
      </c>
      <c r="O672" s="1" t="str">
        <f>IFERROR(__xludf.DUMMYFUNCTION("""COMPUTED_VALUE"""),"Medium (11-50 MW)")</f>
        <v>Medium (11-50 MW)</v>
      </c>
      <c r="P672" s="1" t="str">
        <f>IFERROR(__xludf.DUMMYFUNCTION("""COMPUTED_VALUE"""),"")</f>
        <v/>
      </c>
      <c r="Q672" s="1" t="str">
        <f>IFERROR(__xludf.DUMMYFUNCTION("""COMPUTED_VALUE"""),"")</f>
        <v/>
      </c>
      <c r="R672" s="1" t="str">
        <f>IFERROR(__xludf.DUMMYFUNCTION("""COMPUTED_VALUE"""),"")</f>
        <v/>
      </c>
      <c r="S672" s="1" t="str">
        <f>IFERROR(__xludf.DUMMYFUNCTION("""COMPUTED_VALUE"""),"")</f>
        <v/>
      </c>
      <c r="T672" s="1" t="str">
        <f>IFERROR(__xludf.DUMMYFUNCTION("""COMPUTED_VALUE"""),"")</f>
        <v/>
      </c>
      <c r="U672" s="1" t="str">
        <f>IFERROR(__xludf.DUMMYFUNCTION("""COMPUTED_VALUE"""),"")</f>
        <v/>
      </c>
      <c r="V672" s="1" t="str">
        <f>IFERROR(__xludf.DUMMYFUNCTION("""COMPUTED_VALUE"""),"44,000")</f>
        <v>44,000</v>
      </c>
      <c r="W672" s="1" t="str">
        <f>IFERROR(__xludf.DUMMYFUNCTION("""COMPUTED_VALUE"""),"")</f>
        <v/>
      </c>
      <c r="X672" s="1" t="str">
        <f>IFERROR(__xludf.DUMMYFUNCTION("""COMPUTED_VALUE"""),"")</f>
        <v/>
      </c>
      <c r="Y672" s="1" t="str">
        <f>IFERROR(__xludf.DUMMYFUNCTION("""COMPUTED_VALUE"""),"")</f>
        <v/>
      </c>
      <c r="Z672" s="1" t="str">
        <f>IFERROR(__xludf.DUMMYFUNCTION("""COMPUTED_VALUE"""),"Unknown")</f>
        <v>Unknown</v>
      </c>
      <c r="AA672" s="1" t="str">
        <f>IFERROR(__xludf.DUMMYFUNCTION("""COMPUTED_VALUE"""),"")</f>
        <v/>
      </c>
      <c r="AB672" s="1" t="str">
        <f>IFERROR(__xludf.DUMMYFUNCTION("""COMPUTED_VALUE"""),"")</f>
        <v/>
      </c>
      <c r="AC672" s="1" t="str">
        <f>IFERROR(__xludf.DUMMYFUNCTION("""COMPUTED_VALUE"""),"")</f>
        <v/>
      </c>
      <c r="AD672" s="1" t="str">
        <f>IFERROR(__xludf.DUMMYFUNCTION("""COMPUTED_VALUE"""),"")</f>
        <v/>
      </c>
      <c r="AE672" s="1" t="str">
        <f>IFERROR(__xludf.DUMMYFUNCTION("""COMPUTED_VALUE"""),"")</f>
        <v/>
      </c>
      <c r="AF672" s="1" t="str">
        <f>IFERROR(__xludf.DUMMYFUNCTION("""COMPUTED_VALUE"""),"")</f>
        <v/>
      </c>
      <c r="AG672" s="1" t="str">
        <f>IFERROR(__xludf.DUMMYFUNCTION("""COMPUTED_VALUE"""),"")</f>
        <v/>
      </c>
      <c r="AH672" s="1" t="str">
        <f>IFERROR(__xludf.DUMMYFUNCTION("""COMPUTED_VALUE"""),"Media Monitoring")</f>
        <v>Media Monitoring</v>
      </c>
      <c r="AI672" s="2" t="str">
        <f>IFERROR(__xludf.DUMMYFUNCTION("""COMPUTED_VALUE"""),"https://cologix.com/data-centers/columbus/")</f>
        <v>https://cologix.com/data-centers/columbus/</v>
      </c>
      <c r="AJ672" s="1" t="str">
        <f>IFERROR(__xludf.DUMMYFUNCTION("""COMPUTED_VALUE"""),"")</f>
        <v/>
      </c>
      <c r="AK672" s="1" t="str">
        <f>IFERROR(__xludf.DUMMYFUNCTION("""COMPUTED_VALUE"""),"")</f>
        <v/>
      </c>
      <c r="AL672" s="1" t="str">
        <f>IFERROR(__xludf.DUMMYFUNCTION("""COMPUTED_VALUE"""),"")</f>
        <v/>
      </c>
      <c r="AM672" s="1" t="str">
        <f>IFERROR(__xludf.DUMMYFUNCTION("""COMPUTED_VALUE"""),"")</f>
        <v/>
      </c>
      <c r="AN672" s="1" t="str">
        <f>IFERROR(__xludf.DUMMYFUNCTION("""COMPUTED_VALUE"""),"")</f>
        <v/>
      </c>
      <c r="AO672" s="1" t="str">
        <f>IFERROR(__xludf.DUMMYFUNCTION("""COMPUTED_VALUE"""),"")</f>
        <v/>
      </c>
      <c r="AP672" s="1" t="str">
        <f>IFERROR(__xludf.DUMMYFUNCTION("""COMPUTED_VALUE"""),"")</f>
        <v/>
      </c>
      <c r="AQ672" s="1" t="str">
        <f>IFERROR(__xludf.DUMMYFUNCTION("""COMPUTED_VALUE"""),"08/30/2025")</f>
        <v>08/30/2025</v>
      </c>
      <c r="AR672" s="1" t="str">
        <f>IFERROR(__xludf.DUMMYFUNCTION("""COMPUTED_VALUE"""),"08/30/2025")</f>
        <v>08/30/2025</v>
      </c>
    </row>
    <row r="673">
      <c r="A673" s="1" t="str">
        <f>IFERROR(__xludf.DUMMYFUNCTION("""COMPUTED_VALUE"""),"COL 3 (Cologix) Data Center")</f>
        <v>COL 3 (Cologix) Data Center</v>
      </c>
      <c r="B673" s="1" t="str">
        <f>IFERROR(__xludf.DUMMYFUNCTION("""COMPUTED_VALUE"""),"585 Scherers Ct")</f>
        <v>585 Scherers Ct</v>
      </c>
      <c r="C673" s="1" t="str">
        <f>IFERROR(__xludf.DUMMYFUNCTION("""COMPUTED_VALUE"""),"Columbus")</f>
        <v>Columbus</v>
      </c>
      <c r="D673" s="1" t="str">
        <f>IFERROR(__xludf.DUMMYFUNCTION("""COMPUTED_VALUE"""),"OH")</f>
        <v>OH</v>
      </c>
      <c r="E673" s="1" t="str">
        <f>IFERROR(__xludf.DUMMYFUNCTION("""COMPUTED_VALUE"""),"43085")</f>
        <v>43085</v>
      </c>
      <c r="F673" s="1" t="str">
        <f>IFERROR(__xludf.DUMMYFUNCTION("""COMPUTED_VALUE"""),"Franklin")</f>
        <v>Franklin</v>
      </c>
      <c r="G673" s="1" t="str">
        <f>IFERROR(__xludf.DUMMYFUNCTION("""COMPUTED_VALUE"""),"40.11585")</f>
        <v>40.11585</v>
      </c>
      <c r="H673" s="1" t="str">
        <f>IFERROR(__xludf.DUMMYFUNCTION("""COMPUTED_VALUE"""),"-83.0023")</f>
        <v>-83.0023</v>
      </c>
      <c r="I673" s="1" t="str">
        <f>IFERROR(__xludf.DUMMYFUNCTION("""COMPUTED_VALUE"""),"Operating")</f>
        <v>Operating</v>
      </c>
      <c r="J673" s="1" t="str">
        <f>IFERROR(__xludf.DUMMYFUNCTION("""COMPUTED_VALUE"""),"High")</f>
        <v>High</v>
      </c>
      <c r="K673" s="1" t="str">
        <f>IFERROR(__xludf.DUMMYFUNCTION("""COMPUTED_VALUE"""),"")</f>
        <v/>
      </c>
      <c r="L673" s="1" t="str">
        <f>IFERROR(__xludf.DUMMYFUNCTION("""COMPUTED_VALUE"""),"")</f>
        <v/>
      </c>
      <c r="M673" s="1" t="str">
        <f>IFERROR(__xludf.DUMMYFUNCTION("""COMPUTED_VALUE"""),"")</f>
        <v/>
      </c>
      <c r="N673" s="1" t="str">
        <f>IFERROR(__xludf.DUMMYFUNCTION("""COMPUTED_VALUE"""),"18+")</f>
        <v>18+</v>
      </c>
      <c r="O673" s="1" t="str">
        <f>IFERROR(__xludf.DUMMYFUNCTION("""COMPUTED_VALUE"""),"Medium (11-50 MW)")</f>
        <v>Medium (11-50 MW)</v>
      </c>
      <c r="P673" s="1" t="str">
        <f>IFERROR(__xludf.DUMMYFUNCTION("""COMPUTED_VALUE"""),"")</f>
        <v/>
      </c>
      <c r="Q673" s="1" t="str">
        <f>IFERROR(__xludf.DUMMYFUNCTION("""COMPUTED_VALUE"""),"")</f>
        <v/>
      </c>
      <c r="R673" s="1" t="str">
        <f>IFERROR(__xludf.DUMMYFUNCTION("""COMPUTED_VALUE"""),"")</f>
        <v/>
      </c>
      <c r="S673" s="1" t="str">
        <f>IFERROR(__xludf.DUMMYFUNCTION("""COMPUTED_VALUE"""),"")</f>
        <v/>
      </c>
      <c r="T673" s="1" t="str">
        <f>IFERROR(__xludf.DUMMYFUNCTION("""COMPUTED_VALUE"""),"")</f>
        <v/>
      </c>
      <c r="U673" s="1" t="str">
        <f>IFERROR(__xludf.DUMMYFUNCTION("""COMPUTED_VALUE"""),"")</f>
        <v/>
      </c>
      <c r="V673" s="1" t="str">
        <f>IFERROR(__xludf.DUMMYFUNCTION("""COMPUTED_VALUE"""),"160,000")</f>
        <v>160,000</v>
      </c>
      <c r="W673" s="1" t="str">
        <f>IFERROR(__xludf.DUMMYFUNCTION("""COMPUTED_VALUE"""),"")</f>
        <v/>
      </c>
      <c r="X673" s="1" t="str">
        <f>IFERROR(__xludf.DUMMYFUNCTION("""COMPUTED_VALUE"""),"")</f>
        <v/>
      </c>
      <c r="Y673" s="1" t="str">
        <f>IFERROR(__xludf.DUMMYFUNCTION("""COMPUTED_VALUE"""),"")</f>
        <v/>
      </c>
      <c r="Z673" s="1" t="str">
        <f>IFERROR(__xludf.DUMMYFUNCTION("""COMPUTED_VALUE"""),"Unknown")</f>
        <v>Unknown</v>
      </c>
      <c r="AA673" s="1" t="str">
        <f>IFERROR(__xludf.DUMMYFUNCTION("""COMPUTED_VALUE"""),"")</f>
        <v/>
      </c>
      <c r="AB673" s="1" t="str">
        <f>IFERROR(__xludf.DUMMYFUNCTION("""COMPUTED_VALUE"""),"")</f>
        <v/>
      </c>
      <c r="AC673" s="1" t="str">
        <f>IFERROR(__xludf.DUMMYFUNCTION("""COMPUTED_VALUE"""),"")</f>
        <v/>
      </c>
      <c r="AD673" s="1" t="str">
        <f>IFERROR(__xludf.DUMMYFUNCTION("""COMPUTED_VALUE"""),"")</f>
        <v/>
      </c>
      <c r="AE673" s="1" t="str">
        <f>IFERROR(__xludf.DUMMYFUNCTION("""COMPUTED_VALUE"""),"")</f>
        <v/>
      </c>
      <c r="AF673" s="1" t="str">
        <f>IFERROR(__xludf.DUMMYFUNCTION("""COMPUTED_VALUE"""),"")</f>
        <v/>
      </c>
      <c r="AG673" s="1" t="str">
        <f>IFERROR(__xludf.DUMMYFUNCTION("""COMPUTED_VALUE"""),"")</f>
        <v/>
      </c>
      <c r="AH673" s="1" t="str">
        <f>IFERROR(__xludf.DUMMYFUNCTION("""COMPUTED_VALUE"""),"Media Monitoring")</f>
        <v>Media Monitoring</v>
      </c>
      <c r="AI673" s="2" t="str">
        <f>IFERROR(__xludf.DUMMYFUNCTION("""COMPUTED_VALUE"""),"https://cologix.com/data-centers/columbus/")</f>
        <v>https://cologix.com/data-centers/columbus/</v>
      </c>
      <c r="AJ673" s="1" t="str">
        <f>IFERROR(__xludf.DUMMYFUNCTION("""COMPUTED_VALUE"""),"")</f>
        <v/>
      </c>
      <c r="AK673" s="1" t="str">
        <f>IFERROR(__xludf.DUMMYFUNCTION("""COMPUTED_VALUE"""),"")</f>
        <v/>
      </c>
      <c r="AL673" s="1" t="str">
        <f>IFERROR(__xludf.DUMMYFUNCTION("""COMPUTED_VALUE"""),"")</f>
        <v/>
      </c>
      <c r="AM673" s="1" t="str">
        <f>IFERROR(__xludf.DUMMYFUNCTION("""COMPUTED_VALUE"""),"")</f>
        <v/>
      </c>
      <c r="AN673" s="1" t="str">
        <f>IFERROR(__xludf.DUMMYFUNCTION("""COMPUTED_VALUE"""),"")</f>
        <v/>
      </c>
      <c r="AO673" s="1" t="str">
        <f>IFERROR(__xludf.DUMMYFUNCTION("""COMPUTED_VALUE"""),"")</f>
        <v/>
      </c>
      <c r="AP673" s="1" t="str">
        <f>IFERROR(__xludf.DUMMYFUNCTION("""COMPUTED_VALUE"""),"")</f>
        <v/>
      </c>
      <c r="AQ673" s="1" t="str">
        <f>IFERROR(__xludf.DUMMYFUNCTION("""COMPUTED_VALUE"""),"08/30/2025")</f>
        <v>08/30/2025</v>
      </c>
      <c r="AR673" s="1" t="str">
        <f>IFERROR(__xludf.DUMMYFUNCTION("""COMPUTED_VALUE"""),"08/30/2025")</f>
        <v>08/30/2025</v>
      </c>
    </row>
    <row r="674">
      <c r="A674" s="1" t="str">
        <f>IFERROR(__xludf.DUMMYFUNCTION("""COMPUTED_VALUE"""),"COL 4 (Cologix) Data Center")</f>
        <v>COL 4 (Cologix) Data Center</v>
      </c>
      <c r="B674" s="1" t="str">
        <f>IFERROR(__xludf.DUMMYFUNCTION("""COMPUTED_VALUE"""),"7500 Alta View Blvd")</f>
        <v>7500 Alta View Blvd</v>
      </c>
      <c r="C674" s="1" t="str">
        <f>IFERROR(__xludf.DUMMYFUNCTION("""COMPUTED_VALUE"""),"Columbus")</f>
        <v>Columbus</v>
      </c>
      <c r="D674" s="1" t="str">
        <f>IFERROR(__xludf.DUMMYFUNCTION("""COMPUTED_VALUE"""),"OH")</f>
        <v>OH</v>
      </c>
      <c r="E674" s="1" t="str">
        <f>IFERROR(__xludf.DUMMYFUNCTION("""COMPUTED_VALUE"""),"43085")</f>
        <v>43085</v>
      </c>
      <c r="F674" s="1" t="str">
        <f>IFERROR(__xludf.DUMMYFUNCTION("""COMPUTED_VALUE"""),"Franklin")</f>
        <v>Franklin</v>
      </c>
      <c r="G674" s="1" t="str">
        <f>IFERROR(__xludf.DUMMYFUNCTION("""COMPUTED_VALUE"""),"40.11852")</f>
        <v>40.11852</v>
      </c>
      <c r="H674" s="1" t="str">
        <f>IFERROR(__xludf.DUMMYFUNCTION("""COMPUTED_VALUE"""),"-82.9993")</f>
        <v>-82.9993</v>
      </c>
      <c r="I674" s="1" t="str">
        <f>IFERROR(__xludf.DUMMYFUNCTION("""COMPUTED_VALUE"""),"Operating")</f>
        <v>Operating</v>
      </c>
      <c r="J674" s="1" t="str">
        <f>IFERROR(__xludf.DUMMYFUNCTION("""COMPUTED_VALUE"""),"High")</f>
        <v>High</v>
      </c>
      <c r="K674" s="1" t="str">
        <f>IFERROR(__xludf.DUMMYFUNCTION("""COMPUTED_VALUE"""),"")</f>
        <v/>
      </c>
      <c r="L674" s="1" t="str">
        <f>IFERROR(__xludf.DUMMYFUNCTION("""COMPUTED_VALUE"""),"")</f>
        <v/>
      </c>
      <c r="M674" s="1" t="str">
        <f>IFERROR(__xludf.DUMMYFUNCTION("""COMPUTED_VALUE"""),"")</f>
        <v/>
      </c>
      <c r="N674" s="1" t="str">
        <f>IFERROR(__xludf.DUMMYFUNCTION("""COMPUTED_VALUE"""),"33")</f>
        <v>33</v>
      </c>
      <c r="O674" s="1" t="str">
        <f>IFERROR(__xludf.DUMMYFUNCTION("""COMPUTED_VALUE"""),"Medium (11-50 MW)")</f>
        <v>Medium (11-50 MW)</v>
      </c>
      <c r="P674" s="1" t="str">
        <f>IFERROR(__xludf.DUMMYFUNCTION("""COMPUTED_VALUE"""),"")</f>
        <v/>
      </c>
      <c r="Q674" s="1" t="str">
        <f>IFERROR(__xludf.DUMMYFUNCTION("""COMPUTED_VALUE"""),"")</f>
        <v/>
      </c>
      <c r="R674" s="1" t="str">
        <f>IFERROR(__xludf.DUMMYFUNCTION("""COMPUTED_VALUE"""),"")</f>
        <v/>
      </c>
      <c r="S674" s="1" t="str">
        <f>IFERROR(__xludf.DUMMYFUNCTION("""COMPUTED_VALUE"""),"")</f>
        <v/>
      </c>
      <c r="T674" s="1" t="str">
        <f>IFERROR(__xludf.DUMMYFUNCTION("""COMPUTED_VALUE"""),"")</f>
        <v/>
      </c>
      <c r="U674" s="1" t="str">
        <f>IFERROR(__xludf.DUMMYFUNCTION("""COMPUTED_VALUE"""),"")</f>
        <v/>
      </c>
      <c r="V674" s="1" t="str">
        <f>IFERROR(__xludf.DUMMYFUNCTION("""COMPUTED_VALUE"""),"256,000")</f>
        <v>256,000</v>
      </c>
      <c r="W674" s="1" t="str">
        <f>IFERROR(__xludf.DUMMYFUNCTION("""COMPUTED_VALUE"""),"")</f>
        <v/>
      </c>
      <c r="X674" s="1" t="str">
        <f>IFERROR(__xludf.DUMMYFUNCTION("""COMPUTED_VALUE"""),"")</f>
        <v/>
      </c>
      <c r="Y674" s="1" t="str">
        <f>IFERROR(__xludf.DUMMYFUNCTION("""COMPUTED_VALUE"""),"")</f>
        <v/>
      </c>
      <c r="Z674" s="1" t="str">
        <f>IFERROR(__xludf.DUMMYFUNCTION("""COMPUTED_VALUE"""),"Unknown")</f>
        <v>Unknown</v>
      </c>
      <c r="AA674" s="1" t="str">
        <f>IFERROR(__xludf.DUMMYFUNCTION("""COMPUTED_VALUE"""),"")</f>
        <v/>
      </c>
      <c r="AB674" s="1" t="str">
        <f>IFERROR(__xludf.DUMMYFUNCTION("""COMPUTED_VALUE"""),"")</f>
        <v/>
      </c>
      <c r="AC674" s="1" t="str">
        <f>IFERROR(__xludf.DUMMYFUNCTION("""COMPUTED_VALUE"""),"")</f>
        <v/>
      </c>
      <c r="AD674" s="1" t="str">
        <f>IFERROR(__xludf.DUMMYFUNCTION("""COMPUTED_VALUE"""),"")</f>
        <v/>
      </c>
      <c r="AE674" s="1" t="str">
        <f>IFERROR(__xludf.DUMMYFUNCTION("""COMPUTED_VALUE"""),"")</f>
        <v/>
      </c>
      <c r="AF674" s="1" t="str">
        <f>IFERROR(__xludf.DUMMYFUNCTION("""COMPUTED_VALUE"""),"")</f>
        <v/>
      </c>
      <c r="AG674" s="1" t="str">
        <f>IFERROR(__xludf.DUMMYFUNCTION("""COMPUTED_VALUE"""),"")</f>
        <v/>
      </c>
      <c r="AH674" s="1" t="str">
        <f>IFERROR(__xludf.DUMMYFUNCTION("""COMPUTED_VALUE"""),"Media Monitoring")</f>
        <v>Media Monitoring</v>
      </c>
      <c r="AI674" s="2" t="str">
        <f>IFERROR(__xludf.DUMMYFUNCTION("""COMPUTED_VALUE"""),"https://cologix.com/data-centers/columbus/")</f>
        <v>https://cologix.com/data-centers/columbus/</v>
      </c>
      <c r="AJ674" s="1" t="str">
        <f>IFERROR(__xludf.DUMMYFUNCTION("""COMPUTED_VALUE"""),"")</f>
        <v/>
      </c>
      <c r="AK674" s="1" t="str">
        <f>IFERROR(__xludf.DUMMYFUNCTION("""COMPUTED_VALUE"""),"")</f>
        <v/>
      </c>
      <c r="AL674" s="1" t="str">
        <f>IFERROR(__xludf.DUMMYFUNCTION("""COMPUTED_VALUE"""),"")</f>
        <v/>
      </c>
      <c r="AM674" s="1" t="str">
        <f>IFERROR(__xludf.DUMMYFUNCTION("""COMPUTED_VALUE"""),"")</f>
        <v/>
      </c>
      <c r="AN674" s="1" t="str">
        <f>IFERROR(__xludf.DUMMYFUNCTION("""COMPUTED_VALUE"""),"")</f>
        <v/>
      </c>
      <c r="AO674" s="1" t="str">
        <f>IFERROR(__xludf.DUMMYFUNCTION("""COMPUTED_VALUE"""),"")</f>
        <v/>
      </c>
      <c r="AP674" s="1" t="str">
        <f>IFERROR(__xludf.DUMMYFUNCTION("""COMPUTED_VALUE"""),"")</f>
        <v/>
      </c>
      <c r="AQ674" s="1" t="str">
        <f>IFERROR(__xludf.DUMMYFUNCTION("""COMPUTED_VALUE"""),"08/30/2025")</f>
        <v>08/30/2025</v>
      </c>
      <c r="AR674" s="1" t="str">
        <f>IFERROR(__xludf.DUMMYFUNCTION("""COMPUTED_VALUE"""),"08/30/2025")</f>
        <v>08/30/2025</v>
      </c>
    </row>
    <row r="675">
      <c r="A675" s="1" t="str">
        <f>IFERROR(__xludf.DUMMYFUNCTION("""COMPUTED_VALUE"""),"Columbus Data Center")</f>
        <v>Columbus Data Center</v>
      </c>
      <c r="B675" s="1" t="str">
        <f>IFERROR(__xludf.DUMMYFUNCTION("""COMPUTED_VALUE"""),"5076 S High St")</f>
        <v>5076 S High St</v>
      </c>
      <c r="C675" s="1" t="str">
        <f>IFERROR(__xludf.DUMMYFUNCTION("""COMPUTED_VALUE"""),"Columbus")</f>
        <v>Columbus</v>
      </c>
      <c r="D675" s="1" t="str">
        <f>IFERROR(__xludf.DUMMYFUNCTION("""COMPUTED_VALUE"""),"OH")</f>
        <v>OH</v>
      </c>
      <c r="E675" s="1" t="str">
        <f>IFERROR(__xludf.DUMMYFUNCTION("""COMPUTED_VALUE"""),"43207")</f>
        <v>43207</v>
      </c>
      <c r="F675" s="1" t="str">
        <f>IFERROR(__xludf.DUMMYFUNCTION("""COMPUTED_VALUE"""),"Franklin")</f>
        <v>Franklin</v>
      </c>
      <c r="G675" s="1" t="str">
        <f>IFERROR(__xludf.DUMMYFUNCTION("""COMPUTED_VALUE"""),"39.85241")</f>
        <v>39.85241</v>
      </c>
      <c r="H675" s="1" t="str">
        <f>IFERROR(__xludf.DUMMYFUNCTION("""COMPUTED_VALUE"""),"-82.9974")</f>
        <v>-82.9974</v>
      </c>
      <c r="I675" s="1" t="str">
        <f>IFERROR(__xludf.DUMMYFUNCTION("""COMPUTED_VALUE"""),"Operating")</f>
        <v>Operating</v>
      </c>
      <c r="J675" s="1" t="str">
        <f>IFERROR(__xludf.DUMMYFUNCTION("""COMPUTED_VALUE"""),"High")</f>
        <v>High</v>
      </c>
      <c r="K675" s="1" t="str">
        <f>IFERROR(__xludf.DUMMYFUNCTION("""COMPUTED_VALUE"""),"")</f>
        <v/>
      </c>
      <c r="L675" s="1" t="str">
        <f>IFERROR(__xludf.DUMMYFUNCTION("""COMPUTED_VALUE"""),"Google")</f>
        <v>Google</v>
      </c>
      <c r="M675" s="1" t="str">
        <f>IFERROR(__xludf.DUMMYFUNCTION("""COMPUTED_VALUE"""),"")</f>
        <v/>
      </c>
      <c r="N675" s="1" t="str">
        <f>IFERROR(__xludf.DUMMYFUNCTION("""COMPUTED_VALUE"""),"")</f>
        <v/>
      </c>
      <c r="O675" s="1" t="str">
        <f>IFERROR(__xludf.DUMMYFUNCTION("""COMPUTED_VALUE"""),"Unknown")</f>
        <v>Unknown</v>
      </c>
      <c r="P675" s="1" t="str">
        <f>IFERROR(__xludf.DUMMYFUNCTION("""COMPUTED_VALUE"""),"")</f>
        <v/>
      </c>
      <c r="Q675" s="1" t="str">
        <f>IFERROR(__xludf.DUMMYFUNCTION("""COMPUTED_VALUE"""),"")</f>
        <v/>
      </c>
      <c r="R675" s="1" t="str">
        <f>IFERROR(__xludf.DUMMYFUNCTION("""COMPUTED_VALUE"""),"")</f>
        <v/>
      </c>
      <c r="S675" s="1" t="str">
        <f>IFERROR(__xludf.DUMMYFUNCTION("""COMPUTED_VALUE"""),"")</f>
        <v/>
      </c>
      <c r="T675" s="1" t="str">
        <f>IFERROR(__xludf.DUMMYFUNCTION("""COMPUTED_VALUE"""),"")</f>
        <v/>
      </c>
      <c r="U675" s="1" t="str">
        <f>IFERROR(__xludf.DUMMYFUNCTION("""COMPUTED_VALUE"""),"")</f>
        <v/>
      </c>
      <c r="V675" s="1" t="str">
        <f>IFERROR(__xludf.DUMMYFUNCTION("""COMPUTED_VALUE"""),"")</f>
        <v/>
      </c>
      <c r="W675" s="1" t="str">
        <f>IFERROR(__xludf.DUMMYFUNCTION("""COMPUTED_VALUE"""),"")</f>
        <v/>
      </c>
      <c r="X675" s="1" t="str">
        <f>IFERROR(__xludf.DUMMYFUNCTION("""COMPUTED_VALUE"""),"")</f>
        <v/>
      </c>
      <c r="Y675" s="1" t="str">
        <f>IFERROR(__xludf.DUMMYFUNCTION("""COMPUTED_VALUE"""),"")</f>
        <v/>
      </c>
      <c r="Z675" s="1" t="str">
        <f>IFERROR(__xludf.DUMMYFUNCTION("""COMPUTED_VALUE"""),"Unknown")</f>
        <v>Unknown</v>
      </c>
      <c r="AA675" s="1" t="str">
        <f>IFERROR(__xludf.DUMMYFUNCTION("""COMPUTED_VALUE"""),"")</f>
        <v/>
      </c>
      <c r="AB675" s="1" t="str">
        <f>IFERROR(__xludf.DUMMYFUNCTION("""COMPUTED_VALUE"""),"")</f>
        <v/>
      </c>
      <c r="AC675" s="1" t="str">
        <f>IFERROR(__xludf.DUMMYFUNCTION("""COMPUTED_VALUE"""),"")</f>
        <v/>
      </c>
      <c r="AD675" s="1" t="str">
        <f>IFERROR(__xludf.DUMMYFUNCTION("""COMPUTED_VALUE"""),"")</f>
        <v/>
      </c>
      <c r="AE675" s="1" t="str">
        <f>IFERROR(__xludf.DUMMYFUNCTION("""COMPUTED_VALUE"""),"")</f>
        <v/>
      </c>
      <c r="AF675" s="1" t="str">
        <f>IFERROR(__xludf.DUMMYFUNCTION("""COMPUTED_VALUE"""),"")</f>
        <v/>
      </c>
      <c r="AG675" s="1" t="str">
        <f>IFERROR(__xludf.DUMMYFUNCTION("""COMPUTED_VALUE"""),"")</f>
        <v/>
      </c>
      <c r="AH675" s="1" t="str">
        <f>IFERROR(__xludf.DUMMYFUNCTION("""COMPUTED_VALUE"""),"Media Monitoring")</f>
        <v>Media Monitoring</v>
      </c>
      <c r="AI675" s="2" t="str">
        <f>IFERROR(__xludf.DUMMYFUNCTION("""COMPUTED_VALUE"""),"https://www.datacenterdynamics.com/en/news/aligned-acquires-third-site-in-ohio-for-data-center-development-report/")</f>
        <v>https://www.datacenterdynamics.com/en/news/aligned-acquires-third-site-in-ohio-for-data-center-development-report/</v>
      </c>
      <c r="AJ675" s="1" t="str">
        <f>IFERROR(__xludf.DUMMYFUNCTION("""COMPUTED_VALUE"""),"")</f>
        <v/>
      </c>
      <c r="AK675" s="1" t="str">
        <f>IFERROR(__xludf.DUMMYFUNCTION("""COMPUTED_VALUE"""),"")</f>
        <v/>
      </c>
      <c r="AL675" s="1" t="str">
        <f>IFERROR(__xludf.DUMMYFUNCTION("""COMPUTED_VALUE"""),"")</f>
        <v/>
      </c>
      <c r="AM675" s="1" t="str">
        <f>IFERROR(__xludf.DUMMYFUNCTION("""COMPUTED_VALUE"""),"")</f>
        <v/>
      </c>
      <c r="AN675" s="1" t="str">
        <f>IFERROR(__xludf.DUMMYFUNCTION("""COMPUTED_VALUE"""),"")</f>
        <v/>
      </c>
      <c r="AO675" s="1" t="str">
        <f>IFERROR(__xludf.DUMMYFUNCTION("""COMPUTED_VALUE"""),"")</f>
        <v/>
      </c>
      <c r="AP675" s="1" t="str">
        <f>IFERROR(__xludf.DUMMYFUNCTION("""COMPUTED_VALUE"""),"")</f>
        <v/>
      </c>
      <c r="AQ675" s="1" t="str">
        <f>IFERROR(__xludf.DUMMYFUNCTION("""COMPUTED_VALUE"""),"05/26/2025")</f>
        <v>05/26/2025</v>
      </c>
      <c r="AR675" s="1" t="str">
        <f>IFERROR(__xludf.DUMMYFUNCTION("""COMPUTED_VALUE"""),"05/26/2025")</f>
        <v>05/26/2025</v>
      </c>
    </row>
    <row r="676">
      <c r="A676" s="1" t="str">
        <f>IFERROR(__xludf.DUMMYFUNCTION("""COMPUTED_VALUE"""),"Microsoft Columbus Data Center")</f>
        <v>Microsoft Columbus Data Center</v>
      </c>
      <c r="B676" s="1" t="str">
        <f>IFERROR(__xludf.DUMMYFUNCTION("""COMPUTED_VALUE"""),"")</f>
        <v/>
      </c>
      <c r="C676" s="1" t="str">
        <f>IFERROR(__xludf.DUMMYFUNCTION("""COMPUTED_VALUE"""),"Columbus")</f>
        <v>Columbus</v>
      </c>
      <c r="D676" s="1" t="str">
        <f>IFERROR(__xludf.DUMMYFUNCTION("""COMPUTED_VALUE"""),"OH")</f>
        <v>OH</v>
      </c>
      <c r="E676" s="1" t="str">
        <f>IFERROR(__xludf.DUMMYFUNCTION("""COMPUTED_VALUE"""),"")</f>
        <v/>
      </c>
      <c r="F676" s="1" t="str">
        <f>IFERROR(__xludf.DUMMYFUNCTION("""COMPUTED_VALUE"""),"Franklin")</f>
        <v>Franklin</v>
      </c>
      <c r="G676" s="1" t="str">
        <f>IFERROR(__xludf.DUMMYFUNCTION("""COMPUTED_VALUE"""),"39.96418")</f>
        <v>39.96418</v>
      </c>
      <c r="H676" s="1" t="str">
        <f>IFERROR(__xludf.DUMMYFUNCTION("""COMPUTED_VALUE"""),"-83.0171")</f>
        <v>-83.0171</v>
      </c>
      <c r="I676" s="1" t="str">
        <f>IFERROR(__xludf.DUMMYFUNCTION("""COMPUTED_VALUE"""),"Suspended")</f>
        <v>Suspended</v>
      </c>
      <c r="J676" s="1" t="str">
        <f>IFERROR(__xludf.DUMMYFUNCTION("""COMPUTED_VALUE"""),"Low")</f>
        <v>Low</v>
      </c>
      <c r="K676" s="1" t="str">
        <f>IFERROR(__xludf.DUMMYFUNCTION("""COMPUTED_VALUE"""),"")</f>
        <v/>
      </c>
      <c r="L676" s="1" t="str">
        <f>IFERROR(__xludf.DUMMYFUNCTION("""COMPUTED_VALUE"""),"Microsoft")</f>
        <v>Microsoft</v>
      </c>
      <c r="M676" s="1" t="str">
        <f>IFERROR(__xludf.DUMMYFUNCTION("""COMPUTED_VALUE"""),"")</f>
        <v/>
      </c>
      <c r="N676" s="1" t="str">
        <f>IFERROR(__xludf.DUMMYFUNCTION("""COMPUTED_VALUE"""),"")</f>
        <v/>
      </c>
      <c r="O676" s="1" t="str">
        <f>IFERROR(__xludf.DUMMYFUNCTION("""COMPUTED_VALUE"""),"Unknown")</f>
        <v>Unknown</v>
      </c>
      <c r="P676" s="1" t="str">
        <f>IFERROR(__xludf.DUMMYFUNCTION("""COMPUTED_VALUE"""),"")</f>
        <v/>
      </c>
      <c r="Q676" s="1" t="str">
        <f>IFERROR(__xludf.DUMMYFUNCTION("""COMPUTED_VALUE"""),"")</f>
        <v/>
      </c>
      <c r="R676" s="1" t="str">
        <f>IFERROR(__xludf.DUMMYFUNCTION("""COMPUTED_VALUE"""),"")</f>
        <v/>
      </c>
      <c r="S676" s="1" t="str">
        <f>IFERROR(__xludf.DUMMYFUNCTION("""COMPUTED_VALUE"""),"")</f>
        <v/>
      </c>
      <c r="T676" s="1" t="str">
        <f>IFERROR(__xludf.DUMMYFUNCTION("""COMPUTED_VALUE"""),"")</f>
        <v/>
      </c>
      <c r="U676" s="1" t="str">
        <f>IFERROR(__xludf.DUMMYFUNCTION("""COMPUTED_VALUE"""),"")</f>
        <v/>
      </c>
      <c r="V676" s="1" t="str">
        <f>IFERROR(__xludf.DUMMYFUNCTION("""COMPUTED_VALUE"""),"")</f>
        <v/>
      </c>
      <c r="W676" s="1" t="str">
        <f>IFERROR(__xludf.DUMMYFUNCTION("""COMPUTED_VALUE"""),"")</f>
        <v/>
      </c>
      <c r="X676" s="1" t="str">
        <f>IFERROR(__xludf.DUMMYFUNCTION("""COMPUTED_VALUE"""),"")</f>
        <v/>
      </c>
      <c r="Y676" s="1" t="str">
        <f>IFERROR(__xludf.DUMMYFUNCTION("""COMPUTED_VALUE"""),"")</f>
        <v/>
      </c>
      <c r="Z676" s="1" t="str">
        <f>IFERROR(__xludf.DUMMYFUNCTION("""COMPUTED_VALUE"""),"Unknown")</f>
        <v>Unknown</v>
      </c>
      <c r="AA676" s="1" t="str">
        <f>IFERROR(__xludf.DUMMYFUNCTION("""COMPUTED_VALUE"""),"")</f>
        <v/>
      </c>
      <c r="AB676" s="1" t="str">
        <f>IFERROR(__xludf.DUMMYFUNCTION("""COMPUTED_VALUE"""),"")</f>
        <v/>
      </c>
      <c r="AC676" s="1" t="str">
        <f>IFERROR(__xludf.DUMMYFUNCTION("""COMPUTED_VALUE"""),"")</f>
        <v/>
      </c>
      <c r="AD676" s="1" t="str">
        <f>IFERROR(__xludf.DUMMYFUNCTION("""COMPUTED_VALUE"""),"")</f>
        <v/>
      </c>
      <c r="AE676" s="1" t="str">
        <f>IFERROR(__xludf.DUMMYFUNCTION("""COMPUTED_VALUE"""),"")</f>
        <v/>
      </c>
      <c r="AF676" s="1" t="str">
        <f>IFERROR(__xludf.DUMMYFUNCTION("""COMPUTED_VALUE"""),"")</f>
        <v/>
      </c>
      <c r="AG676" s="1" t="str">
        <f>IFERROR(__xludf.DUMMYFUNCTION("""COMPUTED_VALUE"""),"")</f>
        <v/>
      </c>
      <c r="AH676" s="1" t="str">
        <f>IFERROR(__xludf.DUMMYFUNCTION("""COMPUTED_VALUE"""),"Media Monitoring")</f>
        <v>Media Monitoring</v>
      </c>
      <c r="AI676" s="2" t="str">
        <f>IFERROR(__xludf.DUMMYFUNCTION("""COMPUTED_VALUE"""),"https://marcellusdrilling.com/2025/04/microsoft-hits-pause-button-on-1b-data-centers-near-columbus-oh/")</f>
        <v>https://marcellusdrilling.com/2025/04/microsoft-hits-pause-button-on-1b-data-centers-near-columbus-oh/</v>
      </c>
      <c r="AJ676" s="2" t="str">
        <f>IFERROR(__xludf.DUMMYFUNCTION("""COMPUTED_VALUE"""),"https://www.dispatch.com/story/business/2025/04/07/microsoft-backs-out-of-plans-to-build-data-centers-in-licking-county/82973097007/")</f>
        <v>https://www.dispatch.com/story/business/2025/04/07/microsoft-backs-out-of-plans-to-build-data-centers-in-licking-county/82973097007/</v>
      </c>
      <c r="AK676" s="1" t="str">
        <f>IFERROR(__xludf.DUMMYFUNCTION("""COMPUTED_VALUE"""),"")</f>
        <v/>
      </c>
      <c r="AL676" s="1" t="str">
        <f>IFERROR(__xludf.DUMMYFUNCTION("""COMPUTED_VALUE"""),"")</f>
        <v/>
      </c>
      <c r="AM676" s="1" t="str">
        <f>IFERROR(__xludf.DUMMYFUNCTION("""COMPUTED_VALUE"""),"")</f>
        <v/>
      </c>
      <c r="AN676" s="1" t="str">
        <f>IFERROR(__xludf.DUMMYFUNCTION("""COMPUTED_VALUE"""),"")</f>
        <v/>
      </c>
      <c r="AO676" s="1" t="str">
        <f>IFERROR(__xludf.DUMMYFUNCTION("""COMPUTED_VALUE"""),"")</f>
        <v/>
      </c>
      <c r="AP676" s="1" t="str">
        <f>IFERROR(__xludf.DUMMYFUNCTION("""COMPUTED_VALUE"""),"")</f>
        <v/>
      </c>
      <c r="AQ676" s="1" t="str">
        <f>IFERROR(__xludf.DUMMYFUNCTION("""COMPUTED_VALUE"""),"")</f>
        <v/>
      </c>
      <c r="AR676" s="1" t="str">
        <f>IFERROR(__xludf.DUMMYFUNCTION("""COMPUTED_VALUE"""),"")</f>
        <v/>
      </c>
    </row>
    <row r="677">
      <c r="A677" s="1" t="str">
        <f>IFERROR(__xludf.DUMMYFUNCTION("""COMPUTED_VALUE"""),"Microsoft Licking County Data Center")</f>
        <v>Microsoft Licking County Data Center</v>
      </c>
      <c r="B677" s="1" t="str">
        <f>IFERROR(__xludf.DUMMYFUNCTION("""COMPUTED_VALUE"""),"")</f>
        <v/>
      </c>
      <c r="C677" s="1" t="str">
        <f>IFERROR(__xludf.DUMMYFUNCTION("""COMPUTED_VALUE"""),"Columbus")</f>
        <v>Columbus</v>
      </c>
      <c r="D677" s="1" t="str">
        <f>IFERROR(__xludf.DUMMYFUNCTION("""COMPUTED_VALUE"""),"OH")</f>
        <v>OH</v>
      </c>
      <c r="E677" s="1" t="str">
        <f>IFERROR(__xludf.DUMMYFUNCTION("""COMPUTED_VALUE"""),"")</f>
        <v/>
      </c>
      <c r="F677" s="1" t="str">
        <f>IFERROR(__xludf.DUMMYFUNCTION("""COMPUTED_VALUE"""),"Franklin")</f>
        <v>Franklin</v>
      </c>
      <c r="G677" s="1" t="str">
        <f>IFERROR(__xludf.DUMMYFUNCTION("""COMPUTED_VALUE"""),"39.96418")</f>
        <v>39.96418</v>
      </c>
      <c r="H677" s="1" t="str">
        <f>IFERROR(__xludf.DUMMYFUNCTION("""COMPUTED_VALUE"""),"-83.0171")</f>
        <v>-83.0171</v>
      </c>
      <c r="I677" s="1" t="str">
        <f>IFERROR(__xludf.DUMMYFUNCTION("""COMPUTED_VALUE"""),"Cancelled")</f>
        <v>Cancelled</v>
      </c>
      <c r="J677" s="1" t="str">
        <f>IFERROR(__xludf.DUMMYFUNCTION("""COMPUTED_VALUE"""),"Low")</f>
        <v>Low</v>
      </c>
      <c r="K677" s="1" t="str">
        <f>IFERROR(__xludf.DUMMYFUNCTION("""COMPUTED_VALUE"""),"")</f>
        <v/>
      </c>
      <c r="L677" s="1" t="str">
        <f>IFERROR(__xludf.DUMMYFUNCTION("""COMPUTED_VALUE"""),"Microsoft")</f>
        <v>Microsoft</v>
      </c>
      <c r="M677" s="1" t="str">
        <f>IFERROR(__xludf.DUMMYFUNCTION("""COMPUTED_VALUE"""),"")</f>
        <v/>
      </c>
      <c r="N677" s="1" t="str">
        <f>IFERROR(__xludf.DUMMYFUNCTION("""COMPUTED_VALUE"""),"")</f>
        <v/>
      </c>
      <c r="O677" s="1" t="str">
        <f>IFERROR(__xludf.DUMMYFUNCTION("""COMPUTED_VALUE"""),"Unknown")</f>
        <v>Unknown</v>
      </c>
      <c r="P677" s="1" t="str">
        <f>IFERROR(__xludf.DUMMYFUNCTION("""COMPUTED_VALUE"""),"")</f>
        <v/>
      </c>
      <c r="Q677" s="1" t="str">
        <f>IFERROR(__xludf.DUMMYFUNCTION("""COMPUTED_VALUE"""),"")</f>
        <v/>
      </c>
      <c r="R677" s="1" t="str">
        <f>IFERROR(__xludf.DUMMYFUNCTION("""COMPUTED_VALUE"""),"")</f>
        <v/>
      </c>
      <c r="S677" s="1" t="str">
        <f>IFERROR(__xludf.DUMMYFUNCTION("""COMPUTED_VALUE"""),"")</f>
        <v/>
      </c>
      <c r="T677" s="1" t="str">
        <f>IFERROR(__xludf.DUMMYFUNCTION("""COMPUTED_VALUE"""),"")</f>
        <v/>
      </c>
      <c r="U677" s="1" t="str">
        <f>IFERROR(__xludf.DUMMYFUNCTION("""COMPUTED_VALUE"""),"")</f>
        <v/>
      </c>
      <c r="V677" s="1" t="str">
        <f>IFERROR(__xludf.DUMMYFUNCTION("""COMPUTED_VALUE"""),"")</f>
        <v/>
      </c>
      <c r="W677" s="1" t="str">
        <f>IFERROR(__xludf.DUMMYFUNCTION("""COMPUTED_VALUE"""),"")</f>
        <v/>
      </c>
      <c r="X677" s="1" t="str">
        <f>IFERROR(__xludf.DUMMYFUNCTION("""COMPUTED_VALUE"""),"$1 billion")</f>
        <v>$1 billion</v>
      </c>
      <c r="Y677" s="1" t="str">
        <f>IFERROR(__xludf.DUMMYFUNCTION("""COMPUTED_VALUE"""),"")</f>
        <v/>
      </c>
      <c r="Z677" s="1" t="str">
        <f>IFERROR(__xludf.DUMMYFUNCTION("""COMPUTED_VALUE"""),"Unknown")</f>
        <v>Unknown</v>
      </c>
      <c r="AA677" s="1" t="str">
        <f>IFERROR(__xludf.DUMMYFUNCTION("""COMPUTED_VALUE"""),"")</f>
        <v/>
      </c>
      <c r="AB677" s="1" t="str">
        <f>IFERROR(__xludf.DUMMYFUNCTION("""COMPUTED_VALUE"""),"")</f>
        <v/>
      </c>
      <c r="AC677" s="1" t="str">
        <f>IFERROR(__xludf.DUMMYFUNCTION("""COMPUTED_VALUE"""),"")</f>
        <v/>
      </c>
      <c r="AD677" s="1" t="str">
        <f>IFERROR(__xludf.DUMMYFUNCTION("""COMPUTED_VALUE"""),"")</f>
        <v/>
      </c>
      <c r="AE677" s="1" t="str">
        <f>IFERROR(__xludf.DUMMYFUNCTION("""COMPUTED_VALUE"""),"")</f>
        <v/>
      </c>
      <c r="AF677" s="1" t="str">
        <f>IFERROR(__xludf.DUMMYFUNCTION("""COMPUTED_VALUE"""),"")</f>
        <v/>
      </c>
      <c r="AG677" s="1" t="str">
        <f>IFERROR(__xludf.DUMMYFUNCTION("""COMPUTED_VALUE"""),"3 campuses were planned")</f>
        <v>3 campuses were planned</v>
      </c>
      <c r="AH677" s="1" t="str">
        <f>IFERROR(__xludf.DUMMYFUNCTION("""COMPUTED_VALUE"""),"Media Monitoring")</f>
        <v>Media Monitoring</v>
      </c>
      <c r="AI677" s="2" t="str">
        <f>IFERROR(__xludf.DUMMYFUNCTION("""COMPUTED_VALUE"""),"https://marcellusdrilling.com/2025/04/microsoft-hits-pause-button-on-1b-data-centers-near-columbus-oh/")</f>
        <v>https://marcellusdrilling.com/2025/04/microsoft-hits-pause-button-on-1b-data-centers-near-columbus-oh/</v>
      </c>
      <c r="AJ677" s="2" t="str">
        <f>IFERROR(__xludf.DUMMYFUNCTION("""COMPUTED_VALUE"""),"https://www.dispatch.com/story/business/2025/04/07/microsoft-backs-out-of-plans-to-build-data-centers-in-licking-county/82973097007/")</f>
        <v>https://www.dispatch.com/story/business/2025/04/07/microsoft-backs-out-of-plans-to-build-data-centers-in-licking-county/82973097007/</v>
      </c>
      <c r="AK677" s="1" t="str">
        <f>IFERROR(__xludf.DUMMYFUNCTION("""COMPUTED_VALUE"""),"")</f>
        <v/>
      </c>
      <c r="AL677" s="1" t="str">
        <f>IFERROR(__xludf.DUMMYFUNCTION("""COMPUTED_VALUE"""),"")</f>
        <v/>
      </c>
      <c r="AM677" s="1" t="str">
        <f>IFERROR(__xludf.DUMMYFUNCTION("""COMPUTED_VALUE"""),"")</f>
        <v/>
      </c>
      <c r="AN677" s="1" t="str">
        <f>IFERROR(__xludf.DUMMYFUNCTION("""COMPUTED_VALUE"""),"")</f>
        <v/>
      </c>
      <c r="AO677" s="1" t="str">
        <f>IFERROR(__xludf.DUMMYFUNCTION("""COMPUTED_VALUE"""),"")</f>
        <v/>
      </c>
      <c r="AP677" s="1" t="str">
        <f>IFERROR(__xludf.DUMMYFUNCTION("""COMPUTED_VALUE"""),"")</f>
        <v/>
      </c>
      <c r="AQ677" s="1" t="str">
        <f>IFERROR(__xludf.DUMMYFUNCTION("""COMPUTED_VALUE"""),"")</f>
        <v/>
      </c>
      <c r="AR677" s="1" t="str">
        <f>IFERROR(__xludf.DUMMYFUNCTION("""COMPUTED_VALUE"""),"")</f>
        <v/>
      </c>
    </row>
    <row r="678">
      <c r="A678" s="1" t="str">
        <f>IFERROR(__xludf.DUMMYFUNCTION("""COMPUTED_VALUE"""),"Aligned Data Center")</f>
        <v>Aligned Data Center</v>
      </c>
      <c r="B678" s="1" t="str">
        <f>IFERROR(__xludf.DUMMYFUNCTION("""COMPUTED_VALUE"""),"Conesville Industrial Park, 47201 Co Rd 273")</f>
        <v>Conesville Industrial Park, 47201 Co Rd 273</v>
      </c>
      <c r="C678" s="1" t="str">
        <f>IFERROR(__xludf.DUMMYFUNCTION("""COMPUTED_VALUE"""),"Conesville")</f>
        <v>Conesville</v>
      </c>
      <c r="D678" s="1" t="str">
        <f>IFERROR(__xludf.DUMMYFUNCTION("""COMPUTED_VALUE"""),"OH")</f>
        <v>OH</v>
      </c>
      <c r="E678" s="1" t="str">
        <f>IFERROR(__xludf.DUMMYFUNCTION("""COMPUTED_VALUE"""),"43811")</f>
        <v>43811</v>
      </c>
      <c r="F678" s="1" t="str">
        <f>IFERROR(__xludf.DUMMYFUNCTION("""COMPUTED_VALUE"""),"Coshocton")</f>
        <v>Coshocton</v>
      </c>
      <c r="G678" s="1" t="str">
        <f>IFERROR(__xludf.DUMMYFUNCTION("""COMPUTED_VALUE"""),"40.18911")</f>
        <v>40.18911</v>
      </c>
      <c r="H678" s="1" t="str">
        <f>IFERROR(__xludf.DUMMYFUNCTION("""COMPUTED_VALUE"""),"-81.8728")</f>
        <v>-81.8728</v>
      </c>
      <c r="I678" s="1" t="str">
        <f>IFERROR(__xludf.DUMMYFUNCTION("""COMPUTED_VALUE"""),"Proposed")</f>
        <v>Proposed</v>
      </c>
      <c r="J678" s="1" t="str">
        <f>IFERROR(__xludf.DUMMYFUNCTION("""COMPUTED_VALUE"""),"High")</f>
        <v>High</v>
      </c>
      <c r="K678" s="1" t="str">
        <f>IFERROR(__xludf.DUMMYFUNCTION("""COMPUTED_VALUE"""),"")</f>
        <v/>
      </c>
      <c r="L678" s="1" t="str">
        <f>IFERROR(__xludf.DUMMYFUNCTION("""COMPUTED_VALUE"""),"")</f>
        <v/>
      </c>
      <c r="M678" s="1" t="str">
        <f>IFERROR(__xludf.DUMMYFUNCTION("""COMPUTED_VALUE"""),"")</f>
        <v/>
      </c>
      <c r="N678" s="1" t="str">
        <f>IFERROR(__xludf.DUMMYFUNCTION("""COMPUTED_VALUE"""),"")</f>
        <v/>
      </c>
      <c r="O678" s="1" t="str">
        <f>IFERROR(__xludf.DUMMYFUNCTION("""COMPUTED_VALUE"""),"Unknown")</f>
        <v>Unknown</v>
      </c>
      <c r="P678" s="1" t="str">
        <f>IFERROR(__xludf.DUMMYFUNCTION("""COMPUTED_VALUE"""),"")</f>
        <v/>
      </c>
      <c r="Q678" s="1" t="str">
        <f>IFERROR(__xludf.DUMMYFUNCTION("""COMPUTED_VALUE"""),"")</f>
        <v/>
      </c>
      <c r="R678" s="1" t="str">
        <f>IFERROR(__xludf.DUMMYFUNCTION("""COMPUTED_VALUE"""),"")</f>
        <v/>
      </c>
      <c r="S678" s="1" t="str">
        <f>IFERROR(__xludf.DUMMYFUNCTION("""COMPUTED_VALUE"""),"")</f>
        <v/>
      </c>
      <c r="T678" s="1" t="str">
        <f>IFERROR(__xludf.DUMMYFUNCTION("""COMPUTED_VALUE"""),"")</f>
        <v/>
      </c>
      <c r="U678" s="1" t="str">
        <f>IFERROR(__xludf.DUMMYFUNCTION("""COMPUTED_VALUE"""),"")</f>
        <v/>
      </c>
      <c r="V678" s="1" t="str">
        <f>IFERROR(__xludf.DUMMYFUNCTION("""COMPUTED_VALUE"""),"")</f>
        <v/>
      </c>
      <c r="W678" s="1" t="str">
        <f>IFERROR(__xludf.DUMMYFUNCTION("""COMPUTED_VALUE"""),"197")</f>
        <v>197</v>
      </c>
      <c r="X678" s="1" t="str">
        <f>IFERROR(__xludf.DUMMYFUNCTION("""COMPUTED_VALUE"""),"")</f>
        <v/>
      </c>
      <c r="Y678" s="1" t="str">
        <f>IFERROR(__xludf.DUMMYFUNCTION("""COMPUTED_VALUE"""),"")</f>
        <v/>
      </c>
      <c r="Z678" s="1" t="str">
        <f>IFERROR(__xludf.DUMMYFUNCTION("""COMPUTED_VALUE"""),"Unknown")</f>
        <v>Unknown</v>
      </c>
      <c r="AA678" s="1" t="str">
        <f>IFERROR(__xludf.DUMMYFUNCTION("""COMPUTED_VALUE"""),"")</f>
        <v/>
      </c>
      <c r="AB678" s="1" t="str">
        <f>IFERROR(__xludf.DUMMYFUNCTION("""COMPUTED_VALUE"""),"")</f>
        <v/>
      </c>
      <c r="AC678" s="1" t="str">
        <f>IFERROR(__xludf.DUMMYFUNCTION("""COMPUTED_VALUE"""),"")</f>
        <v/>
      </c>
      <c r="AD678" s="1" t="str">
        <f>IFERROR(__xludf.DUMMYFUNCTION("""COMPUTED_VALUE"""),"")</f>
        <v/>
      </c>
      <c r="AE678" s="1" t="str">
        <f>IFERROR(__xludf.DUMMYFUNCTION("""COMPUTED_VALUE"""),"")</f>
        <v/>
      </c>
      <c r="AF678" s="1" t="str">
        <f>IFERROR(__xludf.DUMMYFUNCTION("""COMPUTED_VALUE"""),"")</f>
        <v/>
      </c>
      <c r="AG678" s="1" t="str">
        <f>IFERROR(__xludf.DUMMYFUNCTION("""COMPUTED_VALUE"""),"adjacent to the former AEP Conesville Power Plant")</f>
        <v>adjacent to the former AEP Conesville Power Plant</v>
      </c>
      <c r="AH678" s="1" t="str">
        <f>IFERROR(__xludf.DUMMYFUNCTION("""COMPUTED_VALUE"""),"Media Monitoring")</f>
        <v>Media Monitoring</v>
      </c>
      <c r="AI678" s="2" t="str">
        <f>IFERROR(__xludf.DUMMYFUNCTION("""COMPUTED_VALUE"""),"https://www.datacenterdynamics.com/en/news/aligned-acquires-third-site-in-ohio-for-data-center-development-report/")</f>
        <v>https://www.datacenterdynamics.com/en/news/aligned-acquires-third-site-in-ohio-for-data-center-development-report/</v>
      </c>
      <c r="AJ678" s="2" t="str">
        <f>IFERROR(__xludf.DUMMYFUNCTION("""COMPUTED_VALUE"""),"https://www.datacenterdynamics.com/en/news/aligned-to-develop-200-acre-data-center-campus-in-coshocton-ohio/")</f>
        <v>https://www.datacenterdynamics.com/en/news/aligned-to-develop-200-acre-data-center-campus-in-coshocton-ohio/</v>
      </c>
      <c r="AK678" s="1" t="str">
        <f>IFERROR(__xludf.DUMMYFUNCTION("""COMPUTED_VALUE"""),"")</f>
        <v/>
      </c>
      <c r="AL678" s="1" t="str">
        <f>IFERROR(__xludf.DUMMYFUNCTION("""COMPUTED_VALUE"""),"")</f>
        <v/>
      </c>
      <c r="AM678" s="1" t="str">
        <f>IFERROR(__xludf.DUMMYFUNCTION("""COMPUTED_VALUE"""),"")</f>
        <v/>
      </c>
      <c r="AN678" s="1" t="str">
        <f>IFERROR(__xludf.DUMMYFUNCTION("""COMPUTED_VALUE"""),"")</f>
        <v/>
      </c>
      <c r="AO678" s="1" t="str">
        <f>IFERROR(__xludf.DUMMYFUNCTION("""COMPUTED_VALUE"""),"")</f>
        <v/>
      </c>
      <c r="AP678" s="1" t="str">
        <f>IFERROR(__xludf.DUMMYFUNCTION("""COMPUTED_VALUE"""),"")</f>
        <v/>
      </c>
      <c r="AQ678" s="1" t="str">
        <f>IFERROR(__xludf.DUMMYFUNCTION("""COMPUTED_VALUE"""),"08/01/2025")</f>
        <v>08/01/2025</v>
      </c>
      <c r="AR678" s="1" t="str">
        <f>IFERROR(__xludf.DUMMYFUNCTION("""COMPUTED_VALUE"""),"08/01/2025")</f>
        <v>08/01/2025</v>
      </c>
    </row>
    <row r="679">
      <c r="A679" s="1" t="str">
        <f>IFERROR(__xludf.DUMMYFUNCTION("""COMPUTED_VALUE"""),"CMH2")</f>
        <v>CMH2</v>
      </c>
      <c r="B679" s="1" t="str">
        <f>IFERROR(__xludf.DUMMYFUNCTION("""COMPUTED_VALUE"""),"5700 Innovation Dr")</f>
        <v>5700 Innovation Dr</v>
      </c>
      <c r="C679" s="1" t="str">
        <f>IFERROR(__xludf.DUMMYFUNCTION("""COMPUTED_VALUE"""),"Dublin")</f>
        <v>Dublin</v>
      </c>
      <c r="D679" s="1" t="str">
        <f>IFERROR(__xludf.DUMMYFUNCTION("""COMPUTED_VALUE"""),"OH")</f>
        <v>OH</v>
      </c>
      <c r="E679" s="1" t="str">
        <f>IFERROR(__xludf.DUMMYFUNCTION("""COMPUTED_VALUE"""),"43016")</f>
        <v>43016</v>
      </c>
      <c r="F679" s="1" t="str">
        <f>IFERROR(__xludf.DUMMYFUNCTION("""COMPUTED_VALUE"""),"Franklin")</f>
        <v>Franklin</v>
      </c>
      <c r="G679" s="1" t="str">
        <f>IFERROR(__xludf.DUMMYFUNCTION("""COMPUTED_VALUE"""),"40.09205")</f>
        <v>40.09205</v>
      </c>
      <c r="H679" s="1" t="str">
        <f>IFERROR(__xludf.DUMMYFUNCTION("""COMPUTED_VALUE"""),"-83.1436")</f>
        <v>-83.1436</v>
      </c>
      <c r="I679" s="1" t="str">
        <f>IFERROR(__xludf.DUMMYFUNCTION("""COMPUTED_VALUE"""),"Operating")</f>
        <v>Operating</v>
      </c>
      <c r="J679" s="1" t="str">
        <f>IFERROR(__xludf.DUMMYFUNCTION("""COMPUTED_VALUE"""),"High")</f>
        <v>High</v>
      </c>
      <c r="K679" s="1" t="str">
        <f>IFERROR(__xludf.DUMMYFUNCTION("""COMPUTED_VALUE"""),"")</f>
        <v/>
      </c>
      <c r="L679" s="1" t="str">
        <f>IFERROR(__xludf.DUMMYFUNCTION("""COMPUTED_VALUE"""),"")</f>
        <v/>
      </c>
      <c r="M679" s="1" t="str">
        <f>IFERROR(__xludf.DUMMYFUNCTION("""COMPUTED_VALUE"""),"")</f>
        <v/>
      </c>
      <c r="N679" s="1" t="str">
        <f>IFERROR(__xludf.DUMMYFUNCTION("""COMPUTED_VALUE"""),"4.8")</f>
        <v>4.8</v>
      </c>
      <c r="O679" s="1" t="str">
        <f>IFERROR(__xludf.DUMMYFUNCTION("""COMPUTED_VALUE"""),"Small (0-10 MW)")</f>
        <v>Small (0-10 MW)</v>
      </c>
      <c r="P679" s="1" t="str">
        <f>IFERROR(__xludf.DUMMYFUNCTION("""COMPUTED_VALUE"""),"")</f>
        <v/>
      </c>
      <c r="Q679" s="1" t="str">
        <f>IFERROR(__xludf.DUMMYFUNCTION("""COMPUTED_VALUE"""),"")</f>
        <v/>
      </c>
      <c r="R679" s="1" t="str">
        <f>IFERROR(__xludf.DUMMYFUNCTION("""COMPUTED_VALUE"""),"")</f>
        <v/>
      </c>
      <c r="S679" s="1" t="str">
        <f>IFERROR(__xludf.DUMMYFUNCTION("""COMPUTED_VALUE"""),"")</f>
        <v/>
      </c>
      <c r="T679" s="1" t="str">
        <f>IFERROR(__xludf.DUMMYFUNCTION("""COMPUTED_VALUE"""),"")</f>
        <v/>
      </c>
      <c r="U679" s="1" t="str">
        <f>IFERROR(__xludf.DUMMYFUNCTION("""COMPUTED_VALUE"""),"")</f>
        <v/>
      </c>
      <c r="V679" s="1" t="str">
        <f>IFERROR(__xludf.DUMMYFUNCTION("""COMPUTED_VALUE"""),"29,208")</f>
        <v>29,208</v>
      </c>
      <c r="W679" s="1" t="str">
        <f>IFERROR(__xludf.DUMMYFUNCTION("""COMPUTED_VALUE"""),"")</f>
        <v/>
      </c>
      <c r="X679" s="1" t="str">
        <f>IFERROR(__xludf.DUMMYFUNCTION("""COMPUTED_VALUE"""),"")</f>
        <v/>
      </c>
      <c r="Y679" s="1" t="str">
        <f>IFERROR(__xludf.DUMMYFUNCTION("""COMPUTED_VALUE"""),"")</f>
        <v/>
      </c>
      <c r="Z679" s="1" t="str">
        <f>IFERROR(__xludf.DUMMYFUNCTION("""COMPUTED_VALUE"""),"Unknown")</f>
        <v>Unknown</v>
      </c>
      <c r="AA679" s="1" t="str">
        <f>IFERROR(__xludf.DUMMYFUNCTION("""COMPUTED_VALUE"""),"")</f>
        <v/>
      </c>
      <c r="AB679" s="1" t="str">
        <f>IFERROR(__xludf.DUMMYFUNCTION("""COMPUTED_VALUE"""),"")</f>
        <v/>
      </c>
      <c r="AC679" s="1" t="str">
        <f>IFERROR(__xludf.DUMMYFUNCTION("""COMPUTED_VALUE"""),"")</f>
        <v/>
      </c>
      <c r="AD679" s="1" t="str">
        <f>IFERROR(__xludf.DUMMYFUNCTION("""COMPUTED_VALUE"""),"")</f>
        <v/>
      </c>
      <c r="AE679" s="1" t="str">
        <f>IFERROR(__xludf.DUMMYFUNCTION("""COMPUTED_VALUE"""),"")</f>
        <v/>
      </c>
      <c r="AF679" s="1" t="str">
        <f>IFERROR(__xludf.DUMMYFUNCTION("""COMPUTED_VALUE"""),"")</f>
        <v/>
      </c>
      <c r="AG679" s="1" t="str">
        <f>IFERROR(__xludf.DUMMYFUNCTION("""COMPUTED_VALUE"""),"")</f>
        <v/>
      </c>
      <c r="AH679" s="1" t="str">
        <f>IFERROR(__xludf.DUMMYFUNCTION("""COMPUTED_VALUE"""),"Media Monitoring")</f>
        <v>Media Monitoring</v>
      </c>
      <c r="AI679" s="2" t="str">
        <f>IFERROR(__xludf.DUMMYFUNCTION("""COMPUTED_VALUE"""),"https://www.expedient.com/data-centers/columbus/")</f>
        <v>https://www.expedient.com/data-centers/columbus/</v>
      </c>
      <c r="AJ679" s="1" t="str">
        <f>IFERROR(__xludf.DUMMYFUNCTION("""COMPUTED_VALUE"""),"")</f>
        <v/>
      </c>
      <c r="AK679" s="1" t="str">
        <f>IFERROR(__xludf.DUMMYFUNCTION("""COMPUTED_VALUE"""),"")</f>
        <v/>
      </c>
      <c r="AL679" s="1" t="str">
        <f>IFERROR(__xludf.DUMMYFUNCTION("""COMPUTED_VALUE"""),"")</f>
        <v/>
      </c>
      <c r="AM679" s="1" t="str">
        <f>IFERROR(__xludf.DUMMYFUNCTION("""COMPUTED_VALUE"""),"")</f>
        <v/>
      </c>
      <c r="AN679" s="1" t="str">
        <f>IFERROR(__xludf.DUMMYFUNCTION("""COMPUTED_VALUE"""),"")</f>
        <v/>
      </c>
      <c r="AO679" s="1" t="str">
        <f>IFERROR(__xludf.DUMMYFUNCTION("""COMPUTED_VALUE"""),"")</f>
        <v/>
      </c>
      <c r="AP679" s="1" t="str">
        <f>IFERROR(__xludf.DUMMYFUNCTION("""COMPUTED_VALUE"""),"")</f>
        <v/>
      </c>
      <c r="AQ679" s="1" t="str">
        <f>IFERROR(__xludf.DUMMYFUNCTION("""COMPUTED_VALUE"""),"09/01/2025")</f>
        <v>09/01/2025</v>
      </c>
      <c r="AR679" s="1" t="str">
        <f>IFERROR(__xludf.DUMMYFUNCTION("""COMPUTED_VALUE"""),"09/01/2025")</f>
        <v>09/01/2025</v>
      </c>
    </row>
    <row r="680">
      <c r="A680" s="1" t="str">
        <f>IFERROR(__xludf.DUMMYFUNCTION("""COMPUTED_VALUE"""),"DartPoints Data Center")</f>
        <v>DartPoints Data Center</v>
      </c>
      <c r="B680" s="1" t="str">
        <f>IFERROR(__xludf.DUMMYFUNCTION("""COMPUTED_VALUE"""),"565 Metro Pl S #300")</f>
        <v>565 Metro Pl S #300</v>
      </c>
      <c r="C680" s="1" t="str">
        <f>IFERROR(__xludf.DUMMYFUNCTION("""COMPUTED_VALUE"""),"Dublin")</f>
        <v>Dublin</v>
      </c>
      <c r="D680" s="1" t="str">
        <f>IFERROR(__xludf.DUMMYFUNCTION("""COMPUTED_VALUE"""),"OH")</f>
        <v>OH</v>
      </c>
      <c r="E680" s="1" t="str">
        <f>IFERROR(__xludf.DUMMYFUNCTION("""COMPUTED_VALUE"""),"43017")</f>
        <v>43017</v>
      </c>
      <c r="F680" s="1" t="str">
        <f>IFERROR(__xludf.DUMMYFUNCTION("""COMPUTED_VALUE"""),"Franklin")</f>
        <v>Franklin</v>
      </c>
      <c r="G680" s="1" t="str">
        <f>IFERROR(__xludf.DUMMYFUNCTION("""COMPUTED_VALUE"""),"40.09327")</f>
        <v>40.09327</v>
      </c>
      <c r="H680" s="1" t="str">
        <f>IFERROR(__xludf.DUMMYFUNCTION("""COMPUTED_VALUE"""),"-83.1337")</f>
        <v>-83.1337</v>
      </c>
      <c r="I680" s="1" t="str">
        <f>IFERROR(__xludf.DUMMYFUNCTION("""COMPUTED_VALUE"""),"Operating")</f>
        <v>Operating</v>
      </c>
      <c r="J680" s="1" t="str">
        <f>IFERROR(__xludf.DUMMYFUNCTION("""COMPUTED_VALUE"""),"High")</f>
        <v>High</v>
      </c>
      <c r="K680" s="1" t="str">
        <f>IFERROR(__xludf.DUMMYFUNCTION("""COMPUTED_VALUE"""),"")</f>
        <v/>
      </c>
      <c r="L680" s="1" t="str">
        <f>IFERROR(__xludf.DUMMYFUNCTION("""COMPUTED_VALUE"""),"")</f>
        <v/>
      </c>
      <c r="M680" s="1" t="str">
        <f>IFERROR(__xludf.DUMMYFUNCTION("""COMPUTED_VALUE"""),"")</f>
        <v/>
      </c>
      <c r="N680" s="1" t="str">
        <f>IFERROR(__xludf.DUMMYFUNCTION("""COMPUTED_VALUE"""),"")</f>
        <v/>
      </c>
      <c r="O680" s="1" t="str">
        <f>IFERROR(__xludf.DUMMYFUNCTION("""COMPUTED_VALUE"""),"Unknown")</f>
        <v>Unknown</v>
      </c>
      <c r="P680" s="1" t="str">
        <f>IFERROR(__xludf.DUMMYFUNCTION("""COMPUTED_VALUE"""),"")</f>
        <v/>
      </c>
      <c r="Q680" s="1" t="str">
        <f>IFERROR(__xludf.DUMMYFUNCTION("""COMPUTED_VALUE"""),"")</f>
        <v/>
      </c>
      <c r="R680" s="1" t="str">
        <f>IFERROR(__xludf.DUMMYFUNCTION("""COMPUTED_VALUE"""),"")</f>
        <v/>
      </c>
      <c r="S680" s="1" t="str">
        <f>IFERROR(__xludf.DUMMYFUNCTION("""COMPUTED_VALUE"""),"")</f>
        <v/>
      </c>
      <c r="T680" s="1" t="str">
        <f>IFERROR(__xludf.DUMMYFUNCTION("""COMPUTED_VALUE"""),"")</f>
        <v/>
      </c>
      <c r="U680" s="1" t="str">
        <f>IFERROR(__xludf.DUMMYFUNCTION("""COMPUTED_VALUE"""),"")</f>
        <v/>
      </c>
      <c r="V680" s="1" t="str">
        <f>IFERROR(__xludf.DUMMYFUNCTION("""COMPUTED_VALUE"""),"40,000")</f>
        <v>40,000</v>
      </c>
      <c r="W680" s="1" t="str">
        <f>IFERROR(__xludf.DUMMYFUNCTION("""COMPUTED_VALUE"""),"")</f>
        <v/>
      </c>
      <c r="X680" s="1" t="str">
        <f>IFERROR(__xludf.DUMMYFUNCTION("""COMPUTED_VALUE"""),"")</f>
        <v/>
      </c>
      <c r="Y680" s="1" t="str">
        <f>IFERROR(__xludf.DUMMYFUNCTION("""COMPUTED_VALUE"""),"")</f>
        <v/>
      </c>
      <c r="Z680" s="1" t="str">
        <f>IFERROR(__xludf.DUMMYFUNCTION("""COMPUTED_VALUE"""),"Unknown")</f>
        <v>Unknown</v>
      </c>
      <c r="AA680" s="1" t="str">
        <f>IFERROR(__xludf.DUMMYFUNCTION("""COMPUTED_VALUE"""),"")</f>
        <v/>
      </c>
      <c r="AB680" s="1" t="str">
        <f>IFERROR(__xludf.DUMMYFUNCTION("""COMPUTED_VALUE"""),"")</f>
        <v/>
      </c>
      <c r="AC680" s="1" t="str">
        <f>IFERROR(__xludf.DUMMYFUNCTION("""COMPUTED_VALUE"""),"")</f>
        <v/>
      </c>
      <c r="AD680" s="1" t="str">
        <f>IFERROR(__xludf.DUMMYFUNCTION("""COMPUTED_VALUE"""),"")</f>
        <v/>
      </c>
      <c r="AE680" s="1" t="str">
        <f>IFERROR(__xludf.DUMMYFUNCTION("""COMPUTED_VALUE"""),"")</f>
        <v/>
      </c>
      <c r="AF680" s="1" t="str">
        <f>IFERROR(__xludf.DUMMYFUNCTION("""COMPUTED_VALUE"""),"")</f>
        <v/>
      </c>
      <c r="AG680" s="1" t="str">
        <f>IFERROR(__xludf.DUMMYFUNCTION("""COMPUTED_VALUE"""),"")</f>
        <v/>
      </c>
      <c r="AH680" s="1" t="str">
        <f>IFERROR(__xludf.DUMMYFUNCTION("""COMPUTED_VALUE"""),"Media Monitoring")</f>
        <v>Media Monitoring</v>
      </c>
      <c r="AI680" s="2" t="str">
        <f>IFERROR(__xludf.DUMMYFUNCTION("""COMPUTED_VALUE"""),"https://dartpoints.com/locations/ohio2/")</f>
        <v>https://dartpoints.com/locations/ohio2/</v>
      </c>
      <c r="AJ680" s="1" t="str">
        <f>IFERROR(__xludf.DUMMYFUNCTION("""COMPUTED_VALUE"""),"")</f>
        <v/>
      </c>
      <c r="AK680" s="1" t="str">
        <f>IFERROR(__xludf.DUMMYFUNCTION("""COMPUTED_VALUE"""),"")</f>
        <v/>
      </c>
      <c r="AL680" s="1" t="str">
        <f>IFERROR(__xludf.DUMMYFUNCTION("""COMPUTED_VALUE"""),"")</f>
        <v/>
      </c>
      <c r="AM680" s="1" t="str">
        <f>IFERROR(__xludf.DUMMYFUNCTION("""COMPUTED_VALUE"""),"")</f>
        <v/>
      </c>
      <c r="AN680" s="1" t="str">
        <f>IFERROR(__xludf.DUMMYFUNCTION("""COMPUTED_VALUE"""),"")</f>
        <v/>
      </c>
      <c r="AO680" s="1" t="str">
        <f>IFERROR(__xludf.DUMMYFUNCTION("""COMPUTED_VALUE"""),"")</f>
        <v/>
      </c>
      <c r="AP680" s="1" t="str">
        <f>IFERROR(__xludf.DUMMYFUNCTION("""COMPUTED_VALUE"""),"")</f>
        <v/>
      </c>
      <c r="AQ680" s="1" t="str">
        <f>IFERROR(__xludf.DUMMYFUNCTION("""COMPUTED_VALUE"""),"09/18/2025")</f>
        <v>09/18/2025</v>
      </c>
      <c r="AR680" s="1" t="str">
        <f>IFERROR(__xludf.DUMMYFUNCTION("""COMPUTED_VALUE"""),"09/18/2025")</f>
        <v>09/18/2025</v>
      </c>
    </row>
    <row r="681">
      <c r="A681" s="1" t="str">
        <f>IFERROR(__xludf.DUMMYFUNCTION("""COMPUTED_VALUE"""),"PRSM Data Center")</f>
        <v>PRSM Data Center</v>
      </c>
      <c r="B681" s="1" t="str">
        <f>IFERROR(__xludf.DUMMYFUNCTION("""COMPUTED_VALUE"""),"Off Orphans Rd")</f>
        <v>Off Orphans Rd</v>
      </c>
      <c r="C681" s="1" t="str">
        <f>IFERROR(__xludf.DUMMYFUNCTION("""COMPUTED_VALUE"""),"Eaton")</f>
        <v>Eaton</v>
      </c>
      <c r="D681" s="1" t="str">
        <f>IFERROR(__xludf.DUMMYFUNCTION("""COMPUTED_VALUE"""),"OH")</f>
        <v>OH</v>
      </c>
      <c r="E681" s="1" t="str">
        <f>IFERROR(__xludf.DUMMYFUNCTION("""COMPUTED_VALUE"""),"45320")</f>
        <v>45320</v>
      </c>
      <c r="F681" s="1" t="str">
        <f>IFERROR(__xludf.DUMMYFUNCTION("""COMPUTED_VALUE"""),"Preble")</f>
        <v>Preble</v>
      </c>
      <c r="G681" s="1" t="str">
        <f>IFERROR(__xludf.DUMMYFUNCTION("""COMPUTED_VALUE"""),"39.8307")</f>
        <v>39.8307</v>
      </c>
      <c r="H681" s="1" t="str">
        <f>IFERROR(__xludf.DUMMYFUNCTION("""COMPUTED_VALUE"""),"-84.7197")</f>
        <v>-84.7197</v>
      </c>
      <c r="I681" s="1" t="str">
        <f>IFERROR(__xludf.DUMMYFUNCTION("""COMPUTED_VALUE"""),"Proposed")</f>
        <v>Proposed</v>
      </c>
      <c r="J681" s="1" t="str">
        <f>IFERROR(__xludf.DUMMYFUNCTION("""COMPUTED_VALUE"""),"High")</f>
        <v>High</v>
      </c>
      <c r="K681" s="1" t="str">
        <f>IFERROR(__xludf.DUMMYFUNCTION("""COMPUTED_VALUE"""),"")</f>
        <v/>
      </c>
      <c r="L681" s="1" t="str">
        <f>IFERROR(__xludf.DUMMYFUNCTION("""COMPUTED_VALUE"""),"")</f>
        <v/>
      </c>
      <c r="M681" s="1" t="str">
        <f>IFERROR(__xludf.DUMMYFUNCTION("""COMPUTED_VALUE"""),"")</f>
        <v/>
      </c>
      <c r="N681" s="1" t="str">
        <f>IFERROR(__xludf.DUMMYFUNCTION("""COMPUTED_VALUE"""),"")</f>
        <v/>
      </c>
      <c r="O681" s="1" t="str">
        <f>IFERROR(__xludf.DUMMYFUNCTION("""COMPUTED_VALUE"""),"Hyperscale (100-999 MW)")</f>
        <v>Hyperscale (100-999 MW)</v>
      </c>
      <c r="P681" s="1" t="str">
        <f>IFERROR(__xludf.DUMMYFUNCTION("""COMPUTED_VALUE"""),"")</f>
        <v/>
      </c>
      <c r="Q681" s="1" t="str">
        <f>IFERROR(__xludf.DUMMYFUNCTION("""COMPUTED_VALUE"""),"")</f>
        <v/>
      </c>
      <c r="R681" s="1" t="str">
        <f>IFERROR(__xludf.DUMMYFUNCTION("""COMPUTED_VALUE"""),"")</f>
        <v/>
      </c>
      <c r="S681" s="1" t="str">
        <f>IFERROR(__xludf.DUMMYFUNCTION("""COMPUTED_VALUE"""),"")</f>
        <v/>
      </c>
      <c r="T681" s="1" t="str">
        <f>IFERROR(__xludf.DUMMYFUNCTION("""COMPUTED_VALUE"""),"")</f>
        <v/>
      </c>
      <c r="U681" s="1" t="str">
        <f>IFERROR(__xludf.DUMMYFUNCTION("""COMPUTED_VALUE"""),"")</f>
        <v/>
      </c>
      <c r="V681" s="1" t="str">
        <f>IFERROR(__xludf.DUMMYFUNCTION("""COMPUTED_VALUE"""),"")</f>
        <v/>
      </c>
      <c r="W681" s="1" t="str">
        <f>IFERROR(__xludf.DUMMYFUNCTION("""COMPUTED_VALUE"""),"300")</f>
        <v>300</v>
      </c>
      <c r="X681" s="1" t="str">
        <f>IFERROR(__xludf.DUMMYFUNCTION("""COMPUTED_VALUE"""),"")</f>
        <v/>
      </c>
      <c r="Y681" s="1" t="str">
        <f>IFERROR(__xludf.DUMMYFUNCTION("""COMPUTED_VALUE"""),"")</f>
        <v/>
      </c>
      <c r="Z681" s="1" t="str">
        <f>IFERROR(__xludf.DUMMYFUNCTION("""COMPUTED_VALUE"""),"Unknown")</f>
        <v>Unknown</v>
      </c>
      <c r="AA681" s="1" t="str">
        <f>IFERROR(__xludf.DUMMYFUNCTION("""COMPUTED_VALUE"""),"")</f>
        <v/>
      </c>
      <c r="AB681" s="1" t="str">
        <f>IFERROR(__xludf.DUMMYFUNCTION("""COMPUTED_VALUE"""),"")</f>
        <v/>
      </c>
      <c r="AC681" s="1" t="str">
        <f>IFERROR(__xludf.DUMMYFUNCTION("""COMPUTED_VALUE"""),"")</f>
        <v/>
      </c>
      <c r="AD681" s="1" t="str">
        <f>IFERROR(__xludf.DUMMYFUNCTION("""COMPUTED_VALUE"""),"")</f>
        <v/>
      </c>
      <c r="AE681" s="1" t="str">
        <f>IFERROR(__xludf.DUMMYFUNCTION("""COMPUTED_VALUE"""),"")</f>
        <v/>
      </c>
      <c r="AF681" s="1" t="str">
        <f>IFERROR(__xludf.DUMMYFUNCTION("""COMPUTED_VALUE"""),"")</f>
        <v/>
      </c>
      <c r="AG681" s="1" t="str">
        <f>IFERROR(__xludf.DUMMYFUNCTION("""COMPUTED_VALUE"""),"Community pushback")</f>
        <v>Community pushback</v>
      </c>
      <c r="AH681" s="1" t="str">
        <f>IFERROR(__xludf.DUMMYFUNCTION("""COMPUTED_VALUE"""),"Media Monitoring")</f>
        <v>Media Monitoring</v>
      </c>
      <c r="AI681" s="2" t="str">
        <f>IFERROR(__xludf.DUMMYFUNCTION("""COMPUTED_VALUE"""),"https://www.datacenterdynamics.com/en/news/300-acres-of-land-in-preble-county-ohio-could-host-data-center-campus/")</f>
        <v>https://www.datacenterdynamics.com/en/news/300-acres-of-land-in-preble-county-ohio-could-host-data-center-campus/</v>
      </c>
      <c r="AJ681" s="2" t="str">
        <f>IFERROR(__xludf.DUMMYFUNCTION("""COMPUTED_VALUE"""),"https://www.wdtn.com/news/300-acres-of-farmland-could-be-rezoned-for-new-data-center-near-i-70/")</f>
        <v>https://www.wdtn.com/news/300-acres-of-farmland-could-be-rezoned-for-new-data-center-near-i-70/</v>
      </c>
      <c r="AK681" s="1" t="str">
        <f>IFERROR(__xludf.DUMMYFUNCTION("""COMPUTED_VALUE"""),"")</f>
        <v/>
      </c>
      <c r="AL681" s="1" t="str">
        <f>IFERROR(__xludf.DUMMYFUNCTION("""COMPUTED_VALUE"""),"")</f>
        <v/>
      </c>
      <c r="AM681" s="1" t="str">
        <f>IFERROR(__xludf.DUMMYFUNCTION("""COMPUTED_VALUE"""),"")</f>
        <v/>
      </c>
      <c r="AN681" s="1" t="str">
        <f>IFERROR(__xludf.DUMMYFUNCTION("""COMPUTED_VALUE"""),"")</f>
        <v/>
      </c>
      <c r="AO681" s="1" t="str">
        <f>IFERROR(__xludf.DUMMYFUNCTION("""COMPUTED_VALUE"""),"")</f>
        <v/>
      </c>
      <c r="AP681" s="1" t="str">
        <f>IFERROR(__xludf.DUMMYFUNCTION("""COMPUTED_VALUE"""),"")</f>
        <v/>
      </c>
      <c r="AQ681" s="1" t="str">
        <f>IFERROR(__xludf.DUMMYFUNCTION("""COMPUTED_VALUE"""),"09/08/2025")</f>
        <v>09/08/2025</v>
      </c>
      <c r="AR681" s="1" t="str">
        <f>IFERROR(__xludf.DUMMYFUNCTION("""COMPUTED_VALUE"""),"09/08/2025")</f>
        <v>09/08/2025</v>
      </c>
    </row>
    <row r="682">
      <c r="A682" s="1" t="str">
        <f>IFERROR(__xludf.DUMMYFUNCTION("""COMPUTED_VALUE"""),"Franklin Furnace Data Center")</f>
        <v>Franklin Furnace Data Center</v>
      </c>
      <c r="B682" s="1" t="str">
        <f>IFERROR(__xludf.DUMMYFUNCTION("""COMPUTED_VALUE"""),"Franklin Furnace Area")</f>
        <v>Franklin Furnace Area</v>
      </c>
      <c r="C682" s="1" t="str">
        <f>IFERROR(__xludf.DUMMYFUNCTION("""COMPUTED_VALUE"""),"Franklin Furnace")</f>
        <v>Franklin Furnace</v>
      </c>
      <c r="D682" s="1" t="str">
        <f>IFERROR(__xludf.DUMMYFUNCTION("""COMPUTED_VALUE"""),"OH")</f>
        <v>OH</v>
      </c>
      <c r="E682" s="1" t="str">
        <f>IFERROR(__xludf.DUMMYFUNCTION("""COMPUTED_VALUE"""),"")</f>
        <v/>
      </c>
      <c r="F682" s="1" t="str">
        <f>IFERROR(__xludf.DUMMYFUNCTION("""COMPUTED_VALUE"""),"Scioto")</f>
        <v>Scioto</v>
      </c>
      <c r="G682" s="1" t="str">
        <f>IFERROR(__xludf.DUMMYFUNCTION("""COMPUTED_VALUE"""),"38.59737")</f>
        <v>38.59737</v>
      </c>
      <c r="H682" s="1" t="str">
        <f>IFERROR(__xludf.DUMMYFUNCTION("""COMPUTED_VALUE"""),"-82.84261")</f>
        <v>-82.84261</v>
      </c>
      <c r="I682" s="1" t="str">
        <f>IFERROR(__xludf.DUMMYFUNCTION("""COMPUTED_VALUE"""),"Proposed")</f>
        <v>Proposed</v>
      </c>
      <c r="J682" s="1" t="str">
        <f>IFERROR(__xludf.DUMMYFUNCTION("""COMPUTED_VALUE"""),"Medium")</f>
        <v>Medium</v>
      </c>
      <c r="K682" s="1" t="str">
        <f>IFERROR(__xludf.DUMMYFUNCTION("""COMPUTED_VALUE"""),"")</f>
        <v/>
      </c>
      <c r="L682" s="1" t="str">
        <f>IFERROR(__xludf.DUMMYFUNCTION("""COMPUTED_VALUE"""),"Google")</f>
        <v>Google</v>
      </c>
      <c r="M682" s="1" t="str">
        <f>IFERROR(__xludf.DUMMYFUNCTION("""COMPUTED_VALUE"""),"")</f>
        <v/>
      </c>
      <c r="N682" s="1" t="str">
        <f>IFERROR(__xludf.DUMMYFUNCTION("""COMPUTED_VALUE"""),"")</f>
        <v/>
      </c>
      <c r="O682" s="1" t="str">
        <f>IFERROR(__xludf.DUMMYFUNCTION("""COMPUTED_VALUE"""),"Unknown")</f>
        <v>Unknown</v>
      </c>
      <c r="P682" s="1" t="str">
        <f>IFERROR(__xludf.DUMMYFUNCTION("""COMPUTED_VALUE"""),"")</f>
        <v/>
      </c>
      <c r="Q682" s="1" t="str">
        <f>IFERROR(__xludf.DUMMYFUNCTION("""COMPUTED_VALUE"""),"")</f>
        <v/>
      </c>
      <c r="R682" s="1" t="str">
        <f>IFERROR(__xludf.DUMMYFUNCTION("""COMPUTED_VALUE"""),"")</f>
        <v/>
      </c>
      <c r="S682" s="1" t="str">
        <f>IFERROR(__xludf.DUMMYFUNCTION("""COMPUTED_VALUE"""),"")</f>
        <v/>
      </c>
      <c r="T682" s="1" t="str">
        <f>IFERROR(__xludf.DUMMYFUNCTION("""COMPUTED_VALUE"""),"")</f>
        <v/>
      </c>
      <c r="U682" s="1" t="str">
        <f>IFERROR(__xludf.DUMMYFUNCTION("""COMPUTED_VALUE"""),"")</f>
        <v/>
      </c>
      <c r="V682" s="1" t="str">
        <f>IFERROR(__xludf.DUMMYFUNCTION("""COMPUTED_VALUE"""),"500,000")</f>
        <v>500,000</v>
      </c>
      <c r="W682" s="1" t="str">
        <f>IFERROR(__xludf.DUMMYFUNCTION("""COMPUTED_VALUE"""),"")</f>
        <v/>
      </c>
      <c r="X682" s="1" t="str">
        <f>IFERROR(__xludf.DUMMYFUNCTION("""COMPUTED_VALUE"""),"$1 billion")</f>
        <v>$1 billion</v>
      </c>
      <c r="Y682" s="1" t="str">
        <f>IFERROR(__xludf.DUMMYFUNCTION("""COMPUTED_VALUE"""),"")</f>
        <v/>
      </c>
      <c r="Z682" s="1" t="str">
        <f>IFERROR(__xludf.DUMMYFUNCTION("""COMPUTED_VALUE"""),"Yes")</f>
        <v>Yes</v>
      </c>
      <c r="AA682" s="1" t="str">
        <f>IFERROR(__xludf.DUMMYFUNCTION("""COMPUTED_VALUE"""),"")</f>
        <v/>
      </c>
      <c r="AB682" s="1" t="str">
        <f>IFERROR(__xludf.DUMMYFUNCTION("""COMPUTED_VALUE"""),"")</f>
        <v/>
      </c>
      <c r="AC682" s="1" t="str">
        <f>IFERROR(__xludf.DUMMYFUNCTION("""COMPUTED_VALUE"""),"")</f>
        <v/>
      </c>
      <c r="AD682" s="1" t="str">
        <f>IFERROR(__xludf.DUMMYFUNCTION("""COMPUTED_VALUE"""),"")</f>
        <v/>
      </c>
      <c r="AE682" s="1" t="str">
        <f>IFERROR(__xludf.DUMMYFUNCTION("""COMPUTED_VALUE"""),"")</f>
        <v/>
      </c>
      <c r="AF682" s="2" t="str">
        <f>IFERROR(__xludf.DUMMYFUNCTION("""COMPUTED_VALUE"""),"https://www.change.org/p/no-tax-incentives-for-data-center")</f>
        <v>https://www.change.org/p/no-tax-incentives-for-data-center</v>
      </c>
      <c r="AG682" s="1" t="str">
        <f>IFERROR(__xludf.DUMMYFUNCTION("""COMPUTED_VALUE"""),"")</f>
        <v/>
      </c>
      <c r="AH682" s="1" t="str">
        <f>IFERROR(__xludf.DUMMYFUNCTION("""COMPUTED_VALUE"""),"Media Monitoring")</f>
        <v>Media Monitoring</v>
      </c>
      <c r="AI682" s="2" t="str">
        <f>IFERROR(__xludf.DUMMYFUNCTION("""COMPUTED_VALUE"""),"https://www.datacenterdynamics.com/en/news/google-confirmed-as-company-behind-500000-sq-ft-data-center-in-scioto-county-ohio/")</f>
        <v>https://www.datacenterdynamics.com/en/news/google-confirmed-as-company-behind-500000-sq-ft-data-center-in-scioto-county-ohio/</v>
      </c>
      <c r="AJ682" s="1" t="str">
        <f>IFERROR(__xludf.DUMMYFUNCTION("""COMPUTED_VALUE"""),"")</f>
        <v/>
      </c>
      <c r="AK682" s="1" t="str">
        <f>IFERROR(__xludf.DUMMYFUNCTION("""COMPUTED_VALUE"""),"")</f>
        <v/>
      </c>
      <c r="AL682" s="1" t="str">
        <f>IFERROR(__xludf.DUMMYFUNCTION("""COMPUTED_VALUE"""),"")</f>
        <v/>
      </c>
      <c r="AM682" s="1" t="str">
        <f>IFERROR(__xludf.DUMMYFUNCTION("""COMPUTED_VALUE"""),"")</f>
        <v/>
      </c>
      <c r="AN682" s="1" t="str">
        <f>IFERROR(__xludf.DUMMYFUNCTION("""COMPUTED_VALUE"""),"")</f>
        <v/>
      </c>
      <c r="AO682" s="1" t="str">
        <f>IFERROR(__xludf.DUMMYFUNCTION("""COMPUTED_VALUE"""),"")</f>
        <v/>
      </c>
      <c r="AP682" s="1" t="str">
        <f>IFERROR(__xludf.DUMMYFUNCTION("""COMPUTED_VALUE"""),"")</f>
        <v/>
      </c>
      <c r="AQ682" s="1" t="str">
        <f>IFERROR(__xludf.DUMMYFUNCTION("""COMPUTED_VALUE"""),"01/23/2026")</f>
        <v>01/23/2026</v>
      </c>
      <c r="AR682" s="1" t="str">
        <f>IFERROR(__xludf.DUMMYFUNCTION("""COMPUTED_VALUE"""),"03/23/2026")</f>
        <v>03/23/2026</v>
      </c>
    </row>
    <row r="683">
      <c r="A683" s="1" t="str">
        <f>IFERROR(__xludf.DUMMYFUNCTION("""COMPUTED_VALUE"""),"Amazon Sunbury Data Center")</f>
        <v>Amazon Sunbury Data Center</v>
      </c>
      <c r="B683" s="1" t="str">
        <f>IFERROR(__xludf.DUMMYFUNCTION("""COMPUTED_VALUE"""),"11793 Vans Valley Rd")</f>
        <v>11793 Vans Valley Rd</v>
      </c>
      <c r="C683" s="1" t="str">
        <f>IFERROR(__xludf.DUMMYFUNCTION("""COMPUTED_VALUE"""),"Galena")</f>
        <v>Galena</v>
      </c>
      <c r="D683" s="1" t="str">
        <f>IFERROR(__xludf.DUMMYFUNCTION("""COMPUTED_VALUE"""),"OH")</f>
        <v>OH</v>
      </c>
      <c r="E683" s="1" t="str">
        <f>IFERROR(__xludf.DUMMYFUNCTION("""COMPUTED_VALUE"""),"43021")</f>
        <v>43021</v>
      </c>
      <c r="F683" s="1" t="str">
        <f>IFERROR(__xludf.DUMMYFUNCTION("""COMPUTED_VALUE"""),"Delaware")</f>
        <v>Delaware</v>
      </c>
      <c r="G683" s="1" t="str">
        <f>IFERROR(__xludf.DUMMYFUNCTION("""COMPUTED_VALUE"""),"40.21813")</f>
        <v>40.21813</v>
      </c>
      <c r="H683" s="1" t="str">
        <f>IFERROR(__xludf.DUMMYFUNCTION("""COMPUTED_VALUE"""),"-82.8478")</f>
        <v>-82.8478</v>
      </c>
      <c r="I683" s="1" t="str">
        <f>IFERROR(__xludf.DUMMYFUNCTION("""COMPUTED_VALUE"""),"Approved/Permitted/Under construction")</f>
        <v>Approved/Permitted/Under construction</v>
      </c>
      <c r="J683" s="1" t="str">
        <f>IFERROR(__xludf.DUMMYFUNCTION("""COMPUTED_VALUE"""),"High")</f>
        <v>High</v>
      </c>
      <c r="K683" s="1" t="str">
        <f>IFERROR(__xludf.DUMMYFUNCTION("""COMPUTED_VALUE"""),"")</f>
        <v/>
      </c>
      <c r="L683" s="1" t="str">
        <f>IFERROR(__xludf.DUMMYFUNCTION("""COMPUTED_VALUE"""),"")</f>
        <v/>
      </c>
      <c r="M683" s="1" t="str">
        <f>IFERROR(__xludf.DUMMYFUNCTION("""COMPUTED_VALUE"""),"")</f>
        <v/>
      </c>
      <c r="N683" s="1" t="str">
        <f>IFERROR(__xludf.DUMMYFUNCTION("""COMPUTED_VALUE"""),"")</f>
        <v/>
      </c>
      <c r="O683" s="1" t="str">
        <f>IFERROR(__xludf.DUMMYFUNCTION("""COMPUTED_VALUE"""),"Unknown")</f>
        <v>Unknown</v>
      </c>
      <c r="P683" s="1" t="str">
        <f>IFERROR(__xludf.DUMMYFUNCTION("""COMPUTED_VALUE"""),"")</f>
        <v/>
      </c>
      <c r="Q683" s="1" t="str">
        <f>IFERROR(__xludf.DUMMYFUNCTION("""COMPUTED_VALUE"""),"")</f>
        <v/>
      </c>
      <c r="R683" s="1" t="str">
        <f>IFERROR(__xludf.DUMMYFUNCTION("""COMPUTED_VALUE"""),"")</f>
        <v/>
      </c>
      <c r="S683" s="1" t="str">
        <f>IFERROR(__xludf.DUMMYFUNCTION("""COMPUTED_VALUE"""),"")</f>
        <v/>
      </c>
      <c r="T683" s="1" t="str">
        <f>IFERROR(__xludf.DUMMYFUNCTION("""COMPUTED_VALUE"""),"")</f>
        <v/>
      </c>
      <c r="U683" s="1" t="str">
        <f>IFERROR(__xludf.DUMMYFUNCTION("""COMPUTED_VALUE"""),"")</f>
        <v/>
      </c>
      <c r="V683" s="1" t="str">
        <f>IFERROR(__xludf.DUMMYFUNCTION("""COMPUTED_VALUE"""),"450,000")</f>
        <v>450,000</v>
      </c>
      <c r="W683" s="1" t="str">
        <f>IFERROR(__xludf.DUMMYFUNCTION("""COMPUTED_VALUE"""),"")</f>
        <v/>
      </c>
      <c r="X683" s="1" t="str">
        <f>IFERROR(__xludf.DUMMYFUNCTION("""COMPUTED_VALUE"""),"$2 billion")</f>
        <v>$2 billion</v>
      </c>
      <c r="Y683" s="1" t="str">
        <f>IFERROR(__xludf.DUMMYFUNCTION("""COMPUTED_VALUE"""),"")</f>
        <v/>
      </c>
      <c r="Z683" s="1" t="str">
        <f>IFERROR(__xludf.DUMMYFUNCTION("""COMPUTED_VALUE"""),"Unknown")</f>
        <v>Unknown</v>
      </c>
      <c r="AA683" s="1" t="str">
        <f>IFERROR(__xludf.DUMMYFUNCTION("""COMPUTED_VALUE"""),"")</f>
        <v/>
      </c>
      <c r="AB683" s="1" t="str">
        <f>IFERROR(__xludf.DUMMYFUNCTION("""COMPUTED_VALUE"""),"")</f>
        <v/>
      </c>
      <c r="AC683" s="1" t="str">
        <f>IFERROR(__xludf.DUMMYFUNCTION("""COMPUTED_VALUE"""),"")</f>
        <v/>
      </c>
      <c r="AD683" s="1" t="str">
        <f>IFERROR(__xludf.DUMMYFUNCTION("""COMPUTED_VALUE"""),"")</f>
        <v/>
      </c>
      <c r="AE683" s="1" t="str">
        <f>IFERROR(__xludf.DUMMYFUNCTION("""COMPUTED_VALUE"""),"")</f>
        <v/>
      </c>
      <c r="AF683" s="1" t="str">
        <f>IFERROR(__xludf.DUMMYFUNCTION("""COMPUTED_VALUE"""),"")</f>
        <v/>
      </c>
      <c r="AG683" s="1" t="str">
        <f>IFERROR(__xludf.DUMMYFUNCTION("""COMPUTED_VALUE"""),"")</f>
        <v/>
      </c>
      <c r="AH683" s="1" t="str">
        <f>IFERROR(__xludf.DUMMYFUNCTION("""COMPUTED_VALUE"""),"Media Monitoring")</f>
        <v>Media Monitoring</v>
      </c>
      <c r="AI683" s="2" t="str">
        <f>IFERROR(__xludf.DUMMYFUNCTION("""COMPUTED_VALUE"""),"https://www.datacenterdynamics.com/en/news/aws-plans-2bn-data-center-campus-in-sunbury-ohio/")</f>
        <v>https://www.datacenterdynamics.com/en/news/aws-plans-2bn-data-center-campus-in-sunbury-ohio/</v>
      </c>
      <c r="AJ683" s="1" t="str">
        <f>IFERROR(__xludf.DUMMYFUNCTION("""COMPUTED_VALUE"""),"")</f>
        <v/>
      </c>
      <c r="AK683" s="1" t="str">
        <f>IFERROR(__xludf.DUMMYFUNCTION("""COMPUTED_VALUE"""),"")</f>
        <v/>
      </c>
      <c r="AL683" s="1" t="str">
        <f>IFERROR(__xludf.DUMMYFUNCTION("""COMPUTED_VALUE"""),"")</f>
        <v/>
      </c>
      <c r="AM683" s="1" t="str">
        <f>IFERROR(__xludf.DUMMYFUNCTION("""COMPUTED_VALUE"""),"")</f>
        <v/>
      </c>
      <c r="AN683" s="1" t="str">
        <f>IFERROR(__xludf.DUMMYFUNCTION("""COMPUTED_VALUE"""),"")</f>
        <v/>
      </c>
      <c r="AO683" s="1" t="str">
        <f>IFERROR(__xludf.DUMMYFUNCTION("""COMPUTED_VALUE"""),"")</f>
        <v/>
      </c>
      <c r="AP683" s="1" t="str">
        <f>IFERROR(__xludf.DUMMYFUNCTION("""COMPUTED_VALUE"""),"")</f>
        <v/>
      </c>
      <c r="AQ683" s="1" t="str">
        <f>IFERROR(__xludf.DUMMYFUNCTION("""COMPUTED_VALUE"""),"05/26/2025")</f>
        <v>05/26/2025</v>
      </c>
      <c r="AR683" s="1" t="str">
        <f>IFERROR(__xludf.DUMMYFUNCTION("""COMPUTED_VALUE"""),"05/26/2025")</f>
        <v>05/26/2025</v>
      </c>
    </row>
    <row r="684">
      <c r="A684" s="1" t="str">
        <f>IFERROR(__xludf.DUMMYFUNCTION("""COMPUTED_VALUE"""),"Logistix Data Center")</f>
        <v>Logistix Data Center</v>
      </c>
      <c r="B684" s="1" t="str">
        <f>IFERROR(__xludf.DUMMYFUNCTION("""COMPUTED_VALUE"""),"1380 University Blvd")</f>
        <v>1380 University Blvd</v>
      </c>
      <c r="C684" s="1" t="str">
        <f>IFERROR(__xludf.DUMMYFUNCTION("""COMPUTED_VALUE"""),"Hamilton")</f>
        <v>Hamilton</v>
      </c>
      <c r="D684" s="1" t="str">
        <f>IFERROR(__xludf.DUMMYFUNCTION("""COMPUTED_VALUE"""),"OH")</f>
        <v>OH</v>
      </c>
      <c r="E684" s="1" t="str">
        <f>IFERROR(__xludf.DUMMYFUNCTION("""COMPUTED_VALUE"""),"45011")</f>
        <v>45011</v>
      </c>
      <c r="F684" s="1" t="str">
        <f>IFERROR(__xludf.DUMMYFUNCTION("""COMPUTED_VALUE"""),"Butler")</f>
        <v>Butler</v>
      </c>
      <c r="G684" s="1" t="str">
        <f>IFERROR(__xludf.DUMMYFUNCTION("""COMPUTED_VALUE"""),"39.38385")</f>
        <v>39.38385</v>
      </c>
      <c r="H684" s="1" t="str">
        <f>IFERROR(__xludf.DUMMYFUNCTION("""COMPUTED_VALUE"""),"-84.56061")</f>
        <v>-84.56061</v>
      </c>
      <c r="I684" s="1" t="str">
        <f>IFERROR(__xludf.DUMMYFUNCTION("""COMPUTED_VALUE"""),"Proposed")</f>
        <v>Proposed</v>
      </c>
      <c r="J684" s="1" t="str">
        <f>IFERROR(__xludf.DUMMYFUNCTION("""COMPUTED_VALUE"""),"High")</f>
        <v>High</v>
      </c>
      <c r="K684" s="1" t="str">
        <f>IFERROR(__xludf.DUMMYFUNCTION("""COMPUTED_VALUE"""),"")</f>
        <v/>
      </c>
      <c r="L684" s="1" t="str">
        <f>IFERROR(__xludf.DUMMYFUNCTION("""COMPUTED_VALUE"""),"Logistix Property Group")</f>
        <v>Logistix Property Group</v>
      </c>
      <c r="M684" s="1" t="str">
        <f>IFERROR(__xludf.DUMMYFUNCTION("""COMPUTED_VALUE"""),"")</f>
        <v/>
      </c>
      <c r="N684" s="1" t="str">
        <f>IFERROR(__xludf.DUMMYFUNCTION("""COMPUTED_VALUE"""),"200")</f>
        <v>200</v>
      </c>
      <c r="O684" s="1" t="str">
        <f>IFERROR(__xludf.DUMMYFUNCTION("""COMPUTED_VALUE"""),"Hyperscale (100-999 MW)")</f>
        <v>Hyperscale (100-999 MW)</v>
      </c>
      <c r="P684" s="1" t="str">
        <f>IFERROR(__xludf.DUMMYFUNCTION("""COMPUTED_VALUE"""),"")</f>
        <v/>
      </c>
      <c r="Q684" s="1" t="str">
        <f>IFERROR(__xludf.DUMMYFUNCTION("""COMPUTED_VALUE"""),"")</f>
        <v/>
      </c>
      <c r="R684" s="1" t="str">
        <f>IFERROR(__xludf.DUMMYFUNCTION("""COMPUTED_VALUE"""),"")</f>
        <v/>
      </c>
      <c r="S684" s="1" t="str">
        <f>IFERROR(__xludf.DUMMYFUNCTION("""COMPUTED_VALUE"""),"")</f>
        <v/>
      </c>
      <c r="T684" s="1" t="str">
        <f>IFERROR(__xludf.DUMMYFUNCTION("""COMPUTED_VALUE"""),"")</f>
        <v/>
      </c>
      <c r="U684" s="1" t="str">
        <f>IFERROR(__xludf.DUMMYFUNCTION("""COMPUTED_VALUE"""),"")</f>
        <v/>
      </c>
      <c r="V684" s="1" t="str">
        <f>IFERROR(__xludf.DUMMYFUNCTION("""COMPUTED_VALUE"""),"320")</f>
        <v>320</v>
      </c>
      <c r="W684" s="1" t="str">
        <f>IFERROR(__xludf.DUMMYFUNCTION("""COMPUTED_VALUE"""),"29")</f>
        <v>29</v>
      </c>
      <c r="X684" s="1" t="str">
        <f>IFERROR(__xludf.DUMMYFUNCTION("""COMPUTED_VALUE"""),"$1 billion")</f>
        <v>$1 billion</v>
      </c>
      <c r="Y684" s="1" t="str">
        <f>IFERROR(__xludf.DUMMYFUNCTION("""COMPUTED_VALUE"""),"")</f>
        <v/>
      </c>
      <c r="Z684" s="1" t="str">
        <f>IFERROR(__xludf.DUMMYFUNCTION("""COMPUTED_VALUE"""),"Yes")</f>
        <v>Yes</v>
      </c>
      <c r="AA684" s="2" t="str">
        <f>IFERROR(__xludf.DUMMYFUNCTION("""COMPUTED_VALUE"""),"https://www.journal-news.com/news/residents-say-no-on-1b-data-center-project-wants-hamilton-to-do-the-same/L3YUSLLR2VHMDFXVBXKPBTOHCA/")</f>
        <v>https://www.journal-news.com/news/residents-say-no-on-1b-data-center-project-wants-hamilton-to-do-the-same/L3YUSLLR2VHMDFXVBXKPBTOHCA/</v>
      </c>
      <c r="AB684" s="1" t="str">
        <f>IFERROR(__xludf.DUMMYFUNCTION("""COMPUTED_VALUE"""),"")</f>
        <v/>
      </c>
      <c r="AC684" s="1" t="str">
        <f>IFERROR(__xludf.DUMMYFUNCTION("""COMPUTED_VALUE"""),"")</f>
        <v/>
      </c>
      <c r="AD684" s="1" t="str">
        <f>IFERROR(__xludf.DUMMYFUNCTION("""COMPUTED_VALUE"""),"")</f>
        <v/>
      </c>
      <c r="AE684" s="1" t="str">
        <f>IFERROR(__xludf.DUMMYFUNCTION("""COMPUTED_VALUE"""),"")</f>
        <v/>
      </c>
      <c r="AF684" s="1" t="str">
        <f>IFERROR(__xludf.DUMMYFUNCTION("""COMPUTED_VALUE"""),"")</f>
        <v/>
      </c>
      <c r="AG684" s="1" t="str">
        <f>IFERROR(__xludf.DUMMYFUNCTION("""COMPUTED_VALUE"""),"Scheduled for 2026")</f>
        <v>Scheduled for 2026</v>
      </c>
      <c r="AH684" s="1" t="str">
        <f>IFERROR(__xludf.DUMMYFUNCTION("""COMPUTED_VALUE"""),"Media Monitoring")</f>
        <v>Media Monitoring</v>
      </c>
      <c r="AI684" s="2" t="str">
        <f>IFERROR(__xludf.DUMMYFUNCTION("""COMPUTED_VALUE"""),"https://www.bizjournals.com/cincinnati/news/2025/09/08/hyperscale-ai-data-center-hamilton-logistix.html")</f>
        <v>https://www.bizjournals.com/cincinnati/news/2025/09/08/hyperscale-ai-data-center-hamilton-logistix.html</v>
      </c>
      <c r="AJ684" s="2" t="str">
        <f>IFERROR(__xludf.DUMMYFUNCTION("""COMPUTED_VALUE"""),"https://local12.com/news/local/plans-1-billion-cincinnati-hamilton-ohio-data-center-advance-despite-environmental-energy-concerns-bills-usage-cost-customers-residents-logistix-property-group-consumption-natural-gas-hydroelectric-solar-wind-generators-tech"&amp;"nology-hub-tech-computers")</f>
        <v>https://local12.com/news/local/plans-1-billion-cincinnati-hamilton-ohio-data-center-advance-despite-environmental-energy-concerns-bills-usage-cost-customers-residents-logistix-property-group-consumption-natural-gas-hydroelectric-solar-wind-generators-technology-hub-tech-computers</v>
      </c>
      <c r="AK684" s="2" t="str">
        <f>IFERROR(__xludf.DUMMYFUNCTION("""COMPUTED_VALUE"""),"https://www.thebcfa.org/ignitebutler/featured-news-articles/p/item/64490/1b-hyperscale-data-center-could-break-ground-in-city-of-hamilton-in-2026")</f>
        <v>https://www.thebcfa.org/ignitebutler/featured-news-articles/p/item/64490/1b-hyperscale-data-center-could-break-ground-in-city-of-hamilton-in-2026</v>
      </c>
      <c r="AL684" s="2" t="str">
        <f>IFERROR(__xludf.DUMMYFUNCTION("""COMPUTED_VALUE"""),"https://www.journal-news.com/news/residents-say-no-on-1b-data-center-project-wants-hamilton-to-do-the-same/L3YUSLLR2VHMDFXVBXKPBTOHCA/")</f>
        <v>https://www.journal-news.com/news/residents-say-no-on-1b-data-center-project-wants-hamilton-to-do-the-same/L3YUSLLR2VHMDFXVBXKPBTOHCA/</v>
      </c>
      <c r="AM684" s="2" t="str">
        <f>IFERROR(__xludf.DUMMYFUNCTION("""COMPUTED_VALUE"""),"https://www.thebcfa.org/ignitebutler/featured-news-articles/p/item/64490/1b-hyperscale-data-center-could-break-ground-in-city-of-hamilton-in-2026")</f>
        <v>https://www.thebcfa.org/ignitebutler/featured-news-articles/p/item/64490/1b-hyperscale-data-center-could-break-ground-in-city-of-hamilton-in-2026</v>
      </c>
      <c r="AN684" s="2" t="str">
        <f>IFERROR(__xludf.DUMMYFUNCTION("""COMPUTED_VALUE"""),"https://www.bizjournals.com/cincinnati/news/2025/09/08/hyperscale-ai-data-center-hamilton-logistix.html")</f>
        <v>https://www.bizjournals.com/cincinnati/news/2025/09/08/hyperscale-ai-data-center-hamilton-logistix.html</v>
      </c>
      <c r="AO684" s="2" t="str">
        <f>IFERROR(__xludf.DUMMYFUNCTION("""COMPUTED_VALUE"""),"https://www.journal-news.com/news/residents-say-no-on-1b-data-center-project-wants-hamilton-to-do-the-same/L3YUSLLR2VHMDFXVBXKPBTOHCA/")</f>
        <v>https://www.journal-news.com/news/residents-say-no-on-1b-data-center-project-wants-hamilton-to-do-the-same/L3YUSLLR2VHMDFXVBXKPBTOHCA/</v>
      </c>
      <c r="AP684" s="2" t="str">
        <f>IFERROR(__xludf.DUMMYFUNCTION("""COMPUTED_VALUE"""),"https://www.wvxu.org/environment/2025-12-03/developers-data-center-butler-county")</f>
        <v>https://www.wvxu.org/environment/2025-12-03/developers-data-center-butler-county</v>
      </c>
      <c r="AQ684" s="1" t="str">
        <f>IFERROR(__xludf.DUMMYFUNCTION("""COMPUTED_VALUE"""),"09/09/2025")</f>
        <v>09/09/2025</v>
      </c>
      <c r="AR684" s="1" t="str">
        <f>IFERROR(__xludf.DUMMYFUNCTION("""COMPUTED_VALUE"""),"03/23/2026")</f>
        <v>03/23/2026</v>
      </c>
    </row>
    <row r="685">
      <c r="A685" s="1" t="str">
        <f>IFERROR(__xludf.DUMMYFUNCTION("""COMPUTED_VALUE"""),"Mara Holdings ")</f>
        <v>Mara Holdings </v>
      </c>
      <c r="B685" s="1" t="str">
        <f>IFERROR(__xludf.DUMMYFUNCTION("""COMPUTED_VALUE"""),"Long Ridge Energy Station, 43840 OH-7")</f>
        <v>Long Ridge Energy Station, 43840 OH-7</v>
      </c>
      <c r="C685" s="1" t="str">
        <f>IFERROR(__xludf.DUMMYFUNCTION("""COMPUTED_VALUE"""),"Hannibal")</f>
        <v>Hannibal</v>
      </c>
      <c r="D685" s="1" t="str">
        <f>IFERROR(__xludf.DUMMYFUNCTION("""COMPUTED_VALUE"""),"OH")</f>
        <v>OH</v>
      </c>
      <c r="E685" s="1" t="str">
        <f>IFERROR(__xludf.DUMMYFUNCTION("""COMPUTED_VALUE"""),"43931")</f>
        <v>43931</v>
      </c>
      <c r="F685" s="1" t="str">
        <f>IFERROR(__xludf.DUMMYFUNCTION("""COMPUTED_VALUE"""),"Monroe")</f>
        <v>Monroe</v>
      </c>
      <c r="G685" s="1" t="str">
        <f>IFERROR(__xludf.DUMMYFUNCTION("""COMPUTED_VALUE"""),"39.704994")</f>
        <v>39.704994</v>
      </c>
      <c r="H685" s="1" t="str">
        <f>IFERROR(__xludf.DUMMYFUNCTION("""COMPUTED_VALUE"""),"-80.8452")</f>
        <v>-80.8452</v>
      </c>
      <c r="I685" s="1" t="str">
        <f>IFERROR(__xludf.DUMMYFUNCTION("""COMPUTED_VALUE"""),"Proposed")</f>
        <v>Proposed</v>
      </c>
      <c r="J685" s="1" t="str">
        <f>IFERROR(__xludf.DUMMYFUNCTION("""COMPUTED_VALUE"""),"High")</f>
        <v>High</v>
      </c>
      <c r="K685" s="1" t="str">
        <f>IFERROR(__xludf.DUMMYFUNCTION("""COMPUTED_VALUE"""),"")</f>
        <v/>
      </c>
      <c r="L685" s="1" t="str">
        <f>IFERROR(__xludf.DUMMYFUNCTION("""COMPUTED_VALUE"""),"")</f>
        <v/>
      </c>
      <c r="M685" s="1" t="str">
        <f>IFERROR(__xludf.DUMMYFUNCTION("""COMPUTED_VALUE"""),"")</f>
        <v/>
      </c>
      <c r="N685" s="1" t="str">
        <f>IFERROR(__xludf.DUMMYFUNCTION("""COMPUTED_VALUE"""),"200")</f>
        <v>200</v>
      </c>
      <c r="O685" s="1" t="str">
        <f>IFERROR(__xludf.DUMMYFUNCTION("""COMPUTED_VALUE"""),"Hyperscale (100-999 MW)")</f>
        <v>Hyperscale (100-999 MW)</v>
      </c>
      <c r="P685" s="1" t="str">
        <f>IFERROR(__xludf.DUMMYFUNCTION("""COMPUTED_VALUE"""),"Natural gas")</f>
        <v>Natural gas</v>
      </c>
      <c r="Q685" s="1" t="str">
        <f>IFERROR(__xludf.DUMMYFUNCTION("""COMPUTED_VALUE"""),"Yes")</f>
        <v>Yes</v>
      </c>
      <c r="R685" s="1" t="str">
        <f>IFERROR(__xludf.DUMMYFUNCTION("""COMPUTED_VALUE"""),"")</f>
        <v/>
      </c>
      <c r="S685" s="1" t="str">
        <f>IFERROR(__xludf.DUMMYFUNCTION("""COMPUTED_VALUE"""),"")</f>
        <v/>
      </c>
      <c r="T685" s="1" t="str">
        <f>IFERROR(__xludf.DUMMYFUNCTION("""COMPUTED_VALUE"""),"")</f>
        <v/>
      </c>
      <c r="U685" s="1" t="str">
        <f>IFERROR(__xludf.DUMMYFUNCTION("""COMPUTED_VALUE"""),"")</f>
        <v/>
      </c>
      <c r="V685" s="1" t="str">
        <f>IFERROR(__xludf.DUMMYFUNCTION("""COMPUTED_VALUE"""),"")</f>
        <v/>
      </c>
      <c r="W685" s="1" t="str">
        <f>IFERROR(__xludf.DUMMYFUNCTION("""COMPUTED_VALUE"""),"1600")</f>
        <v>1600</v>
      </c>
      <c r="X685" s="1" t="str">
        <f>IFERROR(__xludf.DUMMYFUNCTION("""COMPUTED_VALUE"""),"")</f>
        <v/>
      </c>
      <c r="Y685" s="1" t="str">
        <f>IFERROR(__xludf.DUMMYFUNCTION("""COMPUTED_VALUE"""),"2027")</f>
        <v>2027</v>
      </c>
      <c r="Z685" s="1" t="str">
        <f>IFERROR(__xludf.DUMMYFUNCTION("""COMPUTED_VALUE"""),"Unknown")</f>
        <v>Unknown</v>
      </c>
      <c r="AA685" s="1" t="str">
        <f>IFERROR(__xludf.DUMMYFUNCTION("""COMPUTED_VALUE"""),"")</f>
        <v/>
      </c>
      <c r="AB685" s="1" t="str">
        <f>IFERROR(__xludf.DUMMYFUNCTION("""COMPUTED_VALUE"""),"")</f>
        <v/>
      </c>
      <c r="AC685" s="1" t="str">
        <f>IFERROR(__xludf.DUMMYFUNCTION("""COMPUTED_VALUE"""),"")</f>
        <v/>
      </c>
      <c r="AD685" s="1" t="str">
        <f>IFERROR(__xludf.DUMMYFUNCTION("""COMPUTED_VALUE"""),"")</f>
        <v/>
      </c>
      <c r="AE685" s="1" t="str">
        <f>IFERROR(__xludf.DUMMYFUNCTION("""COMPUTED_VALUE"""),"")</f>
        <v/>
      </c>
      <c r="AF685" s="1" t="str">
        <f>IFERROR(__xludf.DUMMYFUNCTION("""COMPUTED_VALUE"""),"")</f>
        <v/>
      </c>
      <c r="AG685" s="1" t="str">
        <f>IFERROR(__xludf.DUMMYFUNCTION("""COMPUTED_VALUE"""),"Taking over existing power plant")</f>
        <v>Taking over existing power plant</v>
      </c>
      <c r="AH685" s="1" t="str">
        <f>IFERROR(__xludf.DUMMYFUNCTION("""COMPUTED_VALUE"""),"Media Monitoring")</f>
        <v>Media Monitoring</v>
      </c>
      <c r="AI685" s="2" t="str">
        <f>IFERROR(__xludf.DUMMYFUNCTION("""COMPUTED_VALUE"""),"https://www.datacenterdynamics.com/en/news/mara-acquires-505mw-gas-plant-in-ohio-intends-to-construct-200mw-data-center-at-site/")</f>
        <v>https://www.datacenterdynamics.com/en/news/mara-acquires-505mw-gas-plant-in-ohio-intends-to-construct-200mw-data-center-at-site/</v>
      </c>
      <c r="AJ685" s="1" t="str">
        <f>IFERROR(__xludf.DUMMYFUNCTION("""COMPUTED_VALUE"""),"")</f>
        <v/>
      </c>
      <c r="AK685" s="1" t="str">
        <f>IFERROR(__xludf.DUMMYFUNCTION("""COMPUTED_VALUE"""),"")</f>
        <v/>
      </c>
      <c r="AL685" s="1" t="str">
        <f>IFERROR(__xludf.DUMMYFUNCTION("""COMPUTED_VALUE"""),"")</f>
        <v/>
      </c>
      <c r="AM685" s="1" t="str">
        <f>IFERROR(__xludf.DUMMYFUNCTION("""COMPUTED_VALUE"""),"")</f>
        <v/>
      </c>
      <c r="AN685" s="1" t="str">
        <f>IFERROR(__xludf.DUMMYFUNCTION("""COMPUTED_VALUE"""),"")</f>
        <v/>
      </c>
      <c r="AO685" s="1" t="str">
        <f>IFERROR(__xludf.DUMMYFUNCTION("""COMPUTED_VALUE"""),"")</f>
        <v/>
      </c>
      <c r="AP685" s="1" t="str">
        <f>IFERROR(__xludf.DUMMYFUNCTION("""COMPUTED_VALUE"""),"")</f>
        <v/>
      </c>
      <c r="AQ685" s="1" t="str">
        <f>IFERROR(__xludf.DUMMYFUNCTION("""COMPUTED_VALUE"""),"05/05/2026")</f>
        <v>05/05/2026</v>
      </c>
      <c r="AR685" s="1" t="str">
        <f>IFERROR(__xludf.DUMMYFUNCTION("""COMPUTED_VALUE"""),"05/05/2026")</f>
        <v>05/05/2026</v>
      </c>
    </row>
    <row r="686">
      <c r="A686" s="1" t="str">
        <f>IFERROR(__xludf.DUMMYFUNCTION("""COMPUTED_VALUE"""),"Amazon Hilliard Data Center ")</f>
        <v>Amazon Hilliard Data Center </v>
      </c>
      <c r="B686" s="1" t="str">
        <f>IFERROR(__xludf.DUMMYFUNCTION("""COMPUTED_VALUE"""),"5109 Hayden Run Rd")</f>
        <v>5109 Hayden Run Rd</v>
      </c>
      <c r="C686" s="1" t="str">
        <f>IFERROR(__xludf.DUMMYFUNCTION("""COMPUTED_VALUE"""),"Hilliard")</f>
        <v>Hilliard</v>
      </c>
      <c r="D686" s="1" t="str">
        <f>IFERROR(__xludf.DUMMYFUNCTION("""COMPUTED_VALUE"""),"OH")</f>
        <v>OH</v>
      </c>
      <c r="E686" s="1" t="str">
        <f>IFERROR(__xludf.DUMMYFUNCTION("""COMPUTED_VALUE"""),"43026")</f>
        <v>43026</v>
      </c>
      <c r="F686" s="1" t="str">
        <f>IFERROR(__xludf.DUMMYFUNCTION("""COMPUTED_VALUE"""),"Franklin")</f>
        <v>Franklin</v>
      </c>
      <c r="G686" s="1" t="str">
        <f>IFERROR(__xludf.DUMMYFUNCTION("""COMPUTED_VALUE"""),"40.06241")</f>
        <v>40.06241</v>
      </c>
      <c r="H686" s="1" t="str">
        <f>IFERROR(__xludf.DUMMYFUNCTION("""COMPUTED_VALUE"""),"-83.1344")</f>
        <v>-83.1344</v>
      </c>
      <c r="I686" s="1" t="str">
        <f>IFERROR(__xludf.DUMMYFUNCTION("""COMPUTED_VALUE"""),"Expanding")</f>
        <v>Expanding</v>
      </c>
      <c r="J686" s="1" t="str">
        <f>IFERROR(__xludf.DUMMYFUNCTION("""COMPUTED_VALUE"""),"High")</f>
        <v>High</v>
      </c>
      <c r="K686" s="1" t="str">
        <f>IFERROR(__xludf.DUMMYFUNCTION("""COMPUTED_VALUE"""),"")</f>
        <v/>
      </c>
      <c r="L686" s="1" t="str">
        <f>IFERROR(__xludf.DUMMYFUNCTION("""COMPUTED_VALUE"""),"Amazon")</f>
        <v>Amazon</v>
      </c>
      <c r="M686" s="1" t="str">
        <f>IFERROR(__xludf.DUMMYFUNCTION("""COMPUTED_VALUE"""),"")</f>
        <v/>
      </c>
      <c r="N686" s="1" t="str">
        <f>IFERROR(__xludf.DUMMYFUNCTION("""COMPUTED_VALUE"""),"73")</f>
        <v>73</v>
      </c>
      <c r="O686" s="1" t="str">
        <f>IFERROR(__xludf.DUMMYFUNCTION("""COMPUTED_VALUE"""),"Large (51-99 MW)")</f>
        <v>Large (51-99 MW)</v>
      </c>
      <c r="P686" s="1" t="str">
        <f>IFERROR(__xludf.DUMMYFUNCTION("""COMPUTED_VALUE"""),"Fuel Cells")</f>
        <v>Fuel Cells</v>
      </c>
      <c r="Q686" s="1" t="str">
        <f>IFERROR(__xludf.DUMMYFUNCTION("""COMPUTED_VALUE"""),"Yes - fuel cell system")</f>
        <v>Yes - fuel cell system</v>
      </c>
      <c r="R686" s="1" t="str">
        <f>IFERROR(__xludf.DUMMYFUNCTION("""COMPUTED_VALUE"""),"158 diesel backup generators")</f>
        <v>158 diesel backup generators</v>
      </c>
      <c r="S686" s="1" t="str">
        <f>IFERROR(__xludf.DUMMYFUNCTION("""COMPUTED_VALUE"""),"")</f>
        <v/>
      </c>
      <c r="T686" s="1" t="str">
        <f>IFERROR(__xludf.DUMMYFUNCTION("""COMPUTED_VALUE"""),"")</f>
        <v/>
      </c>
      <c r="U686" s="1" t="str">
        <f>IFERROR(__xludf.DUMMYFUNCTION("""COMPUTED_VALUE"""),"")</f>
        <v/>
      </c>
      <c r="V686" s="1" t="str">
        <f>IFERROR(__xludf.DUMMYFUNCTION("""COMPUTED_VALUE"""),"")</f>
        <v/>
      </c>
      <c r="W686" s="1" t="str">
        <f>IFERROR(__xludf.DUMMYFUNCTION("""COMPUTED_VALUE"""),"142")</f>
        <v>142</v>
      </c>
      <c r="X686" s="1" t="str">
        <f>IFERROR(__xludf.DUMMYFUNCTION("""COMPUTED_VALUE"""),"")</f>
        <v/>
      </c>
      <c r="Y686" s="1" t="str">
        <f>IFERROR(__xludf.DUMMYFUNCTION("""COMPUTED_VALUE"""),"")</f>
        <v/>
      </c>
      <c r="Z686" s="1" t="str">
        <f>IFERROR(__xludf.DUMMYFUNCTION("""COMPUTED_VALUE"""),"Yes")</f>
        <v>Yes</v>
      </c>
      <c r="AA686" s="1" t="str">
        <f>IFERROR(__xludf.DUMMYFUNCTION("""COMPUTED_VALUE"""),"")</f>
        <v/>
      </c>
      <c r="AB686" s="1" t="str">
        <f>IFERROR(__xludf.DUMMYFUNCTION("""COMPUTED_VALUE"""),"Organized Advocacy")</f>
        <v>Organized Advocacy</v>
      </c>
      <c r="AC686" s="1" t="str">
        <f>IFERROR(__xludf.DUMMYFUNCTION("""COMPUTED_VALUE"""),"")</f>
        <v/>
      </c>
      <c r="AD686" s="2" t="str">
        <f>IFERROR(__xludf.DUMMYFUNCTION("""COMPUTED_VALUE"""),"https://hilliardcleanair.org/")</f>
        <v>https://hilliardcleanair.org/</v>
      </c>
      <c r="AE686" s="1" t="str">
        <f>IFERROR(__xludf.DUMMYFUNCTION("""COMPUTED_VALUE"""),"")</f>
        <v/>
      </c>
      <c r="AF686" s="1" t="str">
        <f>IFERROR(__xludf.DUMMYFUNCTION("""COMPUTED_VALUE"""),"")</f>
        <v/>
      </c>
      <c r="AG686" s="1" t="str">
        <f>IFERROR(__xludf.DUMMYFUNCTION("""COMPUTED_VALUE"""),"BTM power fuel cell project was fast-tracked and approved by the Ohio Power Siting Board (OPSB), overriding local law. City of Hilliard has challenged Amazon's plan to install 73 MW from 228 natural gas fuel cells")</f>
        <v>BTM power fuel cell project was fast-tracked and approved by the Ohio Power Siting Board (OPSB), overriding local law. City of Hilliard has challenged Amazon's plan to install 73 MW from 228 natural gas fuel cells</v>
      </c>
      <c r="AH686" s="1" t="str">
        <f>IFERROR(__xludf.DUMMYFUNCTION("""COMPUTED_VALUE"""),"Media Monitoring")</f>
        <v>Media Monitoring</v>
      </c>
      <c r="AI686" s="2" t="str">
        <f>IFERROR(__xludf.DUMMYFUNCTION("""COMPUTED_VALUE"""),"https://www.dispatch.com/story/news/local/communities/hilliard/2022/05/27/amazon-plans-build-third-data-center-scioto-darby-road-and-270/9962923002/")</f>
        <v>https://www.dispatch.com/story/news/local/communities/hilliard/2022/05/27/amazon-plans-build-third-data-center-scioto-darby-road-and-270/9962923002/</v>
      </c>
      <c r="AJ686" s="2" t="str">
        <f>IFERROR(__xludf.DUMMYFUNCTION("""COMPUTED_VALUE"""),"https://hilliardohio.gov/state-law-overrides-local-review-for-aws-fuel-cell-system-in-hilliard/")</f>
        <v>https://hilliardohio.gov/state-law-overrides-local-review-for-aws-fuel-cell-system-in-hilliard/</v>
      </c>
      <c r="AK686" s="2" t="str">
        <f>IFERROR(__xludf.DUMMYFUNCTION("""COMPUTED_VALUE"""),"https://www.10tv.com/article/news/local/hilliard-residents-concerns-amazon-data-center-diesel-generators/530-ccb1ea66-fad0-403b-9baf-76110d65f2fd")</f>
        <v>https://www.10tv.com/article/news/local/hilliard-residents-concerns-amazon-data-center-diesel-generators/530-ccb1ea66-fad0-403b-9baf-76110d65f2fd</v>
      </c>
      <c r="AL686" s="2" t="str">
        <f>IFERROR(__xludf.DUMMYFUNCTION("""COMPUTED_VALUE"""),"https://www.datacenterdynamics.com/en/news/city-of-hilliard-challenges-amazon-fuel-cell-project-at-ohio-data-center-report/")</f>
        <v>https://www.datacenterdynamics.com/en/news/city-of-hilliard-challenges-amazon-fuel-cell-project-at-ohio-data-center-report/</v>
      </c>
      <c r="AM686" s="1" t="str">
        <f>IFERROR(__xludf.DUMMYFUNCTION("""COMPUTED_VALUE"""),"")</f>
        <v/>
      </c>
      <c r="AN686" s="1" t="str">
        <f>IFERROR(__xludf.DUMMYFUNCTION("""COMPUTED_VALUE"""),"")</f>
        <v/>
      </c>
      <c r="AO686" s="1" t="str">
        <f>IFERROR(__xludf.DUMMYFUNCTION("""COMPUTED_VALUE"""),"")</f>
        <v/>
      </c>
      <c r="AP686" s="1" t="str">
        <f>IFERROR(__xludf.DUMMYFUNCTION("""COMPUTED_VALUE"""),"")</f>
        <v/>
      </c>
      <c r="AQ686" s="1" t="str">
        <f>IFERROR(__xludf.DUMMYFUNCTION("""COMPUTED_VALUE"""),"05/26/2025")</f>
        <v>05/26/2025</v>
      </c>
      <c r="AR686" s="1" t="str">
        <f>IFERROR(__xludf.DUMMYFUNCTION("""COMPUTED_VALUE"""),"05/26/2025")</f>
        <v>05/26/2025</v>
      </c>
    </row>
    <row r="687">
      <c r="A687" s="1" t="str">
        <f>IFERROR(__xludf.DUMMYFUNCTION("""COMPUTED_VALUE"""),"Ravel Data Center")</f>
        <v>Ravel Data Center</v>
      </c>
      <c r="B687" s="1" t="str">
        <f>IFERROR(__xludf.DUMMYFUNCTION("""COMPUTED_VALUE"""),"1476 County Rd 1A")</f>
        <v>1476 County Rd 1A</v>
      </c>
      <c r="C687" s="1" t="str">
        <f>IFERROR(__xludf.DUMMYFUNCTION("""COMPUTED_VALUE"""),"Ironton")</f>
        <v>Ironton</v>
      </c>
      <c r="D687" s="1" t="str">
        <f>IFERROR(__xludf.DUMMYFUNCTION("""COMPUTED_VALUE"""),"OH")</f>
        <v>OH</v>
      </c>
      <c r="E687" s="1" t="str">
        <f>IFERROR(__xludf.DUMMYFUNCTION("""COMPUTED_VALUE"""),"45638")</f>
        <v>45638</v>
      </c>
      <c r="F687" s="1" t="str">
        <f>IFERROR(__xludf.DUMMYFUNCTION("""COMPUTED_VALUE"""),"Lawrence")</f>
        <v>Lawrence</v>
      </c>
      <c r="G687" s="1" t="str">
        <f>IFERROR(__xludf.DUMMYFUNCTION("""COMPUTED_VALUE"""),"38.56767")</f>
        <v>38.56767</v>
      </c>
      <c r="H687" s="1" t="str">
        <f>IFERROR(__xludf.DUMMYFUNCTION("""COMPUTED_VALUE"""),"-82.782684")</f>
        <v>-82.782684</v>
      </c>
      <c r="I687" s="1" t="str">
        <f>IFERROR(__xludf.DUMMYFUNCTION("""COMPUTED_VALUE"""),"Proposed")</f>
        <v>Proposed</v>
      </c>
      <c r="J687" s="1" t="str">
        <f>IFERROR(__xludf.DUMMYFUNCTION("""COMPUTED_VALUE"""),"High")</f>
        <v>High</v>
      </c>
      <c r="K687" s="1" t="str">
        <f>IFERROR(__xludf.DUMMYFUNCTION("""COMPUTED_VALUE"""),"AI")</f>
        <v>AI</v>
      </c>
      <c r="L687" s="1" t="str">
        <f>IFERROR(__xludf.DUMMYFUNCTION("""COMPUTED_VALUE"""),"Strata")</f>
        <v>Strata</v>
      </c>
      <c r="M687" s="1" t="str">
        <f>IFERROR(__xludf.DUMMYFUNCTION("""COMPUTED_VALUE"""),"")</f>
        <v/>
      </c>
      <c r="N687" s="1" t="str">
        <f>IFERROR(__xludf.DUMMYFUNCTION("""COMPUTED_VALUE"""),"")</f>
        <v/>
      </c>
      <c r="O687" s="1" t="str">
        <f>IFERROR(__xludf.DUMMYFUNCTION("""COMPUTED_VALUE"""),"Unknown")</f>
        <v>Unknown</v>
      </c>
      <c r="P687" s="1" t="str">
        <f>IFERROR(__xludf.DUMMYFUNCTION("""COMPUTED_VALUE"""),"")</f>
        <v/>
      </c>
      <c r="Q687" s="1" t="str">
        <f>IFERROR(__xludf.DUMMYFUNCTION("""COMPUTED_VALUE"""),"")</f>
        <v/>
      </c>
      <c r="R687" s="1" t="str">
        <f>IFERROR(__xludf.DUMMYFUNCTION("""COMPUTED_VALUE"""),"")</f>
        <v/>
      </c>
      <c r="S687" s="1" t="str">
        <f>IFERROR(__xludf.DUMMYFUNCTION("""COMPUTED_VALUE"""),"")</f>
        <v/>
      </c>
      <c r="T687" s="1" t="str">
        <f>IFERROR(__xludf.DUMMYFUNCTION("""COMPUTED_VALUE"""),"")</f>
        <v/>
      </c>
      <c r="U687" s="1" t="str">
        <f>IFERROR(__xludf.DUMMYFUNCTION("""COMPUTED_VALUE"""),"")</f>
        <v/>
      </c>
      <c r="V687" s="1" t="str">
        <f>IFERROR(__xludf.DUMMYFUNCTION("""COMPUTED_VALUE"""),"")</f>
        <v/>
      </c>
      <c r="W687" s="1" t="str">
        <f>IFERROR(__xludf.DUMMYFUNCTION("""COMPUTED_VALUE"""),"")</f>
        <v/>
      </c>
      <c r="X687" s="1" t="str">
        <f>IFERROR(__xludf.DUMMYFUNCTION("""COMPUTED_VALUE"""),"")</f>
        <v/>
      </c>
      <c r="Y687" s="1" t="str">
        <f>IFERROR(__xludf.DUMMYFUNCTION("""COMPUTED_VALUE"""),"")</f>
        <v/>
      </c>
      <c r="Z687" s="1" t="str">
        <f>IFERROR(__xludf.DUMMYFUNCTION("""COMPUTED_VALUE"""),"Yes")</f>
        <v>Yes</v>
      </c>
      <c r="AA687" s="1" t="str">
        <f>IFERROR(__xludf.DUMMYFUNCTION("""COMPUTED_VALUE"""),"")</f>
        <v/>
      </c>
      <c r="AB687" s="1" t="str">
        <f>IFERROR(__xludf.DUMMYFUNCTION("""COMPUTED_VALUE"""),"")</f>
        <v/>
      </c>
      <c r="AC687" s="1" t="str">
        <f>IFERROR(__xludf.DUMMYFUNCTION("""COMPUTED_VALUE"""),"")</f>
        <v/>
      </c>
      <c r="AD687" s="1" t="str">
        <f>IFERROR(__xludf.DUMMYFUNCTION("""COMPUTED_VALUE"""),"")</f>
        <v/>
      </c>
      <c r="AE687" s="1" t="str">
        <f>IFERROR(__xludf.DUMMYFUNCTION("""COMPUTED_VALUE"""),"")</f>
        <v/>
      </c>
      <c r="AF687" s="2" t="str">
        <f>IFERROR(__xludf.DUMMYFUNCTION("""COMPUTED_VALUE"""),"https://www.change.org/p/stop-the-ai-data-centers-in-lawrence-county-ohio")</f>
        <v>https://www.change.org/p/stop-the-ai-data-centers-in-lawrence-county-ohio</v>
      </c>
      <c r="AG687" s="1" t="str">
        <f>IFERROR(__xludf.DUMMYFUNCTION("""COMPUTED_VALUE"""),"")</f>
        <v/>
      </c>
      <c r="AH687" s="1" t="str">
        <f>IFERROR(__xludf.DUMMYFUNCTION("""COMPUTED_VALUE"""),"Media Monitoring")</f>
        <v>Media Monitoring</v>
      </c>
      <c r="AI687" s="2" t="str">
        <f>IFERROR(__xludf.DUMMYFUNCTION("""COMPUTED_VALUE"""),"https://www.datacenterdynamics.com/en/news/data-center-project-in-lawrence-county-ohio-sparks-calls-for-moratorium-in-neighboring-city/")</f>
        <v>https://www.datacenterdynamics.com/en/news/data-center-project-in-lawrence-county-ohio-sparks-calls-for-moratorium-in-neighboring-city/</v>
      </c>
      <c r="AJ687" s="1" t="str">
        <f>IFERROR(__xludf.DUMMYFUNCTION("""COMPUTED_VALUE"""),"")</f>
        <v/>
      </c>
      <c r="AK687" s="1" t="str">
        <f>IFERROR(__xludf.DUMMYFUNCTION("""COMPUTED_VALUE"""),"")</f>
        <v/>
      </c>
      <c r="AL687" s="1" t="str">
        <f>IFERROR(__xludf.DUMMYFUNCTION("""COMPUTED_VALUE"""),"")</f>
        <v/>
      </c>
      <c r="AM687" s="1" t="str">
        <f>IFERROR(__xludf.DUMMYFUNCTION("""COMPUTED_VALUE"""),"")</f>
        <v/>
      </c>
      <c r="AN687" s="1" t="str">
        <f>IFERROR(__xludf.DUMMYFUNCTION("""COMPUTED_VALUE"""),"")</f>
        <v/>
      </c>
      <c r="AO687" s="1" t="str">
        <f>IFERROR(__xludf.DUMMYFUNCTION("""COMPUTED_VALUE"""),"")</f>
        <v/>
      </c>
      <c r="AP687" s="1" t="str">
        <f>IFERROR(__xludf.DUMMYFUNCTION("""COMPUTED_VALUE"""),"")</f>
        <v/>
      </c>
      <c r="AQ687" s="1" t="str">
        <f>IFERROR(__xludf.DUMMYFUNCTION("""COMPUTED_VALUE"""),"01/13/2026")</f>
        <v>01/13/2026</v>
      </c>
      <c r="AR687" s="1" t="str">
        <f>IFERROR(__xludf.DUMMYFUNCTION("""COMPUTED_VALUE"""),"03/23/2026")</f>
        <v>03/23/2026</v>
      </c>
    </row>
    <row r="688">
      <c r="A688" s="1" t="str">
        <f>IFERROR(__xludf.DUMMYFUNCTION("""COMPUTED_VALUE"""),"Amazon Jeffersonville Data Center")</f>
        <v>Amazon Jeffersonville Data Center</v>
      </c>
      <c r="B688" s="1" t="str">
        <f>IFERROR(__xludf.DUMMYFUNCTION("""COMPUTED_VALUE"""),"along Interstate 71 between State Route 729 and U.S. 35")</f>
        <v>along Interstate 71 between State Route 729 and U.S. 35</v>
      </c>
      <c r="C688" s="1" t="str">
        <f>IFERROR(__xludf.DUMMYFUNCTION("""COMPUTED_VALUE"""),"Jeffersonville")</f>
        <v>Jeffersonville</v>
      </c>
      <c r="D688" s="1" t="str">
        <f>IFERROR(__xludf.DUMMYFUNCTION("""COMPUTED_VALUE"""),"OH")</f>
        <v>OH</v>
      </c>
      <c r="E688" s="1" t="str">
        <f>IFERROR(__xludf.DUMMYFUNCTION("""COMPUTED_VALUE"""),"43128")</f>
        <v>43128</v>
      </c>
      <c r="F688" s="1" t="str">
        <f>IFERROR(__xludf.DUMMYFUNCTION("""COMPUTED_VALUE"""),"Fayette")</f>
        <v>Fayette</v>
      </c>
      <c r="G688" s="1" t="str">
        <f>IFERROR(__xludf.DUMMYFUNCTION("""COMPUTED_VALUE"""),"39.62815")</f>
        <v>39.62815</v>
      </c>
      <c r="H688" s="1" t="str">
        <f>IFERROR(__xludf.DUMMYFUNCTION("""COMPUTED_VALUE"""),"-83.57187")</f>
        <v>-83.57187</v>
      </c>
      <c r="I688" s="1" t="str">
        <f>IFERROR(__xludf.DUMMYFUNCTION("""COMPUTED_VALUE"""),"Proposed")</f>
        <v>Proposed</v>
      </c>
      <c r="J688" s="1" t="str">
        <f>IFERROR(__xludf.DUMMYFUNCTION("""COMPUTED_VALUE"""),"High")</f>
        <v>High</v>
      </c>
      <c r="K688" s="1" t="str">
        <f>IFERROR(__xludf.DUMMYFUNCTION("""COMPUTED_VALUE"""),"AI")</f>
        <v>AI</v>
      </c>
      <c r="L688" s="1" t="str">
        <f>IFERROR(__xludf.DUMMYFUNCTION("""COMPUTED_VALUE"""),"Amazon")</f>
        <v>Amazon</v>
      </c>
      <c r="M688" s="1" t="str">
        <f>IFERROR(__xludf.DUMMYFUNCTION("""COMPUTED_VALUE"""),"")</f>
        <v/>
      </c>
      <c r="N688" s="1" t="str">
        <f>IFERROR(__xludf.DUMMYFUNCTION("""COMPUTED_VALUE"""),"1184")</f>
        <v>1184</v>
      </c>
      <c r="O688" s="1" t="str">
        <f>IFERROR(__xludf.DUMMYFUNCTION("""COMPUTED_VALUE"""),"Mega campus (&gt;1,000 MW)")</f>
        <v>Mega campus (&gt;1,000 MW)</v>
      </c>
      <c r="P688" s="1" t="str">
        <f>IFERROR(__xludf.DUMMYFUNCTION("""COMPUTED_VALUE"""),"Natural gas")</f>
        <v>Natural gas</v>
      </c>
      <c r="Q688" s="1" t="str">
        <f>IFERROR(__xludf.DUMMYFUNCTION("""COMPUTED_VALUE"""),"Yes - Bluegrass Power Station")</f>
        <v>Yes - Bluegrass Power Station</v>
      </c>
      <c r="R688" s="1" t="str">
        <f>IFERROR(__xludf.DUMMYFUNCTION("""COMPUTED_VALUE"""),"")</f>
        <v/>
      </c>
      <c r="S688" s="1" t="str">
        <f>IFERROR(__xludf.DUMMYFUNCTION("""COMPUTED_VALUE"""),"")</f>
        <v/>
      </c>
      <c r="T688" s="1" t="str">
        <f>IFERROR(__xludf.DUMMYFUNCTION("""COMPUTED_VALUE"""),"")</f>
        <v/>
      </c>
      <c r="U688" s="1" t="str">
        <f>IFERROR(__xludf.DUMMYFUNCTION("""COMPUTED_VALUE"""),"")</f>
        <v/>
      </c>
      <c r="V688" s="1" t="str">
        <f>IFERROR(__xludf.DUMMYFUNCTION("""COMPUTED_VALUE"""),"")</f>
        <v/>
      </c>
      <c r="W688" s="1" t="str">
        <f>IFERROR(__xludf.DUMMYFUNCTION("""COMPUTED_VALUE"""),"590")</f>
        <v>590</v>
      </c>
      <c r="X688" s="1" t="str">
        <f>IFERROR(__xludf.DUMMYFUNCTION("""COMPUTED_VALUE"""),"$102.4 million")</f>
        <v>$102.4 million</v>
      </c>
      <c r="Y688" s="1" t="str">
        <f>IFERROR(__xludf.DUMMYFUNCTION("""COMPUTED_VALUE"""),"")</f>
        <v/>
      </c>
      <c r="Z688" s="1" t="str">
        <f>IFERROR(__xludf.DUMMYFUNCTION("""COMPUTED_VALUE"""),"Unknown")</f>
        <v>Unknown</v>
      </c>
      <c r="AA688" s="1" t="str">
        <f>IFERROR(__xludf.DUMMYFUNCTION("""COMPUTED_VALUE"""),"")</f>
        <v/>
      </c>
      <c r="AB688" s="1" t="str">
        <f>IFERROR(__xludf.DUMMYFUNCTION("""COMPUTED_VALUE"""),"")</f>
        <v/>
      </c>
      <c r="AC688" s="1" t="str">
        <f>IFERROR(__xludf.DUMMYFUNCTION("""COMPUTED_VALUE"""),"")</f>
        <v/>
      </c>
      <c r="AD688" s="1" t="str">
        <f>IFERROR(__xludf.DUMMYFUNCTION("""COMPUTED_VALUE"""),"")</f>
        <v/>
      </c>
      <c r="AE688" s="1" t="str">
        <f>IFERROR(__xludf.DUMMYFUNCTION("""COMPUTED_VALUE"""),"")</f>
        <v/>
      </c>
      <c r="AF688" s="1" t="str">
        <f>IFERROR(__xludf.DUMMYFUNCTION("""COMPUTED_VALUE"""),"")</f>
        <v/>
      </c>
      <c r="AG688" s="1" t="str">
        <f>IFERROR(__xludf.DUMMYFUNCTION("""COMPUTED_VALUE"""),"Behind the meter Bluegrass Power Generation Facility (proposed fracked gas power plant) likely supplying this data center ")</f>
        <v>Behind the meter Bluegrass Power Generation Facility (proposed fracked gas power plant) likely supplying this data center </v>
      </c>
      <c r="AH688" s="1" t="str">
        <f>IFERROR(__xludf.DUMMYFUNCTION("""COMPUTED_VALUE"""),"Media Monitoring")</f>
        <v>Media Monitoring</v>
      </c>
      <c r="AI688" s="2" t="str">
        <f>IFERROR(__xludf.DUMMYFUNCTION("""COMPUTED_VALUE"""),"https://www.datacenterdynamics.com/en/news/aws-weighing-up-data-center-project-in-fayette-county-ohio/")</f>
        <v>https://www.datacenterdynamics.com/en/news/aws-weighing-up-data-center-project-in-fayette-county-ohio/</v>
      </c>
      <c r="AJ688" s="2" t="str">
        <f>IFERROR(__xludf.DUMMYFUNCTION("""COMPUTED_VALUE"""),"https://www.datacenterdynamics.com/en/news/aws-weighing-up-data-center-project-in-fayette-county-ohio/")</f>
        <v>https://www.datacenterdynamics.com/en/news/aws-weighing-up-data-center-project-in-fayette-county-ohio/</v>
      </c>
      <c r="AK688" s="2" t="str">
        <f>IFERROR(__xludf.DUMMYFUNCTION("""COMPUTED_VALUE"""),"https://www.nbc4i.com/intel-in-ohio/amazon-purchases-nearly-600-acres-in-fayette-county-for-new-data-center/")</f>
        <v>https://www.nbc4i.com/intel-in-ohio/amazon-purchases-nearly-600-acres-in-fayette-county-for-new-data-center/</v>
      </c>
      <c r="AL688" s="2" t="str">
        <f>IFERROR(__xludf.DUMMYFUNCTION("""COMPUTED_VALUE"""),"https://oilandgaswatch.org/facility/rec_d4f1u58q7easr8ra1eeg")</f>
        <v>https://oilandgaswatch.org/facility/rec_d4f1u58q7easr8ra1eeg</v>
      </c>
      <c r="AM688" s="1" t="str">
        <f>IFERROR(__xludf.DUMMYFUNCTION("""COMPUTED_VALUE"""),"")</f>
        <v/>
      </c>
      <c r="AN688" s="1" t="str">
        <f>IFERROR(__xludf.DUMMYFUNCTION("""COMPUTED_VALUE"""),"")</f>
        <v/>
      </c>
      <c r="AO688" s="1" t="str">
        <f>IFERROR(__xludf.DUMMYFUNCTION("""COMPUTED_VALUE"""),"")</f>
        <v/>
      </c>
      <c r="AP688" s="1" t="str">
        <f>IFERROR(__xludf.DUMMYFUNCTION("""COMPUTED_VALUE"""),"")</f>
        <v/>
      </c>
      <c r="AQ688" s="1" t="str">
        <f>IFERROR(__xludf.DUMMYFUNCTION("""COMPUTED_VALUE"""),"05/26/2025")</f>
        <v>05/26/2025</v>
      </c>
      <c r="AR688" s="1" t="str">
        <f>IFERROR(__xludf.DUMMYFUNCTION("""COMPUTED_VALUE"""),"04/21/2026")</f>
        <v>04/21/2026</v>
      </c>
    </row>
    <row r="689">
      <c r="A689" s="1" t="str">
        <f>IFERROR(__xludf.DUMMYFUNCTION("""COMPUTED_VALUE"""),"CyrusOne COL-1")</f>
        <v>CyrusOne COL-1</v>
      </c>
      <c r="B689" s="1" t="str">
        <f>IFERROR(__xludf.DUMMYFUNCTION("""COMPUTED_VALUE"""),"12181 Jug St")</f>
        <v>12181 Jug St</v>
      </c>
      <c r="C689" s="1" t="str">
        <f>IFERROR(__xludf.DUMMYFUNCTION("""COMPUTED_VALUE"""),"Johnstown")</f>
        <v>Johnstown</v>
      </c>
      <c r="D689" s="1" t="str">
        <f>IFERROR(__xludf.DUMMYFUNCTION("""COMPUTED_VALUE"""),"OH")</f>
        <v>OH</v>
      </c>
      <c r="E689" s="1" t="str">
        <f>IFERROR(__xludf.DUMMYFUNCTION("""COMPUTED_VALUE"""),"43031")</f>
        <v>43031</v>
      </c>
      <c r="F689" s="1" t="str">
        <f>IFERROR(__xludf.DUMMYFUNCTION("""COMPUTED_VALUE"""),"Licking")</f>
        <v>Licking</v>
      </c>
      <c r="G689" s="1" t="str">
        <f>IFERROR(__xludf.DUMMYFUNCTION("""COMPUTED_VALUE"""),"40.09545")</f>
        <v>40.09545</v>
      </c>
      <c r="H689" s="1" t="str">
        <f>IFERROR(__xludf.DUMMYFUNCTION("""COMPUTED_VALUE"""),"-82.7181")</f>
        <v>-82.7181</v>
      </c>
      <c r="I689" s="1" t="str">
        <f>IFERROR(__xludf.DUMMYFUNCTION("""COMPUTED_VALUE"""),"Approved/Permitted/Under construction")</f>
        <v>Approved/Permitted/Under construction</v>
      </c>
      <c r="J689" s="1" t="str">
        <f>IFERROR(__xludf.DUMMYFUNCTION("""COMPUTED_VALUE"""),"High")</f>
        <v>High</v>
      </c>
      <c r="K689" s="1" t="str">
        <f>IFERROR(__xludf.DUMMYFUNCTION("""COMPUTED_VALUE"""),"")</f>
        <v/>
      </c>
      <c r="L689" s="1" t="str">
        <f>IFERROR(__xludf.DUMMYFUNCTION("""COMPUTED_VALUE"""),"")</f>
        <v/>
      </c>
      <c r="M689" s="1" t="str">
        <f>IFERROR(__xludf.DUMMYFUNCTION("""COMPUTED_VALUE"""),"")</f>
        <v/>
      </c>
      <c r="N689" s="1" t="str">
        <f>IFERROR(__xludf.DUMMYFUNCTION("""COMPUTED_VALUE"""),"")</f>
        <v/>
      </c>
      <c r="O689" s="1" t="str">
        <f>IFERROR(__xludf.DUMMYFUNCTION("""COMPUTED_VALUE"""),"Unknown")</f>
        <v>Unknown</v>
      </c>
      <c r="P689" s="1" t="str">
        <f>IFERROR(__xludf.DUMMYFUNCTION("""COMPUTED_VALUE"""),"")</f>
        <v/>
      </c>
      <c r="Q689" s="1" t="str">
        <f>IFERROR(__xludf.DUMMYFUNCTION("""COMPUTED_VALUE"""),"")</f>
        <v/>
      </c>
      <c r="R689" s="1" t="str">
        <f>IFERROR(__xludf.DUMMYFUNCTION("""COMPUTED_VALUE"""),"")</f>
        <v/>
      </c>
      <c r="S689" s="1" t="str">
        <f>IFERROR(__xludf.DUMMYFUNCTION("""COMPUTED_VALUE"""),"")</f>
        <v/>
      </c>
      <c r="T689" s="1" t="str">
        <f>IFERROR(__xludf.DUMMYFUNCTION("""COMPUTED_VALUE"""),"")</f>
        <v/>
      </c>
      <c r="U689" s="1" t="str">
        <f>IFERROR(__xludf.DUMMYFUNCTION("""COMPUTED_VALUE"""),"")</f>
        <v/>
      </c>
      <c r="V689" s="1" t="str">
        <f>IFERROR(__xludf.DUMMYFUNCTION("""COMPUTED_VALUE"""),"")</f>
        <v/>
      </c>
      <c r="W689" s="1" t="str">
        <f>IFERROR(__xludf.DUMMYFUNCTION("""COMPUTED_VALUE"""),"")</f>
        <v/>
      </c>
      <c r="X689" s="1" t="str">
        <f>IFERROR(__xludf.DUMMYFUNCTION("""COMPUTED_VALUE"""),"")</f>
        <v/>
      </c>
      <c r="Y689" s="1" t="str">
        <f>IFERROR(__xludf.DUMMYFUNCTION("""COMPUTED_VALUE"""),"")</f>
        <v/>
      </c>
      <c r="Z689" s="1" t="str">
        <f>IFERROR(__xludf.DUMMYFUNCTION("""COMPUTED_VALUE"""),"Unknown")</f>
        <v>Unknown</v>
      </c>
      <c r="AA689" s="1" t="str">
        <f>IFERROR(__xludf.DUMMYFUNCTION("""COMPUTED_VALUE"""),"")</f>
        <v/>
      </c>
      <c r="AB689" s="1" t="str">
        <f>IFERROR(__xludf.DUMMYFUNCTION("""COMPUTED_VALUE"""),"")</f>
        <v/>
      </c>
      <c r="AC689" s="1" t="str">
        <f>IFERROR(__xludf.DUMMYFUNCTION("""COMPUTED_VALUE"""),"")</f>
        <v/>
      </c>
      <c r="AD689" s="1" t="str">
        <f>IFERROR(__xludf.DUMMYFUNCTION("""COMPUTED_VALUE"""),"")</f>
        <v/>
      </c>
      <c r="AE689" s="1" t="str">
        <f>IFERROR(__xludf.DUMMYFUNCTION("""COMPUTED_VALUE"""),"")</f>
        <v/>
      </c>
      <c r="AF689" s="1" t="str">
        <f>IFERROR(__xludf.DUMMYFUNCTION("""COMPUTED_VALUE"""),"")</f>
        <v/>
      </c>
      <c r="AG689" s="1" t="str">
        <f>IFERROR(__xludf.DUMMYFUNCTION("""COMPUTED_VALUE"""),"")</f>
        <v/>
      </c>
      <c r="AH689" s="1" t="str">
        <f>IFERROR(__xludf.DUMMYFUNCTION("""COMPUTED_VALUE"""),"Media Monitoring")</f>
        <v>Media Monitoring</v>
      </c>
      <c r="AI689" s="2" t="str">
        <f>IFERROR(__xludf.DUMMYFUNCTION("""COMPUTED_VALUE"""),"https://www.datacenterdynamics.com/en/news/cyrusone-breaks-ground-on-new-albany-ohio-data-center/")</f>
        <v>https://www.datacenterdynamics.com/en/news/cyrusone-breaks-ground-on-new-albany-ohio-data-center/</v>
      </c>
      <c r="AJ689" s="1" t="str">
        <f>IFERROR(__xludf.DUMMYFUNCTION("""COMPUTED_VALUE"""),"")</f>
        <v/>
      </c>
      <c r="AK689" s="1" t="str">
        <f>IFERROR(__xludf.DUMMYFUNCTION("""COMPUTED_VALUE"""),"")</f>
        <v/>
      </c>
      <c r="AL689" s="1" t="str">
        <f>IFERROR(__xludf.DUMMYFUNCTION("""COMPUTED_VALUE"""),"")</f>
        <v/>
      </c>
      <c r="AM689" s="1" t="str">
        <f>IFERROR(__xludf.DUMMYFUNCTION("""COMPUTED_VALUE"""),"")</f>
        <v/>
      </c>
      <c r="AN689" s="1" t="str">
        <f>IFERROR(__xludf.DUMMYFUNCTION("""COMPUTED_VALUE"""),"")</f>
        <v/>
      </c>
      <c r="AO689" s="1" t="str">
        <f>IFERROR(__xludf.DUMMYFUNCTION("""COMPUTED_VALUE"""),"")</f>
        <v/>
      </c>
      <c r="AP689" s="1" t="str">
        <f>IFERROR(__xludf.DUMMYFUNCTION("""COMPUTED_VALUE"""),"")</f>
        <v/>
      </c>
      <c r="AQ689" s="1" t="str">
        <f>IFERROR(__xludf.DUMMYFUNCTION("""COMPUTED_VALUE"""),"09/18/2025")</f>
        <v>09/18/2025</v>
      </c>
      <c r="AR689" s="1" t="str">
        <f>IFERROR(__xludf.DUMMYFUNCTION("""COMPUTED_VALUE"""),"09/18/2025")</f>
        <v>09/18/2025</v>
      </c>
    </row>
    <row r="690">
      <c r="A690" s="1" t="str">
        <f>IFERROR(__xludf.DUMMYFUNCTION("""COMPUTED_VALUE"""),"EdgeConneX New Albany Data Center")</f>
        <v>EdgeConneX New Albany Data Center</v>
      </c>
      <c r="B690" s="1" t="str">
        <f>IFERROR(__xludf.DUMMYFUNCTION("""COMPUTED_VALUE"""),"9850 Innovation Campus Way W")</f>
        <v>9850 Innovation Campus Way W</v>
      </c>
      <c r="C690" s="1" t="str">
        <f>IFERROR(__xludf.DUMMYFUNCTION("""COMPUTED_VALUE"""),"Johnstown")</f>
        <v>Johnstown</v>
      </c>
      <c r="D690" s="1" t="str">
        <f>IFERROR(__xludf.DUMMYFUNCTION("""COMPUTED_VALUE"""),"OH")</f>
        <v>OH</v>
      </c>
      <c r="E690" s="1" t="str">
        <f>IFERROR(__xludf.DUMMYFUNCTION("""COMPUTED_VALUE"""),"43031")</f>
        <v>43031</v>
      </c>
      <c r="F690" s="1" t="str">
        <f>IFERROR(__xludf.DUMMYFUNCTION("""COMPUTED_VALUE"""),"Licking")</f>
        <v>Licking</v>
      </c>
      <c r="G690" s="1" t="str">
        <f>IFERROR(__xludf.DUMMYFUNCTION("""COMPUTED_VALUE"""),"40.08851")</f>
        <v>40.08851</v>
      </c>
      <c r="H690" s="1" t="str">
        <f>IFERROR(__xludf.DUMMYFUNCTION("""COMPUTED_VALUE"""),"-82.7583")</f>
        <v>-82.7583</v>
      </c>
      <c r="I690" s="1" t="str">
        <f>IFERROR(__xludf.DUMMYFUNCTION("""COMPUTED_VALUE"""),"Approved/Permitted/Under construction")</f>
        <v>Approved/Permitted/Under construction</v>
      </c>
      <c r="J690" s="1" t="str">
        <f>IFERROR(__xludf.DUMMYFUNCTION("""COMPUTED_VALUE"""),"High")</f>
        <v>High</v>
      </c>
      <c r="K690" s="1" t="str">
        <f>IFERROR(__xludf.DUMMYFUNCTION("""COMPUTED_VALUE"""),"")</f>
        <v/>
      </c>
      <c r="L690" s="1" t="str">
        <f>IFERROR(__xludf.DUMMYFUNCTION("""COMPUTED_VALUE"""),"EdgeConneX")</f>
        <v>EdgeConneX</v>
      </c>
      <c r="M690" s="1" t="str">
        <f>IFERROR(__xludf.DUMMYFUNCTION("""COMPUTED_VALUE"""),"")</f>
        <v/>
      </c>
      <c r="N690" s="1" t="str">
        <f>IFERROR(__xludf.DUMMYFUNCTION("""COMPUTED_VALUE"""),"120-766")</f>
        <v>120-766</v>
      </c>
      <c r="O690" s="1" t="str">
        <f>IFERROR(__xludf.DUMMYFUNCTION("""COMPUTED_VALUE"""),"Hyperscale (100-999 MW)")</f>
        <v>Hyperscale (100-999 MW)</v>
      </c>
      <c r="P690" s="1" t="str">
        <f>IFERROR(__xludf.DUMMYFUNCTION("""COMPUTED_VALUE"""),"Natural gas")</f>
        <v>Natural gas</v>
      </c>
      <c r="Q690" s="1" t="str">
        <f>IFERROR(__xludf.DUMMYFUNCTION("""COMPUTED_VALUE"""),"Yes - PowerConneX I, II, and III New Albany Energy Center")</f>
        <v>Yes - PowerConneX I, II, and III New Albany Energy Center</v>
      </c>
      <c r="R690" s="1" t="str">
        <f>IFERROR(__xludf.DUMMYFUNCTION("""COMPUTED_VALUE"""),"")</f>
        <v/>
      </c>
      <c r="S690" s="1" t="str">
        <f>IFERROR(__xludf.DUMMYFUNCTION("""COMPUTED_VALUE"""),"4+")</f>
        <v>4+</v>
      </c>
      <c r="T690" s="1" t="str">
        <f>IFERROR(__xludf.DUMMYFUNCTION("""COMPUTED_VALUE"""),"")</f>
        <v/>
      </c>
      <c r="U690" s="1" t="str">
        <f>IFERROR(__xludf.DUMMYFUNCTION("""COMPUTED_VALUE"""),"")</f>
        <v/>
      </c>
      <c r="V690" s="1" t="str">
        <f>IFERROR(__xludf.DUMMYFUNCTION("""COMPUTED_VALUE"""),"1,225,000")</f>
        <v>1,225,000</v>
      </c>
      <c r="W690" s="1" t="str">
        <f>IFERROR(__xludf.DUMMYFUNCTION("""COMPUTED_VALUE"""),"270")</f>
        <v>270</v>
      </c>
      <c r="X690" s="1" t="str">
        <f>IFERROR(__xludf.DUMMYFUNCTION("""COMPUTED_VALUE"""),"")</f>
        <v/>
      </c>
      <c r="Y690" s="1" t="str">
        <f>IFERROR(__xludf.DUMMYFUNCTION("""COMPUTED_VALUE"""),"2026")</f>
        <v>2026</v>
      </c>
      <c r="Z690" s="1" t="str">
        <f>IFERROR(__xludf.DUMMYFUNCTION("""COMPUTED_VALUE"""),"Unknown")</f>
        <v>Unknown</v>
      </c>
      <c r="AA690" s="1" t="str">
        <f>IFERROR(__xludf.DUMMYFUNCTION("""COMPUTED_VALUE"""),"")</f>
        <v/>
      </c>
      <c r="AB690" s="1" t="str">
        <f>IFERROR(__xludf.DUMMYFUNCTION("""COMPUTED_VALUE"""),"")</f>
        <v/>
      </c>
      <c r="AC690" s="1" t="str">
        <f>IFERROR(__xludf.DUMMYFUNCTION("""COMPUTED_VALUE"""),"")</f>
        <v/>
      </c>
      <c r="AD690" s="1" t="str">
        <f>IFERROR(__xludf.DUMMYFUNCTION("""COMPUTED_VALUE"""),"")</f>
        <v/>
      </c>
      <c r="AE690" s="1" t="str">
        <f>IFERROR(__xludf.DUMMYFUNCTION("""COMPUTED_VALUE"""),"")</f>
        <v/>
      </c>
      <c r="AF690" s="1" t="str">
        <f>IFERROR(__xludf.DUMMYFUNCTION("""COMPUTED_VALUE"""),"")</f>
        <v/>
      </c>
      <c r="AG690" s="1" t="str">
        <f>IFERROR(__xludf.DUMMYFUNCTION("""COMPUTED_VALUE"""),"Phase 1 - 120 MW gas plant and a 524,525 sq ft building, Phase II - 216 MW gas plant and two-story 700,000 sq ft building, as well as a separate 80,000 sq ft (7,430 sqm) energy center building housing gas-fired generators, Phase III - 430 MW gas plant.")</f>
        <v>Phase 1 - 120 MW gas plant and a 524,525 sq ft building, Phase II - 216 MW gas plant and two-story 700,000 sq ft building, as well as a separate 80,000 sq ft (7,430 sqm) energy center building housing gas-fired generators, Phase III - 430 MW gas plant.</v>
      </c>
      <c r="AH690" s="1" t="str">
        <f>IFERROR(__xludf.DUMMYFUNCTION("""COMPUTED_VALUE"""),"Media Monitoring")</f>
        <v>Media Monitoring</v>
      </c>
      <c r="AI690" s="2" t="str">
        <f>IFERROR(__xludf.DUMMYFUNCTION("""COMPUTED_VALUE"""),"https://www.datacenterdynamics.com/en/news/edgeconnex-files-to-convert-warehouse-and-build-new-700000-sq-ft-data-center-in-new-albany-ohio/")</f>
        <v>https://www.datacenterdynamics.com/en/news/edgeconnex-files-to-convert-warehouse-and-build-new-700000-sq-ft-data-center-in-new-albany-ohio/</v>
      </c>
      <c r="AJ690" s="2" t="str">
        <f>IFERROR(__xludf.DUMMYFUNCTION("""COMPUTED_VALUE"""),"https://www.datacenterdynamics.com/en/news/edgeconnex-affiliate-proposes-430mw-natural-gas-plant-to-power-data-center-campus-in-new-albany-ohio/")</f>
        <v>https://www.datacenterdynamics.com/en/news/edgeconnex-affiliate-proposes-430mw-natural-gas-plant-to-power-data-center-campus-in-new-albany-ohio/</v>
      </c>
      <c r="AK690" s="1" t="str">
        <f>IFERROR(__xludf.DUMMYFUNCTION("""COMPUTED_VALUE"""),"")</f>
        <v/>
      </c>
      <c r="AL690" s="1" t="str">
        <f>IFERROR(__xludf.DUMMYFUNCTION("""COMPUTED_VALUE"""),"")</f>
        <v/>
      </c>
      <c r="AM690" s="1" t="str">
        <f>IFERROR(__xludf.DUMMYFUNCTION("""COMPUTED_VALUE"""),"")</f>
        <v/>
      </c>
      <c r="AN690" s="1" t="str">
        <f>IFERROR(__xludf.DUMMYFUNCTION("""COMPUTED_VALUE"""),"")</f>
        <v/>
      </c>
      <c r="AO690" s="1" t="str">
        <f>IFERROR(__xludf.DUMMYFUNCTION("""COMPUTED_VALUE"""),"")</f>
        <v/>
      </c>
      <c r="AP690" s="1" t="str">
        <f>IFERROR(__xludf.DUMMYFUNCTION("""COMPUTED_VALUE"""),"")</f>
        <v/>
      </c>
      <c r="AQ690" s="1" t="str">
        <f>IFERROR(__xludf.DUMMYFUNCTION("""COMPUTED_VALUE"""),"07/15/2025")</f>
        <v>07/15/2025</v>
      </c>
      <c r="AR690" s="1" t="str">
        <f>IFERROR(__xludf.DUMMYFUNCTION("""COMPUTED_VALUE"""),"04/24/2026")</f>
        <v>04/24/2026</v>
      </c>
    </row>
    <row r="691">
      <c r="A691" s="1" t="str">
        <f>IFERROR(__xludf.DUMMYFUNCTION("""COMPUTED_VALUE"""),"Johnstown Data Center (Beech Rd.) ")</f>
        <v>Johnstown Data Center (Beech Rd.) </v>
      </c>
      <c r="B691" s="1" t="str">
        <f>IFERROR(__xludf.DUMMYFUNCTION("""COMPUTED_VALUE"""),"4200 Beech Rd NW")</f>
        <v>4200 Beech Rd NW</v>
      </c>
      <c r="C691" s="1" t="str">
        <f>IFERROR(__xludf.DUMMYFUNCTION("""COMPUTED_VALUE"""),"Johnstown")</f>
        <v>Johnstown</v>
      </c>
      <c r="D691" s="1" t="str">
        <f>IFERROR(__xludf.DUMMYFUNCTION("""COMPUTED_VALUE"""),"OH")</f>
        <v>OH</v>
      </c>
      <c r="E691" s="1" t="str">
        <f>IFERROR(__xludf.DUMMYFUNCTION("""COMPUTED_VALUE"""),"43031")</f>
        <v>43031</v>
      </c>
      <c r="F691" s="1" t="str">
        <f>IFERROR(__xludf.DUMMYFUNCTION("""COMPUTED_VALUE"""),"Licking")</f>
        <v>Licking</v>
      </c>
      <c r="G691" s="1" t="str">
        <f>IFERROR(__xludf.DUMMYFUNCTION("""COMPUTED_VALUE"""),"40.11718")</f>
        <v>40.11718</v>
      </c>
      <c r="H691" s="1" t="str">
        <f>IFERROR(__xludf.DUMMYFUNCTION("""COMPUTED_VALUE"""),"-82.7506")</f>
        <v>-82.7506</v>
      </c>
      <c r="I691" s="1" t="str">
        <f>IFERROR(__xludf.DUMMYFUNCTION("""COMPUTED_VALUE"""),"Proposed")</f>
        <v>Proposed</v>
      </c>
      <c r="J691" s="1" t="str">
        <f>IFERROR(__xludf.DUMMYFUNCTION("""COMPUTED_VALUE"""),"High")</f>
        <v>High</v>
      </c>
      <c r="K691" s="1" t="str">
        <f>IFERROR(__xludf.DUMMYFUNCTION("""COMPUTED_VALUE"""),"")</f>
        <v/>
      </c>
      <c r="L691" s="1" t="str">
        <f>IFERROR(__xludf.DUMMYFUNCTION("""COMPUTED_VALUE"""),"")</f>
        <v/>
      </c>
      <c r="M691" s="1" t="str">
        <f>IFERROR(__xludf.DUMMYFUNCTION("""COMPUTED_VALUE"""),"")</f>
        <v/>
      </c>
      <c r="N691" s="1" t="str">
        <f>IFERROR(__xludf.DUMMYFUNCTION("""COMPUTED_VALUE"""),"")</f>
        <v/>
      </c>
      <c r="O691" s="1" t="str">
        <f>IFERROR(__xludf.DUMMYFUNCTION("""COMPUTED_VALUE"""),"Unknown")</f>
        <v>Unknown</v>
      </c>
      <c r="P691" s="1" t="str">
        <f>IFERROR(__xludf.DUMMYFUNCTION("""COMPUTED_VALUE"""),"")</f>
        <v/>
      </c>
      <c r="Q691" s="1" t="str">
        <f>IFERROR(__xludf.DUMMYFUNCTION("""COMPUTED_VALUE"""),"")</f>
        <v/>
      </c>
      <c r="R691" s="1" t="str">
        <f>IFERROR(__xludf.DUMMYFUNCTION("""COMPUTED_VALUE"""),"")</f>
        <v/>
      </c>
      <c r="S691" s="1" t="str">
        <f>IFERROR(__xludf.DUMMYFUNCTION("""COMPUTED_VALUE"""),"")</f>
        <v/>
      </c>
      <c r="T691" s="1" t="str">
        <f>IFERROR(__xludf.DUMMYFUNCTION("""COMPUTED_VALUE"""),"")</f>
        <v/>
      </c>
      <c r="U691" s="1" t="str">
        <f>IFERROR(__xludf.DUMMYFUNCTION("""COMPUTED_VALUE"""),"")</f>
        <v/>
      </c>
      <c r="V691" s="1" t="str">
        <f>IFERROR(__xludf.DUMMYFUNCTION("""COMPUTED_VALUE"""),"")</f>
        <v/>
      </c>
      <c r="W691" s="1" t="str">
        <f>IFERROR(__xludf.DUMMYFUNCTION("""COMPUTED_VALUE"""),"439")</f>
        <v>439</v>
      </c>
      <c r="X691" s="1" t="str">
        <f>IFERROR(__xludf.DUMMYFUNCTION("""COMPUTED_VALUE"""),"")</f>
        <v/>
      </c>
      <c r="Y691" s="1" t="str">
        <f>IFERROR(__xludf.DUMMYFUNCTION("""COMPUTED_VALUE"""),"")</f>
        <v/>
      </c>
      <c r="Z691" s="1" t="str">
        <f>IFERROR(__xludf.DUMMYFUNCTION("""COMPUTED_VALUE"""),"Unknown")</f>
        <v>Unknown</v>
      </c>
      <c r="AA691" s="1" t="str">
        <f>IFERROR(__xludf.DUMMYFUNCTION("""COMPUTED_VALUE"""),"")</f>
        <v/>
      </c>
      <c r="AB691" s="1" t="str">
        <f>IFERROR(__xludf.DUMMYFUNCTION("""COMPUTED_VALUE"""),"")</f>
        <v/>
      </c>
      <c r="AC691" s="1" t="str">
        <f>IFERROR(__xludf.DUMMYFUNCTION("""COMPUTED_VALUE"""),"")</f>
        <v/>
      </c>
      <c r="AD691" s="1" t="str">
        <f>IFERROR(__xludf.DUMMYFUNCTION("""COMPUTED_VALUE"""),"")</f>
        <v/>
      </c>
      <c r="AE691" s="1" t="str">
        <f>IFERROR(__xludf.DUMMYFUNCTION("""COMPUTED_VALUE"""),"")</f>
        <v/>
      </c>
      <c r="AF691" s="1" t="str">
        <f>IFERROR(__xludf.DUMMYFUNCTION("""COMPUTED_VALUE"""),"")</f>
        <v/>
      </c>
      <c r="AG691" s="1" t="str">
        <f>IFERROR(__xludf.DUMMYFUNCTION("""COMPUTED_VALUE"""),"")</f>
        <v/>
      </c>
      <c r="AH691" s="1" t="str">
        <f>IFERROR(__xludf.DUMMYFUNCTION("""COMPUTED_VALUE"""),"Media Monitoring")</f>
        <v>Media Monitoring</v>
      </c>
      <c r="AI691" s="2" t="str">
        <f>IFERROR(__xludf.DUMMYFUNCTION("""COMPUTED_VALUE"""),"https://www.datacenterdynamics.com/en/news/amazon-plans-five-building-data-center-campus-in-new-albany-ohio/")</f>
        <v>https://www.datacenterdynamics.com/en/news/amazon-plans-five-building-data-center-campus-in-new-albany-ohio/</v>
      </c>
      <c r="AJ691" s="1" t="str">
        <f>IFERROR(__xludf.DUMMYFUNCTION("""COMPUTED_VALUE"""),"")</f>
        <v/>
      </c>
      <c r="AK691" s="1" t="str">
        <f>IFERROR(__xludf.DUMMYFUNCTION("""COMPUTED_VALUE"""),"")</f>
        <v/>
      </c>
      <c r="AL691" s="1" t="str">
        <f>IFERROR(__xludf.DUMMYFUNCTION("""COMPUTED_VALUE"""),"")</f>
        <v/>
      </c>
      <c r="AM691" s="1" t="str">
        <f>IFERROR(__xludf.DUMMYFUNCTION("""COMPUTED_VALUE"""),"")</f>
        <v/>
      </c>
      <c r="AN691" s="1" t="str">
        <f>IFERROR(__xludf.DUMMYFUNCTION("""COMPUTED_VALUE"""),"")</f>
        <v/>
      </c>
      <c r="AO691" s="1" t="str">
        <f>IFERROR(__xludf.DUMMYFUNCTION("""COMPUTED_VALUE"""),"")</f>
        <v/>
      </c>
      <c r="AP691" s="1" t="str">
        <f>IFERROR(__xludf.DUMMYFUNCTION("""COMPUTED_VALUE"""),"")</f>
        <v/>
      </c>
      <c r="AQ691" s="1" t="str">
        <f>IFERROR(__xludf.DUMMYFUNCTION("""COMPUTED_VALUE"""),"05/26/2025")</f>
        <v>05/26/2025</v>
      </c>
      <c r="AR691" s="1" t="str">
        <f>IFERROR(__xludf.DUMMYFUNCTION("""COMPUTED_VALUE"""),"05/26/2025")</f>
        <v>05/26/2025</v>
      </c>
    </row>
    <row r="692">
      <c r="A692" s="1" t="str">
        <f>IFERROR(__xludf.DUMMYFUNCTION("""COMPUTED_VALUE"""),"Johnstown Data Center (Beech Rd)")</f>
        <v>Johnstown Data Center (Beech Rd)</v>
      </c>
      <c r="B692" s="1" t="str">
        <f>IFERROR(__xludf.DUMMYFUNCTION("""COMPUTED_VALUE"""),"2801 Beech Rd NW")</f>
        <v>2801 Beech Rd NW</v>
      </c>
      <c r="C692" s="1" t="str">
        <f>IFERROR(__xludf.DUMMYFUNCTION("""COMPUTED_VALUE"""),"Johnstown")</f>
        <v>Johnstown</v>
      </c>
      <c r="D692" s="1" t="str">
        <f>IFERROR(__xludf.DUMMYFUNCTION("""COMPUTED_VALUE"""),"OH")</f>
        <v>OH</v>
      </c>
      <c r="E692" s="1" t="str">
        <f>IFERROR(__xludf.DUMMYFUNCTION("""COMPUTED_VALUE"""),"43031")</f>
        <v>43031</v>
      </c>
      <c r="F692" s="1" t="str">
        <f>IFERROR(__xludf.DUMMYFUNCTION("""COMPUTED_VALUE"""),"Licking")</f>
        <v>Licking</v>
      </c>
      <c r="G692" s="1" t="str">
        <f>IFERROR(__xludf.DUMMYFUNCTION("""COMPUTED_VALUE"""),"40.09769")</f>
        <v>40.09769</v>
      </c>
      <c r="H692" s="1" t="str">
        <f>IFERROR(__xludf.DUMMYFUNCTION("""COMPUTED_VALUE"""),"-82.7533")</f>
        <v>-82.7533</v>
      </c>
      <c r="I692" s="1" t="str">
        <f>IFERROR(__xludf.DUMMYFUNCTION("""COMPUTED_VALUE"""),"Proposed")</f>
        <v>Proposed</v>
      </c>
      <c r="J692" s="1" t="str">
        <f>IFERROR(__xludf.DUMMYFUNCTION("""COMPUTED_VALUE"""),"High")</f>
        <v>High</v>
      </c>
      <c r="K692" s="1" t="str">
        <f>IFERROR(__xludf.DUMMYFUNCTION("""COMPUTED_VALUE"""),"")</f>
        <v/>
      </c>
      <c r="L692" s="1" t="str">
        <f>IFERROR(__xludf.DUMMYFUNCTION("""COMPUTED_VALUE"""),"Amazon")</f>
        <v>Amazon</v>
      </c>
      <c r="M692" s="1" t="str">
        <f>IFERROR(__xludf.DUMMYFUNCTION("""COMPUTED_VALUE"""),"")</f>
        <v/>
      </c>
      <c r="N692" s="1" t="str">
        <f>IFERROR(__xludf.DUMMYFUNCTION("""COMPUTED_VALUE"""),"")</f>
        <v/>
      </c>
      <c r="O692" s="1" t="str">
        <f>IFERROR(__xludf.DUMMYFUNCTION("""COMPUTED_VALUE"""),"Unknown")</f>
        <v>Unknown</v>
      </c>
      <c r="P692" s="1" t="str">
        <f>IFERROR(__xludf.DUMMYFUNCTION("""COMPUTED_VALUE"""),"")</f>
        <v/>
      </c>
      <c r="Q692" s="1" t="str">
        <f>IFERROR(__xludf.DUMMYFUNCTION("""COMPUTED_VALUE"""),"")</f>
        <v/>
      </c>
      <c r="R692" s="1" t="str">
        <f>IFERROR(__xludf.DUMMYFUNCTION("""COMPUTED_VALUE"""),"")</f>
        <v/>
      </c>
      <c r="S692" s="1" t="str">
        <f>IFERROR(__xludf.DUMMYFUNCTION("""COMPUTED_VALUE"""),"")</f>
        <v/>
      </c>
      <c r="T692" s="1" t="str">
        <f>IFERROR(__xludf.DUMMYFUNCTION("""COMPUTED_VALUE"""),"")</f>
        <v/>
      </c>
      <c r="U692" s="1" t="str">
        <f>IFERROR(__xludf.DUMMYFUNCTION("""COMPUTED_VALUE"""),"")</f>
        <v/>
      </c>
      <c r="V692" s="1" t="str">
        <f>IFERROR(__xludf.DUMMYFUNCTION("""COMPUTED_VALUE"""),"")</f>
        <v/>
      </c>
      <c r="W692" s="1" t="str">
        <f>IFERROR(__xludf.DUMMYFUNCTION("""COMPUTED_VALUE"""),"112")</f>
        <v>112</v>
      </c>
      <c r="X692" s="1" t="str">
        <f>IFERROR(__xludf.DUMMYFUNCTION("""COMPUTED_VALUE"""),"")</f>
        <v/>
      </c>
      <c r="Y692" s="1" t="str">
        <f>IFERROR(__xludf.DUMMYFUNCTION("""COMPUTED_VALUE"""),"")</f>
        <v/>
      </c>
      <c r="Z692" s="1" t="str">
        <f>IFERROR(__xludf.DUMMYFUNCTION("""COMPUTED_VALUE"""),"Unknown")</f>
        <v>Unknown</v>
      </c>
      <c r="AA692" s="1" t="str">
        <f>IFERROR(__xludf.DUMMYFUNCTION("""COMPUTED_VALUE"""),"")</f>
        <v/>
      </c>
      <c r="AB692" s="1" t="str">
        <f>IFERROR(__xludf.DUMMYFUNCTION("""COMPUTED_VALUE"""),"")</f>
        <v/>
      </c>
      <c r="AC692" s="1" t="str">
        <f>IFERROR(__xludf.DUMMYFUNCTION("""COMPUTED_VALUE"""),"")</f>
        <v/>
      </c>
      <c r="AD692" s="1" t="str">
        <f>IFERROR(__xludf.DUMMYFUNCTION("""COMPUTED_VALUE"""),"")</f>
        <v/>
      </c>
      <c r="AE692" s="1" t="str">
        <f>IFERROR(__xludf.DUMMYFUNCTION("""COMPUTED_VALUE"""),"")</f>
        <v/>
      </c>
      <c r="AF692" s="1" t="str">
        <f>IFERROR(__xludf.DUMMYFUNCTION("""COMPUTED_VALUE"""),"")</f>
        <v/>
      </c>
      <c r="AG692" s="1" t="str">
        <f>IFERROR(__xludf.DUMMYFUNCTION("""COMPUTED_VALUE"""),"")</f>
        <v/>
      </c>
      <c r="AH692" s="1" t="str">
        <f>IFERROR(__xludf.DUMMYFUNCTION("""COMPUTED_VALUE"""),"Media Monitoring")</f>
        <v>Media Monitoring</v>
      </c>
      <c r="AI692" s="2" t="str">
        <f>IFERROR(__xludf.DUMMYFUNCTION("""COMPUTED_VALUE"""),"https://www.datacenterdynamics.com/en/news/amazon-buys-112-acre-plot-new-data-center-new-albany-ohio/")</f>
        <v>https://www.datacenterdynamics.com/en/news/amazon-buys-112-acre-plot-new-data-center-new-albany-ohio/</v>
      </c>
      <c r="AJ692" s="1" t="str">
        <f>IFERROR(__xludf.DUMMYFUNCTION("""COMPUTED_VALUE"""),"")</f>
        <v/>
      </c>
      <c r="AK692" s="1" t="str">
        <f>IFERROR(__xludf.DUMMYFUNCTION("""COMPUTED_VALUE"""),"")</f>
        <v/>
      </c>
      <c r="AL692" s="1" t="str">
        <f>IFERROR(__xludf.DUMMYFUNCTION("""COMPUTED_VALUE"""),"")</f>
        <v/>
      </c>
      <c r="AM692" s="1" t="str">
        <f>IFERROR(__xludf.DUMMYFUNCTION("""COMPUTED_VALUE"""),"")</f>
        <v/>
      </c>
      <c r="AN692" s="1" t="str">
        <f>IFERROR(__xludf.DUMMYFUNCTION("""COMPUTED_VALUE"""),"")</f>
        <v/>
      </c>
      <c r="AO692" s="1" t="str">
        <f>IFERROR(__xludf.DUMMYFUNCTION("""COMPUTED_VALUE"""),"")</f>
        <v/>
      </c>
      <c r="AP692" s="1" t="str">
        <f>IFERROR(__xludf.DUMMYFUNCTION("""COMPUTED_VALUE"""),"")</f>
        <v/>
      </c>
      <c r="AQ692" s="1" t="str">
        <f>IFERROR(__xludf.DUMMYFUNCTION("""COMPUTED_VALUE"""),"05/26/2025")</f>
        <v>05/26/2025</v>
      </c>
      <c r="AR692" s="1" t="str">
        <f>IFERROR(__xludf.DUMMYFUNCTION("""COMPUTED_VALUE"""),"05/26/2025")</f>
        <v>05/26/2025</v>
      </c>
    </row>
    <row r="693">
      <c r="A693" s="1" t="str">
        <f>IFERROR(__xludf.DUMMYFUNCTION("""COMPUTED_VALUE"""),"Johnstown Data Center (Beech Rd NW)")</f>
        <v>Johnstown Data Center (Beech Rd NW)</v>
      </c>
      <c r="B693" s="1" t="str">
        <f>IFERROR(__xludf.DUMMYFUNCTION("""COMPUTED_VALUE"""),"2570 Beech Rd NW")</f>
        <v>2570 Beech Rd NW</v>
      </c>
      <c r="C693" s="1" t="str">
        <f>IFERROR(__xludf.DUMMYFUNCTION("""COMPUTED_VALUE"""),"Johnstown")</f>
        <v>Johnstown</v>
      </c>
      <c r="D693" s="1" t="str">
        <f>IFERROR(__xludf.DUMMYFUNCTION("""COMPUTED_VALUE"""),"OH")</f>
        <v>OH</v>
      </c>
      <c r="E693" s="1" t="str">
        <f>IFERROR(__xludf.DUMMYFUNCTION("""COMPUTED_VALUE"""),"43031")</f>
        <v>43031</v>
      </c>
      <c r="F693" s="1" t="str">
        <f>IFERROR(__xludf.DUMMYFUNCTION("""COMPUTED_VALUE"""),"Licking")</f>
        <v>Licking</v>
      </c>
      <c r="G693" s="1" t="str">
        <f>IFERROR(__xludf.DUMMYFUNCTION("""COMPUTED_VALUE"""),"40.09421")</f>
        <v>40.09421</v>
      </c>
      <c r="H693" s="1" t="str">
        <f>IFERROR(__xludf.DUMMYFUNCTION("""COMPUTED_VALUE"""),"-82.7514")</f>
        <v>-82.7514</v>
      </c>
      <c r="I693" s="1" t="str">
        <f>IFERROR(__xludf.DUMMYFUNCTION("""COMPUTED_VALUE"""),"Proposed")</f>
        <v>Proposed</v>
      </c>
      <c r="J693" s="1" t="str">
        <f>IFERROR(__xludf.DUMMYFUNCTION("""COMPUTED_VALUE"""),"High")</f>
        <v>High</v>
      </c>
      <c r="K693" s="1" t="str">
        <f>IFERROR(__xludf.DUMMYFUNCTION("""COMPUTED_VALUE"""),"")</f>
        <v/>
      </c>
      <c r="L693" s="1" t="str">
        <f>IFERROR(__xludf.DUMMYFUNCTION("""COMPUTED_VALUE"""),"Amazon")</f>
        <v>Amazon</v>
      </c>
      <c r="M693" s="1" t="str">
        <f>IFERROR(__xludf.DUMMYFUNCTION("""COMPUTED_VALUE"""),"")</f>
        <v/>
      </c>
      <c r="N693" s="1" t="str">
        <f>IFERROR(__xludf.DUMMYFUNCTION("""COMPUTED_VALUE"""),"")</f>
        <v/>
      </c>
      <c r="O693" s="1" t="str">
        <f>IFERROR(__xludf.DUMMYFUNCTION("""COMPUTED_VALUE"""),"Unknown")</f>
        <v>Unknown</v>
      </c>
      <c r="P693" s="1" t="str">
        <f>IFERROR(__xludf.DUMMYFUNCTION("""COMPUTED_VALUE"""),"")</f>
        <v/>
      </c>
      <c r="Q693" s="1" t="str">
        <f>IFERROR(__xludf.DUMMYFUNCTION("""COMPUTED_VALUE"""),"")</f>
        <v/>
      </c>
      <c r="R693" s="1" t="str">
        <f>IFERROR(__xludf.DUMMYFUNCTION("""COMPUTED_VALUE"""),"")</f>
        <v/>
      </c>
      <c r="S693" s="1" t="str">
        <f>IFERROR(__xludf.DUMMYFUNCTION("""COMPUTED_VALUE"""),"")</f>
        <v/>
      </c>
      <c r="T693" s="1" t="str">
        <f>IFERROR(__xludf.DUMMYFUNCTION("""COMPUTED_VALUE"""),"")</f>
        <v/>
      </c>
      <c r="U693" s="1" t="str">
        <f>IFERROR(__xludf.DUMMYFUNCTION("""COMPUTED_VALUE"""),"")</f>
        <v/>
      </c>
      <c r="V693" s="1" t="str">
        <f>IFERROR(__xludf.DUMMYFUNCTION("""COMPUTED_VALUE"""),"459,000")</f>
        <v>459,000</v>
      </c>
      <c r="W693" s="1" t="str">
        <f>IFERROR(__xludf.DUMMYFUNCTION("""COMPUTED_VALUE"""),"68")</f>
        <v>68</v>
      </c>
      <c r="X693" s="1" t="str">
        <f>IFERROR(__xludf.DUMMYFUNCTION("""COMPUTED_VALUE"""),"")</f>
        <v/>
      </c>
      <c r="Y693" s="1" t="str">
        <f>IFERROR(__xludf.DUMMYFUNCTION("""COMPUTED_VALUE"""),"")</f>
        <v/>
      </c>
      <c r="Z693" s="1" t="str">
        <f>IFERROR(__xludf.DUMMYFUNCTION("""COMPUTED_VALUE"""),"Unknown")</f>
        <v>Unknown</v>
      </c>
      <c r="AA693" s="1" t="str">
        <f>IFERROR(__xludf.DUMMYFUNCTION("""COMPUTED_VALUE"""),"")</f>
        <v/>
      </c>
      <c r="AB693" s="1" t="str">
        <f>IFERROR(__xludf.DUMMYFUNCTION("""COMPUTED_VALUE"""),"")</f>
        <v/>
      </c>
      <c r="AC693" s="1" t="str">
        <f>IFERROR(__xludf.DUMMYFUNCTION("""COMPUTED_VALUE"""),"")</f>
        <v/>
      </c>
      <c r="AD693" s="1" t="str">
        <f>IFERROR(__xludf.DUMMYFUNCTION("""COMPUTED_VALUE"""),"")</f>
        <v/>
      </c>
      <c r="AE693" s="1" t="str">
        <f>IFERROR(__xludf.DUMMYFUNCTION("""COMPUTED_VALUE"""),"")</f>
        <v/>
      </c>
      <c r="AF693" s="1" t="str">
        <f>IFERROR(__xludf.DUMMYFUNCTION("""COMPUTED_VALUE"""),"")</f>
        <v/>
      </c>
      <c r="AG693" s="1" t="str">
        <f>IFERROR(__xludf.DUMMYFUNCTION("""COMPUTED_VALUE"""),"")</f>
        <v/>
      </c>
      <c r="AH693" s="1" t="str">
        <f>IFERROR(__xludf.DUMMYFUNCTION("""COMPUTED_VALUE"""),"Media Monitoring")</f>
        <v>Media Monitoring</v>
      </c>
      <c r="AI693" s="2" t="str">
        <f>IFERROR(__xludf.DUMMYFUNCTION("""COMPUTED_VALUE"""),"https://www.datacenterdynamics.com/en/news/amazon-plans-five-building-data-center-campus-in-new-albany-ohio/")</f>
        <v>https://www.datacenterdynamics.com/en/news/amazon-plans-five-building-data-center-campus-in-new-albany-ohio/</v>
      </c>
      <c r="AJ693" s="1" t="str">
        <f>IFERROR(__xludf.DUMMYFUNCTION("""COMPUTED_VALUE"""),"")</f>
        <v/>
      </c>
      <c r="AK693" s="1" t="str">
        <f>IFERROR(__xludf.DUMMYFUNCTION("""COMPUTED_VALUE"""),"")</f>
        <v/>
      </c>
      <c r="AL693" s="1" t="str">
        <f>IFERROR(__xludf.DUMMYFUNCTION("""COMPUTED_VALUE"""),"")</f>
        <v/>
      </c>
      <c r="AM693" s="1" t="str">
        <f>IFERROR(__xludf.DUMMYFUNCTION("""COMPUTED_VALUE"""),"")</f>
        <v/>
      </c>
      <c r="AN693" s="1" t="str">
        <f>IFERROR(__xludf.DUMMYFUNCTION("""COMPUTED_VALUE"""),"")</f>
        <v/>
      </c>
      <c r="AO693" s="1" t="str">
        <f>IFERROR(__xludf.DUMMYFUNCTION("""COMPUTED_VALUE"""),"")</f>
        <v/>
      </c>
      <c r="AP693" s="1" t="str">
        <f>IFERROR(__xludf.DUMMYFUNCTION("""COMPUTED_VALUE"""),"")</f>
        <v/>
      </c>
      <c r="AQ693" s="1" t="str">
        <f>IFERROR(__xludf.DUMMYFUNCTION("""COMPUTED_VALUE"""),"05/26/2025")</f>
        <v>05/26/2025</v>
      </c>
      <c r="AR693" s="1" t="str">
        <f>IFERROR(__xludf.DUMMYFUNCTION("""COMPUTED_VALUE"""),"05/26/2025")</f>
        <v>05/26/2025</v>
      </c>
    </row>
    <row r="694">
      <c r="A694" s="1" t="str">
        <f>IFERROR(__xludf.DUMMYFUNCTION("""COMPUTED_VALUE"""),"Johnstown Data Center (Harrison Rd)")</f>
        <v>Johnstown Data Center (Harrison Rd)</v>
      </c>
      <c r="B694" s="1" t="str">
        <f>IFERROR(__xludf.DUMMYFUNCTION("""COMPUTED_VALUE"""),"2186 Harrison Rd NW")</f>
        <v>2186 Harrison Rd NW</v>
      </c>
      <c r="C694" s="1" t="str">
        <f>IFERROR(__xludf.DUMMYFUNCTION("""COMPUTED_VALUE"""),"Johnstown")</f>
        <v>Johnstown</v>
      </c>
      <c r="D694" s="1" t="str">
        <f>IFERROR(__xludf.DUMMYFUNCTION("""COMPUTED_VALUE"""),"OH")</f>
        <v>OH</v>
      </c>
      <c r="E694" s="1" t="str">
        <f>IFERROR(__xludf.DUMMYFUNCTION("""COMPUTED_VALUE"""),"43031")</f>
        <v>43031</v>
      </c>
      <c r="F694" s="1" t="str">
        <f>IFERROR(__xludf.DUMMYFUNCTION("""COMPUTED_VALUE"""),"Licking")</f>
        <v>Licking</v>
      </c>
      <c r="G694" s="1" t="str">
        <f>IFERROR(__xludf.DUMMYFUNCTION("""COMPUTED_VALUE"""),"40.08953")</f>
        <v>40.08953</v>
      </c>
      <c r="H694" s="1" t="str">
        <f>IFERROR(__xludf.DUMMYFUNCTION("""COMPUTED_VALUE"""),"-82.7346")</f>
        <v>-82.7346</v>
      </c>
      <c r="I694" s="1" t="str">
        <f>IFERROR(__xludf.DUMMYFUNCTION("""COMPUTED_VALUE"""),"Proposed")</f>
        <v>Proposed</v>
      </c>
      <c r="J694" s="1" t="str">
        <f>IFERROR(__xludf.DUMMYFUNCTION("""COMPUTED_VALUE"""),"High")</f>
        <v>High</v>
      </c>
      <c r="K694" s="1" t="str">
        <f>IFERROR(__xludf.DUMMYFUNCTION("""COMPUTED_VALUE"""),"")</f>
        <v/>
      </c>
      <c r="L694" s="1" t="str">
        <f>IFERROR(__xludf.DUMMYFUNCTION("""COMPUTED_VALUE"""),"Amazon")</f>
        <v>Amazon</v>
      </c>
      <c r="M694" s="1" t="str">
        <f>IFERROR(__xludf.DUMMYFUNCTION("""COMPUTED_VALUE"""),"")</f>
        <v/>
      </c>
      <c r="N694" s="1" t="str">
        <f>IFERROR(__xludf.DUMMYFUNCTION("""COMPUTED_VALUE"""),"")</f>
        <v/>
      </c>
      <c r="O694" s="1" t="str">
        <f>IFERROR(__xludf.DUMMYFUNCTION("""COMPUTED_VALUE"""),"Unknown")</f>
        <v>Unknown</v>
      </c>
      <c r="P694" s="1" t="str">
        <f>IFERROR(__xludf.DUMMYFUNCTION("""COMPUTED_VALUE"""),"")</f>
        <v/>
      </c>
      <c r="Q694" s="1" t="str">
        <f>IFERROR(__xludf.DUMMYFUNCTION("""COMPUTED_VALUE"""),"")</f>
        <v/>
      </c>
      <c r="R694" s="1" t="str">
        <f>IFERROR(__xludf.DUMMYFUNCTION("""COMPUTED_VALUE"""),"")</f>
        <v/>
      </c>
      <c r="S694" s="1" t="str">
        <f>IFERROR(__xludf.DUMMYFUNCTION("""COMPUTED_VALUE"""),"")</f>
        <v/>
      </c>
      <c r="T694" s="1" t="str">
        <f>IFERROR(__xludf.DUMMYFUNCTION("""COMPUTED_VALUE"""),"")</f>
        <v/>
      </c>
      <c r="U694" s="1" t="str">
        <f>IFERROR(__xludf.DUMMYFUNCTION("""COMPUTED_VALUE"""),"")</f>
        <v/>
      </c>
      <c r="V694" s="1" t="str">
        <f>IFERROR(__xludf.DUMMYFUNCTION("""COMPUTED_VALUE"""),"170,000")</f>
        <v>170,000</v>
      </c>
      <c r="W694" s="1" t="str">
        <f>IFERROR(__xludf.DUMMYFUNCTION("""COMPUTED_VALUE"""),"100")</f>
        <v>100</v>
      </c>
      <c r="X694" s="1" t="str">
        <f>IFERROR(__xludf.DUMMYFUNCTION("""COMPUTED_VALUE"""),"")</f>
        <v/>
      </c>
      <c r="Y694" s="1" t="str">
        <f>IFERROR(__xludf.DUMMYFUNCTION("""COMPUTED_VALUE"""),"")</f>
        <v/>
      </c>
      <c r="Z694" s="1" t="str">
        <f>IFERROR(__xludf.DUMMYFUNCTION("""COMPUTED_VALUE"""),"Unknown")</f>
        <v>Unknown</v>
      </c>
      <c r="AA694" s="1" t="str">
        <f>IFERROR(__xludf.DUMMYFUNCTION("""COMPUTED_VALUE"""),"")</f>
        <v/>
      </c>
      <c r="AB694" s="1" t="str">
        <f>IFERROR(__xludf.DUMMYFUNCTION("""COMPUTED_VALUE"""),"")</f>
        <v/>
      </c>
      <c r="AC694" s="1" t="str">
        <f>IFERROR(__xludf.DUMMYFUNCTION("""COMPUTED_VALUE"""),"")</f>
        <v/>
      </c>
      <c r="AD694" s="1" t="str">
        <f>IFERROR(__xludf.DUMMYFUNCTION("""COMPUTED_VALUE"""),"")</f>
        <v/>
      </c>
      <c r="AE694" s="1" t="str">
        <f>IFERROR(__xludf.DUMMYFUNCTION("""COMPUTED_VALUE"""),"")</f>
        <v/>
      </c>
      <c r="AF694" s="1" t="str">
        <f>IFERROR(__xludf.DUMMYFUNCTION("""COMPUTED_VALUE"""),"")</f>
        <v/>
      </c>
      <c r="AG694" s="1" t="str">
        <f>IFERROR(__xludf.DUMMYFUNCTION("""COMPUTED_VALUE"""),"")</f>
        <v/>
      </c>
      <c r="AH694" s="1" t="str">
        <f>IFERROR(__xludf.DUMMYFUNCTION("""COMPUTED_VALUE"""),"Media Monitoring")</f>
        <v>Media Monitoring</v>
      </c>
      <c r="AI694" s="2" t="str">
        <f>IFERROR(__xludf.DUMMYFUNCTION("""COMPUTED_VALUE"""),"https://www.datacenterdynamics.com/en/news/amazon-plans-five-building-data-center-campus-in-new-albany-ohio/")</f>
        <v>https://www.datacenterdynamics.com/en/news/amazon-plans-five-building-data-center-campus-in-new-albany-ohio/</v>
      </c>
      <c r="AJ694" s="1" t="str">
        <f>IFERROR(__xludf.DUMMYFUNCTION("""COMPUTED_VALUE"""),"")</f>
        <v/>
      </c>
      <c r="AK694" s="1" t="str">
        <f>IFERROR(__xludf.DUMMYFUNCTION("""COMPUTED_VALUE"""),"")</f>
        <v/>
      </c>
      <c r="AL694" s="1" t="str">
        <f>IFERROR(__xludf.DUMMYFUNCTION("""COMPUTED_VALUE"""),"")</f>
        <v/>
      </c>
      <c r="AM694" s="1" t="str">
        <f>IFERROR(__xludf.DUMMYFUNCTION("""COMPUTED_VALUE"""),"")</f>
        <v/>
      </c>
      <c r="AN694" s="1" t="str">
        <f>IFERROR(__xludf.DUMMYFUNCTION("""COMPUTED_VALUE"""),"")</f>
        <v/>
      </c>
      <c r="AO694" s="1" t="str">
        <f>IFERROR(__xludf.DUMMYFUNCTION("""COMPUTED_VALUE"""),"")</f>
        <v/>
      </c>
      <c r="AP694" s="1" t="str">
        <f>IFERROR(__xludf.DUMMYFUNCTION("""COMPUTED_VALUE"""),"")</f>
        <v/>
      </c>
      <c r="AQ694" s="1" t="str">
        <f>IFERROR(__xludf.DUMMYFUNCTION("""COMPUTED_VALUE"""),"05/26/2025")</f>
        <v>05/26/2025</v>
      </c>
      <c r="AR694" s="1" t="str">
        <f>IFERROR(__xludf.DUMMYFUNCTION("""COMPUTED_VALUE"""),"05/26/2025")</f>
        <v>05/26/2025</v>
      </c>
    </row>
    <row r="695">
      <c r="A695" s="1" t="str">
        <f>IFERROR(__xludf.DUMMYFUNCTION("""COMPUTED_VALUE"""),"Karis Critical Data Center")</f>
        <v>Karis Critical Data Center</v>
      </c>
      <c r="B695" s="1" t="str">
        <f>IFERROR(__xludf.DUMMYFUNCTION("""COMPUTED_VALUE"""),"4500 Beech Rd NW")</f>
        <v>4500 Beech Rd NW</v>
      </c>
      <c r="C695" s="1" t="str">
        <f>IFERROR(__xludf.DUMMYFUNCTION("""COMPUTED_VALUE"""),"Johnstown")</f>
        <v>Johnstown</v>
      </c>
      <c r="D695" s="1" t="str">
        <f>IFERROR(__xludf.DUMMYFUNCTION("""COMPUTED_VALUE"""),"OH")</f>
        <v>OH</v>
      </c>
      <c r="E695" s="1" t="str">
        <f>IFERROR(__xludf.DUMMYFUNCTION("""COMPUTED_VALUE"""),"43031")</f>
        <v>43031</v>
      </c>
      <c r="F695" s="1" t="str">
        <f>IFERROR(__xludf.DUMMYFUNCTION("""COMPUTED_VALUE"""),"Licking")</f>
        <v>Licking</v>
      </c>
      <c r="G695" s="1" t="str">
        <f>IFERROR(__xludf.DUMMYFUNCTION("""COMPUTED_VALUE"""),"40.12115")</f>
        <v>40.12115</v>
      </c>
      <c r="H695" s="1" t="str">
        <f>IFERROR(__xludf.DUMMYFUNCTION("""COMPUTED_VALUE"""),"-82.7517")</f>
        <v>-82.7517</v>
      </c>
      <c r="I695" s="1" t="str">
        <f>IFERROR(__xludf.DUMMYFUNCTION("""COMPUTED_VALUE"""),"Proposed")</f>
        <v>Proposed</v>
      </c>
      <c r="J695" s="1" t="str">
        <f>IFERROR(__xludf.DUMMYFUNCTION("""COMPUTED_VALUE"""),"High")</f>
        <v>High</v>
      </c>
      <c r="K695" s="1" t="str">
        <f>IFERROR(__xludf.DUMMYFUNCTION("""COMPUTED_VALUE"""),"")</f>
        <v/>
      </c>
      <c r="L695" s="1" t="str">
        <f>IFERROR(__xludf.DUMMYFUNCTION("""COMPUTED_VALUE"""),"")</f>
        <v/>
      </c>
      <c r="M695" s="1" t="str">
        <f>IFERROR(__xludf.DUMMYFUNCTION("""COMPUTED_VALUE"""),"")</f>
        <v/>
      </c>
      <c r="N695" s="1" t="str">
        <f>IFERROR(__xludf.DUMMYFUNCTION("""COMPUTED_VALUE"""),"36")</f>
        <v>36</v>
      </c>
      <c r="O695" s="1" t="str">
        <f>IFERROR(__xludf.DUMMYFUNCTION("""COMPUTED_VALUE"""),"Medium (11-50 MW)")</f>
        <v>Medium (11-50 MW)</v>
      </c>
      <c r="P695" s="1" t="str">
        <f>IFERROR(__xludf.DUMMYFUNCTION("""COMPUTED_VALUE"""),"")</f>
        <v/>
      </c>
      <c r="Q695" s="1" t="str">
        <f>IFERROR(__xludf.DUMMYFUNCTION("""COMPUTED_VALUE"""),"")</f>
        <v/>
      </c>
      <c r="R695" s="1" t="str">
        <f>IFERROR(__xludf.DUMMYFUNCTION("""COMPUTED_VALUE"""),"")</f>
        <v/>
      </c>
      <c r="S695" s="1" t="str">
        <f>IFERROR(__xludf.DUMMYFUNCTION("""COMPUTED_VALUE"""),"")</f>
        <v/>
      </c>
      <c r="T695" s="1" t="str">
        <f>IFERROR(__xludf.DUMMYFUNCTION("""COMPUTED_VALUE"""),"")</f>
        <v/>
      </c>
      <c r="U695" s="1" t="str">
        <f>IFERROR(__xludf.DUMMYFUNCTION("""COMPUTED_VALUE"""),"")</f>
        <v/>
      </c>
      <c r="V695" s="1" t="str">
        <f>IFERROR(__xludf.DUMMYFUNCTION("""COMPUTED_VALUE"""),"211,000")</f>
        <v>211,000</v>
      </c>
      <c r="W695" s="1" t="str">
        <f>IFERROR(__xludf.DUMMYFUNCTION("""COMPUTED_VALUE"""),"115")</f>
        <v>115</v>
      </c>
      <c r="X695" s="1" t="str">
        <f>IFERROR(__xludf.DUMMYFUNCTION("""COMPUTED_VALUE"""),"")</f>
        <v/>
      </c>
      <c r="Y695" s="1" t="str">
        <f>IFERROR(__xludf.DUMMYFUNCTION("""COMPUTED_VALUE"""),"")</f>
        <v/>
      </c>
      <c r="Z695" s="1" t="str">
        <f>IFERROR(__xludf.DUMMYFUNCTION("""COMPUTED_VALUE"""),"Unknown")</f>
        <v>Unknown</v>
      </c>
      <c r="AA695" s="1" t="str">
        <f>IFERROR(__xludf.DUMMYFUNCTION("""COMPUTED_VALUE"""),"")</f>
        <v/>
      </c>
      <c r="AB695" s="1" t="str">
        <f>IFERROR(__xludf.DUMMYFUNCTION("""COMPUTED_VALUE"""),"")</f>
        <v/>
      </c>
      <c r="AC695" s="1" t="str">
        <f>IFERROR(__xludf.DUMMYFUNCTION("""COMPUTED_VALUE"""),"")</f>
        <v/>
      </c>
      <c r="AD695" s="1" t="str">
        <f>IFERROR(__xludf.DUMMYFUNCTION("""COMPUTED_VALUE"""),"")</f>
        <v/>
      </c>
      <c r="AE695" s="1" t="str">
        <f>IFERROR(__xludf.DUMMYFUNCTION("""COMPUTED_VALUE"""),"")</f>
        <v/>
      </c>
      <c r="AF695" s="1" t="str">
        <f>IFERROR(__xludf.DUMMYFUNCTION("""COMPUTED_VALUE"""),"")</f>
        <v/>
      </c>
      <c r="AG695" s="1" t="str">
        <f>IFERROR(__xludf.DUMMYFUNCTION("""COMPUTED_VALUE"""),"")</f>
        <v/>
      </c>
      <c r="AH695" s="1" t="str">
        <f>IFERROR(__xludf.DUMMYFUNCTION("""COMPUTED_VALUE"""),"Media Monitoring")</f>
        <v>Media Monitoring</v>
      </c>
      <c r="AI695" s="2" t="str">
        <f>IFERROR(__xludf.DUMMYFUNCTION("""COMPUTED_VALUE"""),"https://www.datacenterdynamics.com/en/news/karis-critical-purchases-115-acres-for-data-center-in-new-albany-ohio/")</f>
        <v>https://www.datacenterdynamics.com/en/news/karis-critical-purchases-115-acres-for-data-center-in-new-albany-ohio/</v>
      </c>
      <c r="AJ695" s="1" t="str">
        <f>IFERROR(__xludf.DUMMYFUNCTION("""COMPUTED_VALUE"""),"")</f>
        <v/>
      </c>
      <c r="AK695" s="1" t="str">
        <f>IFERROR(__xludf.DUMMYFUNCTION("""COMPUTED_VALUE"""),"")</f>
        <v/>
      </c>
      <c r="AL695" s="1" t="str">
        <f>IFERROR(__xludf.DUMMYFUNCTION("""COMPUTED_VALUE"""),"")</f>
        <v/>
      </c>
      <c r="AM695" s="1" t="str">
        <f>IFERROR(__xludf.DUMMYFUNCTION("""COMPUTED_VALUE"""),"")</f>
        <v/>
      </c>
      <c r="AN695" s="1" t="str">
        <f>IFERROR(__xludf.DUMMYFUNCTION("""COMPUTED_VALUE"""),"")</f>
        <v/>
      </c>
      <c r="AO695" s="1" t="str">
        <f>IFERROR(__xludf.DUMMYFUNCTION("""COMPUTED_VALUE"""),"")</f>
        <v/>
      </c>
      <c r="AP695" s="1" t="str">
        <f>IFERROR(__xludf.DUMMYFUNCTION("""COMPUTED_VALUE"""),"")</f>
        <v/>
      </c>
      <c r="AQ695" s="1" t="str">
        <f>IFERROR(__xludf.DUMMYFUNCTION("""COMPUTED_VALUE"""),"09/03/2025")</f>
        <v>09/03/2025</v>
      </c>
      <c r="AR695" s="1" t="str">
        <f>IFERROR(__xludf.DUMMYFUNCTION("""COMPUTED_VALUE"""),"09/03/2025")</f>
        <v>09/03/2025</v>
      </c>
    </row>
    <row r="696">
      <c r="A696" s="1" t="str">
        <f>IFERROR(__xludf.DUMMYFUNCTION("""COMPUTED_VALUE"""),"Lancaster Data Center")</f>
        <v>Lancaster Data Center</v>
      </c>
      <c r="B696" s="1" t="str">
        <f>IFERROR(__xludf.DUMMYFUNCTION("""COMPUTED_VALUE"""),"104 Whiley Rd.")</f>
        <v>104 Whiley Rd.</v>
      </c>
      <c r="C696" s="1" t="str">
        <f>IFERROR(__xludf.DUMMYFUNCTION("""COMPUTED_VALUE"""),"Lancaster")</f>
        <v>Lancaster</v>
      </c>
      <c r="D696" s="1" t="str">
        <f>IFERROR(__xludf.DUMMYFUNCTION("""COMPUTED_VALUE"""),"OH")</f>
        <v>OH</v>
      </c>
      <c r="E696" s="1" t="str">
        <f>IFERROR(__xludf.DUMMYFUNCTION("""COMPUTED_VALUE"""),"43130")</f>
        <v>43130</v>
      </c>
      <c r="F696" s="1" t="str">
        <f>IFERROR(__xludf.DUMMYFUNCTION("""COMPUTED_VALUE"""),"Fairfield")</f>
        <v>Fairfield</v>
      </c>
      <c r="G696" s="1" t="str">
        <f>IFERROR(__xludf.DUMMYFUNCTION("""COMPUTED_VALUE"""),"39.72647")</f>
        <v>39.72647</v>
      </c>
      <c r="H696" s="1" t="str">
        <f>IFERROR(__xludf.DUMMYFUNCTION("""COMPUTED_VALUE"""),"-82.6823")</f>
        <v>-82.6823</v>
      </c>
      <c r="I696" s="1" t="str">
        <f>IFERROR(__xludf.DUMMYFUNCTION("""COMPUTED_VALUE"""),"Proposed")</f>
        <v>Proposed</v>
      </c>
      <c r="J696" s="1" t="str">
        <f>IFERROR(__xludf.DUMMYFUNCTION("""COMPUTED_VALUE"""),"High")</f>
        <v>High</v>
      </c>
      <c r="K696" s="1" t="str">
        <f>IFERROR(__xludf.DUMMYFUNCTION("""COMPUTED_VALUE"""),"")</f>
        <v/>
      </c>
      <c r="L696" s="1" t="str">
        <f>IFERROR(__xludf.DUMMYFUNCTION("""COMPUTED_VALUE"""),"Google")</f>
        <v>Google</v>
      </c>
      <c r="M696" s="1" t="str">
        <f>IFERROR(__xludf.DUMMYFUNCTION("""COMPUTED_VALUE"""),"")</f>
        <v/>
      </c>
      <c r="N696" s="1" t="str">
        <f>IFERROR(__xludf.DUMMYFUNCTION("""COMPUTED_VALUE"""),"")</f>
        <v/>
      </c>
      <c r="O696" s="1" t="str">
        <f>IFERROR(__xludf.DUMMYFUNCTION("""COMPUTED_VALUE"""),"Unknown")</f>
        <v>Unknown</v>
      </c>
      <c r="P696" s="1" t="str">
        <f>IFERROR(__xludf.DUMMYFUNCTION("""COMPUTED_VALUE"""),"")</f>
        <v/>
      </c>
      <c r="Q696" s="1" t="str">
        <f>IFERROR(__xludf.DUMMYFUNCTION("""COMPUTED_VALUE"""),"")</f>
        <v/>
      </c>
      <c r="R696" s="1" t="str">
        <f>IFERROR(__xludf.DUMMYFUNCTION("""COMPUTED_VALUE"""),"")</f>
        <v/>
      </c>
      <c r="S696" s="1" t="str">
        <f>IFERROR(__xludf.DUMMYFUNCTION("""COMPUTED_VALUE"""),"")</f>
        <v/>
      </c>
      <c r="T696" s="1" t="str">
        <f>IFERROR(__xludf.DUMMYFUNCTION("""COMPUTED_VALUE"""),"")</f>
        <v/>
      </c>
      <c r="U696" s="1" t="str">
        <f>IFERROR(__xludf.DUMMYFUNCTION("""COMPUTED_VALUE"""),"")</f>
        <v/>
      </c>
      <c r="V696" s="1" t="str">
        <f>IFERROR(__xludf.DUMMYFUNCTION("""COMPUTED_VALUE"""),"")</f>
        <v/>
      </c>
      <c r="W696" s="1" t="str">
        <f>IFERROR(__xludf.DUMMYFUNCTION("""COMPUTED_VALUE"""),"")</f>
        <v/>
      </c>
      <c r="X696" s="1" t="str">
        <f>IFERROR(__xludf.DUMMYFUNCTION("""COMPUTED_VALUE"""),"")</f>
        <v/>
      </c>
      <c r="Y696" s="1" t="str">
        <f>IFERROR(__xludf.DUMMYFUNCTION("""COMPUTED_VALUE"""),"")</f>
        <v/>
      </c>
      <c r="Z696" s="1" t="str">
        <f>IFERROR(__xludf.DUMMYFUNCTION("""COMPUTED_VALUE"""),"Unknown")</f>
        <v>Unknown</v>
      </c>
      <c r="AA696" s="1" t="str">
        <f>IFERROR(__xludf.DUMMYFUNCTION("""COMPUTED_VALUE"""),"")</f>
        <v/>
      </c>
      <c r="AB696" s="1" t="str">
        <f>IFERROR(__xludf.DUMMYFUNCTION("""COMPUTED_VALUE"""),"")</f>
        <v/>
      </c>
      <c r="AC696" s="1" t="str">
        <f>IFERROR(__xludf.DUMMYFUNCTION("""COMPUTED_VALUE"""),"")</f>
        <v/>
      </c>
      <c r="AD696" s="1" t="str">
        <f>IFERROR(__xludf.DUMMYFUNCTION("""COMPUTED_VALUE"""),"")</f>
        <v/>
      </c>
      <c r="AE696" s="1" t="str">
        <f>IFERROR(__xludf.DUMMYFUNCTION("""COMPUTED_VALUE"""),"")</f>
        <v/>
      </c>
      <c r="AF696" s="1" t="str">
        <f>IFERROR(__xludf.DUMMYFUNCTION("""COMPUTED_VALUE"""),"")</f>
        <v/>
      </c>
      <c r="AG696" s="1" t="str">
        <f>IFERROR(__xludf.DUMMYFUNCTION("""COMPUTED_VALUE"""),"")</f>
        <v/>
      </c>
      <c r="AH696" s="1" t="str">
        <f>IFERROR(__xludf.DUMMYFUNCTION("""COMPUTED_VALUE"""),"Media Monitoring")</f>
        <v>Media Monitoring</v>
      </c>
      <c r="AI696" s="2" t="str">
        <f>IFERROR(__xludf.DUMMYFUNCTION("""COMPUTED_VALUE"""),"https://www.datacenterdynamics.com/en/news/google-to-build-two-more-data-centers-in-columbus-ohio/")</f>
        <v>https://www.datacenterdynamics.com/en/news/google-to-build-two-more-data-centers-in-columbus-ohio/</v>
      </c>
      <c r="AJ696" s="1" t="str">
        <f>IFERROR(__xludf.DUMMYFUNCTION("""COMPUTED_VALUE"""),"")</f>
        <v/>
      </c>
      <c r="AK696" s="1" t="str">
        <f>IFERROR(__xludf.DUMMYFUNCTION("""COMPUTED_VALUE"""),"")</f>
        <v/>
      </c>
      <c r="AL696" s="1" t="str">
        <f>IFERROR(__xludf.DUMMYFUNCTION("""COMPUTED_VALUE"""),"")</f>
        <v/>
      </c>
      <c r="AM696" s="1" t="str">
        <f>IFERROR(__xludf.DUMMYFUNCTION("""COMPUTED_VALUE"""),"")</f>
        <v/>
      </c>
      <c r="AN696" s="1" t="str">
        <f>IFERROR(__xludf.DUMMYFUNCTION("""COMPUTED_VALUE"""),"")</f>
        <v/>
      </c>
      <c r="AO696" s="1" t="str">
        <f>IFERROR(__xludf.DUMMYFUNCTION("""COMPUTED_VALUE"""),"")</f>
        <v/>
      </c>
      <c r="AP696" s="1" t="str">
        <f>IFERROR(__xludf.DUMMYFUNCTION("""COMPUTED_VALUE"""),"")</f>
        <v/>
      </c>
      <c r="AQ696" s="1" t="str">
        <f>IFERROR(__xludf.DUMMYFUNCTION("""COMPUTED_VALUE"""),"05/26/2025")</f>
        <v>05/26/2025</v>
      </c>
      <c r="AR696" s="1" t="str">
        <f>IFERROR(__xludf.DUMMYFUNCTION("""COMPUTED_VALUE"""),"05/26/2025")</f>
        <v>05/26/2025</v>
      </c>
    </row>
    <row r="697">
      <c r="A697" s="1" t="str">
        <f>IFERROR(__xludf.DUMMYFUNCTION("""COMPUTED_VALUE"""),"CMH3")</f>
        <v>CMH3</v>
      </c>
      <c r="B697" s="1" t="str">
        <f>IFERROR(__xludf.DUMMYFUNCTION("""COMPUTED_VALUE"""),"281 E. Powell Rd")</f>
        <v>281 E. Powell Rd</v>
      </c>
      <c r="C697" s="1" t="str">
        <f>IFERROR(__xludf.DUMMYFUNCTION("""COMPUTED_VALUE"""),"Lewis Center")</f>
        <v>Lewis Center</v>
      </c>
      <c r="D697" s="1" t="str">
        <f>IFERROR(__xludf.DUMMYFUNCTION("""COMPUTED_VALUE"""),"OH")</f>
        <v>OH</v>
      </c>
      <c r="E697" s="1" t="str">
        <f>IFERROR(__xludf.DUMMYFUNCTION("""COMPUTED_VALUE"""),"43085")</f>
        <v>43085</v>
      </c>
      <c r="F697" s="1" t="str">
        <f>IFERROR(__xludf.DUMMYFUNCTION("""COMPUTED_VALUE"""),"Delaware")</f>
        <v>Delaware</v>
      </c>
      <c r="G697" s="1" t="str">
        <f>IFERROR(__xludf.DUMMYFUNCTION("""COMPUTED_VALUE"""),"40.15455")</f>
        <v>40.15455</v>
      </c>
      <c r="H697" s="1" t="str">
        <f>IFERROR(__xludf.DUMMYFUNCTION("""COMPUTED_VALUE"""),"-83.0143")</f>
        <v>-83.0143</v>
      </c>
      <c r="I697" s="1" t="str">
        <f>IFERROR(__xludf.DUMMYFUNCTION("""COMPUTED_VALUE"""),"Operating")</f>
        <v>Operating</v>
      </c>
      <c r="J697" s="1" t="str">
        <f>IFERROR(__xludf.DUMMYFUNCTION("""COMPUTED_VALUE"""),"High")</f>
        <v>High</v>
      </c>
      <c r="K697" s="1" t="str">
        <f>IFERROR(__xludf.DUMMYFUNCTION("""COMPUTED_VALUE"""),"")</f>
        <v/>
      </c>
      <c r="L697" s="1" t="str">
        <f>IFERROR(__xludf.DUMMYFUNCTION("""COMPUTED_VALUE"""),"")</f>
        <v/>
      </c>
      <c r="M697" s="1" t="str">
        <f>IFERROR(__xludf.DUMMYFUNCTION("""COMPUTED_VALUE"""),"")</f>
        <v/>
      </c>
      <c r="N697" s="1" t="str">
        <f>IFERROR(__xludf.DUMMYFUNCTION("""COMPUTED_VALUE"""),"7")</f>
        <v>7</v>
      </c>
      <c r="O697" s="1" t="str">
        <f>IFERROR(__xludf.DUMMYFUNCTION("""COMPUTED_VALUE"""),"Small (0-10 MW)")</f>
        <v>Small (0-10 MW)</v>
      </c>
      <c r="P697" s="1" t="str">
        <f>IFERROR(__xludf.DUMMYFUNCTION("""COMPUTED_VALUE"""),"")</f>
        <v/>
      </c>
      <c r="Q697" s="1" t="str">
        <f>IFERROR(__xludf.DUMMYFUNCTION("""COMPUTED_VALUE"""),"")</f>
        <v/>
      </c>
      <c r="R697" s="1" t="str">
        <f>IFERROR(__xludf.DUMMYFUNCTION("""COMPUTED_VALUE"""),"")</f>
        <v/>
      </c>
      <c r="S697" s="1" t="str">
        <f>IFERROR(__xludf.DUMMYFUNCTION("""COMPUTED_VALUE"""),"")</f>
        <v/>
      </c>
      <c r="T697" s="1" t="str">
        <f>IFERROR(__xludf.DUMMYFUNCTION("""COMPUTED_VALUE"""),"")</f>
        <v/>
      </c>
      <c r="U697" s="1" t="str">
        <f>IFERROR(__xludf.DUMMYFUNCTION("""COMPUTED_VALUE"""),"")</f>
        <v/>
      </c>
      <c r="V697" s="1" t="str">
        <f>IFERROR(__xludf.DUMMYFUNCTION("""COMPUTED_VALUE"""),"102,000")</f>
        <v>102,000</v>
      </c>
      <c r="W697" s="1" t="str">
        <f>IFERROR(__xludf.DUMMYFUNCTION("""COMPUTED_VALUE"""),"")</f>
        <v/>
      </c>
      <c r="X697" s="1" t="str">
        <f>IFERROR(__xludf.DUMMYFUNCTION("""COMPUTED_VALUE"""),"")</f>
        <v/>
      </c>
      <c r="Y697" s="1" t="str">
        <f>IFERROR(__xludf.DUMMYFUNCTION("""COMPUTED_VALUE"""),"")</f>
        <v/>
      </c>
      <c r="Z697" s="1" t="str">
        <f>IFERROR(__xludf.DUMMYFUNCTION("""COMPUTED_VALUE"""),"Unknown")</f>
        <v>Unknown</v>
      </c>
      <c r="AA697" s="1" t="str">
        <f>IFERROR(__xludf.DUMMYFUNCTION("""COMPUTED_VALUE"""),"")</f>
        <v/>
      </c>
      <c r="AB697" s="1" t="str">
        <f>IFERROR(__xludf.DUMMYFUNCTION("""COMPUTED_VALUE"""),"")</f>
        <v/>
      </c>
      <c r="AC697" s="1" t="str">
        <f>IFERROR(__xludf.DUMMYFUNCTION("""COMPUTED_VALUE"""),"")</f>
        <v/>
      </c>
      <c r="AD697" s="1" t="str">
        <f>IFERROR(__xludf.DUMMYFUNCTION("""COMPUTED_VALUE"""),"")</f>
        <v/>
      </c>
      <c r="AE697" s="1" t="str">
        <f>IFERROR(__xludf.DUMMYFUNCTION("""COMPUTED_VALUE"""),"")</f>
        <v/>
      </c>
      <c r="AF697" s="1" t="str">
        <f>IFERROR(__xludf.DUMMYFUNCTION("""COMPUTED_VALUE"""),"")</f>
        <v/>
      </c>
      <c r="AG697" s="1" t="str">
        <f>IFERROR(__xludf.DUMMYFUNCTION("""COMPUTED_VALUE"""),"")</f>
        <v/>
      </c>
      <c r="AH697" s="1" t="str">
        <f>IFERROR(__xludf.DUMMYFUNCTION("""COMPUTED_VALUE"""),"Media Monitoring")</f>
        <v>Media Monitoring</v>
      </c>
      <c r="AI697" s="2" t="str">
        <f>IFERROR(__xludf.DUMMYFUNCTION("""COMPUTED_VALUE"""),"https://www.expedient.com/data-centers/columbus/")</f>
        <v>https://www.expedient.com/data-centers/columbus/</v>
      </c>
      <c r="AJ697" s="1" t="str">
        <f>IFERROR(__xludf.DUMMYFUNCTION("""COMPUTED_VALUE"""),"")</f>
        <v/>
      </c>
      <c r="AK697" s="1" t="str">
        <f>IFERROR(__xludf.DUMMYFUNCTION("""COMPUTED_VALUE"""),"")</f>
        <v/>
      </c>
      <c r="AL697" s="1" t="str">
        <f>IFERROR(__xludf.DUMMYFUNCTION("""COMPUTED_VALUE"""),"")</f>
        <v/>
      </c>
      <c r="AM697" s="1" t="str">
        <f>IFERROR(__xludf.DUMMYFUNCTION("""COMPUTED_VALUE"""),"")</f>
        <v/>
      </c>
      <c r="AN697" s="1" t="str">
        <f>IFERROR(__xludf.DUMMYFUNCTION("""COMPUTED_VALUE"""),"")</f>
        <v/>
      </c>
      <c r="AO697" s="1" t="str">
        <f>IFERROR(__xludf.DUMMYFUNCTION("""COMPUTED_VALUE"""),"")</f>
        <v/>
      </c>
      <c r="AP697" s="1" t="str">
        <f>IFERROR(__xludf.DUMMYFUNCTION("""COMPUTED_VALUE"""),"")</f>
        <v/>
      </c>
      <c r="AQ697" s="1" t="str">
        <f>IFERROR(__xludf.DUMMYFUNCTION("""COMPUTED_VALUE"""),"09/01/2025")</f>
        <v>09/01/2025</v>
      </c>
      <c r="AR697" s="1" t="str">
        <f>IFERROR(__xludf.DUMMYFUNCTION("""COMPUTED_VALUE"""),"09/01/2025")</f>
        <v>09/01/2025</v>
      </c>
    </row>
    <row r="698">
      <c r="A698" s="1" t="str">
        <f>IFERROR(__xludf.DUMMYFUNCTION("""COMPUTED_VALUE"""),"COL 5 (Cologix) Data Center")</f>
        <v>COL 5 (Cologix) Data Center</v>
      </c>
      <c r="B698" s="1" t="str">
        <f>IFERROR(__xludf.DUMMYFUNCTION("""COMPUTED_VALUE"""),"6787 Green Meadows Drive")</f>
        <v>6787 Green Meadows Drive</v>
      </c>
      <c r="C698" s="1" t="str">
        <f>IFERROR(__xludf.DUMMYFUNCTION("""COMPUTED_VALUE"""),"Lewis Center")</f>
        <v>Lewis Center</v>
      </c>
      <c r="D698" s="1" t="str">
        <f>IFERROR(__xludf.DUMMYFUNCTION("""COMPUTED_VALUE"""),"OH")</f>
        <v>OH</v>
      </c>
      <c r="E698" s="1" t="str">
        <f>IFERROR(__xludf.DUMMYFUNCTION("""COMPUTED_VALUE"""),"43085")</f>
        <v>43085</v>
      </c>
      <c r="F698" s="1" t="str">
        <f>IFERROR(__xludf.DUMMYFUNCTION("""COMPUTED_VALUE"""),"Delaware")</f>
        <v>Delaware</v>
      </c>
      <c r="G698" s="1" t="str">
        <f>IFERROR(__xludf.DUMMYFUNCTION("""COMPUTED_VALUE"""),"40.19086")</f>
        <v>40.19086</v>
      </c>
      <c r="H698" s="1" t="str">
        <f>IFERROR(__xludf.DUMMYFUNCTION("""COMPUTED_VALUE"""),"-83.0113")</f>
        <v>-83.0113</v>
      </c>
      <c r="I698" s="1" t="str">
        <f>IFERROR(__xludf.DUMMYFUNCTION("""COMPUTED_VALUE"""),"Proposed")</f>
        <v>Proposed</v>
      </c>
      <c r="J698" s="1" t="str">
        <f>IFERROR(__xludf.DUMMYFUNCTION("""COMPUTED_VALUE"""),"High")</f>
        <v>High</v>
      </c>
      <c r="K698" s="1" t="str">
        <f>IFERROR(__xludf.DUMMYFUNCTION("""COMPUTED_VALUE"""),"")</f>
        <v/>
      </c>
      <c r="L698" s="1" t="str">
        <f>IFERROR(__xludf.DUMMYFUNCTION("""COMPUTED_VALUE"""),"")</f>
        <v/>
      </c>
      <c r="M698" s="1" t="str">
        <f>IFERROR(__xludf.DUMMYFUNCTION("""COMPUTED_VALUE"""),"")</f>
        <v/>
      </c>
      <c r="N698" s="1" t="str">
        <f>IFERROR(__xludf.DUMMYFUNCTION("""COMPUTED_VALUE"""),"25")</f>
        <v>25</v>
      </c>
      <c r="O698" s="1" t="str">
        <f>IFERROR(__xludf.DUMMYFUNCTION("""COMPUTED_VALUE"""),"Medium (11-50 MW)")</f>
        <v>Medium (11-50 MW)</v>
      </c>
      <c r="P698" s="1" t="str">
        <f>IFERROR(__xludf.DUMMYFUNCTION("""COMPUTED_VALUE"""),"")</f>
        <v/>
      </c>
      <c r="Q698" s="1" t="str">
        <f>IFERROR(__xludf.DUMMYFUNCTION("""COMPUTED_VALUE"""),"")</f>
        <v/>
      </c>
      <c r="R698" s="1" t="str">
        <f>IFERROR(__xludf.DUMMYFUNCTION("""COMPUTED_VALUE"""),"")</f>
        <v/>
      </c>
      <c r="S698" s="1" t="str">
        <f>IFERROR(__xludf.DUMMYFUNCTION("""COMPUTED_VALUE"""),"")</f>
        <v/>
      </c>
      <c r="T698" s="1" t="str">
        <f>IFERROR(__xludf.DUMMYFUNCTION("""COMPUTED_VALUE"""),"")</f>
        <v/>
      </c>
      <c r="U698" s="1" t="str">
        <f>IFERROR(__xludf.DUMMYFUNCTION("""COMPUTED_VALUE"""),"")</f>
        <v/>
      </c>
      <c r="V698" s="1" t="str">
        <f>IFERROR(__xludf.DUMMYFUNCTION("""COMPUTED_VALUE"""),"60,000")</f>
        <v>60,000</v>
      </c>
      <c r="W698" s="1" t="str">
        <f>IFERROR(__xludf.DUMMYFUNCTION("""COMPUTED_VALUE"""),"")</f>
        <v/>
      </c>
      <c r="X698" s="1" t="str">
        <f>IFERROR(__xludf.DUMMYFUNCTION("""COMPUTED_VALUE"""),"")</f>
        <v/>
      </c>
      <c r="Y698" s="1" t="str">
        <f>IFERROR(__xludf.DUMMYFUNCTION("""COMPUTED_VALUE"""),"")</f>
        <v/>
      </c>
      <c r="Z698" s="1" t="str">
        <f>IFERROR(__xludf.DUMMYFUNCTION("""COMPUTED_VALUE"""),"Unknown")</f>
        <v>Unknown</v>
      </c>
      <c r="AA698" s="1" t="str">
        <f>IFERROR(__xludf.DUMMYFUNCTION("""COMPUTED_VALUE"""),"")</f>
        <v/>
      </c>
      <c r="AB698" s="1" t="str">
        <f>IFERROR(__xludf.DUMMYFUNCTION("""COMPUTED_VALUE"""),"")</f>
        <v/>
      </c>
      <c r="AC698" s="1" t="str">
        <f>IFERROR(__xludf.DUMMYFUNCTION("""COMPUTED_VALUE"""),"")</f>
        <v/>
      </c>
      <c r="AD698" s="1" t="str">
        <f>IFERROR(__xludf.DUMMYFUNCTION("""COMPUTED_VALUE"""),"")</f>
        <v/>
      </c>
      <c r="AE698" s="1" t="str">
        <f>IFERROR(__xludf.DUMMYFUNCTION("""COMPUTED_VALUE"""),"")</f>
        <v/>
      </c>
      <c r="AF698" s="1" t="str">
        <f>IFERROR(__xludf.DUMMYFUNCTION("""COMPUTED_VALUE"""),"")</f>
        <v/>
      </c>
      <c r="AG698" s="1" t="str">
        <f>IFERROR(__xludf.DUMMYFUNCTION("""COMPUTED_VALUE"""),"")</f>
        <v/>
      </c>
      <c r="AH698" s="1" t="str">
        <f>IFERROR(__xludf.DUMMYFUNCTION("""COMPUTED_VALUE"""),"Media Monitoring")</f>
        <v>Media Monitoring</v>
      </c>
      <c r="AI698" s="2" t="str">
        <f>IFERROR(__xludf.DUMMYFUNCTION("""COMPUTED_VALUE"""),"https://cologix.com/data-centers/columbus/")</f>
        <v>https://cologix.com/data-centers/columbus/</v>
      </c>
      <c r="AJ698" s="1" t="str">
        <f>IFERROR(__xludf.DUMMYFUNCTION("""COMPUTED_VALUE"""),"")</f>
        <v/>
      </c>
      <c r="AK698" s="1" t="str">
        <f>IFERROR(__xludf.DUMMYFUNCTION("""COMPUTED_VALUE"""),"")</f>
        <v/>
      </c>
      <c r="AL698" s="1" t="str">
        <f>IFERROR(__xludf.DUMMYFUNCTION("""COMPUTED_VALUE"""),"")</f>
        <v/>
      </c>
      <c r="AM698" s="1" t="str">
        <f>IFERROR(__xludf.DUMMYFUNCTION("""COMPUTED_VALUE"""),"")</f>
        <v/>
      </c>
      <c r="AN698" s="1" t="str">
        <f>IFERROR(__xludf.DUMMYFUNCTION("""COMPUTED_VALUE"""),"")</f>
        <v/>
      </c>
      <c r="AO698" s="1" t="str">
        <f>IFERROR(__xludf.DUMMYFUNCTION("""COMPUTED_VALUE"""),"")</f>
        <v/>
      </c>
      <c r="AP698" s="1" t="str">
        <f>IFERROR(__xludf.DUMMYFUNCTION("""COMPUTED_VALUE"""),"")</f>
        <v/>
      </c>
      <c r="AQ698" s="1" t="str">
        <f>IFERROR(__xludf.DUMMYFUNCTION("""COMPUTED_VALUE"""),"08/30/2025")</f>
        <v>08/30/2025</v>
      </c>
      <c r="AR698" s="1" t="str">
        <f>IFERROR(__xludf.DUMMYFUNCTION("""COMPUTED_VALUE"""),"08/30/2025")</f>
        <v>08/30/2025</v>
      </c>
    </row>
    <row r="699">
      <c r="A699" s="1" t="str">
        <f>IFERROR(__xludf.DUMMYFUNCTION("""COMPUTED_VALUE"""),"Bistrozzi LLC Data Center")</f>
        <v>Bistrozzi LLC Data Center</v>
      </c>
      <c r="B699" s="1" t="str">
        <f>IFERROR(__xludf.DUMMYFUNCTION("""COMPUTED_VALUE"""),"950 W Bluelick Rd")</f>
        <v>950 W Bluelick Rd</v>
      </c>
      <c r="C699" s="1" t="str">
        <f>IFERROR(__xludf.DUMMYFUNCTION("""COMPUTED_VALUE"""),"Lima")</f>
        <v>Lima</v>
      </c>
      <c r="D699" s="1" t="str">
        <f>IFERROR(__xludf.DUMMYFUNCTION("""COMPUTED_VALUE"""),"OH")</f>
        <v>OH</v>
      </c>
      <c r="E699" s="1" t="str">
        <f>IFERROR(__xludf.DUMMYFUNCTION("""COMPUTED_VALUE"""),"45801")</f>
        <v>45801</v>
      </c>
      <c r="F699" s="1" t="str">
        <f>IFERROR(__xludf.DUMMYFUNCTION("""COMPUTED_VALUE"""),"Allen")</f>
        <v>Allen</v>
      </c>
      <c r="G699" s="1" t="str">
        <f>IFERROR(__xludf.DUMMYFUNCTION("""COMPUTED_VALUE"""),"40.7965")</f>
        <v>40.7965</v>
      </c>
      <c r="H699" s="1" t="str">
        <f>IFERROR(__xludf.DUMMYFUNCTION("""COMPUTED_VALUE"""),"-84.121")</f>
        <v>-84.121</v>
      </c>
      <c r="I699" s="1" t="str">
        <f>IFERROR(__xludf.DUMMYFUNCTION("""COMPUTED_VALUE"""),"Proposed")</f>
        <v>Proposed</v>
      </c>
      <c r="J699" s="1" t="str">
        <f>IFERROR(__xludf.DUMMYFUNCTION("""COMPUTED_VALUE"""),"High")</f>
        <v>High</v>
      </c>
      <c r="K699" s="1" t="str">
        <f>IFERROR(__xludf.DUMMYFUNCTION("""COMPUTED_VALUE"""),"")</f>
        <v/>
      </c>
      <c r="L699" s="1" t="str">
        <f>IFERROR(__xludf.DUMMYFUNCTION("""COMPUTED_VALUE"""),"")</f>
        <v/>
      </c>
      <c r="M699" s="1" t="str">
        <f>IFERROR(__xludf.DUMMYFUNCTION("""COMPUTED_VALUE"""),"")</f>
        <v/>
      </c>
      <c r="N699" s="1" t="str">
        <f>IFERROR(__xludf.DUMMYFUNCTION("""COMPUTED_VALUE"""),"")</f>
        <v/>
      </c>
      <c r="O699" s="1" t="str">
        <f>IFERROR(__xludf.DUMMYFUNCTION("""COMPUTED_VALUE"""),"Unknown")</f>
        <v>Unknown</v>
      </c>
      <c r="P699" s="1" t="str">
        <f>IFERROR(__xludf.DUMMYFUNCTION("""COMPUTED_VALUE"""),"")</f>
        <v/>
      </c>
      <c r="Q699" s="1" t="str">
        <f>IFERROR(__xludf.DUMMYFUNCTION("""COMPUTED_VALUE"""),"")</f>
        <v/>
      </c>
      <c r="R699" s="1" t="str">
        <f>IFERROR(__xludf.DUMMYFUNCTION("""COMPUTED_VALUE"""),"")</f>
        <v/>
      </c>
      <c r="S699" s="1" t="str">
        <f>IFERROR(__xludf.DUMMYFUNCTION("""COMPUTED_VALUE"""),"")</f>
        <v/>
      </c>
      <c r="T699" s="1" t="str">
        <f>IFERROR(__xludf.DUMMYFUNCTION("""COMPUTED_VALUE"""),"")</f>
        <v/>
      </c>
      <c r="U699" s="1" t="str">
        <f>IFERROR(__xludf.DUMMYFUNCTION("""COMPUTED_VALUE"""),"")</f>
        <v/>
      </c>
      <c r="V699" s="1" t="str">
        <f>IFERROR(__xludf.DUMMYFUNCTION("""COMPUTED_VALUE"""),"")</f>
        <v/>
      </c>
      <c r="W699" s="1" t="str">
        <f>IFERROR(__xludf.DUMMYFUNCTION("""COMPUTED_VALUE"""),"200")</f>
        <v>200</v>
      </c>
      <c r="X699" s="1" t="str">
        <f>IFERROR(__xludf.DUMMYFUNCTION("""COMPUTED_VALUE"""),"$14.4 million")</f>
        <v>$14.4 million</v>
      </c>
      <c r="Y699" s="1" t="str">
        <f>IFERROR(__xludf.DUMMYFUNCTION("""COMPUTED_VALUE"""),"")</f>
        <v/>
      </c>
      <c r="Z699" s="1" t="str">
        <f>IFERROR(__xludf.DUMMYFUNCTION("""COMPUTED_VALUE"""),"Unknown")</f>
        <v>Unknown</v>
      </c>
      <c r="AA699" s="1" t="str">
        <f>IFERROR(__xludf.DUMMYFUNCTION("""COMPUTED_VALUE"""),"")</f>
        <v/>
      </c>
      <c r="AB699" s="1" t="str">
        <f>IFERROR(__xludf.DUMMYFUNCTION("""COMPUTED_VALUE"""),"")</f>
        <v/>
      </c>
      <c r="AC699" s="1" t="str">
        <f>IFERROR(__xludf.DUMMYFUNCTION("""COMPUTED_VALUE"""),"")</f>
        <v/>
      </c>
      <c r="AD699" s="1" t="str">
        <f>IFERROR(__xludf.DUMMYFUNCTION("""COMPUTED_VALUE"""),"")</f>
        <v/>
      </c>
      <c r="AE699" s="1" t="str">
        <f>IFERROR(__xludf.DUMMYFUNCTION("""COMPUTED_VALUE"""),"")</f>
        <v/>
      </c>
      <c r="AF699" s="1" t="str">
        <f>IFERROR(__xludf.DUMMYFUNCTION("""COMPUTED_VALUE"""),"")</f>
        <v/>
      </c>
      <c r="AG699" s="1" t="str">
        <f>IFERROR(__xludf.DUMMYFUNCTION("""COMPUTED_VALUE"""),"3 adjacent properties")</f>
        <v>3 adjacent properties</v>
      </c>
      <c r="AH699" s="1" t="str">
        <f>IFERROR(__xludf.DUMMYFUNCTION("""COMPUTED_VALUE"""),"Media Monitoring")</f>
        <v>Media Monitoring</v>
      </c>
      <c r="AI699" s="2" t="str">
        <f>IFERROR(__xludf.DUMMYFUNCTION("""COMPUTED_VALUE"""),"https://www.limaohio.com/top-stories/2025/08/14/company-behind-data-center-completes-land-purchases/")</f>
        <v>https://www.limaohio.com/top-stories/2025/08/14/company-behind-data-center-completes-land-purchases/</v>
      </c>
      <c r="AJ699" s="1" t="str">
        <f>IFERROR(__xludf.DUMMYFUNCTION("""COMPUTED_VALUE"""),"")</f>
        <v/>
      </c>
      <c r="AK699" s="1" t="str">
        <f>IFERROR(__xludf.DUMMYFUNCTION("""COMPUTED_VALUE"""),"")</f>
        <v/>
      </c>
      <c r="AL699" s="1" t="str">
        <f>IFERROR(__xludf.DUMMYFUNCTION("""COMPUTED_VALUE"""),"")</f>
        <v/>
      </c>
      <c r="AM699" s="1" t="str">
        <f>IFERROR(__xludf.DUMMYFUNCTION("""COMPUTED_VALUE"""),"")</f>
        <v/>
      </c>
      <c r="AN699" s="1" t="str">
        <f>IFERROR(__xludf.DUMMYFUNCTION("""COMPUTED_VALUE"""),"")</f>
        <v/>
      </c>
      <c r="AO699" s="1" t="str">
        <f>IFERROR(__xludf.DUMMYFUNCTION("""COMPUTED_VALUE"""),"")</f>
        <v/>
      </c>
      <c r="AP699" s="1" t="str">
        <f>IFERROR(__xludf.DUMMYFUNCTION("""COMPUTED_VALUE"""),"")</f>
        <v/>
      </c>
      <c r="AQ699" s="1" t="str">
        <f>IFERROR(__xludf.DUMMYFUNCTION("""COMPUTED_VALUE"""),"08/16/2025")</f>
        <v>08/16/2025</v>
      </c>
      <c r="AR699" s="1" t="str">
        <f>IFERROR(__xludf.DUMMYFUNCTION("""COMPUTED_VALUE"""),"08/16/2025")</f>
        <v>08/16/2025</v>
      </c>
    </row>
    <row r="700">
      <c r="A700" s="1" t="str">
        <f>IFERROR(__xludf.DUMMYFUNCTION("""COMPUTED_VALUE"""),"Project BOSC")</f>
        <v>Project BOSC</v>
      </c>
      <c r="B700" s="1" t="str">
        <f>IFERROR(__xludf.DUMMYFUNCTION("""COMPUTED_VALUE"""),"W Bluelick and N Cole Rd")</f>
        <v>W Bluelick and N Cole Rd</v>
      </c>
      <c r="C700" s="1" t="str">
        <f>IFERROR(__xludf.DUMMYFUNCTION("""COMPUTED_VALUE"""),"Lima")</f>
        <v>Lima</v>
      </c>
      <c r="D700" s="1" t="str">
        <f>IFERROR(__xludf.DUMMYFUNCTION("""COMPUTED_VALUE"""),"OH")</f>
        <v>OH</v>
      </c>
      <c r="E700" s="1" t="str">
        <f>IFERROR(__xludf.DUMMYFUNCTION("""COMPUTED_VALUE"""),"45801")</f>
        <v>45801</v>
      </c>
      <c r="F700" s="1" t="str">
        <f>IFERROR(__xludf.DUMMYFUNCTION("""COMPUTED_VALUE"""),"Allen")</f>
        <v>Allen</v>
      </c>
      <c r="G700" s="1" t="str">
        <f>IFERROR(__xludf.DUMMYFUNCTION("""COMPUTED_VALUE"""),"40.80032")</f>
        <v>40.80032</v>
      </c>
      <c r="H700" s="1" t="str">
        <f>IFERROR(__xludf.DUMMYFUNCTION("""COMPUTED_VALUE"""),"-84.11909")</f>
        <v>-84.11909</v>
      </c>
      <c r="I700" s="1" t="str">
        <f>IFERROR(__xludf.DUMMYFUNCTION("""COMPUTED_VALUE"""),"Proposed")</f>
        <v>Proposed</v>
      </c>
      <c r="J700" s="1" t="str">
        <f>IFERROR(__xludf.DUMMYFUNCTION("""COMPUTED_VALUE"""),"High")</f>
        <v>High</v>
      </c>
      <c r="K700" s="1" t="str">
        <f>IFERROR(__xludf.DUMMYFUNCTION("""COMPUTED_VALUE"""),"")</f>
        <v/>
      </c>
      <c r="L700" s="1" t="str">
        <f>IFERROR(__xludf.DUMMYFUNCTION("""COMPUTED_VALUE"""),"Google")</f>
        <v>Google</v>
      </c>
      <c r="M700" s="1" t="str">
        <f>IFERROR(__xludf.DUMMYFUNCTION("""COMPUTED_VALUE"""),"")</f>
        <v/>
      </c>
      <c r="N700" s="1" t="str">
        <f>IFERROR(__xludf.DUMMYFUNCTION("""COMPUTED_VALUE"""),"")</f>
        <v/>
      </c>
      <c r="O700" s="1" t="str">
        <f>IFERROR(__xludf.DUMMYFUNCTION("""COMPUTED_VALUE"""),"Unknown")</f>
        <v>Unknown</v>
      </c>
      <c r="P700" s="1" t="str">
        <f>IFERROR(__xludf.DUMMYFUNCTION("""COMPUTED_VALUE"""),"")</f>
        <v/>
      </c>
      <c r="Q700" s="1" t="str">
        <f>IFERROR(__xludf.DUMMYFUNCTION("""COMPUTED_VALUE"""),"")</f>
        <v/>
      </c>
      <c r="R700" s="1" t="str">
        <f>IFERROR(__xludf.DUMMYFUNCTION("""COMPUTED_VALUE"""),"115 diesel-fueled generators")</f>
        <v>115 diesel-fueled generators</v>
      </c>
      <c r="S700" s="1" t="str">
        <f>IFERROR(__xludf.DUMMYFUNCTION("""COMPUTED_VALUE"""),"")</f>
        <v/>
      </c>
      <c r="T700" s="1" t="str">
        <f>IFERROR(__xludf.DUMMYFUNCTION("""COMPUTED_VALUE"""),"")</f>
        <v/>
      </c>
      <c r="U700" s="1" t="str">
        <f>IFERROR(__xludf.DUMMYFUNCTION("""COMPUTED_VALUE"""),"")</f>
        <v/>
      </c>
      <c r="V700" s="1" t="str">
        <f>IFERROR(__xludf.DUMMYFUNCTION("""COMPUTED_VALUE"""),"")</f>
        <v/>
      </c>
      <c r="W700" s="1" t="str">
        <f>IFERROR(__xludf.DUMMYFUNCTION("""COMPUTED_VALUE"""),"")</f>
        <v/>
      </c>
      <c r="X700" s="1" t="str">
        <f>IFERROR(__xludf.DUMMYFUNCTION("""COMPUTED_VALUE"""),"$500 million")</f>
        <v>$500 million</v>
      </c>
      <c r="Y700" s="1" t="str">
        <f>IFERROR(__xludf.DUMMYFUNCTION("""COMPUTED_VALUE"""),"2030")</f>
        <v>2030</v>
      </c>
      <c r="Z700" s="1" t="str">
        <f>IFERROR(__xludf.DUMMYFUNCTION("""COMPUTED_VALUE"""),"Unknown")</f>
        <v>Unknown</v>
      </c>
      <c r="AA700" s="1" t="str">
        <f>IFERROR(__xludf.DUMMYFUNCTION("""COMPUTED_VALUE"""),"")</f>
        <v/>
      </c>
      <c r="AB700" s="1" t="str">
        <f>IFERROR(__xludf.DUMMYFUNCTION("""COMPUTED_VALUE"""),"")</f>
        <v/>
      </c>
      <c r="AC700" s="1" t="str">
        <f>IFERROR(__xludf.DUMMYFUNCTION("""COMPUTED_VALUE"""),"")</f>
        <v/>
      </c>
      <c r="AD700" s="1" t="str">
        <f>IFERROR(__xludf.DUMMYFUNCTION("""COMPUTED_VALUE"""),"")</f>
        <v/>
      </c>
      <c r="AE700" s="1" t="str">
        <f>IFERROR(__xludf.DUMMYFUNCTION("""COMPUTED_VALUE"""),"")</f>
        <v/>
      </c>
      <c r="AF700" s="1" t="str">
        <f>IFERROR(__xludf.DUMMYFUNCTION("""COMPUTED_VALUE"""),"")</f>
        <v/>
      </c>
      <c r="AG700" s="1" t="str">
        <f>IFERROR(__xludf.DUMMYFUNCTION("""COMPUTED_VALUE"""),"15-year tax abatement offset agreement, $250,000 in annual funding to Elida Local Schools")</f>
        <v>15-year tax abatement offset agreement, $250,000 in annual funding to Elida Local Schools</v>
      </c>
      <c r="AH700" s="1" t="str">
        <f>IFERROR(__xludf.DUMMYFUNCTION("""COMPUTED_VALUE"""),"Media Monitoring")</f>
        <v>Media Monitoring</v>
      </c>
      <c r="AI700" s="2" t="str">
        <f>IFERROR(__xludf.DUMMYFUNCTION("""COMPUTED_VALUE"""),"https://www.datacenterdynamics.com/en/news/google-confirmed-as-company-behind-500m-data-center-in-lima-ohio/")</f>
        <v>https://www.datacenterdynamics.com/en/news/google-confirmed-as-company-behind-500m-data-center-in-lima-ohio/</v>
      </c>
      <c r="AJ700" s="1" t="str">
        <f>IFERROR(__xludf.DUMMYFUNCTION("""COMPUTED_VALUE"""),"")</f>
        <v/>
      </c>
      <c r="AK700" s="1" t="str">
        <f>IFERROR(__xludf.DUMMYFUNCTION("""COMPUTED_VALUE"""),"")</f>
        <v/>
      </c>
      <c r="AL700" s="1" t="str">
        <f>IFERROR(__xludf.DUMMYFUNCTION("""COMPUTED_VALUE"""),"")</f>
        <v/>
      </c>
      <c r="AM700" s="1" t="str">
        <f>IFERROR(__xludf.DUMMYFUNCTION("""COMPUTED_VALUE"""),"")</f>
        <v/>
      </c>
      <c r="AN700" s="1" t="str">
        <f>IFERROR(__xludf.DUMMYFUNCTION("""COMPUTED_VALUE"""),"")</f>
        <v/>
      </c>
      <c r="AO700" s="1" t="str">
        <f>IFERROR(__xludf.DUMMYFUNCTION("""COMPUTED_VALUE"""),"")</f>
        <v/>
      </c>
      <c r="AP700" s="1" t="str">
        <f>IFERROR(__xludf.DUMMYFUNCTION("""COMPUTED_VALUE"""),"")</f>
        <v/>
      </c>
      <c r="AQ700" s="1" t="str">
        <f>IFERROR(__xludf.DUMMYFUNCTION("""COMPUTED_VALUE"""),"03/20/2026")</f>
        <v>03/20/2026</v>
      </c>
      <c r="AR700" s="1" t="str">
        <f>IFERROR(__xludf.DUMMYFUNCTION("""COMPUTED_VALUE"""),"03/20/2026")</f>
        <v>03/20/2026</v>
      </c>
    </row>
    <row r="701">
      <c r="A701" s="1" t="str">
        <f>IFERROR(__xludf.DUMMYFUNCTION("""COMPUTED_VALUE"""),"Guernsey County Data Center")</f>
        <v>Guernsey County Data Center</v>
      </c>
      <c r="B701" s="1" t="str">
        <f>IFERROR(__xludf.DUMMYFUNCTION("""COMPUTED_VALUE"""),"near Cadiz Rd, likely")</f>
        <v>near Cadiz Rd, likely</v>
      </c>
      <c r="C701" s="1" t="str">
        <f>IFERROR(__xludf.DUMMYFUNCTION("""COMPUTED_VALUE"""),"Lore City")</f>
        <v>Lore City</v>
      </c>
      <c r="D701" s="1" t="str">
        <f>IFERROR(__xludf.DUMMYFUNCTION("""COMPUTED_VALUE"""),"OH")</f>
        <v>OH</v>
      </c>
      <c r="E701" s="1" t="str">
        <f>IFERROR(__xludf.DUMMYFUNCTION("""COMPUTED_VALUE"""),"43755")</f>
        <v>43755</v>
      </c>
      <c r="F701" s="1" t="str">
        <f>IFERROR(__xludf.DUMMYFUNCTION("""COMPUTED_VALUE"""),"Guernsey")</f>
        <v>Guernsey</v>
      </c>
      <c r="G701" s="1" t="str">
        <f>IFERROR(__xludf.DUMMYFUNCTION("""COMPUTED_VALUE"""),"40.11321")</f>
        <v>40.11321</v>
      </c>
      <c r="H701" s="1" t="str">
        <f>IFERROR(__xludf.DUMMYFUNCTION("""COMPUTED_VALUE"""),"-81.391945")</f>
        <v>-81.391945</v>
      </c>
      <c r="I701" s="1" t="str">
        <f>IFERROR(__xludf.DUMMYFUNCTION("""COMPUTED_VALUE"""),"Proposed")</f>
        <v>Proposed</v>
      </c>
      <c r="J701" s="1" t="str">
        <f>IFERROR(__xludf.DUMMYFUNCTION("""COMPUTED_VALUE"""),"Medium")</f>
        <v>Medium</v>
      </c>
      <c r="K701" s="1" t="str">
        <f>IFERROR(__xludf.DUMMYFUNCTION("""COMPUTED_VALUE"""),"")</f>
        <v/>
      </c>
      <c r="L701" s="1" t="str">
        <f>IFERROR(__xludf.DUMMYFUNCTION("""COMPUTED_VALUE"""),"Smart Energy Partners")</f>
        <v>Smart Energy Partners</v>
      </c>
      <c r="M701" s="1" t="str">
        <f>IFERROR(__xludf.DUMMYFUNCTION("""COMPUTED_VALUE"""),"")</f>
        <v/>
      </c>
      <c r="N701" s="1" t="str">
        <f>IFERROR(__xludf.DUMMYFUNCTION("""COMPUTED_VALUE"""),"")</f>
        <v/>
      </c>
      <c r="O701" s="1" t="str">
        <f>IFERROR(__xludf.DUMMYFUNCTION("""COMPUTED_VALUE"""),"Unknown")</f>
        <v>Unknown</v>
      </c>
      <c r="P701" s="1" t="str">
        <f>IFERROR(__xludf.DUMMYFUNCTION("""COMPUTED_VALUE"""),"Hybrid (onsite and grid)")</f>
        <v>Hybrid (onsite and grid)</v>
      </c>
      <c r="Q701" s="1" t="str">
        <f>IFERROR(__xludf.DUMMYFUNCTION("""COMPUTED_VALUE"""),"")</f>
        <v/>
      </c>
      <c r="R701" s="1" t="str">
        <f>IFERROR(__xludf.DUMMYFUNCTION("""COMPUTED_VALUE"""),"")</f>
        <v/>
      </c>
      <c r="S701" s="1" t="str">
        <f>IFERROR(__xludf.DUMMYFUNCTION("""COMPUTED_VALUE"""),"")</f>
        <v/>
      </c>
      <c r="T701" s="1" t="str">
        <f>IFERROR(__xludf.DUMMYFUNCTION("""COMPUTED_VALUE"""),"")</f>
        <v/>
      </c>
      <c r="U701" s="1" t="str">
        <f>IFERROR(__xludf.DUMMYFUNCTION("""COMPUTED_VALUE"""),"Closed loop")</f>
        <v>Closed loop</v>
      </c>
      <c r="V701" s="1" t="str">
        <f>IFERROR(__xludf.DUMMYFUNCTION("""COMPUTED_VALUE"""),"")</f>
        <v/>
      </c>
      <c r="W701" s="1" t="str">
        <f>IFERROR(__xludf.DUMMYFUNCTION("""COMPUTED_VALUE"""),"425")</f>
        <v>425</v>
      </c>
      <c r="X701" s="1" t="str">
        <f>IFERROR(__xludf.DUMMYFUNCTION("""COMPUTED_VALUE"""),"")</f>
        <v/>
      </c>
      <c r="Y701" s="1" t="str">
        <f>IFERROR(__xludf.DUMMYFUNCTION("""COMPUTED_VALUE"""),"")</f>
        <v/>
      </c>
      <c r="Z701" s="1" t="str">
        <f>IFERROR(__xludf.DUMMYFUNCTION("""COMPUTED_VALUE"""),"Yes")</f>
        <v>Yes</v>
      </c>
      <c r="AA701" s="1" t="str">
        <f>IFERROR(__xludf.DUMMYFUNCTION("""COMPUTED_VALUE"""),"")</f>
        <v/>
      </c>
      <c r="AB701" s="1" t="str">
        <f>IFERROR(__xludf.DUMMYFUNCTION("""COMPUTED_VALUE"""),"Emerging Concern")</f>
        <v>Emerging Concern</v>
      </c>
      <c r="AC701" s="1" t="str">
        <f>IFERROR(__xludf.DUMMYFUNCTION("""COMPUTED_VALUE"""),"")</f>
        <v/>
      </c>
      <c r="AD701" s="1" t="str">
        <f>IFERROR(__xludf.DUMMYFUNCTION("""COMPUTED_VALUE"""),"")</f>
        <v/>
      </c>
      <c r="AE701" s="1" t="str">
        <f>IFERROR(__xludf.DUMMYFUNCTION("""COMPUTED_VALUE"""),"")</f>
        <v/>
      </c>
      <c r="AF701" s="1" t="str">
        <f>IFERROR(__xludf.DUMMYFUNCTION("""COMPUTED_VALUE"""),"")</f>
        <v/>
      </c>
      <c r="AG701" s="1" t="str">
        <f>IFERROR(__xludf.DUMMYFUNCTION("""COMPUTED_VALUE"""),"")</f>
        <v/>
      </c>
      <c r="AH701" s="1" t="str">
        <f>IFERROR(__xludf.DUMMYFUNCTION("""COMPUTED_VALUE"""),"Media Monitoring")</f>
        <v>Media Monitoring</v>
      </c>
      <c r="AI701" s="2" t="str">
        <f>IFERROR(__xludf.DUMMYFUNCTION("""COMPUTED_VALUE"""),"https://www.datacenterdynamics.com/en/news/proposed-data-center-in-guernsey-county-ohio-could-go-ahead-despite-local-government-opposition/")</f>
        <v>https://www.datacenterdynamics.com/en/news/proposed-data-center-in-guernsey-county-ohio-could-go-ahead-despite-local-government-opposition/</v>
      </c>
      <c r="AJ701" s="2" t="str">
        <f>IFERROR(__xludf.DUMMYFUNCTION("""COMPUTED_VALUE"""),"https://auditor.guernseycounty.gov/SearchResults?SortColumn=Owner&amp;ResultsPerPage=8&amp;pageNumber=1")</f>
        <v>https://auditor.guernseycounty.gov/SearchResults?SortColumn=Owner&amp;ResultsPerPage=8&amp;pageNumber=1</v>
      </c>
      <c r="AK701" s="2" t="str">
        <f>IFERROR(__xludf.DUMMYFUNCTION("""COMPUTED_VALUE"""),"https://woub.org/2026/06/23/guernsey-county-proposal-data-center/")</f>
        <v>https://woub.org/2026/06/23/guernsey-county-proposal-data-center/</v>
      </c>
      <c r="AL701" s="1" t="str">
        <f>IFERROR(__xludf.DUMMYFUNCTION("""COMPUTED_VALUE"""),"")</f>
        <v/>
      </c>
      <c r="AM701" s="1" t="str">
        <f>IFERROR(__xludf.DUMMYFUNCTION("""COMPUTED_VALUE"""),"")</f>
        <v/>
      </c>
      <c r="AN701" s="1" t="str">
        <f>IFERROR(__xludf.DUMMYFUNCTION("""COMPUTED_VALUE"""),"")</f>
        <v/>
      </c>
      <c r="AO701" s="1" t="str">
        <f>IFERROR(__xludf.DUMMYFUNCTION("""COMPUTED_VALUE"""),"")</f>
        <v/>
      </c>
      <c r="AP701" s="1" t="str">
        <f>IFERROR(__xludf.DUMMYFUNCTION("""COMPUTED_VALUE"""),"")</f>
        <v/>
      </c>
      <c r="AQ701" s="1" t="str">
        <f>IFERROR(__xludf.DUMMYFUNCTION("""COMPUTED_VALUE"""),"06/29/2026")</f>
        <v>06/29/2026</v>
      </c>
      <c r="AR701" s="1" t="str">
        <f>IFERROR(__xludf.DUMMYFUNCTION("""COMPUTED_VALUE"""),"06/29/2026")</f>
        <v>06/29/2026</v>
      </c>
    </row>
    <row r="702">
      <c r="A702" s="1" t="str">
        <f>IFERROR(__xludf.DUMMYFUNCTION("""COMPUTED_VALUE"""),"Bitdeer Technologies Data Center")</f>
        <v>Bitdeer Technologies Data Center</v>
      </c>
      <c r="B702" s="1" t="str">
        <f>IFERROR(__xludf.DUMMYFUNCTION("""COMPUTED_VALUE"""),"3960-4350 Township Hwy 213,")</f>
        <v>3960-4350 Township Hwy 213,</v>
      </c>
      <c r="C702" s="1" t="str">
        <f>IFERROR(__xludf.DUMMYFUNCTION("""COMPUTED_VALUE"""),"Mantua")</f>
        <v>Mantua</v>
      </c>
      <c r="D702" s="1" t="str">
        <f>IFERROR(__xludf.DUMMYFUNCTION("""COMPUTED_VALUE"""),"OH")</f>
        <v>OH</v>
      </c>
      <c r="E702" s="1" t="str">
        <f>IFERROR(__xludf.DUMMYFUNCTION("""COMPUTED_VALUE"""),"44255")</f>
        <v>44255</v>
      </c>
      <c r="F702" s="1" t="str">
        <f>IFERROR(__xludf.DUMMYFUNCTION("""COMPUTED_VALUE"""),"Portage")</f>
        <v>Portage</v>
      </c>
      <c r="G702" s="1" t="str">
        <f>IFERROR(__xludf.DUMMYFUNCTION("""COMPUTED_VALUE"""),"41.250813")</f>
        <v>41.250813</v>
      </c>
      <c r="H702" s="1" t="str">
        <f>IFERROR(__xludf.DUMMYFUNCTION("""COMPUTED_VALUE"""),"-81.24765")</f>
        <v>-81.24765</v>
      </c>
      <c r="I702" s="1" t="str">
        <f>IFERROR(__xludf.DUMMYFUNCTION("""COMPUTED_VALUE"""),"Proposed")</f>
        <v>Proposed</v>
      </c>
      <c r="J702" s="1" t="str">
        <f>IFERROR(__xludf.DUMMYFUNCTION("""COMPUTED_VALUE"""),"High")</f>
        <v>High</v>
      </c>
      <c r="K702" s="1" t="str">
        <f>IFERROR(__xludf.DUMMYFUNCTION("""COMPUTED_VALUE"""),"")</f>
        <v/>
      </c>
      <c r="L702" s="1" t="str">
        <f>IFERROR(__xludf.DUMMYFUNCTION("""COMPUTED_VALUE"""),"Bitdeer")</f>
        <v>Bitdeer</v>
      </c>
      <c r="M702" s="1" t="str">
        <f>IFERROR(__xludf.DUMMYFUNCTION("""COMPUTED_VALUE"""),"")</f>
        <v/>
      </c>
      <c r="N702" s="1" t="str">
        <f>IFERROR(__xludf.DUMMYFUNCTION("""COMPUTED_VALUE"""),"150")</f>
        <v>150</v>
      </c>
      <c r="O702" s="1" t="str">
        <f>IFERROR(__xludf.DUMMYFUNCTION("""COMPUTED_VALUE"""),"Hyperscale (100-999 MW)")</f>
        <v>Hyperscale (100-999 MW)</v>
      </c>
      <c r="P702" s="1" t="str">
        <f>IFERROR(__xludf.DUMMYFUNCTION("""COMPUTED_VALUE"""),"")</f>
        <v/>
      </c>
      <c r="Q702" s="1" t="str">
        <f>IFERROR(__xludf.DUMMYFUNCTION("""COMPUTED_VALUE"""),"")</f>
        <v/>
      </c>
      <c r="R702" s="1" t="str">
        <f>IFERROR(__xludf.DUMMYFUNCTION("""COMPUTED_VALUE"""),"")</f>
        <v/>
      </c>
      <c r="S702" s="1" t="str">
        <f>IFERROR(__xludf.DUMMYFUNCTION("""COMPUTED_VALUE"""),"15")</f>
        <v>15</v>
      </c>
      <c r="T702" s="1" t="str">
        <f>IFERROR(__xludf.DUMMYFUNCTION("""COMPUTED_VALUE"""),"")</f>
        <v/>
      </c>
      <c r="U702" s="1" t="str">
        <f>IFERROR(__xludf.DUMMYFUNCTION("""COMPUTED_VALUE"""),"")</f>
        <v/>
      </c>
      <c r="V702" s="1" t="str">
        <f>IFERROR(__xludf.DUMMYFUNCTION("""COMPUTED_VALUE"""),"720,000")</f>
        <v>720,000</v>
      </c>
      <c r="W702" s="1" t="str">
        <f>IFERROR(__xludf.DUMMYFUNCTION("""COMPUTED_VALUE"""),"")</f>
        <v/>
      </c>
      <c r="X702" s="1" t="str">
        <f>IFERROR(__xludf.DUMMYFUNCTION("""COMPUTED_VALUE"""),"")</f>
        <v/>
      </c>
      <c r="Y702" s="1" t="str">
        <f>IFERROR(__xludf.DUMMYFUNCTION("""COMPUTED_VALUE"""),"")</f>
        <v/>
      </c>
      <c r="Z702" s="1" t="str">
        <f>IFERROR(__xludf.DUMMYFUNCTION("""COMPUTED_VALUE"""),"Unknown")</f>
        <v>Unknown</v>
      </c>
      <c r="AA702" s="1" t="str">
        <f>IFERROR(__xludf.DUMMYFUNCTION("""COMPUTED_VALUE"""),"")</f>
        <v/>
      </c>
      <c r="AB702" s="1" t="str">
        <f>IFERROR(__xludf.DUMMYFUNCTION("""COMPUTED_VALUE"""),"")</f>
        <v/>
      </c>
      <c r="AC702" s="1" t="str">
        <f>IFERROR(__xludf.DUMMYFUNCTION("""COMPUTED_VALUE"""),"")</f>
        <v/>
      </c>
      <c r="AD702" s="1" t="str">
        <f>IFERROR(__xludf.DUMMYFUNCTION("""COMPUTED_VALUE"""),"")</f>
        <v/>
      </c>
      <c r="AE702" s="1" t="str">
        <f>IFERROR(__xludf.DUMMYFUNCTION("""COMPUTED_VALUE"""),"")</f>
        <v/>
      </c>
      <c r="AF702" s="1" t="str">
        <f>IFERROR(__xludf.DUMMYFUNCTION("""COMPUTED_VALUE"""),"")</f>
        <v/>
      </c>
      <c r="AG702" s="1" t="str">
        <f>IFERROR(__xludf.DUMMYFUNCTION("""COMPUTED_VALUE"""),"")</f>
        <v/>
      </c>
      <c r="AH702" s="1" t="str">
        <f>IFERROR(__xludf.DUMMYFUNCTION("""COMPUTED_VALUE"""),"Media Monitoring")</f>
        <v>Media Monitoring</v>
      </c>
      <c r="AI702" s="2" t="str">
        <f>IFERROR(__xludf.DUMMYFUNCTION("""COMPUTED_VALUE"""),"https://www.datacenterdynamics.com/en/news/bitdeer-looks-to-develop-750mw-data-center-campus-in-ohio/")</f>
        <v>https://www.datacenterdynamics.com/en/news/bitdeer-looks-to-develop-750mw-data-center-campus-in-ohio/</v>
      </c>
      <c r="AJ702" s="2" t="str">
        <f>IFERROR(__xludf.DUMMYFUNCTION("""COMPUTED_VALUE"""),"https://www.neohioprojectinfo.com/")</f>
        <v>https://www.neohioprojectinfo.com/</v>
      </c>
      <c r="AK702" s="1" t="str">
        <f>IFERROR(__xludf.DUMMYFUNCTION("""COMPUTED_VALUE"""),"")</f>
        <v/>
      </c>
      <c r="AL702" s="1" t="str">
        <f>IFERROR(__xludf.DUMMYFUNCTION("""COMPUTED_VALUE"""),"")</f>
        <v/>
      </c>
      <c r="AM702" s="1" t="str">
        <f>IFERROR(__xludf.DUMMYFUNCTION("""COMPUTED_VALUE"""),"")</f>
        <v/>
      </c>
      <c r="AN702" s="1" t="str">
        <f>IFERROR(__xludf.DUMMYFUNCTION("""COMPUTED_VALUE"""),"")</f>
        <v/>
      </c>
      <c r="AO702" s="1" t="str">
        <f>IFERROR(__xludf.DUMMYFUNCTION("""COMPUTED_VALUE"""),"")</f>
        <v/>
      </c>
      <c r="AP702" s="1" t="str">
        <f>IFERROR(__xludf.DUMMYFUNCTION("""COMPUTED_VALUE"""),"")</f>
        <v/>
      </c>
      <c r="AQ702" s="1" t="str">
        <f>IFERROR(__xludf.DUMMYFUNCTION("""COMPUTED_VALUE"""),"06/22/2026")</f>
        <v>06/22/2026</v>
      </c>
      <c r="AR702" s="1" t="str">
        <f>IFERROR(__xludf.DUMMYFUNCTION("""COMPUTED_VALUE"""),"06/22/2026")</f>
        <v>06/22/2026</v>
      </c>
    </row>
    <row r="703">
      <c r="A703" s="1" t="str">
        <f>IFERROR(__xludf.DUMMYFUNCTION("""COMPUTED_VALUE"""),"Project Cosmos")</f>
        <v>Project Cosmos</v>
      </c>
      <c r="B703" s="1" t="str">
        <f>IFERROR(__xludf.DUMMYFUNCTION("""COMPUTED_VALUE"""),"14684 Industrial Pkwy")</f>
        <v>14684 Industrial Pkwy</v>
      </c>
      <c r="C703" s="1" t="str">
        <f>IFERROR(__xludf.DUMMYFUNCTION("""COMPUTED_VALUE"""),"Marysville")</f>
        <v>Marysville</v>
      </c>
      <c r="D703" s="1" t="str">
        <f>IFERROR(__xludf.DUMMYFUNCTION("""COMPUTED_VALUE"""),"OH")</f>
        <v>OH</v>
      </c>
      <c r="E703" s="1" t="str">
        <f>IFERROR(__xludf.DUMMYFUNCTION("""COMPUTED_VALUE"""),"43040")</f>
        <v>43040</v>
      </c>
      <c r="F703" s="1" t="str">
        <f>IFERROR(__xludf.DUMMYFUNCTION("""COMPUTED_VALUE"""),"Union")</f>
        <v>Union</v>
      </c>
      <c r="G703" s="1" t="str">
        <f>IFERROR(__xludf.DUMMYFUNCTION("""COMPUTED_VALUE"""),"40.2203")</f>
        <v>40.2203</v>
      </c>
      <c r="H703" s="1" t="str">
        <f>IFERROR(__xludf.DUMMYFUNCTION("""COMPUTED_VALUE"""),"-83.3259")</f>
        <v>-83.3259</v>
      </c>
      <c r="I703" s="1" t="str">
        <f>IFERROR(__xludf.DUMMYFUNCTION("""COMPUTED_VALUE"""),"Proposed")</f>
        <v>Proposed</v>
      </c>
      <c r="J703" s="1" t="str">
        <f>IFERROR(__xludf.DUMMYFUNCTION("""COMPUTED_VALUE"""),"High")</f>
        <v>High</v>
      </c>
      <c r="K703" s="1" t="str">
        <f>IFERROR(__xludf.DUMMYFUNCTION("""COMPUTED_VALUE"""),"")</f>
        <v/>
      </c>
      <c r="L703" s="1" t="str">
        <f>IFERROR(__xludf.DUMMYFUNCTION("""COMPUTED_VALUE"""),"Amazon")</f>
        <v>Amazon</v>
      </c>
      <c r="M703" s="1" t="str">
        <f>IFERROR(__xludf.DUMMYFUNCTION("""COMPUTED_VALUE"""),"")</f>
        <v/>
      </c>
      <c r="N703" s="1" t="str">
        <f>IFERROR(__xludf.DUMMYFUNCTION("""COMPUTED_VALUE"""),"")</f>
        <v/>
      </c>
      <c r="O703" s="1" t="str">
        <f>IFERROR(__xludf.DUMMYFUNCTION("""COMPUTED_VALUE"""),"Unknown")</f>
        <v>Unknown</v>
      </c>
      <c r="P703" s="1" t="str">
        <f>IFERROR(__xludf.DUMMYFUNCTION("""COMPUTED_VALUE"""),"")</f>
        <v/>
      </c>
      <c r="Q703" s="1" t="str">
        <f>IFERROR(__xludf.DUMMYFUNCTION("""COMPUTED_VALUE"""),"")</f>
        <v/>
      </c>
      <c r="R703" s="1" t="str">
        <f>IFERROR(__xludf.DUMMYFUNCTION("""COMPUTED_VALUE"""),"")</f>
        <v/>
      </c>
      <c r="S703" s="1" t="str">
        <f>IFERROR(__xludf.DUMMYFUNCTION("""COMPUTED_VALUE"""),"")</f>
        <v/>
      </c>
      <c r="T703" s="1" t="str">
        <f>IFERROR(__xludf.DUMMYFUNCTION("""COMPUTED_VALUE"""),"")</f>
        <v/>
      </c>
      <c r="U703" s="1" t="str">
        <f>IFERROR(__xludf.DUMMYFUNCTION("""COMPUTED_VALUE"""),"")</f>
        <v/>
      </c>
      <c r="V703" s="1" t="str">
        <f>IFERROR(__xludf.DUMMYFUNCTION("""COMPUTED_VALUE"""),"")</f>
        <v/>
      </c>
      <c r="W703" s="1" t="str">
        <f>IFERROR(__xludf.DUMMYFUNCTION("""COMPUTED_VALUE"""),"55")</f>
        <v>55</v>
      </c>
      <c r="X703" s="1" t="str">
        <f>IFERROR(__xludf.DUMMYFUNCTION("""COMPUTED_VALUE"""),"$1 billion")</f>
        <v>$1 billion</v>
      </c>
      <c r="Y703" s="1" t="str">
        <f>IFERROR(__xludf.DUMMYFUNCTION("""COMPUTED_VALUE"""),"")</f>
        <v/>
      </c>
      <c r="Z703" s="1" t="str">
        <f>IFERROR(__xludf.DUMMYFUNCTION("""COMPUTED_VALUE"""),"Yes")</f>
        <v>Yes</v>
      </c>
      <c r="AA703" s="1" t="str">
        <f>IFERROR(__xludf.DUMMYFUNCTION("""COMPUTED_VALUE"""),"")</f>
        <v/>
      </c>
      <c r="AB703" s="1" t="str">
        <f>IFERROR(__xludf.DUMMYFUNCTION("""COMPUTED_VALUE"""),"")</f>
        <v/>
      </c>
      <c r="AC703" s="1" t="str">
        <f>IFERROR(__xludf.DUMMYFUNCTION("""COMPUTED_VALUE"""),"")</f>
        <v/>
      </c>
      <c r="AD703" s="1" t="str">
        <f>IFERROR(__xludf.DUMMYFUNCTION("""COMPUTED_VALUE"""),"")</f>
        <v/>
      </c>
      <c r="AE703" s="1" t="str">
        <f>IFERROR(__xludf.DUMMYFUNCTION("""COMPUTED_VALUE"""),"")</f>
        <v/>
      </c>
      <c r="AF703" s="2" t="str">
        <f>IFERROR(__xludf.DUMMYFUNCTION("""COMPUTED_VALUE"""),"https://actionnetwork.org/petitions/petition-to-stop-the-data-center-from-being-built-in-p-35")</f>
        <v>https://actionnetwork.org/petitions/petition-to-stop-the-data-center-from-being-built-in-p-35</v>
      </c>
      <c r="AG703" s="1" t="str">
        <f>IFERROR(__xludf.DUMMYFUNCTION("""COMPUTED_VALUE"""),"Limited public details are available. See documents obtained in a public records request on this data center here (https://drive.google.com/drive/folders/1s1AB_OOk8qaIOg1in3wVHz91X-kYbTUt?usp=drive_link)")</f>
        <v>Limited public details are available. See documents obtained in a public records request on this data center here (https://drive.google.com/drive/folders/1s1AB_OOk8qaIOg1in3wVHz91X-kYbTUt?usp=drive_link)</v>
      </c>
      <c r="AH703" s="1" t="str">
        <f>IFERROR(__xludf.DUMMYFUNCTION("""COMPUTED_VALUE"""),"Media Monitoring")</f>
        <v>Media Monitoring</v>
      </c>
      <c r="AI703" s="2" t="str">
        <f>IFERROR(__xludf.DUMMYFUNCTION("""COMPUTED_VALUE"""),"https://www.datacenterdynamics.com/en/news/amazon-eyes-another-data-center-campus-outside-columbus-ohio/")</f>
        <v>https://www.datacenterdynamics.com/en/news/amazon-eyes-another-data-center-campus-outside-columbus-ohio/</v>
      </c>
      <c r="AJ703" s="1" t="str">
        <f>IFERROR(__xludf.DUMMYFUNCTION("""COMPUTED_VALUE"""),"")</f>
        <v/>
      </c>
      <c r="AK703" s="1" t="str">
        <f>IFERROR(__xludf.DUMMYFUNCTION("""COMPUTED_VALUE"""),"")</f>
        <v/>
      </c>
      <c r="AL703" s="1" t="str">
        <f>IFERROR(__xludf.DUMMYFUNCTION("""COMPUTED_VALUE"""),"")</f>
        <v/>
      </c>
      <c r="AM703" s="1" t="str">
        <f>IFERROR(__xludf.DUMMYFUNCTION("""COMPUTED_VALUE"""),"")</f>
        <v/>
      </c>
      <c r="AN703" s="1" t="str">
        <f>IFERROR(__xludf.DUMMYFUNCTION("""COMPUTED_VALUE"""),"")</f>
        <v/>
      </c>
      <c r="AO703" s="1" t="str">
        <f>IFERROR(__xludf.DUMMYFUNCTION("""COMPUTED_VALUE"""),"")</f>
        <v/>
      </c>
      <c r="AP703" s="1" t="str">
        <f>IFERROR(__xludf.DUMMYFUNCTION("""COMPUTED_VALUE"""),"")</f>
        <v/>
      </c>
      <c r="AQ703" s="1" t="str">
        <f>IFERROR(__xludf.DUMMYFUNCTION("""COMPUTED_VALUE"""),"05/26/2025")</f>
        <v>05/26/2025</v>
      </c>
      <c r="AR703" s="1" t="str">
        <f>IFERROR(__xludf.DUMMYFUNCTION("""COMPUTED_VALUE"""),"02/27/2026")</f>
        <v>02/27/2026</v>
      </c>
    </row>
    <row r="704">
      <c r="A704" s="1" t="str">
        <f>IFERROR(__xludf.DUMMYFUNCTION("""COMPUTED_VALUE"""),"Bitdeer Crypto Mine")</f>
        <v>Bitdeer Crypto Mine</v>
      </c>
      <c r="B704" s="1" t="str">
        <f>IFERROR(__xludf.DUMMYFUNCTION("""COMPUTED_VALUE"""),"1115 Industrial Ave SW")</f>
        <v>1115 Industrial Ave SW</v>
      </c>
      <c r="C704" s="1" t="str">
        <f>IFERROR(__xludf.DUMMYFUNCTION("""COMPUTED_VALUE"""),"Massillon")</f>
        <v>Massillon</v>
      </c>
      <c r="D704" s="1" t="str">
        <f>IFERROR(__xludf.DUMMYFUNCTION("""COMPUTED_VALUE"""),"OH")</f>
        <v>OH</v>
      </c>
      <c r="E704" s="1" t="str">
        <f>IFERROR(__xludf.DUMMYFUNCTION("""COMPUTED_VALUE"""),"44647")</f>
        <v>44647</v>
      </c>
      <c r="F704" s="1" t="str">
        <f>IFERROR(__xludf.DUMMYFUNCTION("""COMPUTED_VALUE"""),"Stark")</f>
        <v>Stark</v>
      </c>
      <c r="G704" s="1" t="str">
        <f>IFERROR(__xludf.DUMMYFUNCTION("""COMPUTED_VALUE"""),"40.772533")</f>
        <v>40.772533</v>
      </c>
      <c r="H704" s="1" t="str">
        <f>IFERROR(__xludf.DUMMYFUNCTION("""COMPUTED_VALUE"""),"-81.53784")</f>
        <v>-81.53784</v>
      </c>
      <c r="I704" s="1" t="str">
        <f>IFERROR(__xludf.DUMMYFUNCTION("""COMPUTED_VALUE"""),"Operating")</f>
        <v>Operating</v>
      </c>
      <c r="J704" s="1" t="str">
        <f>IFERROR(__xludf.DUMMYFUNCTION("""COMPUTED_VALUE"""),"High")</f>
        <v>High</v>
      </c>
      <c r="K704" s="1" t="str">
        <f>IFERROR(__xludf.DUMMYFUNCTION("""COMPUTED_VALUE"""),"Crypto")</f>
        <v>Crypto</v>
      </c>
      <c r="L704" s="1" t="str">
        <f>IFERROR(__xludf.DUMMYFUNCTION("""COMPUTED_VALUE"""),"Bitdeer")</f>
        <v>Bitdeer</v>
      </c>
      <c r="M704" s="1" t="str">
        <f>IFERROR(__xludf.DUMMYFUNCTION("""COMPUTED_VALUE"""),"")</f>
        <v/>
      </c>
      <c r="N704" s="1" t="str">
        <f>IFERROR(__xludf.DUMMYFUNCTION("""COMPUTED_VALUE"""),"221")</f>
        <v>221</v>
      </c>
      <c r="O704" s="1" t="str">
        <f>IFERROR(__xludf.DUMMYFUNCTION("""COMPUTED_VALUE"""),"Hyperscale (100-999 MW)")</f>
        <v>Hyperscale (100-999 MW)</v>
      </c>
      <c r="P704" s="1" t="str">
        <f>IFERROR(__xludf.DUMMYFUNCTION("""COMPUTED_VALUE"""),"")</f>
        <v/>
      </c>
      <c r="Q704" s="1" t="str">
        <f>IFERROR(__xludf.DUMMYFUNCTION("""COMPUTED_VALUE"""),"")</f>
        <v/>
      </c>
      <c r="R704" s="1" t="str">
        <f>IFERROR(__xludf.DUMMYFUNCTION("""COMPUTED_VALUE"""),"")</f>
        <v/>
      </c>
      <c r="S704" s="1" t="str">
        <f>IFERROR(__xludf.DUMMYFUNCTION("""COMPUTED_VALUE"""),"")</f>
        <v/>
      </c>
      <c r="T704" s="1" t="str">
        <f>IFERROR(__xludf.DUMMYFUNCTION("""COMPUTED_VALUE"""),"")</f>
        <v/>
      </c>
      <c r="U704" s="1" t="str">
        <f>IFERROR(__xludf.DUMMYFUNCTION("""COMPUTED_VALUE"""),"")</f>
        <v/>
      </c>
      <c r="V704" s="1" t="str">
        <f>IFERROR(__xludf.DUMMYFUNCTION("""COMPUTED_VALUE"""),"")</f>
        <v/>
      </c>
      <c r="W704" s="1" t="str">
        <f>IFERROR(__xludf.DUMMYFUNCTION("""COMPUTED_VALUE"""),"19")</f>
        <v>19</v>
      </c>
      <c r="X704" s="1" t="str">
        <f>IFERROR(__xludf.DUMMYFUNCTION("""COMPUTED_VALUE"""),"")</f>
        <v/>
      </c>
      <c r="Y704" s="1" t="str">
        <f>IFERROR(__xludf.DUMMYFUNCTION("""COMPUTED_VALUE"""),"")</f>
        <v/>
      </c>
      <c r="Z704" s="1" t="str">
        <f>IFERROR(__xludf.DUMMYFUNCTION("""COMPUTED_VALUE"""),"Unknown")</f>
        <v>Unknown</v>
      </c>
      <c r="AA704" s="1" t="str">
        <f>IFERROR(__xludf.DUMMYFUNCTION("""COMPUTED_VALUE"""),"")</f>
        <v/>
      </c>
      <c r="AB704" s="1" t="str">
        <f>IFERROR(__xludf.DUMMYFUNCTION("""COMPUTED_VALUE"""),"")</f>
        <v/>
      </c>
      <c r="AC704" s="1" t="str">
        <f>IFERROR(__xludf.DUMMYFUNCTION("""COMPUTED_VALUE"""),"")</f>
        <v/>
      </c>
      <c r="AD704" s="1" t="str">
        <f>IFERROR(__xludf.DUMMYFUNCTION("""COMPUTED_VALUE"""),"")</f>
        <v/>
      </c>
      <c r="AE704" s="1" t="str">
        <f>IFERROR(__xludf.DUMMYFUNCTION("""COMPUTED_VALUE"""),"")</f>
        <v/>
      </c>
      <c r="AF704" s="1" t="str">
        <f>IFERROR(__xludf.DUMMYFUNCTION("""COMPUTED_VALUE"""),"")</f>
        <v/>
      </c>
      <c r="AG704" s="1" t="str">
        <f>IFERROR(__xludf.DUMMYFUNCTION("""COMPUTED_VALUE"""),"")</f>
        <v/>
      </c>
      <c r="AH704" s="1" t="str">
        <f>IFERROR(__xludf.DUMMYFUNCTION("""COMPUTED_VALUE"""),"Media Monitoring")</f>
        <v>Media Monitoring</v>
      </c>
      <c r="AI704" s="2" t="str">
        <f>IFERROR(__xludf.DUMMYFUNCTION("""COMPUTED_VALUE"""),"https://www.datacenterdynamics.com/en/news/fire-damages-two-building-at-bitdeers-ohio-bitcoin-mine-construction-site/")</f>
        <v>https://www.datacenterdynamics.com/en/news/fire-damages-two-building-at-bitdeers-ohio-bitcoin-mine-construction-site/</v>
      </c>
      <c r="AJ704" s="1" t="str">
        <f>IFERROR(__xludf.DUMMYFUNCTION("""COMPUTED_VALUE"""),"")</f>
        <v/>
      </c>
      <c r="AK704" s="1" t="str">
        <f>IFERROR(__xludf.DUMMYFUNCTION("""COMPUTED_VALUE"""),"")</f>
        <v/>
      </c>
      <c r="AL704" s="1" t="str">
        <f>IFERROR(__xludf.DUMMYFUNCTION("""COMPUTED_VALUE"""),"")</f>
        <v/>
      </c>
      <c r="AM704" s="1" t="str">
        <f>IFERROR(__xludf.DUMMYFUNCTION("""COMPUTED_VALUE"""),"")</f>
        <v/>
      </c>
      <c r="AN704" s="1" t="str">
        <f>IFERROR(__xludf.DUMMYFUNCTION("""COMPUTED_VALUE"""),"")</f>
        <v/>
      </c>
      <c r="AO704" s="1" t="str">
        <f>IFERROR(__xludf.DUMMYFUNCTION("""COMPUTED_VALUE"""),"")</f>
        <v/>
      </c>
      <c r="AP704" s="1" t="str">
        <f>IFERROR(__xludf.DUMMYFUNCTION("""COMPUTED_VALUE"""),"")</f>
        <v/>
      </c>
      <c r="AQ704" s="1" t="str">
        <f>IFERROR(__xludf.DUMMYFUNCTION("""COMPUTED_VALUE"""),"06/22/2026")</f>
        <v>06/22/2026</v>
      </c>
      <c r="AR704" s="1" t="str">
        <f>IFERROR(__xludf.DUMMYFUNCTION("""COMPUTED_VALUE"""),"06/22/2026")</f>
        <v>06/22/2026</v>
      </c>
    </row>
    <row r="705">
      <c r="A705" s="1" t="str">
        <f>IFERROR(__xludf.DUMMYFUNCTION("""COMPUTED_VALUE"""),"Vantage Data Center")</f>
        <v>Vantage Data Center</v>
      </c>
      <c r="B705" s="1" t="str">
        <f>IFERROR(__xludf.DUMMYFUNCTION("""COMPUTED_VALUE"""),"State Routes 204 and 37/ 11894-11998 Lancaster-Newark Rd NE")</f>
        <v>State Routes 204 and 37/ 11894-11998 Lancaster-Newark Rd NE</v>
      </c>
      <c r="C705" s="1" t="str">
        <f>IFERROR(__xludf.DUMMYFUNCTION("""COMPUTED_VALUE"""),"Millersport")</f>
        <v>Millersport</v>
      </c>
      <c r="D705" s="1" t="str">
        <f>IFERROR(__xludf.DUMMYFUNCTION("""COMPUTED_VALUE"""),"OH")</f>
        <v>OH</v>
      </c>
      <c r="E705" s="1" t="str">
        <f>IFERROR(__xludf.DUMMYFUNCTION("""COMPUTED_VALUE"""),"43046")</f>
        <v>43046</v>
      </c>
      <c r="F705" s="1" t="str">
        <f>IFERROR(__xludf.DUMMYFUNCTION("""COMPUTED_VALUE"""),"Fairfield")</f>
        <v>Fairfield</v>
      </c>
      <c r="G705" s="1" t="str">
        <f>IFERROR(__xludf.DUMMYFUNCTION("""COMPUTED_VALUE"""),"39.89945")</f>
        <v>39.89945</v>
      </c>
      <c r="H705" s="1" t="str">
        <f>IFERROR(__xludf.DUMMYFUNCTION("""COMPUTED_VALUE"""),"-82.5619")</f>
        <v>-82.5619</v>
      </c>
      <c r="I705" s="1" t="str">
        <f>IFERROR(__xludf.DUMMYFUNCTION("""COMPUTED_VALUE"""),"Proposed")</f>
        <v>Proposed</v>
      </c>
      <c r="J705" s="1" t="str">
        <f>IFERROR(__xludf.DUMMYFUNCTION("""COMPUTED_VALUE"""),"High")</f>
        <v>High</v>
      </c>
      <c r="K705" s="1" t="str">
        <f>IFERROR(__xludf.DUMMYFUNCTION("""COMPUTED_VALUE"""),"")</f>
        <v/>
      </c>
      <c r="L705" s="1" t="str">
        <f>IFERROR(__xludf.DUMMYFUNCTION("""COMPUTED_VALUE"""),"Vantage")</f>
        <v>Vantage</v>
      </c>
      <c r="M705" s="1" t="str">
        <f>IFERROR(__xludf.DUMMYFUNCTION("""COMPUTED_VALUE"""),"")</f>
        <v/>
      </c>
      <c r="N705" s="1" t="str">
        <f>IFERROR(__xludf.DUMMYFUNCTION("""COMPUTED_VALUE"""),"800")</f>
        <v>800</v>
      </c>
      <c r="O705" s="1" t="str">
        <f>IFERROR(__xludf.DUMMYFUNCTION("""COMPUTED_VALUE"""),"Hyperscale (100-999 MW)")</f>
        <v>Hyperscale (100-999 MW)</v>
      </c>
      <c r="P705" s="1" t="str">
        <f>IFERROR(__xludf.DUMMYFUNCTION("""COMPUTED_VALUE"""),"")</f>
        <v/>
      </c>
      <c r="Q705" s="1" t="str">
        <f>IFERROR(__xludf.DUMMYFUNCTION("""COMPUTED_VALUE"""),"")</f>
        <v/>
      </c>
      <c r="R705" s="1" t="str">
        <f>IFERROR(__xludf.DUMMYFUNCTION("""COMPUTED_VALUE"""),"")</f>
        <v/>
      </c>
      <c r="S705" s="1" t="str">
        <f>IFERROR(__xludf.DUMMYFUNCTION("""COMPUTED_VALUE"""),"")</f>
        <v/>
      </c>
      <c r="T705" s="1" t="str">
        <f>IFERROR(__xludf.DUMMYFUNCTION("""COMPUTED_VALUE"""),"")</f>
        <v/>
      </c>
      <c r="U705" s="1" t="str">
        <f>IFERROR(__xludf.DUMMYFUNCTION("""COMPUTED_VALUE"""),"")</f>
        <v/>
      </c>
      <c r="V705" s="1" t="str">
        <f>IFERROR(__xludf.DUMMYFUNCTION("""COMPUTED_VALUE"""),"")</f>
        <v/>
      </c>
      <c r="W705" s="1" t="str">
        <f>IFERROR(__xludf.DUMMYFUNCTION("""COMPUTED_VALUE"""),"500")</f>
        <v>500</v>
      </c>
      <c r="X705" s="1" t="str">
        <f>IFERROR(__xludf.DUMMYFUNCTION("""COMPUTED_VALUE"""),"$1 billion")</f>
        <v>$1 billion</v>
      </c>
      <c r="Y705" s="1" t="str">
        <f>IFERROR(__xludf.DUMMYFUNCTION("""COMPUTED_VALUE"""),"")</f>
        <v/>
      </c>
      <c r="Z705" s="1" t="str">
        <f>IFERROR(__xludf.DUMMYFUNCTION("""COMPUTED_VALUE"""),"Unknown")</f>
        <v>Unknown</v>
      </c>
      <c r="AA705" s="1" t="str">
        <f>IFERROR(__xludf.DUMMYFUNCTION("""COMPUTED_VALUE"""),"")</f>
        <v/>
      </c>
      <c r="AB705" s="1" t="str">
        <f>IFERROR(__xludf.DUMMYFUNCTION("""COMPUTED_VALUE"""),"")</f>
        <v/>
      </c>
      <c r="AC705" s="1" t="str">
        <f>IFERROR(__xludf.DUMMYFUNCTION("""COMPUTED_VALUE"""),"")</f>
        <v/>
      </c>
      <c r="AD705" s="1" t="str">
        <f>IFERROR(__xludf.DUMMYFUNCTION("""COMPUTED_VALUE"""),"")</f>
        <v/>
      </c>
      <c r="AE705" s="1" t="str">
        <f>IFERROR(__xludf.DUMMYFUNCTION("""COMPUTED_VALUE"""),"")</f>
        <v/>
      </c>
      <c r="AF705" s="1" t="str">
        <f>IFERROR(__xludf.DUMMYFUNCTION("""COMPUTED_VALUE"""),"")</f>
        <v/>
      </c>
      <c r="AG705" s="1" t="str">
        <f>IFERROR(__xludf.DUMMYFUNCTION("""COMPUTED_VALUE"""),"Behind the meter 800 MW Millersport Energy Center was withdrawn, making it unclear how this data center will be powered (https://opsb.ohio.gov/cases/25-0584-el-bgn)")</f>
        <v>Behind the meter 800 MW Millersport Energy Center was withdrawn, making it unclear how this data center will be powered (https://opsb.ohio.gov/cases/25-0584-el-bgn)</v>
      </c>
      <c r="AH705" s="1" t="str">
        <f>IFERROR(__xludf.DUMMYFUNCTION("""COMPUTED_VALUE"""),"Media Monitoring")</f>
        <v>Media Monitoring</v>
      </c>
      <c r="AI705" s="2" t="str">
        <f>IFERROR(__xludf.DUMMYFUNCTION("""COMPUTED_VALUE"""),"https://www.dispatch.com/story/news/2025/05/30/vantage-data-center-campus-millersport-ohio-tech/83921180007/")</f>
        <v>https://www.dispatch.com/story/news/2025/05/30/vantage-data-center-campus-millersport-ohio-tech/83921180007/</v>
      </c>
      <c r="AJ705" s="2" t="str">
        <f>IFERROR(__xludf.DUMMYFUNCTION("""COMPUTED_VALUE"""),"https://www.nbc4i.com/news/local-news/fairfield-county/some-residents-hesitant-about-new-1-billion-data-center-headed-for-central-ohio/")</f>
        <v>https://www.nbc4i.com/news/local-news/fairfield-county/some-residents-hesitant-about-new-1-billion-data-center-headed-for-central-ohio/</v>
      </c>
      <c r="AK705" s="2" t="str">
        <f>IFERROR(__xludf.DUMMYFUNCTION("""COMPUTED_VALUE"""),"https://cleanview.co/public/data-centers/ohio/1895/j5-piqua-data-center")</f>
        <v>https://cleanview.co/public/data-centers/ohio/1895/j5-piqua-data-center</v>
      </c>
      <c r="AL705" s="2" t="str">
        <f>IFERROR(__xludf.DUMMYFUNCTION("""COMPUTED_VALUE"""),"https://www.nbc4i.com/news/local-news/fairfield-county/2-1-billion-vantage-data-center-announced-for-fairfield-county/")</f>
        <v>https://www.nbc4i.com/news/local-news/fairfield-county/2-1-billion-vantage-data-center-announced-for-fairfield-county/</v>
      </c>
      <c r="AM705" s="1" t="str">
        <f>IFERROR(__xludf.DUMMYFUNCTION("""COMPUTED_VALUE"""),"")</f>
        <v/>
      </c>
      <c r="AN705" s="1" t="str">
        <f>IFERROR(__xludf.DUMMYFUNCTION("""COMPUTED_VALUE"""),"")</f>
        <v/>
      </c>
      <c r="AO705" s="1" t="str">
        <f>IFERROR(__xludf.DUMMYFUNCTION("""COMPUTED_VALUE"""),"")</f>
        <v/>
      </c>
      <c r="AP705" s="1" t="str">
        <f>IFERROR(__xludf.DUMMYFUNCTION("""COMPUTED_VALUE"""),"")</f>
        <v/>
      </c>
      <c r="AQ705" s="1" t="str">
        <f>IFERROR(__xludf.DUMMYFUNCTION("""COMPUTED_VALUE"""),"06/05/2025")</f>
        <v>06/05/2025</v>
      </c>
      <c r="AR705" s="1" t="str">
        <f>IFERROR(__xludf.DUMMYFUNCTION("""COMPUTED_VALUE"""),"04/23/2026")</f>
        <v>04/23/2026</v>
      </c>
    </row>
    <row r="706">
      <c r="A706" s="1" t="str">
        <f>IFERROR(__xludf.DUMMYFUNCTION("""COMPUTED_VALUE"""),"Monclova Data Center")</f>
        <v>Monclova Data Center</v>
      </c>
      <c r="B706" s="1" t="str">
        <f>IFERROR(__xludf.DUMMYFUNCTION("""COMPUTED_VALUE"""),"")</f>
        <v/>
      </c>
      <c r="C706" s="1" t="str">
        <f>IFERROR(__xludf.DUMMYFUNCTION("""COMPUTED_VALUE"""),"Monclova Township")</f>
        <v>Monclova Township</v>
      </c>
      <c r="D706" s="1" t="str">
        <f>IFERROR(__xludf.DUMMYFUNCTION("""COMPUTED_VALUE"""),"OH")</f>
        <v>OH</v>
      </c>
      <c r="E706" s="1" t="str">
        <f>IFERROR(__xludf.DUMMYFUNCTION("""COMPUTED_VALUE"""),"43537")</f>
        <v>43537</v>
      </c>
      <c r="F706" s="1" t="str">
        <f>IFERROR(__xludf.DUMMYFUNCTION("""COMPUTED_VALUE"""),"Lucas")</f>
        <v>Lucas</v>
      </c>
      <c r="G706" s="1" t="str">
        <f>IFERROR(__xludf.DUMMYFUNCTION("""COMPUTED_VALUE"""),"41.546165")</f>
        <v>41.546165</v>
      </c>
      <c r="H706" s="1" t="str">
        <f>IFERROR(__xludf.DUMMYFUNCTION("""COMPUTED_VALUE"""),"-83.71574")</f>
        <v>-83.71574</v>
      </c>
      <c r="I706" s="1" t="str">
        <f>IFERROR(__xludf.DUMMYFUNCTION("""COMPUTED_VALUE"""),"Pre-proposal")</f>
        <v>Pre-proposal</v>
      </c>
      <c r="J706" s="1" t="str">
        <f>IFERROR(__xludf.DUMMYFUNCTION("""COMPUTED_VALUE"""),"Medium")</f>
        <v>Medium</v>
      </c>
      <c r="K706" s="1" t="str">
        <f>IFERROR(__xludf.DUMMYFUNCTION("""COMPUTED_VALUE"""),"")</f>
        <v/>
      </c>
      <c r="L706" s="1" t="str">
        <f>IFERROR(__xludf.DUMMYFUNCTION("""COMPUTED_VALUE"""),"")</f>
        <v/>
      </c>
      <c r="M706" s="1" t="str">
        <f>IFERROR(__xludf.DUMMYFUNCTION("""COMPUTED_VALUE"""),"")</f>
        <v/>
      </c>
      <c r="N706" s="1" t="str">
        <f>IFERROR(__xludf.DUMMYFUNCTION("""COMPUTED_VALUE"""),"")</f>
        <v/>
      </c>
      <c r="O706" s="1" t="str">
        <f>IFERROR(__xludf.DUMMYFUNCTION("""COMPUTED_VALUE"""),"Unknown")</f>
        <v>Unknown</v>
      </c>
      <c r="P706" s="1" t="str">
        <f>IFERROR(__xludf.DUMMYFUNCTION("""COMPUTED_VALUE"""),"")</f>
        <v/>
      </c>
      <c r="Q706" s="1" t="str">
        <f>IFERROR(__xludf.DUMMYFUNCTION("""COMPUTED_VALUE"""),"")</f>
        <v/>
      </c>
      <c r="R706" s="1" t="str">
        <f>IFERROR(__xludf.DUMMYFUNCTION("""COMPUTED_VALUE"""),"")</f>
        <v/>
      </c>
      <c r="S706" s="1" t="str">
        <f>IFERROR(__xludf.DUMMYFUNCTION("""COMPUTED_VALUE"""),"")</f>
        <v/>
      </c>
      <c r="T706" s="1" t="str">
        <f>IFERROR(__xludf.DUMMYFUNCTION("""COMPUTED_VALUE"""),"")</f>
        <v/>
      </c>
      <c r="U706" s="1" t="str">
        <f>IFERROR(__xludf.DUMMYFUNCTION("""COMPUTED_VALUE"""),"")</f>
        <v/>
      </c>
      <c r="V706" s="1" t="str">
        <f>IFERROR(__xludf.DUMMYFUNCTION("""COMPUTED_VALUE"""),"")</f>
        <v/>
      </c>
      <c r="W706" s="1" t="str">
        <f>IFERROR(__xludf.DUMMYFUNCTION("""COMPUTED_VALUE"""),"")</f>
        <v/>
      </c>
      <c r="X706" s="1" t="str">
        <f>IFERROR(__xludf.DUMMYFUNCTION("""COMPUTED_VALUE"""),"")</f>
        <v/>
      </c>
      <c r="Y706" s="1" t="str">
        <f>IFERROR(__xludf.DUMMYFUNCTION("""COMPUTED_VALUE"""),"")</f>
        <v/>
      </c>
      <c r="Z706" s="1" t="str">
        <f>IFERROR(__xludf.DUMMYFUNCTION("""COMPUTED_VALUE"""),"Yes")</f>
        <v>Yes</v>
      </c>
      <c r="AA706" s="1" t="str">
        <f>IFERROR(__xludf.DUMMYFUNCTION("""COMPUTED_VALUE"""),"")</f>
        <v/>
      </c>
      <c r="AB706" s="1" t="str">
        <f>IFERROR(__xludf.DUMMYFUNCTION("""COMPUTED_VALUE"""),"")</f>
        <v/>
      </c>
      <c r="AC706" s="1" t="str">
        <f>IFERROR(__xludf.DUMMYFUNCTION("""COMPUTED_VALUE"""),"")</f>
        <v/>
      </c>
      <c r="AD706" s="2" t="str">
        <f>IFERROR(__xludf.DUMMYFUNCTION("""COMPUTED_VALUE"""),"https://www.noawdatacenters.org/")</f>
        <v>https://www.noawdatacenters.org/</v>
      </c>
      <c r="AE706" s="1" t="str">
        <f>IFERROR(__xludf.DUMMYFUNCTION("""COMPUTED_VALUE"""),"")</f>
        <v/>
      </c>
      <c r="AF706" s="1" t="str">
        <f>IFERROR(__xludf.DUMMYFUNCTION("""COMPUTED_VALUE"""),"")</f>
        <v/>
      </c>
      <c r="AG706" s="1" t="str">
        <f>IFERROR(__xludf.DUMMYFUNCTION("""COMPUTED_VALUE"""),"Limited public details are available. See documents obtained in a public records request on this data center here (https://drive.google.com/drive/folders/1s1AB_OOk8qaIOg1in3wVHz91X-kYbTUt?usp=drive_link)")</f>
        <v>Limited public details are available. See documents obtained in a public records request on this data center here (https://drive.google.com/drive/folders/1s1AB_OOk8qaIOg1in3wVHz91X-kYbTUt?usp=drive_link)</v>
      </c>
      <c r="AH706" s="1" t="str">
        <f>IFERROR(__xludf.DUMMYFUNCTION("""COMPUTED_VALUE"""),"FOIA/ public records request")</f>
        <v>FOIA/ public records request</v>
      </c>
      <c r="AI706" s="2" t="str">
        <f>IFERROR(__xludf.DUMMYFUNCTION("""COMPUTED_VALUE"""),"https://www.toledoblade.com/local/suburbs/2026/03/16/monclova-township-residents-wary-prospective-data-centers-backyard/stories/20260316097#:~:text=Monclova%20Township%20residents%20wary%20of,data%20centers%20in%20their%20backyard&amp;text=To%20continue%20rea"&amp;"ding%2C%20try%20unlimited")</f>
        <v>https://www.toledoblade.com/local/suburbs/2026/03/16/monclova-township-residents-wary-prospective-data-centers-backyard/stories/20260316097#:~:text=Monclova%20Township%20residents%20wary%20of,data%20centers%20in%20their%20backyard&amp;text=To%20continue%20reading%2C%20try%20unlimited</v>
      </c>
      <c r="AJ706" s="1" t="str">
        <f>IFERROR(__xludf.DUMMYFUNCTION("""COMPUTED_VALUE"""),"")</f>
        <v/>
      </c>
      <c r="AK706" s="1" t="str">
        <f>IFERROR(__xludf.DUMMYFUNCTION("""COMPUTED_VALUE"""),"")</f>
        <v/>
      </c>
      <c r="AL706" s="1" t="str">
        <f>IFERROR(__xludf.DUMMYFUNCTION("""COMPUTED_VALUE"""),"")</f>
        <v/>
      </c>
      <c r="AM706" s="1" t="str">
        <f>IFERROR(__xludf.DUMMYFUNCTION("""COMPUTED_VALUE"""),"")</f>
        <v/>
      </c>
      <c r="AN706" s="1" t="str">
        <f>IFERROR(__xludf.DUMMYFUNCTION("""COMPUTED_VALUE"""),"")</f>
        <v/>
      </c>
      <c r="AO706" s="1" t="str">
        <f>IFERROR(__xludf.DUMMYFUNCTION("""COMPUTED_VALUE"""),"")</f>
        <v/>
      </c>
      <c r="AP706" s="1" t="str">
        <f>IFERROR(__xludf.DUMMYFUNCTION("""COMPUTED_VALUE"""),"")</f>
        <v/>
      </c>
      <c r="AQ706" s="1" t="str">
        <f>IFERROR(__xludf.DUMMYFUNCTION("""COMPUTED_VALUE"""),"05/06/2026")</f>
        <v>05/06/2026</v>
      </c>
      <c r="AR706" s="1" t="str">
        <f>IFERROR(__xludf.DUMMYFUNCTION("""COMPUTED_VALUE"""),"05/06/2026")</f>
        <v>05/06/2026</v>
      </c>
    </row>
    <row r="707">
      <c r="A707" s="1" t="str">
        <f>IFERROR(__xludf.DUMMYFUNCTION("""COMPUTED_VALUE"""),"Pacifico Data Center")</f>
        <v>Pacifico Data Center</v>
      </c>
      <c r="B707" s="1" t="str">
        <f>IFERROR(__xludf.DUMMYFUNCTION("""COMPUTED_VALUE"""),"London Rd")</f>
        <v>London Rd</v>
      </c>
      <c r="C707" s="1" t="str">
        <f>IFERROR(__xludf.DUMMYFUNCTION("""COMPUTED_VALUE"""),"Muhlenburg")</f>
        <v>Muhlenburg</v>
      </c>
      <c r="D707" s="1" t="str">
        <f>IFERROR(__xludf.DUMMYFUNCTION("""COMPUTED_VALUE"""),"OH")</f>
        <v>OH</v>
      </c>
      <c r="E707" s="1" t="str">
        <f>IFERROR(__xludf.DUMMYFUNCTION("""COMPUTED_VALUE"""),"")</f>
        <v/>
      </c>
      <c r="F707" s="1" t="str">
        <f>IFERROR(__xludf.DUMMYFUNCTION("""COMPUTED_VALUE"""),"Pickaway")</f>
        <v>Pickaway</v>
      </c>
      <c r="G707" s="1" t="str">
        <f>IFERROR(__xludf.DUMMYFUNCTION("""COMPUTED_VALUE"""),"39.697655")</f>
        <v>39.697655</v>
      </c>
      <c r="H707" s="1" t="str">
        <f>IFERROR(__xludf.DUMMYFUNCTION("""COMPUTED_VALUE"""),"-83.11986")</f>
        <v>-83.11986</v>
      </c>
      <c r="I707" s="1" t="str">
        <f>IFERROR(__xludf.DUMMYFUNCTION("""COMPUTED_VALUE"""),"Proposed")</f>
        <v>Proposed</v>
      </c>
      <c r="J707" s="1" t="str">
        <f>IFERROR(__xludf.DUMMYFUNCTION("""COMPUTED_VALUE"""),"Medium")</f>
        <v>Medium</v>
      </c>
      <c r="K707" s="1" t="str">
        <f>IFERROR(__xludf.DUMMYFUNCTION("""COMPUTED_VALUE"""),"")</f>
        <v/>
      </c>
      <c r="L707" s="1" t="str">
        <f>IFERROR(__xludf.DUMMYFUNCTION("""COMPUTED_VALUE"""),"")</f>
        <v/>
      </c>
      <c r="M707" s="1" t="str">
        <f>IFERROR(__xludf.DUMMYFUNCTION("""COMPUTED_VALUE"""),"")</f>
        <v/>
      </c>
      <c r="N707" s="1" t="str">
        <f>IFERROR(__xludf.DUMMYFUNCTION("""COMPUTED_VALUE"""),"")</f>
        <v/>
      </c>
      <c r="O707" s="1" t="str">
        <f>IFERROR(__xludf.DUMMYFUNCTION("""COMPUTED_VALUE"""),"Unknown")</f>
        <v>Unknown</v>
      </c>
      <c r="P707" s="1" t="str">
        <f>IFERROR(__xludf.DUMMYFUNCTION("""COMPUTED_VALUE"""),"")</f>
        <v/>
      </c>
      <c r="Q707" s="1" t="str">
        <f>IFERROR(__xludf.DUMMYFUNCTION("""COMPUTED_VALUE"""),"")</f>
        <v/>
      </c>
      <c r="R707" s="1" t="str">
        <f>IFERROR(__xludf.DUMMYFUNCTION("""COMPUTED_VALUE"""),"")</f>
        <v/>
      </c>
      <c r="S707" s="1" t="str">
        <f>IFERROR(__xludf.DUMMYFUNCTION("""COMPUTED_VALUE"""),"")</f>
        <v/>
      </c>
      <c r="T707" s="1" t="str">
        <f>IFERROR(__xludf.DUMMYFUNCTION("""COMPUTED_VALUE"""),"")</f>
        <v/>
      </c>
      <c r="U707" s="1" t="str">
        <f>IFERROR(__xludf.DUMMYFUNCTION("""COMPUTED_VALUE"""),"")</f>
        <v/>
      </c>
      <c r="V707" s="1" t="str">
        <f>IFERROR(__xludf.DUMMYFUNCTION("""COMPUTED_VALUE"""),"")</f>
        <v/>
      </c>
      <c r="W707" s="1" t="str">
        <f>IFERROR(__xludf.DUMMYFUNCTION("""COMPUTED_VALUE"""),"")</f>
        <v/>
      </c>
      <c r="X707" s="1" t="str">
        <f>IFERROR(__xludf.DUMMYFUNCTION("""COMPUTED_VALUE"""),"")</f>
        <v/>
      </c>
      <c r="Y707" s="1" t="str">
        <f>IFERROR(__xludf.DUMMYFUNCTION("""COMPUTED_VALUE"""),"")</f>
        <v/>
      </c>
      <c r="Z707" s="1" t="str">
        <f>IFERROR(__xludf.DUMMYFUNCTION("""COMPUTED_VALUE"""),"Yes")</f>
        <v>Yes</v>
      </c>
      <c r="AA707" s="1" t="str">
        <f>IFERROR(__xludf.DUMMYFUNCTION("""COMPUTED_VALUE"""),"12-month moratorium")</f>
        <v>12-month moratorium</v>
      </c>
      <c r="AB707" s="1" t="str">
        <f>IFERROR(__xludf.DUMMYFUNCTION("""COMPUTED_VALUE"""),"Organized Advocacy")</f>
        <v>Organized Advocacy</v>
      </c>
      <c r="AC707" s="1" t="str">
        <f>IFERROR(__xludf.DUMMYFUNCTION("""COMPUTED_VALUE"""),"")</f>
        <v/>
      </c>
      <c r="AD707" s="2" t="str">
        <f>IFERROR(__xludf.DUMMYFUNCTION("""COMPUTED_VALUE"""),"https://www.change.org/p/muhlenberg-twp-and-community-against-data-center-and-or-power-distribution-build")</f>
        <v>https://www.change.org/p/muhlenberg-twp-and-community-against-data-center-and-or-power-distribution-build</v>
      </c>
      <c r="AE707" s="1" t="str">
        <f>IFERROR(__xludf.DUMMYFUNCTION("""COMPUTED_VALUE"""),"")</f>
        <v/>
      </c>
      <c r="AF707" s="1" t="str">
        <f>IFERROR(__xludf.DUMMYFUNCTION("""COMPUTED_VALUE"""),"")</f>
        <v/>
      </c>
      <c r="AG707" s="1" t="str">
        <f>IFERROR(__xludf.DUMMYFUNCTION("""COMPUTED_VALUE"""),"")</f>
        <v/>
      </c>
      <c r="AH707" s="1" t="str">
        <f>IFERROR(__xludf.DUMMYFUNCTION("""COMPUTED_VALUE"""),"Media Monitoring")</f>
        <v>Media Monitoring</v>
      </c>
      <c r="AI707" s="2" t="str">
        <f>IFERROR(__xludf.DUMMYFUNCTION("""COMPUTED_VALUE"""),"https://www.datacenterdynamics.com/en/news/muhlenberg-ohio-introduces-year-long-moratorium-on-new-data-centers/")</f>
        <v>https://www.datacenterdynamics.com/en/news/muhlenberg-ohio-introduces-year-long-moratorium-on-new-data-centers/</v>
      </c>
      <c r="AJ707" s="1" t="str">
        <f>IFERROR(__xludf.DUMMYFUNCTION("""COMPUTED_VALUE"""),"")</f>
        <v/>
      </c>
      <c r="AK707" s="1" t="str">
        <f>IFERROR(__xludf.DUMMYFUNCTION("""COMPUTED_VALUE"""),"")</f>
        <v/>
      </c>
      <c r="AL707" s="1" t="str">
        <f>IFERROR(__xludf.DUMMYFUNCTION("""COMPUTED_VALUE"""),"")</f>
        <v/>
      </c>
      <c r="AM707" s="1" t="str">
        <f>IFERROR(__xludf.DUMMYFUNCTION("""COMPUTED_VALUE"""),"")</f>
        <v/>
      </c>
      <c r="AN707" s="1" t="str">
        <f>IFERROR(__xludf.DUMMYFUNCTION("""COMPUTED_VALUE"""),"")</f>
        <v/>
      </c>
      <c r="AO707" s="1" t="str">
        <f>IFERROR(__xludf.DUMMYFUNCTION("""COMPUTED_VALUE"""),"")</f>
        <v/>
      </c>
      <c r="AP707" s="1" t="str">
        <f>IFERROR(__xludf.DUMMYFUNCTION("""COMPUTED_VALUE"""),"")</f>
        <v/>
      </c>
      <c r="AQ707" s="1" t="str">
        <f>IFERROR(__xludf.DUMMYFUNCTION("""COMPUTED_VALUE"""),"02/24/2026")</f>
        <v>02/24/2026</v>
      </c>
      <c r="AR707" s="1" t="str">
        <f>IFERROR(__xludf.DUMMYFUNCTION("""COMPUTED_VALUE"""),"02/24/2026")</f>
        <v>02/24/2026</v>
      </c>
    </row>
    <row r="708">
      <c r="A708" s="1" t="str">
        <f>IFERROR(__xludf.DUMMYFUNCTION("""COMPUTED_VALUE"""),"Google New Albany Data Center")</f>
        <v>Google New Albany Data Center</v>
      </c>
      <c r="B708" s="1" t="str">
        <f>IFERROR(__xludf.DUMMYFUNCTION("""COMPUTED_VALUE"""),"~4632 Babbitt Rd")</f>
        <v>~4632 Babbitt Rd</v>
      </c>
      <c r="C708" s="1" t="str">
        <f>IFERROR(__xludf.DUMMYFUNCTION("""COMPUTED_VALUE"""),"New Albany")</f>
        <v>New Albany</v>
      </c>
      <c r="D708" s="1" t="str">
        <f>IFERROR(__xludf.DUMMYFUNCTION("""COMPUTED_VALUE"""),"OH")</f>
        <v>OH</v>
      </c>
      <c r="E708" s="1" t="str">
        <f>IFERROR(__xludf.DUMMYFUNCTION("""COMPUTED_VALUE"""),"43054")</f>
        <v>43054</v>
      </c>
      <c r="F708" s="1" t="str">
        <f>IFERROR(__xludf.DUMMYFUNCTION("""COMPUTED_VALUE"""),"Franklin")</f>
        <v>Franklin</v>
      </c>
      <c r="G708" s="1" t="str">
        <f>IFERROR(__xludf.DUMMYFUNCTION("""COMPUTED_VALUE"""),"40.058273")</f>
        <v>40.058273</v>
      </c>
      <c r="H708" s="1" t="str">
        <f>IFERROR(__xludf.DUMMYFUNCTION("""COMPUTED_VALUE"""),"-82.766945")</f>
        <v>-82.766945</v>
      </c>
      <c r="I708" s="1" t="str">
        <f>IFERROR(__xludf.DUMMYFUNCTION("""COMPUTED_VALUE"""),"Approved/Permitted/Under construction")</f>
        <v>Approved/Permitted/Under construction</v>
      </c>
      <c r="J708" s="1" t="str">
        <f>IFERROR(__xludf.DUMMYFUNCTION("""COMPUTED_VALUE"""),"High")</f>
        <v>High</v>
      </c>
      <c r="K708" s="1" t="str">
        <f>IFERROR(__xludf.DUMMYFUNCTION("""COMPUTED_VALUE"""),"")</f>
        <v/>
      </c>
      <c r="L708" s="1" t="str">
        <f>IFERROR(__xludf.DUMMYFUNCTION("""COMPUTED_VALUE"""),"Google")</f>
        <v>Google</v>
      </c>
      <c r="M708" s="1" t="str">
        <f>IFERROR(__xludf.DUMMYFUNCTION("""COMPUTED_VALUE"""),"")</f>
        <v/>
      </c>
      <c r="N708" s="1" t="str">
        <f>IFERROR(__xludf.DUMMYFUNCTION("""COMPUTED_VALUE"""),"543-679")</f>
        <v>543-679</v>
      </c>
      <c r="O708" s="1" t="str">
        <f>IFERROR(__xludf.DUMMYFUNCTION("""COMPUTED_VALUE"""),"Hyperscale (100-999 MW)")</f>
        <v>Hyperscale (100-999 MW)</v>
      </c>
      <c r="P708" s="1" t="str">
        <f>IFERROR(__xludf.DUMMYFUNCTION("""COMPUTED_VALUE"""),"")</f>
        <v/>
      </c>
      <c r="Q708" s="1" t="str">
        <f>IFERROR(__xludf.DUMMYFUNCTION("""COMPUTED_VALUE"""),"")</f>
        <v/>
      </c>
      <c r="R708" s="1" t="str">
        <f>IFERROR(__xludf.DUMMYFUNCTION("""COMPUTED_VALUE"""),"")</f>
        <v/>
      </c>
      <c r="S708" s="1" t="str">
        <f>IFERROR(__xludf.DUMMYFUNCTION("""COMPUTED_VALUE"""),"")</f>
        <v/>
      </c>
      <c r="T708" s="1" t="str">
        <f>IFERROR(__xludf.DUMMYFUNCTION("""COMPUTED_VALUE"""),"")</f>
        <v/>
      </c>
      <c r="U708" s="1" t="str">
        <f>IFERROR(__xludf.DUMMYFUNCTION("""COMPUTED_VALUE"""),"")</f>
        <v/>
      </c>
      <c r="V708" s="1" t="str">
        <f>IFERROR(__xludf.DUMMYFUNCTION("""COMPUTED_VALUE"""),"")</f>
        <v/>
      </c>
      <c r="W708" s="1" t="str">
        <f>IFERROR(__xludf.DUMMYFUNCTION("""COMPUTED_VALUE"""),"")</f>
        <v/>
      </c>
      <c r="X708" s="1" t="str">
        <f>IFERROR(__xludf.DUMMYFUNCTION("""COMPUTED_VALUE"""),"")</f>
        <v/>
      </c>
      <c r="Y708" s="1" t="str">
        <f>IFERROR(__xludf.DUMMYFUNCTION("""COMPUTED_VALUE"""),"")</f>
        <v/>
      </c>
      <c r="Z708" s="1" t="str">
        <f>IFERROR(__xludf.DUMMYFUNCTION("""COMPUTED_VALUE"""),"Unknown")</f>
        <v>Unknown</v>
      </c>
      <c r="AA708" s="1" t="str">
        <f>IFERROR(__xludf.DUMMYFUNCTION("""COMPUTED_VALUE"""),"")</f>
        <v/>
      </c>
      <c r="AB708" s="1" t="str">
        <f>IFERROR(__xludf.DUMMYFUNCTION("""COMPUTED_VALUE"""),"")</f>
        <v/>
      </c>
      <c r="AC708" s="1" t="str">
        <f>IFERROR(__xludf.DUMMYFUNCTION("""COMPUTED_VALUE"""),"")</f>
        <v/>
      </c>
      <c r="AD708" s="1" t="str">
        <f>IFERROR(__xludf.DUMMYFUNCTION("""COMPUTED_VALUE"""),"")</f>
        <v/>
      </c>
      <c r="AE708" s="1" t="str">
        <f>IFERROR(__xludf.DUMMYFUNCTION("""COMPUTED_VALUE"""),"")</f>
        <v/>
      </c>
      <c r="AF708" s="1" t="str">
        <f>IFERROR(__xludf.DUMMYFUNCTION("""COMPUTED_VALUE"""),"")</f>
        <v/>
      </c>
      <c r="AG708" s="1" t="str">
        <f>IFERROR(__xludf.DUMMYFUNCTION("""COMPUTED_VALUE"""),"")</f>
        <v/>
      </c>
      <c r="AH708" s="1" t="str">
        <f>IFERROR(__xludf.DUMMYFUNCTION("""COMPUTED_VALUE"""),"Media Monitoring")</f>
        <v>Media Monitoring</v>
      </c>
      <c r="AI708" s="2" t="str">
        <f>IFERROR(__xludf.DUMMYFUNCTION("""COMPUTED_VALUE"""),"https://epoch.ai/data/data-centers/satellite-explorer/GoogleNewAlbanyOhio?ref=404media.co")</f>
        <v>https://epoch.ai/data/data-centers/satellite-explorer/GoogleNewAlbanyOhio?ref=404media.co</v>
      </c>
      <c r="AJ708" s="1" t="str">
        <f>IFERROR(__xludf.DUMMYFUNCTION("""COMPUTED_VALUE"""),"")</f>
        <v/>
      </c>
      <c r="AK708" s="1" t="str">
        <f>IFERROR(__xludf.DUMMYFUNCTION("""COMPUTED_VALUE"""),"")</f>
        <v/>
      </c>
      <c r="AL708" s="1" t="str">
        <f>IFERROR(__xludf.DUMMYFUNCTION("""COMPUTED_VALUE"""),"")</f>
        <v/>
      </c>
      <c r="AM708" s="1" t="str">
        <f>IFERROR(__xludf.DUMMYFUNCTION("""COMPUTED_VALUE"""),"")</f>
        <v/>
      </c>
      <c r="AN708" s="1" t="str">
        <f>IFERROR(__xludf.DUMMYFUNCTION("""COMPUTED_VALUE"""),"")</f>
        <v/>
      </c>
      <c r="AO708" s="1" t="str">
        <f>IFERROR(__xludf.DUMMYFUNCTION("""COMPUTED_VALUE"""),"")</f>
        <v/>
      </c>
      <c r="AP708" s="1" t="str">
        <f>IFERROR(__xludf.DUMMYFUNCTION("""COMPUTED_VALUE"""),"")</f>
        <v/>
      </c>
      <c r="AQ708" s="1" t="str">
        <f>IFERROR(__xludf.DUMMYFUNCTION("""COMPUTED_VALUE"""),"01/01/2026")</f>
        <v>01/01/2026</v>
      </c>
      <c r="AR708" s="1" t="str">
        <f>IFERROR(__xludf.DUMMYFUNCTION("""COMPUTED_VALUE"""),"01/01/2026")</f>
        <v>01/01/2026</v>
      </c>
    </row>
    <row r="709">
      <c r="A709" s="1" t="str">
        <f>IFERROR(__xludf.DUMMYFUNCTION("""COMPUTED_VALUE"""),"New Albany Meta Data Center/Prometheus")</f>
        <v>New Albany Meta Data Center/Prometheus</v>
      </c>
      <c r="B709" s="1" t="str">
        <f>IFERROR(__xludf.DUMMYFUNCTION("""COMPUTED_VALUE"""),"1 Community Cir")</f>
        <v>1 Community Cir</v>
      </c>
      <c r="C709" s="1" t="str">
        <f>IFERROR(__xludf.DUMMYFUNCTION("""COMPUTED_VALUE"""),"New Albany")</f>
        <v>New Albany</v>
      </c>
      <c r="D709" s="1" t="str">
        <f>IFERROR(__xludf.DUMMYFUNCTION("""COMPUTED_VALUE"""),"OH")</f>
        <v>OH</v>
      </c>
      <c r="E709" s="1" t="str">
        <f>IFERROR(__xludf.DUMMYFUNCTION("""COMPUTED_VALUE"""),"43054")</f>
        <v>43054</v>
      </c>
      <c r="F709" s="1" t="str">
        <f>IFERROR(__xludf.DUMMYFUNCTION("""COMPUTED_VALUE"""),"Darke")</f>
        <v>Darke</v>
      </c>
      <c r="G709" s="1" t="str">
        <f>IFERROR(__xludf.DUMMYFUNCTION("""COMPUTED_VALUE"""),"40.06873")</f>
        <v>40.06873</v>
      </c>
      <c r="H709" s="1" t="str">
        <f>IFERROR(__xludf.DUMMYFUNCTION("""COMPUTED_VALUE"""),"-82.75027")</f>
        <v>-82.75027</v>
      </c>
      <c r="I709" s="1" t="str">
        <f>IFERROR(__xludf.DUMMYFUNCTION("""COMPUTED_VALUE"""),"Operating")</f>
        <v>Operating</v>
      </c>
      <c r="J709" s="1" t="str">
        <f>IFERROR(__xludf.DUMMYFUNCTION("""COMPUTED_VALUE"""),"High")</f>
        <v>High</v>
      </c>
      <c r="K709" s="1" t="str">
        <f>IFERROR(__xludf.DUMMYFUNCTION("""COMPUTED_VALUE"""),"")</f>
        <v/>
      </c>
      <c r="L709" s="1" t="str">
        <f>IFERROR(__xludf.DUMMYFUNCTION("""COMPUTED_VALUE"""),"Meta")</f>
        <v>Meta</v>
      </c>
      <c r="M709" s="1" t="str">
        <f>IFERROR(__xludf.DUMMYFUNCTION("""COMPUTED_VALUE"""),"")</f>
        <v/>
      </c>
      <c r="N709" s="1" t="str">
        <f>IFERROR(__xludf.DUMMYFUNCTION("""COMPUTED_VALUE"""),"691-1,400")</f>
        <v>691-1,400</v>
      </c>
      <c r="O709" s="1" t="str">
        <f>IFERROR(__xludf.DUMMYFUNCTION("""COMPUTED_VALUE"""),"Mega campus (&gt;1,000 MW)")</f>
        <v>Mega campus (&gt;1,000 MW)</v>
      </c>
      <c r="P709" s="1" t="str">
        <f>IFERROR(__xludf.DUMMYFUNCTION("""COMPUTED_VALUE"""),"Natural gas, Hybrid (onsite and grid)")</f>
        <v>Natural gas, Hybrid (onsite and grid)</v>
      </c>
      <c r="Q709" s="1" t="str">
        <f>IFERROR(__xludf.DUMMYFUNCTION("""COMPUTED_VALUE"""),"Yes - Socrates North Power Generation Project")</f>
        <v>Yes - Socrates North Power Generation Project</v>
      </c>
      <c r="R709" s="1" t="str">
        <f>IFERROR(__xludf.DUMMYFUNCTION("""COMPUTED_VALUE"""),"")</f>
        <v/>
      </c>
      <c r="S709" s="1" t="str">
        <f>IFERROR(__xludf.DUMMYFUNCTION("""COMPUTED_VALUE"""),"")</f>
        <v/>
      </c>
      <c r="T709" s="1" t="str">
        <f>IFERROR(__xludf.DUMMYFUNCTION("""COMPUTED_VALUE"""),"")</f>
        <v/>
      </c>
      <c r="U709" s="1" t="str">
        <f>IFERROR(__xludf.DUMMYFUNCTION("""COMPUTED_VALUE"""),"")</f>
        <v/>
      </c>
      <c r="V709" s="1" t="str">
        <f>IFERROR(__xludf.DUMMYFUNCTION("""COMPUTED_VALUE"""),"27,878,400")</f>
        <v>27,878,400</v>
      </c>
      <c r="W709" s="1" t="str">
        <f>IFERROR(__xludf.DUMMYFUNCTION("""COMPUTED_VALUE"""),"345")</f>
        <v>345</v>
      </c>
      <c r="X709" s="1" t="str">
        <f>IFERROR(__xludf.DUMMYFUNCTION("""COMPUTED_VALUE"""),"")</f>
        <v/>
      </c>
      <c r="Y709" s="1" t="str">
        <f>IFERROR(__xludf.DUMMYFUNCTION("""COMPUTED_VALUE"""),"")</f>
        <v/>
      </c>
      <c r="Z709" s="1" t="str">
        <f>IFERROR(__xludf.DUMMYFUNCTION("""COMPUTED_VALUE"""),"Unknown")</f>
        <v>Unknown</v>
      </c>
      <c r="AA709" s="1" t="str">
        <f>IFERROR(__xludf.DUMMYFUNCTION("""COMPUTED_VALUE"""),"")</f>
        <v/>
      </c>
      <c r="AB709" s="1" t="str">
        <f>IFERROR(__xludf.DUMMYFUNCTION("""COMPUTED_VALUE"""),"")</f>
        <v/>
      </c>
      <c r="AC709" s="1" t="str">
        <f>IFERROR(__xludf.DUMMYFUNCTION("""COMPUTED_VALUE"""),"")</f>
        <v/>
      </c>
      <c r="AD709" s="1" t="str">
        <f>IFERROR(__xludf.DUMMYFUNCTION("""COMPUTED_VALUE"""),"")</f>
        <v/>
      </c>
      <c r="AE709" s="1" t="str">
        <f>IFERROR(__xludf.DUMMYFUNCTION("""COMPUTED_VALUE"""),"")</f>
        <v/>
      </c>
      <c r="AF709" s="1" t="str">
        <f>IFERROR(__xludf.DUMMYFUNCTION("""COMPUTED_VALUE"""),"")</f>
        <v/>
      </c>
      <c r="AG709" s="1" t="str">
        <f>IFERROR(__xludf.DUMMYFUNCTION("""COMPUTED_VALUE"""),"The Socrates North Power Generation Facility, also known as the Plato North Plant, will be located in the New Albany International Business Park. Socrates South Power Generation Facility, also known as the Plato South plant, is a natural gas power plant p"&amp;"lanned in New Albany, Ohio. Permit documents show the facilities could each generate up to 307 MW.")</f>
        <v>The Socrates North Power Generation Facility, also known as the Plato North Plant, will be located in the New Albany International Business Park. Socrates South Power Generation Facility, also known as the Plato South plant, is a natural gas power plant planned in New Albany, Ohio. Permit documents show the facilities could each generate up to 307 MW.</v>
      </c>
      <c r="AH709" s="1" t="str">
        <f>IFERROR(__xludf.DUMMYFUNCTION("""COMPUTED_VALUE"""),"Media Monitoring")</f>
        <v>Media Monitoring</v>
      </c>
      <c r="AI709" s="2" t="str">
        <f>IFERROR(__xludf.DUMMYFUNCTION("""COMPUTED_VALUE"""),"https://www.datacenterdynamics.com/en/news/facebook-launches-ohio-data-center/")</f>
        <v>https://www.datacenterdynamics.com/en/news/facebook-launches-ohio-data-center/</v>
      </c>
      <c r="AJ709" s="2" t="str">
        <f>IFERROR(__xludf.DUMMYFUNCTION("""COMPUTED_VALUE"""),"https://rbnenergy.com/i-know-places-tech-giants-may-be-the-surest-bets-for-data-center-power-demand")</f>
        <v>https://rbnenergy.com/i-know-places-tech-giants-may-be-the-surest-bets-for-data-center-power-demand</v>
      </c>
      <c r="AK709" s="2" t="str">
        <f>IFERROR(__xludf.DUMMYFUNCTION("""COMPUTED_VALUE"""),"https://engineering.fb.com/2025/09/29/data-infrastructure/metas-infrastructure-evolution-and-the-advent-of-ai/")</f>
        <v>https://engineering.fb.com/2025/09/29/data-infrastructure/metas-infrastructure-evolution-and-the-advent-of-ai/</v>
      </c>
      <c r="AL709" s="2" t="str">
        <f>IFERROR(__xludf.DUMMYFUNCTION("""COMPUTED_VALUE"""),"https://www.bbc.com/news/articles/c1e02vx55wpo")</f>
        <v>https://www.bbc.com/news/articles/c1e02vx55wpo</v>
      </c>
      <c r="AM709" s="2" t="str">
        <f>IFERROR(__xludf.DUMMYFUNCTION("""COMPUTED_VALUE"""),"https://epoch.ai/data/data-centers/satellite-explorer/MetaPrometheusNewAlbanyOhio?ref=404media.co")</f>
        <v>https://epoch.ai/data/data-centers/satellite-explorer/MetaPrometheusNewAlbanyOhio?ref=404media.co</v>
      </c>
      <c r="AN709" s="2" t="str">
        <f>IFERROR(__xludf.DUMMYFUNCTION("""COMPUTED_VALUE"""),"https://oilandgaswatch.org/facility/rec_d4f1u60q7easr8ra1g3g")</f>
        <v>https://oilandgaswatch.org/facility/rec_d4f1u60q7easr8ra1g3g</v>
      </c>
      <c r="AO709" s="2" t="str">
        <f>IFERROR(__xludf.DUMMYFUNCTION("""COMPUTED_VALUE"""),"https://oilandgaswatch.org/facility/rec_d4f1u60q7easr8ra1g30")</f>
        <v>https://oilandgaswatch.org/facility/rec_d4f1u60q7easr8ra1g30</v>
      </c>
      <c r="AP709" s="1" t="str">
        <f>IFERROR(__xludf.DUMMYFUNCTION("""COMPUTED_VALUE"""),"")</f>
        <v/>
      </c>
      <c r="AQ709" s="1" t="str">
        <f>IFERROR(__xludf.DUMMYFUNCTION("""COMPUTED_VALUE"""),"05/26/2025")</f>
        <v>05/26/2025</v>
      </c>
      <c r="AR709" s="1" t="str">
        <f>IFERROR(__xludf.DUMMYFUNCTION("""COMPUTED_VALUE"""),"04/23/2026")</f>
        <v>04/23/2026</v>
      </c>
    </row>
    <row r="710">
      <c r="A710" s="1" t="str">
        <f>IFERROR(__xludf.DUMMYFUNCTION("""COMPUTED_VALUE"""),"Oregon Data Center")</f>
        <v>Oregon Data Center</v>
      </c>
      <c r="B710" s="1" t="str">
        <f>IFERROR(__xludf.DUMMYFUNCTION("""COMPUTED_VALUE"""),"Corduroy and N. Wynn Rds")</f>
        <v>Corduroy and N. Wynn Rds</v>
      </c>
      <c r="C710" s="1" t="str">
        <f>IFERROR(__xludf.DUMMYFUNCTION("""COMPUTED_VALUE"""),"Oregon")</f>
        <v>Oregon</v>
      </c>
      <c r="D710" s="1" t="str">
        <f>IFERROR(__xludf.DUMMYFUNCTION("""COMPUTED_VALUE"""),"OH")</f>
        <v>OH</v>
      </c>
      <c r="E710" s="1" t="str">
        <f>IFERROR(__xludf.DUMMYFUNCTION("""COMPUTED_VALUE"""),"43616")</f>
        <v>43616</v>
      </c>
      <c r="F710" s="1" t="str">
        <f>IFERROR(__xludf.DUMMYFUNCTION("""COMPUTED_VALUE"""),"Lucas")</f>
        <v>Lucas</v>
      </c>
      <c r="G710" s="1" t="str">
        <f>IFERROR(__xludf.DUMMYFUNCTION("""COMPUTED_VALUE"""),"41.66384")</f>
        <v>41.66384</v>
      </c>
      <c r="H710" s="1" t="str">
        <f>IFERROR(__xludf.DUMMYFUNCTION("""COMPUTED_VALUE"""),"-83.4237")</f>
        <v>-83.4237</v>
      </c>
      <c r="I710" s="1" t="str">
        <f>IFERROR(__xludf.DUMMYFUNCTION("""COMPUTED_VALUE"""),"Proposed")</f>
        <v>Proposed</v>
      </c>
      <c r="J710" s="1" t="str">
        <f>IFERROR(__xludf.DUMMYFUNCTION("""COMPUTED_VALUE"""),"Medium")</f>
        <v>Medium</v>
      </c>
      <c r="K710" s="1" t="str">
        <f>IFERROR(__xludf.DUMMYFUNCTION("""COMPUTED_VALUE"""),"")</f>
        <v/>
      </c>
      <c r="L710" s="1" t="str">
        <f>IFERROR(__xludf.DUMMYFUNCTION("""COMPUTED_VALUE"""),"")</f>
        <v/>
      </c>
      <c r="M710" s="1" t="str">
        <f>IFERROR(__xludf.DUMMYFUNCTION("""COMPUTED_VALUE"""),"")</f>
        <v/>
      </c>
      <c r="N710" s="1" t="str">
        <f>IFERROR(__xludf.DUMMYFUNCTION("""COMPUTED_VALUE"""),"")</f>
        <v/>
      </c>
      <c r="O710" s="1" t="str">
        <f>IFERROR(__xludf.DUMMYFUNCTION("""COMPUTED_VALUE"""),"Unknown")</f>
        <v>Unknown</v>
      </c>
      <c r="P710" s="1" t="str">
        <f>IFERROR(__xludf.DUMMYFUNCTION("""COMPUTED_VALUE"""),"")</f>
        <v/>
      </c>
      <c r="Q710" s="1" t="str">
        <f>IFERROR(__xludf.DUMMYFUNCTION("""COMPUTED_VALUE"""),"")</f>
        <v/>
      </c>
      <c r="R710" s="1" t="str">
        <f>IFERROR(__xludf.DUMMYFUNCTION("""COMPUTED_VALUE"""),"")</f>
        <v/>
      </c>
      <c r="S710" s="1" t="str">
        <f>IFERROR(__xludf.DUMMYFUNCTION("""COMPUTED_VALUE"""),"")</f>
        <v/>
      </c>
      <c r="T710" s="1" t="str">
        <f>IFERROR(__xludf.DUMMYFUNCTION("""COMPUTED_VALUE"""),"")</f>
        <v/>
      </c>
      <c r="U710" s="1" t="str">
        <f>IFERROR(__xludf.DUMMYFUNCTION("""COMPUTED_VALUE"""),"")</f>
        <v/>
      </c>
      <c r="V710" s="1" t="str">
        <f>IFERROR(__xludf.DUMMYFUNCTION("""COMPUTED_VALUE"""),"")</f>
        <v/>
      </c>
      <c r="W710" s="1" t="str">
        <f>IFERROR(__xludf.DUMMYFUNCTION("""COMPUTED_VALUE"""),"20")</f>
        <v>20</v>
      </c>
      <c r="X710" s="1" t="str">
        <f>IFERROR(__xludf.DUMMYFUNCTION("""COMPUTED_VALUE"""),"")</f>
        <v/>
      </c>
      <c r="Y710" s="1" t="str">
        <f>IFERROR(__xludf.DUMMYFUNCTION("""COMPUTED_VALUE"""),"")</f>
        <v/>
      </c>
      <c r="Z710" s="1" t="str">
        <f>IFERROR(__xludf.DUMMYFUNCTION("""COMPUTED_VALUE"""),"Unknown")</f>
        <v>Unknown</v>
      </c>
      <c r="AA710" s="1" t="str">
        <f>IFERROR(__xludf.DUMMYFUNCTION("""COMPUTED_VALUE"""),"")</f>
        <v/>
      </c>
      <c r="AB710" s="1" t="str">
        <f>IFERROR(__xludf.DUMMYFUNCTION("""COMPUTED_VALUE"""),"")</f>
        <v/>
      </c>
      <c r="AC710" s="1" t="str">
        <f>IFERROR(__xludf.DUMMYFUNCTION("""COMPUTED_VALUE"""),"")</f>
        <v/>
      </c>
      <c r="AD710" s="1" t="str">
        <f>IFERROR(__xludf.DUMMYFUNCTION("""COMPUTED_VALUE"""),"")</f>
        <v/>
      </c>
      <c r="AE710" s="1" t="str">
        <f>IFERROR(__xludf.DUMMYFUNCTION("""COMPUTED_VALUE"""),"")</f>
        <v/>
      </c>
      <c r="AF710" s="1" t="str">
        <f>IFERROR(__xludf.DUMMYFUNCTION("""COMPUTED_VALUE"""),"")</f>
        <v/>
      </c>
      <c r="AG710" s="1" t="str">
        <f>IFERROR(__xludf.DUMMYFUNCTION("""COMPUTED_VALUE"""),"")</f>
        <v/>
      </c>
      <c r="AH710" s="1" t="str">
        <f>IFERROR(__xludf.DUMMYFUNCTION("""COMPUTED_VALUE"""),"Media Monitoring")</f>
        <v>Media Monitoring</v>
      </c>
      <c r="AI710" s="2" t="str">
        <f>IFERROR(__xludf.DUMMYFUNCTION("""COMPUTED_VALUE"""),"https://www.datacenterdynamics.com/en/news/rezoning-requests-approved-for-data-center-outside-toledo-ohio/")</f>
        <v>https://www.datacenterdynamics.com/en/news/rezoning-requests-approved-for-data-center-outside-toledo-ohio/</v>
      </c>
      <c r="AJ710" s="1" t="str">
        <f>IFERROR(__xludf.DUMMYFUNCTION("""COMPUTED_VALUE"""),"")</f>
        <v/>
      </c>
      <c r="AK710" s="1" t="str">
        <f>IFERROR(__xludf.DUMMYFUNCTION("""COMPUTED_VALUE"""),"")</f>
        <v/>
      </c>
      <c r="AL710" s="1" t="str">
        <f>IFERROR(__xludf.DUMMYFUNCTION("""COMPUTED_VALUE"""),"")</f>
        <v/>
      </c>
      <c r="AM710" s="1" t="str">
        <f>IFERROR(__xludf.DUMMYFUNCTION("""COMPUTED_VALUE"""),"")</f>
        <v/>
      </c>
      <c r="AN710" s="1" t="str">
        <f>IFERROR(__xludf.DUMMYFUNCTION("""COMPUTED_VALUE"""),"")</f>
        <v/>
      </c>
      <c r="AO710" s="1" t="str">
        <f>IFERROR(__xludf.DUMMYFUNCTION("""COMPUTED_VALUE"""),"")</f>
        <v/>
      </c>
      <c r="AP710" s="1" t="str">
        <f>IFERROR(__xludf.DUMMYFUNCTION("""COMPUTED_VALUE"""),"")</f>
        <v/>
      </c>
      <c r="AQ710" s="1" t="str">
        <f>IFERROR(__xludf.DUMMYFUNCTION("""COMPUTED_VALUE"""),"09/03/2025")</f>
        <v>09/03/2025</v>
      </c>
      <c r="AR710" s="1" t="str">
        <f>IFERROR(__xludf.DUMMYFUNCTION("""COMPUTED_VALUE"""),"09/03/2025")</f>
        <v>09/03/2025</v>
      </c>
    </row>
    <row r="711">
      <c r="A711" s="1" t="str">
        <f>IFERROR(__xludf.DUMMYFUNCTION("""COMPUTED_VALUE"""),"Aligned Data Center")</f>
        <v>Aligned Data Center</v>
      </c>
      <c r="B711" s="1" t="str">
        <f>IFERROR(__xludf.DUMMYFUNCTION("""COMPUTED_VALUE"""),"corner OH-16 and Mink St SW")</f>
        <v>corner OH-16 and Mink St SW</v>
      </c>
      <c r="C711" s="1" t="str">
        <f>IFERROR(__xludf.DUMMYFUNCTION("""COMPUTED_VALUE"""),"Pataskala")</f>
        <v>Pataskala</v>
      </c>
      <c r="D711" s="1" t="str">
        <f>IFERROR(__xludf.DUMMYFUNCTION("""COMPUTED_VALUE"""),"OH")</f>
        <v>OH</v>
      </c>
      <c r="E711" s="1" t="str">
        <f>IFERROR(__xludf.DUMMYFUNCTION("""COMPUTED_VALUE"""),"43062")</f>
        <v>43062</v>
      </c>
      <c r="F711" s="1" t="str">
        <f>IFERROR(__xludf.DUMMYFUNCTION("""COMPUTED_VALUE"""),"Licking")</f>
        <v>Licking</v>
      </c>
      <c r="G711" s="1" t="str">
        <f>IFERROR(__xludf.DUMMYFUNCTION("""COMPUTED_VALUE"""),"39.99121")</f>
        <v>39.99121</v>
      </c>
      <c r="H711" s="1" t="str">
        <f>IFERROR(__xludf.DUMMYFUNCTION("""COMPUTED_VALUE"""),"-82.726845")</f>
        <v>-82.726845</v>
      </c>
      <c r="I711" s="1" t="str">
        <f>IFERROR(__xludf.DUMMYFUNCTION("""COMPUTED_VALUE"""),"Proposed")</f>
        <v>Proposed</v>
      </c>
      <c r="J711" s="1" t="str">
        <f>IFERROR(__xludf.DUMMYFUNCTION("""COMPUTED_VALUE"""),"High")</f>
        <v>High</v>
      </c>
      <c r="K711" s="1" t="str">
        <f>IFERROR(__xludf.DUMMYFUNCTION("""COMPUTED_VALUE"""),"")</f>
        <v/>
      </c>
      <c r="L711" s="1" t="str">
        <f>IFERROR(__xludf.DUMMYFUNCTION("""COMPUTED_VALUE"""),"Aligned Data Centers")</f>
        <v>Aligned Data Centers</v>
      </c>
      <c r="M711" s="1" t="str">
        <f>IFERROR(__xludf.DUMMYFUNCTION("""COMPUTED_VALUE"""),"")</f>
        <v/>
      </c>
      <c r="N711" s="1" t="str">
        <f>IFERROR(__xludf.DUMMYFUNCTION("""COMPUTED_VALUE"""),"")</f>
        <v/>
      </c>
      <c r="O711" s="1" t="str">
        <f>IFERROR(__xludf.DUMMYFUNCTION("""COMPUTED_VALUE"""),"Unknown")</f>
        <v>Unknown</v>
      </c>
      <c r="P711" s="1" t="str">
        <f>IFERROR(__xludf.DUMMYFUNCTION("""COMPUTED_VALUE"""),"")</f>
        <v/>
      </c>
      <c r="Q711" s="1" t="str">
        <f>IFERROR(__xludf.DUMMYFUNCTION("""COMPUTED_VALUE"""),"")</f>
        <v/>
      </c>
      <c r="R711" s="1" t="str">
        <f>IFERROR(__xludf.DUMMYFUNCTION("""COMPUTED_VALUE"""),"")</f>
        <v/>
      </c>
      <c r="S711" s="1" t="str">
        <f>IFERROR(__xludf.DUMMYFUNCTION("""COMPUTED_VALUE"""),"3")</f>
        <v>3</v>
      </c>
      <c r="T711" s="1" t="str">
        <f>IFERROR(__xludf.DUMMYFUNCTION("""COMPUTED_VALUE"""),"Water")</f>
        <v>Water</v>
      </c>
      <c r="U711" s="1" t="str">
        <f>IFERROR(__xludf.DUMMYFUNCTION("""COMPUTED_VALUE"""),"")</f>
        <v/>
      </c>
      <c r="V711" s="1" t="str">
        <f>IFERROR(__xludf.DUMMYFUNCTION("""COMPUTED_VALUE"""),"")</f>
        <v/>
      </c>
      <c r="W711" s="1" t="str">
        <f>IFERROR(__xludf.DUMMYFUNCTION("""COMPUTED_VALUE"""),"90")</f>
        <v>90</v>
      </c>
      <c r="X711" s="1" t="str">
        <f>IFERROR(__xludf.DUMMYFUNCTION("""COMPUTED_VALUE"""),"")</f>
        <v/>
      </c>
      <c r="Y711" s="1" t="str">
        <f>IFERROR(__xludf.DUMMYFUNCTION("""COMPUTED_VALUE"""),"")</f>
        <v/>
      </c>
      <c r="Z711" s="1" t="str">
        <f>IFERROR(__xludf.DUMMYFUNCTION("""COMPUTED_VALUE"""),"Yes")</f>
        <v>Yes</v>
      </c>
      <c r="AA711" s="1" t="str">
        <f>IFERROR(__xludf.DUMMYFUNCTION("""COMPUTED_VALUE"""),"")</f>
        <v/>
      </c>
      <c r="AB711" s="1" t="str">
        <f>IFERROR(__xludf.DUMMYFUNCTION("""COMPUTED_VALUE"""),"Organized Advocacy")</f>
        <v>Organized Advocacy</v>
      </c>
      <c r="AC711" s="1" t="str">
        <f>IFERROR(__xludf.DUMMYFUNCTION("""COMPUTED_VALUE"""),"")</f>
        <v/>
      </c>
      <c r="AD711" s="1" t="str">
        <f>IFERROR(__xludf.DUMMYFUNCTION("""COMPUTED_VALUE"""),"")</f>
        <v/>
      </c>
      <c r="AE711" s="1" t="str">
        <f>IFERROR(__xludf.DUMMYFUNCTION("""COMPUTED_VALUE"""),"")</f>
        <v/>
      </c>
      <c r="AF711" s="1" t="str">
        <f>IFERROR(__xludf.DUMMYFUNCTION("""COMPUTED_VALUE"""),"")</f>
        <v/>
      </c>
      <c r="AG711" s="1" t="str">
        <f>IFERROR(__xludf.DUMMYFUNCTION("""COMPUTED_VALUE"""),"From specific documents, appears to be a separate facility from Mink East Data Center")</f>
        <v>From specific documents, appears to be a separate facility from Mink East Data Center</v>
      </c>
      <c r="AH711" s="1" t="str">
        <f>IFERROR(__xludf.DUMMYFUNCTION("""COMPUTED_VALUE"""),"Media Monitoring")</f>
        <v>Media Monitoring</v>
      </c>
      <c r="AI711" s="2" t="str">
        <f>IFERROR(__xludf.DUMMYFUNCTION("""COMPUTED_VALUE"""),"https://abc6onyourside.com/news/local/pataskala-residents-rally-at-city-hall-to-fight-aligned-data-center-seek-petition-drive-ohio")</f>
        <v>https://abc6onyourside.com/news/local/pataskala-residents-rally-at-city-hall-to-fight-aligned-data-center-seek-petition-drive-ohio</v>
      </c>
      <c r="AJ711" s="1" t="str">
        <f>IFERROR(__xludf.DUMMYFUNCTION("""COMPUTED_VALUE"""),"")</f>
        <v/>
      </c>
      <c r="AK711" s="1" t="str">
        <f>IFERROR(__xludf.DUMMYFUNCTION("""COMPUTED_VALUE"""),"")</f>
        <v/>
      </c>
      <c r="AL711" s="1" t="str">
        <f>IFERROR(__xludf.DUMMYFUNCTION("""COMPUTED_VALUE"""),"")</f>
        <v/>
      </c>
      <c r="AM711" s="1" t="str">
        <f>IFERROR(__xludf.DUMMYFUNCTION("""COMPUTED_VALUE"""),"")</f>
        <v/>
      </c>
      <c r="AN711" s="1" t="str">
        <f>IFERROR(__xludf.DUMMYFUNCTION("""COMPUTED_VALUE"""),"")</f>
        <v/>
      </c>
      <c r="AO711" s="1" t="str">
        <f>IFERROR(__xludf.DUMMYFUNCTION("""COMPUTED_VALUE"""),"")</f>
        <v/>
      </c>
      <c r="AP711" s="1" t="str">
        <f>IFERROR(__xludf.DUMMYFUNCTION("""COMPUTED_VALUE"""),"")</f>
        <v/>
      </c>
      <c r="AQ711" s="1" t="str">
        <f>IFERROR(__xludf.DUMMYFUNCTION("""COMPUTED_VALUE"""),"07/14/2026")</f>
        <v>07/14/2026</v>
      </c>
      <c r="AR711" s="1" t="str">
        <f>IFERROR(__xludf.DUMMYFUNCTION("""COMPUTED_VALUE"""),"07/14/2026")</f>
        <v>07/14/2026</v>
      </c>
    </row>
    <row r="712">
      <c r="A712" s="1" t="str">
        <f>IFERROR(__xludf.DUMMYFUNCTION("""COMPUTED_VALUE"""),"Mink East Data Center")</f>
        <v>Mink East Data Center</v>
      </c>
      <c r="B712" s="1" t="str">
        <f>IFERROR(__xludf.DUMMYFUNCTION("""COMPUTED_VALUE"""),"South of Hwy 20/ Jug St Rd NW")</f>
        <v>South of Hwy 20/ Jug St Rd NW</v>
      </c>
      <c r="C712" s="1" t="str">
        <f>IFERROR(__xludf.DUMMYFUNCTION("""COMPUTED_VALUE"""),"Pataskala")</f>
        <v>Pataskala</v>
      </c>
      <c r="D712" s="1" t="str">
        <f>IFERROR(__xludf.DUMMYFUNCTION("""COMPUTED_VALUE"""),"OH")</f>
        <v>OH</v>
      </c>
      <c r="E712" s="1" t="str">
        <f>IFERROR(__xludf.DUMMYFUNCTION("""COMPUTED_VALUE"""),"43062")</f>
        <v>43062</v>
      </c>
      <c r="F712" s="1" t="str">
        <f>IFERROR(__xludf.DUMMYFUNCTION("""COMPUTED_VALUE"""),"Licking")</f>
        <v>Licking</v>
      </c>
      <c r="G712" s="1" t="str">
        <f>IFERROR(__xludf.DUMMYFUNCTION("""COMPUTED_VALUE"""),"40.09228")</f>
        <v>40.09228</v>
      </c>
      <c r="H712" s="1" t="str">
        <f>IFERROR(__xludf.DUMMYFUNCTION("""COMPUTED_VALUE"""),"-82.69978")</f>
        <v>-82.69978</v>
      </c>
      <c r="I712" s="1" t="str">
        <f>IFERROR(__xludf.DUMMYFUNCTION("""COMPUTED_VALUE"""),"Proposed")</f>
        <v>Proposed</v>
      </c>
      <c r="J712" s="1" t="str">
        <f>IFERROR(__xludf.DUMMYFUNCTION("""COMPUTED_VALUE"""),"High")</f>
        <v>High</v>
      </c>
      <c r="K712" s="1" t="str">
        <f>IFERROR(__xludf.DUMMYFUNCTION("""COMPUTED_VALUE"""),"")</f>
        <v/>
      </c>
      <c r="L712" s="1" t="str">
        <f>IFERROR(__xludf.DUMMYFUNCTION("""COMPUTED_VALUE"""),"")</f>
        <v/>
      </c>
      <c r="M712" s="1" t="str">
        <f>IFERROR(__xludf.DUMMYFUNCTION("""COMPUTED_VALUE"""),"")</f>
        <v/>
      </c>
      <c r="N712" s="1" t="str">
        <f>IFERROR(__xludf.DUMMYFUNCTION("""COMPUTED_VALUE"""),"")</f>
        <v/>
      </c>
      <c r="O712" s="1" t="str">
        <f>IFERROR(__xludf.DUMMYFUNCTION("""COMPUTED_VALUE"""),"Unknown")</f>
        <v>Unknown</v>
      </c>
      <c r="P712" s="1" t="str">
        <f>IFERROR(__xludf.DUMMYFUNCTION("""COMPUTED_VALUE"""),"")</f>
        <v/>
      </c>
      <c r="Q712" s="1" t="str">
        <f>IFERROR(__xludf.DUMMYFUNCTION("""COMPUTED_VALUE"""),"")</f>
        <v/>
      </c>
      <c r="R712" s="1" t="str">
        <f>IFERROR(__xludf.DUMMYFUNCTION("""COMPUTED_VALUE"""),"")</f>
        <v/>
      </c>
      <c r="S712" s="1" t="str">
        <f>IFERROR(__xludf.DUMMYFUNCTION("""COMPUTED_VALUE"""),"6")</f>
        <v>6</v>
      </c>
      <c r="T712" s="1" t="str">
        <f>IFERROR(__xludf.DUMMYFUNCTION("""COMPUTED_VALUE"""),"")</f>
        <v/>
      </c>
      <c r="U712" s="1" t="str">
        <f>IFERROR(__xludf.DUMMYFUNCTION("""COMPUTED_VALUE"""),"")</f>
        <v/>
      </c>
      <c r="V712" s="1" t="str">
        <f>IFERROR(__xludf.DUMMYFUNCTION("""COMPUTED_VALUE"""),"1,660,000")</f>
        <v>1,660,000</v>
      </c>
      <c r="W712" s="1" t="str">
        <f>IFERROR(__xludf.DUMMYFUNCTION("""COMPUTED_VALUE"""),"323")</f>
        <v>323</v>
      </c>
      <c r="X712" s="1" t="str">
        <f>IFERROR(__xludf.DUMMYFUNCTION("""COMPUTED_VALUE"""),"")</f>
        <v/>
      </c>
      <c r="Y712" s="1" t="str">
        <f>IFERROR(__xludf.DUMMYFUNCTION("""COMPUTED_VALUE"""),"")</f>
        <v/>
      </c>
      <c r="Z712" s="1" t="str">
        <f>IFERROR(__xludf.DUMMYFUNCTION("""COMPUTED_VALUE"""),"")</f>
        <v/>
      </c>
      <c r="AA712" s="1" t="str">
        <f>IFERROR(__xludf.DUMMYFUNCTION("""COMPUTED_VALUE"""),"")</f>
        <v/>
      </c>
      <c r="AB712" s="1" t="str">
        <f>IFERROR(__xludf.DUMMYFUNCTION("""COMPUTED_VALUE"""),"")</f>
        <v/>
      </c>
      <c r="AC712" s="1" t="str">
        <f>IFERROR(__xludf.DUMMYFUNCTION("""COMPUTED_VALUE"""),"")</f>
        <v/>
      </c>
      <c r="AD712" s="1" t="str">
        <f>IFERROR(__xludf.DUMMYFUNCTION("""COMPUTED_VALUE"""),"")</f>
        <v/>
      </c>
      <c r="AE712" s="1" t="str">
        <f>IFERROR(__xludf.DUMMYFUNCTION("""COMPUTED_VALUE"""),"")</f>
        <v/>
      </c>
      <c r="AF712" s="1" t="str">
        <f>IFERROR(__xludf.DUMMYFUNCTION("""COMPUTED_VALUE"""),"")</f>
        <v/>
      </c>
      <c r="AG712" s="1" t="str">
        <f>IFERROR(__xludf.DUMMYFUNCTION("""COMPUTED_VALUE"""),"")</f>
        <v/>
      </c>
      <c r="AH712" s="1" t="str">
        <f>IFERROR(__xludf.DUMMYFUNCTION("""COMPUTED_VALUE"""),"Media Monitoring")</f>
        <v>Media Monitoring</v>
      </c>
      <c r="AI712" s="2" t="str">
        <f>IFERROR(__xludf.DUMMYFUNCTION("""COMPUTED_VALUE"""),"https://edocpub.epa.ohio.gov/publicportal/ViewDocument.aspx?docid=4170748")</f>
        <v>https://edocpub.epa.ohio.gov/publicportal/ViewDocument.aspx?docid=4170748</v>
      </c>
      <c r="AJ712" s="1" t="str">
        <f>IFERROR(__xludf.DUMMYFUNCTION("""COMPUTED_VALUE"""),"")</f>
        <v/>
      </c>
      <c r="AK712" s="1" t="str">
        <f>IFERROR(__xludf.DUMMYFUNCTION("""COMPUTED_VALUE"""),"")</f>
        <v/>
      </c>
      <c r="AL712" s="1" t="str">
        <f>IFERROR(__xludf.DUMMYFUNCTION("""COMPUTED_VALUE"""),"")</f>
        <v/>
      </c>
      <c r="AM712" s="1" t="str">
        <f>IFERROR(__xludf.DUMMYFUNCTION("""COMPUTED_VALUE"""),"")</f>
        <v/>
      </c>
      <c r="AN712" s="1" t="str">
        <f>IFERROR(__xludf.DUMMYFUNCTION("""COMPUTED_VALUE"""),"")</f>
        <v/>
      </c>
      <c r="AO712" s="1" t="str">
        <f>IFERROR(__xludf.DUMMYFUNCTION("""COMPUTED_VALUE"""),"")</f>
        <v/>
      </c>
      <c r="AP712" s="1" t="str">
        <f>IFERROR(__xludf.DUMMYFUNCTION("""COMPUTED_VALUE"""),"")</f>
        <v/>
      </c>
      <c r="AQ712" s="1" t="str">
        <f>IFERROR(__xludf.DUMMYFUNCTION("""COMPUTED_VALUE"""),"07/14/2026")</f>
        <v>07/14/2026</v>
      </c>
      <c r="AR712" s="1" t="str">
        <f>IFERROR(__xludf.DUMMYFUNCTION("""COMPUTED_VALUE"""),"07/14/2026")</f>
        <v>07/14/2026</v>
      </c>
    </row>
    <row r="713">
      <c r="A713" s="1" t="str">
        <f>IFERROR(__xludf.DUMMYFUNCTION("""COMPUTED_VALUE"""),"SoftBank Data Center/PORTS Technology Campus")</f>
        <v>SoftBank Data Center/PORTS Technology Campus</v>
      </c>
      <c r="B713" s="1" t="str">
        <f>IFERROR(__xludf.DUMMYFUNCTION("""COMPUTED_VALUE"""),"Former Portsmouth Gaseous Diffusion Site")</f>
        <v>Former Portsmouth Gaseous Diffusion Site</v>
      </c>
      <c r="C713" s="1" t="str">
        <f>IFERROR(__xludf.DUMMYFUNCTION("""COMPUTED_VALUE"""),"Piketon")</f>
        <v>Piketon</v>
      </c>
      <c r="D713" s="1" t="str">
        <f>IFERROR(__xludf.DUMMYFUNCTION("""COMPUTED_VALUE"""),"OH")</f>
        <v>OH</v>
      </c>
      <c r="E713" s="1" t="str">
        <f>IFERROR(__xludf.DUMMYFUNCTION("""COMPUTED_VALUE"""),"45661")</f>
        <v>45661</v>
      </c>
      <c r="F713" s="1" t="str">
        <f>IFERROR(__xludf.DUMMYFUNCTION("""COMPUTED_VALUE"""),"Pike")</f>
        <v>Pike</v>
      </c>
      <c r="G713" s="1" t="str">
        <f>IFERROR(__xludf.DUMMYFUNCTION("""COMPUTED_VALUE"""),"39.01315")</f>
        <v>39.01315</v>
      </c>
      <c r="H713" s="1" t="str">
        <f>IFERROR(__xludf.DUMMYFUNCTION("""COMPUTED_VALUE"""),"-83.00055")</f>
        <v>-83.00055</v>
      </c>
      <c r="I713" s="1" t="str">
        <f>IFERROR(__xludf.DUMMYFUNCTION("""COMPUTED_VALUE"""),"Approved/Permitted/Under construction")</f>
        <v>Approved/Permitted/Under construction</v>
      </c>
      <c r="J713" s="1" t="str">
        <f>IFERROR(__xludf.DUMMYFUNCTION("""COMPUTED_VALUE"""),"Medium")</f>
        <v>Medium</v>
      </c>
      <c r="K713" s="1" t="str">
        <f>IFERROR(__xludf.DUMMYFUNCTION("""COMPUTED_VALUE"""),"AI")</f>
        <v>AI</v>
      </c>
      <c r="L713" s="1" t="str">
        <f>IFERROR(__xludf.DUMMYFUNCTION("""COMPUTED_VALUE"""),"Softbank/Open AI (unconfirmed)")</f>
        <v>Softbank/Open AI (unconfirmed)</v>
      </c>
      <c r="M713" s="1" t="str">
        <f>IFERROR(__xludf.DUMMYFUNCTION("""COMPUTED_VALUE"""),"")</f>
        <v/>
      </c>
      <c r="N713" s="1" t="str">
        <f>IFERROR(__xludf.DUMMYFUNCTION("""COMPUTED_VALUE"""),"9200")</f>
        <v>9200</v>
      </c>
      <c r="O713" s="1" t="str">
        <f>IFERROR(__xludf.DUMMYFUNCTION("""COMPUTED_VALUE"""),"Mega campus (&gt;1,000 MW)")</f>
        <v>Mega campus (&gt;1,000 MW)</v>
      </c>
      <c r="P713" s="1" t="str">
        <f>IFERROR(__xludf.DUMMYFUNCTION("""COMPUTED_VALUE"""),"Natural gas")</f>
        <v>Natural gas</v>
      </c>
      <c r="Q713" s="1" t="str">
        <f>IFERROR(__xludf.DUMMYFUNCTION("""COMPUTED_VALUE"""),"Yes")</f>
        <v>Yes</v>
      </c>
      <c r="R713" s="1" t="str">
        <f>IFERROR(__xludf.DUMMYFUNCTION("""COMPUTED_VALUE"""),"")</f>
        <v/>
      </c>
      <c r="S713" s="1" t="str">
        <f>IFERROR(__xludf.DUMMYFUNCTION("""COMPUTED_VALUE"""),"")</f>
        <v/>
      </c>
      <c r="T713" s="1" t="str">
        <f>IFERROR(__xludf.DUMMYFUNCTION("""COMPUTED_VALUE"""),"")</f>
        <v/>
      </c>
      <c r="U713" s="1" t="str">
        <f>IFERROR(__xludf.DUMMYFUNCTION("""COMPUTED_VALUE"""),"")</f>
        <v/>
      </c>
      <c r="V713" s="1" t="str">
        <f>IFERROR(__xludf.DUMMYFUNCTION("""COMPUTED_VALUE"""),"")</f>
        <v/>
      </c>
      <c r="W713" s="1" t="str">
        <f>IFERROR(__xludf.DUMMYFUNCTION("""COMPUTED_VALUE"""),"640")</f>
        <v>640</v>
      </c>
      <c r="X713" s="1" t="str">
        <f>IFERROR(__xludf.DUMMYFUNCTION("""COMPUTED_VALUE"""),"$30 billion")</f>
        <v>$30 billion</v>
      </c>
      <c r="Y713" s="1" t="str">
        <f>IFERROR(__xludf.DUMMYFUNCTION("""COMPUTED_VALUE"""),"2028")</f>
        <v>2028</v>
      </c>
      <c r="Z713" s="1" t="str">
        <f>IFERROR(__xludf.DUMMYFUNCTION("""COMPUTED_VALUE"""),"Unknown")</f>
        <v>Unknown</v>
      </c>
      <c r="AA713" s="1" t="str">
        <f>IFERROR(__xludf.DUMMYFUNCTION("""COMPUTED_VALUE"""),"")</f>
        <v/>
      </c>
      <c r="AB713" s="1" t="str">
        <f>IFERROR(__xludf.DUMMYFUNCTION("""COMPUTED_VALUE"""),"")</f>
        <v/>
      </c>
      <c r="AC713" s="1" t="str">
        <f>IFERROR(__xludf.DUMMYFUNCTION("""COMPUTED_VALUE"""),"")</f>
        <v/>
      </c>
      <c r="AD713" s="1" t="str">
        <f>IFERROR(__xludf.DUMMYFUNCTION("""COMPUTED_VALUE"""),"")</f>
        <v/>
      </c>
      <c r="AE713" s="1" t="str">
        <f>IFERROR(__xludf.DUMMYFUNCTION("""COMPUTED_VALUE"""),"")</f>
        <v/>
      </c>
      <c r="AF713" s="1" t="str">
        <f>IFERROR(__xludf.DUMMYFUNCTION("""COMPUTED_VALUE"""),"")</f>
        <v/>
      </c>
      <c r="AG713" s="1" t="str">
        <f>IFERROR(__xludf.DUMMYFUNCTION("""COMPUTED_VALUE"""),"DOE plant that previously produced enriched uranium, including highly enriched weapons-grade uranium, for the United States Atomic Energy Commission, the US nuclear weapons program, and Navy submarines. In later years, it produced low-enriched uranium for"&amp;" fuel for commercial nuclear power reactors. Part of $550 billion trade deal between the Trump administrtaion and the Japanese government. Would be largest fracked gas power plant in the world")</f>
        <v>DOE plant that previously produced enriched uranium, including highly enriched weapons-grade uranium, for the United States Atomic Energy Commission, the US nuclear weapons program, and Navy submarines. In later years, it produced low-enriched uranium for fuel for commercial nuclear power reactors. Part of $550 billion trade deal between the Trump administrtaion and the Japanese government. Would be largest fracked gas power plant in the world</v>
      </c>
      <c r="AH713" s="1" t="str">
        <f>IFERROR(__xludf.DUMMYFUNCTION("""COMPUTED_VALUE"""),"Media Monitoring")</f>
        <v>Media Monitoring</v>
      </c>
      <c r="AI713" s="2" t="str">
        <f>IFERROR(__xludf.DUMMYFUNCTION("""COMPUTED_VALUE"""),"https://www.datacenterdynamics.com/en/news/softbank-eyes-10gw-data-center-at-former-doe-nuclear-enrichment-site-in-ohio/")</f>
        <v>https://www.datacenterdynamics.com/en/news/softbank-eyes-10gw-data-center-at-former-doe-nuclear-enrichment-site-in-ohio/</v>
      </c>
      <c r="AJ713" s="2" t="str">
        <f>IFERROR(__xludf.DUMMYFUNCTION("""COMPUTED_VALUE"""),"https://www.cleveland.com/news/2026/03/massive-33-billion-natural-gas-power-plant-breaks-ground-in-southern-ohio.html?fbclid=IwY2xjawRUs1VleHRuA2FlbQIxMABicmlkETFGSG1JY25kVUlQZHlHWFJKc3J0YwZhcHBfaWQQMjIyMDM5MTc4ODIwMDg5MgABHnJASD_NlMNAc-EUiBtXvr0UR3FsZjhp"&amp;"gBo9Xk-7n5zBDmVytNajtNK229Nu_aem_r3hbtXqGcji4DTrUmS2wTQ")</f>
        <v>https://www.cleveland.com/news/2026/03/massive-33-billion-natural-gas-power-plant-breaks-ground-in-southern-ohio.html?fbclid=IwY2xjawRUs1VleHRuA2FlbQIxMABicmlkETFGSG1JY25kVUlQZHlHWFJKc3J0YwZhcHBfaWQQMjIyMDM5MTc4ODIwMDg5MgABHnJASD_NlMNAc-EUiBtXvr0UR3FsZjhpgBo9Xk-7n5zBDmVytNajtNK229Nu_aem_r3hbtXqGcji4DTrUmS2wTQ</v>
      </c>
      <c r="AK713" s="2" t="str">
        <f>IFERROR(__xludf.DUMMYFUNCTION("""COMPUTED_VALUE"""),"https://www.wowktv.com/news/ohio/japan-trade-deal-to-bring-billion-dollar-natural-gas-project-to-southeast-ohio/")</f>
        <v>https://www.wowktv.com/news/ohio/japan-trade-deal-to-bring-billion-dollar-natural-gas-project-to-southeast-ohio/</v>
      </c>
      <c r="AL713" s="2" t="str">
        <f>IFERROR(__xludf.DUMMYFUNCTION("""COMPUTED_VALUE"""),"https://www.commerce.gov/news/fact-sheets/2026/02/fact-sheet-us-japan-trade-deal")</f>
        <v>https://www.commerce.gov/news/fact-sheets/2026/02/fact-sheet-us-japan-trade-deal</v>
      </c>
      <c r="AM713" s="2" t="str">
        <f>IFERROR(__xludf.DUMMYFUNCTION("""COMPUTED_VALUE"""),"https://www.datacenterdynamics.com/en/news/openai-in-talks-to-lease-10gw-data-center-from-sb-energy-in-ohio/")</f>
        <v>https://www.datacenterdynamics.com/en/news/openai-in-talks-to-lease-10gw-data-center-from-sb-energy-in-ohio/</v>
      </c>
      <c r="AN713" s="1" t="str">
        <f>IFERROR(__xludf.DUMMYFUNCTION("""COMPUTED_VALUE"""),"")</f>
        <v/>
      </c>
      <c r="AO713" s="1" t="str">
        <f>IFERROR(__xludf.DUMMYFUNCTION("""COMPUTED_VALUE"""),"")</f>
        <v/>
      </c>
      <c r="AP713" s="1" t="str">
        <f>IFERROR(__xludf.DUMMYFUNCTION("""COMPUTED_VALUE"""),"")</f>
        <v/>
      </c>
      <c r="AQ713" s="1" t="str">
        <f>IFERROR(__xludf.DUMMYFUNCTION("""COMPUTED_VALUE"""),"04/02/2026")</f>
        <v>04/02/2026</v>
      </c>
      <c r="AR713" s="1" t="str">
        <f>IFERROR(__xludf.DUMMYFUNCTION("""COMPUTED_VALUE"""),"06/11/2026")</f>
        <v>06/11/2026</v>
      </c>
    </row>
    <row r="714">
      <c r="A714" s="1" t="str">
        <f>IFERROR(__xludf.DUMMYFUNCTION("""COMPUTED_VALUE"""),"J5 LLC Data Center")</f>
        <v>J5 LLC Data Center</v>
      </c>
      <c r="B714" s="1" t="str">
        <f>IFERROR(__xludf.DUMMYFUNCTION("""COMPUTED_VALUE"""),"Farrington and Washington Rds")</f>
        <v>Farrington and Washington Rds</v>
      </c>
      <c r="C714" s="1" t="str">
        <f>IFERROR(__xludf.DUMMYFUNCTION("""COMPUTED_VALUE"""),"Piqua")</f>
        <v>Piqua</v>
      </c>
      <c r="D714" s="1" t="str">
        <f>IFERROR(__xludf.DUMMYFUNCTION("""COMPUTED_VALUE"""),"OH")</f>
        <v>OH</v>
      </c>
      <c r="E714" s="1" t="str">
        <f>IFERROR(__xludf.DUMMYFUNCTION("""COMPUTED_VALUE"""),"45356")</f>
        <v>45356</v>
      </c>
      <c r="F714" s="1" t="str">
        <f>IFERROR(__xludf.DUMMYFUNCTION("""COMPUTED_VALUE"""),"Miami")</f>
        <v>Miami</v>
      </c>
      <c r="G714" s="1" t="str">
        <f>IFERROR(__xludf.DUMMYFUNCTION("""COMPUTED_VALUE"""),"40.10546")</f>
        <v>40.10546</v>
      </c>
      <c r="H714" s="1" t="str">
        <f>IFERROR(__xludf.DUMMYFUNCTION("""COMPUTED_VALUE"""),"-84.259926")</f>
        <v>-84.259926</v>
      </c>
      <c r="I714" s="1" t="str">
        <f>IFERROR(__xludf.DUMMYFUNCTION("""COMPUTED_VALUE"""),"Proposed")</f>
        <v>Proposed</v>
      </c>
      <c r="J714" s="1" t="str">
        <f>IFERROR(__xludf.DUMMYFUNCTION("""COMPUTED_VALUE"""),"Medium")</f>
        <v>Medium</v>
      </c>
      <c r="K714" s="1" t="str">
        <f>IFERROR(__xludf.DUMMYFUNCTION("""COMPUTED_VALUE"""),"")</f>
        <v/>
      </c>
      <c r="L714" s="1" t="str">
        <f>IFERROR(__xludf.DUMMYFUNCTION("""COMPUTED_VALUE"""),"Cleanview")</f>
        <v>Cleanview</v>
      </c>
      <c r="M714" s="1" t="str">
        <f>IFERROR(__xludf.DUMMYFUNCTION("""COMPUTED_VALUE"""),"")</f>
        <v/>
      </c>
      <c r="N714" s="1" t="str">
        <f>IFERROR(__xludf.DUMMYFUNCTION("""COMPUTED_VALUE"""),"")</f>
        <v/>
      </c>
      <c r="O714" s="1" t="str">
        <f>IFERROR(__xludf.DUMMYFUNCTION("""COMPUTED_VALUE"""),"Hyperscale (100-999 MW)")</f>
        <v>Hyperscale (100-999 MW)</v>
      </c>
      <c r="P714" s="1" t="str">
        <f>IFERROR(__xludf.DUMMYFUNCTION("""COMPUTED_VALUE"""),"")</f>
        <v/>
      </c>
      <c r="Q714" s="1" t="str">
        <f>IFERROR(__xludf.DUMMYFUNCTION("""COMPUTED_VALUE"""),"")</f>
        <v/>
      </c>
      <c r="R714" s="1" t="str">
        <f>IFERROR(__xludf.DUMMYFUNCTION("""COMPUTED_VALUE"""),"")</f>
        <v/>
      </c>
      <c r="S714" s="1" t="str">
        <f>IFERROR(__xludf.DUMMYFUNCTION("""COMPUTED_VALUE"""),"2")</f>
        <v>2</v>
      </c>
      <c r="T714" s="1" t="str">
        <f>IFERROR(__xludf.DUMMYFUNCTION("""COMPUTED_VALUE"""),"Water")</f>
        <v>Water</v>
      </c>
      <c r="U714" s="1" t="str">
        <f>IFERROR(__xludf.DUMMYFUNCTION("""COMPUTED_VALUE"""),"")</f>
        <v/>
      </c>
      <c r="V714" s="1" t="str">
        <f>IFERROR(__xludf.DUMMYFUNCTION("""COMPUTED_VALUE"""),"700,000")</f>
        <v>700,000</v>
      </c>
      <c r="W714" s="1" t="str">
        <f>IFERROR(__xludf.DUMMYFUNCTION("""COMPUTED_VALUE"""),"607")</f>
        <v>607</v>
      </c>
      <c r="X714" s="1" t="str">
        <f>IFERROR(__xludf.DUMMYFUNCTION("""COMPUTED_VALUE"""),"")</f>
        <v/>
      </c>
      <c r="Y714" s="1" t="str">
        <f>IFERROR(__xludf.DUMMYFUNCTION("""COMPUTED_VALUE"""),"2030")</f>
        <v>2030</v>
      </c>
      <c r="Z714" s="1" t="str">
        <f>IFERROR(__xludf.DUMMYFUNCTION("""COMPUTED_VALUE"""),"Unknown")</f>
        <v>Unknown</v>
      </c>
      <c r="AA714" s="1" t="str">
        <f>IFERROR(__xludf.DUMMYFUNCTION("""COMPUTED_VALUE"""),"")</f>
        <v/>
      </c>
      <c r="AB714" s="1" t="str">
        <f>IFERROR(__xludf.DUMMYFUNCTION("""COMPUTED_VALUE"""),"")</f>
        <v/>
      </c>
      <c r="AC714" s="1" t="str">
        <f>IFERROR(__xludf.DUMMYFUNCTION("""COMPUTED_VALUE"""),"")</f>
        <v/>
      </c>
      <c r="AD714" s="1" t="str">
        <f>IFERROR(__xludf.DUMMYFUNCTION("""COMPUTED_VALUE"""),"")</f>
        <v/>
      </c>
      <c r="AE714" s="1" t="str">
        <f>IFERROR(__xludf.DUMMYFUNCTION("""COMPUTED_VALUE"""),"")</f>
        <v/>
      </c>
      <c r="AF714" s="1" t="str">
        <f>IFERROR(__xludf.DUMMYFUNCTION("""COMPUTED_VALUE"""),"")</f>
        <v/>
      </c>
      <c r="AG714" s="1" t="str">
        <f>IFERROR(__xludf.DUMMYFUNCTION("""COMPUTED_VALUE"""),"Would use 2 million gallons per day. Entire municipality of Piqua uses 2.2 million gal/day")</f>
        <v>Would use 2 million gallons per day. Entire municipality of Piqua uses 2.2 million gal/day</v>
      </c>
      <c r="AH714" s="1" t="str">
        <f>IFERROR(__xludf.DUMMYFUNCTION("""COMPUTED_VALUE"""),"Media Monitoring")</f>
        <v>Media Monitoring</v>
      </c>
      <c r="AI714" s="2" t="str">
        <f>IFERROR(__xludf.DUMMYFUNCTION("""COMPUTED_VALUE"""),"https://miamivalleytoday.com/piqua-commission-hears-plans-for-new-data-center/")</f>
        <v>https://miamivalleytoday.com/piqua-commission-hears-plans-for-new-data-center/</v>
      </c>
      <c r="AJ714" s="2" t="str">
        <f>IFERROR(__xludf.DUMMYFUNCTION("""COMPUTED_VALUE"""),"https://www.datacenterdynamics.com/en/news/data-center-project-coming-to-piqua-ohio/ ")</f>
        <v>https://www.datacenterdynamics.com/en/news/data-center-project-coming-to-piqua-ohio/ </v>
      </c>
      <c r="AK714" s="2" t="str">
        <f>IFERROR(__xludf.DUMMYFUNCTION("""COMPUTED_VALUE"""),"https://cleanview.co/public/data-centers/ohio/1895/j5-piqua-data-center")</f>
        <v>https://cleanview.co/public/data-centers/ohio/1895/j5-piqua-data-center</v>
      </c>
      <c r="AL714" s="1" t="str">
        <f>IFERROR(__xludf.DUMMYFUNCTION("""COMPUTED_VALUE"""),"")</f>
        <v/>
      </c>
      <c r="AM714" s="1" t="str">
        <f>IFERROR(__xludf.DUMMYFUNCTION("""COMPUTED_VALUE"""),"")</f>
        <v/>
      </c>
      <c r="AN714" s="1" t="str">
        <f>IFERROR(__xludf.DUMMYFUNCTION("""COMPUTED_VALUE"""),"")</f>
        <v/>
      </c>
      <c r="AO714" s="1" t="str">
        <f>IFERROR(__xludf.DUMMYFUNCTION("""COMPUTED_VALUE"""),"")</f>
        <v/>
      </c>
      <c r="AP714" s="1" t="str">
        <f>IFERROR(__xludf.DUMMYFUNCTION("""COMPUTED_VALUE"""),"")</f>
        <v/>
      </c>
      <c r="AQ714" s="1" t="str">
        <f>IFERROR(__xludf.DUMMYFUNCTION("""COMPUTED_VALUE"""),"02/03/2026")</f>
        <v>02/03/2026</v>
      </c>
      <c r="AR714" s="1" t="str">
        <f>IFERROR(__xludf.DUMMYFUNCTION("""COMPUTED_VALUE"""),"02/03/2026")</f>
        <v>02/03/2026</v>
      </c>
    </row>
    <row r="715">
      <c r="A715" s="1" t="str">
        <f>IFERROR(__xludf.DUMMYFUNCTION("""COMPUTED_VALUE"""),"Aligned NEO-01")</f>
        <v>Aligned NEO-01</v>
      </c>
      <c r="B715" s="1" t="str">
        <f>IFERROR(__xludf.DUMMYFUNCTION("""COMPUTED_VALUE"""),"2509 Hayes Avenue")</f>
        <v>2509 Hayes Avenue</v>
      </c>
      <c r="C715" s="1" t="str">
        <f>IFERROR(__xludf.DUMMYFUNCTION("""COMPUTED_VALUE"""),"Sandusky")</f>
        <v>Sandusky</v>
      </c>
      <c r="D715" s="1" t="str">
        <f>IFERROR(__xludf.DUMMYFUNCTION("""COMPUTED_VALUE"""),"OH")</f>
        <v>OH</v>
      </c>
      <c r="E715" s="1" t="str">
        <f>IFERROR(__xludf.DUMMYFUNCTION("""COMPUTED_VALUE"""),"44870")</f>
        <v>44870</v>
      </c>
      <c r="F715" s="1" t="str">
        <f>IFERROR(__xludf.DUMMYFUNCTION("""COMPUTED_VALUE"""),"Erie")</f>
        <v>Erie</v>
      </c>
      <c r="G715" s="1" t="str">
        <f>IFERROR(__xludf.DUMMYFUNCTION("""COMPUTED_VALUE"""),"41.43093")</f>
        <v>41.43093</v>
      </c>
      <c r="H715" s="1" t="str">
        <f>IFERROR(__xludf.DUMMYFUNCTION("""COMPUTED_VALUE"""),"-82.7172")</f>
        <v>-82.7172</v>
      </c>
      <c r="I715" s="1" t="str">
        <f>IFERROR(__xludf.DUMMYFUNCTION("""COMPUTED_VALUE"""),"Proposed")</f>
        <v>Proposed</v>
      </c>
      <c r="J715" s="1" t="str">
        <f>IFERROR(__xludf.DUMMYFUNCTION("""COMPUTED_VALUE"""),"High")</f>
        <v>High</v>
      </c>
      <c r="K715" s="1" t="str">
        <f>IFERROR(__xludf.DUMMYFUNCTION("""COMPUTED_VALUE"""),"")</f>
        <v/>
      </c>
      <c r="L715" s="1" t="str">
        <f>IFERROR(__xludf.DUMMYFUNCTION("""COMPUTED_VALUE"""),"")</f>
        <v/>
      </c>
      <c r="M715" s="1" t="str">
        <f>IFERROR(__xludf.DUMMYFUNCTION("""COMPUTED_VALUE"""),"")</f>
        <v/>
      </c>
      <c r="N715" s="1" t="str">
        <f>IFERROR(__xludf.DUMMYFUNCTION("""COMPUTED_VALUE"""),"")</f>
        <v/>
      </c>
      <c r="O715" s="1" t="str">
        <f>IFERROR(__xludf.DUMMYFUNCTION("""COMPUTED_VALUE"""),"Unknown")</f>
        <v>Unknown</v>
      </c>
      <c r="P715" s="1" t="str">
        <f>IFERROR(__xludf.DUMMYFUNCTION("""COMPUTED_VALUE"""),"")</f>
        <v/>
      </c>
      <c r="Q715" s="1" t="str">
        <f>IFERROR(__xludf.DUMMYFUNCTION("""COMPUTED_VALUE"""),"")</f>
        <v/>
      </c>
      <c r="R715" s="1" t="str">
        <f>IFERROR(__xludf.DUMMYFUNCTION("""COMPUTED_VALUE"""),"")</f>
        <v/>
      </c>
      <c r="S715" s="1" t="str">
        <f>IFERROR(__xludf.DUMMYFUNCTION("""COMPUTED_VALUE"""),"")</f>
        <v/>
      </c>
      <c r="T715" s="1" t="str">
        <f>IFERROR(__xludf.DUMMYFUNCTION("""COMPUTED_VALUE"""),"")</f>
        <v/>
      </c>
      <c r="U715" s="1" t="str">
        <f>IFERROR(__xludf.DUMMYFUNCTION("""COMPUTED_VALUE"""),"")</f>
        <v/>
      </c>
      <c r="V715" s="1" t="str">
        <f>IFERROR(__xludf.DUMMYFUNCTION("""COMPUTED_VALUE"""),"")</f>
        <v/>
      </c>
      <c r="W715" s="1" t="str">
        <f>IFERROR(__xludf.DUMMYFUNCTION("""COMPUTED_VALUE"""),"130")</f>
        <v>130</v>
      </c>
      <c r="X715" s="1" t="str">
        <f>IFERROR(__xludf.DUMMYFUNCTION("""COMPUTED_VALUE"""),"")</f>
        <v/>
      </c>
      <c r="Y715" s="1" t="str">
        <f>IFERROR(__xludf.DUMMYFUNCTION("""COMPUTED_VALUE"""),"")</f>
        <v/>
      </c>
      <c r="Z715" s="1" t="str">
        <f>IFERROR(__xludf.DUMMYFUNCTION("""COMPUTED_VALUE"""),"Unknown")</f>
        <v>Unknown</v>
      </c>
      <c r="AA715" s="1" t="str">
        <f>IFERROR(__xludf.DUMMYFUNCTION("""COMPUTED_VALUE"""),"")</f>
        <v/>
      </c>
      <c r="AB715" s="1" t="str">
        <f>IFERROR(__xludf.DUMMYFUNCTION("""COMPUTED_VALUE"""),"")</f>
        <v/>
      </c>
      <c r="AC715" s="1" t="str">
        <f>IFERROR(__xludf.DUMMYFUNCTION("""COMPUTED_VALUE"""),"")</f>
        <v/>
      </c>
      <c r="AD715" s="1" t="str">
        <f>IFERROR(__xludf.DUMMYFUNCTION("""COMPUTED_VALUE"""),"")</f>
        <v/>
      </c>
      <c r="AE715" s="1" t="str">
        <f>IFERROR(__xludf.DUMMYFUNCTION("""COMPUTED_VALUE"""),"")</f>
        <v/>
      </c>
      <c r="AF715" s="1" t="str">
        <f>IFERROR(__xludf.DUMMYFUNCTION("""COMPUTED_VALUE"""),"")</f>
        <v/>
      </c>
      <c r="AG715" s="1" t="str">
        <f>IFERROR(__xludf.DUMMYFUNCTION("""COMPUTED_VALUE"""),"")</f>
        <v/>
      </c>
      <c r="AH715" s="1" t="str">
        <f>IFERROR(__xludf.DUMMYFUNCTION("""COMPUTED_VALUE"""),"Media Monitoring")</f>
        <v>Media Monitoring</v>
      </c>
      <c r="AI715" s="2" t="str">
        <f>IFERROR(__xludf.DUMMYFUNCTION("""COMPUTED_VALUE"""),"https://www.datacenterdynamics.com/en/news/aligned-acquires-130-acres-in-ohio-for-data-center-campus/")</f>
        <v>https://www.datacenterdynamics.com/en/news/aligned-acquires-130-acres-in-ohio-for-data-center-campus/</v>
      </c>
      <c r="AJ715" s="1" t="str">
        <f>IFERROR(__xludf.DUMMYFUNCTION("""COMPUTED_VALUE"""),"")</f>
        <v/>
      </c>
      <c r="AK715" s="1" t="str">
        <f>IFERROR(__xludf.DUMMYFUNCTION("""COMPUTED_VALUE"""),"")</f>
        <v/>
      </c>
      <c r="AL715" s="1" t="str">
        <f>IFERROR(__xludf.DUMMYFUNCTION("""COMPUTED_VALUE"""),"")</f>
        <v/>
      </c>
      <c r="AM715" s="1" t="str">
        <f>IFERROR(__xludf.DUMMYFUNCTION("""COMPUTED_VALUE"""),"")</f>
        <v/>
      </c>
      <c r="AN715" s="1" t="str">
        <f>IFERROR(__xludf.DUMMYFUNCTION("""COMPUTED_VALUE"""),"")</f>
        <v/>
      </c>
      <c r="AO715" s="1" t="str">
        <f>IFERROR(__xludf.DUMMYFUNCTION("""COMPUTED_VALUE"""),"")</f>
        <v/>
      </c>
      <c r="AP715" s="1" t="str">
        <f>IFERROR(__xludf.DUMMYFUNCTION("""COMPUTED_VALUE"""),"")</f>
        <v/>
      </c>
      <c r="AQ715" s="1" t="str">
        <f>IFERROR(__xludf.DUMMYFUNCTION("""COMPUTED_VALUE"""),"06/19/2025")</f>
        <v>06/19/2025</v>
      </c>
      <c r="AR715" s="1" t="str">
        <f>IFERROR(__xludf.DUMMYFUNCTION("""COMPUTED_VALUE"""),"06/19/2025")</f>
        <v>06/19/2025</v>
      </c>
    </row>
    <row r="716">
      <c r="A716" s="1" t="str">
        <f>IFERROR(__xludf.DUMMYFUNCTION("""COMPUTED_VALUE"""),"Amazon Project Galaxy")</f>
        <v>Amazon Project Galaxy</v>
      </c>
      <c r="B716" s="1" t="str">
        <f>IFERROR(__xludf.DUMMYFUNCTION("""COMPUTED_VALUE"""),"North side of West Millcreek Rd")</f>
        <v>North side of West Millcreek Rd</v>
      </c>
      <c r="C716" s="1" t="str">
        <f>IFERROR(__xludf.DUMMYFUNCTION("""COMPUTED_VALUE"""),"Sidney")</f>
        <v>Sidney</v>
      </c>
      <c r="D716" s="1" t="str">
        <f>IFERROR(__xludf.DUMMYFUNCTION("""COMPUTED_VALUE"""),"OH")</f>
        <v>OH</v>
      </c>
      <c r="E716" s="1" t="str">
        <f>IFERROR(__xludf.DUMMYFUNCTION("""COMPUTED_VALUE"""),"45365")</f>
        <v>45365</v>
      </c>
      <c r="F716" s="1" t="str">
        <f>IFERROR(__xludf.DUMMYFUNCTION("""COMPUTED_VALUE"""),"Shelby")</f>
        <v>Shelby</v>
      </c>
      <c r="G716" s="1" t="str">
        <f>IFERROR(__xludf.DUMMYFUNCTION("""COMPUTED_VALUE"""),"40.26942")</f>
        <v>40.26942</v>
      </c>
      <c r="H716" s="1" t="str">
        <f>IFERROR(__xludf.DUMMYFUNCTION("""COMPUTED_VALUE"""),"-84.19626")</f>
        <v>-84.19626</v>
      </c>
      <c r="I716" s="1" t="str">
        <f>IFERROR(__xludf.DUMMYFUNCTION("""COMPUTED_VALUE"""),"Proposed")</f>
        <v>Proposed</v>
      </c>
      <c r="J716" s="1" t="str">
        <f>IFERROR(__xludf.DUMMYFUNCTION("""COMPUTED_VALUE"""),"High")</f>
        <v>High</v>
      </c>
      <c r="K716" s="1" t="str">
        <f>IFERROR(__xludf.DUMMYFUNCTION("""COMPUTED_VALUE"""),"")</f>
        <v/>
      </c>
      <c r="L716" s="1" t="str">
        <f>IFERROR(__xludf.DUMMYFUNCTION("""COMPUTED_VALUE"""),"Amazon")</f>
        <v>Amazon</v>
      </c>
      <c r="M716" s="1" t="str">
        <f>IFERROR(__xludf.DUMMYFUNCTION("""COMPUTED_VALUE"""),"")</f>
        <v/>
      </c>
      <c r="N716" s="1" t="str">
        <f>IFERROR(__xludf.DUMMYFUNCTION("""COMPUTED_VALUE"""),"")</f>
        <v/>
      </c>
      <c r="O716" s="1" t="str">
        <f>IFERROR(__xludf.DUMMYFUNCTION("""COMPUTED_VALUE"""),"Unknown")</f>
        <v>Unknown</v>
      </c>
      <c r="P716" s="1" t="str">
        <f>IFERROR(__xludf.DUMMYFUNCTION("""COMPUTED_VALUE"""),"")</f>
        <v/>
      </c>
      <c r="Q716" s="1" t="str">
        <f>IFERROR(__xludf.DUMMYFUNCTION("""COMPUTED_VALUE"""),"")</f>
        <v/>
      </c>
      <c r="R716" s="1" t="str">
        <f>IFERROR(__xludf.DUMMYFUNCTION("""COMPUTED_VALUE"""),"")</f>
        <v/>
      </c>
      <c r="S716" s="1" t="str">
        <f>IFERROR(__xludf.DUMMYFUNCTION("""COMPUTED_VALUE"""),"")</f>
        <v/>
      </c>
      <c r="T716" s="1" t="str">
        <f>IFERROR(__xludf.DUMMYFUNCTION("""COMPUTED_VALUE"""),"")</f>
        <v/>
      </c>
      <c r="U716" s="1" t="str">
        <f>IFERROR(__xludf.DUMMYFUNCTION("""COMPUTED_VALUE"""),"")</f>
        <v/>
      </c>
      <c r="V716" s="1" t="str">
        <f>IFERROR(__xludf.DUMMYFUNCTION("""COMPUTED_VALUE"""),"")</f>
        <v/>
      </c>
      <c r="W716" s="1" t="str">
        <f>IFERROR(__xludf.DUMMYFUNCTION("""COMPUTED_VALUE"""),"")</f>
        <v/>
      </c>
      <c r="X716" s="1" t="str">
        <f>IFERROR(__xludf.DUMMYFUNCTION("""COMPUTED_VALUE"""),"$3 billion")</f>
        <v>$3 billion</v>
      </c>
      <c r="Y716" s="1" t="str">
        <f>IFERROR(__xludf.DUMMYFUNCTION("""COMPUTED_VALUE"""),"")</f>
        <v/>
      </c>
      <c r="Z716" s="1" t="str">
        <f>IFERROR(__xludf.DUMMYFUNCTION("""COMPUTED_VALUE"""),"Unknown")</f>
        <v>Unknown</v>
      </c>
      <c r="AA716" s="1" t="str">
        <f>IFERROR(__xludf.DUMMYFUNCTION("""COMPUTED_VALUE"""),"")</f>
        <v/>
      </c>
      <c r="AB716" s="1" t="str">
        <f>IFERROR(__xludf.DUMMYFUNCTION("""COMPUTED_VALUE"""),"")</f>
        <v/>
      </c>
      <c r="AC716" s="1" t="str">
        <f>IFERROR(__xludf.DUMMYFUNCTION("""COMPUTED_VALUE"""),"")</f>
        <v/>
      </c>
      <c r="AD716" s="1" t="str">
        <f>IFERROR(__xludf.DUMMYFUNCTION("""COMPUTED_VALUE"""),"")</f>
        <v/>
      </c>
      <c r="AE716" s="1" t="str">
        <f>IFERROR(__xludf.DUMMYFUNCTION("""COMPUTED_VALUE"""),"")</f>
        <v/>
      </c>
      <c r="AF716" s="1" t="str">
        <f>IFERROR(__xludf.DUMMYFUNCTION("""COMPUTED_VALUE"""),"")</f>
        <v/>
      </c>
      <c r="AG716" s="1" t="str">
        <f>IFERROR(__xludf.DUMMYFUNCTION("""COMPUTED_VALUE"""),"Payments in Lieu of Taxes (PILOT) totaling $50 million over 15 years")</f>
        <v>Payments in Lieu of Taxes (PILOT) totaling $50 million over 15 years</v>
      </c>
      <c r="AH716" s="1" t="str">
        <f>IFERROR(__xludf.DUMMYFUNCTION("""COMPUTED_VALUE"""),"Media Monitoring")</f>
        <v>Media Monitoring</v>
      </c>
      <c r="AI716" s="2" t="str">
        <f>IFERROR(__xludf.DUMMYFUNCTION("""COMPUTED_VALUE"""),"https://www.whio.com/news/local/city-approves-30-year-tax-break-amazon-data-center/IXCXV6ZWABADDFZ3XYHMYB7YUQ/")</f>
        <v>https://www.whio.com/news/local/city-approves-30-year-tax-break-amazon-data-center/IXCXV6ZWABADDFZ3XYHMYB7YUQ/</v>
      </c>
      <c r="AJ716" s="2" t="str">
        <f>IFERROR(__xludf.DUMMYFUNCTION("""COMPUTED_VALUE"""),"https://www.datacenterdynamics.com/en/news/amazon-secures-tax-break-for-3bn-data-center-campus-in-sidney-ohio/")</f>
        <v>https://www.datacenterdynamics.com/en/news/amazon-secures-tax-break-for-3bn-data-center-campus-in-sidney-ohio/</v>
      </c>
      <c r="AK716" s="1" t="str">
        <f>IFERROR(__xludf.DUMMYFUNCTION("""COMPUTED_VALUE"""),"")</f>
        <v/>
      </c>
      <c r="AL716" s="1" t="str">
        <f>IFERROR(__xludf.DUMMYFUNCTION("""COMPUTED_VALUE"""),"")</f>
        <v/>
      </c>
      <c r="AM716" s="1" t="str">
        <f>IFERROR(__xludf.DUMMYFUNCTION("""COMPUTED_VALUE"""),"")</f>
        <v/>
      </c>
      <c r="AN716" s="1" t="str">
        <f>IFERROR(__xludf.DUMMYFUNCTION("""COMPUTED_VALUE"""),"")</f>
        <v/>
      </c>
      <c r="AO716" s="1" t="str">
        <f>IFERROR(__xludf.DUMMYFUNCTION("""COMPUTED_VALUE"""),"")</f>
        <v/>
      </c>
      <c r="AP716" s="1" t="str">
        <f>IFERROR(__xludf.DUMMYFUNCTION("""COMPUTED_VALUE"""),"")</f>
        <v/>
      </c>
      <c r="AQ716" s="1" t="str">
        <f>IFERROR(__xludf.DUMMYFUNCTION("""COMPUTED_VALUE"""),"11/03/2025")</f>
        <v>11/03/2025</v>
      </c>
      <c r="AR716" s="1" t="str">
        <f>IFERROR(__xludf.DUMMYFUNCTION("""COMPUTED_VALUE"""),"11/03/2025")</f>
        <v>11/03/2025</v>
      </c>
    </row>
    <row r="717">
      <c r="A717" s="1" t="str">
        <f>IFERROR(__xludf.DUMMYFUNCTION("""COMPUTED_VALUE"""),"Project Mila")</f>
        <v>Project Mila</v>
      </c>
      <c r="B717" s="1" t="str">
        <f>IFERROR(__xludf.DUMMYFUNCTION("""COMPUTED_VALUE"""),"Kennel Rd Corridor")</f>
        <v>Kennel Rd Corridor</v>
      </c>
      <c r="C717" s="1" t="str">
        <f>IFERROR(__xludf.DUMMYFUNCTION("""COMPUTED_VALUE"""),"Trenton")</f>
        <v>Trenton</v>
      </c>
      <c r="D717" s="1" t="str">
        <f>IFERROR(__xludf.DUMMYFUNCTION("""COMPUTED_VALUE"""),"OH")</f>
        <v>OH</v>
      </c>
      <c r="E717" s="1" t="str">
        <f>IFERROR(__xludf.DUMMYFUNCTION("""COMPUTED_VALUE"""),"45067")</f>
        <v>45067</v>
      </c>
      <c r="F717" s="1" t="str">
        <f>IFERROR(__xludf.DUMMYFUNCTION("""COMPUTED_VALUE"""),"Butler")</f>
        <v>Butler</v>
      </c>
      <c r="G717" s="1" t="str">
        <f>IFERROR(__xludf.DUMMYFUNCTION("""COMPUTED_VALUE"""),"39.455215")</f>
        <v>39.455215</v>
      </c>
      <c r="H717" s="1" t="str">
        <f>IFERROR(__xludf.DUMMYFUNCTION("""COMPUTED_VALUE"""),"-84.45998")</f>
        <v>-84.45998</v>
      </c>
      <c r="I717" s="1" t="str">
        <f>IFERROR(__xludf.DUMMYFUNCTION("""COMPUTED_VALUE"""),"Proposed")</f>
        <v>Proposed</v>
      </c>
      <c r="J717" s="1" t="str">
        <f>IFERROR(__xludf.DUMMYFUNCTION("""COMPUTED_VALUE"""),"High")</f>
        <v>High</v>
      </c>
      <c r="K717" s="1" t="str">
        <f>IFERROR(__xludf.DUMMYFUNCTION("""COMPUTED_VALUE"""),"")</f>
        <v/>
      </c>
      <c r="L717" s="1" t="str">
        <f>IFERROR(__xludf.DUMMYFUNCTION("""COMPUTED_VALUE"""),"Prologis")</f>
        <v>Prologis</v>
      </c>
      <c r="M717" s="1" t="str">
        <f>IFERROR(__xludf.DUMMYFUNCTION("""COMPUTED_VALUE"""),"")</f>
        <v/>
      </c>
      <c r="N717" s="1" t="str">
        <f>IFERROR(__xludf.DUMMYFUNCTION("""COMPUTED_VALUE"""),"240")</f>
        <v>240</v>
      </c>
      <c r="O717" s="1" t="str">
        <f>IFERROR(__xludf.DUMMYFUNCTION("""COMPUTED_VALUE"""),"Hyperscale (100-999 MW)")</f>
        <v>Hyperscale (100-999 MW)</v>
      </c>
      <c r="P717" s="1" t="str">
        <f>IFERROR(__xludf.DUMMYFUNCTION("""COMPUTED_VALUE"""),"Grid (unspecified mix)")</f>
        <v>Grid (unspecified mix)</v>
      </c>
      <c r="Q717" s="1" t="str">
        <f>IFERROR(__xludf.DUMMYFUNCTION("""COMPUTED_VALUE"""),"")</f>
        <v/>
      </c>
      <c r="R717" s="1" t="str">
        <f>IFERROR(__xludf.DUMMYFUNCTION("""COMPUTED_VALUE"""),"")</f>
        <v/>
      </c>
      <c r="S717" s="1" t="str">
        <f>IFERROR(__xludf.DUMMYFUNCTION("""COMPUTED_VALUE"""),"4")</f>
        <v>4</v>
      </c>
      <c r="T717" s="1" t="str">
        <f>IFERROR(__xludf.DUMMYFUNCTION("""COMPUTED_VALUE"""),"")</f>
        <v/>
      </c>
      <c r="U717" s="1" t="str">
        <f>IFERROR(__xludf.DUMMYFUNCTION("""COMPUTED_VALUE"""),"")</f>
        <v/>
      </c>
      <c r="V717" s="1" t="str">
        <f>IFERROR(__xludf.DUMMYFUNCTION("""COMPUTED_VALUE"""),"1,000,000")</f>
        <v>1,000,000</v>
      </c>
      <c r="W717" s="1" t="str">
        <f>IFERROR(__xludf.DUMMYFUNCTION("""COMPUTED_VALUE"""),"142")</f>
        <v>142</v>
      </c>
      <c r="X717" s="1" t="str">
        <f>IFERROR(__xludf.DUMMYFUNCTION("""COMPUTED_VALUE"""),"")</f>
        <v/>
      </c>
      <c r="Y717" s="1" t="str">
        <f>IFERROR(__xludf.DUMMYFUNCTION("""COMPUTED_VALUE"""),"")</f>
        <v/>
      </c>
      <c r="Z717" s="1" t="str">
        <f>IFERROR(__xludf.DUMMYFUNCTION("""COMPUTED_VALUE"""),"Yes")</f>
        <v>Yes</v>
      </c>
      <c r="AA717" s="1" t="str">
        <f>IFERROR(__xludf.DUMMYFUNCTION("""COMPUTED_VALUE"""),"")</f>
        <v/>
      </c>
      <c r="AB717" s="1" t="str">
        <f>IFERROR(__xludf.DUMMYFUNCTION("""COMPUTED_VALUE"""),"")</f>
        <v/>
      </c>
      <c r="AC717" s="1" t="str">
        <f>IFERROR(__xludf.DUMMYFUNCTION("""COMPUTED_VALUE"""),"")</f>
        <v/>
      </c>
      <c r="AD717" s="2" t="str">
        <f>IFERROR(__xludf.DUMMYFUNCTION("""COMPUTED_VALUE"""),"https://www.facebook.com/groups/816721210681323")</f>
        <v>https://www.facebook.com/groups/816721210681323</v>
      </c>
      <c r="AE717" s="1" t="str">
        <f>IFERROR(__xludf.DUMMYFUNCTION("""COMPUTED_VALUE"""),"")</f>
        <v/>
      </c>
      <c r="AF717" s="1" t="str">
        <f>IFERROR(__xludf.DUMMYFUNCTION("""COMPUTED_VALUE"""),"")</f>
        <v/>
      </c>
      <c r="AG717" s="1" t="str">
        <f>IFERROR(__xludf.DUMMYFUNCTION("""COMPUTED_VALUE"""),"")</f>
        <v/>
      </c>
      <c r="AH717" s="1" t="str">
        <f>IFERROR(__xludf.DUMMYFUNCTION("""COMPUTED_VALUE"""),"Crowdsourced")</f>
        <v>Crowdsourced</v>
      </c>
      <c r="AI717" s="2" t="str">
        <f>IFERROR(__xludf.DUMMYFUNCTION("""COMPUTED_VALUE"""),"https://www.datacenterdynamics.com/en/news/prologis-acquires-land-outside-cincinnati-ohio-for-potential-data-center/")</f>
        <v>https://www.datacenterdynamics.com/en/news/prologis-acquires-land-outside-cincinnati-ohio-for-potential-data-center/</v>
      </c>
      <c r="AJ717" s="2" t="str">
        <f>IFERROR(__xludf.DUMMYFUNCTION("""COMPUTED_VALUE"""),"https://www.wlwt.com/article/trenton-ohio-butler-county-data-center-reaction/69267723")</f>
        <v>https://www.wlwt.com/article/trenton-ohio-butler-county-data-center-reaction/69267723</v>
      </c>
      <c r="AK717" s="2" t="str">
        <f>IFERROR(__xludf.DUMMYFUNCTION("""COMPUTED_VALUE"""),"https://www.journal-news.com/news/1-million-square-foot-data-center-proposed-for-141-acres-in-trenton/B5H4QD67PZGVRJY7HAVVSTJJBI/")</f>
        <v>https://www.journal-news.com/news/1-million-square-foot-data-center-proposed-for-141-acres-in-trenton/B5H4QD67PZGVRJY7HAVVSTJJBI/</v>
      </c>
      <c r="AL717" s="2" t="str">
        <f>IFERROR(__xludf.DUMMYFUNCTION("""COMPUTED_VALUE"""),"https://www.datacenterdynamics.com/en/news/prologis-details-plans-for-data-center-campus-outside-cincinnati-ohio/")</f>
        <v>https://www.datacenterdynamics.com/en/news/prologis-details-plans-for-data-center-campus-outside-cincinnati-ohio/</v>
      </c>
      <c r="AM717" s="1" t="str">
        <f>IFERROR(__xludf.DUMMYFUNCTION("""COMPUTED_VALUE"""),"")</f>
        <v/>
      </c>
      <c r="AN717" s="1" t="str">
        <f>IFERROR(__xludf.DUMMYFUNCTION("""COMPUTED_VALUE"""),"")</f>
        <v/>
      </c>
      <c r="AO717" s="1" t="str">
        <f>IFERROR(__xludf.DUMMYFUNCTION("""COMPUTED_VALUE"""),"")</f>
        <v/>
      </c>
      <c r="AP717" s="1" t="str">
        <f>IFERROR(__xludf.DUMMYFUNCTION("""COMPUTED_VALUE"""),"")</f>
        <v/>
      </c>
      <c r="AQ717" s="1" t="str">
        <f>IFERROR(__xludf.DUMMYFUNCTION("""COMPUTED_VALUE"""),"12/29/2025")</f>
        <v>12/29/2025</v>
      </c>
      <c r="AR717" s="1" t="str">
        <f>IFERROR(__xludf.DUMMYFUNCTION("""COMPUTED_VALUE"""),"03/23/2026")</f>
        <v>03/23/2026</v>
      </c>
    </row>
    <row r="718">
      <c r="A718" s="1" t="str">
        <f>IFERROR(__xludf.DUMMYFUNCTION("""COMPUTED_VALUE"""),"CMH1")</f>
        <v>CMH1</v>
      </c>
      <c r="B718" s="1" t="str">
        <f>IFERROR(__xludf.DUMMYFUNCTION("""COMPUTED_VALUE"""),"5000 Arlington Centre Blvd Building One, Arlington Centre Blvd")</f>
        <v>5000 Arlington Centre Blvd Building One, Arlington Centre Blvd</v>
      </c>
      <c r="C718" s="1" t="str">
        <f>IFERROR(__xludf.DUMMYFUNCTION("""COMPUTED_VALUE"""),"Upper Arlington")</f>
        <v>Upper Arlington</v>
      </c>
      <c r="D718" s="1" t="str">
        <f>IFERROR(__xludf.DUMMYFUNCTION("""COMPUTED_VALUE"""),"OH")</f>
        <v>OH</v>
      </c>
      <c r="E718" s="1" t="str">
        <f>IFERROR(__xludf.DUMMYFUNCTION("""COMPUTED_VALUE"""),"43220")</f>
        <v>43220</v>
      </c>
      <c r="F718" s="1" t="str">
        <f>IFERROR(__xludf.DUMMYFUNCTION("""COMPUTED_VALUE"""),"Franklin")</f>
        <v>Franklin</v>
      </c>
      <c r="G718" s="1" t="str">
        <f>IFERROR(__xludf.DUMMYFUNCTION("""COMPUTED_VALUE"""),"40.05789")</f>
        <v>40.05789</v>
      </c>
      <c r="H718" s="1" t="str">
        <f>IFERROR(__xludf.DUMMYFUNCTION("""COMPUTED_VALUE"""),"-83.0785")</f>
        <v>-83.0785</v>
      </c>
      <c r="I718" s="1" t="str">
        <f>IFERROR(__xludf.DUMMYFUNCTION("""COMPUTED_VALUE"""),"Operating")</f>
        <v>Operating</v>
      </c>
      <c r="J718" s="1" t="str">
        <f>IFERROR(__xludf.DUMMYFUNCTION("""COMPUTED_VALUE"""),"High")</f>
        <v>High</v>
      </c>
      <c r="K718" s="1" t="str">
        <f>IFERROR(__xludf.DUMMYFUNCTION("""COMPUTED_VALUE"""),"")</f>
        <v/>
      </c>
      <c r="L718" s="1" t="str">
        <f>IFERROR(__xludf.DUMMYFUNCTION("""COMPUTED_VALUE"""),"")</f>
        <v/>
      </c>
      <c r="M718" s="1" t="str">
        <f>IFERROR(__xludf.DUMMYFUNCTION("""COMPUTED_VALUE"""),"")</f>
        <v/>
      </c>
      <c r="N718" s="1" t="str">
        <f>IFERROR(__xludf.DUMMYFUNCTION("""COMPUTED_VALUE"""),"1.6")</f>
        <v>1.6</v>
      </c>
      <c r="O718" s="1" t="str">
        <f>IFERROR(__xludf.DUMMYFUNCTION("""COMPUTED_VALUE"""),"Small (0-10 MW)")</f>
        <v>Small (0-10 MW)</v>
      </c>
      <c r="P718" s="1" t="str">
        <f>IFERROR(__xludf.DUMMYFUNCTION("""COMPUTED_VALUE"""),"")</f>
        <v/>
      </c>
      <c r="Q718" s="1" t="str">
        <f>IFERROR(__xludf.DUMMYFUNCTION("""COMPUTED_VALUE"""),"")</f>
        <v/>
      </c>
      <c r="R718" s="1" t="str">
        <f>IFERROR(__xludf.DUMMYFUNCTION("""COMPUTED_VALUE"""),"")</f>
        <v/>
      </c>
      <c r="S718" s="1" t="str">
        <f>IFERROR(__xludf.DUMMYFUNCTION("""COMPUTED_VALUE"""),"")</f>
        <v/>
      </c>
      <c r="T718" s="1" t="str">
        <f>IFERROR(__xludf.DUMMYFUNCTION("""COMPUTED_VALUE"""),"")</f>
        <v/>
      </c>
      <c r="U718" s="1" t="str">
        <f>IFERROR(__xludf.DUMMYFUNCTION("""COMPUTED_VALUE"""),"")</f>
        <v/>
      </c>
      <c r="V718" s="1" t="str">
        <f>IFERROR(__xludf.DUMMYFUNCTION("""COMPUTED_VALUE"""),"21,591")</f>
        <v>21,591</v>
      </c>
      <c r="W718" s="1" t="str">
        <f>IFERROR(__xludf.DUMMYFUNCTION("""COMPUTED_VALUE"""),"")</f>
        <v/>
      </c>
      <c r="X718" s="1" t="str">
        <f>IFERROR(__xludf.DUMMYFUNCTION("""COMPUTED_VALUE"""),"")</f>
        <v/>
      </c>
      <c r="Y718" s="1" t="str">
        <f>IFERROR(__xludf.DUMMYFUNCTION("""COMPUTED_VALUE"""),"")</f>
        <v/>
      </c>
      <c r="Z718" s="1" t="str">
        <f>IFERROR(__xludf.DUMMYFUNCTION("""COMPUTED_VALUE"""),"Unknown")</f>
        <v>Unknown</v>
      </c>
      <c r="AA718" s="1" t="str">
        <f>IFERROR(__xludf.DUMMYFUNCTION("""COMPUTED_VALUE"""),"")</f>
        <v/>
      </c>
      <c r="AB718" s="1" t="str">
        <f>IFERROR(__xludf.DUMMYFUNCTION("""COMPUTED_VALUE"""),"")</f>
        <v/>
      </c>
      <c r="AC718" s="1" t="str">
        <f>IFERROR(__xludf.DUMMYFUNCTION("""COMPUTED_VALUE"""),"")</f>
        <v/>
      </c>
      <c r="AD718" s="1" t="str">
        <f>IFERROR(__xludf.DUMMYFUNCTION("""COMPUTED_VALUE"""),"")</f>
        <v/>
      </c>
      <c r="AE718" s="1" t="str">
        <f>IFERROR(__xludf.DUMMYFUNCTION("""COMPUTED_VALUE"""),"")</f>
        <v/>
      </c>
      <c r="AF718" s="1" t="str">
        <f>IFERROR(__xludf.DUMMYFUNCTION("""COMPUTED_VALUE"""),"")</f>
        <v/>
      </c>
      <c r="AG718" s="1" t="str">
        <f>IFERROR(__xludf.DUMMYFUNCTION("""COMPUTED_VALUE"""),"")</f>
        <v/>
      </c>
      <c r="AH718" s="1" t="str">
        <f>IFERROR(__xludf.DUMMYFUNCTION("""COMPUTED_VALUE"""),"Media Monitoring")</f>
        <v>Media Monitoring</v>
      </c>
      <c r="AI718" s="2" t="str">
        <f>IFERROR(__xludf.DUMMYFUNCTION("""COMPUTED_VALUE"""),"https://www.expedient.com/data-centers/columbus/")</f>
        <v>https://www.expedient.com/data-centers/columbus/</v>
      </c>
      <c r="AJ718" s="1" t="str">
        <f>IFERROR(__xludf.DUMMYFUNCTION("""COMPUTED_VALUE"""),"")</f>
        <v/>
      </c>
      <c r="AK718" s="1" t="str">
        <f>IFERROR(__xludf.DUMMYFUNCTION("""COMPUTED_VALUE"""),"")</f>
        <v/>
      </c>
      <c r="AL718" s="1" t="str">
        <f>IFERROR(__xludf.DUMMYFUNCTION("""COMPUTED_VALUE"""),"")</f>
        <v/>
      </c>
      <c r="AM718" s="1" t="str">
        <f>IFERROR(__xludf.DUMMYFUNCTION("""COMPUTED_VALUE"""),"")</f>
        <v/>
      </c>
      <c r="AN718" s="1" t="str">
        <f>IFERROR(__xludf.DUMMYFUNCTION("""COMPUTED_VALUE"""),"")</f>
        <v/>
      </c>
      <c r="AO718" s="1" t="str">
        <f>IFERROR(__xludf.DUMMYFUNCTION("""COMPUTED_VALUE"""),"")</f>
        <v/>
      </c>
      <c r="AP718" s="1" t="str">
        <f>IFERROR(__xludf.DUMMYFUNCTION("""COMPUTED_VALUE"""),"")</f>
        <v/>
      </c>
      <c r="AQ718" s="1" t="str">
        <f>IFERROR(__xludf.DUMMYFUNCTION("""COMPUTED_VALUE"""),"09/01/2025")</f>
        <v>09/01/2025</v>
      </c>
      <c r="AR718" s="1" t="str">
        <f>IFERROR(__xludf.DUMMYFUNCTION("""COMPUTED_VALUE"""),"09/01/2025")</f>
        <v>09/01/2025</v>
      </c>
    </row>
    <row r="719">
      <c r="A719" s="1" t="str">
        <f>IFERROR(__xludf.DUMMYFUNCTION("""COMPUTED_VALUE"""),"Urbana Technology Hub")</f>
        <v>Urbana Technology Hub</v>
      </c>
      <c r="B719" s="1" t="str">
        <f>IFERROR(__xludf.DUMMYFUNCTION("""COMPUTED_VALUE"""),"Lewis B Moore Dr")</f>
        <v>Lewis B Moore Dr</v>
      </c>
      <c r="C719" s="1" t="str">
        <f>IFERROR(__xludf.DUMMYFUNCTION("""COMPUTED_VALUE"""),"Urbana")</f>
        <v>Urbana</v>
      </c>
      <c r="D719" s="1" t="str">
        <f>IFERROR(__xludf.DUMMYFUNCTION("""COMPUTED_VALUE"""),"OH")</f>
        <v>OH</v>
      </c>
      <c r="E719" s="1" t="str">
        <f>IFERROR(__xludf.DUMMYFUNCTION("""COMPUTED_VALUE"""),"43078")</f>
        <v>43078</v>
      </c>
      <c r="F719" s="1" t="str">
        <f>IFERROR(__xludf.DUMMYFUNCTION("""COMPUTED_VALUE"""),"Champaign")</f>
        <v>Champaign</v>
      </c>
      <c r="G719" s="1" t="str">
        <f>IFERROR(__xludf.DUMMYFUNCTION("""COMPUTED_VALUE"""),"40.08692")</f>
        <v>40.08692</v>
      </c>
      <c r="H719" s="1" t="str">
        <f>IFERROR(__xludf.DUMMYFUNCTION("""COMPUTED_VALUE"""),"-83.77341")</f>
        <v>-83.77341</v>
      </c>
      <c r="I719" s="1" t="str">
        <f>IFERROR(__xludf.DUMMYFUNCTION("""COMPUTED_VALUE"""),"Proposed")</f>
        <v>Proposed</v>
      </c>
      <c r="J719" s="1" t="str">
        <f>IFERROR(__xludf.DUMMYFUNCTION("""COMPUTED_VALUE"""),"High")</f>
        <v>High</v>
      </c>
      <c r="K719" s="1" t="str">
        <f>IFERROR(__xludf.DUMMYFUNCTION("""COMPUTED_VALUE"""),"")</f>
        <v/>
      </c>
      <c r="L719" s="1" t="str">
        <f>IFERROR(__xludf.DUMMYFUNCTION("""COMPUTED_VALUE"""),"Thor Equities")</f>
        <v>Thor Equities</v>
      </c>
      <c r="M719" s="1" t="str">
        <f>IFERROR(__xludf.DUMMYFUNCTION("""COMPUTED_VALUE"""),"")</f>
        <v/>
      </c>
      <c r="N719" s="1" t="str">
        <f>IFERROR(__xludf.DUMMYFUNCTION("""COMPUTED_VALUE"""),"100")</f>
        <v>100</v>
      </c>
      <c r="O719" s="1" t="str">
        <f>IFERROR(__xludf.DUMMYFUNCTION("""COMPUTED_VALUE"""),"Hyperscale (100-999 MW)")</f>
        <v>Hyperscale (100-999 MW)</v>
      </c>
      <c r="P719" s="1" t="str">
        <f>IFERROR(__xludf.DUMMYFUNCTION("""COMPUTED_VALUE"""),"Grid (unspecified mix)")</f>
        <v>Grid (unspecified mix)</v>
      </c>
      <c r="Q719" s="1" t="str">
        <f>IFERROR(__xludf.DUMMYFUNCTION("""COMPUTED_VALUE"""),"")</f>
        <v/>
      </c>
      <c r="R719" s="1" t="str">
        <f>IFERROR(__xludf.DUMMYFUNCTION("""COMPUTED_VALUE"""),"")</f>
        <v/>
      </c>
      <c r="S719" s="1" t="str">
        <f>IFERROR(__xludf.DUMMYFUNCTION("""COMPUTED_VALUE"""),"")</f>
        <v/>
      </c>
      <c r="T719" s="1" t="str">
        <f>IFERROR(__xludf.DUMMYFUNCTION("""COMPUTED_VALUE"""),"")</f>
        <v/>
      </c>
      <c r="U719" s="1" t="str">
        <f>IFERROR(__xludf.DUMMYFUNCTION("""COMPUTED_VALUE"""),"Closed loop")</f>
        <v>Closed loop</v>
      </c>
      <c r="V719" s="1" t="str">
        <f>IFERROR(__xludf.DUMMYFUNCTION("""COMPUTED_VALUE"""),"460,000")</f>
        <v>460,000</v>
      </c>
      <c r="W719" s="1" t="str">
        <f>IFERROR(__xludf.DUMMYFUNCTION("""COMPUTED_VALUE"""),"48")</f>
        <v>48</v>
      </c>
      <c r="X719" s="1" t="str">
        <f>IFERROR(__xludf.DUMMYFUNCTION("""COMPUTED_VALUE"""),"$1 billion")</f>
        <v>$1 billion</v>
      </c>
      <c r="Y719" s="1" t="str">
        <f>IFERROR(__xludf.DUMMYFUNCTION("""COMPUTED_VALUE"""),"")</f>
        <v/>
      </c>
      <c r="Z719" s="1" t="str">
        <f>IFERROR(__xludf.DUMMYFUNCTION("""COMPUTED_VALUE"""),"Yes")</f>
        <v>Yes</v>
      </c>
      <c r="AA719" s="1" t="str">
        <f>IFERROR(__xludf.DUMMYFUNCTION("""COMPUTED_VALUE"""),"")</f>
        <v/>
      </c>
      <c r="AB719" s="1" t="str">
        <f>IFERROR(__xludf.DUMMYFUNCTION("""COMPUTED_VALUE"""),"")</f>
        <v/>
      </c>
      <c r="AC719" s="1" t="str">
        <f>IFERROR(__xludf.DUMMYFUNCTION("""COMPUTED_VALUE"""),"")</f>
        <v/>
      </c>
      <c r="AD719" s="1" t="str">
        <f>IFERROR(__xludf.DUMMYFUNCTION("""COMPUTED_VALUE"""),"")</f>
        <v/>
      </c>
      <c r="AE719" s="1" t="str">
        <f>IFERROR(__xludf.DUMMYFUNCTION("""COMPUTED_VALUE"""),"")</f>
        <v/>
      </c>
      <c r="AF719" s="2" t="str">
        <f>IFERROR(__xludf.DUMMYFUNCTION("""COMPUTED_VALUE"""),"https://www.change.org/p/stop-the-data-center-from-opening-in-urbana")</f>
        <v>https://www.change.org/p/stop-the-data-center-from-opening-in-urbana</v>
      </c>
      <c r="AG719" s="1" t="str">
        <f>IFERROR(__xludf.DUMMYFUNCTION("""COMPUTED_VALUE"""),"")</f>
        <v/>
      </c>
      <c r="AH719" s="1" t="str">
        <f>IFERROR(__xludf.DUMMYFUNCTION("""COMPUTED_VALUE"""),"Crowdsourced")</f>
        <v>Crowdsourced</v>
      </c>
      <c r="AI719" s="2" t="str">
        <f>IFERROR(__xludf.DUMMYFUNCTION("""COMPUTED_VALUE"""),"https://www.datacenterdynamics.com/en/news/thor-equities-looks-to-build-460000-sq-ft-data-center-campus-near-urbana-ohio/")</f>
        <v>https://www.datacenterdynamics.com/en/news/thor-equities-looks-to-build-460000-sq-ft-data-center-campus-near-urbana-ohio/</v>
      </c>
      <c r="AJ719" s="2" t="str">
        <f>IFERROR(__xludf.DUMMYFUNCTION("""COMPUTED_VALUE"""),"https://www.urbanaohiodatacenter.com/#fact-vs-fiction")</f>
        <v>https://www.urbanaohiodatacenter.com/#fact-vs-fiction</v>
      </c>
      <c r="AK719" s="1" t="str">
        <f>IFERROR(__xludf.DUMMYFUNCTION("""COMPUTED_VALUE"""),"")</f>
        <v/>
      </c>
      <c r="AL719" s="1" t="str">
        <f>IFERROR(__xludf.DUMMYFUNCTION("""COMPUTED_VALUE"""),"")</f>
        <v/>
      </c>
      <c r="AM719" s="1" t="str">
        <f>IFERROR(__xludf.DUMMYFUNCTION("""COMPUTED_VALUE"""),"")</f>
        <v/>
      </c>
      <c r="AN719" s="1" t="str">
        <f>IFERROR(__xludf.DUMMYFUNCTION("""COMPUTED_VALUE"""),"")</f>
        <v/>
      </c>
      <c r="AO719" s="1" t="str">
        <f>IFERROR(__xludf.DUMMYFUNCTION("""COMPUTED_VALUE"""),"")</f>
        <v/>
      </c>
      <c r="AP719" s="1" t="str">
        <f>IFERROR(__xludf.DUMMYFUNCTION("""COMPUTED_VALUE"""),"")</f>
        <v/>
      </c>
      <c r="AQ719" s="1" t="str">
        <f>IFERROR(__xludf.DUMMYFUNCTION("""COMPUTED_VALUE"""),"05/05/2026")</f>
        <v>05/05/2026</v>
      </c>
      <c r="AR719" s="1" t="str">
        <f>IFERROR(__xludf.DUMMYFUNCTION("""COMPUTED_VALUE"""),"05/05/2026")</f>
        <v>05/05/2026</v>
      </c>
    </row>
    <row r="720">
      <c r="A720" s="1" t="str">
        <f>IFERROR(__xludf.DUMMYFUNCTION("""COMPUTED_VALUE"""),"Stargate Data Center")</f>
        <v>Stargate Data Center</v>
      </c>
      <c r="B720" s="1" t="str">
        <f>IFERROR(__xludf.DUMMYFUNCTION("""COMPUTED_VALUE"""),"2369 Ellsworth Bailey Rd")</f>
        <v>2369 Ellsworth Bailey Rd</v>
      </c>
      <c r="C720" s="1" t="str">
        <f>IFERROR(__xludf.DUMMYFUNCTION("""COMPUTED_VALUE"""),"Warren")</f>
        <v>Warren</v>
      </c>
      <c r="D720" s="1" t="str">
        <f>IFERROR(__xludf.DUMMYFUNCTION("""COMPUTED_VALUE"""),"OH")</f>
        <v>OH</v>
      </c>
      <c r="E720" s="1" t="str">
        <f>IFERROR(__xludf.DUMMYFUNCTION("""COMPUTED_VALUE"""),"44481")</f>
        <v>44481</v>
      </c>
      <c r="F720" s="1" t="str">
        <f>IFERROR(__xludf.DUMMYFUNCTION("""COMPUTED_VALUE"""),"Trumbull")</f>
        <v>Trumbull</v>
      </c>
      <c r="G720" s="1" t="str">
        <f>IFERROR(__xludf.DUMMYFUNCTION("""COMPUTED_VALUE"""),"41.15324")</f>
        <v>41.15324</v>
      </c>
      <c r="H720" s="1" t="str">
        <f>IFERROR(__xludf.DUMMYFUNCTION("""COMPUTED_VALUE"""),"-80.8803")</f>
        <v>-80.8803</v>
      </c>
      <c r="I720" s="1" t="str">
        <f>IFERROR(__xludf.DUMMYFUNCTION("""COMPUTED_VALUE"""),"Proposed")</f>
        <v>Proposed</v>
      </c>
      <c r="J720" s="1" t="str">
        <f>IFERROR(__xludf.DUMMYFUNCTION("""COMPUTED_VALUE"""),"High")</f>
        <v>High</v>
      </c>
      <c r="K720" s="1" t="str">
        <f>IFERROR(__xludf.DUMMYFUNCTION("""COMPUTED_VALUE"""),"")</f>
        <v/>
      </c>
      <c r="L720" s="1" t="str">
        <f>IFERROR(__xludf.DUMMYFUNCTION("""COMPUTED_VALUE"""),"Bristolville 25 Developer LLC")</f>
        <v>Bristolville 25 Developer LLC</v>
      </c>
      <c r="M720" s="1" t="str">
        <f>IFERROR(__xludf.DUMMYFUNCTION("""COMPUTED_VALUE"""),"")</f>
        <v/>
      </c>
      <c r="N720" s="1" t="str">
        <f>IFERROR(__xludf.DUMMYFUNCTION("""COMPUTED_VALUE"""),"1500")</f>
        <v>1500</v>
      </c>
      <c r="O720" s="1" t="str">
        <f>IFERROR(__xludf.DUMMYFUNCTION("""COMPUTED_VALUE"""),"Mega campus (&gt;1,000 MW)")</f>
        <v>Mega campus (&gt;1,000 MW)</v>
      </c>
      <c r="P720" s="1" t="str">
        <f>IFERROR(__xludf.DUMMYFUNCTION("""COMPUTED_VALUE"""),"Grid (unspecified mix), Biomass")</f>
        <v>Grid (unspecified mix), Biomass</v>
      </c>
      <c r="Q720" s="1" t="str">
        <f>IFERROR(__xludf.DUMMYFUNCTION("""COMPUTED_VALUE"""),"")</f>
        <v/>
      </c>
      <c r="R720" s="1" t="str">
        <f>IFERROR(__xludf.DUMMYFUNCTION("""COMPUTED_VALUE"""),"")</f>
        <v/>
      </c>
      <c r="S720" s="1" t="str">
        <f>IFERROR(__xludf.DUMMYFUNCTION("""COMPUTED_VALUE"""),"")</f>
        <v/>
      </c>
      <c r="T720" s="1" t="str">
        <f>IFERROR(__xludf.DUMMYFUNCTION("""COMPUTED_VALUE"""),"")</f>
        <v/>
      </c>
      <c r="U720" s="1" t="str">
        <f>IFERROR(__xludf.DUMMYFUNCTION("""COMPUTED_VALUE"""),"")</f>
        <v/>
      </c>
      <c r="V720" s="1" t="str">
        <f>IFERROR(__xludf.DUMMYFUNCTION("""COMPUTED_VALUE"""),"")</f>
        <v/>
      </c>
      <c r="W720" s="1" t="str">
        <f>IFERROR(__xludf.DUMMYFUNCTION("""COMPUTED_VALUE"""),"")</f>
        <v/>
      </c>
      <c r="X720" s="1" t="str">
        <f>IFERROR(__xludf.DUMMYFUNCTION("""COMPUTED_VALUE"""),"$3.6 billion")</f>
        <v>$3.6 billion</v>
      </c>
      <c r="Y720" s="1" t="str">
        <f>IFERROR(__xludf.DUMMYFUNCTION("""COMPUTED_VALUE"""),"")</f>
        <v/>
      </c>
      <c r="Z720" s="1" t="str">
        <f>IFERROR(__xludf.DUMMYFUNCTION("""COMPUTED_VALUE"""),"Yes")</f>
        <v>Yes</v>
      </c>
      <c r="AA720" s="2" t="str">
        <f>IFERROR(__xludf.DUMMYFUNCTION("""COMPUTED_VALUE"""),"https://www.wkbn.com/news/local-news/lordstown-news/hearing-could-determine-data-center-future-in-lordstown/")</f>
        <v>https://www.wkbn.com/news/local-news/lordstown-news/hearing-could-determine-data-center-future-in-lordstown/</v>
      </c>
      <c r="AB720" s="1" t="str">
        <f>IFERROR(__xludf.DUMMYFUNCTION("""COMPUTED_VALUE"""),"Emerging Concern")</f>
        <v>Emerging Concern</v>
      </c>
      <c r="AC720" s="1" t="str">
        <f>IFERROR(__xludf.DUMMYFUNCTION("""COMPUTED_VALUE"""),"")</f>
        <v/>
      </c>
      <c r="AD720" s="1" t="str">
        <f>IFERROR(__xludf.DUMMYFUNCTION("""COMPUTED_VALUE"""),"")</f>
        <v/>
      </c>
      <c r="AE720" s="1" t="str">
        <f>IFERROR(__xludf.DUMMYFUNCTION("""COMPUTED_VALUE"""),"")</f>
        <v/>
      </c>
      <c r="AF720" s="1" t="str">
        <f>IFERROR(__xludf.DUMMYFUNCTION("""COMPUTED_VALUE"""),"")</f>
        <v/>
      </c>
      <c r="AG720" s="1" t="str">
        <f>IFERROR(__xludf.DUMMYFUNCTION("""COMPUTED_VALUE"""),"Former General Motors plant outside Lordstown")</f>
        <v>Former General Motors plant outside Lordstown</v>
      </c>
      <c r="AH720" s="1" t="str">
        <f>IFERROR(__xludf.DUMMYFUNCTION("""COMPUTED_VALUE"""),"Media Monitoring")</f>
        <v>Media Monitoring</v>
      </c>
      <c r="AI720" s="2" t="str">
        <f>IFERROR(__xludf.DUMMYFUNCTION("""COMPUTED_VALUE"""),"https://www.chron.com/business/article/openai-texas-stargate-ai-hub-21065041.php")</f>
        <v>https://www.chron.com/business/article/openai-texas-stargate-ai-hub-21065041.php</v>
      </c>
      <c r="AJ720" s="2" t="str">
        <f>IFERROR(__xludf.DUMMYFUNCTION("""COMPUTED_VALUE"""),"https://www.wfmj.com/story/53109325/lordstown-part-of-mammoth-dollar500-billion-artificial-intelligence-data-center-project")</f>
        <v>https://www.wfmj.com/story/53109325/lordstown-part-of-mammoth-dollar500-billion-artificial-intelligence-data-center-project</v>
      </c>
      <c r="AK720" s="2" t="str">
        <f>IFERROR(__xludf.DUMMYFUNCTION("""COMPUTED_VALUE"""),"https://www.wfmj.com/story/53113377/data-center-to-occupy-small-part-of-lordstown-ai-hub-feature-advanced-design")</f>
        <v>https://www.wfmj.com/story/53113377/data-center-to-occupy-small-part-of-lordstown-ai-hub-feature-advanced-design</v>
      </c>
      <c r="AL720" s="2" t="str">
        <f>IFERROR(__xludf.DUMMYFUNCTION("""COMPUTED_VALUE"""),"https://www.wfmj.com/story/53208675/lordstown-leaders-consider-ban-tonight-on-planned-dollar36b-ai-data-center")</f>
        <v>https://www.wfmj.com/story/53208675/lordstown-leaders-consider-ban-tonight-on-planned-dollar36b-ai-data-center</v>
      </c>
      <c r="AM720" s="1" t="str">
        <f>IFERROR(__xludf.DUMMYFUNCTION("""COMPUTED_VALUE"""),"")</f>
        <v/>
      </c>
      <c r="AN720" s="1" t="str">
        <f>IFERROR(__xludf.DUMMYFUNCTION("""COMPUTED_VALUE"""),"")</f>
        <v/>
      </c>
      <c r="AO720" s="1" t="str">
        <f>IFERROR(__xludf.DUMMYFUNCTION("""COMPUTED_VALUE"""),"")</f>
        <v/>
      </c>
      <c r="AP720" s="1" t="str">
        <f>IFERROR(__xludf.DUMMYFUNCTION("""COMPUTED_VALUE"""),"")</f>
        <v/>
      </c>
      <c r="AQ720" s="1" t="str">
        <f>IFERROR(__xludf.DUMMYFUNCTION("""COMPUTED_VALUE"""),"09/26/2025")</f>
        <v>09/26/2025</v>
      </c>
      <c r="AR720" s="1" t="str">
        <f>IFERROR(__xludf.DUMMYFUNCTION("""COMPUTED_VALUE"""),"03/23/2026")</f>
        <v>03/23/2026</v>
      </c>
    </row>
    <row r="721">
      <c r="A721" s="1" t="str">
        <f>IFERROR(__xludf.DUMMYFUNCTION("""COMPUTED_VALUE"""),"Wilmington Data Center")</f>
        <v>Wilmington Data Center</v>
      </c>
      <c r="B721" s="1" t="str">
        <f>IFERROR(__xludf.DUMMYFUNCTION("""COMPUTED_VALUE"""),"1488 US-68")</f>
        <v>1488 US-68</v>
      </c>
      <c r="C721" s="1" t="str">
        <f>IFERROR(__xludf.DUMMYFUNCTION("""COMPUTED_VALUE"""),"Wilmington")</f>
        <v>Wilmington</v>
      </c>
      <c r="D721" s="1" t="str">
        <f>IFERROR(__xludf.DUMMYFUNCTION("""COMPUTED_VALUE"""),"OH")</f>
        <v>OH</v>
      </c>
      <c r="E721" s="1" t="str">
        <f>IFERROR(__xludf.DUMMYFUNCTION("""COMPUTED_VALUE"""),"45177")</f>
        <v>45177</v>
      </c>
      <c r="F721" s="1" t="str">
        <f>IFERROR(__xludf.DUMMYFUNCTION("""COMPUTED_VALUE"""),"Clinton")</f>
        <v>Clinton</v>
      </c>
      <c r="G721" s="1" t="str">
        <f>IFERROR(__xludf.DUMMYFUNCTION("""COMPUTED_VALUE"""),"39.42304")</f>
        <v>39.42304</v>
      </c>
      <c r="H721" s="1" t="str">
        <f>IFERROR(__xludf.DUMMYFUNCTION("""COMPUTED_VALUE"""),"-83.845474")</f>
        <v>-83.845474</v>
      </c>
      <c r="I721" s="1" t="str">
        <f>IFERROR(__xludf.DUMMYFUNCTION("""COMPUTED_VALUE"""),"Suspended")</f>
        <v>Suspended</v>
      </c>
      <c r="J721" s="1" t="str">
        <f>IFERROR(__xludf.DUMMYFUNCTION("""COMPUTED_VALUE"""),"High")</f>
        <v>High</v>
      </c>
      <c r="K721" s="1" t="str">
        <f>IFERROR(__xludf.DUMMYFUNCTION("""COMPUTED_VALUE"""),"AI / hyperscale data center")</f>
        <v>AI / hyperscale data center</v>
      </c>
      <c r="L721" s="1" t="str">
        <f>IFERROR(__xludf.DUMMYFUNCTION("""COMPUTED_VALUE"""),"Amazon")</f>
        <v>Amazon</v>
      </c>
      <c r="M721" s="1" t="str">
        <f>IFERROR(__xludf.DUMMYFUNCTION("""COMPUTED_VALUE"""),"")</f>
        <v/>
      </c>
      <c r="N721" s="1" t="str">
        <f>IFERROR(__xludf.DUMMYFUNCTION("""COMPUTED_VALUE"""),"400-600")</f>
        <v>400-600</v>
      </c>
      <c r="O721" s="1" t="str">
        <f>IFERROR(__xludf.DUMMYFUNCTION("""COMPUTED_VALUE"""),"Hyperscale (100-999 MW)")</f>
        <v>Hyperscale (100-999 MW)</v>
      </c>
      <c r="P721" s="1" t="str">
        <f>IFERROR(__xludf.DUMMYFUNCTION("""COMPUTED_VALUE"""),"")</f>
        <v/>
      </c>
      <c r="Q721" s="1" t="str">
        <f>IFERROR(__xludf.DUMMYFUNCTION("""COMPUTED_VALUE"""),"")</f>
        <v/>
      </c>
      <c r="R721" s="1" t="str">
        <f>IFERROR(__xludf.DUMMYFUNCTION("""COMPUTED_VALUE"""),"")</f>
        <v/>
      </c>
      <c r="S721" s="1" t="str">
        <f>IFERROR(__xludf.DUMMYFUNCTION("""COMPUTED_VALUE"""),"")</f>
        <v/>
      </c>
      <c r="T721" s="1" t="str">
        <f>IFERROR(__xludf.DUMMYFUNCTION("""COMPUTED_VALUE"""),"")</f>
        <v/>
      </c>
      <c r="U721" s="1" t="str">
        <f>IFERROR(__xludf.DUMMYFUNCTION("""COMPUTED_VALUE"""),"")</f>
        <v/>
      </c>
      <c r="V721" s="1" t="str">
        <f>IFERROR(__xludf.DUMMYFUNCTION("""COMPUTED_VALUE"""),"")</f>
        <v/>
      </c>
      <c r="W721" s="1" t="str">
        <f>IFERROR(__xludf.DUMMYFUNCTION("""COMPUTED_VALUE"""),"471")</f>
        <v>471</v>
      </c>
      <c r="X721" s="1" t="str">
        <f>IFERROR(__xludf.DUMMYFUNCTION("""COMPUTED_VALUE"""),"$4 billion")</f>
        <v>$4 billion</v>
      </c>
      <c r="Y721" s="1" t="str">
        <f>IFERROR(__xludf.DUMMYFUNCTION("""COMPUTED_VALUE"""),"")</f>
        <v/>
      </c>
      <c r="Z721" s="1" t="str">
        <f>IFERROR(__xludf.DUMMYFUNCTION("""COMPUTED_VALUE"""),"Yes")</f>
        <v>Yes</v>
      </c>
      <c r="AA721" s="1" t="str">
        <f>IFERROR(__xludf.DUMMYFUNCTION("""COMPUTED_VALUE"""),"Project tabled pending more information before planning commission. ")</f>
        <v>Project tabled pending more information before planning commission. </v>
      </c>
      <c r="AB721" s="1" t="str">
        <f>IFERROR(__xludf.DUMMYFUNCTION("""COMPUTED_VALUE"""),"")</f>
        <v/>
      </c>
      <c r="AC721" s="1" t="str">
        <f>IFERROR(__xludf.DUMMYFUNCTION("""COMPUTED_VALUE"""),"")</f>
        <v/>
      </c>
      <c r="AD721" s="2" t="str">
        <f>IFERROR(__xludf.DUMMYFUNCTION("""COMPUTED_VALUE"""),"https://www.facebook.com/groups/wilmingtondatacenter")</f>
        <v>https://www.facebook.com/groups/wilmingtondatacenter</v>
      </c>
      <c r="AE721" s="2" t="str">
        <f>IFERROR(__xludf.DUMMYFUNCTION("""COMPUTED_VALUE"""),"https://wilmingtondatacenter.org/")</f>
        <v>https://wilmingtondatacenter.org/</v>
      </c>
      <c r="AF721" s="1" t="str">
        <f>IFERROR(__xludf.DUMMYFUNCTION("""COMPUTED_VALUE"""),"")</f>
        <v/>
      </c>
      <c r="AG721" s="1" t="str">
        <f>IFERROR(__xludf.DUMMYFUNCTION("""COMPUTED_VALUE"""),"")</f>
        <v/>
      </c>
      <c r="AH721" s="1" t="str">
        <f>IFERROR(__xludf.DUMMYFUNCTION("""COMPUTED_VALUE"""),"Media Monitoring")</f>
        <v>Media Monitoring</v>
      </c>
      <c r="AI721" s="2" t="str">
        <f>IFERROR(__xludf.DUMMYFUNCTION("""COMPUTED_VALUE"""),"https://www.datacenterdynamics.com/en/news/wilmington-city-council-postpones-vote-on-aws-data-center-in-southwest-ohio/")</f>
        <v>https://www.datacenterdynamics.com/en/news/wilmington-city-council-postpones-vote-on-aws-data-center-in-southwest-ohio/</v>
      </c>
      <c r="AJ721" s="2" t="str">
        <f>IFERROR(__xludf.DUMMYFUNCTION("""COMPUTED_VALUE"""),"https://www.stayinspirednews.com/she-refuses-to-stay-quiet-about-a-4-billion-ai-data-center-coming-to-her-small-town-in-wilmington-ohio/")</f>
        <v>https://www.stayinspirednews.com/she-refuses-to-stay-quiet-about-a-4-billion-ai-data-center-coming-to-her-small-town-in-wilmington-ohio/</v>
      </c>
      <c r="AK721" s="2" t="str">
        <f>IFERROR(__xludf.DUMMYFUNCTION("""COMPUTED_VALUE"""),"https://www.stayinspirednews.com/content/files/2025/12/Wilmington-Ohio-Open-Letter-Dec-15-2025-FINAL.pdf")</f>
        <v>https://www.stayinspirednews.com/content/files/2025/12/Wilmington-Ohio-Open-Letter-Dec-15-2025-FINAL.pdf</v>
      </c>
      <c r="AL721" s="1" t="str">
        <f>IFERROR(__xludf.DUMMYFUNCTION("""COMPUTED_VALUE"""),"")</f>
        <v/>
      </c>
      <c r="AM721" s="2" t="str">
        <f>IFERROR(__xludf.DUMMYFUNCTION("""COMPUTED_VALUE"""),"https://www.datacenterdynamics.com/en/news/aws-data-center-project-tabled-in-wilmington-ohio/")</f>
        <v>https://www.datacenterdynamics.com/en/news/aws-data-center-project-tabled-in-wilmington-ohio/</v>
      </c>
      <c r="AN721" s="1" t="str">
        <f>IFERROR(__xludf.DUMMYFUNCTION("""COMPUTED_VALUE"""),"")</f>
        <v/>
      </c>
      <c r="AO721" s="1" t="str">
        <f>IFERROR(__xludf.DUMMYFUNCTION("""COMPUTED_VALUE"""),"")</f>
        <v/>
      </c>
      <c r="AP721" s="1" t="str">
        <f>IFERROR(__xludf.DUMMYFUNCTION("""COMPUTED_VALUE"""),"")</f>
        <v/>
      </c>
      <c r="AQ721" s="1" t="str">
        <f>IFERROR(__xludf.DUMMYFUNCTION("""COMPUTED_VALUE"""),"12/08/2025")</f>
        <v>12/08/2025</v>
      </c>
      <c r="AR721" s="1" t="str">
        <f>IFERROR(__xludf.DUMMYFUNCTION("""COMPUTED_VALUE"""),"03/23/2026")</f>
        <v>03/23/2026</v>
      </c>
    </row>
    <row r="722">
      <c r="A722" s="1" t="str">
        <f>IFERROR(__xludf.DUMMYFUNCTION("""COMPUTED_VALUE"""),"Sammis Power Plant Data Center")</f>
        <v>Sammis Power Plant Data Center</v>
      </c>
      <c r="B722" s="1" t="str">
        <f>IFERROR(__xludf.DUMMYFUNCTION("""COMPUTED_VALUE"""),"OH-7")</f>
        <v>OH-7</v>
      </c>
      <c r="C722" s="1" t="str">
        <f>IFERROR(__xludf.DUMMYFUNCTION("""COMPUTED_VALUE"""),"Stratton")</f>
        <v>Stratton</v>
      </c>
      <c r="D722" s="1" t="str">
        <f>IFERROR(__xludf.DUMMYFUNCTION("""COMPUTED_VALUE"""),"OH ")</f>
        <v>OH </v>
      </c>
      <c r="E722" s="1" t="str">
        <f>IFERROR(__xludf.DUMMYFUNCTION("""COMPUTED_VALUE"""),"43961")</f>
        <v>43961</v>
      </c>
      <c r="F722" s="1" t="str">
        <f>IFERROR(__xludf.DUMMYFUNCTION("""COMPUTED_VALUE"""),"Jefferson")</f>
        <v>Jefferson</v>
      </c>
      <c r="G722" s="1" t="str">
        <f>IFERROR(__xludf.DUMMYFUNCTION("""COMPUTED_VALUE"""),"40.528168")</f>
        <v>40.528168</v>
      </c>
      <c r="H722" s="1" t="str">
        <f>IFERROR(__xludf.DUMMYFUNCTION("""COMPUTED_VALUE"""),"-80.62949")</f>
        <v>-80.62949</v>
      </c>
      <c r="I722" s="1" t="str">
        <f>IFERROR(__xludf.DUMMYFUNCTION("""COMPUTED_VALUE"""),"Proposed")</f>
        <v>Proposed</v>
      </c>
      <c r="J722" s="1" t="str">
        <f>IFERROR(__xludf.DUMMYFUNCTION("""COMPUTED_VALUE"""),"High")</f>
        <v>High</v>
      </c>
      <c r="K722" s="1" t="str">
        <f>IFERROR(__xludf.DUMMYFUNCTION("""COMPUTED_VALUE"""),"")</f>
        <v/>
      </c>
      <c r="L722" s="1" t="str">
        <f>IFERROR(__xludf.DUMMYFUNCTION("""COMPUTED_VALUE"""),"")</f>
        <v/>
      </c>
      <c r="M722" s="1" t="str">
        <f>IFERROR(__xludf.DUMMYFUNCTION("""COMPUTED_VALUE"""),"")</f>
        <v/>
      </c>
      <c r="N722" s="1" t="str">
        <f>IFERROR(__xludf.DUMMYFUNCTION("""COMPUTED_VALUE"""),"")</f>
        <v/>
      </c>
      <c r="O722" s="1" t="str">
        <f>IFERROR(__xludf.DUMMYFUNCTION("""COMPUTED_VALUE"""),"Unknown")</f>
        <v>Unknown</v>
      </c>
      <c r="P722" s="1" t="str">
        <f>IFERROR(__xludf.DUMMYFUNCTION("""COMPUTED_VALUE"""),"")</f>
        <v/>
      </c>
      <c r="Q722" s="1" t="str">
        <f>IFERROR(__xludf.DUMMYFUNCTION("""COMPUTED_VALUE"""),"")</f>
        <v/>
      </c>
      <c r="R722" s="1" t="str">
        <f>IFERROR(__xludf.DUMMYFUNCTION("""COMPUTED_VALUE"""),"")</f>
        <v/>
      </c>
      <c r="S722" s="1" t="str">
        <f>IFERROR(__xludf.DUMMYFUNCTION("""COMPUTED_VALUE"""),"")</f>
        <v/>
      </c>
      <c r="T722" s="1" t="str">
        <f>IFERROR(__xludf.DUMMYFUNCTION("""COMPUTED_VALUE"""),"")</f>
        <v/>
      </c>
      <c r="U722" s="1" t="str">
        <f>IFERROR(__xludf.DUMMYFUNCTION("""COMPUTED_VALUE"""),"")</f>
        <v/>
      </c>
      <c r="V722" s="1" t="str">
        <f>IFERROR(__xludf.DUMMYFUNCTION("""COMPUTED_VALUE"""),"")</f>
        <v/>
      </c>
      <c r="W722" s="1" t="str">
        <f>IFERROR(__xludf.DUMMYFUNCTION("""COMPUTED_VALUE"""),"")</f>
        <v/>
      </c>
      <c r="X722" s="1" t="str">
        <f>IFERROR(__xludf.DUMMYFUNCTION("""COMPUTED_VALUE"""),"")</f>
        <v/>
      </c>
      <c r="Y722" s="1" t="str">
        <f>IFERROR(__xludf.DUMMYFUNCTION("""COMPUTED_VALUE"""),"")</f>
        <v/>
      </c>
      <c r="Z722" s="1" t="str">
        <f>IFERROR(__xludf.DUMMYFUNCTION("""COMPUTED_VALUE"""),"Unknown")</f>
        <v>Unknown</v>
      </c>
      <c r="AA722" s="1" t="str">
        <f>IFERROR(__xludf.DUMMYFUNCTION("""COMPUTED_VALUE"""),"")</f>
        <v/>
      </c>
      <c r="AB722" s="1" t="str">
        <f>IFERROR(__xludf.DUMMYFUNCTION("""COMPUTED_VALUE"""),"")</f>
        <v/>
      </c>
      <c r="AC722" s="1" t="str">
        <f>IFERROR(__xludf.DUMMYFUNCTION("""COMPUTED_VALUE"""),"")</f>
        <v/>
      </c>
      <c r="AD722" s="1" t="str">
        <f>IFERROR(__xludf.DUMMYFUNCTION("""COMPUTED_VALUE"""),"")</f>
        <v/>
      </c>
      <c r="AE722" s="1" t="str">
        <f>IFERROR(__xludf.DUMMYFUNCTION("""COMPUTED_VALUE"""),"")</f>
        <v/>
      </c>
      <c r="AF722" s="1" t="str">
        <f>IFERROR(__xludf.DUMMYFUNCTION("""COMPUTED_VALUE"""),"")</f>
        <v/>
      </c>
      <c r="AG722" s="1" t="str">
        <f>IFERROR(__xludf.DUMMYFUNCTION("""COMPUTED_VALUE"""),"The current owners of the former Sammis Power Plant property are hoping to bring a data center to Jefferson County by making sure it is one of Ohio’s priority investment areas.")</f>
        <v>The current owners of the former Sammis Power Plant property are hoping to bring a data center to Jefferson County by making sure it is one of Ohio’s priority investment areas.</v>
      </c>
      <c r="AH722" s="1" t="str">
        <f>IFERROR(__xludf.DUMMYFUNCTION("""COMPUTED_VALUE"""),"Crowdsourced")</f>
        <v>Crowdsourced</v>
      </c>
      <c r="AI722" s="2" t="str">
        <f>IFERROR(__xludf.DUMMYFUNCTION("""COMPUTED_VALUE"""),"https://www.theintelligencer.net/news/community/2025/06/opportunities-eyed-for-former-w-h-sammis-plant-site-in-stratton/")</f>
        <v>https://www.theintelligencer.net/news/community/2025/06/opportunities-eyed-for-former-w-h-sammis-plant-site-in-stratton/</v>
      </c>
      <c r="AJ722" s="1" t="str">
        <f>IFERROR(__xludf.DUMMYFUNCTION("""COMPUTED_VALUE"""),"")</f>
        <v/>
      </c>
      <c r="AK722" s="1" t="str">
        <f>IFERROR(__xludf.DUMMYFUNCTION("""COMPUTED_VALUE"""),"")</f>
        <v/>
      </c>
      <c r="AL722" s="1" t="str">
        <f>IFERROR(__xludf.DUMMYFUNCTION("""COMPUTED_VALUE"""),"")</f>
        <v/>
      </c>
      <c r="AM722" s="1" t="str">
        <f>IFERROR(__xludf.DUMMYFUNCTION("""COMPUTED_VALUE"""),"")</f>
        <v/>
      </c>
      <c r="AN722" s="1" t="str">
        <f>IFERROR(__xludf.DUMMYFUNCTION("""COMPUTED_VALUE"""),"")</f>
        <v/>
      </c>
      <c r="AO722" s="1" t="str">
        <f>IFERROR(__xludf.DUMMYFUNCTION("""COMPUTED_VALUE"""),"")</f>
        <v/>
      </c>
      <c r="AP722" s="1" t="str">
        <f>IFERROR(__xludf.DUMMYFUNCTION("""COMPUTED_VALUE"""),"")</f>
        <v/>
      </c>
      <c r="AQ722" s="1" t="str">
        <f>IFERROR(__xludf.DUMMYFUNCTION("""COMPUTED_VALUE"""),"05/19/2026")</f>
        <v>05/19/2026</v>
      </c>
      <c r="AR722" s="1" t="str">
        <f>IFERROR(__xludf.DUMMYFUNCTION("""COMPUTED_VALUE"""),"05/19/2026")</f>
        <v>05/19/2026</v>
      </c>
    </row>
    <row r="723">
      <c r="A723" s="1" t="str">
        <f>IFERROR(__xludf.DUMMYFUNCTION("""COMPUTED_VALUE"""),"Waterville Data Center")</f>
        <v>Waterville Data Center</v>
      </c>
      <c r="B723" s="1" t="str">
        <f>IFERROR(__xludf.DUMMYFUNCTION("""COMPUTED_VALUE"""),"")</f>
        <v/>
      </c>
      <c r="C723" s="1" t="str">
        <f>IFERROR(__xludf.DUMMYFUNCTION("""COMPUTED_VALUE"""),"Waterville")</f>
        <v>Waterville</v>
      </c>
      <c r="D723" s="1" t="str">
        <f>IFERROR(__xludf.DUMMYFUNCTION("""COMPUTED_VALUE"""),"OH ")</f>
        <v>OH </v>
      </c>
      <c r="E723" s="1" t="str">
        <f>IFERROR(__xludf.DUMMYFUNCTION("""COMPUTED_VALUE"""),"43566")</f>
        <v>43566</v>
      </c>
      <c r="F723" s="1" t="str">
        <f>IFERROR(__xludf.DUMMYFUNCTION("""COMPUTED_VALUE"""),"Lucas")</f>
        <v>Lucas</v>
      </c>
      <c r="G723" s="1" t="str">
        <f>IFERROR(__xludf.DUMMYFUNCTION("""COMPUTED_VALUE"""),"41.498295")</f>
        <v>41.498295</v>
      </c>
      <c r="H723" s="1" t="str">
        <f>IFERROR(__xludf.DUMMYFUNCTION("""COMPUTED_VALUE"""),"-83.75243")</f>
        <v>-83.75243</v>
      </c>
      <c r="I723" s="1" t="str">
        <f>IFERROR(__xludf.DUMMYFUNCTION("""COMPUTED_VALUE"""),"Pre-proposal")</f>
        <v>Pre-proposal</v>
      </c>
      <c r="J723" s="1" t="str">
        <f>IFERROR(__xludf.DUMMYFUNCTION("""COMPUTED_VALUE"""),"Medium")</f>
        <v>Medium</v>
      </c>
      <c r="K723" s="1" t="str">
        <f>IFERROR(__xludf.DUMMYFUNCTION("""COMPUTED_VALUE"""),"")</f>
        <v/>
      </c>
      <c r="L723" s="1" t="str">
        <f>IFERROR(__xludf.DUMMYFUNCTION("""COMPUTED_VALUE"""),"")</f>
        <v/>
      </c>
      <c r="M723" s="1" t="str">
        <f>IFERROR(__xludf.DUMMYFUNCTION("""COMPUTED_VALUE"""),"")</f>
        <v/>
      </c>
      <c r="N723" s="1" t="str">
        <f>IFERROR(__xludf.DUMMYFUNCTION("""COMPUTED_VALUE"""),"")</f>
        <v/>
      </c>
      <c r="O723" s="1" t="str">
        <f>IFERROR(__xludf.DUMMYFUNCTION("""COMPUTED_VALUE"""),"Hyperscale (100-999 MW)")</f>
        <v>Hyperscale (100-999 MW)</v>
      </c>
      <c r="P723" s="1" t="str">
        <f>IFERROR(__xludf.DUMMYFUNCTION("""COMPUTED_VALUE"""),"")</f>
        <v/>
      </c>
      <c r="Q723" s="1" t="str">
        <f>IFERROR(__xludf.DUMMYFUNCTION("""COMPUTED_VALUE"""),"")</f>
        <v/>
      </c>
      <c r="R723" s="1" t="str">
        <f>IFERROR(__xludf.DUMMYFUNCTION("""COMPUTED_VALUE"""),"")</f>
        <v/>
      </c>
      <c r="S723" s="1" t="str">
        <f>IFERROR(__xludf.DUMMYFUNCTION("""COMPUTED_VALUE"""),"")</f>
        <v/>
      </c>
      <c r="T723" s="1" t="str">
        <f>IFERROR(__xludf.DUMMYFUNCTION("""COMPUTED_VALUE"""),"")</f>
        <v/>
      </c>
      <c r="U723" s="1" t="str">
        <f>IFERROR(__xludf.DUMMYFUNCTION("""COMPUTED_VALUE"""),"")</f>
        <v/>
      </c>
      <c r="V723" s="1" t="str">
        <f>IFERROR(__xludf.DUMMYFUNCTION("""COMPUTED_VALUE"""),"")</f>
        <v/>
      </c>
      <c r="W723" s="1" t="str">
        <f>IFERROR(__xludf.DUMMYFUNCTION("""COMPUTED_VALUE"""),"")</f>
        <v/>
      </c>
      <c r="X723" s="1" t="str">
        <f>IFERROR(__xludf.DUMMYFUNCTION("""COMPUTED_VALUE"""),"")</f>
        <v/>
      </c>
      <c r="Y723" s="1" t="str">
        <f>IFERROR(__xludf.DUMMYFUNCTION("""COMPUTED_VALUE"""),"")</f>
        <v/>
      </c>
      <c r="Z723" s="1" t="str">
        <f>IFERROR(__xludf.DUMMYFUNCTION("""COMPUTED_VALUE"""),"Yes")</f>
        <v>Yes</v>
      </c>
      <c r="AA723" s="1" t="str">
        <f>IFERROR(__xludf.DUMMYFUNCTION("""COMPUTED_VALUE"""),"")</f>
        <v/>
      </c>
      <c r="AB723" s="1" t="str">
        <f>IFERROR(__xludf.DUMMYFUNCTION("""COMPUTED_VALUE"""),"")</f>
        <v/>
      </c>
      <c r="AC723" s="1" t="str">
        <f>IFERROR(__xludf.DUMMYFUNCTION("""COMPUTED_VALUE"""),"")</f>
        <v/>
      </c>
      <c r="AD723" s="2" t="str">
        <f>IFERROR(__xludf.DUMMYFUNCTION("""COMPUTED_VALUE"""),"https://www.noawdatacenters.org/")</f>
        <v>https://www.noawdatacenters.org/</v>
      </c>
      <c r="AE723" s="1" t="str">
        <f>IFERROR(__xludf.DUMMYFUNCTION("""COMPUTED_VALUE"""),"")</f>
        <v/>
      </c>
      <c r="AF723" s="1" t="str">
        <f>IFERROR(__xludf.DUMMYFUNCTION("""COMPUTED_VALUE"""),"")</f>
        <v/>
      </c>
      <c r="AG723" s="1" t="str">
        <f>IFERROR(__xludf.DUMMYFUNCTION("""COMPUTED_VALUE"""),"Limited public details are available. See documents obtained in a public records request on this data center here (https://drive.google.com/drive/folders/156QHBWS2dY3AQQeMY_COWCzk8NsozaPI?usp=drive_link)")</f>
        <v>Limited public details are available. See documents obtained in a public records request on this data center here (https://drive.google.com/drive/folders/156QHBWS2dY3AQQeMY_COWCzk8NsozaPI?usp=drive_link)</v>
      </c>
      <c r="AH723" s="1" t="str">
        <f>IFERROR(__xludf.DUMMYFUNCTION("""COMPUTED_VALUE"""),"FOIA/ public records request")</f>
        <v>FOIA/ public records request</v>
      </c>
      <c r="AI723" s="2" t="str">
        <f>IFERROR(__xludf.DUMMYFUNCTION("""COMPUTED_VALUE"""),"https://www.toledoblade.com/local/suburbs/2026/04/23/data-center-discussion-company-is-interested-waterville-township/stories/20260423024")</f>
        <v>https://www.toledoblade.com/local/suburbs/2026/04/23/data-center-discussion-company-is-interested-waterville-township/stories/20260423024</v>
      </c>
      <c r="AJ723" s="1" t="str">
        <f>IFERROR(__xludf.DUMMYFUNCTION("""COMPUTED_VALUE"""),"")</f>
        <v/>
      </c>
      <c r="AK723" s="1" t="str">
        <f>IFERROR(__xludf.DUMMYFUNCTION("""COMPUTED_VALUE"""),"")</f>
        <v/>
      </c>
      <c r="AL723" s="1" t="str">
        <f>IFERROR(__xludf.DUMMYFUNCTION("""COMPUTED_VALUE"""),"")</f>
        <v/>
      </c>
      <c r="AM723" s="1" t="str">
        <f>IFERROR(__xludf.DUMMYFUNCTION("""COMPUTED_VALUE"""),"")</f>
        <v/>
      </c>
      <c r="AN723" s="1" t="str">
        <f>IFERROR(__xludf.DUMMYFUNCTION("""COMPUTED_VALUE"""),"")</f>
        <v/>
      </c>
      <c r="AO723" s="1" t="str">
        <f>IFERROR(__xludf.DUMMYFUNCTION("""COMPUTED_VALUE"""),"")</f>
        <v/>
      </c>
      <c r="AP723" s="1" t="str">
        <f>IFERROR(__xludf.DUMMYFUNCTION("""COMPUTED_VALUE"""),"")</f>
        <v/>
      </c>
      <c r="AQ723" s="1" t="str">
        <f>IFERROR(__xludf.DUMMYFUNCTION("""COMPUTED_VALUE"""),"05/06/2026")</f>
        <v>05/06/2026</v>
      </c>
      <c r="AR723" s="1" t="str">
        <f>IFERROR(__xludf.DUMMYFUNCTION("""COMPUTED_VALUE"""),"05/06/2026")</f>
        <v>05/06/2026</v>
      </c>
    </row>
    <row r="724">
      <c r="A724" s="1" t="str">
        <f>IFERROR(__xludf.DUMMYFUNCTION("""COMPUTED_VALUE"""),"Broken Arrow Data Center")</f>
        <v>Broken Arrow Data Center</v>
      </c>
      <c r="B724" s="1" t="str">
        <f>IFERROR(__xludf.DUMMYFUNCTION("""COMPUTED_VALUE"""),"Creek Tpke and Hwy 51")</f>
        <v>Creek Tpke and Hwy 51</v>
      </c>
      <c r="C724" s="1" t="str">
        <f>IFERROR(__xludf.DUMMYFUNCTION("""COMPUTED_VALUE"""),"Broken Arrow")</f>
        <v>Broken Arrow</v>
      </c>
      <c r="D724" s="1" t="str">
        <f>IFERROR(__xludf.DUMMYFUNCTION("""COMPUTED_VALUE"""),"OK")</f>
        <v>OK</v>
      </c>
      <c r="E724" s="1" t="str">
        <f>IFERROR(__xludf.DUMMYFUNCTION("""COMPUTED_VALUE"""),"")</f>
        <v/>
      </c>
      <c r="F724" s="1" t="str">
        <f>IFERROR(__xludf.DUMMYFUNCTION("""COMPUTED_VALUE"""),"Wagoner")</f>
        <v>Wagoner</v>
      </c>
      <c r="G724" s="1" t="str">
        <f>IFERROR(__xludf.DUMMYFUNCTION("""COMPUTED_VALUE"""),"36.03942")</f>
        <v>36.03942</v>
      </c>
      <c r="H724" s="1" t="str">
        <f>IFERROR(__xludf.DUMMYFUNCTION("""COMPUTED_VALUE"""),"-95.74154")</f>
        <v>-95.74154</v>
      </c>
      <c r="I724" s="1" t="str">
        <f>IFERROR(__xludf.DUMMYFUNCTION("""COMPUTED_VALUE"""),"Proposed")</f>
        <v>Proposed</v>
      </c>
      <c r="J724" s="1" t="str">
        <f>IFERROR(__xludf.DUMMYFUNCTION("""COMPUTED_VALUE"""),"Medium")</f>
        <v>Medium</v>
      </c>
      <c r="K724" s="1" t="str">
        <f>IFERROR(__xludf.DUMMYFUNCTION("""COMPUTED_VALUE"""),"")</f>
        <v/>
      </c>
      <c r="L724" s="1" t="str">
        <f>IFERROR(__xludf.DUMMYFUNCTION("""COMPUTED_VALUE"""),"")</f>
        <v/>
      </c>
      <c r="M724" s="1" t="str">
        <f>IFERROR(__xludf.DUMMYFUNCTION("""COMPUTED_VALUE"""),"")</f>
        <v/>
      </c>
      <c r="N724" s="1" t="str">
        <f>IFERROR(__xludf.DUMMYFUNCTION("""COMPUTED_VALUE"""),"")</f>
        <v/>
      </c>
      <c r="O724" s="1" t="str">
        <f>IFERROR(__xludf.DUMMYFUNCTION("""COMPUTED_VALUE"""),"Unknown")</f>
        <v>Unknown</v>
      </c>
      <c r="P724" s="1" t="str">
        <f>IFERROR(__xludf.DUMMYFUNCTION("""COMPUTED_VALUE"""),"")</f>
        <v/>
      </c>
      <c r="Q724" s="1" t="str">
        <f>IFERROR(__xludf.DUMMYFUNCTION("""COMPUTED_VALUE"""),"")</f>
        <v/>
      </c>
      <c r="R724" s="1" t="str">
        <f>IFERROR(__xludf.DUMMYFUNCTION("""COMPUTED_VALUE"""),"")</f>
        <v/>
      </c>
      <c r="S724" s="1" t="str">
        <f>IFERROR(__xludf.DUMMYFUNCTION("""COMPUTED_VALUE"""),"")</f>
        <v/>
      </c>
      <c r="T724" s="1" t="str">
        <f>IFERROR(__xludf.DUMMYFUNCTION("""COMPUTED_VALUE"""),"")</f>
        <v/>
      </c>
      <c r="U724" s="1" t="str">
        <f>IFERROR(__xludf.DUMMYFUNCTION("""COMPUTED_VALUE"""),"")</f>
        <v/>
      </c>
      <c r="V724" s="1" t="str">
        <f>IFERROR(__xludf.DUMMYFUNCTION("""COMPUTED_VALUE"""),"")</f>
        <v/>
      </c>
      <c r="W724" s="1" t="str">
        <f>IFERROR(__xludf.DUMMYFUNCTION("""COMPUTED_VALUE"""),"")</f>
        <v/>
      </c>
      <c r="X724" s="1" t="str">
        <f>IFERROR(__xludf.DUMMYFUNCTION("""COMPUTED_VALUE"""),"")</f>
        <v/>
      </c>
      <c r="Y724" s="1" t="str">
        <f>IFERROR(__xludf.DUMMYFUNCTION("""COMPUTED_VALUE"""),"")</f>
        <v/>
      </c>
      <c r="Z724" s="1" t="str">
        <f>IFERROR(__xludf.DUMMYFUNCTION("""COMPUTED_VALUE"""),"Unknown")</f>
        <v>Unknown</v>
      </c>
      <c r="AA724" s="1" t="str">
        <f>IFERROR(__xludf.DUMMYFUNCTION("""COMPUTED_VALUE"""),"")</f>
        <v/>
      </c>
      <c r="AB724" s="1" t="str">
        <f>IFERROR(__xludf.DUMMYFUNCTION("""COMPUTED_VALUE"""),"")</f>
        <v/>
      </c>
      <c r="AC724" s="1" t="str">
        <f>IFERROR(__xludf.DUMMYFUNCTION("""COMPUTED_VALUE"""),"")</f>
        <v/>
      </c>
      <c r="AD724" s="1" t="str">
        <f>IFERROR(__xludf.DUMMYFUNCTION("""COMPUTED_VALUE"""),"")</f>
        <v/>
      </c>
      <c r="AE724" s="1" t="str">
        <f>IFERROR(__xludf.DUMMYFUNCTION("""COMPUTED_VALUE"""),"")</f>
        <v/>
      </c>
      <c r="AF724" s="1" t="str">
        <f>IFERROR(__xludf.DUMMYFUNCTION("""COMPUTED_VALUE"""),"")</f>
        <v/>
      </c>
      <c r="AG724" s="1" t="str">
        <f>IFERROR(__xludf.DUMMYFUNCTION("""COMPUTED_VALUE"""),"")</f>
        <v/>
      </c>
      <c r="AH724" s="1" t="str">
        <f>IFERROR(__xludf.DUMMYFUNCTION("""COMPUTED_VALUE"""),"Media Monitoring")</f>
        <v>Media Monitoring</v>
      </c>
      <c r="AI724" s="2" t="str">
        <f>IFERROR(__xludf.DUMMYFUNCTION("""COMPUTED_VALUE"""),"https://www.datacenterdynamics.com/en/news/developer-eyes-broken-arrow-oklahoma-for-new-data-center-development/")</f>
        <v>https://www.datacenterdynamics.com/en/news/developer-eyes-broken-arrow-oklahoma-for-new-data-center-development/</v>
      </c>
      <c r="AJ724" s="1" t="str">
        <f>IFERROR(__xludf.DUMMYFUNCTION("""COMPUTED_VALUE"""),"")</f>
        <v/>
      </c>
      <c r="AK724" s="1" t="str">
        <f>IFERROR(__xludf.DUMMYFUNCTION("""COMPUTED_VALUE"""),"")</f>
        <v/>
      </c>
      <c r="AL724" s="1" t="str">
        <f>IFERROR(__xludf.DUMMYFUNCTION("""COMPUTED_VALUE"""),"")</f>
        <v/>
      </c>
      <c r="AM724" s="1" t="str">
        <f>IFERROR(__xludf.DUMMYFUNCTION("""COMPUTED_VALUE"""),"")</f>
        <v/>
      </c>
      <c r="AN724" s="1" t="str">
        <f>IFERROR(__xludf.DUMMYFUNCTION("""COMPUTED_VALUE"""),"")</f>
        <v/>
      </c>
      <c r="AO724" s="1" t="str">
        <f>IFERROR(__xludf.DUMMYFUNCTION("""COMPUTED_VALUE"""),"")</f>
        <v/>
      </c>
      <c r="AP724" s="1" t="str">
        <f>IFERROR(__xludf.DUMMYFUNCTION("""COMPUTED_VALUE"""),"")</f>
        <v/>
      </c>
      <c r="AQ724" s="1" t="str">
        <f>IFERROR(__xludf.DUMMYFUNCTION("""COMPUTED_VALUE"""),"05/12/2026")</f>
        <v>05/12/2026</v>
      </c>
      <c r="AR724" s="1" t="str">
        <f>IFERROR(__xludf.DUMMYFUNCTION("""COMPUTED_VALUE"""),"05/12/2026")</f>
        <v>05/12/2026</v>
      </c>
    </row>
    <row r="725">
      <c r="A725" s="1" t="str">
        <f>IFERROR(__xludf.DUMMYFUNCTION("""COMPUTED_VALUE"""),"Project Anthem")</f>
        <v>Project Anthem</v>
      </c>
      <c r="B725" s="1" t="str">
        <f>IFERROR(__xludf.DUMMYFUNCTION("""COMPUTED_VALUE"""),"E 11th St")</f>
        <v>E 11th St</v>
      </c>
      <c r="C725" s="1" t="str">
        <f>IFERROR(__xludf.DUMMYFUNCTION("""COMPUTED_VALUE"""),"Cartoosa")</f>
        <v>Cartoosa</v>
      </c>
      <c r="D725" s="1" t="str">
        <f>IFERROR(__xludf.DUMMYFUNCTION("""COMPUTED_VALUE"""),"OK")</f>
        <v>OK</v>
      </c>
      <c r="E725" s="1" t="str">
        <f>IFERROR(__xludf.DUMMYFUNCTION("""COMPUTED_VALUE"""),"74015")</f>
        <v>74015</v>
      </c>
      <c r="F725" s="1" t="str">
        <f>IFERROR(__xludf.DUMMYFUNCTION("""COMPUTED_VALUE"""),"Wagoner")</f>
        <v>Wagoner</v>
      </c>
      <c r="G725" s="1" t="str">
        <f>IFERROR(__xludf.DUMMYFUNCTION("""COMPUTED_VALUE"""),"36.14817")</f>
        <v>36.14817</v>
      </c>
      <c r="H725" s="1" t="str">
        <f>IFERROR(__xludf.DUMMYFUNCTION("""COMPUTED_VALUE"""),"-95.7338")</f>
        <v>-95.7338</v>
      </c>
      <c r="I725" s="1" t="str">
        <f>IFERROR(__xludf.DUMMYFUNCTION("""COMPUTED_VALUE"""),"Approved/Permitted/Under construction")</f>
        <v>Approved/Permitted/Under construction</v>
      </c>
      <c r="J725" s="1" t="str">
        <f>IFERROR(__xludf.DUMMYFUNCTION("""COMPUTED_VALUE"""),"High")</f>
        <v>High</v>
      </c>
      <c r="K725" s="1" t="str">
        <f>IFERROR(__xludf.DUMMYFUNCTION("""COMPUTED_VALUE"""),"")</f>
        <v/>
      </c>
      <c r="L725" s="1" t="str">
        <f>IFERROR(__xludf.DUMMYFUNCTION("""COMPUTED_VALUE"""),"")</f>
        <v/>
      </c>
      <c r="M725" s="1" t="str">
        <f>IFERROR(__xludf.DUMMYFUNCTION("""COMPUTED_VALUE"""),"")</f>
        <v/>
      </c>
      <c r="N725" s="1" t="str">
        <f>IFERROR(__xludf.DUMMYFUNCTION("""COMPUTED_VALUE"""),"")</f>
        <v/>
      </c>
      <c r="O725" s="1" t="str">
        <f>IFERROR(__xludf.DUMMYFUNCTION("""COMPUTED_VALUE"""),"Unknown")</f>
        <v>Unknown</v>
      </c>
      <c r="P725" s="1" t="str">
        <f>IFERROR(__xludf.DUMMYFUNCTION("""COMPUTED_VALUE"""),"")</f>
        <v/>
      </c>
      <c r="Q725" s="1" t="str">
        <f>IFERROR(__xludf.DUMMYFUNCTION("""COMPUTED_VALUE"""),"")</f>
        <v/>
      </c>
      <c r="R725" s="1" t="str">
        <f>IFERROR(__xludf.DUMMYFUNCTION("""COMPUTED_VALUE"""),"")</f>
        <v/>
      </c>
      <c r="S725" s="1" t="str">
        <f>IFERROR(__xludf.DUMMYFUNCTION("""COMPUTED_VALUE"""),"")</f>
        <v/>
      </c>
      <c r="T725" s="1" t="str">
        <f>IFERROR(__xludf.DUMMYFUNCTION("""COMPUTED_VALUE"""),"")</f>
        <v/>
      </c>
      <c r="U725" s="1" t="str">
        <f>IFERROR(__xludf.DUMMYFUNCTION("""COMPUTED_VALUE"""),"")</f>
        <v/>
      </c>
      <c r="V725" s="1" t="str">
        <f>IFERROR(__xludf.DUMMYFUNCTION("""COMPUTED_VALUE"""),"")</f>
        <v/>
      </c>
      <c r="W725" s="1" t="str">
        <f>IFERROR(__xludf.DUMMYFUNCTION("""COMPUTED_VALUE"""),"340")</f>
        <v>340</v>
      </c>
      <c r="X725" s="1" t="str">
        <f>IFERROR(__xludf.DUMMYFUNCTION("""COMPUTED_VALUE"""),"")</f>
        <v/>
      </c>
      <c r="Y725" s="1" t="str">
        <f>IFERROR(__xludf.DUMMYFUNCTION("""COMPUTED_VALUE"""),"")</f>
        <v/>
      </c>
      <c r="Z725" s="1" t="str">
        <f>IFERROR(__xludf.DUMMYFUNCTION("""COMPUTED_VALUE"""),"Unknown")</f>
        <v>Unknown</v>
      </c>
      <c r="AA725" s="1" t="str">
        <f>IFERROR(__xludf.DUMMYFUNCTION("""COMPUTED_VALUE"""),"")</f>
        <v/>
      </c>
      <c r="AB725" s="1" t="str">
        <f>IFERROR(__xludf.DUMMYFUNCTION("""COMPUTED_VALUE"""),"")</f>
        <v/>
      </c>
      <c r="AC725" s="1" t="str">
        <f>IFERROR(__xludf.DUMMYFUNCTION("""COMPUTED_VALUE"""),"")</f>
        <v/>
      </c>
      <c r="AD725" s="1" t="str">
        <f>IFERROR(__xludf.DUMMYFUNCTION("""COMPUTED_VALUE"""),"")</f>
        <v/>
      </c>
      <c r="AE725" s="1" t="str">
        <f>IFERROR(__xludf.DUMMYFUNCTION("""COMPUTED_VALUE"""),"")</f>
        <v/>
      </c>
      <c r="AF725" s="1" t="str">
        <f>IFERROR(__xludf.DUMMYFUNCTION("""COMPUTED_VALUE"""),"")</f>
        <v/>
      </c>
      <c r="AG725" s="1" t="str">
        <f>IFERROR(__xludf.DUMMYFUNCTION("""COMPUTED_VALUE"""),"Phase 2 expansion plans scrapped")</f>
        <v>Phase 2 expansion plans scrapped</v>
      </c>
      <c r="AH725" s="1" t="str">
        <f>IFERROR(__xludf.DUMMYFUNCTION("""COMPUTED_VALUE"""),"Media Monitoring")</f>
        <v>Media Monitoring</v>
      </c>
      <c r="AI725" s="2" t="str">
        <f>IFERROR(__xludf.DUMMYFUNCTION("""COMPUTED_VALUE"""),"https://www.datacenterdynamics.com/en/news/340-acre-data-center-campus-planned-in-tulsa-oklahoma/")</f>
        <v>https://www.datacenterdynamics.com/en/news/340-acre-data-center-campus-planned-in-tulsa-oklahoma/</v>
      </c>
      <c r="AJ725" s="2" t="str">
        <f>IFERROR(__xludf.DUMMYFUNCTION("""COMPUTED_VALUE"""),"https://nationaltoday.com/us/ok/tulsa/news/2026/03/30/project-anthem-withdraws-tulsa-data-center-rezoning/")</f>
        <v>https://nationaltoday.com/us/ok/tulsa/news/2026/03/30/project-anthem-withdraws-tulsa-data-center-rezoning/</v>
      </c>
      <c r="AK725" s="2" t="str">
        <f>IFERROR(__xludf.DUMMYFUNCTION("""COMPUTED_VALUE"""),"https://www.fox23.com/news/company-behind-project-anthem-data-center-withdraws-phase-2-rezoning-request/article_5c3efda4-19ec-4f59-b668-261f04f8e88c.html")</f>
        <v>https://www.fox23.com/news/company-behind-project-anthem-data-center-withdraws-phase-2-rezoning-request/article_5c3efda4-19ec-4f59-b668-261f04f8e88c.html</v>
      </c>
      <c r="AL725" s="2" t="str">
        <f>IFERROR(__xludf.DUMMYFUNCTION("""COMPUTED_VALUE"""),"https://www.datacenterdynamics.com/en/news/developer-withdraws-plans-to-build-second-phase-of-500-acre-data-center-in-tulsa-oklahoma/")</f>
        <v>https://www.datacenterdynamics.com/en/news/developer-withdraws-plans-to-build-second-phase-of-500-acre-data-center-in-tulsa-oklahoma/</v>
      </c>
      <c r="AM725" s="1" t="str">
        <f>IFERROR(__xludf.DUMMYFUNCTION("""COMPUTED_VALUE"""),"")</f>
        <v/>
      </c>
      <c r="AN725" s="1" t="str">
        <f>IFERROR(__xludf.DUMMYFUNCTION("""COMPUTED_VALUE"""),"")</f>
        <v/>
      </c>
      <c r="AO725" s="1" t="str">
        <f>IFERROR(__xludf.DUMMYFUNCTION("""COMPUTED_VALUE"""),"")</f>
        <v/>
      </c>
      <c r="AP725" s="1" t="str">
        <f>IFERROR(__xludf.DUMMYFUNCTION("""COMPUTED_VALUE"""),"")</f>
        <v/>
      </c>
      <c r="AQ725" s="1" t="str">
        <f>IFERROR(__xludf.DUMMYFUNCTION("""COMPUTED_VALUE"""),"05/26/2025")</f>
        <v>05/26/2025</v>
      </c>
      <c r="AR725" s="1" t="str">
        <f>IFERROR(__xludf.DUMMYFUNCTION("""COMPUTED_VALUE"""),"03/31/2026")</f>
        <v>03/31/2026</v>
      </c>
    </row>
    <row r="726">
      <c r="A726" s="1" t="str">
        <f>IFERROR(__xludf.DUMMYFUNCTION("""COMPUTED_VALUE"""),"Project Mustang")</f>
        <v>Project Mustang</v>
      </c>
      <c r="B726" s="1" t="str">
        <f>IFERROR(__xludf.DUMMYFUNCTION("""COMPUTED_VALUE"""),"Claremore Industrial Park")</f>
        <v>Claremore Industrial Park</v>
      </c>
      <c r="C726" s="1" t="str">
        <f>IFERROR(__xludf.DUMMYFUNCTION("""COMPUTED_VALUE"""),"Claremore")</f>
        <v>Claremore</v>
      </c>
      <c r="D726" s="1" t="str">
        <f>IFERROR(__xludf.DUMMYFUNCTION("""COMPUTED_VALUE"""),"OK")</f>
        <v>OK</v>
      </c>
      <c r="E726" s="1" t="str">
        <f>IFERROR(__xludf.DUMMYFUNCTION("""COMPUTED_VALUE"""),"74017")</f>
        <v>74017</v>
      </c>
      <c r="F726" s="1" t="str">
        <f>IFERROR(__xludf.DUMMYFUNCTION("""COMPUTED_VALUE"""),"Rogers")</f>
        <v>Rogers</v>
      </c>
      <c r="G726" s="1" t="str">
        <f>IFERROR(__xludf.DUMMYFUNCTION("""COMPUTED_VALUE"""),"36.343464")</f>
        <v>36.343464</v>
      </c>
      <c r="H726" s="1" t="str">
        <f>IFERROR(__xludf.DUMMYFUNCTION("""COMPUTED_VALUE"""),"-95.60581")</f>
        <v>-95.60581</v>
      </c>
      <c r="I726" s="1" t="str">
        <f>IFERROR(__xludf.DUMMYFUNCTION("""COMPUTED_VALUE"""),"Proposed")</f>
        <v>Proposed</v>
      </c>
      <c r="J726" s="1" t="str">
        <f>IFERROR(__xludf.DUMMYFUNCTION("""COMPUTED_VALUE"""),"High")</f>
        <v>High</v>
      </c>
      <c r="K726" s="1" t="str">
        <f>IFERROR(__xludf.DUMMYFUNCTION("""COMPUTED_VALUE"""),"")</f>
        <v/>
      </c>
      <c r="L726" s="1" t="str">
        <f>IFERROR(__xludf.DUMMYFUNCTION("""COMPUTED_VALUE"""),"")</f>
        <v/>
      </c>
      <c r="M726" s="1" t="str">
        <f>IFERROR(__xludf.DUMMYFUNCTION("""COMPUTED_VALUE"""),"")</f>
        <v/>
      </c>
      <c r="N726" s="1" t="str">
        <f>IFERROR(__xludf.DUMMYFUNCTION("""COMPUTED_VALUE"""),"")</f>
        <v/>
      </c>
      <c r="O726" s="1" t="str">
        <f>IFERROR(__xludf.DUMMYFUNCTION("""COMPUTED_VALUE"""),"Unknown")</f>
        <v>Unknown</v>
      </c>
      <c r="P726" s="1" t="str">
        <f>IFERROR(__xludf.DUMMYFUNCTION("""COMPUTED_VALUE"""),"")</f>
        <v/>
      </c>
      <c r="Q726" s="1" t="str">
        <f>IFERROR(__xludf.DUMMYFUNCTION("""COMPUTED_VALUE"""),"")</f>
        <v/>
      </c>
      <c r="R726" s="1" t="str">
        <f>IFERROR(__xludf.DUMMYFUNCTION("""COMPUTED_VALUE"""),"")</f>
        <v/>
      </c>
      <c r="S726" s="1" t="str">
        <f>IFERROR(__xludf.DUMMYFUNCTION("""COMPUTED_VALUE"""),"")</f>
        <v/>
      </c>
      <c r="T726" s="1" t="str">
        <f>IFERROR(__xludf.DUMMYFUNCTION("""COMPUTED_VALUE"""),"")</f>
        <v/>
      </c>
      <c r="U726" s="1" t="str">
        <f>IFERROR(__xludf.DUMMYFUNCTION("""COMPUTED_VALUE"""),"")</f>
        <v/>
      </c>
      <c r="V726" s="1" t="str">
        <f>IFERROR(__xludf.DUMMYFUNCTION("""COMPUTED_VALUE"""),"")</f>
        <v/>
      </c>
      <c r="W726" s="1" t="str">
        <f>IFERROR(__xludf.DUMMYFUNCTION("""COMPUTED_VALUE"""),"")</f>
        <v/>
      </c>
      <c r="X726" s="1" t="str">
        <f>IFERROR(__xludf.DUMMYFUNCTION("""COMPUTED_VALUE"""),"")</f>
        <v/>
      </c>
      <c r="Y726" s="1" t="str">
        <f>IFERROR(__xludf.DUMMYFUNCTION("""COMPUTED_VALUE"""),"2028")</f>
        <v>2028</v>
      </c>
      <c r="Z726" s="1" t="str">
        <f>IFERROR(__xludf.DUMMYFUNCTION("""COMPUTED_VALUE"""),"Yes")</f>
        <v>Yes</v>
      </c>
      <c r="AA726" s="1" t="str">
        <f>IFERROR(__xludf.DUMMYFUNCTION("""COMPUTED_VALUE"""),"")</f>
        <v/>
      </c>
      <c r="AB726" s="1" t="str">
        <f>IFERROR(__xludf.DUMMYFUNCTION("""COMPUTED_VALUE"""),"")</f>
        <v/>
      </c>
      <c r="AC726" s="1" t="str">
        <f>IFERROR(__xludf.DUMMYFUNCTION("""COMPUTED_VALUE"""),"")</f>
        <v/>
      </c>
      <c r="AD726" s="2" t="str">
        <f>IFERROR(__xludf.DUMMYFUNCTION("""COMPUTED_VALUE"""),"https://ktul.com/news/local/claremore-residents-speak-out-against-project-mustang-data-center")</f>
        <v>https://ktul.com/news/local/claremore-residents-speak-out-against-project-mustang-data-center</v>
      </c>
      <c r="AE726" s="1" t="str">
        <f>IFERROR(__xludf.DUMMYFUNCTION("""COMPUTED_VALUE"""),"")</f>
        <v/>
      </c>
      <c r="AF726" s="2" t="str">
        <f>IFERROR(__xludf.DUMMYFUNCTION("""COMPUTED_VALUE"""),"https://www.change.org/p/ban-ai-data-centers-in-rogers-county-permanently")</f>
        <v>https://www.change.org/p/ban-ai-data-centers-in-rogers-county-permanently</v>
      </c>
      <c r="AG726" s="1" t="str">
        <f>IFERROR(__xludf.DUMMYFUNCTION("""COMPUTED_VALUE"""),"")</f>
        <v/>
      </c>
      <c r="AH726" s="1" t="str">
        <f>IFERROR(__xludf.DUMMYFUNCTION("""COMPUTED_VALUE"""),"Media Monitoring")</f>
        <v>Media Monitoring</v>
      </c>
      <c r="AI726" s="2" t="str">
        <f>IFERROR(__xludf.DUMMYFUNCTION("""COMPUTED_VALUE"""),"https://www.datacenterdynamics.com/en/news/beale-infrastructure-in-talks-to-build-data-center-campus-outside-tulsa-oklahoma/")</f>
        <v>https://www.datacenterdynamics.com/en/news/beale-infrastructure-in-talks-to-build-data-center-campus-outside-tulsa-oklahoma/</v>
      </c>
      <c r="AJ726" s="2" t="str">
        <f>IFERROR(__xludf.DUMMYFUNCTION("""COMPUTED_VALUE"""),"https://morestartshere.com/site-selection/claremore-industrial-park/")</f>
        <v>https://morestartshere.com/site-selection/claremore-industrial-park/</v>
      </c>
      <c r="AK726" s="2" t="str">
        <f>IFERROR(__xludf.DUMMYFUNCTION("""COMPUTED_VALUE"""),"https://constructionreviewonline.com/beale-infrastructure-in-talks-to-build-project-mustang-data-center-campus-outside-tulsa-oklahoma/")</f>
        <v>https://constructionreviewonline.com/beale-infrastructure-in-talks-to-build-project-mustang-data-center-campus-outside-tulsa-oklahoma/</v>
      </c>
      <c r="AL726" s="1" t="str">
        <f>IFERROR(__xludf.DUMMYFUNCTION("""COMPUTED_VALUE"""),"")</f>
        <v/>
      </c>
      <c r="AM726" s="1" t="str">
        <f>IFERROR(__xludf.DUMMYFUNCTION("""COMPUTED_VALUE"""),"")</f>
        <v/>
      </c>
      <c r="AN726" s="1" t="str">
        <f>IFERROR(__xludf.DUMMYFUNCTION("""COMPUTED_VALUE"""),"")</f>
        <v/>
      </c>
      <c r="AO726" s="1" t="str">
        <f>IFERROR(__xludf.DUMMYFUNCTION("""COMPUTED_VALUE"""),"")</f>
        <v/>
      </c>
      <c r="AP726" s="1" t="str">
        <f>IFERROR(__xludf.DUMMYFUNCTION("""COMPUTED_VALUE"""),"")</f>
        <v/>
      </c>
      <c r="AQ726" s="1" t="str">
        <f>IFERROR(__xludf.DUMMYFUNCTION("""COMPUTED_VALUE"""),"01/06/2026")</f>
        <v>01/06/2026</v>
      </c>
      <c r="AR726" s="1" t="str">
        <f>IFERROR(__xludf.DUMMYFUNCTION("""COMPUTED_VALUE"""),"02/11/2026")</f>
        <v>02/11/2026</v>
      </c>
    </row>
    <row r="727">
      <c r="A727" s="1" t="str">
        <f>IFERROR(__xludf.DUMMYFUNCTION("""COMPUTED_VALUE"""),"Google Pryor Data Center")</f>
        <v>Google Pryor Data Center</v>
      </c>
      <c r="B727" s="1" t="str">
        <f>IFERROR(__xludf.DUMMYFUNCTION("""COMPUTED_VALUE"""),"4581 Webb St")</f>
        <v>4581 Webb St</v>
      </c>
      <c r="C727" s="1" t="str">
        <f>IFERROR(__xludf.DUMMYFUNCTION("""COMPUTED_VALUE"""),"Lusta")</f>
        <v>Lusta</v>
      </c>
      <c r="D727" s="1" t="str">
        <f>IFERROR(__xludf.DUMMYFUNCTION("""COMPUTED_VALUE"""),"OK")</f>
        <v>OK</v>
      </c>
      <c r="E727" s="1" t="str">
        <f>IFERROR(__xludf.DUMMYFUNCTION("""COMPUTED_VALUE"""),"74361")</f>
        <v>74361</v>
      </c>
      <c r="F727" s="1" t="str">
        <f>IFERROR(__xludf.DUMMYFUNCTION("""COMPUTED_VALUE"""),"Mayes")</f>
        <v>Mayes</v>
      </c>
      <c r="G727" s="1" t="str">
        <f>IFERROR(__xludf.DUMMYFUNCTION("""COMPUTED_VALUE"""),"36.240967")</f>
        <v>36.240967</v>
      </c>
      <c r="H727" s="1" t="str">
        <f>IFERROR(__xludf.DUMMYFUNCTION("""COMPUTED_VALUE"""),"-95.33059")</f>
        <v>-95.33059</v>
      </c>
      <c r="I727" s="1" t="str">
        <f>IFERROR(__xludf.DUMMYFUNCTION("""COMPUTED_VALUE"""),"Operating")</f>
        <v>Operating</v>
      </c>
      <c r="J727" s="1" t="str">
        <f>IFERROR(__xludf.DUMMYFUNCTION("""COMPUTED_VALUE"""),"High")</f>
        <v>High</v>
      </c>
      <c r="K727" s="1" t="str">
        <f>IFERROR(__xludf.DUMMYFUNCTION("""COMPUTED_VALUE"""),"")</f>
        <v/>
      </c>
      <c r="L727" s="1" t="str">
        <f>IFERROR(__xludf.DUMMYFUNCTION("""COMPUTED_VALUE"""),"Google")</f>
        <v>Google</v>
      </c>
      <c r="M727" s="1" t="str">
        <f>IFERROR(__xludf.DUMMYFUNCTION("""COMPUTED_VALUE"""),"")</f>
        <v/>
      </c>
      <c r="N727" s="1" t="str">
        <f>IFERROR(__xludf.DUMMYFUNCTION("""COMPUTED_VALUE"""),"195-584")</f>
        <v>195-584</v>
      </c>
      <c r="O727" s="1" t="str">
        <f>IFERROR(__xludf.DUMMYFUNCTION("""COMPUTED_VALUE"""),"Hyperscale (100-999 MW)")</f>
        <v>Hyperscale (100-999 MW)</v>
      </c>
      <c r="P727" s="1" t="str">
        <f>IFERROR(__xludf.DUMMYFUNCTION("""COMPUTED_VALUE"""),"Grid (unspecified mix)")</f>
        <v>Grid (unspecified mix)</v>
      </c>
      <c r="Q727" s="1" t="str">
        <f>IFERROR(__xludf.DUMMYFUNCTION("""COMPUTED_VALUE"""),"")</f>
        <v/>
      </c>
      <c r="R727" s="1" t="str">
        <f>IFERROR(__xludf.DUMMYFUNCTION("""COMPUTED_VALUE"""),"")</f>
        <v/>
      </c>
      <c r="S727" s="1" t="str">
        <f>IFERROR(__xludf.DUMMYFUNCTION("""COMPUTED_VALUE"""),"")</f>
        <v/>
      </c>
      <c r="T727" s="1" t="str">
        <f>IFERROR(__xludf.DUMMYFUNCTION("""COMPUTED_VALUE"""),"")</f>
        <v/>
      </c>
      <c r="U727" s="1" t="str">
        <f>IFERROR(__xludf.DUMMYFUNCTION("""COMPUTED_VALUE"""),"")</f>
        <v/>
      </c>
      <c r="V727" s="1" t="str">
        <f>IFERROR(__xludf.DUMMYFUNCTION("""COMPUTED_VALUE"""),"")</f>
        <v/>
      </c>
      <c r="W727" s="1" t="str">
        <f>IFERROR(__xludf.DUMMYFUNCTION("""COMPUTED_VALUE"""),"")</f>
        <v/>
      </c>
      <c r="X727" s="1" t="str">
        <f>IFERROR(__xludf.DUMMYFUNCTION("""COMPUTED_VALUE"""),"")</f>
        <v/>
      </c>
      <c r="Y727" s="1" t="str">
        <f>IFERROR(__xludf.DUMMYFUNCTION("""COMPUTED_VALUE"""),"")</f>
        <v/>
      </c>
      <c r="Z727" s="1" t="str">
        <f>IFERROR(__xludf.DUMMYFUNCTION("""COMPUTED_VALUE"""),"Unknown")</f>
        <v>Unknown</v>
      </c>
      <c r="AA727" s="1" t="str">
        <f>IFERROR(__xludf.DUMMYFUNCTION("""COMPUTED_VALUE"""),"")</f>
        <v/>
      </c>
      <c r="AB727" s="1" t="str">
        <f>IFERROR(__xludf.DUMMYFUNCTION("""COMPUTED_VALUE"""),"")</f>
        <v/>
      </c>
      <c r="AC727" s="1" t="str">
        <f>IFERROR(__xludf.DUMMYFUNCTION("""COMPUTED_VALUE"""),"")</f>
        <v/>
      </c>
      <c r="AD727" s="1" t="str">
        <f>IFERROR(__xludf.DUMMYFUNCTION("""COMPUTED_VALUE"""),"")</f>
        <v/>
      </c>
      <c r="AE727" s="1" t="str">
        <f>IFERROR(__xludf.DUMMYFUNCTION("""COMPUTED_VALUE"""),"")</f>
        <v/>
      </c>
      <c r="AF727" s="1" t="str">
        <f>IFERROR(__xludf.DUMMYFUNCTION("""COMPUTED_VALUE"""),"")</f>
        <v/>
      </c>
      <c r="AG727" s="1" t="str">
        <f>IFERROR(__xludf.DUMMYFUNCTION("""COMPUTED_VALUE"""),"")</f>
        <v/>
      </c>
      <c r="AH727" s="1" t="str">
        <f>IFERROR(__xludf.DUMMYFUNCTION("""COMPUTED_VALUE"""),"Media Monitoring")</f>
        <v>Media Monitoring</v>
      </c>
      <c r="AI727" s="2" t="str">
        <f>IFERROR(__xludf.DUMMYFUNCTION("""COMPUTED_VALUE"""),"https://epoch.ai/data/data-centers/satellite-explorer/GooglePryorOklahoma?ref=404media.co")</f>
        <v>https://epoch.ai/data/data-centers/satellite-explorer/GooglePryorOklahoma?ref=404media.co</v>
      </c>
      <c r="AJ727" s="2" t="str">
        <f>IFERROR(__xludf.DUMMYFUNCTION("""COMPUTED_VALUE"""),"https://docs.google.com/spreadsheets/d/1t7cRs2OukCKSz88qEnyF7vlGWdgY5MpVOLcd79nFdnQ/edit?gid=2132985834#gid=2132985834")</f>
        <v>https://docs.google.com/spreadsheets/d/1t7cRs2OukCKSz88qEnyF7vlGWdgY5MpVOLcd79nFdnQ/edit?gid=2132985834#gid=2132985834</v>
      </c>
      <c r="AK727" s="1" t="str">
        <f>IFERROR(__xludf.DUMMYFUNCTION("""COMPUTED_VALUE"""),"")</f>
        <v/>
      </c>
      <c r="AL727" s="1" t="str">
        <f>IFERROR(__xludf.DUMMYFUNCTION("""COMPUTED_VALUE"""),"")</f>
        <v/>
      </c>
      <c r="AM727" s="1" t="str">
        <f>IFERROR(__xludf.DUMMYFUNCTION("""COMPUTED_VALUE"""),"")</f>
        <v/>
      </c>
      <c r="AN727" s="1" t="str">
        <f>IFERROR(__xludf.DUMMYFUNCTION("""COMPUTED_VALUE"""),"")</f>
        <v/>
      </c>
      <c r="AO727" s="1" t="str">
        <f>IFERROR(__xludf.DUMMYFUNCTION("""COMPUTED_VALUE"""),"")</f>
        <v/>
      </c>
      <c r="AP727" s="1" t="str">
        <f>IFERROR(__xludf.DUMMYFUNCTION("""COMPUTED_VALUE"""),"")</f>
        <v/>
      </c>
      <c r="AQ727" s="1" t="str">
        <f>IFERROR(__xludf.DUMMYFUNCTION("""COMPUTED_VALUE"""),"01/01/2026")</f>
        <v>01/01/2026</v>
      </c>
      <c r="AR727" s="1" t="str">
        <f>IFERROR(__xludf.DUMMYFUNCTION("""COMPUTED_VALUE"""),"01/01/2026")</f>
        <v>01/01/2026</v>
      </c>
    </row>
    <row r="728">
      <c r="A728" s="1" t="str">
        <f>IFERROR(__xludf.DUMMYFUNCTION("""COMPUTED_VALUE"""),"Luther Data Center")</f>
        <v>Luther Data Center</v>
      </c>
      <c r="B728" s="1" t="str">
        <f>IFERROR(__xludf.DUMMYFUNCTION("""COMPUTED_VALUE"""),"NE 206th St corridor")</f>
        <v>NE 206th St corridor</v>
      </c>
      <c r="C728" s="1" t="str">
        <f>IFERROR(__xludf.DUMMYFUNCTION("""COMPUTED_VALUE"""),"Luther")</f>
        <v>Luther</v>
      </c>
      <c r="D728" s="1" t="str">
        <f>IFERROR(__xludf.DUMMYFUNCTION("""COMPUTED_VALUE"""),"OK")</f>
        <v>OK</v>
      </c>
      <c r="E728" s="1" t="str">
        <f>IFERROR(__xludf.DUMMYFUNCTION("""COMPUTED_VALUE"""),"73054")</f>
        <v>73054</v>
      </c>
      <c r="F728" s="1" t="str">
        <f>IFERROR(__xludf.DUMMYFUNCTION("""COMPUTED_VALUE"""),"Oklahoma")</f>
        <v>Oklahoma</v>
      </c>
      <c r="G728" s="1" t="str">
        <f>IFERROR(__xludf.DUMMYFUNCTION("""COMPUTED_VALUE"""),"35.684746")</f>
        <v>35.684746</v>
      </c>
      <c r="H728" s="1" t="str">
        <f>IFERROR(__xludf.DUMMYFUNCTION("""COMPUTED_VALUE"""),"-97.21583")</f>
        <v>-97.21583</v>
      </c>
      <c r="I728" s="1" t="str">
        <f>IFERROR(__xludf.DUMMYFUNCTION("""COMPUTED_VALUE"""),"Proposed")</f>
        <v>Proposed</v>
      </c>
      <c r="J728" s="1" t="str">
        <f>IFERROR(__xludf.DUMMYFUNCTION("""COMPUTED_VALUE"""),"Medium")</f>
        <v>Medium</v>
      </c>
      <c r="K728" s="1" t="str">
        <f>IFERROR(__xludf.DUMMYFUNCTION("""COMPUTED_VALUE"""),"")</f>
        <v/>
      </c>
      <c r="L728" s="1" t="str">
        <f>IFERROR(__xludf.DUMMYFUNCTION("""COMPUTED_VALUE"""),"")</f>
        <v/>
      </c>
      <c r="M728" s="1" t="str">
        <f>IFERROR(__xludf.DUMMYFUNCTION("""COMPUTED_VALUE"""),"")</f>
        <v/>
      </c>
      <c r="N728" s="1" t="str">
        <f>IFERROR(__xludf.DUMMYFUNCTION("""COMPUTED_VALUE"""),"")</f>
        <v/>
      </c>
      <c r="O728" s="1" t="str">
        <f>IFERROR(__xludf.DUMMYFUNCTION("""COMPUTED_VALUE"""),"Unknown")</f>
        <v>Unknown</v>
      </c>
      <c r="P728" s="1" t="str">
        <f>IFERROR(__xludf.DUMMYFUNCTION("""COMPUTED_VALUE"""),"Grid (unspecified mix)")</f>
        <v>Grid (unspecified mix)</v>
      </c>
      <c r="Q728" s="1" t="str">
        <f>IFERROR(__xludf.DUMMYFUNCTION("""COMPUTED_VALUE"""),"")</f>
        <v/>
      </c>
      <c r="R728" s="1" t="str">
        <f>IFERROR(__xludf.DUMMYFUNCTION("""COMPUTED_VALUE"""),"")</f>
        <v/>
      </c>
      <c r="S728" s="1" t="str">
        <f>IFERROR(__xludf.DUMMYFUNCTION("""COMPUTED_VALUE"""),"")</f>
        <v/>
      </c>
      <c r="T728" s="1" t="str">
        <f>IFERROR(__xludf.DUMMYFUNCTION("""COMPUTED_VALUE"""),"")</f>
        <v/>
      </c>
      <c r="U728" s="1" t="str">
        <f>IFERROR(__xludf.DUMMYFUNCTION("""COMPUTED_VALUE"""),"")</f>
        <v/>
      </c>
      <c r="V728" s="1" t="str">
        <f>IFERROR(__xludf.DUMMYFUNCTION("""COMPUTED_VALUE"""),"")</f>
        <v/>
      </c>
      <c r="W728" s="1" t="str">
        <f>IFERROR(__xludf.DUMMYFUNCTION("""COMPUTED_VALUE"""),"")</f>
        <v/>
      </c>
      <c r="X728" s="1" t="str">
        <f>IFERROR(__xludf.DUMMYFUNCTION("""COMPUTED_VALUE"""),"")</f>
        <v/>
      </c>
      <c r="Y728" s="1" t="str">
        <f>IFERROR(__xludf.DUMMYFUNCTION("""COMPUTED_VALUE"""),"")</f>
        <v/>
      </c>
      <c r="Z728" s="1" t="str">
        <f>IFERROR(__xludf.DUMMYFUNCTION("""COMPUTED_VALUE"""),"Yes")</f>
        <v>Yes</v>
      </c>
      <c r="AA728" s="2" t="str">
        <f>IFERROR(__xludf.DUMMYFUNCTION("""COMPUTED_VALUE"""),"https://www.okenergytoday.com/2026/01/luther-residents-rally-against-a-proposed-data-center/")</f>
        <v>https://www.okenergytoday.com/2026/01/luther-residents-rally-against-a-proposed-data-center/</v>
      </c>
      <c r="AB728" s="1" t="str">
        <f>IFERROR(__xludf.DUMMYFUNCTION("""COMPUTED_VALUE"""),"")</f>
        <v/>
      </c>
      <c r="AC728" s="1" t="str">
        <f>IFERROR(__xludf.DUMMYFUNCTION("""COMPUTED_VALUE"""),"")</f>
        <v/>
      </c>
      <c r="AD728" s="1" t="str">
        <f>IFERROR(__xludf.DUMMYFUNCTION("""COMPUTED_VALUE"""),"")</f>
        <v/>
      </c>
      <c r="AE728" s="1" t="str">
        <f>IFERROR(__xludf.DUMMYFUNCTION("""COMPUTED_VALUE"""),"")</f>
        <v/>
      </c>
      <c r="AF728" s="1" t="str">
        <f>IFERROR(__xludf.DUMMYFUNCTION("""COMPUTED_VALUE"""),"")</f>
        <v/>
      </c>
      <c r="AG728" s="1" t="str">
        <f>IFERROR(__xludf.DUMMYFUNCTION("""COMPUTED_VALUE"""),"")</f>
        <v/>
      </c>
      <c r="AH728" s="1" t="str">
        <f>IFERROR(__xludf.DUMMYFUNCTION("""COMPUTED_VALUE"""),"Media Monitoring")</f>
        <v>Media Monitoring</v>
      </c>
      <c r="AI728" s="2" t="str">
        <f>IFERROR(__xludf.DUMMYFUNCTION("""COMPUTED_VALUE"""),"https://www.datacenterdynamics.com/en/news/data-center-proposal-in-luther-oklahoma-faces-opposition-prior-to-official-filing/")</f>
        <v>https://www.datacenterdynamics.com/en/news/data-center-proposal-in-luther-oklahoma-faces-opposition-prior-to-official-filing/</v>
      </c>
      <c r="AJ728" s="2" t="str">
        <f>IFERROR(__xludf.DUMMYFUNCTION("""COMPUTED_VALUE"""),"https://okcfox.com/news/local/an-enormous-concern-luther-residents-concerned-over-potential-data-center-in-their-town-ai")</f>
        <v>https://okcfox.com/news/local/an-enormous-concern-luther-residents-concerned-over-potential-data-center-in-their-town-ai</v>
      </c>
      <c r="AK728" s="2" t="str">
        <f>IFERROR(__xludf.DUMMYFUNCTION("""COMPUTED_VALUE"""),"https://www.news9.com/oklahoma-city-news/luther-residents-oppose-data-center")</f>
        <v>https://www.news9.com/oklahoma-city-news/luther-residents-oppose-data-center</v>
      </c>
      <c r="AL728" s="1" t="str">
        <f>IFERROR(__xludf.DUMMYFUNCTION("""COMPUTED_VALUE"""),"")</f>
        <v/>
      </c>
      <c r="AM728" s="1" t="str">
        <f>IFERROR(__xludf.DUMMYFUNCTION("""COMPUTED_VALUE"""),"")</f>
        <v/>
      </c>
      <c r="AN728" s="1" t="str">
        <f>IFERROR(__xludf.DUMMYFUNCTION("""COMPUTED_VALUE"""),"")</f>
        <v/>
      </c>
      <c r="AO728" s="1" t="str">
        <f>IFERROR(__xludf.DUMMYFUNCTION("""COMPUTED_VALUE"""),"")</f>
        <v/>
      </c>
      <c r="AP728" s="1" t="str">
        <f>IFERROR(__xludf.DUMMYFUNCTION("""COMPUTED_VALUE"""),"")</f>
        <v/>
      </c>
      <c r="AQ728" s="1" t="str">
        <f>IFERROR(__xludf.DUMMYFUNCTION("""COMPUTED_VALUE"""),"01/06/2026")</f>
        <v>01/06/2026</v>
      </c>
      <c r="AR728" s="1" t="str">
        <f>IFERROR(__xludf.DUMMYFUNCTION("""COMPUTED_VALUE"""),"03/23/2026")</f>
        <v>03/23/2026</v>
      </c>
    </row>
    <row r="729">
      <c r="A729" s="1" t="str">
        <f>IFERROR(__xludf.DUMMYFUNCTION("""COMPUTED_VALUE"""),"Cerebras Systems Data Center")</f>
        <v>Cerebras Systems Data Center</v>
      </c>
      <c r="B729" s="1" t="str">
        <f>IFERROR(__xludf.DUMMYFUNCTION("""COMPUTED_VALUE"""),"600 NW 62nd St")</f>
        <v>600 NW 62nd St</v>
      </c>
      <c r="C729" s="1" t="str">
        <f>IFERROR(__xludf.DUMMYFUNCTION("""COMPUTED_VALUE"""),"Oklahoma City")</f>
        <v>Oklahoma City</v>
      </c>
      <c r="D729" s="1" t="str">
        <f>IFERROR(__xludf.DUMMYFUNCTION("""COMPUTED_VALUE"""),"OK")</f>
        <v>OK</v>
      </c>
      <c r="E729" s="1" t="str">
        <f>IFERROR(__xludf.DUMMYFUNCTION("""COMPUTED_VALUE"""),"73118")</f>
        <v>73118</v>
      </c>
      <c r="F729" s="1" t="str">
        <f>IFERROR(__xludf.DUMMYFUNCTION("""COMPUTED_VALUE"""),"Oklahoma")</f>
        <v>Oklahoma</v>
      </c>
      <c r="G729" s="1" t="str">
        <f>IFERROR(__xludf.DUMMYFUNCTION("""COMPUTED_VALUE"""),"35.53575")</f>
        <v>35.53575</v>
      </c>
      <c r="H729" s="1" t="str">
        <f>IFERROR(__xludf.DUMMYFUNCTION("""COMPUTED_VALUE"""),"-97.5223")</f>
        <v>-97.5223</v>
      </c>
      <c r="I729" s="1" t="str">
        <f>IFERROR(__xludf.DUMMYFUNCTION("""COMPUTED_VALUE"""),"Operating")</f>
        <v>Operating</v>
      </c>
      <c r="J729" s="1" t="str">
        <f>IFERROR(__xludf.DUMMYFUNCTION("""COMPUTED_VALUE"""),"High")</f>
        <v>High</v>
      </c>
      <c r="K729" s="1" t="str">
        <f>IFERROR(__xludf.DUMMYFUNCTION("""COMPUTED_VALUE"""),"")</f>
        <v/>
      </c>
      <c r="L729" s="1" t="str">
        <f>IFERROR(__xludf.DUMMYFUNCTION("""COMPUTED_VALUE"""),"")</f>
        <v/>
      </c>
      <c r="M729" s="1" t="str">
        <f>IFERROR(__xludf.DUMMYFUNCTION("""COMPUTED_VALUE"""),"")</f>
        <v/>
      </c>
      <c r="N729" s="1" t="str">
        <f>IFERROR(__xludf.DUMMYFUNCTION("""COMPUTED_VALUE"""),"10")</f>
        <v>10</v>
      </c>
      <c r="O729" s="1" t="str">
        <f>IFERROR(__xludf.DUMMYFUNCTION("""COMPUTED_VALUE"""),"Small (0-10 MW)")</f>
        <v>Small (0-10 MW)</v>
      </c>
      <c r="P729" s="1" t="str">
        <f>IFERROR(__xludf.DUMMYFUNCTION("""COMPUTED_VALUE"""),"")</f>
        <v/>
      </c>
      <c r="Q729" s="1" t="str">
        <f>IFERROR(__xludf.DUMMYFUNCTION("""COMPUTED_VALUE"""),"")</f>
        <v/>
      </c>
      <c r="R729" s="1" t="str">
        <f>IFERROR(__xludf.DUMMYFUNCTION("""COMPUTED_VALUE"""),"")</f>
        <v/>
      </c>
      <c r="S729" s="1" t="str">
        <f>IFERROR(__xludf.DUMMYFUNCTION("""COMPUTED_VALUE"""),"")</f>
        <v/>
      </c>
      <c r="T729" s="1" t="str">
        <f>IFERROR(__xludf.DUMMYFUNCTION("""COMPUTED_VALUE"""),"")</f>
        <v/>
      </c>
      <c r="U729" s="1" t="str">
        <f>IFERROR(__xludf.DUMMYFUNCTION("""COMPUTED_VALUE"""),"")</f>
        <v/>
      </c>
      <c r="V729" s="1" t="str">
        <f>IFERROR(__xludf.DUMMYFUNCTION("""COMPUTED_VALUE"""),"82,000")</f>
        <v>82,000</v>
      </c>
      <c r="W729" s="1" t="str">
        <f>IFERROR(__xludf.DUMMYFUNCTION("""COMPUTED_VALUE"""),"")</f>
        <v/>
      </c>
      <c r="X729" s="1" t="str">
        <f>IFERROR(__xludf.DUMMYFUNCTION("""COMPUTED_VALUE"""),"")</f>
        <v/>
      </c>
      <c r="Y729" s="1" t="str">
        <f>IFERROR(__xludf.DUMMYFUNCTION("""COMPUTED_VALUE"""),"")</f>
        <v/>
      </c>
      <c r="Z729" s="1" t="str">
        <f>IFERROR(__xludf.DUMMYFUNCTION("""COMPUTED_VALUE"""),"Unknown")</f>
        <v>Unknown</v>
      </c>
      <c r="AA729" s="1" t="str">
        <f>IFERROR(__xludf.DUMMYFUNCTION("""COMPUTED_VALUE"""),"")</f>
        <v/>
      </c>
      <c r="AB729" s="1" t="str">
        <f>IFERROR(__xludf.DUMMYFUNCTION("""COMPUTED_VALUE"""),"")</f>
        <v/>
      </c>
      <c r="AC729" s="1" t="str">
        <f>IFERROR(__xludf.DUMMYFUNCTION("""COMPUTED_VALUE"""),"")</f>
        <v/>
      </c>
      <c r="AD729" s="1" t="str">
        <f>IFERROR(__xludf.DUMMYFUNCTION("""COMPUTED_VALUE"""),"")</f>
        <v/>
      </c>
      <c r="AE729" s="1" t="str">
        <f>IFERROR(__xludf.DUMMYFUNCTION("""COMPUTED_VALUE"""),"")</f>
        <v/>
      </c>
      <c r="AF729" s="1" t="str">
        <f>IFERROR(__xludf.DUMMYFUNCTION("""COMPUTED_VALUE"""),"")</f>
        <v/>
      </c>
      <c r="AG729" s="1" t="str">
        <f>IFERROR(__xludf.DUMMYFUNCTION("""COMPUTED_VALUE"""),"")</f>
        <v/>
      </c>
      <c r="AH729" s="1" t="str">
        <f>IFERROR(__xludf.DUMMYFUNCTION("""COMPUTED_VALUE"""),"Media Monitoring")</f>
        <v>Media Monitoring</v>
      </c>
      <c r="AI729" s="2" t="str">
        <f>IFERROR(__xludf.DUMMYFUNCTION("""COMPUTED_VALUE"""),"https://www.datacenterdynamics.com/en/news/cerebras-opens-10mw-data-center-in-oklahoma-city/")</f>
        <v>https://www.datacenterdynamics.com/en/news/cerebras-opens-10mw-data-center-in-oklahoma-city/</v>
      </c>
      <c r="AJ729" s="1" t="str">
        <f>IFERROR(__xludf.DUMMYFUNCTION("""COMPUTED_VALUE"""),"")</f>
        <v/>
      </c>
      <c r="AK729" s="1" t="str">
        <f>IFERROR(__xludf.DUMMYFUNCTION("""COMPUTED_VALUE"""),"")</f>
        <v/>
      </c>
      <c r="AL729" s="1" t="str">
        <f>IFERROR(__xludf.DUMMYFUNCTION("""COMPUTED_VALUE"""),"")</f>
        <v/>
      </c>
      <c r="AM729" s="1" t="str">
        <f>IFERROR(__xludf.DUMMYFUNCTION("""COMPUTED_VALUE"""),"")</f>
        <v/>
      </c>
      <c r="AN729" s="1" t="str">
        <f>IFERROR(__xludf.DUMMYFUNCTION("""COMPUTED_VALUE"""),"")</f>
        <v/>
      </c>
      <c r="AO729" s="1" t="str">
        <f>IFERROR(__xludf.DUMMYFUNCTION("""COMPUTED_VALUE"""),"")</f>
        <v/>
      </c>
      <c r="AP729" s="1" t="str">
        <f>IFERROR(__xludf.DUMMYFUNCTION("""COMPUTED_VALUE"""),"")</f>
        <v/>
      </c>
      <c r="AQ729" s="1" t="str">
        <f>IFERROR(__xludf.DUMMYFUNCTION("""COMPUTED_VALUE"""),"09/25/2025")</f>
        <v>09/25/2025</v>
      </c>
      <c r="AR729" s="1" t="str">
        <f>IFERROR(__xludf.DUMMYFUNCTION("""COMPUTED_VALUE"""),"09/25/2025")</f>
        <v>09/25/2025</v>
      </c>
    </row>
    <row r="730">
      <c r="A730" s="1" t="str">
        <f>IFERROR(__xludf.DUMMYFUNCTION("""COMPUTED_VALUE"""),"Valor C3 Data Center")</f>
        <v>Valor C3 Data Center</v>
      </c>
      <c r="B730" s="1" t="str">
        <f>IFERROR(__xludf.DUMMYFUNCTION("""COMPUTED_VALUE"""),"4442 Newcastle Rd")</f>
        <v>4442 Newcastle Rd</v>
      </c>
      <c r="C730" s="1" t="str">
        <f>IFERROR(__xludf.DUMMYFUNCTION("""COMPUTED_VALUE"""),"Oklahoma City")</f>
        <v>Oklahoma City</v>
      </c>
      <c r="D730" s="1" t="str">
        <f>IFERROR(__xludf.DUMMYFUNCTION("""COMPUTED_VALUE"""),"OK")</f>
        <v>OK</v>
      </c>
      <c r="E730" s="1" t="str">
        <f>IFERROR(__xludf.DUMMYFUNCTION("""COMPUTED_VALUE"""),"73119")</f>
        <v>73119</v>
      </c>
      <c r="F730" s="1" t="str">
        <f>IFERROR(__xludf.DUMMYFUNCTION("""COMPUTED_VALUE"""),"Oklahoma")</f>
        <v>Oklahoma</v>
      </c>
      <c r="G730" s="1" t="str">
        <f>IFERROR(__xludf.DUMMYFUNCTION("""COMPUTED_VALUE"""),"35.42508")</f>
        <v>35.42508</v>
      </c>
      <c r="H730" s="1" t="str">
        <f>IFERROR(__xludf.DUMMYFUNCTION("""COMPUTED_VALUE"""),"-97.5998")</f>
        <v>-97.5998</v>
      </c>
      <c r="I730" s="1" t="str">
        <f>IFERROR(__xludf.DUMMYFUNCTION("""COMPUTED_VALUE"""),"Operating")</f>
        <v>Operating</v>
      </c>
      <c r="J730" s="1" t="str">
        <f>IFERROR(__xludf.DUMMYFUNCTION("""COMPUTED_VALUE"""),"High")</f>
        <v>High</v>
      </c>
      <c r="K730" s="1" t="str">
        <f>IFERROR(__xludf.DUMMYFUNCTION("""COMPUTED_VALUE"""),"")</f>
        <v/>
      </c>
      <c r="L730" s="1" t="str">
        <f>IFERROR(__xludf.DUMMYFUNCTION("""COMPUTED_VALUE"""),"")</f>
        <v/>
      </c>
      <c r="M730" s="1" t="str">
        <f>IFERROR(__xludf.DUMMYFUNCTION("""COMPUTED_VALUE"""),"")</f>
        <v/>
      </c>
      <c r="N730" s="1" t="str">
        <f>IFERROR(__xludf.DUMMYFUNCTION("""COMPUTED_VALUE"""),"")</f>
        <v/>
      </c>
      <c r="O730" s="1" t="str">
        <f>IFERROR(__xludf.DUMMYFUNCTION("""COMPUTED_VALUE"""),"Unknown")</f>
        <v>Unknown</v>
      </c>
      <c r="P730" s="1" t="str">
        <f>IFERROR(__xludf.DUMMYFUNCTION("""COMPUTED_VALUE"""),"")</f>
        <v/>
      </c>
      <c r="Q730" s="1" t="str">
        <f>IFERROR(__xludf.DUMMYFUNCTION("""COMPUTED_VALUE"""),"")</f>
        <v/>
      </c>
      <c r="R730" s="1" t="str">
        <f>IFERROR(__xludf.DUMMYFUNCTION("""COMPUTED_VALUE"""),"")</f>
        <v/>
      </c>
      <c r="S730" s="1" t="str">
        <f>IFERROR(__xludf.DUMMYFUNCTION("""COMPUTED_VALUE"""),"")</f>
        <v/>
      </c>
      <c r="T730" s="1" t="str">
        <f>IFERROR(__xludf.DUMMYFUNCTION("""COMPUTED_VALUE"""),"")</f>
        <v/>
      </c>
      <c r="U730" s="1" t="str">
        <f>IFERROR(__xludf.DUMMYFUNCTION("""COMPUTED_VALUE"""),"")</f>
        <v/>
      </c>
      <c r="V730" s="1" t="str">
        <f>IFERROR(__xludf.DUMMYFUNCTION("""COMPUTED_VALUE"""),"")</f>
        <v/>
      </c>
      <c r="W730" s="1" t="str">
        <f>IFERROR(__xludf.DUMMYFUNCTION("""COMPUTED_VALUE"""),"")</f>
        <v/>
      </c>
      <c r="X730" s="1" t="str">
        <f>IFERROR(__xludf.DUMMYFUNCTION("""COMPUTED_VALUE"""),"")</f>
        <v/>
      </c>
      <c r="Y730" s="1" t="str">
        <f>IFERROR(__xludf.DUMMYFUNCTION("""COMPUTED_VALUE"""),"")</f>
        <v/>
      </c>
      <c r="Z730" s="1" t="str">
        <f>IFERROR(__xludf.DUMMYFUNCTION("""COMPUTED_VALUE"""),"Unknown")</f>
        <v>Unknown</v>
      </c>
      <c r="AA730" s="1" t="str">
        <f>IFERROR(__xludf.DUMMYFUNCTION("""COMPUTED_VALUE"""),"")</f>
        <v/>
      </c>
      <c r="AB730" s="1" t="str">
        <f>IFERROR(__xludf.DUMMYFUNCTION("""COMPUTED_VALUE"""),"")</f>
        <v/>
      </c>
      <c r="AC730" s="1" t="str">
        <f>IFERROR(__xludf.DUMMYFUNCTION("""COMPUTED_VALUE"""),"")</f>
        <v/>
      </c>
      <c r="AD730" s="1" t="str">
        <f>IFERROR(__xludf.DUMMYFUNCTION("""COMPUTED_VALUE"""),"")</f>
        <v/>
      </c>
      <c r="AE730" s="1" t="str">
        <f>IFERROR(__xludf.DUMMYFUNCTION("""COMPUTED_VALUE"""),"")</f>
        <v/>
      </c>
      <c r="AF730" s="1" t="str">
        <f>IFERROR(__xludf.DUMMYFUNCTION("""COMPUTED_VALUE"""),"")</f>
        <v/>
      </c>
      <c r="AG730" s="1" t="str">
        <f>IFERROR(__xludf.DUMMYFUNCTION("""COMPUTED_VALUE"""),"Tornado-proof")</f>
        <v>Tornado-proof</v>
      </c>
      <c r="AH730" s="1" t="str">
        <f>IFERROR(__xludf.DUMMYFUNCTION("""COMPUTED_VALUE"""),"Media Monitoring")</f>
        <v>Media Monitoring</v>
      </c>
      <c r="AI730" s="2" t="str">
        <f>IFERROR(__xludf.DUMMYFUNCTION("""COMPUTED_VALUE"""),"https://kfor.com/news/local/new-tornado-proof-data-center-in-okc/")</f>
        <v>https://kfor.com/news/local/new-tornado-proof-data-center-in-okc/</v>
      </c>
      <c r="AJ730" s="2" t="str">
        <f>IFERROR(__xludf.DUMMYFUNCTION("""COMPUTED_VALUE"""),"https://www.youtube.com/watch?v=0-sxYsKe6co&amp;ab_channel=KOKH-FOX25")</f>
        <v>https://www.youtube.com/watch?v=0-sxYsKe6co&amp;ab_channel=KOKH-FOX25</v>
      </c>
      <c r="AK730" s="1" t="str">
        <f>IFERROR(__xludf.DUMMYFUNCTION("""COMPUTED_VALUE"""),"")</f>
        <v/>
      </c>
      <c r="AL730" s="1" t="str">
        <f>IFERROR(__xludf.DUMMYFUNCTION("""COMPUTED_VALUE"""),"")</f>
        <v/>
      </c>
      <c r="AM730" s="1" t="str">
        <f>IFERROR(__xludf.DUMMYFUNCTION("""COMPUTED_VALUE"""),"")</f>
        <v/>
      </c>
      <c r="AN730" s="1" t="str">
        <f>IFERROR(__xludf.DUMMYFUNCTION("""COMPUTED_VALUE"""),"")</f>
        <v/>
      </c>
      <c r="AO730" s="1" t="str">
        <f>IFERROR(__xludf.DUMMYFUNCTION("""COMPUTED_VALUE"""),"")</f>
        <v/>
      </c>
      <c r="AP730" s="1" t="str">
        <f>IFERROR(__xludf.DUMMYFUNCTION("""COMPUTED_VALUE"""),"")</f>
        <v/>
      </c>
      <c r="AQ730" s="1" t="str">
        <f>IFERROR(__xludf.DUMMYFUNCTION("""COMPUTED_VALUE"""),"05/26/2025")</f>
        <v>05/26/2025</v>
      </c>
      <c r="AR730" s="1" t="str">
        <f>IFERROR(__xludf.DUMMYFUNCTION("""COMPUTED_VALUE"""),"05/26/2025")</f>
        <v>05/26/2025</v>
      </c>
    </row>
    <row r="731">
      <c r="A731" s="1" t="str">
        <f>IFERROR(__xludf.DUMMYFUNCTION("""COMPUTED_VALUE"""),"Project Atlas")</f>
        <v>Project Atlas</v>
      </c>
      <c r="B731" s="1" t="str">
        <f>IFERROR(__xludf.DUMMYFUNCTION("""COMPUTED_VALUE"""),"6192 State Highway 51B")</f>
        <v>6192 State Highway 51B</v>
      </c>
      <c r="C731" s="1" t="str">
        <f>IFERROR(__xludf.DUMMYFUNCTION("""COMPUTED_VALUE"""),"Porter")</f>
        <v>Porter</v>
      </c>
      <c r="D731" s="1" t="str">
        <f>IFERROR(__xludf.DUMMYFUNCTION("""COMPUTED_VALUE"""),"OK")</f>
        <v>OK</v>
      </c>
      <c r="E731" s="1" t="str">
        <f>IFERROR(__xludf.DUMMYFUNCTION("""COMPUTED_VALUE"""),"74454")</f>
        <v>74454</v>
      </c>
      <c r="F731" s="1" t="str">
        <f>IFERROR(__xludf.DUMMYFUNCTION("""COMPUTED_VALUE"""),"Wagoner")</f>
        <v>Wagoner</v>
      </c>
      <c r="G731" s="1" t="str">
        <f>IFERROR(__xludf.DUMMYFUNCTION("""COMPUTED_VALUE"""),"35.89665")</f>
        <v>35.89665</v>
      </c>
      <c r="H731" s="1" t="str">
        <f>IFERROR(__xludf.DUMMYFUNCTION("""COMPUTED_VALUE"""),"-95.60666")</f>
        <v>-95.60666</v>
      </c>
      <c r="I731" s="1" t="str">
        <f>IFERROR(__xludf.DUMMYFUNCTION("""COMPUTED_VALUE"""),"Cancelled")</f>
        <v>Cancelled</v>
      </c>
      <c r="J731" s="1" t="str">
        <f>IFERROR(__xludf.DUMMYFUNCTION("""COMPUTED_VALUE"""),"High")</f>
        <v>High</v>
      </c>
      <c r="K731" s="1" t="str">
        <f>IFERROR(__xludf.DUMMYFUNCTION("""COMPUTED_VALUE"""),"")</f>
        <v/>
      </c>
      <c r="L731" s="1" t="str">
        <f>IFERROR(__xludf.DUMMYFUNCTION("""COMPUTED_VALUE"""),"Beale Infrastructure")</f>
        <v>Beale Infrastructure</v>
      </c>
      <c r="M731" s="1" t="str">
        <f>IFERROR(__xludf.DUMMYFUNCTION("""COMPUTED_VALUE"""),"")</f>
        <v/>
      </c>
      <c r="N731" s="1" t="str">
        <f>IFERROR(__xludf.DUMMYFUNCTION("""COMPUTED_VALUE"""),"")</f>
        <v/>
      </c>
      <c r="O731" s="1" t="str">
        <f>IFERROR(__xludf.DUMMYFUNCTION("""COMPUTED_VALUE"""),"Unknown")</f>
        <v>Unknown</v>
      </c>
      <c r="P731" s="1" t="str">
        <f>IFERROR(__xludf.DUMMYFUNCTION("""COMPUTED_VALUE"""),"")</f>
        <v/>
      </c>
      <c r="Q731" s="1" t="str">
        <f>IFERROR(__xludf.DUMMYFUNCTION("""COMPUTED_VALUE"""),"")</f>
        <v/>
      </c>
      <c r="R731" s="1" t="str">
        <f>IFERROR(__xludf.DUMMYFUNCTION("""COMPUTED_VALUE"""),"")</f>
        <v/>
      </c>
      <c r="S731" s="1" t="str">
        <f>IFERROR(__xludf.DUMMYFUNCTION("""COMPUTED_VALUE"""),"")</f>
        <v/>
      </c>
      <c r="T731" s="1" t="str">
        <f>IFERROR(__xludf.DUMMYFUNCTION("""COMPUTED_VALUE"""),"")</f>
        <v/>
      </c>
      <c r="U731" s="1" t="str">
        <f>IFERROR(__xludf.DUMMYFUNCTION("""COMPUTED_VALUE"""),"")</f>
        <v/>
      </c>
      <c r="V731" s="1" t="str">
        <f>IFERROR(__xludf.DUMMYFUNCTION("""COMPUTED_VALUE"""),"")</f>
        <v/>
      </c>
      <c r="W731" s="1" t="str">
        <f>IFERROR(__xludf.DUMMYFUNCTION("""COMPUTED_VALUE"""),"")</f>
        <v/>
      </c>
      <c r="X731" s="1" t="str">
        <f>IFERROR(__xludf.DUMMYFUNCTION("""COMPUTED_VALUE"""),"")</f>
        <v/>
      </c>
      <c r="Y731" s="1" t="str">
        <f>IFERROR(__xludf.DUMMYFUNCTION("""COMPUTED_VALUE"""),"")</f>
        <v/>
      </c>
      <c r="Z731" s="1" t="str">
        <f>IFERROR(__xludf.DUMMYFUNCTION("""COMPUTED_VALUE"""),"Yes")</f>
        <v>Yes</v>
      </c>
      <c r="AA731" s="2" t="str">
        <f>IFERROR(__xludf.DUMMYFUNCTION("""COMPUTED_VALUE"""),"https://tulsaflyer.org/2026/01/06/government/post/dozens-coweta-residents-speak-out-against-data-center/")</f>
        <v>https://tulsaflyer.org/2026/01/06/government/post/dozens-coweta-residents-speak-out-against-data-center/</v>
      </c>
      <c r="AB731" s="1" t="str">
        <f>IFERROR(__xludf.DUMMYFUNCTION("""COMPUTED_VALUE"""),"")</f>
        <v/>
      </c>
      <c r="AC731" s="1" t="str">
        <f>IFERROR(__xludf.DUMMYFUNCTION("""COMPUTED_VALUE"""),"")</f>
        <v/>
      </c>
      <c r="AD731" s="2" t="str">
        <f>IFERROR(__xludf.DUMMYFUNCTION("""COMPUTED_VALUE"""),"https://www.facebook.com/groups/831852505867215/posts/938898438495954/")</f>
        <v>https://www.facebook.com/groups/831852505867215/posts/938898438495954/</v>
      </c>
      <c r="AE731" s="1" t="str">
        <f>IFERROR(__xludf.DUMMYFUNCTION("""COMPUTED_VALUE"""),"")</f>
        <v/>
      </c>
      <c r="AF731" s="2" t="str">
        <f>IFERROR(__xludf.DUMMYFUNCTION("""COMPUTED_VALUE"""),"https://www.change.org/p/stop-the-data-center-from-coming-to-coweta-ok")</f>
        <v>https://www.change.org/p/stop-the-data-center-from-coming-to-coweta-ok</v>
      </c>
      <c r="AG731" s="1" t="str">
        <f>IFERROR(__xludf.DUMMYFUNCTION("""COMPUTED_VALUE"""),"")</f>
        <v/>
      </c>
      <c r="AH731" s="1" t="str">
        <f>IFERROR(__xludf.DUMMYFUNCTION("""COMPUTED_VALUE"""),"Media Monitoring")</f>
        <v>Media Monitoring</v>
      </c>
      <c r="AI731" s="2" t="str">
        <f>IFERROR(__xludf.DUMMYFUNCTION("""COMPUTED_VALUE"""),"https://www.datacenterdynamics.com/en/news/beale-infrastructure-in-talks-to-build-data-center-campus-outside-tulsa-oklahoma/")</f>
        <v>https://www.datacenterdynamics.com/en/news/beale-infrastructure-in-talks-to-build-data-center-campus-outside-tulsa-oklahoma/</v>
      </c>
      <c r="AJ731" s="2" t="str">
        <f>IFERROR(__xludf.DUMMYFUNCTION("""COMPUTED_VALUE"""),"https://www.datacenterdynamics.com/en/news/beale-infrastructure-plans-second-data-center-campus-outside-tucson-arizona-and-two-outside-tulsa-oklahoma/")</f>
        <v>https://www.datacenterdynamics.com/en/news/beale-infrastructure-plans-second-data-center-campus-outside-tucson-arizona-and-two-outside-tulsa-oklahoma/</v>
      </c>
      <c r="AK731" s="2" t="str">
        <f>IFERROR(__xludf.DUMMYFUNCTION("""COMPUTED_VALUE"""),"https://www.datacenterdynamics.com/en/news/project-atlas-data-center-application-withdrawn-in-coweta-oklahoma/")</f>
        <v>https://www.datacenterdynamics.com/en/news/project-atlas-data-center-application-withdrawn-in-coweta-oklahoma/</v>
      </c>
      <c r="AL731" s="1" t="str">
        <f>IFERROR(__xludf.DUMMYFUNCTION("""COMPUTED_VALUE"""),"")</f>
        <v/>
      </c>
      <c r="AM731" s="1" t="str">
        <f>IFERROR(__xludf.DUMMYFUNCTION("""COMPUTED_VALUE"""),"")</f>
        <v/>
      </c>
      <c r="AN731" s="1" t="str">
        <f>IFERROR(__xludf.DUMMYFUNCTION("""COMPUTED_VALUE"""),"")</f>
        <v/>
      </c>
      <c r="AO731" s="1" t="str">
        <f>IFERROR(__xludf.DUMMYFUNCTION("""COMPUTED_VALUE"""),"")</f>
        <v/>
      </c>
      <c r="AP731" s="1" t="str">
        <f>IFERROR(__xludf.DUMMYFUNCTION("""COMPUTED_VALUE"""),"")</f>
        <v/>
      </c>
      <c r="AQ731" s="1" t="str">
        <f>IFERROR(__xludf.DUMMYFUNCTION("""COMPUTED_VALUE"""),"01/06/2026")</f>
        <v>01/06/2026</v>
      </c>
      <c r="AR731" s="1" t="str">
        <f>IFERROR(__xludf.DUMMYFUNCTION("""COMPUTED_VALUE"""),"04/01/2026")</f>
        <v>04/01/2026</v>
      </c>
    </row>
    <row r="732">
      <c r="A732" s="1" t="str">
        <f>IFERROR(__xludf.DUMMYFUNCTION("""COMPUTED_VALUE"""),"Project Spring")</f>
        <v>Project Spring</v>
      </c>
      <c r="B732" s="1" t="str">
        <f>IFERROR(__xludf.DUMMYFUNCTION("""COMPUTED_VALUE""")," 5615 OK-97")</f>
        <v> 5615 OK-97</v>
      </c>
      <c r="C732" s="1" t="str">
        <f>IFERROR(__xludf.DUMMYFUNCTION("""COMPUTED_VALUE"""),"Sand Springs")</f>
        <v>Sand Springs</v>
      </c>
      <c r="D732" s="1" t="str">
        <f>IFERROR(__xludf.DUMMYFUNCTION("""COMPUTED_VALUE"""),"OK")</f>
        <v>OK</v>
      </c>
      <c r="E732" s="1" t="str">
        <f>IFERROR(__xludf.DUMMYFUNCTION("""COMPUTED_VALUE"""),"74063")</f>
        <v>74063</v>
      </c>
      <c r="F732" s="1" t="str">
        <f>IFERROR(__xludf.DUMMYFUNCTION("""COMPUTED_VALUE"""),"Osage")</f>
        <v>Osage</v>
      </c>
      <c r="G732" s="1" t="str">
        <f>IFERROR(__xludf.DUMMYFUNCTION("""COMPUTED_VALUE"""),"36.24621")</f>
        <v>36.24621</v>
      </c>
      <c r="H732" s="1" t="str">
        <f>IFERROR(__xludf.DUMMYFUNCTION("""COMPUTED_VALUE"""),"-96.10993")</f>
        <v>-96.10993</v>
      </c>
      <c r="I732" s="1" t="str">
        <f>IFERROR(__xludf.DUMMYFUNCTION("""COMPUTED_VALUE"""),"Approved/Permitted/Under construction")</f>
        <v>Approved/Permitted/Under construction</v>
      </c>
      <c r="J732" s="1" t="str">
        <f>IFERROR(__xludf.DUMMYFUNCTION("""COMPUTED_VALUE"""),"High")</f>
        <v>High</v>
      </c>
      <c r="K732" s="1" t="str">
        <f>IFERROR(__xludf.DUMMYFUNCTION("""COMPUTED_VALUE"""),"")</f>
        <v/>
      </c>
      <c r="L732" s="1" t="str">
        <f>IFERROR(__xludf.DUMMYFUNCTION("""COMPUTED_VALUE"""),"")</f>
        <v/>
      </c>
      <c r="M732" s="1" t="str">
        <f>IFERROR(__xludf.DUMMYFUNCTION("""COMPUTED_VALUE"""),"")</f>
        <v/>
      </c>
      <c r="N732" s="1" t="str">
        <f>IFERROR(__xludf.DUMMYFUNCTION("""COMPUTED_VALUE"""),"")</f>
        <v/>
      </c>
      <c r="O732" s="1" t="str">
        <f>IFERROR(__xludf.DUMMYFUNCTION("""COMPUTED_VALUE"""),"Hyperscale (100-999 MW)")</f>
        <v>Hyperscale (100-999 MW)</v>
      </c>
      <c r="P732" s="1" t="str">
        <f>IFERROR(__xludf.DUMMYFUNCTION("""COMPUTED_VALUE"""),"")</f>
        <v/>
      </c>
      <c r="Q732" s="1" t="str">
        <f>IFERROR(__xludf.DUMMYFUNCTION("""COMPUTED_VALUE"""),"")</f>
        <v/>
      </c>
      <c r="R732" s="1" t="str">
        <f>IFERROR(__xludf.DUMMYFUNCTION("""COMPUTED_VALUE"""),"")</f>
        <v/>
      </c>
      <c r="S732" s="1" t="str">
        <f>IFERROR(__xludf.DUMMYFUNCTION("""COMPUTED_VALUE"""),"3")</f>
        <v>3</v>
      </c>
      <c r="T732" s="1" t="str">
        <f>IFERROR(__xludf.DUMMYFUNCTION("""COMPUTED_VALUE"""),"")</f>
        <v/>
      </c>
      <c r="U732" s="1" t="str">
        <f>IFERROR(__xludf.DUMMYFUNCTION("""COMPUTED_VALUE"""),"")</f>
        <v/>
      </c>
      <c r="V732" s="1" t="str">
        <f>IFERROR(__xludf.DUMMYFUNCTION("""COMPUTED_VALUE"""),"565,000")</f>
        <v>565,000</v>
      </c>
      <c r="W732" s="1" t="str">
        <f>IFERROR(__xludf.DUMMYFUNCTION("""COMPUTED_VALUE"""),"827")</f>
        <v>827</v>
      </c>
      <c r="X732" s="1" t="str">
        <f>IFERROR(__xludf.DUMMYFUNCTION("""COMPUTED_VALUE"""),"")</f>
        <v/>
      </c>
      <c r="Y732" s="1" t="str">
        <f>IFERROR(__xludf.DUMMYFUNCTION("""COMPUTED_VALUE"""),"")</f>
        <v/>
      </c>
      <c r="Z732" s="1" t="str">
        <f>IFERROR(__xludf.DUMMYFUNCTION("""COMPUTED_VALUE"""),"Yes")</f>
        <v>Yes</v>
      </c>
      <c r="AA732" s="1" t="str">
        <f>IFERROR(__xludf.DUMMYFUNCTION("""COMPUTED_VALUE"""),"")</f>
        <v/>
      </c>
      <c r="AB732" s="1" t="str">
        <f>IFERROR(__xludf.DUMMYFUNCTION("""COMPUTED_VALUE"""),"")</f>
        <v/>
      </c>
      <c r="AC732" s="1" t="str">
        <f>IFERROR(__xludf.DUMMYFUNCTION("""COMPUTED_VALUE"""),"")</f>
        <v/>
      </c>
      <c r="AD732" s="2" t="str">
        <f>IFERROR(__xludf.DUMMYFUNCTION("""COMPUTED_VALUE"""),"https://www.gofundme.com/f/Protect-sand-springs-alliance")</f>
        <v>https://www.gofundme.com/f/Protect-sand-springs-alliance</v>
      </c>
      <c r="AE732" s="1" t="str">
        <f>IFERROR(__xludf.DUMMYFUNCTION("""COMPUTED_VALUE"""),"")</f>
        <v/>
      </c>
      <c r="AF732" s="2" t="str">
        <f>IFERROR(__xludf.DUMMYFUNCTION("""COMPUTED_VALUE"""),"https://www.change.org/p/stop-the-data-center-f340a791-4f7e-4da8-a997-b0b2ce26319a")</f>
        <v>https://www.change.org/p/stop-the-data-center-f340a791-4f7e-4da8-a997-b0b2ce26319a</v>
      </c>
      <c r="AG732" s="1" t="str">
        <f>IFERROR(__xludf.DUMMYFUNCTION("""COMPUTED_VALUE"""),"6-1 vote in favor of proceeding")</f>
        <v>6-1 vote in favor of proceeding</v>
      </c>
      <c r="AH732" s="1" t="str">
        <f>IFERROR(__xludf.DUMMYFUNCTION("""COMPUTED_VALUE"""),"Media Monitoring")</f>
        <v>Media Monitoring</v>
      </c>
      <c r="AI732" s="2" t="str">
        <f>IFERROR(__xludf.DUMMYFUNCTION("""COMPUTED_VALUE"""),"https://www.datacenterdynamics.com/en/news/sand-springs-oklahoma-to-consider-project-spring-data-center-proposal/")</f>
        <v>https://www.datacenterdynamics.com/en/news/sand-springs-oklahoma-to-consider-project-spring-data-center-proposal/</v>
      </c>
      <c r="AJ732" s="2" t="str">
        <f>IFERROR(__xludf.DUMMYFUNCTION("""COMPUTED_VALUE"""),"https://protectss.org/home")</f>
        <v>https://protectss.org/home</v>
      </c>
      <c r="AK732" s="2" t="str">
        <f>IFERROR(__xludf.DUMMYFUNCTION("""COMPUTED_VALUE"""),"https://www.fox23.com/news/sand-springs-city-leaders-postpone-action-on-proposed-data-center-project/article_73ae54df-1dc1-4440-8511-87e2064374a8.html#:~:text=SAND%20SPRINGS%2C%20Okla.,showing%20up%20made%20a%20difference.")</f>
        <v>https://www.fox23.com/news/sand-springs-city-leaders-postpone-action-on-proposed-data-center-project/article_73ae54df-1dc1-4440-8511-87e2064374a8.html#:~:text=SAND%20SPRINGS%2C%20Okla.,showing%20up%20made%20a%20difference.</v>
      </c>
      <c r="AL732" s="2" t="str">
        <f>IFERROR(__xludf.DUMMYFUNCTION("""COMPUTED_VALUE"""),"https://www.fox23.com/news/special-meetings-set-for-proposed-data-center-in-sand-springs/article_e36b744c-371c-4d41-9476-dbdeb04b1a9c.html")</f>
        <v>https://www.fox23.com/news/special-meetings-set-for-proposed-data-center-in-sand-springs/article_e36b744c-371c-4d41-9476-dbdeb04b1a9c.html</v>
      </c>
      <c r="AM732" s="2" t="str">
        <f>IFERROR(__xludf.DUMMYFUNCTION("""COMPUTED_VALUE"""),"https://www.datacenterdynamics.com/en/news/google-gets-greenlight-for-data-center-in-tulsa-oklahoma/")</f>
        <v>https://www.datacenterdynamics.com/en/news/google-gets-greenlight-for-data-center-in-tulsa-oklahoma/</v>
      </c>
      <c r="AN732" s="1" t="str">
        <f>IFERROR(__xludf.DUMMYFUNCTION("""COMPUTED_VALUE"""),"")</f>
        <v/>
      </c>
      <c r="AO732" s="1" t="str">
        <f>IFERROR(__xludf.DUMMYFUNCTION("""COMPUTED_VALUE"""),"")</f>
        <v/>
      </c>
      <c r="AP732" s="1" t="str">
        <f>IFERROR(__xludf.DUMMYFUNCTION("""COMPUTED_VALUE"""),"")</f>
        <v/>
      </c>
      <c r="AQ732" s="1" t="str">
        <f>IFERROR(__xludf.DUMMYFUNCTION("""COMPUTED_VALUE"""),"11/28/2025")</f>
        <v>11/28/2025</v>
      </c>
      <c r="AR732" s="1" t="str">
        <f>IFERROR(__xludf.DUMMYFUNCTION("""COMPUTED_VALUE"""),"02/15/2026")</f>
        <v>02/15/2026</v>
      </c>
    </row>
    <row r="733">
      <c r="A733" s="1" t="str">
        <f>IFERROR(__xludf.DUMMYFUNCTION("""COMPUTED_VALUE"""),"Project Clydesdale")</f>
        <v>Project Clydesdale</v>
      </c>
      <c r="B733" s="1" t="str">
        <f>IFERROR(__xludf.DUMMYFUNCTION("""COMPUTED_VALUE"""),"SW of E 86th St N and Sheridan Ave")</f>
        <v>SW of E 86th St N and Sheridan Ave</v>
      </c>
      <c r="C733" s="1" t="str">
        <f>IFERROR(__xludf.DUMMYFUNCTION("""COMPUTED_VALUE"""),"Sperry")</f>
        <v>Sperry</v>
      </c>
      <c r="D733" s="1" t="str">
        <f>IFERROR(__xludf.DUMMYFUNCTION("""COMPUTED_VALUE"""),"OK")</f>
        <v>OK</v>
      </c>
      <c r="E733" s="1" t="str">
        <f>IFERROR(__xludf.DUMMYFUNCTION("""COMPUTED_VALUE"""),"74073")</f>
        <v>74073</v>
      </c>
      <c r="F733" s="1" t="str">
        <f>IFERROR(__xludf.DUMMYFUNCTION("""COMPUTED_VALUE"""),"Tulsa")</f>
        <v>Tulsa</v>
      </c>
      <c r="G733" s="1" t="str">
        <f>IFERROR(__xludf.DUMMYFUNCTION("""COMPUTED_VALUE"""),"36.26513")</f>
        <v>36.26513</v>
      </c>
      <c r="H733" s="1" t="str">
        <f>IFERROR(__xludf.DUMMYFUNCTION("""COMPUTED_VALUE"""),"-95.9034")</f>
        <v>-95.9034</v>
      </c>
      <c r="I733" s="1" t="str">
        <f>IFERROR(__xludf.DUMMYFUNCTION("""COMPUTED_VALUE"""),"Approved/Permitted/Under construction")</f>
        <v>Approved/Permitted/Under construction</v>
      </c>
      <c r="J733" s="1" t="str">
        <f>IFERROR(__xludf.DUMMYFUNCTION("""COMPUTED_VALUE"""),"High")</f>
        <v>High</v>
      </c>
      <c r="K733" s="1" t="str">
        <f>IFERROR(__xludf.DUMMYFUNCTION("""COMPUTED_VALUE"""),"")</f>
        <v/>
      </c>
      <c r="L733" s="1" t="str">
        <f>IFERROR(__xludf.DUMMYFUNCTION("""COMPUTED_VALUE"""),"Beale Infrastructure")</f>
        <v>Beale Infrastructure</v>
      </c>
      <c r="M733" s="1" t="str">
        <f>IFERROR(__xludf.DUMMYFUNCTION("""COMPUTED_VALUE"""),"")</f>
        <v/>
      </c>
      <c r="N733" s="1" t="str">
        <f>IFERROR(__xludf.DUMMYFUNCTION("""COMPUTED_VALUE"""),"")</f>
        <v/>
      </c>
      <c r="O733" s="1" t="str">
        <f>IFERROR(__xludf.DUMMYFUNCTION("""COMPUTED_VALUE"""),"Unknown")</f>
        <v>Unknown</v>
      </c>
      <c r="P733" s="1" t="str">
        <f>IFERROR(__xludf.DUMMYFUNCTION("""COMPUTED_VALUE"""),"")</f>
        <v/>
      </c>
      <c r="Q733" s="1" t="str">
        <f>IFERROR(__xludf.DUMMYFUNCTION("""COMPUTED_VALUE"""),"")</f>
        <v/>
      </c>
      <c r="R733" s="1" t="str">
        <f>IFERROR(__xludf.DUMMYFUNCTION("""COMPUTED_VALUE"""),"")</f>
        <v/>
      </c>
      <c r="S733" s="1" t="str">
        <f>IFERROR(__xludf.DUMMYFUNCTION("""COMPUTED_VALUE"""),"")</f>
        <v/>
      </c>
      <c r="T733" s="1" t="str">
        <f>IFERROR(__xludf.DUMMYFUNCTION("""COMPUTED_VALUE"""),"")</f>
        <v/>
      </c>
      <c r="U733" s="1" t="str">
        <f>IFERROR(__xludf.DUMMYFUNCTION("""COMPUTED_VALUE"""),"")</f>
        <v/>
      </c>
      <c r="V733" s="1" t="str">
        <f>IFERROR(__xludf.DUMMYFUNCTION("""COMPUTED_VALUE"""),"")</f>
        <v/>
      </c>
      <c r="W733" s="1" t="str">
        <f>IFERROR(__xludf.DUMMYFUNCTION("""COMPUTED_VALUE"""),"506")</f>
        <v>506</v>
      </c>
      <c r="X733" s="1" t="str">
        <f>IFERROR(__xludf.DUMMYFUNCTION("""COMPUTED_VALUE"""),"")</f>
        <v/>
      </c>
      <c r="Y733" s="1" t="str">
        <f>IFERROR(__xludf.DUMMYFUNCTION("""COMPUTED_VALUE"""),"")</f>
        <v/>
      </c>
      <c r="Z733" s="1" t="str">
        <f>IFERROR(__xludf.DUMMYFUNCTION("""COMPUTED_VALUE"""),"Unknown")</f>
        <v>Unknown</v>
      </c>
      <c r="AA733" s="1" t="str">
        <f>IFERROR(__xludf.DUMMYFUNCTION("""COMPUTED_VALUE"""),"")</f>
        <v/>
      </c>
      <c r="AB733" s="1" t="str">
        <f>IFERROR(__xludf.DUMMYFUNCTION("""COMPUTED_VALUE"""),"")</f>
        <v/>
      </c>
      <c r="AC733" s="1" t="str">
        <f>IFERROR(__xludf.DUMMYFUNCTION("""COMPUTED_VALUE"""),"")</f>
        <v/>
      </c>
      <c r="AD733" s="1" t="str">
        <f>IFERROR(__xludf.DUMMYFUNCTION("""COMPUTED_VALUE"""),"")</f>
        <v/>
      </c>
      <c r="AE733" s="1" t="str">
        <f>IFERROR(__xludf.DUMMYFUNCTION("""COMPUTED_VALUE"""),"")</f>
        <v/>
      </c>
      <c r="AF733" s="1" t="str">
        <f>IFERROR(__xludf.DUMMYFUNCTION("""COMPUTED_VALUE"""),"")</f>
        <v/>
      </c>
      <c r="AG733" s="1" t="str">
        <f>IFERROR(__xludf.DUMMYFUNCTION("""COMPUTED_VALUE"""),"")</f>
        <v/>
      </c>
      <c r="AH733" s="1" t="str">
        <f>IFERROR(__xludf.DUMMYFUNCTION("""COMPUTED_VALUE"""),"Media Monitoring")</f>
        <v>Media Monitoring</v>
      </c>
      <c r="AI733" s="2" t="str">
        <f>IFERROR(__xludf.DUMMYFUNCTION("""COMPUTED_VALUE"""),"https://www.datacenterdynamics.com/en/news/500-acre-data-center-campus-planned-in-tulsa-oklahoma/")</f>
        <v>https://www.datacenterdynamics.com/en/news/500-acre-data-center-campus-planned-in-tulsa-oklahoma/</v>
      </c>
      <c r="AJ733" s="2" t="str">
        <f>IFERROR(__xludf.DUMMYFUNCTION("""COMPUTED_VALUE"""),"https://www.kjrh.com/news/local-news/tulsa-county-residents-concerned-about-plans-for-data-center")</f>
        <v>https://www.kjrh.com/news/local-news/tulsa-county-residents-concerned-about-plans-for-data-center</v>
      </c>
      <c r="AK733" s="2" t="str">
        <f>IFERROR(__xludf.DUMMYFUNCTION("""COMPUTED_VALUE"""),"https://www.datacenterdynamics.com/en/news/beale-infrastructure-plans-second-data-center-campus-outside-tucson-arizona-and-two-outside-tulsa-oklahoma/")</f>
        <v>https://www.datacenterdynamics.com/en/news/beale-infrastructure-plans-second-data-center-campus-outside-tucson-arizona-and-two-outside-tulsa-oklahoma/</v>
      </c>
      <c r="AL733" s="2" t="str">
        <f>IFERROR(__xludf.DUMMYFUNCTION("""COMPUTED_VALUE"""),"https://tulsaplanning.org/tmapc/TAC/Project%20Clydesdale%20submittal.pdf")</f>
        <v>https://tulsaplanning.org/tmapc/TAC/Project%20Clydesdale%20submittal.pdf</v>
      </c>
      <c r="AM733" s="1" t="str">
        <f>IFERROR(__xludf.DUMMYFUNCTION("""COMPUTED_VALUE"""),"")</f>
        <v/>
      </c>
      <c r="AN733" s="1" t="str">
        <f>IFERROR(__xludf.DUMMYFUNCTION("""COMPUTED_VALUE"""),"")</f>
        <v/>
      </c>
      <c r="AO733" s="1" t="str">
        <f>IFERROR(__xludf.DUMMYFUNCTION("""COMPUTED_VALUE"""),"")</f>
        <v/>
      </c>
      <c r="AP733" s="1" t="str">
        <f>IFERROR(__xludf.DUMMYFUNCTION("""COMPUTED_VALUE"""),"")</f>
        <v/>
      </c>
      <c r="AQ733" s="1" t="str">
        <f>IFERROR(__xludf.DUMMYFUNCTION("""COMPUTED_VALUE"""),"05/21/2025")</f>
        <v>05/21/2025</v>
      </c>
      <c r="AR733" s="1" t="str">
        <f>IFERROR(__xludf.DUMMYFUNCTION("""COMPUTED_VALUE"""),"01/06/2026")</f>
        <v>01/06/2026</v>
      </c>
    </row>
    <row r="734">
      <c r="A734" s="1" t="str">
        <f>IFERROR(__xludf.DUMMYFUNCTION("""COMPUTED_VALUE"""),"Cherokee Data Center")</f>
        <v>Cherokee Data Center</v>
      </c>
      <c r="B734" s="1" t="str">
        <f>IFERROR(__xludf.DUMMYFUNCTION("""COMPUTED_VALUE"""),"7400 N Lakewood Ave")</f>
        <v>7400 N Lakewood Ave</v>
      </c>
      <c r="C734" s="1" t="str">
        <f>IFERROR(__xludf.DUMMYFUNCTION("""COMPUTED_VALUE"""),"Tulsa")</f>
        <v>Tulsa</v>
      </c>
      <c r="D734" s="1" t="str">
        <f>IFERROR(__xludf.DUMMYFUNCTION("""COMPUTED_VALUE"""),"OK")</f>
        <v>OK</v>
      </c>
      <c r="E734" s="1" t="str">
        <f>IFERROR(__xludf.DUMMYFUNCTION("""COMPUTED_VALUE"""),"74117")</f>
        <v>74117</v>
      </c>
      <c r="F734" s="1" t="str">
        <f>IFERROR(__xludf.DUMMYFUNCTION("""COMPUTED_VALUE"""),"Tulsa")</f>
        <v>Tulsa</v>
      </c>
      <c r="G734" s="1" t="str">
        <f>IFERROR(__xludf.DUMMYFUNCTION("""COMPUTED_VALUE"""),"36.26277")</f>
        <v>36.26277</v>
      </c>
      <c r="H734" s="1" t="str">
        <f>IFERROR(__xludf.DUMMYFUNCTION("""COMPUTED_VALUE"""),"-95.9097")</f>
        <v>-95.9097</v>
      </c>
      <c r="I734" s="1" t="str">
        <f>IFERROR(__xludf.DUMMYFUNCTION("""COMPUTED_VALUE"""),"Operating")</f>
        <v>Operating</v>
      </c>
      <c r="J734" s="1" t="str">
        <f>IFERROR(__xludf.DUMMYFUNCTION("""COMPUTED_VALUE"""),"High")</f>
        <v>High</v>
      </c>
      <c r="K734" s="1" t="str">
        <f>IFERROR(__xludf.DUMMYFUNCTION("""COMPUTED_VALUE"""),"")</f>
        <v/>
      </c>
      <c r="L734" s="1" t="str">
        <f>IFERROR(__xludf.DUMMYFUNCTION("""COMPUTED_VALUE"""),"")</f>
        <v/>
      </c>
      <c r="M734" s="1" t="str">
        <f>IFERROR(__xludf.DUMMYFUNCTION("""COMPUTED_VALUE"""),"")</f>
        <v/>
      </c>
      <c r="N734" s="1" t="str">
        <f>IFERROR(__xludf.DUMMYFUNCTION("""COMPUTED_VALUE"""),"")</f>
        <v/>
      </c>
      <c r="O734" s="1" t="str">
        <f>IFERROR(__xludf.DUMMYFUNCTION("""COMPUTED_VALUE"""),"Unknown")</f>
        <v>Unknown</v>
      </c>
      <c r="P734" s="1" t="str">
        <f>IFERROR(__xludf.DUMMYFUNCTION("""COMPUTED_VALUE"""),"")</f>
        <v/>
      </c>
      <c r="Q734" s="1" t="str">
        <f>IFERROR(__xludf.DUMMYFUNCTION("""COMPUTED_VALUE"""),"")</f>
        <v/>
      </c>
      <c r="R734" s="1" t="str">
        <f>IFERROR(__xludf.DUMMYFUNCTION("""COMPUTED_VALUE"""),"")</f>
        <v/>
      </c>
      <c r="S734" s="1" t="str">
        <f>IFERROR(__xludf.DUMMYFUNCTION("""COMPUTED_VALUE"""),"")</f>
        <v/>
      </c>
      <c r="T734" s="1" t="str">
        <f>IFERROR(__xludf.DUMMYFUNCTION("""COMPUTED_VALUE"""),"")</f>
        <v/>
      </c>
      <c r="U734" s="1" t="str">
        <f>IFERROR(__xludf.DUMMYFUNCTION("""COMPUTED_VALUE"""),"")</f>
        <v/>
      </c>
      <c r="V734" s="1" t="str">
        <f>IFERROR(__xludf.DUMMYFUNCTION("""COMPUTED_VALUE"""),"")</f>
        <v/>
      </c>
      <c r="W734" s="1" t="str">
        <f>IFERROR(__xludf.DUMMYFUNCTION("""COMPUTED_VALUE"""),"")</f>
        <v/>
      </c>
      <c r="X734" s="1" t="str">
        <f>IFERROR(__xludf.DUMMYFUNCTION("""COMPUTED_VALUE"""),"")</f>
        <v/>
      </c>
      <c r="Y734" s="1" t="str">
        <f>IFERROR(__xludf.DUMMYFUNCTION("""COMPUTED_VALUE"""),"")</f>
        <v/>
      </c>
      <c r="Z734" s="1" t="str">
        <f>IFERROR(__xludf.DUMMYFUNCTION("""COMPUTED_VALUE"""),"Unknown")</f>
        <v>Unknown</v>
      </c>
      <c r="AA734" s="1" t="str">
        <f>IFERROR(__xludf.DUMMYFUNCTION("""COMPUTED_VALUE"""),"")</f>
        <v/>
      </c>
      <c r="AB734" s="1" t="str">
        <f>IFERROR(__xludf.DUMMYFUNCTION("""COMPUTED_VALUE"""),"")</f>
        <v/>
      </c>
      <c r="AC734" s="1" t="str">
        <f>IFERROR(__xludf.DUMMYFUNCTION("""COMPUTED_VALUE"""),"")</f>
        <v/>
      </c>
      <c r="AD734" s="1" t="str">
        <f>IFERROR(__xludf.DUMMYFUNCTION("""COMPUTED_VALUE"""),"")</f>
        <v/>
      </c>
      <c r="AE734" s="1" t="str">
        <f>IFERROR(__xludf.DUMMYFUNCTION("""COMPUTED_VALUE"""),"")</f>
        <v/>
      </c>
      <c r="AF734" s="1" t="str">
        <f>IFERROR(__xludf.DUMMYFUNCTION("""COMPUTED_VALUE"""),"")</f>
        <v/>
      </c>
      <c r="AG734" s="1" t="str">
        <f>IFERROR(__xludf.DUMMYFUNCTION("""COMPUTED_VALUE"""),"")</f>
        <v/>
      </c>
      <c r="AH734" s="1" t="str">
        <f>IFERROR(__xludf.DUMMYFUNCTION("""COMPUTED_VALUE"""),"Media Monitoring")</f>
        <v>Media Monitoring</v>
      </c>
      <c r="AI734" s="1" t="str">
        <f>IFERROR(__xludf.DUMMYFUNCTION("""COMPUTED_VALUE"""),"")</f>
        <v/>
      </c>
      <c r="AJ734" s="1" t="str">
        <f>IFERROR(__xludf.DUMMYFUNCTION("""COMPUTED_VALUE"""),"")</f>
        <v/>
      </c>
      <c r="AK734" s="1" t="str">
        <f>IFERROR(__xludf.DUMMYFUNCTION("""COMPUTED_VALUE"""),"")</f>
        <v/>
      </c>
      <c r="AL734" s="1" t="str">
        <f>IFERROR(__xludf.DUMMYFUNCTION("""COMPUTED_VALUE"""),"")</f>
        <v/>
      </c>
      <c r="AM734" s="1" t="str">
        <f>IFERROR(__xludf.DUMMYFUNCTION("""COMPUTED_VALUE"""),"")</f>
        <v/>
      </c>
      <c r="AN734" s="1" t="str">
        <f>IFERROR(__xludf.DUMMYFUNCTION("""COMPUTED_VALUE"""),"")</f>
        <v/>
      </c>
      <c r="AO734" s="1" t="str">
        <f>IFERROR(__xludf.DUMMYFUNCTION("""COMPUTED_VALUE"""),"")</f>
        <v/>
      </c>
      <c r="AP734" s="1" t="str">
        <f>IFERROR(__xludf.DUMMYFUNCTION("""COMPUTED_VALUE"""),"")</f>
        <v/>
      </c>
      <c r="AQ734" s="1" t="str">
        <f>IFERROR(__xludf.DUMMYFUNCTION("""COMPUTED_VALUE"""),"05/21/2025")</f>
        <v>05/21/2025</v>
      </c>
      <c r="AR734" s="1" t="str">
        <f>IFERROR(__xludf.DUMMYFUNCTION("""COMPUTED_VALUE"""),"05/21/2025")</f>
        <v>05/21/2025</v>
      </c>
    </row>
    <row r="735">
      <c r="A735" s="1" t="str">
        <f>IFERROR(__xludf.DUMMYFUNCTION("""COMPUTED_VALUE"""),"Tierpoint Data Center")</f>
        <v>Tierpoint Data Center</v>
      </c>
      <c r="B735" s="1" t="str">
        <f>IFERROR(__xludf.DUMMYFUNCTION("""COMPUTED_VALUE"""),"12151 E. State Farm Blvd")</f>
        <v>12151 E. State Farm Blvd</v>
      </c>
      <c r="C735" s="1" t="str">
        <f>IFERROR(__xludf.DUMMYFUNCTION("""COMPUTED_VALUE"""),"Tulsa")</f>
        <v>Tulsa</v>
      </c>
      <c r="D735" s="1" t="str">
        <f>IFERROR(__xludf.DUMMYFUNCTION("""COMPUTED_VALUE"""),"OK")</f>
        <v>OK</v>
      </c>
      <c r="E735" s="1" t="str">
        <f>IFERROR(__xludf.DUMMYFUNCTION("""COMPUTED_VALUE"""),"74146")</f>
        <v>74146</v>
      </c>
      <c r="F735" s="1" t="str">
        <f>IFERROR(__xludf.DUMMYFUNCTION("""COMPUTED_VALUE"""),"Tulsa")</f>
        <v>Tulsa</v>
      </c>
      <c r="G735" s="1" t="str">
        <f>IFERROR(__xludf.DUMMYFUNCTION("""COMPUTED_VALUE"""),"36.09664")</f>
        <v>36.09664</v>
      </c>
      <c r="H735" s="1" t="str">
        <f>IFERROR(__xludf.DUMMYFUNCTION("""COMPUTED_VALUE"""),"-95.8402")</f>
        <v>-95.8402</v>
      </c>
      <c r="I735" s="1" t="str">
        <f>IFERROR(__xludf.DUMMYFUNCTION("""COMPUTED_VALUE"""),"Operating")</f>
        <v>Operating</v>
      </c>
      <c r="J735" s="1" t="str">
        <f>IFERROR(__xludf.DUMMYFUNCTION("""COMPUTED_VALUE"""),"High")</f>
        <v>High</v>
      </c>
      <c r="K735" s="1" t="str">
        <f>IFERROR(__xludf.DUMMYFUNCTION("""COMPUTED_VALUE"""),"")</f>
        <v/>
      </c>
      <c r="L735" s="1" t="str">
        <f>IFERROR(__xludf.DUMMYFUNCTION("""COMPUTED_VALUE"""),"")</f>
        <v/>
      </c>
      <c r="M735" s="1" t="str">
        <f>IFERROR(__xludf.DUMMYFUNCTION("""COMPUTED_VALUE"""),"")</f>
        <v/>
      </c>
      <c r="N735" s="1" t="str">
        <f>IFERROR(__xludf.DUMMYFUNCTION("""COMPUTED_VALUE"""),"")</f>
        <v/>
      </c>
      <c r="O735" s="1" t="str">
        <f>IFERROR(__xludf.DUMMYFUNCTION("""COMPUTED_VALUE"""),"Unknown")</f>
        <v>Unknown</v>
      </c>
      <c r="P735" s="1" t="str">
        <f>IFERROR(__xludf.DUMMYFUNCTION("""COMPUTED_VALUE"""),"")</f>
        <v/>
      </c>
      <c r="Q735" s="1" t="str">
        <f>IFERROR(__xludf.DUMMYFUNCTION("""COMPUTED_VALUE"""),"")</f>
        <v/>
      </c>
      <c r="R735" s="1" t="str">
        <f>IFERROR(__xludf.DUMMYFUNCTION("""COMPUTED_VALUE"""),"")</f>
        <v/>
      </c>
      <c r="S735" s="1" t="str">
        <f>IFERROR(__xludf.DUMMYFUNCTION("""COMPUTED_VALUE"""),"")</f>
        <v/>
      </c>
      <c r="T735" s="1" t="str">
        <f>IFERROR(__xludf.DUMMYFUNCTION("""COMPUTED_VALUE"""),"")</f>
        <v/>
      </c>
      <c r="U735" s="1" t="str">
        <f>IFERROR(__xludf.DUMMYFUNCTION("""COMPUTED_VALUE"""),"")</f>
        <v/>
      </c>
      <c r="V735" s="1" t="str">
        <f>IFERROR(__xludf.DUMMYFUNCTION("""COMPUTED_VALUE"""),"16,000")</f>
        <v>16,000</v>
      </c>
      <c r="W735" s="1" t="str">
        <f>IFERROR(__xludf.DUMMYFUNCTION("""COMPUTED_VALUE"""),"")</f>
        <v/>
      </c>
      <c r="X735" s="1" t="str">
        <f>IFERROR(__xludf.DUMMYFUNCTION("""COMPUTED_VALUE"""),"$20 million")</f>
        <v>$20 million</v>
      </c>
      <c r="Y735" s="1" t="str">
        <f>IFERROR(__xludf.DUMMYFUNCTION("""COMPUTED_VALUE"""),"")</f>
        <v/>
      </c>
      <c r="Z735" s="1" t="str">
        <f>IFERROR(__xludf.DUMMYFUNCTION("""COMPUTED_VALUE"""),"Unknown")</f>
        <v>Unknown</v>
      </c>
      <c r="AA735" s="1" t="str">
        <f>IFERROR(__xludf.DUMMYFUNCTION("""COMPUTED_VALUE"""),"")</f>
        <v/>
      </c>
      <c r="AB735" s="1" t="str">
        <f>IFERROR(__xludf.DUMMYFUNCTION("""COMPUTED_VALUE"""),"")</f>
        <v/>
      </c>
      <c r="AC735" s="1" t="str">
        <f>IFERROR(__xludf.DUMMYFUNCTION("""COMPUTED_VALUE"""),"")</f>
        <v/>
      </c>
      <c r="AD735" s="1" t="str">
        <f>IFERROR(__xludf.DUMMYFUNCTION("""COMPUTED_VALUE"""),"")</f>
        <v/>
      </c>
      <c r="AE735" s="1" t="str">
        <f>IFERROR(__xludf.DUMMYFUNCTION("""COMPUTED_VALUE"""),"")</f>
        <v/>
      </c>
      <c r="AF735" s="1" t="str">
        <f>IFERROR(__xludf.DUMMYFUNCTION("""COMPUTED_VALUE"""),"")</f>
        <v/>
      </c>
      <c r="AG735" s="1" t="str">
        <f>IFERROR(__xludf.DUMMYFUNCTION("""COMPUTED_VALUE"""),"")</f>
        <v/>
      </c>
      <c r="AH735" s="1" t="str">
        <f>IFERROR(__xludf.DUMMYFUNCTION("""COMPUTED_VALUE"""),"Media Monitoring")</f>
        <v>Media Monitoring</v>
      </c>
      <c r="AI735" s="2" t="str">
        <f>IFERROR(__xludf.DUMMYFUNCTION("""COMPUTED_VALUE"""),"https://www.datacenterdynamics.com/en/news/tierpoint-completes-fourth-data-center-in-oklahoma/")</f>
        <v>https://www.datacenterdynamics.com/en/news/tierpoint-completes-fourth-data-center-in-oklahoma/</v>
      </c>
      <c r="AJ735" s="1" t="str">
        <f>IFERROR(__xludf.DUMMYFUNCTION("""COMPUTED_VALUE"""),"")</f>
        <v/>
      </c>
      <c r="AK735" s="1" t="str">
        <f>IFERROR(__xludf.DUMMYFUNCTION("""COMPUTED_VALUE"""),"")</f>
        <v/>
      </c>
      <c r="AL735" s="1" t="str">
        <f>IFERROR(__xludf.DUMMYFUNCTION("""COMPUTED_VALUE"""),"")</f>
        <v/>
      </c>
      <c r="AM735" s="1" t="str">
        <f>IFERROR(__xludf.DUMMYFUNCTION("""COMPUTED_VALUE"""),"")</f>
        <v/>
      </c>
      <c r="AN735" s="1" t="str">
        <f>IFERROR(__xludf.DUMMYFUNCTION("""COMPUTED_VALUE"""),"")</f>
        <v/>
      </c>
      <c r="AO735" s="1" t="str">
        <f>IFERROR(__xludf.DUMMYFUNCTION("""COMPUTED_VALUE"""),"")</f>
        <v/>
      </c>
      <c r="AP735" s="1" t="str">
        <f>IFERROR(__xludf.DUMMYFUNCTION("""COMPUTED_VALUE"""),"")</f>
        <v/>
      </c>
      <c r="AQ735" s="1" t="str">
        <f>IFERROR(__xludf.DUMMYFUNCTION("""COMPUTED_VALUE"""),"05/26/2025")</f>
        <v>05/26/2025</v>
      </c>
      <c r="AR735" s="1" t="str">
        <f>IFERROR(__xludf.DUMMYFUNCTION("""COMPUTED_VALUE"""),"05/26/2025")</f>
        <v>05/26/2025</v>
      </c>
    </row>
    <row r="736">
      <c r="A736" s="1" t="str">
        <f>IFERROR(__xludf.DUMMYFUNCTION("""COMPUTED_VALUE"""),"Arlington Data Center")</f>
        <v>Arlington Data Center</v>
      </c>
      <c r="B736" s="1" t="str">
        <f>IFERROR(__xludf.DUMMYFUNCTION("""COMPUTED_VALUE"""),"mesa above Arlington")</f>
        <v>mesa above Arlington</v>
      </c>
      <c r="C736" s="1" t="str">
        <f>IFERROR(__xludf.DUMMYFUNCTION("""COMPUTED_VALUE"""),"Arlington")</f>
        <v>Arlington</v>
      </c>
      <c r="D736" s="1" t="str">
        <f>IFERROR(__xludf.DUMMYFUNCTION("""COMPUTED_VALUE"""),"OR")</f>
        <v>OR</v>
      </c>
      <c r="E736" s="1" t="str">
        <f>IFERROR(__xludf.DUMMYFUNCTION("""COMPUTED_VALUE"""),"")</f>
        <v/>
      </c>
      <c r="F736" s="1" t="str">
        <f>IFERROR(__xludf.DUMMYFUNCTION("""COMPUTED_VALUE"""),"Gilliam")</f>
        <v>Gilliam</v>
      </c>
      <c r="G736" s="1" t="str">
        <f>IFERROR(__xludf.DUMMYFUNCTION("""COMPUTED_VALUE"""),"45.72153")</f>
        <v>45.72153</v>
      </c>
      <c r="H736" s="1" t="str">
        <f>IFERROR(__xludf.DUMMYFUNCTION("""COMPUTED_VALUE"""),"-120.189")</f>
        <v>-120.189</v>
      </c>
      <c r="I736" s="1" t="str">
        <f>IFERROR(__xludf.DUMMYFUNCTION("""COMPUTED_VALUE"""),"Proposed")</f>
        <v>Proposed</v>
      </c>
      <c r="J736" s="1" t="str">
        <f>IFERROR(__xludf.DUMMYFUNCTION("""COMPUTED_VALUE"""),"Low")</f>
        <v>Low</v>
      </c>
      <c r="K736" s="1" t="str">
        <f>IFERROR(__xludf.DUMMYFUNCTION("""COMPUTED_VALUE"""),"")</f>
        <v/>
      </c>
      <c r="L736" s="1" t="str">
        <f>IFERROR(__xludf.DUMMYFUNCTION("""COMPUTED_VALUE"""),"Amazon")</f>
        <v>Amazon</v>
      </c>
      <c r="M736" s="1" t="str">
        <f>IFERROR(__xludf.DUMMYFUNCTION("""COMPUTED_VALUE"""),"")</f>
        <v/>
      </c>
      <c r="N736" s="1" t="str">
        <f>IFERROR(__xludf.DUMMYFUNCTION("""COMPUTED_VALUE"""),"")</f>
        <v/>
      </c>
      <c r="O736" s="1" t="str">
        <f>IFERROR(__xludf.DUMMYFUNCTION("""COMPUTED_VALUE"""),"Unknown")</f>
        <v>Unknown</v>
      </c>
      <c r="P736" s="1" t="str">
        <f>IFERROR(__xludf.DUMMYFUNCTION("""COMPUTED_VALUE"""),"")</f>
        <v/>
      </c>
      <c r="Q736" s="1" t="str">
        <f>IFERROR(__xludf.DUMMYFUNCTION("""COMPUTED_VALUE"""),"")</f>
        <v/>
      </c>
      <c r="R736" s="1" t="str">
        <f>IFERROR(__xludf.DUMMYFUNCTION("""COMPUTED_VALUE"""),"")</f>
        <v/>
      </c>
      <c r="S736" s="1" t="str">
        <f>IFERROR(__xludf.DUMMYFUNCTION("""COMPUTED_VALUE"""),"")</f>
        <v/>
      </c>
      <c r="T736" s="1" t="str">
        <f>IFERROR(__xludf.DUMMYFUNCTION("""COMPUTED_VALUE"""),"")</f>
        <v/>
      </c>
      <c r="U736" s="1" t="str">
        <f>IFERROR(__xludf.DUMMYFUNCTION("""COMPUTED_VALUE"""),"")</f>
        <v/>
      </c>
      <c r="V736" s="1" t="str">
        <f>IFERROR(__xludf.DUMMYFUNCTION("""COMPUTED_VALUE"""),"")</f>
        <v/>
      </c>
      <c r="W736" s="1" t="str">
        <f>IFERROR(__xludf.DUMMYFUNCTION("""COMPUTED_VALUE"""),"400")</f>
        <v>400</v>
      </c>
      <c r="X736" s="1" t="str">
        <f>IFERROR(__xludf.DUMMYFUNCTION("""COMPUTED_VALUE"""),"$13 million")</f>
        <v>$13 million</v>
      </c>
      <c r="Y736" s="1" t="str">
        <f>IFERROR(__xludf.DUMMYFUNCTION("""COMPUTED_VALUE"""),"")</f>
        <v/>
      </c>
      <c r="Z736" s="1" t="str">
        <f>IFERROR(__xludf.DUMMYFUNCTION("""COMPUTED_VALUE"""),"Unknown")</f>
        <v>Unknown</v>
      </c>
      <c r="AA736" s="1" t="str">
        <f>IFERROR(__xludf.DUMMYFUNCTION("""COMPUTED_VALUE"""),"")</f>
        <v/>
      </c>
      <c r="AB736" s="1" t="str">
        <f>IFERROR(__xludf.DUMMYFUNCTION("""COMPUTED_VALUE"""),"")</f>
        <v/>
      </c>
      <c r="AC736" s="1" t="str">
        <f>IFERROR(__xludf.DUMMYFUNCTION("""COMPUTED_VALUE"""),"")</f>
        <v/>
      </c>
      <c r="AD736" s="1" t="str">
        <f>IFERROR(__xludf.DUMMYFUNCTION("""COMPUTED_VALUE"""),"")</f>
        <v/>
      </c>
      <c r="AE736" s="1" t="str">
        <f>IFERROR(__xludf.DUMMYFUNCTION("""COMPUTED_VALUE"""),"")</f>
        <v/>
      </c>
      <c r="AF736" s="1" t="str">
        <f>IFERROR(__xludf.DUMMYFUNCTION("""COMPUTED_VALUE"""),"")</f>
        <v/>
      </c>
      <c r="AG736" s="1" t="str">
        <f>IFERROR(__xludf.DUMMYFUNCTION("""COMPUTED_VALUE"""),"")</f>
        <v/>
      </c>
      <c r="AH736" s="1" t="str">
        <f>IFERROR(__xludf.DUMMYFUNCTION("""COMPUTED_VALUE"""),"Media Monitoring")</f>
        <v>Media Monitoring</v>
      </c>
      <c r="AI736" s="2" t="str">
        <f>IFERROR(__xludf.DUMMYFUNCTION("""COMPUTED_VALUE"""),"https://www.datacenterdynamics.com/en/news/amazon-expanding-data-center-presence-in-oregon-buys-400-acres/")</f>
        <v>https://www.datacenterdynamics.com/en/news/amazon-expanding-data-center-presence-in-oregon-buys-400-acres/</v>
      </c>
      <c r="AJ736" s="1" t="str">
        <f>IFERROR(__xludf.DUMMYFUNCTION("""COMPUTED_VALUE"""),"")</f>
        <v/>
      </c>
      <c r="AK736" s="1" t="str">
        <f>IFERROR(__xludf.DUMMYFUNCTION("""COMPUTED_VALUE"""),"")</f>
        <v/>
      </c>
      <c r="AL736" s="1" t="str">
        <f>IFERROR(__xludf.DUMMYFUNCTION("""COMPUTED_VALUE"""),"")</f>
        <v/>
      </c>
      <c r="AM736" s="1" t="str">
        <f>IFERROR(__xludf.DUMMYFUNCTION("""COMPUTED_VALUE"""),"")</f>
        <v/>
      </c>
      <c r="AN736" s="1" t="str">
        <f>IFERROR(__xludf.DUMMYFUNCTION("""COMPUTED_VALUE"""),"")</f>
        <v/>
      </c>
      <c r="AO736" s="1" t="str">
        <f>IFERROR(__xludf.DUMMYFUNCTION("""COMPUTED_VALUE"""),"")</f>
        <v/>
      </c>
      <c r="AP736" s="1" t="str">
        <f>IFERROR(__xludf.DUMMYFUNCTION("""COMPUTED_VALUE"""),"")</f>
        <v/>
      </c>
      <c r="AQ736" s="1" t="str">
        <f>IFERROR(__xludf.DUMMYFUNCTION("""COMPUTED_VALUE"""),"08/16/2025")</f>
        <v>08/16/2025</v>
      </c>
      <c r="AR736" s="1" t="str">
        <f>IFERROR(__xludf.DUMMYFUNCTION("""COMPUTED_VALUE"""),"08/16/2025")</f>
        <v>08/16/2025</v>
      </c>
    </row>
    <row r="737">
      <c r="A737" s="1" t="str">
        <f>IFERROR(__xludf.DUMMYFUNCTION("""COMPUTED_VALUE"""),"Amazon Boardman Data Center")</f>
        <v>Amazon Boardman Data Center</v>
      </c>
      <c r="B737" s="1" t="str">
        <f>IFERROR(__xludf.DUMMYFUNCTION("""COMPUTED_VALUE"""),"79388 Olson Rd")</f>
        <v>79388 Olson Rd</v>
      </c>
      <c r="C737" s="1" t="str">
        <f>IFERROR(__xludf.DUMMYFUNCTION("""COMPUTED_VALUE"""),"Boardman")</f>
        <v>Boardman</v>
      </c>
      <c r="D737" s="1" t="str">
        <f>IFERROR(__xludf.DUMMYFUNCTION("""COMPUTED_VALUE"""),"OR")</f>
        <v>OR</v>
      </c>
      <c r="E737" s="1" t="str">
        <f>IFERROR(__xludf.DUMMYFUNCTION("""COMPUTED_VALUE"""),"97818")</f>
        <v>97818</v>
      </c>
      <c r="F737" s="1" t="str">
        <f>IFERROR(__xludf.DUMMYFUNCTION("""COMPUTED_VALUE"""),"Morrow")</f>
        <v>Morrow</v>
      </c>
      <c r="G737" s="1" t="str">
        <f>IFERROR(__xludf.DUMMYFUNCTION("""COMPUTED_VALUE"""),"45.836727")</f>
        <v>45.836727</v>
      </c>
      <c r="H737" s="1" t="str">
        <f>IFERROR(__xludf.DUMMYFUNCTION("""COMPUTED_VALUE"""),"-119.689735")</f>
        <v>-119.689735</v>
      </c>
      <c r="I737" s="1" t="str">
        <f>IFERROR(__xludf.DUMMYFUNCTION("""COMPUTED_VALUE"""),"Proposed")</f>
        <v>Proposed</v>
      </c>
      <c r="J737" s="1" t="str">
        <f>IFERROR(__xludf.DUMMYFUNCTION("""COMPUTED_VALUE"""),"High")</f>
        <v>High</v>
      </c>
      <c r="K737" s="1" t="str">
        <f>IFERROR(__xludf.DUMMYFUNCTION("""COMPUTED_VALUE"""),"")</f>
        <v/>
      </c>
      <c r="L737" s="1" t="str">
        <f>IFERROR(__xludf.DUMMYFUNCTION("""COMPUTED_VALUE"""),"Amazon")</f>
        <v>Amazon</v>
      </c>
      <c r="M737" s="1" t="str">
        <f>IFERROR(__xludf.DUMMYFUNCTION("""COMPUTED_VALUE"""),"")</f>
        <v/>
      </c>
      <c r="N737" s="1" t="str">
        <f>IFERROR(__xludf.DUMMYFUNCTION("""COMPUTED_VALUE"""),"")</f>
        <v/>
      </c>
      <c r="O737" s="1" t="str">
        <f>IFERROR(__xludf.DUMMYFUNCTION("""COMPUTED_VALUE"""),"Hyperscale (100-999 MW)")</f>
        <v>Hyperscale (100-999 MW)</v>
      </c>
      <c r="P737" s="1" t="str">
        <f>IFERROR(__xludf.DUMMYFUNCTION("""COMPUTED_VALUE"""),"")</f>
        <v/>
      </c>
      <c r="Q737" s="1" t="str">
        <f>IFERROR(__xludf.DUMMYFUNCTION("""COMPUTED_VALUE"""),"")</f>
        <v/>
      </c>
      <c r="R737" s="1" t="str">
        <f>IFERROR(__xludf.DUMMYFUNCTION("""COMPUTED_VALUE"""),"")</f>
        <v/>
      </c>
      <c r="S737" s="1" t="str">
        <f>IFERROR(__xludf.DUMMYFUNCTION("""COMPUTED_VALUE"""),"")</f>
        <v/>
      </c>
      <c r="T737" s="1" t="str">
        <f>IFERROR(__xludf.DUMMYFUNCTION("""COMPUTED_VALUE"""),"")</f>
        <v/>
      </c>
      <c r="U737" s="1" t="str">
        <f>IFERROR(__xludf.DUMMYFUNCTION("""COMPUTED_VALUE"""),"")</f>
        <v/>
      </c>
      <c r="V737" s="1" t="str">
        <f>IFERROR(__xludf.DUMMYFUNCTION("""COMPUTED_VALUE"""),"")</f>
        <v/>
      </c>
      <c r="W737" s="1" t="str">
        <f>IFERROR(__xludf.DUMMYFUNCTION("""COMPUTED_VALUE"""),"1300")</f>
        <v>1300</v>
      </c>
      <c r="X737" s="1" t="str">
        <f>IFERROR(__xludf.DUMMYFUNCTION("""COMPUTED_VALUE"""),"")</f>
        <v/>
      </c>
      <c r="Y737" s="1" t="str">
        <f>IFERROR(__xludf.DUMMYFUNCTION("""COMPUTED_VALUE"""),"")</f>
        <v/>
      </c>
      <c r="Z737" s="1" t="str">
        <f>IFERROR(__xludf.DUMMYFUNCTION("""COMPUTED_VALUE"""),"Unknown")</f>
        <v>Unknown</v>
      </c>
      <c r="AA737" s="1" t="str">
        <f>IFERROR(__xludf.DUMMYFUNCTION("""COMPUTED_VALUE"""),"")</f>
        <v/>
      </c>
      <c r="AB737" s="1" t="str">
        <f>IFERROR(__xludf.DUMMYFUNCTION("""COMPUTED_VALUE"""),"")</f>
        <v/>
      </c>
      <c r="AC737" s="1" t="str">
        <f>IFERROR(__xludf.DUMMYFUNCTION("""COMPUTED_VALUE"""),"")</f>
        <v/>
      </c>
      <c r="AD737" s="1" t="str">
        <f>IFERROR(__xludf.DUMMYFUNCTION("""COMPUTED_VALUE"""),"")</f>
        <v/>
      </c>
      <c r="AE737" s="1" t="str">
        <f>IFERROR(__xludf.DUMMYFUNCTION("""COMPUTED_VALUE"""),"")</f>
        <v/>
      </c>
      <c r="AF737" s="1" t="str">
        <f>IFERROR(__xludf.DUMMYFUNCTION("""COMPUTED_VALUE"""),"")</f>
        <v/>
      </c>
      <c r="AG737" s="1" t="str">
        <f>IFERROR(__xludf.DUMMYFUNCTION("""COMPUTED_VALUE"""),"Likely near Project Sunstone solar installation")</f>
        <v>Likely near Project Sunstone solar installation</v>
      </c>
      <c r="AH737" s="1" t="str">
        <f>IFERROR(__xludf.DUMMYFUNCTION("""COMPUTED_VALUE"""),"Media Monitoring")</f>
        <v>Media Monitoring</v>
      </c>
      <c r="AI737" s="2" t="str">
        <f>IFERROR(__xludf.DUMMYFUNCTION("""COMPUTED_VALUE"""),"https://www.geekwire.com/2026/report-amazon-buys-1300-acres-near-columbia-river-that-could-become-a-giant-data-center/")</f>
        <v>https://www.geekwire.com/2026/report-amazon-buys-1300-acres-near-columbia-river-that-could-become-a-giant-data-center/</v>
      </c>
      <c r="AJ737" s="2" t="str">
        <f>IFERROR(__xludf.DUMMYFUNCTION("""COMPUTED_VALUE"""),"https://www.datacenterdynamics.com/en/news/amazon-purchases-1300-acres-in-morrow-county-oregon/")</f>
        <v>https://www.datacenterdynamics.com/en/news/amazon-purchases-1300-acres-in-morrow-county-oregon/</v>
      </c>
      <c r="AK737" s="1" t="str">
        <f>IFERROR(__xludf.DUMMYFUNCTION("""COMPUTED_VALUE"""),"")</f>
        <v/>
      </c>
      <c r="AL737" s="1" t="str">
        <f>IFERROR(__xludf.DUMMYFUNCTION("""COMPUTED_VALUE"""),"")</f>
        <v/>
      </c>
      <c r="AM737" s="1" t="str">
        <f>IFERROR(__xludf.DUMMYFUNCTION("""COMPUTED_VALUE"""),"")</f>
        <v/>
      </c>
      <c r="AN737" s="1" t="str">
        <f>IFERROR(__xludf.DUMMYFUNCTION("""COMPUTED_VALUE"""),"")</f>
        <v/>
      </c>
      <c r="AO737" s="1" t="str">
        <f>IFERROR(__xludf.DUMMYFUNCTION("""COMPUTED_VALUE"""),"")</f>
        <v/>
      </c>
      <c r="AP737" s="1" t="str">
        <f>IFERROR(__xludf.DUMMYFUNCTION("""COMPUTED_VALUE"""),"")</f>
        <v/>
      </c>
      <c r="AQ737" s="1" t="str">
        <f>IFERROR(__xludf.DUMMYFUNCTION("""COMPUTED_VALUE"""),"04/01/2026")</f>
        <v>04/01/2026</v>
      </c>
      <c r="AR737" s="1" t="str">
        <f>IFERROR(__xludf.DUMMYFUNCTION("""COMPUTED_VALUE"""),"04/24/2026")</f>
        <v>04/24/2026</v>
      </c>
    </row>
    <row r="738">
      <c r="A738" s="1" t="str">
        <f>IFERROR(__xludf.DUMMYFUNCTION("""COMPUTED_VALUE"""),"Roundhouse Data Center")</f>
        <v>Roundhouse Data Center</v>
      </c>
      <c r="B738" s="1" t="str">
        <f>IFERROR(__xludf.DUMMYFUNCTION("""COMPUTED_VALUE"""),"Cascade Locks area")</f>
        <v>Cascade Locks area</v>
      </c>
      <c r="C738" s="1" t="str">
        <f>IFERROR(__xludf.DUMMYFUNCTION("""COMPUTED_VALUE"""),"Cascade Locks")</f>
        <v>Cascade Locks</v>
      </c>
      <c r="D738" s="1" t="str">
        <f>IFERROR(__xludf.DUMMYFUNCTION("""COMPUTED_VALUE"""),"OR")</f>
        <v>OR</v>
      </c>
      <c r="E738" s="1" t="str">
        <f>IFERROR(__xludf.DUMMYFUNCTION("""COMPUTED_VALUE"""),"97014")</f>
        <v>97014</v>
      </c>
      <c r="F738" s="1" t="str">
        <f>IFERROR(__xludf.DUMMYFUNCTION("""COMPUTED_VALUE"""),"Hood River")</f>
        <v>Hood River</v>
      </c>
      <c r="G738" s="1" t="str">
        <f>IFERROR(__xludf.DUMMYFUNCTION("""COMPUTED_VALUE"""),"45.67192")</f>
        <v>45.67192</v>
      </c>
      <c r="H738" s="1" t="str">
        <f>IFERROR(__xludf.DUMMYFUNCTION("""COMPUTED_VALUE"""),"-121.886")</f>
        <v>-121.886</v>
      </c>
      <c r="I738" s="1" t="str">
        <f>IFERROR(__xludf.DUMMYFUNCTION("""COMPUTED_VALUE"""),"Cancelled")</f>
        <v>Cancelled</v>
      </c>
      <c r="J738" s="1" t="str">
        <f>IFERROR(__xludf.DUMMYFUNCTION("""COMPUTED_VALUE"""),"Medium")</f>
        <v>Medium</v>
      </c>
      <c r="K738" s="1" t="str">
        <f>IFERROR(__xludf.DUMMYFUNCTION("""COMPUTED_VALUE"""),"")</f>
        <v/>
      </c>
      <c r="L738" s="1" t="str">
        <f>IFERROR(__xludf.DUMMYFUNCTION("""COMPUTED_VALUE"""),"")</f>
        <v/>
      </c>
      <c r="M738" s="1" t="str">
        <f>IFERROR(__xludf.DUMMYFUNCTION("""COMPUTED_VALUE"""),"")</f>
        <v/>
      </c>
      <c r="N738" s="1" t="str">
        <f>IFERROR(__xludf.DUMMYFUNCTION("""COMPUTED_VALUE"""),"")</f>
        <v/>
      </c>
      <c r="O738" s="1" t="str">
        <f>IFERROR(__xludf.DUMMYFUNCTION("""COMPUTED_VALUE"""),"Unknown")</f>
        <v>Unknown</v>
      </c>
      <c r="P738" s="1" t="str">
        <f>IFERROR(__xludf.DUMMYFUNCTION("""COMPUTED_VALUE"""),"")</f>
        <v/>
      </c>
      <c r="Q738" s="1" t="str">
        <f>IFERROR(__xludf.DUMMYFUNCTION("""COMPUTED_VALUE"""),"")</f>
        <v/>
      </c>
      <c r="R738" s="1" t="str">
        <f>IFERROR(__xludf.DUMMYFUNCTION("""COMPUTED_VALUE"""),"")</f>
        <v/>
      </c>
      <c r="S738" s="1" t="str">
        <f>IFERROR(__xludf.DUMMYFUNCTION("""COMPUTED_VALUE"""),"")</f>
        <v/>
      </c>
      <c r="T738" s="1" t="str">
        <f>IFERROR(__xludf.DUMMYFUNCTION("""COMPUTED_VALUE"""),"")</f>
        <v/>
      </c>
      <c r="U738" s="1" t="str">
        <f>IFERROR(__xludf.DUMMYFUNCTION("""COMPUTED_VALUE"""),"")</f>
        <v/>
      </c>
      <c r="V738" s="1" t="str">
        <f>IFERROR(__xludf.DUMMYFUNCTION("""COMPUTED_VALUE"""),"")</f>
        <v/>
      </c>
      <c r="W738" s="1" t="str">
        <f>IFERROR(__xludf.DUMMYFUNCTION("""COMPUTED_VALUE"""),"")</f>
        <v/>
      </c>
      <c r="X738" s="1" t="str">
        <f>IFERROR(__xludf.DUMMYFUNCTION("""COMPUTED_VALUE"""),"")</f>
        <v/>
      </c>
      <c r="Y738" s="1" t="str">
        <f>IFERROR(__xludf.DUMMYFUNCTION("""COMPUTED_VALUE"""),"")</f>
        <v/>
      </c>
      <c r="Z738" s="1" t="str">
        <f>IFERROR(__xludf.DUMMYFUNCTION("""COMPUTED_VALUE"""),"Yes")</f>
        <v>Yes</v>
      </c>
      <c r="AA738" s="2" t="str">
        <f>IFERROR(__xludf.DUMMYFUNCTION("""COMPUTED_VALUE"""),"https://www.oregonlive.com/silicon-forest/2023/07/cascade-locks-rejects-plan-for-100-million-data-center-in-the-columbia-river-gorge.html")</f>
        <v>https://www.oregonlive.com/silicon-forest/2023/07/cascade-locks-rejects-plan-for-100-million-data-center-in-the-columbia-river-gorge.html</v>
      </c>
      <c r="AB738" s="1" t="str">
        <f>IFERROR(__xludf.DUMMYFUNCTION("""COMPUTED_VALUE"""),"")</f>
        <v/>
      </c>
      <c r="AC738" s="1" t="str">
        <f>IFERROR(__xludf.DUMMYFUNCTION("""COMPUTED_VALUE"""),"")</f>
        <v/>
      </c>
      <c r="AD738" s="1" t="str">
        <f>IFERROR(__xludf.DUMMYFUNCTION("""COMPUTED_VALUE"""),"")</f>
        <v/>
      </c>
      <c r="AE738" s="1" t="str">
        <f>IFERROR(__xludf.DUMMYFUNCTION("""COMPUTED_VALUE"""),"")</f>
        <v/>
      </c>
      <c r="AF738" s="1" t="str">
        <f>IFERROR(__xludf.DUMMYFUNCTION("""COMPUTED_VALUE"""),"")</f>
        <v/>
      </c>
      <c r="AG738" s="1" t="str">
        <f>IFERROR(__xludf.DUMMYFUNCTION("""COMPUTED_VALUE"""),"")</f>
        <v/>
      </c>
      <c r="AH738" s="1" t="str">
        <f>IFERROR(__xludf.DUMMYFUNCTION("""COMPUTED_VALUE"""),"Media Monitoring")</f>
        <v>Media Monitoring</v>
      </c>
      <c r="AI738" s="2" t="str">
        <f>IFERROR(__xludf.DUMMYFUNCTION("""COMPUTED_VALUE"""),"https://www.oregonlive.com/silicon-forest/2023/03/startup-pitches-100-million-data-center-in-cascade-locks.html")</f>
        <v>https://www.oregonlive.com/silicon-forest/2023/03/startup-pitches-100-million-data-center-in-cascade-locks.html</v>
      </c>
      <c r="AJ738" s="2" t="str">
        <f>IFERROR(__xludf.DUMMYFUNCTION("""COMPUTED_VALUE"""),"https://www.oregonlive.com/silicon-forest/2023/07/cascade-locks-rejects-plan-for-100-million-data-center-in-the-columbia-river-gorge.html")</f>
        <v>https://www.oregonlive.com/silicon-forest/2023/07/cascade-locks-rejects-plan-for-100-million-data-center-in-the-columbia-river-gorge.html</v>
      </c>
      <c r="AK738" s="2" t="str">
        <f>IFERROR(__xludf.DUMMYFUNCTION("""COMPUTED_VALUE"""),"https://protectpwc.org/2023/07/24/bisnow-local-opposition-kills-100m-data-center-project-in-hot-oregon-market/")</f>
        <v>https://protectpwc.org/2023/07/24/bisnow-local-opposition-kills-100m-data-center-project-in-hot-oregon-market/</v>
      </c>
      <c r="AL738" s="1" t="str">
        <f>IFERROR(__xludf.DUMMYFUNCTION("""COMPUTED_VALUE"""),"")</f>
        <v/>
      </c>
      <c r="AM738" s="1" t="str">
        <f>IFERROR(__xludf.DUMMYFUNCTION("""COMPUTED_VALUE"""),"")</f>
        <v/>
      </c>
      <c r="AN738" s="1" t="str">
        <f>IFERROR(__xludf.DUMMYFUNCTION("""COMPUTED_VALUE"""),"")</f>
        <v/>
      </c>
      <c r="AO738" s="1" t="str">
        <f>IFERROR(__xludf.DUMMYFUNCTION("""COMPUTED_VALUE"""),"")</f>
        <v/>
      </c>
      <c r="AP738" s="1" t="str">
        <f>IFERROR(__xludf.DUMMYFUNCTION("""COMPUTED_VALUE"""),"")</f>
        <v/>
      </c>
      <c r="AQ738" s="1" t="str">
        <f>IFERROR(__xludf.DUMMYFUNCTION("""COMPUTED_VALUE"""),"05/23/2025")</f>
        <v>05/23/2025</v>
      </c>
      <c r="AR738" s="1" t="str">
        <f>IFERROR(__xludf.DUMMYFUNCTION("""COMPUTED_VALUE"""),"05/23/2025")</f>
        <v>05/23/2025</v>
      </c>
    </row>
    <row r="739">
      <c r="A739" s="1" t="str">
        <f>IFERROR(__xludf.DUMMYFUNCTION("""COMPUTED_VALUE"""),"Crane Data Centers")</f>
        <v>Crane Data Centers</v>
      </c>
      <c r="B739" s="1" t="str">
        <f>IFERROR(__xludf.DUMMYFUNCTION("""COMPUTED_VALUE"""),"2975 Heather St")</f>
        <v>2975 Heather St</v>
      </c>
      <c r="C739" s="1" t="str">
        <f>IFERROR(__xludf.DUMMYFUNCTION("""COMPUTED_VALUE"""),"Forest Grove")</f>
        <v>Forest Grove</v>
      </c>
      <c r="D739" s="1" t="str">
        <f>IFERROR(__xludf.DUMMYFUNCTION("""COMPUTED_VALUE"""),"OR")</f>
        <v>OR</v>
      </c>
      <c r="E739" s="1" t="str">
        <f>IFERROR(__xludf.DUMMYFUNCTION("""COMPUTED_VALUE"""),"97113")</f>
        <v>97113</v>
      </c>
      <c r="F739" s="1" t="str">
        <f>IFERROR(__xludf.DUMMYFUNCTION("""COMPUTED_VALUE"""),"Washington")</f>
        <v>Washington</v>
      </c>
      <c r="G739" s="1" t="str">
        <f>IFERROR(__xludf.DUMMYFUNCTION("""COMPUTED_VALUE"""),"45.51555")</f>
        <v>45.51555</v>
      </c>
      <c r="H739" s="1" t="str">
        <f>IFERROR(__xludf.DUMMYFUNCTION("""COMPUTED_VALUE"""),"-123.07915")</f>
        <v>-123.07915</v>
      </c>
      <c r="I739" s="1" t="str">
        <f>IFERROR(__xludf.DUMMYFUNCTION("""COMPUTED_VALUE"""),"Approved/Permitted/Under construction")</f>
        <v>Approved/Permitted/Under construction</v>
      </c>
      <c r="J739" s="1" t="str">
        <f>IFERROR(__xludf.DUMMYFUNCTION("""COMPUTED_VALUE"""),"High")</f>
        <v>High</v>
      </c>
      <c r="K739" s="1" t="str">
        <f>IFERROR(__xludf.DUMMYFUNCTION("""COMPUTED_VALUE"""),"")</f>
        <v/>
      </c>
      <c r="L739" s="1" t="str">
        <f>IFERROR(__xludf.DUMMYFUNCTION("""COMPUTED_VALUE"""),"")</f>
        <v/>
      </c>
      <c r="M739" s="1" t="str">
        <f>IFERROR(__xludf.DUMMYFUNCTION("""COMPUTED_VALUE"""),"")</f>
        <v/>
      </c>
      <c r="N739" s="1" t="str">
        <f>IFERROR(__xludf.DUMMYFUNCTION("""COMPUTED_VALUE"""),"")</f>
        <v/>
      </c>
      <c r="O739" s="1" t="str">
        <f>IFERROR(__xludf.DUMMYFUNCTION("""COMPUTED_VALUE"""),"Unknown")</f>
        <v>Unknown</v>
      </c>
      <c r="P739" s="1" t="str">
        <f>IFERROR(__xludf.DUMMYFUNCTION("""COMPUTED_VALUE"""),"")</f>
        <v/>
      </c>
      <c r="Q739" s="1" t="str">
        <f>IFERROR(__xludf.DUMMYFUNCTION("""COMPUTED_VALUE"""),"")</f>
        <v/>
      </c>
      <c r="R739" s="1" t="str">
        <f>IFERROR(__xludf.DUMMYFUNCTION("""COMPUTED_VALUE"""),"")</f>
        <v/>
      </c>
      <c r="S739" s="1" t="str">
        <f>IFERROR(__xludf.DUMMYFUNCTION("""COMPUTED_VALUE"""),"2")</f>
        <v>2</v>
      </c>
      <c r="T739" s="1" t="str">
        <f>IFERROR(__xludf.DUMMYFUNCTION("""COMPUTED_VALUE"""),"")</f>
        <v/>
      </c>
      <c r="U739" s="1" t="str">
        <f>IFERROR(__xludf.DUMMYFUNCTION("""COMPUTED_VALUE"""),"")</f>
        <v/>
      </c>
      <c r="V739" s="1" t="str">
        <f>IFERROR(__xludf.DUMMYFUNCTION("""COMPUTED_VALUE"""),"357,500")</f>
        <v>357,500</v>
      </c>
      <c r="W739" s="1" t="str">
        <f>IFERROR(__xludf.DUMMYFUNCTION("""COMPUTED_VALUE"""),"35")</f>
        <v>35</v>
      </c>
      <c r="X739" s="1" t="str">
        <f>IFERROR(__xludf.DUMMYFUNCTION("""COMPUTED_VALUE"""),"")</f>
        <v/>
      </c>
      <c r="Y739" s="1" t="str">
        <f>IFERROR(__xludf.DUMMYFUNCTION("""COMPUTED_VALUE"""),"")</f>
        <v/>
      </c>
      <c r="Z739" s="1" t="str">
        <f>IFERROR(__xludf.DUMMYFUNCTION("""COMPUTED_VALUE"""),"Unknown")</f>
        <v>Unknown</v>
      </c>
      <c r="AA739" s="1" t="str">
        <f>IFERROR(__xludf.DUMMYFUNCTION("""COMPUTED_VALUE"""),"")</f>
        <v/>
      </c>
      <c r="AB739" s="1" t="str">
        <f>IFERROR(__xludf.DUMMYFUNCTION("""COMPUTED_VALUE"""),"")</f>
        <v/>
      </c>
      <c r="AC739" s="1" t="str">
        <f>IFERROR(__xludf.DUMMYFUNCTION("""COMPUTED_VALUE"""),"")</f>
        <v/>
      </c>
      <c r="AD739" s="1" t="str">
        <f>IFERROR(__xludf.DUMMYFUNCTION("""COMPUTED_VALUE"""),"")</f>
        <v/>
      </c>
      <c r="AE739" s="1" t="str">
        <f>IFERROR(__xludf.DUMMYFUNCTION("""COMPUTED_VALUE"""),"")</f>
        <v/>
      </c>
      <c r="AF739" s="1" t="str">
        <f>IFERROR(__xludf.DUMMYFUNCTION("""COMPUTED_VALUE"""),"")</f>
        <v/>
      </c>
      <c r="AG739" s="1" t="str">
        <f>IFERROR(__xludf.DUMMYFUNCTION("""COMPUTED_VALUE"""),"")</f>
        <v/>
      </c>
      <c r="AH739" s="1" t="str">
        <f>IFERROR(__xludf.DUMMYFUNCTION("""COMPUTED_VALUE"""),"Media Monitoring")</f>
        <v>Media Monitoring</v>
      </c>
      <c r="AI739" s="2" t="str">
        <f>IFERROR(__xludf.DUMMYFUNCTION("""COMPUTED_VALUE"""),"https://www.oregonlive.com/news/2025/07/it-blocks-out-the-sky-data-centers-big-plans-rile-neighbors-in-small-town-forest-grove.html")</f>
        <v>https://www.oregonlive.com/news/2025/07/it-blocks-out-the-sky-data-centers-big-plans-rile-neighbors-in-small-town-forest-grove.html</v>
      </c>
      <c r="AJ739" s="2" t="str">
        <f>IFERROR(__xludf.DUMMYFUNCTION("""COMPUTED_VALUE"""),"https://www.datacenterdynamics.com/en/news/planning-commission-greenlights-crane-dcs-forest-grove-data-center-in-northwest-oregon-again/")</f>
        <v>https://www.datacenterdynamics.com/en/news/planning-commission-greenlights-crane-dcs-forest-grove-data-center-in-northwest-oregon-again/</v>
      </c>
      <c r="AK739" s="1" t="str">
        <f>IFERROR(__xludf.DUMMYFUNCTION("""COMPUTED_VALUE"""),"")</f>
        <v/>
      </c>
      <c r="AL739" s="1" t="str">
        <f>IFERROR(__xludf.DUMMYFUNCTION("""COMPUTED_VALUE"""),"")</f>
        <v/>
      </c>
      <c r="AM739" s="1" t="str">
        <f>IFERROR(__xludf.DUMMYFUNCTION("""COMPUTED_VALUE"""),"")</f>
        <v/>
      </c>
      <c r="AN739" s="1" t="str">
        <f>IFERROR(__xludf.DUMMYFUNCTION("""COMPUTED_VALUE"""),"")</f>
        <v/>
      </c>
      <c r="AO739" s="1" t="str">
        <f>IFERROR(__xludf.DUMMYFUNCTION("""COMPUTED_VALUE"""),"")</f>
        <v/>
      </c>
      <c r="AP739" s="1" t="str">
        <f>IFERROR(__xludf.DUMMYFUNCTION("""COMPUTED_VALUE"""),"")</f>
        <v/>
      </c>
      <c r="AQ739" s="1" t="str">
        <f>IFERROR(__xludf.DUMMYFUNCTION("""COMPUTED_VALUE"""),"07/16/2025")</f>
        <v>07/16/2025</v>
      </c>
      <c r="AR739" s="1" t="str">
        <f>IFERROR(__xludf.DUMMYFUNCTION("""COMPUTED_VALUE"""),"06/26/2026")</f>
        <v>06/26/2026</v>
      </c>
    </row>
    <row r="740">
      <c r="A740" s="1" t="str">
        <f>IFERROR(__xludf.DUMMYFUNCTION("""COMPUTED_VALUE"""),"Amazon Data Center")</f>
        <v>Amazon Data Center</v>
      </c>
      <c r="B740" s="1" t="str">
        <f>IFERROR(__xludf.DUMMYFUNCTION("""COMPUTED_VALUE"""),"OR-207")</f>
        <v>OR-207</v>
      </c>
      <c r="C740" s="1" t="str">
        <f>IFERROR(__xludf.DUMMYFUNCTION("""COMPUTED_VALUE"""),"Heppner")</f>
        <v>Heppner</v>
      </c>
      <c r="D740" s="1" t="str">
        <f>IFERROR(__xludf.DUMMYFUNCTION("""COMPUTED_VALUE"""),"OR")</f>
        <v>OR</v>
      </c>
      <c r="E740" s="1" t="str">
        <f>IFERROR(__xludf.DUMMYFUNCTION("""COMPUTED_VALUE"""),"97836")</f>
        <v>97836</v>
      </c>
      <c r="F740" s="1" t="str">
        <f>IFERROR(__xludf.DUMMYFUNCTION("""COMPUTED_VALUE"""),"Morrow")</f>
        <v>Morrow</v>
      </c>
      <c r="G740" s="1" t="str">
        <f>IFERROR(__xludf.DUMMYFUNCTION("""COMPUTED_VALUE"""),"45.604702")</f>
        <v>45.604702</v>
      </c>
      <c r="H740" s="1" t="str">
        <f>IFERROR(__xludf.DUMMYFUNCTION("""COMPUTED_VALUE"""),"-119.573364")</f>
        <v>-119.573364</v>
      </c>
      <c r="I740" s="1" t="str">
        <f>IFERROR(__xludf.DUMMYFUNCTION("""COMPUTED_VALUE"""),"Proposed")</f>
        <v>Proposed</v>
      </c>
      <c r="J740" s="1" t="str">
        <f>IFERROR(__xludf.DUMMYFUNCTION("""COMPUTED_VALUE"""),"High")</f>
        <v>High</v>
      </c>
      <c r="K740" s="1" t="str">
        <f>IFERROR(__xludf.DUMMYFUNCTION("""COMPUTED_VALUE"""),"")</f>
        <v/>
      </c>
      <c r="L740" s="1" t="str">
        <f>IFERROR(__xludf.DUMMYFUNCTION("""COMPUTED_VALUE"""),"Amazon")</f>
        <v>Amazon</v>
      </c>
      <c r="M740" s="1" t="str">
        <f>IFERROR(__xludf.DUMMYFUNCTION("""COMPUTED_VALUE"""),"")</f>
        <v/>
      </c>
      <c r="N740" s="1" t="str">
        <f>IFERROR(__xludf.DUMMYFUNCTION("""COMPUTED_VALUE"""),"1,200")</f>
        <v>1,200</v>
      </c>
      <c r="O740" s="1" t="str">
        <f>IFERROR(__xludf.DUMMYFUNCTION("""COMPUTED_VALUE"""),"Mega campus (&gt;1,000 MW)")</f>
        <v>Mega campus (&gt;1,000 MW)</v>
      </c>
      <c r="P740" s="1" t="str">
        <f>IFERROR(__xludf.DUMMYFUNCTION("""COMPUTED_VALUE"""),"Solar")</f>
        <v>Solar</v>
      </c>
      <c r="Q740" s="1" t="str">
        <f>IFERROR(__xludf.DUMMYFUNCTION("""COMPUTED_VALUE"""),"Yes")</f>
        <v>Yes</v>
      </c>
      <c r="R740" s="1" t="str">
        <f>IFERROR(__xludf.DUMMYFUNCTION("""COMPUTED_VALUE"""),"")</f>
        <v/>
      </c>
      <c r="S740" s="1" t="str">
        <f>IFERROR(__xludf.DUMMYFUNCTION("""COMPUTED_VALUE"""),"")</f>
        <v/>
      </c>
      <c r="T740" s="1" t="str">
        <f>IFERROR(__xludf.DUMMYFUNCTION("""COMPUTED_VALUE"""),"")</f>
        <v/>
      </c>
      <c r="U740" s="1" t="str">
        <f>IFERROR(__xludf.DUMMYFUNCTION("""COMPUTED_VALUE"""),"")</f>
        <v/>
      </c>
      <c r="V740" s="1" t="str">
        <f>IFERROR(__xludf.DUMMYFUNCTION("""COMPUTED_VALUE"""),"")</f>
        <v/>
      </c>
      <c r="W740" s="1" t="str">
        <f>IFERROR(__xludf.DUMMYFUNCTION("""COMPUTED_VALUE"""),"")</f>
        <v/>
      </c>
      <c r="X740" s="1" t="str">
        <f>IFERROR(__xludf.DUMMYFUNCTION("""COMPUTED_VALUE"""),"")</f>
        <v/>
      </c>
      <c r="Y740" s="1" t="str">
        <f>IFERROR(__xludf.DUMMYFUNCTION("""COMPUTED_VALUE"""),"2027")</f>
        <v>2027</v>
      </c>
      <c r="Z740" s="1" t="str">
        <f>IFERROR(__xludf.DUMMYFUNCTION("""COMPUTED_VALUE"""),"Unknown")</f>
        <v>Unknown</v>
      </c>
      <c r="AA740" s="1" t="str">
        <f>IFERROR(__xludf.DUMMYFUNCTION("""COMPUTED_VALUE"""),"")</f>
        <v/>
      </c>
      <c r="AB740" s="1" t="str">
        <f>IFERROR(__xludf.DUMMYFUNCTION("""COMPUTED_VALUE"""),"")</f>
        <v/>
      </c>
      <c r="AC740" s="1" t="str">
        <f>IFERROR(__xludf.DUMMYFUNCTION("""COMPUTED_VALUE"""),"")</f>
        <v/>
      </c>
      <c r="AD740" s="1" t="str">
        <f>IFERROR(__xludf.DUMMYFUNCTION("""COMPUTED_VALUE"""),"")</f>
        <v/>
      </c>
      <c r="AE740" s="1" t="str">
        <f>IFERROR(__xludf.DUMMYFUNCTION("""COMPUTED_VALUE"""),"")</f>
        <v/>
      </c>
      <c r="AF740" s="1" t="str">
        <f>IFERROR(__xludf.DUMMYFUNCTION("""COMPUTED_VALUE"""),"")</f>
        <v/>
      </c>
      <c r="AG740" s="1" t="str">
        <f>IFERROR(__xludf.DUMMYFUNCTION("""COMPUTED_VALUE"""),"Solar farm and battery storage site")</f>
        <v>Solar farm and battery storage site</v>
      </c>
      <c r="AH740" s="1" t="str">
        <f>IFERROR(__xludf.DUMMYFUNCTION("""COMPUTED_VALUE"""),"Media Monitoring")</f>
        <v>Media Monitoring</v>
      </c>
      <c r="AI740" s="2" t="str">
        <f>IFERROR(__xludf.DUMMYFUNCTION("""COMPUTED_VALUE"""),"https://www.datacenterdynamics.com/en/news/amazon-acquires-shovel-ready-12gw-solar-and-storage-facility-in-oregon-report/")</f>
        <v>https://www.datacenterdynamics.com/en/news/amazon-acquires-shovel-ready-12gw-solar-and-storage-facility-in-oregon-report/</v>
      </c>
      <c r="AJ740" s="2" t="str">
        <f>IFERROR(__xludf.DUMMYFUNCTION("""COMPUTED_VALUE"""),"https://www.oregon.gov/energy/facilities-safety/facilities/Facilities%20library/2024-05-15-ESP-ASC-Location.pdf")</f>
        <v>https://www.oregon.gov/energy/facilities-safety/facilities/Facilities%20library/2024-05-15-ESP-ASC-Location.pdf</v>
      </c>
      <c r="AK740" s="1" t="str">
        <f>IFERROR(__xludf.DUMMYFUNCTION("""COMPUTED_VALUE"""),"")</f>
        <v/>
      </c>
      <c r="AL740" s="1" t="str">
        <f>IFERROR(__xludf.DUMMYFUNCTION("""COMPUTED_VALUE"""),"")</f>
        <v/>
      </c>
      <c r="AM740" s="1" t="str">
        <f>IFERROR(__xludf.DUMMYFUNCTION("""COMPUTED_VALUE"""),"")</f>
        <v/>
      </c>
      <c r="AN740" s="1" t="str">
        <f>IFERROR(__xludf.DUMMYFUNCTION("""COMPUTED_VALUE"""),"")</f>
        <v/>
      </c>
      <c r="AO740" s="1" t="str">
        <f>IFERROR(__xludf.DUMMYFUNCTION("""COMPUTED_VALUE"""),"")</f>
        <v/>
      </c>
      <c r="AP740" s="1" t="str">
        <f>IFERROR(__xludf.DUMMYFUNCTION("""COMPUTED_VALUE"""),"")</f>
        <v/>
      </c>
      <c r="AQ740" s="1" t="str">
        <f>IFERROR(__xludf.DUMMYFUNCTION("""COMPUTED_VALUE"""),"01/19/2026")</f>
        <v>01/19/2026</v>
      </c>
      <c r="AR740" s="1" t="str">
        <f>IFERROR(__xludf.DUMMYFUNCTION("""COMPUTED_VALUE"""),"01/19/2026")</f>
        <v>01/19/2026</v>
      </c>
    </row>
    <row r="741">
      <c r="A741" s="1" t="str">
        <f>IFERROR(__xludf.DUMMYFUNCTION("""COMPUTED_VALUE"""),"Adobe Data Center")</f>
        <v>Adobe Data Center</v>
      </c>
      <c r="B741" s="1" t="str">
        <f>IFERROR(__xludf.DUMMYFUNCTION("""COMPUTED_VALUE"""),"4455 NE Dawson Creek Dr")</f>
        <v>4455 NE Dawson Creek Dr</v>
      </c>
      <c r="C741" s="1" t="str">
        <f>IFERROR(__xludf.DUMMYFUNCTION("""COMPUTED_VALUE"""),"Hillsboro")</f>
        <v>Hillsboro</v>
      </c>
      <c r="D741" s="1" t="str">
        <f>IFERROR(__xludf.DUMMYFUNCTION("""COMPUTED_VALUE"""),"OR")</f>
        <v>OR</v>
      </c>
      <c r="E741" s="1" t="str">
        <f>IFERROR(__xludf.DUMMYFUNCTION("""COMPUTED_VALUE"""),"97124")</f>
        <v>97124</v>
      </c>
      <c r="F741" s="1" t="str">
        <f>IFERROR(__xludf.DUMMYFUNCTION("""COMPUTED_VALUE"""),"Washington")</f>
        <v>Washington</v>
      </c>
      <c r="G741" s="1" t="str">
        <f>IFERROR(__xludf.DUMMYFUNCTION("""COMPUTED_VALUE"""),"45.550182")</f>
        <v>45.550182</v>
      </c>
      <c r="H741" s="1" t="str">
        <f>IFERROR(__xludf.DUMMYFUNCTION("""COMPUTED_VALUE"""),"-122.93266")</f>
        <v>-122.93266</v>
      </c>
      <c r="I741" s="1" t="str">
        <f>IFERROR(__xludf.DUMMYFUNCTION("""COMPUTED_VALUE"""),"Operating")</f>
        <v>Operating</v>
      </c>
      <c r="J741" s="1" t="str">
        <f>IFERROR(__xludf.DUMMYFUNCTION("""COMPUTED_VALUE"""),"High")</f>
        <v>High</v>
      </c>
      <c r="K741" s="1" t="str">
        <f>IFERROR(__xludf.DUMMYFUNCTION("""COMPUTED_VALUE"""),"")</f>
        <v/>
      </c>
      <c r="L741" s="1" t="str">
        <f>IFERROR(__xludf.DUMMYFUNCTION("""COMPUTED_VALUE"""),"")</f>
        <v/>
      </c>
      <c r="M741" s="1" t="str">
        <f>IFERROR(__xludf.DUMMYFUNCTION("""COMPUTED_VALUE"""),"")</f>
        <v/>
      </c>
      <c r="N741" s="1" t="str">
        <f>IFERROR(__xludf.DUMMYFUNCTION("""COMPUTED_VALUE"""),"")</f>
        <v/>
      </c>
      <c r="O741" s="1" t="str">
        <f>IFERROR(__xludf.DUMMYFUNCTION("""COMPUTED_VALUE"""),"Unknown")</f>
        <v>Unknown</v>
      </c>
      <c r="P741" s="1" t="str">
        <f>IFERROR(__xludf.DUMMYFUNCTION("""COMPUTED_VALUE"""),"")</f>
        <v/>
      </c>
      <c r="Q741" s="1" t="str">
        <f>IFERROR(__xludf.DUMMYFUNCTION("""COMPUTED_VALUE"""),"")</f>
        <v/>
      </c>
      <c r="R741" s="1" t="str">
        <f>IFERROR(__xludf.DUMMYFUNCTION("""COMPUTED_VALUE"""),"")</f>
        <v/>
      </c>
      <c r="S741" s="1" t="str">
        <f>IFERROR(__xludf.DUMMYFUNCTION("""COMPUTED_VALUE"""),"")</f>
        <v/>
      </c>
      <c r="T741" s="1" t="str">
        <f>IFERROR(__xludf.DUMMYFUNCTION("""COMPUTED_VALUE"""),"")</f>
        <v/>
      </c>
      <c r="U741" s="1" t="str">
        <f>IFERROR(__xludf.DUMMYFUNCTION("""COMPUTED_VALUE"""),"")</f>
        <v/>
      </c>
      <c r="V741" s="1" t="str">
        <f>IFERROR(__xludf.DUMMYFUNCTION("""COMPUTED_VALUE"""),"")</f>
        <v/>
      </c>
      <c r="W741" s="1" t="str">
        <f>IFERROR(__xludf.DUMMYFUNCTION("""COMPUTED_VALUE"""),"")</f>
        <v/>
      </c>
      <c r="X741" s="1" t="str">
        <f>IFERROR(__xludf.DUMMYFUNCTION("""COMPUTED_VALUE"""),"")</f>
        <v/>
      </c>
      <c r="Y741" s="1" t="str">
        <f>IFERROR(__xludf.DUMMYFUNCTION("""COMPUTED_VALUE"""),"")</f>
        <v/>
      </c>
      <c r="Z741" s="1" t="str">
        <f>IFERROR(__xludf.DUMMYFUNCTION("""COMPUTED_VALUE"""),"Unknown")</f>
        <v>Unknown</v>
      </c>
      <c r="AA741" s="1" t="str">
        <f>IFERROR(__xludf.DUMMYFUNCTION("""COMPUTED_VALUE"""),"")</f>
        <v/>
      </c>
      <c r="AB741" s="1" t="str">
        <f>IFERROR(__xludf.DUMMYFUNCTION("""COMPUTED_VALUE"""),"")</f>
        <v/>
      </c>
      <c r="AC741" s="1" t="str">
        <f>IFERROR(__xludf.DUMMYFUNCTION("""COMPUTED_VALUE"""),"")</f>
        <v/>
      </c>
      <c r="AD741" s="1" t="str">
        <f>IFERROR(__xludf.DUMMYFUNCTION("""COMPUTED_VALUE"""),"")</f>
        <v/>
      </c>
      <c r="AE741" s="1" t="str">
        <f>IFERROR(__xludf.DUMMYFUNCTION("""COMPUTED_VALUE"""),"")</f>
        <v/>
      </c>
      <c r="AF741" s="1" t="str">
        <f>IFERROR(__xludf.DUMMYFUNCTION("""COMPUTED_VALUE"""),"")</f>
        <v/>
      </c>
      <c r="AG741" s="1" t="str">
        <f>IFERROR(__xludf.DUMMYFUNCTION("""COMPUTED_VALUE"""),"")</f>
        <v/>
      </c>
      <c r="AH741" s="1" t="str">
        <f>IFERROR(__xludf.DUMMYFUNCTION("""COMPUTED_VALUE"""),"Media Monitoring")</f>
        <v>Media Monitoring</v>
      </c>
      <c r="AI741" s="1" t="str">
        <f>IFERROR(__xludf.DUMMYFUNCTION("""COMPUTED_VALUE"""),"")</f>
        <v/>
      </c>
      <c r="AJ741" s="1" t="str">
        <f>IFERROR(__xludf.DUMMYFUNCTION("""COMPUTED_VALUE"""),"")</f>
        <v/>
      </c>
      <c r="AK741" s="1" t="str">
        <f>IFERROR(__xludf.DUMMYFUNCTION("""COMPUTED_VALUE"""),"")</f>
        <v/>
      </c>
      <c r="AL741" s="1" t="str">
        <f>IFERROR(__xludf.DUMMYFUNCTION("""COMPUTED_VALUE"""),"")</f>
        <v/>
      </c>
      <c r="AM741" s="1" t="str">
        <f>IFERROR(__xludf.DUMMYFUNCTION("""COMPUTED_VALUE"""),"")</f>
        <v/>
      </c>
      <c r="AN741" s="1" t="str">
        <f>IFERROR(__xludf.DUMMYFUNCTION("""COMPUTED_VALUE"""),"")</f>
        <v/>
      </c>
      <c r="AO741" s="1" t="str">
        <f>IFERROR(__xludf.DUMMYFUNCTION("""COMPUTED_VALUE"""),"")</f>
        <v/>
      </c>
      <c r="AP741" s="1" t="str">
        <f>IFERROR(__xludf.DUMMYFUNCTION("""COMPUTED_VALUE"""),"")</f>
        <v/>
      </c>
      <c r="AQ741" s="1" t="str">
        <f>IFERROR(__xludf.DUMMYFUNCTION("""COMPUTED_VALUE"""),"02/20/2026")</f>
        <v>02/20/2026</v>
      </c>
      <c r="AR741" s="1" t="str">
        <f>IFERROR(__xludf.DUMMYFUNCTION("""COMPUTED_VALUE"""),"02/20/2026")</f>
        <v>02/20/2026</v>
      </c>
    </row>
    <row r="742">
      <c r="A742" s="1" t="str">
        <f>IFERROR(__xludf.DUMMYFUNCTION("""COMPUTED_VALUE"""),"Flexential Hillsboro 1")</f>
        <v>Flexential Hillsboro 1</v>
      </c>
      <c r="B742" s="1" t="str">
        <f>IFERROR(__xludf.DUMMYFUNCTION("""COMPUTED_VALUE"""),"7273, 3935 NE NW Aloclek Pl")</f>
        <v>7273, 3935 NE NW Aloclek Pl</v>
      </c>
      <c r="C742" s="1" t="str">
        <f>IFERROR(__xludf.DUMMYFUNCTION("""COMPUTED_VALUE"""),"Hillsboro")</f>
        <v>Hillsboro</v>
      </c>
      <c r="D742" s="1" t="str">
        <f>IFERROR(__xludf.DUMMYFUNCTION("""COMPUTED_VALUE"""),"OR")</f>
        <v>OR</v>
      </c>
      <c r="E742" s="1" t="str">
        <f>IFERROR(__xludf.DUMMYFUNCTION("""COMPUTED_VALUE"""),"97124")</f>
        <v>97124</v>
      </c>
      <c r="F742" s="1" t="str">
        <f>IFERROR(__xludf.DUMMYFUNCTION("""COMPUTED_VALUE"""),"Washington")</f>
        <v>Washington</v>
      </c>
      <c r="G742" s="1" t="str">
        <f>IFERROR(__xludf.DUMMYFUNCTION("""COMPUTED_VALUE"""),"45.55948")</f>
        <v>45.55948</v>
      </c>
      <c r="H742" s="1" t="str">
        <f>IFERROR(__xludf.DUMMYFUNCTION("""COMPUTED_VALUE"""),"-122.938")</f>
        <v>-122.938</v>
      </c>
      <c r="I742" s="1" t="str">
        <f>IFERROR(__xludf.DUMMYFUNCTION("""COMPUTED_VALUE"""),"Operating")</f>
        <v>Operating</v>
      </c>
      <c r="J742" s="1" t="str">
        <f>IFERROR(__xludf.DUMMYFUNCTION("""COMPUTED_VALUE"""),"High")</f>
        <v>High</v>
      </c>
      <c r="K742" s="1" t="str">
        <f>IFERROR(__xludf.DUMMYFUNCTION("""COMPUTED_VALUE"""),"")</f>
        <v/>
      </c>
      <c r="L742" s="1" t="str">
        <f>IFERROR(__xludf.DUMMYFUNCTION("""COMPUTED_VALUE"""),"")</f>
        <v/>
      </c>
      <c r="M742" s="1" t="str">
        <f>IFERROR(__xludf.DUMMYFUNCTION("""COMPUTED_VALUE"""),"")</f>
        <v/>
      </c>
      <c r="N742" s="1" t="str">
        <f>IFERROR(__xludf.DUMMYFUNCTION("""COMPUTED_VALUE"""),"12")</f>
        <v>12</v>
      </c>
      <c r="O742" s="1" t="str">
        <f>IFERROR(__xludf.DUMMYFUNCTION("""COMPUTED_VALUE"""),"Medium (11-50 MW)")</f>
        <v>Medium (11-50 MW)</v>
      </c>
      <c r="P742" s="1" t="str">
        <f>IFERROR(__xludf.DUMMYFUNCTION("""COMPUTED_VALUE"""),"")</f>
        <v/>
      </c>
      <c r="Q742" s="1" t="str">
        <f>IFERROR(__xludf.DUMMYFUNCTION("""COMPUTED_VALUE"""),"")</f>
        <v/>
      </c>
      <c r="R742" s="1" t="str">
        <f>IFERROR(__xludf.DUMMYFUNCTION("""COMPUTED_VALUE"""),"")</f>
        <v/>
      </c>
      <c r="S742" s="1" t="str">
        <f>IFERROR(__xludf.DUMMYFUNCTION("""COMPUTED_VALUE"""),"")</f>
        <v/>
      </c>
      <c r="T742" s="1" t="str">
        <f>IFERROR(__xludf.DUMMYFUNCTION("""COMPUTED_VALUE"""),"")</f>
        <v/>
      </c>
      <c r="U742" s="1" t="str">
        <f>IFERROR(__xludf.DUMMYFUNCTION("""COMPUTED_VALUE"""),"")</f>
        <v/>
      </c>
      <c r="V742" s="1" t="str">
        <f>IFERROR(__xludf.DUMMYFUNCTION("""COMPUTED_VALUE"""),"120,000")</f>
        <v>120,000</v>
      </c>
      <c r="W742" s="1" t="str">
        <f>IFERROR(__xludf.DUMMYFUNCTION("""COMPUTED_VALUE"""),"")</f>
        <v/>
      </c>
      <c r="X742" s="1" t="str">
        <f>IFERROR(__xludf.DUMMYFUNCTION("""COMPUTED_VALUE"""),"")</f>
        <v/>
      </c>
      <c r="Y742" s="1" t="str">
        <f>IFERROR(__xludf.DUMMYFUNCTION("""COMPUTED_VALUE"""),"")</f>
        <v/>
      </c>
      <c r="Z742" s="1" t="str">
        <f>IFERROR(__xludf.DUMMYFUNCTION("""COMPUTED_VALUE"""),"Unknown")</f>
        <v>Unknown</v>
      </c>
      <c r="AA742" s="1" t="str">
        <f>IFERROR(__xludf.DUMMYFUNCTION("""COMPUTED_VALUE"""),"")</f>
        <v/>
      </c>
      <c r="AB742" s="1" t="str">
        <f>IFERROR(__xludf.DUMMYFUNCTION("""COMPUTED_VALUE"""),"")</f>
        <v/>
      </c>
      <c r="AC742" s="1" t="str">
        <f>IFERROR(__xludf.DUMMYFUNCTION("""COMPUTED_VALUE"""),"")</f>
        <v/>
      </c>
      <c r="AD742" s="1" t="str">
        <f>IFERROR(__xludf.DUMMYFUNCTION("""COMPUTED_VALUE"""),"")</f>
        <v/>
      </c>
      <c r="AE742" s="1" t="str">
        <f>IFERROR(__xludf.DUMMYFUNCTION("""COMPUTED_VALUE"""),"")</f>
        <v/>
      </c>
      <c r="AF742" s="1" t="str">
        <f>IFERROR(__xludf.DUMMYFUNCTION("""COMPUTED_VALUE"""),"")</f>
        <v/>
      </c>
      <c r="AG742" s="1" t="str">
        <f>IFERROR(__xludf.DUMMYFUNCTION("""COMPUTED_VALUE"""),"")</f>
        <v/>
      </c>
      <c r="AH742" s="1" t="str">
        <f>IFERROR(__xludf.DUMMYFUNCTION("""COMPUTED_VALUE"""),"Media Monitoring")</f>
        <v>Media Monitoring</v>
      </c>
      <c r="AI742" s="2" t="str">
        <f>IFERROR(__xludf.DUMMYFUNCTION("""COMPUTED_VALUE"""),"https://hillsboroherald.com/flexentials-new-hillsboro-6-data-center-marks-a-shift-from-jobs-to-joules/")</f>
        <v>https://hillsboroherald.com/flexentials-new-hillsboro-6-data-center-marks-a-shift-from-jobs-to-joules/</v>
      </c>
      <c r="AJ742" s="1" t="str">
        <f>IFERROR(__xludf.DUMMYFUNCTION("""COMPUTED_VALUE"""),"")</f>
        <v/>
      </c>
      <c r="AK742" s="1" t="str">
        <f>IFERROR(__xludf.DUMMYFUNCTION("""COMPUTED_VALUE"""),"")</f>
        <v/>
      </c>
      <c r="AL742" s="1" t="str">
        <f>IFERROR(__xludf.DUMMYFUNCTION("""COMPUTED_VALUE"""),"")</f>
        <v/>
      </c>
      <c r="AM742" s="1" t="str">
        <f>IFERROR(__xludf.DUMMYFUNCTION("""COMPUTED_VALUE"""),"")</f>
        <v/>
      </c>
      <c r="AN742" s="1" t="str">
        <f>IFERROR(__xludf.DUMMYFUNCTION("""COMPUTED_VALUE"""),"")</f>
        <v/>
      </c>
      <c r="AO742" s="1" t="str">
        <f>IFERROR(__xludf.DUMMYFUNCTION("""COMPUTED_VALUE"""),"")</f>
        <v/>
      </c>
      <c r="AP742" s="1" t="str">
        <f>IFERROR(__xludf.DUMMYFUNCTION("""COMPUTED_VALUE"""),"")</f>
        <v/>
      </c>
      <c r="AQ742" s="1" t="str">
        <f>IFERROR(__xludf.DUMMYFUNCTION("""COMPUTED_VALUE"""),"09/09/2025")</f>
        <v>09/09/2025</v>
      </c>
      <c r="AR742" s="1" t="str">
        <f>IFERROR(__xludf.DUMMYFUNCTION("""COMPUTED_VALUE"""),"09/09/2025")</f>
        <v>09/09/2025</v>
      </c>
    </row>
    <row r="743">
      <c r="A743" s="1" t="str">
        <f>IFERROR(__xludf.DUMMYFUNCTION("""COMPUTED_VALUE"""),"Flexential Hillsboro 2")</f>
        <v>Flexential Hillsboro 2</v>
      </c>
      <c r="B743" s="1" t="str">
        <f>IFERROR(__xludf.DUMMYFUNCTION("""COMPUTED_VALUE"""),"5737 NE Huffman St")</f>
        <v>5737 NE Huffman St</v>
      </c>
      <c r="C743" s="1" t="str">
        <f>IFERROR(__xludf.DUMMYFUNCTION("""COMPUTED_VALUE"""),"Hillsboro")</f>
        <v>Hillsboro</v>
      </c>
      <c r="D743" s="1" t="str">
        <f>IFERROR(__xludf.DUMMYFUNCTION("""COMPUTED_VALUE"""),"OR")</f>
        <v>OR</v>
      </c>
      <c r="E743" s="1" t="str">
        <f>IFERROR(__xludf.DUMMYFUNCTION("""COMPUTED_VALUE"""),"97124")</f>
        <v>97124</v>
      </c>
      <c r="F743" s="1" t="str">
        <f>IFERROR(__xludf.DUMMYFUNCTION("""COMPUTED_VALUE"""),"Washington")</f>
        <v>Washington</v>
      </c>
      <c r="G743" s="1" t="str">
        <f>IFERROR(__xludf.DUMMYFUNCTION("""COMPUTED_VALUE"""),"45.54989")</f>
        <v>45.54989</v>
      </c>
      <c r="H743" s="1" t="str">
        <f>IFERROR(__xludf.DUMMYFUNCTION("""COMPUTED_VALUE"""),"-122.891")</f>
        <v>-122.891</v>
      </c>
      <c r="I743" s="1" t="str">
        <f>IFERROR(__xludf.DUMMYFUNCTION("""COMPUTED_VALUE"""),"Operating")</f>
        <v>Operating</v>
      </c>
      <c r="J743" s="1" t="str">
        <f>IFERROR(__xludf.DUMMYFUNCTION("""COMPUTED_VALUE"""),"High")</f>
        <v>High</v>
      </c>
      <c r="K743" s="1" t="str">
        <f>IFERROR(__xludf.DUMMYFUNCTION("""COMPUTED_VALUE"""),"")</f>
        <v/>
      </c>
      <c r="L743" s="1" t="str">
        <f>IFERROR(__xludf.DUMMYFUNCTION("""COMPUTED_VALUE"""),"")</f>
        <v/>
      </c>
      <c r="M743" s="1" t="str">
        <f>IFERROR(__xludf.DUMMYFUNCTION("""COMPUTED_VALUE"""),"")</f>
        <v/>
      </c>
      <c r="N743" s="1" t="str">
        <f>IFERROR(__xludf.DUMMYFUNCTION("""COMPUTED_VALUE"""),"12–20")</f>
        <v>12–20</v>
      </c>
      <c r="O743" s="1" t="str">
        <f>IFERROR(__xludf.DUMMYFUNCTION("""COMPUTED_VALUE"""),"Medium (11-50 MW)")</f>
        <v>Medium (11-50 MW)</v>
      </c>
      <c r="P743" s="1" t="str">
        <f>IFERROR(__xludf.DUMMYFUNCTION("""COMPUTED_VALUE"""),"")</f>
        <v/>
      </c>
      <c r="Q743" s="1" t="str">
        <f>IFERROR(__xludf.DUMMYFUNCTION("""COMPUTED_VALUE"""),"")</f>
        <v/>
      </c>
      <c r="R743" s="1" t="str">
        <f>IFERROR(__xludf.DUMMYFUNCTION("""COMPUTED_VALUE"""),"")</f>
        <v/>
      </c>
      <c r="S743" s="1" t="str">
        <f>IFERROR(__xludf.DUMMYFUNCTION("""COMPUTED_VALUE"""),"")</f>
        <v/>
      </c>
      <c r="T743" s="1" t="str">
        <f>IFERROR(__xludf.DUMMYFUNCTION("""COMPUTED_VALUE"""),"")</f>
        <v/>
      </c>
      <c r="U743" s="1" t="str">
        <f>IFERROR(__xludf.DUMMYFUNCTION("""COMPUTED_VALUE"""),"")</f>
        <v/>
      </c>
      <c r="V743" s="1" t="str">
        <f>IFERROR(__xludf.DUMMYFUNCTION("""COMPUTED_VALUE"""),"")</f>
        <v/>
      </c>
      <c r="W743" s="1" t="str">
        <f>IFERROR(__xludf.DUMMYFUNCTION("""COMPUTED_VALUE"""),"")</f>
        <v/>
      </c>
      <c r="X743" s="1" t="str">
        <f>IFERROR(__xludf.DUMMYFUNCTION("""COMPUTED_VALUE"""),"")</f>
        <v/>
      </c>
      <c r="Y743" s="1" t="str">
        <f>IFERROR(__xludf.DUMMYFUNCTION("""COMPUTED_VALUE"""),"")</f>
        <v/>
      </c>
      <c r="Z743" s="1" t="str">
        <f>IFERROR(__xludf.DUMMYFUNCTION("""COMPUTED_VALUE"""),"Unknown")</f>
        <v>Unknown</v>
      </c>
      <c r="AA743" s="1" t="str">
        <f>IFERROR(__xludf.DUMMYFUNCTION("""COMPUTED_VALUE"""),"")</f>
        <v/>
      </c>
      <c r="AB743" s="1" t="str">
        <f>IFERROR(__xludf.DUMMYFUNCTION("""COMPUTED_VALUE"""),"")</f>
        <v/>
      </c>
      <c r="AC743" s="1" t="str">
        <f>IFERROR(__xludf.DUMMYFUNCTION("""COMPUTED_VALUE"""),"")</f>
        <v/>
      </c>
      <c r="AD743" s="1" t="str">
        <f>IFERROR(__xludf.DUMMYFUNCTION("""COMPUTED_VALUE"""),"")</f>
        <v/>
      </c>
      <c r="AE743" s="1" t="str">
        <f>IFERROR(__xludf.DUMMYFUNCTION("""COMPUTED_VALUE"""),"")</f>
        <v/>
      </c>
      <c r="AF743" s="1" t="str">
        <f>IFERROR(__xludf.DUMMYFUNCTION("""COMPUTED_VALUE"""),"")</f>
        <v/>
      </c>
      <c r="AG743" s="1" t="str">
        <f>IFERROR(__xludf.DUMMYFUNCTION("""COMPUTED_VALUE"""),"")</f>
        <v/>
      </c>
      <c r="AH743" s="1" t="str">
        <f>IFERROR(__xludf.DUMMYFUNCTION("""COMPUTED_VALUE"""),"Media Monitoring")</f>
        <v>Media Monitoring</v>
      </c>
      <c r="AI743" s="2" t="str">
        <f>IFERROR(__xludf.DUMMYFUNCTION("""COMPUTED_VALUE"""),"https://hillsboroherald.com/flexentials-new-hillsboro-6-data-center-marks-a-shift-from-jobs-to-joules/")</f>
        <v>https://hillsboroherald.com/flexentials-new-hillsboro-6-data-center-marks-a-shift-from-jobs-to-joules/</v>
      </c>
      <c r="AJ743" s="1" t="str">
        <f>IFERROR(__xludf.DUMMYFUNCTION("""COMPUTED_VALUE"""),"")</f>
        <v/>
      </c>
      <c r="AK743" s="1" t="str">
        <f>IFERROR(__xludf.DUMMYFUNCTION("""COMPUTED_VALUE"""),"")</f>
        <v/>
      </c>
      <c r="AL743" s="1" t="str">
        <f>IFERROR(__xludf.DUMMYFUNCTION("""COMPUTED_VALUE"""),"")</f>
        <v/>
      </c>
      <c r="AM743" s="1" t="str">
        <f>IFERROR(__xludf.DUMMYFUNCTION("""COMPUTED_VALUE"""),"")</f>
        <v/>
      </c>
      <c r="AN743" s="1" t="str">
        <f>IFERROR(__xludf.DUMMYFUNCTION("""COMPUTED_VALUE"""),"")</f>
        <v/>
      </c>
      <c r="AO743" s="1" t="str">
        <f>IFERROR(__xludf.DUMMYFUNCTION("""COMPUTED_VALUE"""),"")</f>
        <v/>
      </c>
      <c r="AP743" s="1" t="str">
        <f>IFERROR(__xludf.DUMMYFUNCTION("""COMPUTED_VALUE"""),"")</f>
        <v/>
      </c>
      <c r="AQ743" s="1" t="str">
        <f>IFERROR(__xludf.DUMMYFUNCTION("""COMPUTED_VALUE"""),"09/09/2025")</f>
        <v>09/09/2025</v>
      </c>
      <c r="AR743" s="1" t="str">
        <f>IFERROR(__xludf.DUMMYFUNCTION("""COMPUTED_VALUE"""),"09/09/2025")</f>
        <v>09/09/2025</v>
      </c>
    </row>
    <row r="744">
      <c r="A744" s="1" t="str">
        <f>IFERROR(__xludf.DUMMYFUNCTION("""COMPUTED_VALUE"""),"Flexential Hillsboro 3")</f>
        <v>Flexential Hillsboro 3</v>
      </c>
      <c r="B744" s="1" t="str">
        <f>IFERROR(__xludf.DUMMYFUNCTION("""COMPUTED_VALUE"""),"5419 NE Starr Blvd")</f>
        <v>5419 NE Starr Blvd</v>
      </c>
      <c r="C744" s="1" t="str">
        <f>IFERROR(__xludf.DUMMYFUNCTION("""COMPUTED_VALUE"""),"Hillsboro")</f>
        <v>Hillsboro</v>
      </c>
      <c r="D744" s="1" t="str">
        <f>IFERROR(__xludf.DUMMYFUNCTION("""COMPUTED_VALUE"""),"OR")</f>
        <v>OR</v>
      </c>
      <c r="E744" s="1" t="str">
        <f>IFERROR(__xludf.DUMMYFUNCTION("""COMPUTED_VALUE"""),"97124")</f>
        <v>97124</v>
      </c>
      <c r="F744" s="1" t="str">
        <f>IFERROR(__xludf.DUMMYFUNCTION("""COMPUTED_VALUE"""),"Washington")</f>
        <v>Washington</v>
      </c>
      <c r="G744" s="1" t="str">
        <f>IFERROR(__xludf.DUMMYFUNCTION("""COMPUTED_VALUE"""),"45.55947")</f>
        <v>45.55947</v>
      </c>
      <c r="H744" s="1" t="str">
        <f>IFERROR(__xludf.DUMMYFUNCTION("""COMPUTED_VALUE"""),"-122.938")</f>
        <v>-122.938</v>
      </c>
      <c r="I744" s="1" t="str">
        <f>IFERROR(__xludf.DUMMYFUNCTION("""COMPUTED_VALUE"""),"Operating")</f>
        <v>Operating</v>
      </c>
      <c r="J744" s="1" t="str">
        <f>IFERROR(__xludf.DUMMYFUNCTION("""COMPUTED_VALUE"""),"High")</f>
        <v>High</v>
      </c>
      <c r="K744" s="1" t="str">
        <f>IFERROR(__xludf.DUMMYFUNCTION("""COMPUTED_VALUE"""),"")</f>
        <v/>
      </c>
      <c r="L744" s="1" t="str">
        <f>IFERROR(__xludf.DUMMYFUNCTION("""COMPUTED_VALUE"""),"")</f>
        <v/>
      </c>
      <c r="M744" s="1" t="str">
        <f>IFERROR(__xludf.DUMMYFUNCTION("""COMPUTED_VALUE"""),"")</f>
        <v/>
      </c>
      <c r="N744" s="1" t="str">
        <f>IFERROR(__xludf.DUMMYFUNCTION("""COMPUTED_VALUE"""),"12–20")</f>
        <v>12–20</v>
      </c>
      <c r="O744" s="1" t="str">
        <f>IFERROR(__xludf.DUMMYFUNCTION("""COMPUTED_VALUE"""),"Medium (11-50 MW)")</f>
        <v>Medium (11-50 MW)</v>
      </c>
      <c r="P744" s="1" t="str">
        <f>IFERROR(__xludf.DUMMYFUNCTION("""COMPUTED_VALUE"""),"")</f>
        <v/>
      </c>
      <c r="Q744" s="1" t="str">
        <f>IFERROR(__xludf.DUMMYFUNCTION("""COMPUTED_VALUE"""),"")</f>
        <v/>
      </c>
      <c r="R744" s="1" t="str">
        <f>IFERROR(__xludf.DUMMYFUNCTION("""COMPUTED_VALUE"""),"")</f>
        <v/>
      </c>
      <c r="S744" s="1" t="str">
        <f>IFERROR(__xludf.DUMMYFUNCTION("""COMPUTED_VALUE"""),"")</f>
        <v/>
      </c>
      <c r="T744" s="1" t="str">
        <f>IFERROR(__xludf.DUMMYFUNCTION("""COMPUTED_VALUE"""),"")</f>
        <v/>
      </c>
      <c r="U744" s="1" t="str">
        <f>IFERROR(__xludf.DUMMYFUNCTION("""COMPUTED_VALUE"""),"")</f>
        <v/>
      </c>
      <c r="V744" s="1" t="str">
        <f>IFERROR(__xludf.DUMMYFUNCTION("""COMPUTED_VALUE"""),"")</f>
        <v/>
      </c>
      <c r="W744" s="1" t="str">
        <f>IFERROR(__xludf.DUMMYFUNCTION("""COMPUTED_VALUE"""),"")</f>
        <v/>
      </c>
      <c r="X744" s="1" t="str">
        <f>IFERROR(__xludf.DUMMYFUNCTION("""COMPUTED_VALUE"""),"")</f>
        <v/>
      </c>
      <c r="Y744" s="1" t="str">
        <f>IFERROR(__xludf.DUMMYFUNCTION("""COMPUTED_VALUE"""),"")</f>
        <v/>
      </c>
      <c r="Z744" s="1" t="str">
        <f>IFERROR(__xludf.DUMMYFUNCTION("""COMPUTED_VALUE"""),"Unknown")</f>
        <v>Unknown</v>
      </c>
      <c r="AA744" s="1" t="str">
        <f>IFERROR(__xludf.DUMMYFUNCTION("""COMPUTED_VALUE"""),"")</f>
        <v/>
      </c>
      <c r="AB744" s="1" t="str">
        <f>IFERROR(__xludf.DUMMYFUNCTION("""COMPUTED_VALUE"""),"")</f>
        <v/>
      </c>
      <c r="AC744" s="1" t="str">
        <f>IFERROR(__xludf.DUMMYFUNCTION("""COMPUTED_VALUE"""),"")</f>
        <v/>
      </c>
      <c r="AD744" s="1" t="str">
        <f>IFERROR(__xludf.DUMMYFUNCTION("""COMPUTED_VALUE"""),"")</f>
        <v/>
      </c>
      <c r="AE744" s="1" t="str">
        <f>IFERROR(__xludf.DUMMYFUNCTION("""COMPUTED_VALUE"""),"")</f>
        <v/>
      </c>
      <c r="AF744" s="1" t="str">
        <f>IFERROR(__xludf.DUMMYFUNCTION("""COMPUTED_VALUE"""),"")</f>
        <v/>
      </c>
      <c r="AG744" s="1" t="str">
        <f>IFERROR(__xludf.DUMMYFUNCTION("""COMPUTED_VALUE"""),"")</f>
        <v/>
      </c>
      <c r="AH744" s="1" t="str">
        <f>IFERROR(__xludf.DUMMYFUNCTION("""COMPUTED_VALUE"""),"Media Monitoring")</f>
        <v>Media Monitoring</v>
      </c>
      <c r="AI744" s="2" t="str">
        <f>IFERROR(__xludf.DUMMYFUNCTION("""COMPUTED_VALUE"""),"https://hillsboroherald.com/flexentials-new-hillsboro-6-data-center-marks-a-shift-from-jobs-to-joules/")</f>
        <v>https://hillsboroherald.com/flexentials-new-hillsboro-6-data-center-marks-a-shift-from-jobs-to-joules/</v>
      </c>
      <c r="AJ744" s="1" t="str">
        <f>IFERROR(__xludf.DUMMYFUNCTION("""COMPUTED_VALUE"""),"")</f>
        <v/>
      </c>
      <c r="AK744" s="1" t="str">
        <f>IFERROR(__xludf.DUMMYFUNCTION("""COMPUTED_VALUE"""),"")</f>
        <v/>
      </c>
      <c r="AL744" s="1" t="str">
        <f>IFERROR(__xludf.DUMMYFUNCTION("""COMPUTED_VALUE"""),"")</f>
        <v/>
      </c>
      <c r="AM744" s="1" t="str">
        <f>IFERROR(__xludf.DUMMYFUNCTION("""COMPUTED_VALUE"""),"")</f>
        <v/>
      </c>
      <c r="AN744" s="1" t="str">
        <f>IFERROR(__xludf.DUMMYFUNCTION("""COMPUTED_VALUE"""),"")</f>
        <v/>
      </c>
      <c r="AO744" s="1" t="str">
        <f>IFERROR(__xludf.DUMMYFUNCTION("""COMPUTED_VALUE"""),"")</f>
        <v/>
      </c>
      <c r="AP744" s="1" t="str">
        <f>IFERROR(__xludf.DUMMYFUNCTION("""COMPUTED_VALUE"""),"")</f>
        <v/>
      </c>
      <c r="AQ744" s="1" t="str">
        <f>IFERROR(__xludf.DUMMYFUNCTION("""COMPUTED_VALUE"""),"09/09/2025")</f>
        <v>09/09/2025</v>
      </c>
      <c r="AR744" s="1" t="str">
        <f>IFERROR(__xludf.DUMMYFUNCTION("""COMPUTED_VALUE"""),"09/09/2025")</f>
        <v>09/09/2025</v>
      </c>
    </row>
    <row r="745">
      <c r="A745" s="1" t="str">
        <f>IFERROR(__xludf.DUMMYFUNCTION("""COMPUTED_VALUE"""),"Flexential Hillsboro 4")</f>
        <v>Flexential Hillsboro 4</v>
      </c>
      <c r="B745" s="1" t="str">
        <f>IFERROR(__xludf.DUMMYFUNCTION("""COMPUTED_VALUE"""),"4915 NE Starr Blvd")</f>
        <v>4915 NE Starr Blvd</v>
      </c>
      <c r="C745" s="1" t="str">
        <f>IFERROR(__xludf.DUMMYFUNCTION("""COMPUTED_VALUE"""),"Hillsboro")</f>
        <v>Hillsboro</v>
      </c>
      <c r="D745" s="1" t="str">
        <f>IFERROR(__xludf.DUMMYFUNCTION("""COMPUTED_VALUE"""),"OR")</f>
        <v>OR</v>
      </c>
      <c r="E745" s="1" t="str">
        <f>IFERROR(__xludf.DUMMYFUNCTION("""COMPUTED_VALUE"""),"97124")</f>
        <v>97124</v>
      </c>
      <c r="F745" s="1" t="str">
        <f>IFERROR(__xludf.DUMMYFUNCTION("""COMPUTED_VALUE"""),"Washington")</f>
        <v>Washington</v>
      </c>
      <c r="G745" s="1" t="str">
        <f>IFERROR(__xludf.DUMMYFUNCTION("""COMPUTED_VALUE"""),"45.55543")</f>
        <v>45.55543</v>
      </c>
      <c r="H745" s="1" t="str">
        <f>IFERROR(__xludf.DUMMYFUNCTION("""COMPUTED_VALUE"""),"-122.939")</f>
        <v>-122.939</v>
      </c>
      <c r="I745" s="1" t="str">
        <f>IFERROR(__xludf.DUMMYFUNCTION("""COMPUTED_VALUE"""),"Operating")</f>
        <v>Operating</v>
      </c>
      <c r="J745" s="1" t="str">
        <f>IFERROR(__xludf.DUMMYFUNCTION("""COMPUTED_VALUE"""),"High")</f>
        <v>High</v>
      </c>
      <c r="K745" s="1" t="str">
        <f>IFERROR(__xludf.DUMMYFUNCTION("""COMPUTED_VALUE"""),"")</f>
        <v/>
      </c>
      <c r="L745" s="1" t="str">
        <f>IFERROR(__xludf.DUMMYFUNCTION("""COMPUTED_VALUE"""),"")</f>
        <v/>
      </c>
      <c r="M745" s="1" t="str">
        <f>IFERROR(__xludf.DUMMYFUNCTION("""COMPUTED_VALUE"""),"")</f>
        <v/>
      </c>
      <c r="N745" s="1" t="str">
        <f>IFERROR(__xludf.DUMMYFUNCTION("""COMPUTED_VALUE"""),"12–20")</f>
        <v>12–20</v>
      </c>
      <c r="O745" s="1" t="str">
        <f>IFERROR(__xludf.DUMMYFUNCTION("""COMPUTED_VALUE"""),"Medium (11-50 MW)")</f>
        <v>Medium (11-50 MW)</v>
      </c>
      <c r="P745" s="1" t="str">
        <f>IFERROR(__xludf.DUMMYFUNCTION("""COMPUTED_VALUE"""),"")</f>
        <v/>
      </c>
      <c r="Q745" s="1" t="str">
        <f>IFERROR(__xludf.DUMMYFUNCTION("""COMPUTED_VALUE"""),"")</f>
        <v/>
      </c>
      <c r="R745" s="1" t="str">
        <f>IFERROR(__xludf.DUMMYFUNCTION("""COMPUTED_VALUE"""),"")</f>
        <v/>
      </c>
      <c r="S745" s="1" t="str">
        <f>IFERROR(__xludf.DUMMYFUNCTION("""COMPUTED_VALUE"""),"")</f>
        <v/>
      </c>
      <c r="T745" s="1" t="str">
        <f>IFERROR(__xludf.DUMMYFUNCTION("""COMPUTED_VALUE"""),"")</f>
        <v/>
      </c>
      <c r="U745" s="1" t="str">
        <f>IFERROR(__xludf.DUMMYFUNCTION("""COMPUTED_VALUE"""),"")</f>
        <v/>
      </c>
      <c r="V745" s="1" t="str">
        <f>IFERROR(__xludf.DUMMYFUNCTION("""COMPUTED_VALUE"""),"")</f>
        <v/>
      </c>
      <c r="W745" s="1" t="str">
        <f>IFERROR(__xludf.DUMMYFUNCTION("""COMPUTED_VALUE"""),"")</f>
        <v/>
      </c>
      <c r="X745" s="1" t="str">
        <f>IFERROR(__xludf.DUMMYFUNCTION("""COMPUTED_VALUE"""),"")</f>
        <v/>
      </c>
      <c r="Y745" s="1" t="str">
        <f>IFERROR(__xludf.DUMMYFUNCTION("""COMPUTED_VALUE"""),"")</f>
        <v/>
      </c>
      <c r="Z745" s="1" t="str">
        <f>IFERROR(__xludf.DUMMYFUNCTION("""COMPUTED_VALUE"""),"Unknown")</f>
        <v>Unknown</v>
      </c>
      <c r="AA745" s="1" t="str">
        <f>IFERROR(__xludf.DUMMYFUNCTION("""COMPUTED_VALUE"""),"")</f>
        <v/>
      </c>
      <c r="AB745" s="1" t="str">
        <f>IFERROR(__xludf.DUMMYFUNCTION("""COMPUTED_VALUE"""),"")</f>
        <v/>
      </c>
      <c r="AC745" s="1" t="str">
        <f>IFERROR(__xludf.DUMMYFUNCTION("""COMPUTED_VALUE"""),"")</f>
        <v/>
      </c>
      <c r="AD745" s="1" t="str">
        <f>IFERROR(__xludf.DUMMYFUNCTION("""COMPUTED_VALUE"""),"")</f>
        <v/>
      </c>
      <c r="AE745" s="1" t="str">
        <f>IFERROR(__xludf.DUMMYFUNCTION("""COMPUTED_VALUE"""),"")</f>
        <v/>
      </c>
      <c r="AF745" s="1" t="str">
        <f>IFERROR(__xludf.DUMMYFUNCTION("""COMPUTED_VALUE"""),"")</f>
        <v/>
      </c>
      <c r="AG745" s="1" t="str">
        <f>IFERROR(__xludf.DUMMYFUNCTION("""COMPUTED_VALUE"""),"")</f>
        <v/>
      </c>
      <c r="AH745" s="1" t="str">
        <f>IFERROR(__xludf.DUMMYFUNCTION("""COMPUTED_VALUE"""),"Media Monitoring")</f>
        <v>Media Monitoring</v>
      </c>
      <c r="AI745" s="2" t="str">
        <f>IFERROR(__xludf.DUMMYFUNCTION("""COMPUTED_VALUE"""),"https://hillsboroherald.com/flexentials-new-hillsboro-6-data-center-marks-a-shift-from-jobs-to-joules/")</f>
        <v>https://hillsboroherald.com/flexentials-new-hillsboro-6-data-center-marks-a-shift-from-jobs-to-joules/</v>
      </c>
      <c r="AJ745" s="1" t="str">
        <f>IFERROR(__xludf.DUMMYFUNCTION("""COMPUTED_VALUE"""),"")</f>
        <v/>
      </c>
      <c r="AK745" s="1" t="str">
        <f>IFERROR(__xludf.DUMMYFUNCTION("""COMPUTED_VALUE"""),"")</f>
        <v/>
      </c>
      <c r="AL745" s="1" t="str">
        <f>IFERROR(__xludf.DUMMYFUNCTION("""COMPUTED_VALUE"""),"")</f>
        <v/>
      </c>
      <c r="AM745" s="1" t="str">
        <f>IFERROR(__xludf.DUMMYFUNCTION("""COMPUTED_VALUE"""),"")</f>
        <v/>
      </c>
      <c r="AN745" s="1" t="str">
        <f>IFERROR(__xludf.DUMMYFUNCTION("""COMPUTED_VALUE"""),"")</f>
        <v/>
      </c>
      <c r="AO745" s="1" t="str">
        <f>IFERROR(__xludf.DUMMYFUNCTION("""COMPUTED_VALUE"""),"")</f>
        <v/>
      </c>
      <c r="AP745" s="1" t="str">
        <f>IFERROR(__xludf.DUMMYFUNCTION("""COMPUTED_VALUE"""),"")</f>
        <v/>
      </c>
      <c r="AQ745" s="1" t="str">
        <f>IFERROR(__xludf.DUMMYFUNCTION("""COMPUTED_VALUE"""),"09/09/2025")</f>
        <v>09/09/2025</v>
      </c>
      <c r="AR745" s="1" t="str">
        <f>IFERROR(__xludf.DUMMYFUNCTION("""COMPUTED_VALUE"""),"09/09/2025")</f>
        <v>09/09/2025</v>
      </c>
    </row>
    <row r="746">
      <c r="A746" s="1" t="str">
        <f>IFERROR(__xludf.DUMMYFUNCTION("""COMPUTED_VALUE"""),"Flexential Hillsboro 5")</f>
        <v>Flexential Hillsboro 5</v>
      </c>
      <c r="B746" s="1" t="str">
        <f>IFERROR(__xludf.DUMMYFUNCTION("""COMPUTED_VALUE"""),"4975 NE Starr Blvd")</f>
        <v>4975 NE Starr Blvd</v>
      </c>
      <c r="C746" s="1" t="str">
        <f>IFERROR(__xludf.DUMMYFUNCTION("""COMPUTED_VALUE"""),"Hillsboro")</f>
        <v>Hillsboro</v>
      </c>
      <c r="D746" s="1" t="str">
        <f>IFERROR(__xludf.DUMMYFUNCTION("""COMPUTED_VALUE"""),"OR")</f>
        <v>OR</v>
      </c>
      <c r="E746" s="1" t="str">
        <f>IFERROR(__xludf.DUMMYFUNCTION("""COMPUTED_VALUE"""),"97124")</f>
        <v>97124</v>
      </c>
      <c r="F746" s="1" t="str">
        <f>IFERROR(__xludf.DUMMYFUNCTION("""COMPUTED_VALUE"""),"Washington")</f>
        <v>Washington</v>
      </c>
      <c r="G746" s="1" t="str">
        <f>IFERROR(__xludf.DUMMYFUNCTION("""COMPUTED_VALUE"""),"45.55651")</f>
        <v>45.55651</v>
      </c>
      <c r="H746" s="1" t="str">
        <f>IFERROR(__xludf.DUMMYFUNCTION("""COMPUTED_VALUE"""),"-122.939")</f>
        <v>-122.939</v>
      </c>
      <c r="I746" s="1" t="str">
        <f>IFERROR(__xludf.DUMMYFUNCTION("""COMPUTED_VALUE"""),"Operating")</f>
        <v>Operating</v>
      </c>
      <c r="J746" s="1" t="str">
        <f>IFERROR(__xludf.DUMMYFUNCTION("""COMPUTED_VALUE"""),"High")</f>
        <v>High</v>
      </c>
      <c r="K746" s="1" t="str">
        <f>IFERROR(__xludf.DUMMYFUNCTION("""COMPUTED_VALUE"""),"")</f>
        <v/>
      </c>
      <c r="L746" s="1" t="str">
        <f>IFERROR(__xludf.DUMMYFUNCTION("""COMPUTED_VALUE"""),"")</f>
        <v/>
      </c>
      <c r="M746" s="1" t="str">
        <f>IFERROR(__xludf.DUMMYFUNCTION("""COMPUTED_VALUE"""),"")</f>
        <v/>
      </c>
      <c r="N746" s="1" t="str">
        <f>IFERROR(__xludf.DUMMYFUNCTION("""COMPUTED_VALUE"""),"36")</f>
        <v>36</v>
      </c>
      <c r="O746" s="1" t="str">
        <f>IFERROR(__xludf.DUMMYFUNCTION("""COMPUTED_VALUE"""),"Medium (11-50 MW)")</f>
        <v>Medium (11-50 MW)</v>
      </c>
      <c r="P746" s="1" t="str">
        <f>IFERROR(__xludf.DUMMYFUNCTION("""COMPUTED_VALUE"""),"")</f>
        <v/>
      </c>
      <c r="Q746" s="1" t="str">
        <f>IFERROR(__xludf.DUMMYFUNCTION("""COMPUTED_VALUE"""),"")</f>
        <v/>
      </c>
      <c r="R746" s="1" t="str">
        <f>IFERROR(__xludf.DUMMYFUNCTION("""COMPUTED_VALUE"""),"")</f>
        <v/>
      </c>
      <c r="S746" s="1" t="str">
        <f>IFERROR(__xludf.DUMMYFUNCTION("""COMPUTED_VALUE"""),"")</f>
        <v/>
      </c>
      <c r="T746" s="1" t="str">
        <f>IFERROR(__xludf.DUMMYFUNCTION("""COMPUTED_VALUE"""),"")</f>
        <v/>
      </c>
      <c r="U746" s="1" t="str">
        <f>IFERROR(__xludf.DUMMYFUNCTION("""COMPUTED_VALUE"""),"")</f>
        <v/>
      </c>
      <c r="V746" s="1" t="str">
        <f>IFERROR(__xludf.DUMMYFUNCTION("""COMPUTED_VALUE"""),"358,000")</f>
        <v>358,000</v>
      </c>
      <c r="W746" s="1" t="str">
        <f>IFERROR(__xludf.DUMMYFUNCTION("""COMPUTED_VALUE"""),"")</f>
        <v/>
      </c>
      <c r="X746" s="1" t="str">
        <f>IFERROR(__xludf.DUMMYFUNCTION("""COMPUTED_VALUE"""),"")</f>
        <v/>
      </c>
      <c r="Y746" s="1" t="str">
        <f>IFERROR(__xludf.DUMMYFUNCTION("""COMPUTED_VALUE"""),"")</f>
        <v/>
      </c>
      <c r="Z746" s="1" t="str">
        <f>IFERROR(__xludf.DUMMYFUNCTION("""COMPUTED_VALUE"""),"Unknown")</f>
        <v>Unknown</v>
      </c>
      <c r="AA746" s="1" t="str">
        <f>IFERROR(__xludf.DUMMYFUNCTION("""COMPUTED_VALUE"""),"")</f>
        <v/>
      </c>
      <c r="AB746" s="1" t="str">
        <f>IFERROR(__xludf.DUMMYFUNCTION("""COMPUTED_VALUE"""),"")</f>
        <v/>
      </c>
      <c r="AC746" s="1" t="str">
        <f>IFERROR(__xludf.DUMMYFUNCTION("""COMPUTED_VALUE"""),"")</f>
        <v/>
      </c>
      <c r="AD746" s="1" t="str">
        <f>IFERROR(__xludf.DUMMYFUNCTION("""COMPUTED_VALUE"""),"")</f>
        <v/>
      </c>
      <c r="AE746" s="1" t="str">
        <f>IFERROR(__xludf.DUMMYFUNCTION("""COMPUTED_VALUE"""),"")</f>
        <v/>
      </c>
      <c r="AF746" s="1" t="str">
        <f>IFERROR(__xludf.DUMMYFUNCTION("""COMPUTED_VALUE"""),"")</f>
        <v/>
      </c>
      <c r="AG746" s="1" t="str">
        <f>IFERROR(__xludf.DUMMYFUNCTION("""COMPUTED_VALUE"""),"")</f>
        <v/>
      </c>
      <c r="AH746" s="1" t="str">
        <f>IFERROR(__xludf.DUMMYFUNCTION("""COMPUTED_VALUE"""),"Media Monitoring")</f>
        <v>Media Monitoring</v>
      </c>
      <c r="AI746" s="2" t="str">
        <f>IFERROR(__xludf.DUMMYFUNCTION("""COMPUTED_VALUE"""),"https://hillsboroherald.com/flexentials-new-hillsboro-6-data-center-marks-a-shift-from-jobs-to-joules/")</f>
        <v>https://hillsboroherald.com/flexentials-new-hillsboro-6-data-center-marks-a-shift-from-jobs-to-joules/</v>
      </c>
      <c r="AJ746" s="1" t="str">
        <f>IFERROR(__xludf.DUMMYFUNCTION("""COMPUTED_VALUE"""),"")</f>
        <v/>
      </c>
      <c r="AK746" s="1" t="str">
        <f>IFERROR(__xludf.DUMMYFUNCTION("""COMPUTED_VALUE"""),"")</f>
        <v/>
      </c>
      <c r="AL746" s="1" t="str">
        <f>IFERROR(__xludf.DUMMYFUNCTION("""COMPUTED_VALUE"""),"")</f>
        <v/>
      </c>
      <c r="AM746" s="1" t="str">
        <f>IFERROR(__xludf.DUMMYFUNCTION("""COMPUTED_VALUE"""),"")</f>
        <v/>
      </c>
      <c r="AN746" s="1" t="str">
        <f>IFERROR(__xludf.DUMMYFUNCTION("""COMPUTED_VALUE"""),"")</f>
        <v/>
      </c>
      <c r="AO746" s="1" t="str">
        <f>IFERROR(__xludf.DUMMYFUNCTION("""COMPUTED_VALUE"""),"")</f>
        <v/>
      </c>
      <c r="AP746" s="1" t="str">
        <f>IFERROR(__xludf.DUMMYFUNCTION("""COMPUTED_VALUE"""),"")</f>
        <v/>
      </c>
      <c r="AQ746" s="1" t="str">
        <f>IFERROR(__xludf.DUMMYFUNCTION("""COMPUTED_VALUE"""),"09/09/2025")</f>
        <v>09/09/2025</v>
      </c>
      <c r="AR746" s="1" t="str">
        <f>IFERROR(__xludf.DUMMYFUNCTION("""COMPUTED_VALUE"""),"09/09/2025")</f>
        <v>09/09/2025</v>
      </c>
    </row>
    <row r="747">
      <c r="A747" s="1" t="str">
        <f>IFERROR(__xludf.DUMMYFUNCTION("""COMPUTED_VALUE"""),"Flexential Hillsboro 6")</f>
        <v>Flexential Hillsboro 6</v>
      </c>
      <c r="B747" s="1" t="str">
        <f>IFERROR(__xludf.DUMMYFUNCTION("""COMPUTED_VALUE"""),"")</f>
        <v/>
      </c>
      <c r="C747" s="1" t="str">
        <f>IFERROR(__xludf.DUMMYFUNCTION("""COMPUTED_VALUE"""),"Hillsboro")</f>
        <v>Hillsboro</v>
      </c>
      <c r="D747" s="1" t="str">
        <f>IFERROR(__xludf.DUMMYFUNCTION("""COMPUTED_VALUE"""),"OR")</f>
        <v>OR</v>
      </c>
      <c r="E747" s="1" t="str">
        <f>IFERROR(__xludf.DUMMYFUNCTION("""COMPUTED_VALUE"""),"97124")</f>
        <v>97124</v>
      </c>
      <c r="F747" s="1" t="str">
        <f>IFERROR(__xludf.DUMMYFUNCTION("""COMPUTED_VALUE"""),"Washington")</f>
        <v>Washington</v>
      </c>
      <c r="G747" s="1" t="str">
        <f>IFERROR(__xludf.DUMMYFUNCTION("""COMPUTED_VALUE"""),"45.54841")</f>
        <v>45.54841</v>
      </c>
      <c r="H747" s="1" t="str">
        <f>IFERROR(__xludf.DUMMYFUNCTION("""COMPUTED_VALUE"""),"-122.89")</f>
        <v>-122.89</v>
      </c>
      <c r="I747" s="1" t="str">
        <f>IFERROR(__xludf.DUMMYFUNCTION("""COMPUTED_VALUE"""),"Proposed")</f>
        <v>Proposed</v>
      </c>
      <c r="J747" s="1" t="str">
        <f>IFERROR(__xludf.DUMMYFUNCTION("""COMPUTED_VALUE"""),"Medium")</f>
        <v>Medium</v>
      </c>
      <c r="K747" s="1" t="str">
        <f>IFERROR(__xludf.DUMMYFUNCTION("""COMPUTED_VALUE"""),"")</f>
        <v/>
      </c>
      <c r="L747" s="1" t="str">
        <f>IFERROR(__xludf.DUMMYFUNCTION("""COMPUTED_VALUE"""),"")</f>
        <v/>
      </c>
      <c r="M747" s="1" t="str">
        <f>IFERROR(__xludf.DUMMYFUNCTION("""COMPUTED_VALUE"""),"")</f>
        <v/>
      </c>
      <c r="N747" s="1" t="str">
        <f>IFERROR(__xludf.DUMMYFUNCTION("""COMPUTED_VALUE"""),"27")</f>
        <v>27</v>
      </c>
      <c r="O747" s="1" t="str">
        <f>IFERROR(__xludf.DUMMYFUNCTION("""COMPUTED_VALUE"""),"Medium (11-50 MW)")</f>
        <v>Medium (11-50 MW)</v>
      </c>
      <c r="P747" s="1" t="str">
        <f>IFERROR(__xludf.DUMMYFUNCTION("""COMPUTED_VALUE"""),"")</f>
        <v/>
      </c>
      <c r="Q747" s="1" t="str">
        <f>IFERROR(__xludf.DUMMYFUNCTION("""COMPUTED_VALUE"""),"")</f>
        <v/>
      </c>
      <c r="R747" s="1" t="str">
        <f>IFERROR(__xludf.DUMMYFUNCTION("""COMPUTED_VALUE"""),"")</f>
        <v/>
      </c>
      <c r="S747" s="1" t="str">
        <f>IFERROR(__xludf.DUMMYFUNCTION("""COMPUTED_VALUE"""),"")</f>
        <v/>
      </c>
      <c r="T747" s="1" t="str">
        <f>IFERROR(__xludf.DUMMYFUNCTION("""COMPUTED_VALUE"""),"")</f>
        <v/>
      </c>
      <c r="U747" s="1" t="str">
        <f>IFERROR(__xludf.DUMMYFUNCTION("""COMPUTED_VALUE"""),"")</f>
        <v/>
      </c>
      <c r="V747" s="1" t="str">
        <f>IFERROR(__xludf.DUMMYFUNCTION("""COMPUTED_VALUE"""),"350,000")</f>
        <v>350,000</v>
      </c>
      <c r="W747" s="1" t="str">
        <f>IFERROR(__xludf.DUMMYFUNCTION("""COMPUTED_VALUE"""),"")</f>
        <v/>
      </c>
      <c r="X747" s="1" t="str">
        <f>IFERROR(__xludf.DUMMYFUNCTION("""COMPUTED_VALUE"""),"")</f>
        <v/>
      </c>
      <c r="Y747" s="1" t="str">
        <f>IFERROR(__xludf.DUMMYFUNCTION("""COMPUTED_VALUE"""),"")</f>
        <v/>
      </c>
      <c r="Z747" s="1" t="str">
        <f>IFERROR(__xludf.DUMMYFUNCTION("""COMPUTED_VALUE"""),"Unknown")</f>
        <v>Unknown</v>
      </c>
      <c r="AA747" s="1" t="str">
        <f>IFERROR(__xludf.DUMMYFUNCTION("""COMPUTED_VALUE"""),"")</f>
        <v/>
      </c>
      <c r="AB747" s="1" t="str">
        <f>IFERROR(__xludf.DUMMYFUNCTION("""COMPUTED_VALUE"""),"")</f>
        <v/>
      </c>
      <c r="AC747" s="1" t="str">
        <f>IFERROR(__xludf.DUMMYFUNCTION("""COMPUTED_VALUE"""),"")</f>
        <v/>
      </c>
      <c r="AD747" s="1" t="str">
        <f>IFERROR(__xludf.DUMMYFUNCTION("""COMPUTED_VALUE"""),"")</f>
        <v/>
      </c>
      <c r="AE747" s="1" t="str">
        <f>IFERROR(__xludf.DUMMYFUNCTION("""COMPUTED_VALUE"""),"")</f>
        <v/>
      </c>
      <c r="AF747" s="1" t="str">
        <f>IFERROR(__xludf.DUMMYFUNCTION("""COMPUTED_VALUE"""),"")</f>
        <v/>
      </c>
      <c r="AG747" s="1" t="str">
        <f>IFERROR(__xludf.DUMMYFUNCTION("""COMPUTED_VALUE"""),"")</f>
        <v/>
      </c>
      <c r="AH747" s="1" t="str">
        <f>IFERROR(__xludf.DUMMYFUNCTION("""COMPUTED_VALUE"""),"Media Monitoring")</f>
        <v>Media Monitoring</v>
      </c>
      <c r="AI747" s="2" t="str">
        <f>IFERROR(__xludf.DUMMYFUNCTION("""COMPUTED_VALUE"""),"https://hillsboroherald.com/flexentials-new-hillsboro-6-data-center-marks-a-shift-from-jobs-to-joules/")</f>
        <v>https://hillsboroherald.com/flexentials-new-hillsboro-6-data-center-marks-a-shift-from-jobs-to-joules/</v>
      </c>
      <c r="AJ747" s="1" t="str">
        <f>IFERROR(__xludf.DUMMYFUNCTION("""COMPUTED_VALUE"""),"")</f>
        <v/>
      </c>
      <c r="AK747" s="1" t="str">
        <f>IFERROR(__xludf.DUMMYFUNCTION("""COMPUTED_VALUE"""),"")</f>
        <v/>
      </c>
      <c r="AL747" s="1" t="str">
        <f>IFERROR(__xludf.DUMMYFUNCTION("""COMPUTED_VALUE"""),"")</f>
        <v/>
      </c>
      <c r="AM747" s="1" t="str">
        <f>IFERROR(__xludf.DUMMYFUNCTION("""COMPUTED_VALUE"""),"")</f>
        <v/>
      </c>
      <c r="AN747" s="1" t="str">
        <f>IFERROR(__xludf.DUMMYFUNCTION("""COMPUTED_VALUE"""),"")</f>
        <v/>
      </c>
      <c r="AO747" s="1" t="str">
        <f>IFERROR(__xludf.DUMMYFUNCTION("""COMPUTED_VALUE"""),"")</f>
        <v/>
      </c>
      <c r="AP747" s="1" t="str">
        <f>IFERROR(__xludf.DUMMYFUNCTION("""COMPUTED_VALUE"""),"")</f>
        <v/>
      </c>
      <c r="AQ747" s="1" t="str">
        <f>IFERROR(__xludf.DUMMYFUNCTION("""COMPUTED_VALUE"""),"09/09/2025")</f>
        <v>09/09/2025</v>
      </c>
      <c r="AR747" s="1" t="str">
        <f>IFERROR(__xludf.DUMMYFUNCTION("""COMPUTED_VALUE"""),"09/09/2025")</f>
        <v>09/09/2025</v>
      </c>
    </row>
    <row r="748">
      <c r="A748" s="1" t="str">
        <f>IFERROR(__xludf.DUMMYFUNCTION("""COMPUTED_VALUE"""),"Portland Edge Data Center (EDC) campus ")</f>
        <v>Portland Edge Data Center (EDC) campus </v>
      </c>
      <c r="B748" s="1" t="str">
        <f>IFERROR(__xludf.DUMMYFUNCTION("""COMPUTED_VALUE"""),"6327 NE Evergreen Pkwy, Bldg C, Suite C-300")</f>
        <v>6327 NE Evergreen Pkwy, Bldg C, Suite C-300</v>
      </c>
      <c r="C748" s="1" t="str">
        <f>IFERROR(__xludf.DUMMYFUNCTION("""COMPUTED_VALUE"""),"Hillsboro")</f>
        <v>Hillsboro</v>
      </c>
      <c r="D748" s="1" t="str">
        <f>IFERROR(__xludf.DUMMYFUNCTION("""COMPUTED_VALUE"""),"OR")</f>
        <v>OR</v>
      </c>
      <c r="E748" s="1" t="str">
        <f>IFERROR(__xludf.DUMMYFUNCTION("""COMPUTED_VALUE"""),"97124")</f>
        <v>97124</v>
      </c>
      <c r="F748" s="1" t="str">
        <f>IFERROR(__xludf.DUMMYFUNCTION("""COMPUTED_VALUE"""),"Washington")</f>
        <v>Washington</v>
      </c>
      <c r="G748" s="1" t="str">
        <f>IFERROR(__xludf.DUMMYFUNCTION("""COMPUTED_VALUE"""),"45.55167")</f>
        <v>45.55167</v>
      </c>
      <c r="H748" s="1" t="str">
        <f>IFERROR(__xludf.DUMMYFUNCTION("""COMPUTED_VALUE"""),"-122.915")</f>
        <v>-122.915</v>
      </c>
      <c r="I748" s="1" t="str">
        <f>IFERROR(__xludf.DUMMYFUNCTION("""COMPUTED_VALUE"""),"Operating")</f>
        <v>Operating</v>
      </c>
      <c r="J748" s="1" t="str">
        <f>IFERROR(__xludf.DUMMYFUNCTION("""COMPUTED_VALUE"""),"High")</f>
        <v>High</v>
      </c>
      <c r="K748" s="1" t="str">
        <f>IFERROR(__xludf.DUMMYFUNCTION("""COMPUTED_VALUE"""),"")</f>
        <v/>
      </c>
      <c r="L748" s="1" t="str">
        <f>IFERROR(__xludf.DUMMYFUNCTION("""COMPUTED_VALUE"""),"")</f>
        <v/>
      </c>
      <c r="M748" s="1" t="str">
        <f>IFERROR(__xludf.DUMMYFUNCTION("""COMPUTED_VALUE"""),"")</f>
        <v/>
      </c>
      <c r="N748" s="1" t="str">
        <f>IFERROR(__xludf.DUMMYFUNCTION("""COMPUTED_VALUE"""),"9+")</f>
        <v>9+</v>
      </c>
      <c r="O748" s="1" t="str">
        <f>IFERROR(__xludf.DUMMYFUNCTION("""COMPUTED_VALUE"""),"Small (0-10 MW)")</f>
        <v>Small (0-10 MW)</v>
      </c>
      <c r="P748" s="1" t="str">
        <f>IFERROR(__xludf.DUMMYFUNCTION("""COMPUTED_VALUE"""),"")</f>
        <v/>
      </c>
      <c r="Q748" s="1" t="str">
        <f>IFERROR(__xludf.DUMMYFUNCTION("""COMPUTED_VALUE"""),"")</f>
        <v/>
      </c>
      <c r="R748" s="1" t="str">
        <f>IFERROR(__xludf.DUMMYFUNCTION("""COMPUTED_VALUE"""),"")</f>
        <v/>
      </c>
      <c r="S748" s="1" t="str">
        <f>IFERROR(__xludf.DUMMYFUNCTION("""COMPUTED_VALUE"""),"")</f>
        <v/>
      </c>
      <c r="T748" s="1" t="str">
        <f>IFERROR(__xludf.DUMMYFUNCTION("""COMPUTED_VALUE"""),"")</f>
        <v/>
      </c>
      <c r="U748" s="1" t="str">
        <f>IFERROR(__xludf.DUMMYFUNCTION("""COMPUTED_VALUE"""),"")</f>
        <v/>
      </c>
      <c r="V748" s="1" t="str">
        <f>IFERROR(__xludf.DUMMYFUNCTION("""COMPUTED_VALUE"""),"35,550")</f>
        <v>35,550</v>
      </c>
      <c r="W748" s="1" t="str">
        <f>IFERROR(__xludf.DUMMYFUNCTION("""COMPUTED_VALUE"""),"")</f>
        <v/>
      </c>
      <c r="X748" s="1" t="str">
        <f>IFERROR(__xludf.DUMMYFUNCTION("""COMPUTED_VALUE"""),"")</f>
        <v/>
      </c>
      <c r="Y748" s="1" t="str">
        <f>IFERROR(__xludf.DUMMYFUNCTION("""COMPUTED_VALUE"""),"")</f>
        <v/>
      </c>
      <c r="Z748" s="1" t="str">
        <f>IFERROR(__xludf.DUMMYFUNCTION("""COMPUTED_VALUE"""),"Unknown")</f>
        <v>Unknown</v>
      </c>
      <c r="AA748" s="1" t="str">
        <f>IFERROR(__xludf.DUMMYFUNCTION("""COMPUTED_VALUE"""),"")</f>
        <v/>
      </c>
      <c r="AB748" s="1" t="str">
        <f>IFERROR(__xludf.DUMMYFUNCTION("""COMPUTED_VALUE"""),"")</f>
        <v/>
      </c>
      <c r="AC748" s="1" t="str">
        <f>IFERROR(__xludf.DUMMYFUNCTION("""COMPUTED_VALUE"""),"")</f>
        <v/>
      </c>
      <c r="AD748" s="1" t="str">
        <f>IFERROR(__xludf.DUMMYFUNCTION("""COMPUTED_VALUE"""),"")</f>
        <v/>
      </c>
      <c r="AE748" s="1" t="str">
        <f>IFERROR(__xludf.DUMMYFUNCTION("""COMPUTED_VALUE"""),"")</f>
        <v/>
      </c>
      <c r="AF748" s="1" t="str">
        <f>IFERROR(__xludf.DUMMYFUNCTION("""COMPUTED_VALUE"""),"")</f>
        <v/>
      </c>
      <c r="AG748" s="1" t="str">
        <f>IFERROR(__xludf.DUMMYFUNCTION("""COMPUTED_VALUE"""),"")</f>
        <v/>
      </c>
      <c r="AH748" s="1" t="str">
        <f>IFERROR(__xludf.DUMMYFUNCTION("""COMPUTED_VALUE"""),"Media Monitoring")</f>
        <v>Media Monitoring</v>
      </c>
      <c r="AI748" s="2" t="str">
        <f>IFERROR(__xludf.DUMMYFUNCTION("""COMPUTED_VALUE"""),"https://www.edgeconnex.com/locations/americas/portland-or/")</f>
        <v>https://www.edgeconnex.com/locations/americas/portland-or/</v>
      </c>
      <c r="AJ748" s="1" t="str">
        <f>IFERROR(__xludf.DUMMYFUNCTION("""COMPUTED_VALUE"""),"")</f>
        <v/>
      </c>
      <c r="AK748" s="1" t="str">
        <f>IFERROR(__xludf.DUMMYFUNCTION("""COMPUTED_VALUE"""),"")</f>
        <v/>
      </c>
      <c r="AL748" s="1" t="str">
        <f>IFERROR(__xludf.DUMMYFUNCTION("""COMPUTED_VALUE"""),"")</f>
        <v/>
      </c>
      <c r="AM748" s="1" t="str">
        <f>IFERROR(__xludf.DUMMYFUNCTION("""COMPUTED_VALUE"""),"")</f>
        <v/>
      </c>
      <c r="AN748" s="1" t="str">
        <f>IFERROR(__xludf.DUMMYFUNCTION("""COMPUTED_VALUE"""),"")</f>
        <v/>
      </c>
      <c r="AO748" s="1" t="str">
        <f>IFERROR(__xludf.DUMMYFUNCTION("""COMPUTED_VALUE"""),"")</f>
        <v/>
      </c>
      <c r="AP748" s="1" t="str">
        <f>IFERROR(__xludf.DUMMYFUNCTION("""COMPUTED_VALUE"""),"")</f>
        <v/>
      </c>
      <c r="AQ748" s="1" t="str">
        <f>IFERROR(__xludf.DUMMYFUNCTION("""COMPUTED_VALUE"""),"08/04/2025")</f>
        <v>08/04/2025</v>
      </c>
      <c r="AR748" s="1" t="str">
        <f>IFERROR(__xludf.DUMMYFUNCTION("""COMPUTED_VALUE"""),"08/04/2025")</f>
        <v>08/04/2025</v>
      </c>
    </row>
    <row r="749">
      <c r="A749" s="1" t="str">
        <f>IFERROR(__xludf.DUMMYFUNCTION("""COMPUTED_VALUE"""),"Stack Infrastructure POR01A")</f>
        <v>Stack Infrastructure POR01A</v>
      </c>
      <c r="B749" s="1" t="str">
        <f>IFERROR(__xludf.DUMMYFUNCTION("""COMPUTED_VALUE"""),"3145 NE Brookwood Pkwy")</f>
        <v>3145 NE Brookwood Pkwy</v>
      </c>
      <c r="C749" s="1" t="str">
        <f>IFERROR(__xludf.DUMMYFUNCTION("""COMPUTED_VALUE"""),"Hillsboro")</f>
        <v>Hillsboro</v>
      </c>
      <c r="D749" s="1" t="str">
        <f>IFERROR(__xludf.DUMMYFUNCTION("""COMPUTED_VALUE"""),"OR")</f>
        <v>OR</v>
      </c>
      <c r="E749" s="1" t="str">
        <f>IFERROR(__xludf.DUMMYFUNCTION("""COMPUTED_VALUE"""),"97124")</f>
        <v>97124</v>
      </c>
      <c r="F749" s="1" t="str">
        <f>IFERROR(__xludf.DUMMYFUNCTION("""COMPUTED_VALUE"""),"Washington")</f>
        <v>Washington</v>
      </c>
      <c r="G749" s="1" t="str">
        <f>IFERROR(__xludf.DUMMYFUNCTION("""COMPUTED_VALUE"""),"45.54944")</f>
        <v>45.54944</v>
      </c>
      <c r="H749" s="1" t="str">
        <f>IFERROR(__xludf.DUMMYFUNCTION("""COMPUTED_VALUE"""),"-122.92765")</f>
        <v>-122.92765</v>
      </c>
      <c r="I749" s="1" t="str">
        <f>IFERROR(__xludf.DUMMYFUNCTION("""COMPUTED_VALUE"""),"Expanding")</f>
        <v>Expanding</v>
      </c>
      <c r="J749" s="1" t="str">
        <f>IFERROR(__xludf.DUMMYFUNCTION("""COMPUTED_VALUE"""),"High")</f>
        <v>High</v>
      </c>
      <c r="K749" s="1" t="str">
        <f>IFERROR(__xludf.DUMMYFUNCTION("""COMPUTED_VALUE"""),"")</f>
        <v/>
      </c>
      <c r="L749" s="1" t="str">
        <f>IFERROR(__xludf.DUMMYFUNCTION("""COMPUTED_VALUE"""),"Stack")</f>
        <v>Stack</v>
      </c>
      <c r="M749" s="1" t="str">
        <f>IFERROR(__xludf.DUMMYFUNCTION("""COMPUTED_VALUE"""),"")</f>
        <v/>
      </c>
      <c r="N749" s="1" t="str">
        <f>IFERROR(__xludf.DUMMYFUNCTION("""COMPUTED_VALUE"""),"4")</f>
        <v>4</v>
      </c>
      <c r="O749" s="1" t="str">
        <f>IFERROR(__xludf.DUMMYFUNCTION("""COMPUTED_VALUE"""),"Small (0-10 MW)")</f>
        <v>Small (0-10 MW)</v>
      </c>
      <c r="P749" s="1" t="str">
        <f>IFERROR(__xludf.DUMMYFUNCTION("""COMPUTED_VALUE"""),"")</f>
        <v/>
      </c>
      <c r="Q749" s="1" t="str">
        <f>IFERROR(__xludf.DUMMYFUNCTION("""COMPUTED_VALUE"""),"")</f>
        <v/>
      </c>
      <c r="R749" s="1" t="str">
        <f>IFERROR(__xludf.DUMMYFUNCTION("""COMPUTED_VALUE"""),"")</f>
        <v/>
      </c>
      <c r="S749" s="1" t="str">
        <f>IFERROR(__xludf.DUMMYFUNCTION("""COMPUTED_VALUE"""),"")</f>
        <v/>
      </c>
      <c r="T749" s="1" t="str">
        <f>IFERROR(__xludf.DUMMYFUNCTION("""COMPUTED_VALUE"""),"")</f>
        <v/>
      </c>
      <c r="U749" s="1" t="str">
        <f>IFERROR(__xludf.DUMMYFUNCTION("""COMPUTED_VALUE"""),"")</f>
        <v/>
      </c>
      <c r="V749" s="1" t="str">
        <f>IFERROR(__xludf.DUMMYFUNCTION("""COMPUTED_VALUE"""),"")</f>
        <v/>
      </c>
      <c r="W749" s="1" t="str">
        <f>IFERROR(__xludf.DUMMYFUNCTION("""COMPUTED_VALUE"""),"")</f>
        <v/>
      </c>
      <c r="X749" s="1" t="str">
        <f>IFERROR(__xludf.DUMMYFUNCTION("""COMPUTED_VALUE"""),"")</f>
        <v/>
      </c>
      <c r="Y749" s="1" t="str">
        <f>IFERROR(__xludf.DUMMYFUNCTION("""COMPUTED_VALUE"""),"")</f>
        <v/>
      </c>
      <c r="Z749" s="1" t="str">
        <f>IFERROR(__xludf.DUMMYFUNCTION("""COMPUTED_VALUE"""),"Unknown")</f>
        <v>Unknown</v>
      </c>
      <c r="AA749" s="1" t="str">
        <f>IFERROR(__xludf.DUMMYFUNCTION("""COMPUTED_VALUE"""),"")</f>
        <v/>
      </c>
      <c r="AB749" s="1" t="str">
        <f>IFERROR(__xludf.DUMMYFUNCTION("""COMPUTED_VALUE"""),"")</f>
        <v/>
      </c>
      <c r="AC749" s="1" t="str">
        <f>IFERROR(__xludf.DUMMYFUNCTION("""COMPUTED_VALUE"""),"")</f>
        <v/>
      </c>
      <c r="AD749" s="1" t="str">
        <f>IFERROR(__xludf.DUMMYFUNCTION("""COMPUTED_VALUE"""),"")</f>
        <v/>
      </c>
      <c r="AE749" s="1" t="str">
        <f>IFERROR(__xludf.DUMMYFUNCTION("""COMPUTED_VALUE"""),"")</f>
        <v/>
      </c>
      <c r="AF749" s="1" t="str">
        <f>IFERROR(__xludf.DUMMYFUNCTION("""COMPUTED_VALUE"""),"")</f>
        <v/>
      </c>
      <c r="AG749" s="1" t="str">
        <f>IFERROR(__xludf.DUMMYFUNCTION("""COMPUTED_VALUE"""),"")</f>
        <v/>
      </c>
      <c r="AH749" s="1" t="str">
        <f>IFERROR(__xludf.DUMMYFUNCTION("""COMPUTED_VALUE"""),"Media Monitoring")</f>
        <v>Media Monitoring</v>
      </c>
      <c r="AI749" s="2" t="str">
        <f>IFERROR(__xludf.DUMMYFUNCTION("""COMPUTED_VALUE"""),"https://www.datacenterdynamics.com/en/news/data-center-developer-stack-to-expand-hillsboro-campus-by-121mw/")</f>
        <v>https://www.datacenterdynamics.com/en/news/data-center-developer-stack-to-expand-hillsboro-campus-by-121mw/</v>
      </c>
      <c r="AJ749" s="1" t="str">
        <f>IFERROR(__xludf.DUMMYFUNCTION("""COMPUTED_VALUE"""),"")</f>
        <v/>
      </c>
      <c r="AK749" s="1" t="str">
        <f>IFERROR(__xludf.DUMMYFUNCTION("""COMPUTED_VALUE"""),"")</f>
        <v/>
      </c>
      <c r="AL749" s="1" t="str">
        <f>IFERROR(__xludf.DUMMYFUNCTION("""COMPUTED_VALUE"""),"")</f>
        <v/>
      </c>
      <c r="AM749" s="1" t="str">
        <f>IFERROR(__xludf.DUMMYFUNCTION("""COMPUTED_VALUE"""),"")</f>
        <v/>
      </c>
      <c r="AN749" s="1" t="str">
        <f>IFERROR(__xludf.DUMMYFUNCTION("""COMPUTED_VALUE"""),"")</f>
        <v/>
      </c>
      <c r="AO749" s="1" t="str">
        <f>IFERROR(__xludf.DUMMYFUNCTION("""COMPUTED_VALUE"""),"")</f>
        <v/>
      </c>
      <c r="AP749" s="1" t="str">
        <f>IFERROR(__xludf.DUMMYFUNCTION("""COMPUTED_VALUE"""),"")</f>
        <v/>
      </c>
      <c r="AQ749" s="1" t="str">
        <f>IFERROR(__xludf.DUMMYFUNCTION("""COMPUTED_VALUE"""),"02/20/2026")</f>
        <v>02/20/2026</v>
      </c>
      <c r="AR749" s="1" t="str">
        <f>IFERROR(__xludf.DUMMYFUNCTION("""COMPUTED_VALUE"""),"02/20/2026")</f>
        <v>02/20/2026</v>
      </c>
    </row>
    <row r="750">
      <c r="A750" s="1" t="str">
        <f>IFERROR(__xludf.DUMMYFUNCTION("""COMPUTED_VALUE"""),"Stack Infrastructure POR03A Flagship Campus")</f>
        <v>Stack Infrastructure POR03A Flagship Campus</v>
      </c>
      <c r="B750" s="1" t="str">
        <f>IFERROR(__xludf.DUMMYFUNCTION("""COMPUTED_VALUE"""),"~25300 NE Evergreen Rd")</f>
        <v>~25300 NE Evergreen Rd</v>
      </c>
      <c r="C750" s="1" t="str">
        <f>IFERROR(__xludf.DUMMYFUNCTION("""COMPUTED_VALUE"""),"Hillsboro")</f>
        <v>Hillsboro</v>
      </c>
      <c r="D750" s="1" t="str">
        <f>IFERROR(__xludf.DUMMYFUNCTION("""COMPUTED_VALUE"""),"OR")</f>
        <v>OR</v>
      </c>
      <c r="E750" s="1" t="str">
        <f>IFERROR(__xludf.DUMMYFUNCTION("""COMPUTED_VALUE"""),"97124")</f>
        <v>97124</v>
      </c>
      <c r="F750" s="1" t="str">
        <f>IFERROR(__xludf.DUMMYFUNCTION("""COMPUTED_VALUE"""),"Washington")</f>
        <v>Washington</v>
      </c>
      <c r="G750" s="1" t="str">
        <f>IFERROR(__xludf.DUMMYFUNCTION("""COMPUTED_VALUE"""),"45.5502")</f>
        <v>45.5502</v>
      </c>
      <c r="H750" s="1" t="str">
        <f>IFERROR(__xludf.DUMMYFUNCTION("""COMPUTED_VALUE"""),"-122.941696")</f>
        <v>-122.941696</v>
      </c>
      <c r="I750" s="1" t="str">
        <f>IFERROR(__xludf.DUMMYFUNCTION("""COMPUTED_VALUE"""),"Expanding")</f>
        <v>Expanding</v>
      </c>
      <c r="J750" s="1" t="str">
        <f>IFERROR(__xludf.DUMMYFUNCTION("""COMPUTED_VALUE"""),"High")</f>
        <v>High</v>
      </c>
      <c r="K750" s="1" t="str">
        <f>IFERROR(__xludf.DUMMYFUNCTION("""COMPUTED_VALUE"""),"")</f>
        <v/>
      </c>
      <c r="L750" s="1" t="str">
        <f>IFERROR(__xludf.DUMMYFUNCTION("""COMPUTED_VALUE"""),"Stack")</f>
        <v>Stack</v>
      </c>
      <c r="M750" s="1" t="str">
        <f>IFERROR(__xludf.DUMMYFUNCTION("""COMPUTED_VALUE"""),"")</f>
        <v/>
      </c>
      <c r="N750" s="1" t="str">
        <f>IFERROR(__xludf.DUMMYFUNCTION("""COMPUTED_VALUE"""),"25")</f>
        <v>25</v>
      </c>
      <c r="O750" s="1" t="str">
        <f>IFERROR(__xludf.DUMMYFUNCTION("""COMPUTED_VALUE"""),"Hyperscale (100-999 MW)")</f>
        <v>Hyperscale (100-999 MW)</v>
      </c>
      <c r="P750" s="1" t="str">
        <f>IFERROR(__xludf.DUMMYFUNCTION("""COMPUTED_VALUE"""),"")</f>
        <v/>
      </c>
      <c r="Q750" s="1" t="str">
        <f>IFERROR(__xludf.DUMMYFUNCTION("""COMPUTED_VALUE"""),"")</f>
        <v/>
      </c>
      <c r="R750" s="1" t="str">
        <f>IFERROR(__xludf.DUMMYFUNCTION("""COMPUTED_VALUE"""),"")</f>
        <v/>
      </c>
      <c r="S750" s="1" t="str">
        <f>IFERROR(__xludf.DUMMYFUNCTION("""COMPUTED_VALUE"""),"4")</f>
        <v>4</v>
      </c>
      <c r="T750" s="1" t="str">
        <f>IFERROR(__xludf.DUMMYFUNCTION("""COMPUTED_VALUE"""),"")</f>
        <v/>
      </c>
      <c r="U750" s="1" t="str">
        <f>IFERROR(__xludf.DUMMYFUNCTION("""COMPUTED_VALUE"""),"")</f>
        <v/>
      </c>
      <c r="V750" s="1" t="str">
        <f>IFERROR(__xludf.DUMMYFUNCTION("""COMPUTED_VALUE"""),"")</f>
        <v/>
      </c>
      <c r="W750" s="1" t="str">
        <f>IFERROR(__xludf.DUMMYFUNCTION("""COMPUTED_VALUE"""),"")</f>
        <v/>
      </c>
      <c r="X750" s="1" t="str">
        <f>IFERROR(__xludf.DUMMYFUNCTION("""COMPUTED_VALUE"""),"")</f>
        <v/>
      </c>
      <c r="Y750" s="1" t="str">
        <f>IFERROR(__xludf.DUMMYFUNCTION("""COMPUTED_VALUE"""),"2027")</f>
        <v>2027</v>
      </c>
      <c r="Z750" s="1" t="str">
        <f>IFERROR(__xludf.DUMMYFUNCTION("""COMPUTED_VALUE"""),"Unknown")</f>
        <v>Unknown</v>
      </c>
      <c r="AA750" s="1" t="str">
        <f>IFERROR(__xludf.DUMMYFUNCTION("""COMPUTED_VALUE"""),"")</f>
        <v/>
      </c>
      <c r="AB750" s="1" t="str">
        <f>IFERROR(__xludf.DUMMYFUNCTION("""COMPUTED_VALUE"""),"")</f>
        <v/>
      </c>
      <c r="AC750" s="1" t="str">
        <f>IFERROR(__xludf.DUMMYFUNCTION("""COMPUTED_VALUE"""),"")</f>
        <v/>
      </c>
      <c r="AD750" s="1" t="str">
        <f>IFERROR(__xludf.DUMMYFUNCTION("""COMPUTED_VALUE"""),"")</f>
        <v/>
      </c>
      <c r="AE750" s="1" t="str">
        <f>IFERROR(__xludf.DUMMYFUNCTION("""COMPUTED_VALUE"""),"")</f>
        <v/>
      </c>
      <c r="AF750" s="1" t="str">
        <f>IFERROR(__xludf.DUMMYFUNCTION("""COMPUTED_VALUE"""),"")</f>
        <v/>
      </c>
      <c r="AG750" s="1" t="str">
        <f>IFERROR(__xludf.DUMMYFUNCTION("""COMPUTED_VALUE"""),"")</f>
        <v/>
      </c>
      <c r="AH750" s="1" t="str">
        <f>IFERROR(__xludf.DUMMYFUNCTION("""COMPUTED_VALUE"""),"Media Monitoring")</f>
        <v>Media Monitoring</v>
      </c>
      <c r="AI750" s="2" t="str">
        <f>IFERROR(__xludf.DUMMYFUNCTION("""COMPUTED_VALUE"""),"https://www.datacenterdynamics.com/en/news/data-center-developer-stack-to-expand-hillsboro-campus-by-121mw/")</f>
        <v>https://www.datacenterdynamics.com/en/news/data-center-developer-stack-to-expand-hillsboro-campus-by-121mw/</v>
      </c>
      <c r="AJ750" s="2" t="str">
        <f>IFERROR(__xludf.DUMMYFUNCTION("""COMPUTED_VALUE"""),"https://www.stackinfra.com/locations/americas/portland/por03/")</f>
        <v>https://www.stackinfra.com/locations/americas/portland/por03/</v>
      </c>
      <c r="AK750" s="1" t="str">
        <f>IFERROR(__xludf.DUMMYFUNCTION("""COMPUTED_VALUE"""),"")</f>
        <v/>
      </c>
      <c r="AL750" s="1" t="str">
        <f>IFERROR(__xludf.DUMMYFUNCTION("""COMPUTED_VALUE"""),"")</f>
        <v/>
      </c>
      <c r="AM750" s="1" t="str">
        <f>IFERROR(__xludf.DUMMYFUNCTION("""COMPUTED_VALUE"""),"")</f>
        <v/>
      </c>
      <c r="AN750" s="1" t="str">
        <f>IFERROR(__xludf.DUMMYFUNCTION("""COMPUTED_VALUE"""),"")</f>
        <v/>
      </c>
      <c r="AO750" s="1" t="str">
        <f>IFERROR(__xludf.DUMMYFUNCTION("""COMPUTED_VALUE"""),"")</f>
        <v/>
      </c>
      <c r="AP750" s="1" t="str">
        <f>IFERROR(__xludf.DUMMYFUNCTION("""COMPUTED_VALUE"""),"")</f>
        <v/>
      </c>
      <c r="AQ750" s="1" t="str">
        <f>IFERROR(__xludf.DUMMYFUNCTION("""COMPUTED_VALUE"""),"02/20/2026")</f>
        <v>02/20/2026</v>
      </c>
      <c r="AR750" s="1" t="str">
        <f>IFERROR(__xludf.DUMMYFUNCTION("""COMPUTED_VALUE"""),"02/20/2026")</f>
        <v>02/20/2026</v>
      </c>
    </row>
    <row r="751">
      <c r="A751" s="1" t="str">
        <f>IFERROR(__xludf.DUMMYFUNCTION("""COMPUTED_VALUE"""),"La Pine Data Center")</f>
        <v>La Pine Data Center</v>
      </c>
      <c r="B751" s="1" t="str">
        <f>IFERROR(__xludf.DUMMYFUNCTION("""COMPUTED_VALUE"""),"William Foss Rd/ Reed Rd")</f>
        <v>William Foss Rd/ Reed Rd</v>
      </c>
      <c r="C751" s="1" t="str">
        <f>IFERROR(__xludf.DUMMYFUNCTION("""COMPUTED_VALUE"""),"La Pine")</f>
        <v>La Pine</v>
      </c>
      <c r="D751" s="1" t="str">
        <f>IFERROR(__xludf.DUMMYFUNCTION("""COMPUTED_VALUE"""),"OR")</f>
        <v>OR</v>
      </c>
      <c r="E751" s="1" t="str">
        <f>IFERROR(__xludf.DUMMYFUNCTION("""COMPUTED_VALUE"""),"97739")</f>
        <v>97739</v>
      </c>
      <c r="F751" s="1" t="str">
        <f>IFERROR(__xludf.DUMMYFUNCTION("""COMPUTED_VALUE"""),"Deschutes")</f>
        <v>Deschutes</v>
      </c>
      <c r="G751" s="1" t="str">
        <f>IFERROR(__xludf.DUMMYFUNCTION("""COMPUTED_VALUE"""),"43.66909")</f>
        <v>43.66909</v>
      </c>
      <c r="H751" s="1" t="str">
        <f>IFERROR(__xludf.DUMMYFUNCTION("""COMPUTED_VALUE"""),"-121.4879")</f>
        <v>-121.4879</v>
      </c>
      <c r="I751" s="1" t="str">
        <f>IFERROR(__xludf.DUMMYFUNCTION("""COMPUTED_VALUE"""),"Suspended")</f>
        <v>Suspended</v>
      </c>
      <c r="J751" s="1" t="str">
        <f>IFERROR(__xludf.DUMMYFUNCTION("""COMPUTED_VALUE"""),"Medium")</f>
        <v>Medium</v>
      </c>
      <c r="K751" s="1" t="str">
        <f>IFERROR(__xludf.DUMMYFUNCTION("""COMPUTED_VALUE"""),"")</f>
        <v/>
      </c>
      <c r="L751" s="1" t="str">
        <f>IFERROR(__xludf.DUMMYFUNCTION("""COMPUTED_VALUE"""),"Box Miner")</f>
        <v>Box Miner</v>
      </c>
      <c r="M751" s="1" t="str">
        <f>IFERROR(__xludf.DUMMYFUNCTION("""COMPUTED_VALUE"""),"")</f>
        <v/>
      </c>
      <c r="N751" s="1" t="str">
        <f>IFERROR(__xludf.DUMMYFUNCTION("""COMPUTED_VALUE"""),"20")</f>
        <v>20</v>
      </c>
      <c r="O751" s="1" t="str">
        <f>IFERROR(__xludf.DUMMYFUNCTION("""COMPUTED_VALUE"""),"Unknown")</f>
        <v>Unknown</v>
      </c>
      <c r="P751" s="1" t="str">
        <f>IFERROR(__xludf.DUMMYFUNCTION("""COMPUTED_VALUE"""),"")</f>
        <v/>
      </c>
      <c r="Q751" s="1" t="str">
        <f>IFERROR(__xludf.DUMMYFUNCTION("""COMPUTED_VALUE"""),"")</f>
        <v/>
      </c>
      <c r="R751" s="1" t="str">
        <f>IFERROR(__xludf.DUMMYFUNCTION("""COMPUTED_VALUE"""),"")</f>
        <v/>
      </c>
      <c r="S751" s="1" t="str">
        <f>IFERROR(__xludf.DUMMYFUNCTION("""COMPUTED_VALUE"""),"")</f>
        <v/>
      </c>
      <c r="T751" s="1" t="str">
        <f>IFERROR(__xludf.DUMMYFUNCTION("""COMPUTED_VALUE"""),"")</f>
        <v/>
      </c>
      <c r="U751" s="1" t="str">
        <f>IFERROR(__xludf.DUMMYFUNCTION("""COMPUTED_VALUE"""),"Closed loop")</f>
        <v>Closed loop</v>
      </c>
      <c r="V751" s="1" t="str">
        <f>IFERROR(__xludf.DUMMYFUNCTION("""COMPUTED_VALUE"""),"")</f>
        <v/>
      </c>
      <c r="W751" s="1" t="str">
        <f>IFERROR(__xludf.DUMMYFUNCTION("""COMPUTED_VALUE"""),"20")</f>
        <v>20</v>
      </c>
      <c r="X751" s="1" t="str">
        <f>IFERROR(__xludf.DUMMYFUNCTION("""COMPUTED_VALUE"""),"$288 million")</f>
        <v>$288 million</v>
      </c>
      <c r="Y751" s="1" t="str">
        <f>IFERROR(__xludf.DUMMYFUNCTION("""COMPUTED_VALUE"""),"")</f>
        <v/>
      </c>
      <c r="Z751" s="1" t="str">
        <f>IFERROR(__xludf.DUMMYFUNCTION("""COMPUTED_VALUE"""),"Yes")</f>
        <v>Yes</v>
      </c>
      <c r="AA751" s="1" t="str">
        <f>IFERROR(__xludf.DUMMYFUNCTION("""COMPUTED_VALUE"""),"")</f>
        <v/>
      </c>
      <c r="AB751" s="1" t="str">
        <f>IFERROR(__xludf.DUMMYFUNCTION("""COMPUTED_VALUE"""),"Organized Advocacy")</f>
        <v>Organized Advocacy</v>
      </c>
      <c r="AC751" s="1" t="str">
        <f>IFERROR(__xludf.DUMMYFUNCTION("""COMPUTED_VALUE"""),"")</f>
        <v/>
      </c>
      <c r="AD751" s="1" t="str">
        <f>IFERROR(__xludf.DUMMYFUNCTION("""COMPUTED_VALUE"""),"")</f>
        <v/>
      </c>
      <c r="AE751" s="1" t="str">
        <f>IFERROR(__xludf.DUMMYFUNCTION("""COMPUTED_VALUE"""),"")</f>
        <v/>
      </c>
      <c r="AF751" s="1" t="str">
        <f>IFERROR(__xludf.DUMMYFUNCTION("""COMPUTED_VALUE"""),"")</f>
        <v/>
      </c>
      <c r="AG751" s="1" t="str">
        <f>IFERROR(__xludf.DUMMYFUNCTION("""COMPUTED_VALUE"""),"")</f>
        <v/>
      </c>
      <c r="AH751" s="1" t="str">
        <f>IFERROR(__xludf.DUMMYFUNCTION("""COMPUTED_VALUE"""),"Media Monitoring")</f>
        <v>Media Monitoring</v>
      </c>
      <c r="AI751" s="2" t="str">
        <f>IFERROR(__xludf.DUMMYFUNCTION("""COMPUTED_VALUE"""),"https://www.bendsource.com/news/localnews/after-pushback-to-la-pine-data-center-community-developers-await-next-steps/")</f>
        <v>https://www.bendsource.com/news/localnews/after-pushback-to-la-pine-data-center-community-developers-await-next-steps/</v>
      </c>
      <c r="AJ751" s="2" t="str">
        <f>IFERROR(__xludf.DUMMYFUNCTION("""COMPUTED_VALUE"""),"https://www.youtube.com/watch?v=X1y2Cqedtmk")</f>
        <v>https://www.youtube.com/watch?v=X1y2Cqedtmk</v>
      </c>
      <c r="AK751" s="2" t="str">
        <f>IFERROR(__xludf.DUMMYFUNCTION("""COMPUTED_VALUE"""),"https://www.lapineoregon.gov/community/page/city-release-proposed-data-center")</f>
        <v>https://www.lapineoregon.gov/community/page/city-release-proposed-data-center</v>
      </c>
      <c r="AL751" s="1" t="str">
        <f>IFERROR(__xludf.DUMMYFUNCTION("""COMPUTED_VALUE"""),"")</f>
        <v/>
      </c>
      <c r="AM751" s="1" t="str">
        <f>IFERROR(__xludf.DUMMYFUNCTION("""COMPUTED_VALUE"""),"")</f>
        <v/>
      </c>
      <c r="AN751" s="1" t="str">
        <f>IFERROR(__xludf.DUMMYFUNCTION("""COMPUTED_VALUE"""),"")</f>
        <v/>
      </c>
      <c r="AO751" s="1" t="str">
        <f>IFERROR(__xludf.DUMMYFUNCTION("""COMPUTED_VALUE"""),"")</f>
        <v/>
      </c>
      <c r="AP751" s="1" t="str">
        <f>IFERROR(__xludf.DUMMYFUNCTION("""COMPUTED_VALUE"""),"")</f>
        <v/>
      </c>
      <c r="AQ751" s="1" t="str">
        <f>IFERROR(__xludf.DUMMYFUNCTION("""COMPUTED_VALUE"""),"05/23/2026")</f>
        <v>05/23/2026</v>
      </c>
      <c r="AR751" s="1" t="str">
        <f>IFERROR(__xludf.DUMMYFUNCTION("""COMPUTED_VALUE"""),"05/23/2026")</f>
        <v>05/23/2026</v>
      </c>
    </row>
    <row r="752">
      <c r="A752" s="1" t="str">
        <f>IFERROR(__xludf.DUMMYFUNCTION("""COMPUTED_VALUE"""),"Apple Prineville Data Center")</f>
        <v>Apple Prineville Data Center</v>
      </c>
      <c r="B752" s="1" t="str">
        <f>IFERROR(__xludf.DUMMYFUNCTION("""COMPUTED_VALUE"""),"")</f>
        <v/>
      </c>
      <c r="C752" s="1" t="str">
        <f>IFERROR(__xludf.DUMMYFUNCTION("""COMPUTED_VALUE"""),"Prineville")</f>
        <v>Prineville</v>
      </c>
      <c r="D752" s="1" t="str">
        <f>IFERROR(__xludf.DUMMYFUNCTION("""COMPUTED_VALUE"""),"OR")</f>
        <v>OR</v>
      </c>
      <c r="E752" s="1" t="str">
        <f>IFERROR(__xludf.DUMMYFUNCTION("""COMPUTED_VALUE"""),"")</f>
        <v/>
      </c>
      <c r="F752" s="1" t="str">
        <f>IFERROR(__xludf.DUMMYFUNCTION("""COMPUTED_VALUE"""),"Crook")</f>
        <v>Crook</v>
      </c>
      <c r="G752" s="1" t="str">
        <f>IFERROR(__xludf.DUMMYFUNCTION("""COMPUTED_VALUE"""),"44.28842")</f>
        <v>44.28842</v>
      </c>
      <c r="H752" s="1" t="str">
        <f>IFERROR(__xludf.DUMMYFUNCTION("""COMPUTED_VALUE"""),"-120.876")</f>
        <v>-120.876</v>
      </c>
      <c r="I752" s="1" t="str">
        <f>IFERROR(__xludf.DUMMYFUNCTION("""COMPUTED_VALUE"""),"Operating")</f>
        <v>Operating</v>
      </c>
      <c r="J752" s="1" t="str">
        <f>IFERROR(__xludf.DUMMYFUNCTION("""COMPUTED_VALUE"""),"Low")</f>
        <v>Low</v>
      </c>
      <c r="K752" s="1" t="str">
        <f>IFERROR(__xludf.DUMMYFUNCTION("""COMPUTED_VALUE"""),"")</f>
        <v/>
      </c>
      <c r="L752" s="1" t="str">
        <f>IFERROR(__xludf.DUMMYFUNCTION("""COMPUTED_VALUE"""),"")</f>
        <v/>
      </c>
      <c r="M752" s="1" t="str">
        <f>IFERROR(__xludf.DUMMYFUNCTION("""COMPUTED_VALUE"""),"")</f>
        <v/>
      </c>
      <c r="N752" s="1" t="str">
        <f>IFERROR(__xludf.DUMMYFUNCTION("""COMPUTED_VALUE"""),"")</f>
        <v/>
      </c>
      <c r="O752" s="1" t="str">
        <f>IFERROR(__xludf.DUMMYFUNCTION("""COMPUTED_VALUE"""),"Unknown")</f>
        <v>Unknown</v>
      </c>
      <c r="P752" s="1" t="str">
        <f>IFERROR(__xludf.DUMMYFUNCTION("""COMPUTED_VALUE"""),"")</f>
        <v/>
      </c>
      <c r="Q752" s="1" t="str">
        <f>IFERROR(__xludf.DUMMYFUNCTION("""COMPUTED_VALUE"""),"")</f>
        <v/>
      </c>
      <c r="R752" s="1" t="str">
        <f>IFERROR(__xludf.DUMMYFUNCTION("""COMPUTED_VALUE"""),"")</f>
        <v/>
      </c>
      <c r="S752" s="1" t="str">
        <f>IFERROR(__xludf.DUMMYFUNCTION("""COMPUTED_VALUE"""),"")</f>
        <v/>
      </c>
      <c r="T752" s="1" t="str">
        <f>IFERROR(__xludf.DUMMYFUNCTION("""COMPUTED_VALUE"""),"")</f>
        <v/>
      </c>
      <c r="U752" s="1" t="str">
        <f>IFERROR(__xludf.DUMMYFUNCTION("""COMPUTED_VALUE"""),"")</f>
        <v/>
      </c>
      <c r="V752" s="1" t="str">
        <f>IFERROR(__xludf.DUMMYFUNCTION("""COMPUTED_VALUE"""),"")</f>
        <v/>
      </c>
      <c r="W752" s="1" t="str">
        <f>IFERROR(__xludf.DUMMYFUNCTION("""COMPUTED_VALUE"""),"")</f>
        <v/>
      </c>
      <c r="X752" s="1" t="str">
        <f>IFERROR(__xludf.DUMMYFUNCTION("""COMPUTED_VALUE"""),"")</f>
        <v/>
      </c>
      <c r="Y752" s="1" t="str">
        <f>IFERROR(__xludf.DUMMYFUNCTION("""COMPUTED_VALUE"""),"")</f>
        <v/>
      </c>
      <c r="Z752" s="1" t="str">
        <f>IFERROR(__xludf.DUMMYFUNCTION("""COMPUTED_VALUE"""),"Unknown")</f>
        <v>Unknown</v>
      </c>
      <c r="AA752" s="1" t="str">
        <f>IFERROR(__xludf.DUMMYFUNCTION("""COMPUTED_VALUE"""),"")</f>
        <v/>
      </c>
      <c r="AB752" s="1" t="str">
        <f>IFERROR(__xludf.DUMMYFUNCTION("""COMPUTED_VALUE"""),"")</f>
        <v/>
      </c>
      <c r="AC752" s="1" t="str">
        <f>IFERROR(__xludf.DUMMYFUNCTION("""COMPUTED_VALUE"""),"")</f>
        <v/>
      </c>
      <c r="AD752" s="1" t="str">
        <f>IFERROR(__xludf.DUMMYFUNCTION("""COMPUTED_VALUE"""),"")</f>
        <v/>
      </c>
      <c r="AE752" s="1" t="str">
        <f>IFERROR(__xludf.DUMMYFUNCTION("""COMPUTED_VALUE"""),"")</f>
        <v/>
      </c>
      <c r="AF752" s="1" t="str">
        <f>IFERROR(__xludf.DUMMYFUNCTION("""COMPUTED_VALUE"""),"")</f>
        <v/>
      </c>
      <c r="AG752" s="1" t="str">
        <f>IFERROR(__xludf.DUMMYFUNCTION("""COMPUTED_VALUE"""),"")</f>
        <v/>
      </c>
      <c r="AH752" s="1" t="str">
        <f>IFERROR(__xludf.DUMMYFUNCTION("""COMPUTED_VALUE"""),"Media Monitoring")</f>
        <v>Media Monitoring</v>
      </c>
      <c r="AI752" s="1" t="str">
        <f>IFERROR(__xludf.DUMMYFUNCTION("""COMPUTED_VALUE"""),"")</f>
        <v/>
      </c>
      <c r="AJ752" s="1" t="str">
        <f>IFERROR(__xludf.DUMMYFUNCTION("""COMPUTED_VALUE"""),"")</f>
        <v/>
      </c>
      <c r="AK752" s="1" t="str">
        <f>IFERROR(__xludf.DUMMYFUNCTION("""COMPUTED_VALUE"""),"")</f>
        <v/>
      </c>
      <c r="AL752" s="1" t="str">
        <f>IFERROR(__xludf.DUMMYFUNCTION("""COMPUTED_VALUE"""),"")</f>
        <v/>
      </c>
      <c r="AM752" s="1" t="str">
        <f>IFERROR(__xludf.DUMMYFUNCTION("""COMPUTED_VALUE"""),"")</f>
        <v/>
      </c>
      <c r="AN752" s="1" t="str">
        <f>IFERROR(__xludf.DUMMYFUNCTION("""COMPUTED_VALUE"""),"")</f>
        <v/>
      </c>
      <c r="AO752" s="1" t="str">
        <f>IFERROR(__xludf.DUMMYFUNCTION("""COMPUTED_VALUE"""),"")</f>
        <v/>
      </c>
      <c r="AP752" s="1" t="str">
        <f>IFERROR(__xludf.DUMMYFUNCTION("""COMPUTED_VALUE"""),"")</f>
        <v/>
      </c>
      <c r="AQ752" s="1" t="str">
        <f>IFERROR(__xludf.DUMMYFUNCTION("""COMPUTED_VALUE"""),"08/14/2025")</f>
        <v>08/14/2025</v>
      </c>
      <c r="AR752" s="1" t="str">
        <f>IFERROR(__xludf.DUMMYFUNCTION("""COMPUTED_VALUE"""),"08/14/2025")</f>
        <v>08/14/2025</v>
      </c>
    </row>
    <row r="753">
      <c r="A753" s="1" t="str">
        <f>IFERROR(__xludf.DUMMYFUNCTION("""COMPUTED_VALUE"""),"Meta Prineville Data Center")</f>
        <v>Meta Prineville Data Center</v>
      </c>
      <c r="B753" s="1" t="str">
        <f>IFERROR(__xludf.DUMMYFUNCTION("""COMPUTED_VALUE"""),"735 SW Connect Way")</f>
        <v>735 SW Connect Way</v>
      </c>
      <c r="C753" s="1" t="str">
        <f>IFERROR(__xludf.DUMMYFUNCTION("""COMPUTED_VALUE"""),"Prineville")</f>
        <v>Prineville</v>
      </c>
      <c r="D753" s="1" t="str">
        <f>IFERROR(__xludf.DUMMYFUNCTION("""COMPUTED_VALUE"""),"OR")</f>
        <v>OR</v>
      </c>
      <c r="E753" s="1" t="str">
        <f>IFERROR(__xludf.DUMMYFUNCTION("""COMPUTED_VALUE"""),"97754")</f>
        <v>97754</v>
      </c>
      <c r="F753" s="1" t="str">
        <f>IFERROR(__xludf.DUMMYFUNCTION("""COMPUTED_VALUE"""),"Crook")</f>
        <v>Crook</v>
      </c>
      <c r="G753" s="1" t="str">
        <f>IFERROR(__xludf.DUMMYFUNCTION("""COMPUTED_VALUE"""),"44.295624")</f>
        <v>44.295624</v>
      </c>
      <c r="H753" s="1" t="str">
        <f>IFERROR(__xludf.DUMMYFUNCTION("""COMPUTED_VALUE"""),"-120.88721")</f>
        <v>-120.88721</v>
      </c>
      <c r="I753" s="1" t="str">
        <f>IFERROR(__xludf.DUMMYFUNCTION("""COMPUTED_VALUE"""),"Operating")</f>
        <v>Operating</v>
      </c>
      <c r="J753" s="1" t="str">
        <f>IFERROR(__xludf.DUMMYFUNCTION("""COMPUTED_VALUE"""),"High")</f>
        <v>High</v>
      </c>
      <c r="K753" s="1" t="str">
        <f>IFERROR(__xludf.DUMMYFUNCTION("""COMPUTED_VALUE"""),"")</f>
        <v/>
      </c>
      <c r="L753" s="1" t="str">
        <f>IFERROR(__xludf.DUMMYFUNCTION("""COMPUTED_VALUE"""),"Meta")</f>
        <v>Meta</v>
      </c>
      <c r="M753" s="1" t="str">
        <f>IFERROR(__xludf.DUMMYFUNCTION("""COMPUTED_VALUE"""),"")</f>
        <v/>
      </c>
      <c r="N753" s="1" t="str">
        <f>IFERROR(__xludf.DUMMYFUNCTION("""COMPUTED_VALUE"""),"")</f>
        <v/>
      </c>
      <c r="O753" s="1" t="str">
        <f>IFERROR(__xludf.DUMMYFUNCTION("""COMPUTED_VALUE"""),"Hyperscale (100-999 MW)")</f>
        <v>Hyperscale (100-999 MW)</v>
      </c>
      <c r="P753" s="1" t="str">
        <f>IFERROR(__xludf.DUMMYFUNCTION("""COMPUTED_VALUE"""),"")</f>
        <v/>
      </c>
      <c r="Q753" s="1" t="str">
        <f>IFERROR(__xludf.DUMMYFUNCTION("""COMPUTED_VALUE"""),"")</f>
        <v/>
      </c>
      <c r="R753" s="1" t="str">
        <f>IFERROR(__xludf.DUMMYFUNCTION("""COMPUTED_VALUE"""),"")</f>
        <v/>
      </c>
      <c r="S753" s="1" t="str">
        <f>IFERROR(__xludf.DUMMYFUNCTION("""COMPUTED_VALUE"""),"")</f>
        <v/>
      </c>
      <c r="T753" s="1" t="str">
        <f>IFERROR(__xludf.DUMMYFUNCTION("""COMPUTED_VALUE"""),"")</f>
        <v/>
      </c>
      <c r="U753" s="1" t="str">
        <f>IFERROR(__xludf.DUMMYFUNCTION("""COMPUTED_VALUE"""),"")</f>
        <v/>
      </c>
      <c r="V753" s="1" t="str">
        <f>IFERROR(__xludf.DUMMYFUNCTION("""COMPUTED_VALUE"""),"3,200,000")</f>
        <v>3,200,000</v>
      </c>
      <c r="W753" s="1" t="str">
        <f>IFERROR(__xludf.DUMMYFUNCTION("""COMPUTED_VALUE"""),"")</f>
        <v/>
      </c>
      <c r="X753" s="1" t="str">
        <f>IFERROR(__xludf.DUMMYFUNCTION("""COMPUTED_VALUE"""),"")</f>
        <v/>
      </c>
      <c r="Y753" s="1" t="str">
        <f>IFERROR(__xludf.DUMMYFUNCTION("""COMPUTED_VALUE"""),"")</f>
        <v/>
      </c>
      <c r="Z753" s="1" t="str">
        <f>IFERROR(__xludf.DUMMYFUNCTION("""COMPUTED_VALUE"""),"Unknown")</f>
        <v>Unknown</v>
      </c>
      <c r="AA753" s="1" t="str">
        <f>IFERROR(__xludf.DUMMYFUNCTION("""COMPUTED_VALUE"""),"")</f>
        <v/>
      </c>
      <c r="AB753" s="1" t="str">
        <f>IFERROR(__xludf.DUMMYFUNCTION("""COMPUTED_VALUE"""),"")</f>
        <v/>
      </c>
      <c r="AC753" s="1" t="str">
        <f>IFERROR(__xludf.DUMMYFUNCTION("""COMPUTED_VALUE"""),"")</f>
        <v/>
      </c>
      <c r="AD753" s="1" t="str">
        <f>IFERROR(__xludf.DUMMYFUNCTION("""COMPUTED_VALUE"""),"")</f>
        <v/>
      </c>
      <c r="AE753" s="1" t="str">
        <f>IFERROR(__xludf.DUMMYFUNCTION("""COMPUTED_VALUE"""),"")</f>
        <v/>
      </c>
      <c r="AF753" s="1" t="str">
        <f>IFERROR(__xludf.DUMMYFUNCTION("""COMPUTED_VALUE"""),"")</f>
        <v/>
      </c>
      <c r="AG753" s="1" t="str">
        <f>IFERROR(__xludf.DUMMYFUNCTION("""COMPUTED_VALUE"""),"")</f>
        <v/>
      </c>
      <c r="AH753" s="1" t="str">
        <f>IFERROR(__xludf.DUMMYFUNCTION("""COMPUTED_VALUE"""),"Crowdsourced")</f>
        <v>Crowdsourced</v>
      </c>
      <c r="AI753" s="2" t="str">
        <f>IFERROR(__xludf.DUMMYFUNCTION("""COMPUTED_VALUE"""),"https://www.datacenters.com/facebook-prineville")</f>
        <v>https://www.datacenters.com/facebook-prineville</v>
      </c>
      <c r="AJ753" s="1" t="str">
        <f>IFERROR(__xludf.DUMMYFUNCTION("""COMPUTED_VALUE"""),"")</f>
        <v/>
      </c>
      <c r="AK753" s="1" t="str">
        <f>IFERROR(__xludf.DUMMYFUNCTION("""COMPUTED_VALUE"""),"")</f>
        <v/>
      </c>
      <c r="AL753" s="1" t="str">
        <f>IFERROR(__xludf.DUMMYFUNCTION("""COMPUTED_VALUE"""),"")</f>
        <v/>
      </c>
      <c r="AM753" s="1" t="str">
        <f>IFERROR(__xludf.DUMMYFUNCTION("""COMPUTED_VALUE"""),"")</f>
        <v/>
      </c>
      <c r="AN753" s="1" t="str">
        <f>IFERROR(__xludf.DUMMYFUNCTION("""COMPUTED_VALUE"""),"")</f>
        <v/>
      </c>
      <c r="AO753" s="1" t="str">
        <f>IFERROR(__xludf.DUMMYFUNCTION("""COMPUTED_VALUE"""),"")</f>
        <v/>
      </c>
      <c r="AP753" s="1" t="str">
        <f>IFERROR(__xludf.DUMMYFUNCTION("""COMPUTED_VALUE"""),"")</f>
        <v/>
      </c>
      <c r="AQ753" s="1" t="str">
        <f>IFERROR(__xludf.DUMMYFUNCTION("""COMPUTED_VALUE"""),"12/24/2025")</f>
        <v>12/24/2025</v>
      </c>
      <c r="AR753" s="1" t="str">
        <f>IFERROR(__xludf.DUMMYFUNCTION("""COMPUTED_VALUE"""),"12/24/2025")</f>
        <v>12/24/2025</v>
      </c>
    </row>
    <row r="754">
      <c r="A754" s="1" t="str">
        <f>IFERROR(__xludf.DUMMYFUNCTION("""COMPUTED_VALUE"""),"Verrus Data Center")</f>
        <v>Verrus Data Center</v>
      </c>
      <c r="B754" s="1" t="str">
        <f>IFERROR(__xludf.DUMMYFUNCTION("""COMPUTED_VALUE"""),"Deer Park Dr SE and Turner Rd SE")</f>
        <v>Deer Park Dr SE and Turner Rd SE</v>
      </c>
      <c r="C754" s="1" t="str">
        <f>IFERROR(__xludf.DUMMYFUNCTION("""COMPUTED_VALUE"""),"Salem")</f>
        <v>Salem</v>
      </c>
      <c r="D754" s="1" t="str">
        <f>IFERROR(__xludf.DUMMYFUNCTION("""COMPUTED_VALUE"""),"OR")</f>
        <v>OR</v>
      </c>
      <c r="E754" s="1" t="str">
        <f>IFERROR(__xludf.DUMMYFUNCTION("""COMPUTED_VALUE"""),"97317")</f>
        <v>97317</v>
      </c>
      <c r="F754" s="1" t="str">
        <f>IFERROR(__xludf.DUMMYFUNCTION("""COMPUTED_VALUE"""),"Marion")</f>
        <v>Marion</v>
      </c>
      <c r="G754" s="1" t="str">
        <f>IFERROR(__xludf.DUMMYFUNCTION("""COMPUTED_VALUE"""),"44.87692")</f>
        <v>44.87692</v>
      </c>
      <c r="H754" s="1" t="str">
        <f>IFERROR(__xludf.DUMMYFUNCTION("""COMPUTED_VALUE"""),"-122.97173")</f>
        <v>-122.97173</v>
      </c>
      <c r="I754" s="1" t="str">
        <f>IFERROR(__xludf.DUMMYFUNCTION("""COMPUTED_VALUE"""),"Proposed")</f>
        <v>Proposed</v>
      </c>
      <c r="J754" s="1" t="str">
        <f>IFERROR(__xludf.DUMMYFUNCTION("""COMPUTED_VALUE"""),"Medium")</f>
        <v>Medium</v>
      </c>
      <c r="K754" s="1" t="str">
        <f>IFERROR(__xludf.DUMMYFUNCTION("""COMPUTED_VALUE"""),"")</f>
        <v/>
      </c>
      <c r="L754" s="1" t="str">
        <f>IFERROR(__xludf.DUMMYFUNCTION("""COMPUTED_VALUE"""),"Sidewalk Infrastructure Partners")</f>
        <v>Sidewalk Infrastructure Partners</v>
      </c>
      <c r="M754" s="1" t="str">
        <f>IFERROR(__xludf.DUMMYFUNCTION("""COMPUTED_VALUE"""),"")</f>
        <v/>
      </c>
      <c r="N754" s="1" t="str">
        <f>IFERROR(__xludf.DUMMYFUNCTION("""COMPUTED_VALUE"""),"")</f>
        <v/>
      </c>
      <c r="O754" s="1" t="str">
        <f>IFERROR(__xludf.DUMMYFUNCTION("""COMPUTED_VALUE"""),"Unknown")</f>
        <v>Unknown</v>
      </c>
      <c r="P754" s="1" t="str">
        <f>IFERROR(__xludf.DUMMYFUNCTION("""COMPUTED_VALUE"""),"Grid (unspecified mix), Batteries")</f>
        <v>Grid (unspecified mix), Batteries</v>
      </c>
      <c r="Q754" s="1" t="str">
        <f>IFERROR(__xludf.DUMMYFUNCTION("""COMPUTED_VALUE"""),"")</f>
        <v/>
      </c>
      <c r="R754" s="1" t="str">
        <f>IFERROR(__xludf.DUMMYFUNCTION("""COMPUTED_VALUE"""),"")</f>
        <v/>
      </c>
      <c r="S754" s="1" t="str">
        <f>IFERROR(__xludf.DUMMYFUNCTION("""COMPUTED_VALUE"""),"")</f>
        <v/>
      </c>
      <c r="T754" s="1" t="str">
        <f>IFERROR(__xludf.DUMMYFUNCTION("""COMPUTED_VALUE"""),"")</f>
        <v/>
      </c>
      <c r="U754" s="1" t="str">
        <f>IFERROR(__xludf.DUMMYFUNCTION("""COMPUTED_VALUE"""),"Closed loop")</f>
        <v>Closed loop</v>
      </c>
      <c r="V754" s="1" t="str">
        <f>IFERROR(__xludf.DUMMYFUNCTION("""COMPUTED_VALUE"""),"")</f>
        <v/>
      </c>
      <c r="W754" s="1" t="str">
        <f>IFERROR(__xludf.DUMMYFUNCTION("""COMPUTED_VALUE"""),"75")</f>
        <v>75</v>
      </c>
      <c r="X754" s="1" t="str">
        <f>IFERROR(__xludf.DUMMYFUNCTION("""COMPUTED_VALUE"""),"")</f>
        <v/>
      </c>
      <c r="Y754" s="1" t="str">
        <f>IFERROR(__xludf.DUMMYFUNCTION("""COMPUTED_VALUE"""),"")</f>
        <v/>
      </c>
      <c r="Z754" s="1" t="str">
        <f>IFERROR(__xludf.DUMMYFUNCTION("""COMPUTED_VALUE"""),"")</f>
        <v/>
      </c>
      <c r="AA754" s="1" t="str">
        <f>IFERROR(__xludf.DUMMYFUNCTION("""COMPUTED_VALUE"""),"")</f>
        <v/>
      </c>
      <c r="AB754" s="1" t="str">
        <f>IFERROR(__xludf.DUMMYFUNCTION("""COMPUTED_VALUE"""),"")</f>
        <v/>
      </c>
      <c r="AC754" s="1" t="str">
        <f>IFERROR(__xludf.DUMMYFUNCTION("""COMPUTED_VALUE"""),"")</f>
        <v/>
      </c>
      <c r="AD754" s="1" t="str">
        <f>IFERROR(__xludf.DUMMYFUNCTION("""COMPUTED_VALUE"""),"")</f>
        <v/>
      </c>
      <c r="AE754" s="1" t="str">
        <f>IFERROR(__xludf.DUMMYFUNCTION("""COMPUTED_VALUE"""),"")</f>
        <v/>
      </c>
      <c r="AF754" s="1" t="str">
        <f>IFERROR(__xludf.DUMMYFUNCTION("""COMPUTED_VALUE"""),"")</f>
        <v/>
      </c>
      <c r="AG754" s="1" t="str">
        <f>IFERROR(__xludf.DUMMYFUNCTION("""COMPUTED_VALUE"""),"")</f>
        <v/>
      </c>
      <c r="AH754" s="1" t="str">
        <f>IFERROR(__xludf.DUMMYFUNCTION("""COMPUTED_VALUE"""),"Media Monitoring")</f>
        <v>Media Monitoring</v>
      </c>
      <c r="AI754" s="2" t="str">
        <f>IFERROR(__xludf.DUMMYFUNCTION("""COMPUTED_VALUE"""),"https://www.datacenterdynamics.com/en/news/alphabet-spin-out-verrus-plans-three-building-data-center-campus-outside-portland-oregon/")</f>
        <v>https://www.datacenterdynamics.com/en/news/alphabet-spin-out-verrus-plans-three-building-data-center-campus-outside-portland-oregon/</v>
      </c>
      <c r="AJ754" s="1" t="str">
        <f>IFERROR(__xludf.DUMMYFUNCTION("""COMPUTED_VALUE"""),"")</f>
        <v/>
      </c>
      <c r="AK754" s="1" t="str">
        <f>IFERROR(__xludf.DUMMYFUNCTION("""COMPUTED_VALUE"""),"")</f>
        <v/>
      </c>
      <c r="AL754" s="1" t="str">
        <f>IFERROR(__xludf.DUMMYFUNCTION("""COMPUTED_VALUE"""),"")</f>
        <v/>
      </c>
      <c r="AM754" s="1" t="str">
        <f>IFERROR(__xludf.DUMMYFUNCTION("""COMPUTED_VALUE"""),"")</f>
        <v/>
      </c>
      <c r="AN754" s="1" t="str">
        <f>IFERROR(__xludf.DUMMYFUNCTION("""COMPUTED_VALUE"""),"")</f>
        <v/>
      </c>
      <c r="AO754" s="1" t="str">
        <f>IFERROR(__xludf.DUMMYFUNCTION("""COMPUTED_VALUE"""),"")</f>
        <v/>
      </c>
      <c r="AP754" s="1" t="str">
        <f>IFERROR(__xludf.DUMMYFUNCTION("""COMPUTED_VALUE"""),"")</f>
        <v/>
      </c>
      <c r="AQ754" s="1" t="str">
        <f>IFERROR(__xludf.DUMMYFUNCTION("""COMPUTED_VALUE"""),"07/16/2026")</f>
        <v>07/16/2026</v>
      </c>
      <c r="AR754" s="1" t="str">
        <f>IFERROR(__xludf.DUMMYFUNCTION("""COMPUTED_VALUE"""),"07/16/2026")</f>
        <v>07/16/2026</v>
      </c>
    </row>
    <row r="755">
      <c r="A755" s="1" t="str">
        <f>IFERROR(__xludf.DUMMYFUNCTION("""COMPUTED_VALUE"""),"Google Dalles Data Center")</f>
        <v>Google Dalles Data Center</v>
      </c>
      <c r="B755" s="1" t="str">
        <f>IFERROR(__xludf.DUMMYFUNCTION("""COMPUTED_VALUE"""),"4200 Columbia Road")</f>
        <v>4200 Columbia Road</v>
      </c>
      <c r="C755" s="1" t="str">
        <f>IFERROR(__xludf.DUMMYFUNCTION("""COMPUTED_VALUE"""),"The Dalles")</f>
        <v>The Dalles</v>
      </c>
      <c r="D755" s="1" t="str">
        <f>IFERROR(__xludf.DUMMYFUNCTION("""COMPUTED_VALUE"""),"OR")</f>
        <v>OR</v>
      </c>
      <c r="E755" s="1" t="str">
        <f>IFERROR(__xludf.DUMMYFUNCTION("""COMPUTED_VALUE"""),"97058")</f>
        <v>97058</v>
      </c>
      <c r="F755" s="1" t="str">
        <f>IFERROR(__xludf.DUMMYFUNCTION("""COMPUTED_VALUE"""),"Wasco")</f>
        <v>Wasco</v>
      </c>
      <c r="G755" s="1" t="str">
        <f>IFERROR(__xludf.DUMMYFUNCTION("""COMPUTED_VALUE"""),"45.63318")</f>
        <v>45.63318</v>
      </c>
      <c r="H755" s="1" t="str">
        <f>IFERROR(__xludf.DUMMYFUNCTION("""COMPUTED_VALUE"""),"-121.2")</f>
        <v>-121.2</v>
      </c>
      <c r="I755" s="1" t="str">
        <f>IFERROR(__xludf.DUMMYFUNCTION("""COMPUTED_VALUE"""),"Proposed")</f>
        <v>Proposed</v>
      </c>
      <c r="J755" s="1" t="str">
        <f>IFERROR(__xludf.DUMMYFUNCTION("""COMPUTED_VALUE"""),"High")</f>
        <v>High</v>
      </c>
      <c r="K755" s="1" t="str">
        <f>IFERROR(__xludf.DUMMYFUNCTION("""COMPUTED_VALUE"""),"")</f>
        <v/>
      </c>
      <c r="L755" s="1" t="str">
        <f>IFERROR(__xludf.DUMMYFUNCTION("""COMPUTED_VALUE"""),"Google")</f>
        <v>Google</v>
      </c>
      <c r="M755" s="1" t="str">
        <f>IFERROR(__xludf.DUMMYFUNCTION("""COMPUTED_VALUE"""),"")</f>
        <v/>
      </c>
      <c r="N755" s="1" t="str">
        <f>IFERROR(__xludf.DUMMYFUNCTION("""COMPUTED_VALUE"""),"")</f>
        <v/>
      </c>
      <c r="O755" s="1" t="str">
        <f>IFERROR(__xludf.DUMMYFUNCTION("""COMPUTED_VALUE"""),"Unknown")</f>
        <v>Unknown</v>
      </c>
      <c r="P755" s="1" t="str">
        <f>IFERROR(__xludf.DUMMYFUNCTION("""COMPUTED_VALUE"""),"")</f>
        <v/>
      </c>
      <c r="Q755" s="1" t="str">
        <f>IFERROR(__xludf.DUMMYFUNCTION("""COMPUTED_VALUE"""),"")</f>
        <v/>
      </c>
      <c r="R755" s="1" t="str">
        <f>IFERROR(__xludf.DUMMYFUNCTION("""COMPUTED_VALUE"""),"")</f>
        <v/>
      </c>
      <c r="S755" s="1" t="str">
        <f>IFERROR(__xludf.DUMMYFUNCTION("""COMPUTED_VALUE"""),"")</f>
        <v/>
      </c>
      <c r="T755" s="1" t="str">
        <f>IFERROR(__xludf.DUMMYFUNCTION("""COMPUTED_VALUE"""),"")</f>
        <v/>
      </c>
      <c r="U755" s="1" t="str">
        <f>IFERROR(__xludf.DUMMYFUNCTION("""COMPUTED_VALUE"""),"")</f>
        <v/>
      </c>
      <c r="V755" s="1" t="str">
        <f>IFERROR(__xludf.DUMMYFUNCTION("""COMPUTED_VALUE"""),"")</f>
        <v/>
      </c>
      <c r="W755" s="1" t="str">
        <f>IFERROR(__xludf.DUMMYFUNCTION("""COMPUTED_VALUE"""),"")</f>
        <v/>
      </c>
      <c r="X755" s="1" t="str">
        <f>IFERROR(__xludf.DUMMYFUNCTION("""COMPUTED_VALUE"""),"")</f>
        <v/>
      </c>
      <c r="Y755" s="1" t="str">
        <f>IFERROR(__xludf.DUMMYFUNCTION("""COMPUTED_VALUE"""),"")</f>
        <v/>
      </c>
      <c r="Z755" s="1" t="str">
        <f>IFERROR(__xludf.DUMMYFUNCTION("""COMPUTED_VALUE"""),"Unknown")</f>
        <v>Unknown</v>
      </c>
      <c r="AA755" s="1" t="str">
        <f>IFERROR(__xludf.DUMMYFUNCTION("""COMPUTED_VALUE"""),"")</f>
        <v/>
      </c>
      <c r="AB755" s="1" t="str">
        <f>IFERROR(__xludf.DUMMYFUNCTION("""COMPUTED_VALUE"""),"")</f>
        <v/>
      </c>
      <c r="AC755" s="1" t="str">
        <f>IFERROR(__xludf.DUMMYFUNCTION("""COMPUTED_VALUE"""),"")</f>
        <v/>
      </c>
      <c r="AD755" s="1" t="str">
        <f>IFERROR(__xludf.DUMMYFUNCTION("""COMPUTED_VALUE"""),"")</f>
        <v/>
      </c>
      <c r="AE755" s="1" t="str">
        <f>IFERROR(__xludf.DUMMYFUNCTION("""COMPUTED_VALUE"""),"")</f>
        <v/>
      </c>
      <c r="AF755" s="1" t="str">
        <f>IFERROR(__xludf.DUMMYFUNCTION("""COMPUTED_VALUE"""),"")</f>
        <v/>
      </c>
      <c r="AG755" s="1" t="str">
        <f>IFERROR(__xludf.DUMMYFUNCTION("""COMPUTED_VALUE"""),"")</f>
        <v/>
      </c>
      <c r="AH755" s="1" t="str">
        <f>IFERROR(__xludf.DUMMYFUNCTION("""COMPUTED_VALUE"""),"Media Monitoring")</f>
        <v>Media Monitoring</v>
      </c>
      <c r="AI755" s="2" t="str">
        <f>IFERROR(__xludf.DUMMYFUNCTION("""COMPUTED_VALUE"""),"https://www.datacenterdynamics.com/en/news/google-to-upgrade-its-original-data-center-in-oregon/")</f>
        <v>https://www.datacenterdynamics.com/en/news/google-to-upgrade-its-original-data-center-in-oregon/</v>
      </c>
      <c r="AJ755" s="1" t="str">
        <f>IFERROR(__xludf.DUMMYFUNCTION("""COMPUTED_VALUE"""),"")</f>
        <v/>
      </c>
      <c r="AK755" s="1" t="str">
        <f>IFERROR(__xludf.DUMMYFUNCTION("""COMPUTED_VALUE"""),"")</f>
        <v/>
      </c>
      <c r="AL755" s="1" t="str">
        <f>IFERROR(__xludf.DUMMYFUNCTION("""COMPUTED_VALUE"""),"")</f>
        <v/>
      </c>
      <c r="AM755" s="1" t="str">
        <f>IFERROR(__xludf.DUMMYFUNCTION("""COMPUTED_VALUE"""),"")</f>
        <v/>
      </c>
      <c r="AN755" s="1" t="str">
        <f>IFERROR(__xludf.DUMMYFUNCTION("""COMPUTED_VALUE"""),"")</f>
        <v/>
      </c>
      <c r="AO755" s="1" t="str">
        <f>IFERROR(__xludf.DUMMYFUNCTION("""COMPUTED_VALUE"""),"")</f>
        <v/>
      </c>
      <c r="AP755" s="1" t="str">
        <f>IFERROR(__xludf.DUMMYFUNCTION("""COMPUTED_VALUE"""),"")</f>
        <v/>
      </c>
      <c r="AQ755" s="1" t="str">
        <f>IFERROR(__xludf.DUMMYFUNCTION("""COMPUTED_VALUE"""),"07/01/2025")</f>
        <v>07/01/2025</v>
      </c>
      <c r="AR755" s="1" t="str">
        <f>IFERROR(__xludf.DUMMYFUNCTION("""COMPUTED_VALUE"""),"07/01/2025")</f>
        <v>07/01/2025</v>
      </c>
    </row>
    <row r="756">
      <c r="A756" s="1" t="str">
        <f>IFERROR(__xludf.DUMMYFUNCTION("""COMPUTED_VALUE"""),"Aliquippa Data Center Campus")</f>
        <v>Aliquippa Data Center Campus</v>
      </c>
      <c r="B756" s="1" t="str">
        <f>IFERROR(__xludf.DUMMYFUNCTION("""COMPUTED_VALUE"""),"81 Franklin Avenue")</f>
        <v>81 Franklin Avenue</v>
      </c>
      <c r="C756" s="1" t="str">
        <f>IFERROR(__xludf.DUMMYFUNCTION("""COMPUTED_VALUE"""),"Aliquippa")</f>
        <v>Aliquippa</v>
      </c>
      <c r="D756" s="1" t="str">
        <f>IFERROR(__xludf.DUMMYFUNCTION("""COMPUTED_VALUE"""),"PA")</f>
        <v>PA</v>
      </c>
      <c r="E756" s="1" t="str">
        <f>IFERROR(__xludf.DUMMYFUNCTION("""COMPUTED_VALUE"""),"15001")</f>
        <v>15001</v>
      </c>
      <c r="F756" s="1" t="str">
        <f>IFERROR(__xludf.DUMMYFUNCTION("""COMPUTED_VALUE"""),"Beaver")</f>
        <v>Beaver</v>
      </c>
      <c r="G756" s="1" t="str">
        <f>IFERROR(__xludf.DUMMYFUNCTION("""COMPUTED_VALUE"""),"40.630177")</f>
        <v>40.630177</v>
      </c>
      <c r="H756" s="1" t="str">
        <f>IFERROR(__xludf.DUMMYFUNCTION("""COMPUTED_VALUE"""),"-80.23629")</f>
        <v>-80.23629</v>
      </c>
      <c r="I756" s="1" t="str">
        <f>IFERROR(__xludf.DUMMYFUNCTION("""COMPUTED_VALUE"""),"Proposed")</f>
        <v>Proposed</v>
      </c>
      <c r="J756" s="1" t="str">
        <f>IFERROR(__xludf.DUMMYFUNCTION("""COMPUTED_VALUE"""),"High")</f>
        <v>High</v>
      </c>
      <c r="K756" s="1" t="str">
        <f>IFERROR(__xludf.DUMMYFUNCTION("""COMPUTED_VALUE"""),"")</f>
        <v/>
      </c>
      <c r="L756" s="1" t="str">
        <f>IFERROR(__xludf.DUMMYFUNCTION("""COMPUTED_VALUE"""),"Five 9s Digital")</f>
        <v>Five 9s Digital</v>
      </c>
      <c r="M756" s="1" t="str">
        <f>IFERROR(__xludf.DUMMYFUNCTION("""COMPUTED_VALUE"""),"")</f>
        <v/>
      </c>
      <c r="N756" s="1" t="str">
        <f>IFERROR(__xludf.DUMMYFUNCTION("""COMPUTED_VALUE"""),"496")</f>
        <v>496</v>
      </c>
      <c r="O756" s="1" t="str">
        <f>IFERROR(__xludf.DUMMYFUNCTION("""COMPUTED_VALUE"""),"Hyperscale (100-999 MW)")</f>
        <v>Hyperscale (100-999 MW)</v>
      </c>
      <c r="P756" s="1" t="str">
        <f>IFERROR(__xludf.DUMMYFUNCTION("""COMPUTED_VALUE"""),"Natural gas")</f>
        <v>Natural gas</v>
      </c>
      <c r="Q756" s="1" t="str">
        <f>IFERROR(__xludf.DUMMYFUNCTION("""COMPUTED_VALUE"""),"")</f>
        <v/>
      </c>
      <c r="R756" s="1" t="str">
        <f>IFERROR(__xludf.DUMMYFUNCTION("""COMPUTED_VALUE"""),"")</f>
        <v/>
      </c>
      <c r="S756" s="1" t="str">
        <f>IFERROR(__xludf.DUMMYFUNCTION("""COMPUTED_VALUE"""),"")</f>
        <v/>
      </c>
      <c r="T756" s="1" t="str">
        <f>IFERROR(__xludf.DUMMYFUNCTION("""COMPUTED_VALUE"""),"")</f>
        <v/>
      </c>
      <c r="U756" s="1" t="str">
        <f>IFERROR(__xludf.DUMMYFUNCTION("""COMPUTED_VALUE"""),"")</f>
        <v/>
      </c>
      <c r="V756" s="1" t="str">
        <f>IFERROR(__xludf.DUMMYFUNCTION("""COMPUTED_VALUE"""),"250,000")</f>
        <v>250,000</v>
      </c>
      <c r="W756" s="1" t="str">
        <f>IFERROR(__xludf.DUMMYFUNCTION("""COMPUTED_VALUE"""),"28")</f>
        <v>28</v>
      </c>
      <c r="X756" s="1" t="str">
        <f>IFERROR(__xludf.DUMMYFUNCTION("""COMPUTED_VALUE"""),"$25 billion")</f>
        <v>$25 billion</v>
      </c>
      <c r="Y756" s="1" t="str">
        <f>IFERROR(__xludf.DUMMYFUNCTION("""COMPUTED_VALUE"""),"")</f>
        <v/>
      </c>
      <c r="Z756" s="1" t="str">
        <f>IFERROR(__xludf.DUMMYFUNCTION("""COMPUTED_VALUE"""),"Unknown")</f>
        <v>Unknown</v>
      </c>
      <c r="AA756" s="1" t="str">
        <f>IFERROR(__xludf.DUMMYFUNCTION("""COMPUTED_VALUE"""),"Approved at the municipal level. ")</f>
        <v>Approved at the municipal level. </v>
      </c>
      <c r="AB756" s="1" t="str">
        <f>IFERROR(__xludf.DUMMYFUNCTION("""COMPUTED_VALUE"""),"")</f>
        <v/>
      </c>
      <c r="AC756" s="1" t="str">
        <f>IFERROR(__xludf.DUMMYFUNCTION("""COMPUTED_VALUE"""),"")</f>
        <v/>
      </c>
      <c r="AD756" s="1" t="str">
        <f>IFERROR(__xludf.DUMMYFUNCTION("""COMPUTED_VALUE"""),"")</f>
        <v/>
      </c>
      <c r="AE756" s="1" t="str">
        <f>IFERROR(__xludf.DUMMYFUNCTION("""COMPUTED_VALUE"""),"")</f>
        <v/>
      </c>
      <c r="AF756" s="1" t="str">
        <f>IFERROR(__xludf.DUMMYFUNCTION("""COMPUTED_VALUE"""),"")</f>
        <v/>
      </c>
      <c r="AG756" s="1" t="str">
        <f>IFERROR(__xludf.DUMMYFUNCTION("""COMPUTED_VALUE"""),"Could be sized up to 500,000 sq feet. Site of former steel mill. Investement by Blackstone and PPL Corp")</f>
        <v>Could be sized up to 500,000 sq feet. Site of former steel mill. Investement by Blackstone and PPL Corp</v>
      </c>
      <c r="AH756" s="1" t="str">
        <f>IFERROR(__xludf.DUMMYFUNCTION("""COMPUTED_VALUE"""),"Other")</f>
        <v>Other</v>
      </c>
      <c r="AI756" s="2" t="str">
        <f>IFERROR(__xludf.DUMMYFUNCTION("""COMPUTED_VALUE"""),"https://aliquippapa.gov/wp-content/uploads/2025/02/doc07611720250225144324.pdf")</f>
        <v>https://aliquippapa.gov/wp-content/uploads/2025/02/doc07611720250225144324.pdf</v>
      </c>
      <c r="AJ756" s="2" t="str">
        <f>IFERROR(__xludf.DUMMYFUNCTION("""COMPUTED_VALUE"""),"https://www.datacenterknowledge.com/energy-power-supply/pennsylvania-s-70-billion-race-for-america-s-data-centers")</f>
        <v>https://www.datacenterknowledge.com/energy-power-supply/pennsylvania-s-70-billion-race-for-america-s-data-centers</v>
      </c>
      <c r="AK756" s="1" t="str">
        <f>IFERROR(__xludf.DUMMYFUNCTION("""COMPUTED_VALUE"""),"")</f>
        <v/>
      </c>
      <c r="AL756" s="1" t="str">
        <f>IFERROR(__xludf.DUMMYFUNCTION("""COMPUTED_VALUE"""),"")</f>
        <v/>
      </c>
      <c r="AM756" s="1" t="str">
        <f>IFERROR(__xludf.DUMMYFUNCTION("""COMPUTED_VALUE"""),"")</f>
        <v/>
      </c>
      <c r="AN756" s="1" t="str">
        <f>IFERROR(__xludf.DUMMYFUNCTION("""COMPUTED_VALUE"""),"")</f>
        <v/>
      </c>
      <c r="AO756" s="1" t="str">
        <f>IFERROR(__xludf.DUMMYFUNCTION("""COMPUTED_VALUE"""),"")</f>
        <v/>
      </c>
      <c r="AP756" s="1" t="str">
        <f>IFERROR(__xludf.DUMMYFUNCTION("""COMPUTED_VALUE"""),"")</f>
        <v/>
      </c>
      <c r="AQ756" s="1" t="str">
        <f>IFERROR(__xludf.DUMMYFUNCTION("""COMPUTED_VALUE"""),"01/29/2026")</f>
        <v>01/29/2026</v>
      </c>
      <c r="AR756" s="1" t="str">
        <f>IFERROR(__xludf.DUMMYFUNCTION("""COMPUTED_VALUE"""),"04/28/2026")</f>
        <v>04/28/2026</v>
      </c>
    </row>
    <row r="757">
      <c r="A757" s="1" t="str">
        <f>IFERROR(__xludf.DUMMYFUNCTION("""COMPUTED_VALUE"""),"Atlas Industrial Data Center")</f>
        <v>Atlas Industrial Data Center</v>
      </c>
      <c r="B757" s="1" t="str">
        <f>IFERROR(__xludf.DUMMYFUNCTION("""COMPUTED_VALUE"""),"2493 N Cedar Crest Blvd")</f>
        <v>2493 N Cedar Crest Blvd</v>
      </c>
      <c r="C757" s="1" t="str">
        <f>IFERROR(__xludf.DUMMYFUNCTION("""COMPUTED_VALUE"""),"Allentown")</f>
        <v>Allentown</v>
      </c>
      <c r="D757" s="1" t="str">
        <f>IFERROR(__xludf.DUMMYFUNCTION("""COMPUTED_VALUE"""),"PA")</f>
        <v>PA</v>
      </c>
      <c r="E757" s="1" t="str">
        <f>IFERROR(__xludf.DUMMYFUNCTION("""COMPUTED_VALUE"""),"18104")</f>
        <v>18104</v>
      </c>
      <c r="F757" s="1" t="str">
        <f>IFERROR(__xludf.DUMMYFUNCTION("""COMPUTED_VALUE"""),"Lehigh")</f>
        <v>Lehigh</v>
      </c>
      <c r="G757" s="1" t="str">
        <f>IFERROR(__xludf.DUMMYFUNCTION("""COMPUTED_VALUE"""),"40.643616")</f>
        <v>40.643616</v>
      </c>
      <c r="H757" s="1" t="str">
        <f>IFERROR(__xludf.DUMMYFUNCTION("""COMPUTED_VALUE"""),"-75.53651")</f>
        <v>-75.53651</v>
      </c>
      <c r="I757" s="1" t="str">
        <f>IFERROR(__xludf.DUMMYFUNCTION("""COMPUTED_VALUE"""),"Proposed")</f>
        <v>Proposed</v>
      </c>
      <c r="J757" s="1" t="str">
        <f>IFERROR(__xludf.DUMMYFUNCTION("""COMPUTED_VALUE"""),"High")</f>
        <v>High</v>
      </c>
      <c r="K757" s="1" t="str">
        <f>IFERROR(__xludf.DUMMYFUNCTION("""COMPUTED_VALUE"""),"")</f>
        <v/>
      </c>
      <c r="L757" s="1" t="str">
        <f>IFERROR(__xludf.DUMMYFUNCTION("""COMPUTED_VALUE"""),"")</f>
        <v/>
      </c>
      <c r="M757" s="1" t="str">
        <f>IFERROR(__xludf.DUMMYFUNCTION("""COMPUTED_VALUE"""),"")</f>
        <v/>
      </c>
      <c r="N757" s="1" t="str">
        <f>IFERROR(__xludf.DUMMYFUNCTION("""COMPUTED_VALUE"""),"")</f>
        <v/>
      </c>
      <c r="O757" s="1" t="str">
        <f>IFERROR(__xludf.DUMMYFUNCTION("""COMPUTED_VALUE"""),"Unknown")</f>
        <v>Unknown</v>
      </c>
      <c r="P757" s="1" t="str">
        <f>IFERROR(__xludf.DUMMYFUNCTION("""COMPUTED_VALUE"""),"")</f>
        <v/>
      </c>
      <c r="Q757" s="1" t="str">
        <f>IFERROR(__xludf.DUMMYFUNCTION("""COMPUTED_VALUE"""),"")</f>
        <v/>
      </c>
      <c r="R757" s="1" t="str">
        <f>IFERROR(__xludf.DUMMYFUNCTION("""COMPUTED_VALUE"""),"")</f>
        <v/>
      </c>
      <c r="S757" s="1" t="str">
        <f>IFERROR(__xludf.DUMMYFUNCTION("""COMPUTED_VALUE"""),"6")</f>
        <v>6</v>
      </c>
      <c r="T757" s="1" t="str">
        <f>IFERROR(__xludf.DUMMYFUNCTION("""COMPUTED_VALUE"""),"")</f>
        <v/>
      </c>
      <c r="U757" s="1" t="str">
        <f>IFERROR(__xludf.DUMMYFUNCTION("""COMPUTED_VALUE"""),"")</f>
        <v/>
      </c>
      <c r="V757" s="1" t="str">
        <f>IFERROR(__xludf.DUMMYFUNCTION("""COMPUTED_VALUE"""),"1,500,000")</f>
        <v>1,500,000</v>
      </c>
      <c r="W757" s="1" t="str">
        <f>IFERROR(__xludf.DUMMYFUNCTION("""COMPUTED_VALUE"""),"410")</f>
        <v>410</v>
      </c>
      <c r="X757" s="1" t="str">
        <f>IFERROR(__xludf.DUMMYFUNCTION("""COMPUTED_VALUE"""),"")</f>
        <v/>
      </c>
      <c r="Y757" s="1" t="str">
        <f>IFERROR(__xludf.DUMMYFUNCTION("""COMPUTED_VALUE"""),"")</f>
        <v/>
      </c>
      <c r="Z757" s="1" t="str">
        <f>IFERROR(__xludf.DUMMYFUNCTION("""COMPUTED_VALUE"""),"Yes")</f>
        <v>Yes</v>
      </c>
      <c r="AA757" s="1" t="str">
        <f>IFERROR(__xludf.DUMMYFUNCTION("""COMPUTED_VALUE"""),"")</f>
        <v/>
      </c>
      <c r="AB757" s="1" t="str">
        <f>IFERROR(__xludf.DUMMYFUNCTION("""COMPUTED_VALUE"""),"")</f>
        <v/>
      </c>
      <c r="AC757" s="1" t="str">
        <f>IFERROR(__xludf.DUMMYFUNCTION("""COMPUTED_VALUE"""),"")</f>
        <v/>
      </c>
      <c r="AD757" s="2" t="str">
        <f>IFERROR(__xludf.DUMMYFUNCTION("""COMPUTED_VALUE"""),"https://www.facebook.com/groups/whitehallwhiners/posts/2314717255718484/")</f>
        <v>https://www.facebook.com/groups/whitehallwhiners/posts/2314717255718484/</v>
      </c>
      <c r="AE757" s="1" t="str">
        <f>IFERROR(__xludf.DUMMYFUNCTION("""COMPUTED_VALUE"""),"")</f>
        <v/>
      </c>
      <c r="AF757" s="2" t="str">
        <f>IFERROR(__xludf.DUMMYFUNCTION("""COMPUTED_VALUE"""),"https://www.change.org/p/oppose-the-atlas-data-center-south-whitehall-township-pa")</f>
        <v>https://www.change.org/p/oppose-the-atlas-data-center-south-whitehall-township-pa</v>
      </c>
      <c r="AG757" s="1" t="str">
        <f>IFERROR(__xludf.DUMMYFUNCTION("""COMPUTED_VALUE"""),"")</f>
        <v/>
      </c>
      <c r="AH757" s="1" t="str">
        <f>IFERROR(__xludf.DUMMYFUNCTION("""COMPUTED_VALUE"""),"Media Monitoring")</f>
        <v>Media Monitoring</v>
      </c>
      <c r="AI757" s="2" t="str">
        <f>IFERROR(__xludf.DUMMYFUNCTION("""COMPUTED_VALUE"""),"https://www.wfmz.com/news/area/lehighvalley/lehigh-county/western-lehigh-county/plans-for-massive-new-data-center-campus-near-parkland-high-school-emerge/article_813c3592-8181-423a-a089-699018952712.html?utm_source=SND&amp;utm_medium=social&amp;utm_campaign=WFMZ-"&amp;"Facebook")</f>
        <v>https://www.wfmz.com/news/area/lehighvalley/lehigh-county/western-lehigh-county/plans-for-massive-new-data-center-campus-near-parkland-high-school-emerge/article_813c3592-8181-423a-a089-699018952712.html?utm_source=SND&amp;utm_medium=social&amp;utm_campaign=WFMZ-Facebook</v>
      </c>
      <c r="AJ757" s="2" t="str">
        <f>IFERROR(__xludf.DUMMYFUNCTION("""COMPUTED_VALUE"""),"https://www.msn.com/en-us/money/news/lehigh-valley-planners-get-a-look-at-another-massive-data-center-project/ar-AA1UvwCJ")</f>
        <v>https://www.msn.com/en-us/money/news/lehigh-valley-planners-get-a-look-at-another-massive-data-center-project/ar-AA1UvwCJ</v>
      </c>
      <c r="AK757" s="2" t="str">
        <f>IFERROR(__xludf.DUMMYFUNCTION("""COMPUTED_VALUE"""),"https://www.mcall.com/2026/01/20/i-do-not-want-this-in-my-backyard-south-whitehall-residents-push-back-against-proposed-data-center-at-lehigh-valley-planners-meeting/")</f>
        <v>https://www.mcall.com/2026/01/20/i-do-not-want-this-in-my-backyard-south-whitehall-residents-push-back-against-proposed-data-center-at-lehigh-valley-planners-meeting/</v>
      </c>
      <c r="AL757" s="1" t="str">
        <f>IFERROR(__xludf.DUMMYFUNCTION("""COMPUTED_VALUE"""),"")</f>
        <v/>
      </c>
      <c r="AM757" s="1" t="str">
        <f>IFERROR(__xludf.DUMMYFUNCTION("""COMPUTED_VALUE"""),"")</f>
        <v/>
      </c>
      <c r="AN757" s="1" t="str">
        <f>IFERROR(__xludf.DUMMYFUNCTION("""COMPUTED_VALUE"""),"")</f>
        <v/>
      </c>
      <c r="AO757" s="1" t="str">
        <f>IFERROR(__xludf.DUMMYFUNCTION("""COMPUTED_VALUE"""),"")</f>
        <v/>
      </c>
      <c r="AP757" s="1" t="str">
        <f>IFERROR(__xludf.DUMMYFUNCTION("""COMPUTED_VALUE"""),"")</f>
        <v/>
      </c>
      <c r="AQ757" s="1" t="str">
        <f>IFERROR(__xludf.DUMMYFUNCTION("""COMPUTED_VALUE"""),"01/04/2026")</f>
        <v>01/04/2026</v>
      </c>
      <c r="AR757" s="1" t="str">
        <f>IFERROR(__xludf.DUMMYFUNCTION("""COMPUTED_VALUE"""),"03/23/2026")</f>
        <v>03/23/2026</v>
      </c>
    </row>
    <row r="758">
      <c r="A758" s="1" t="str">
        <f>IFERROR(__xludf.DUMMYFUNCTION("""COMPUTED_VALUE"""),"""Project Atlas"" Edged Data Center")</f>
        <v>"Project Atlas" Edged Data Center</v>
      </c>
      <c r="B758" s="1" t="str">
        <f>IFERROR(__xludf.DUMMYFUNCTION("""COMPUTED_VALUE"""),"2493 N. Cedar Crest Blvd")</f>
        <v>2493 N. Cedar Crest Blvd</v>
      </c>
      <c r="C758" s="1" t="str">
        <f>IFERROR(__xludf.DUMMYFUNCTION("""COMPUTED_VALUE"""),"Allentown")</f>
        <v>Allentown</v>
      </c>
      <c r="D758" s="1" t="str">
        <f>IFERROR(__xludf.DUMMYFUNCTION("""COMPUTED_VALUE"""),"PA")</f>
        <v>PA</v>
      </c>
      <c r="E758" s="1" t="str">
        <f>IFERROR(__xludf.DUMMYFUNCTION("""COMPUTED_VALUE"""),"18104")</f>
        <v>18104</v>
      </c>
      <c r="F758" s="1" t="str">
        <f>IFERROR(__xludf.DUMMYFUNCTION("""COMPUTED_VALUE"""),"Lehigh")</f>
        <v>Lehigh</v>
      </c>
      <c r="G758" s="1" t="str">
        <f>IFERROR(__xludf.DUMMYFUNCTION("""COMPUTED_VALUE"""),"40.643463")</f>
        <v>40.643463</v>
      </c>
      <c r="H758" s="1" t="str">
        <f>IFERROR(__xludf.DUMMYFUNCTION("""COMPUTED_VALUE"""),"-75.53656")</f>
        <v>-75.53656</v>
      </c>
      <c r="I758" s="1" t="str">
        <f>IFERROR(__xludf.DUMMYFUNCTION("""COMPUTED_VALUE"""),"Proposed")</f>
        <v>Proposed</v>
      </c>
      <c r="J758" s="1" t="str">
        <f>IFERROR(__xludf.DUMMYFUNCTION("""COMPUTED_VALUE"""),"High")</f>
        <v>High</v>
      </c>
      <c r="K758" s="1" t="str">
        <f>IFERROR(__xludf.DUMMYFUNCTION("""COMPUTED_VALUE"""),"")</f>
        <v/>
      </c>
      <c r="L758" s="1" t="str">
        <f>IFERROR(__xludf.DUMMYFUNCTION("""COMPUTED_VALUE"""),"Edged")</f>
        <v>Edged</v>
      </c>
      <c r="M758" s="1" t="str">
        <f>IFERROR(__xludf.DUMMYFUNCTION("""COMPUTED_VALUE"""),"")</f>
        <v/>
      </c>
      <c r="N758" s="1" t="str">
        <f>IFERROR(__xludf.DUMMYFUNCTION("""COMPUTED_VALUE"""),"725")</f>
        <v>725</v>
      </c>
      <c r="O758" s="1" t="str">
        <f>IFERROR(__xludf.DUMMYFUNCTION("""COMPUTED_VALUE"""),"Hyperscale (100-999 MW)")</f>
        <v>Hyperscale (100-999 MW)</v>
      </c>
      <c r="P758" s="1" t="str">
        <f>IFERROR(__xludf.DUMMYFUNCTION("""COMPUTED_VALUE"""),"")</f>
        <v/>
      </c>
      <c r="Q758" s="1" t="str">
        <f>IFERROR(__xludf.DUMMYFUNCTION("""COMPUTED_VALUE"""),"")</f>
        <v/>
      </c>
      <c r="R758" s="1" t="str">
        <f>IFERROR(__xludf.DUMMYFUNCTION("""COMPUTED_VALUE"""),"")</f>
        <v/>
      </c>
      <c r="S758" s="1" t="str">
        <f>IFERROR(__xludf.DUMMYFUNCTION("""COMPUTED_VALUE"""),"3")</f>
        <v>3</v>
      </c>
      <c r="T758" s="1" t="str">
        <f>IFERROR(__xludf.DUMMYFUNCTION("""COMPUTED_VALUE"""),"")</f>
        <v/>
      </c>
      <c r="U758" s="1" t="str">
        <f>IFERROR(__xludf.DUMMYFUNCTION("""COMPUTED_VALUE"""),"")</f>
        <v/>
      </c>
      <c r="V758" s="1" t="str">
        <f>IFERROR(__xludf.DUMMYFUNCTION("""COMPUTED_VALUE"""),"1,500,000")</f>
        <v>1,500,000</v>
      </c>
      <c r="W758" s="1" t="str">
        <f>IFERROR(__xludf.DUMMYFUNCTION("""COMPUTED_VALUE"""),"410")</f>
        <v>410</v>
      </c>
      <c r="X758" s="1" t="str">
        <f>IFERROR(__xludf.DUMMYFUNCTION("""COMPUTED_VALUE"""),"$9 billion")</f>
        <v>$9 billion</v>
      </c>
      <c r="Y758" s="1" t="str">
        <f>IFERROR(__xludf.DUMMYFUNCTION("""COMPUTED_VALUE"""),"")</f>
        <v/>
      </c>
      <c r="Z758" s="1" t="str">
        <f>IFERROR(__xludf.DUMMYFUNCTION("""COMPUTED_VALUE"""),"")</f>
        <v/>
      </c>
      <c r="AA758" s="1" t="str">
        <f>IFERROR(__xludf.DUMMYFUNCTION("""COMPUTED_VALUE"""),"")</f>
        <v/>
      </c>
      <c r="AB758" s="1" t="str">
        <f>IFERROR(__xludf.DUMMYFUNCTION("""COMPUTED_VALUE"""),"")</f>
        <v/>
      </c>
      <c r="AC758" s="1" t="str">
        <f>IFERROR(__xludf.DUMMYFUNCTION("""COMPUTED_VALUE"""),"")</f>
        <v/>
      </c>
      <c r="AD758" s="1" t="str">
        <f>IFERROR(__xludf.DUMMYFUNCTION("""COMPUTED_VALUE"""),"")</f>
        <v/>
      </c>
      <c r="AE758" s="1" t="str">
        <f>IFERROR(__xludf.DUMMYFUNCTION("""COMPUTED_VALUE"""),"")</f>
        <v/>
      </c>
      <c r="AF758" s="2" t="str">
        <f>IFERROR(__xludf.DUMMYFUNCTION("""COMPUTED_VALUE"""),"https://www.change.org/p/oppose-the-atlas-data-center-south-whitehall-township-pa")</f>
        <v>https://www.change.org/p/oppose-the-atlas-data-center-south-whitehall-township-pa</v>
      </c>
      <c r="AG758" s="1" t="str">
        <f>IFERROR(__xludf.DUMMYFUNCTION("""COMPUTED_VALUE"""),"")</f>
        <v/>
      </c>
      <c r="AH758" s="1" t="str">
        <f>IFERROR(__xludf.DUMMYFUNCTION("""COMPUTED_VALUE"""),"Media Monitoring")</f>
        <v>Media Monitoring</v>
      </c>
      <c r="AI758" s="2" t="str">
        <f>IFERROR(__xludf.DUMMYFUNCTION("""COMPUTED_VALUE"""),"https://www.datacenterdynamics.com/en/news/edged-eyes-725mw-data-center-campus-in-pennsylvania/")</f>
        <v>https://www.datacenterdynamics.com/en/news/edged-eyes-725mw-data-center-campus-in-pennsylvania/</v>
      </c>
      <c r="AJ758" s="2" t="str">
        <f>IFERROR(__xludf.DUMMYFUNCTION("""COMPUTED_VALUE"""),"https://projectatlaspa.com/")</f>
        <v>https://projectatlaspa.com/</v>
      </c>
      <c r="AK758" s="1" t="str">
        <f>IFERROR(__xludf.DUMMYFUNCTION("""COMPUTED_VALUE"""),"")</f>
        <v/>
      </c>
      <c r="AL758" s="1" t="str">
        <f>IFERROR(__xludf.DUMMYFUNCTION("""COMPUTED_VALUE"""),"")</f>
        <v/>
      </c>
      <c r="AM758" s="1" t="str">
        <f>IFERROR(__xludf.DUMMYFUNCTION("""COMPUTED_VALUE"""),"")</f>
        <v/>
      </c>
      <c r="AN758" s="1" t="str">
        <f>IFERROR(__xludf.DUMMYFUNCTION("""COMPUTED_VALUE"""),"")</f>
        <v/>
      </c>
      <c r="AO758" s="1" t="str">
        <f>IFERROR(__xludf.DUMMYFUNCTION("""COMPUTED_VALUE"""),"")</f>
        <v/>
      </c>
      <c r="AP758" s="1" t="str">
        <f>IFERROR(__xludf.DUMMYFUNCTION("""COMPUTED_VALUE"""),"")</f>
        <v/>
      </c>
      <c r="AQ758" s="1" t="str">
        <f>IFERROR(__xludf.DUMMYFUNCTION("""COMPUTED_VALUE"""),"07/12/2026")</f>
        <v>07/12/2026</v>
      </c>
      <c r="AR758" s="1" t="str">
        <f>IFERROR(__xludf.DUMMYFUNCTION("""COMPUTED_VALUE"""),"07/12/2026")</f>
        <v>07/12/2026</v>
      </c>
    </row>
    <row r="759">
      <c r="A759" s="1" t="str">
        <f>IFERROR(__xludf.DUMMYFUNCTION("""COMPUTED_VALUE"""),"Data Centric LLC Data Center")</f>
        <v>Data Centric LLC Data Center</v>
      </c>
      <c r="B759" s="1" t="str">
        <f>IFERROR(__xludf.DUMMYFUNCTION("""COMPUTED_VALUE"""),"18000 Russell Rd")</f>
        <v>18000 Russell Rd</v>
      </c>
      <c r="C759" s="1" t="str">
        <f>IFERROR(__xludf.DUMMYFUNCTION("""COMPUTED_VALUE"""),"Allenwood")</f>
        <v>Allenwood</v>
      </c>
      <c r="D759" s="1" t="str">
        <f>IFERROR(__xludf.DUMMYFUNCTION("""COMPUTED_VALUE"""),"PA")</f>
        <v>PA</v>
      </c>
      <c r="E759" s="1" t="str">
        <f>IFERROR(__xludf.DUMMYFUNCTION("""COMPUTED_VALUE"""),"17810")</f>
        <v>17810</v>
      </c>
      <c r="F759" s="1" t="str">
        <f>IFERROR(__xludf.DUMMYFUNCTION("""COMPUTED_VALUE"""),"Union")</f>
        <v>Union</v>
      </c>
      <c r="G759" s="1" t="str">
        <f>IFERROR(__xludf.DUMMYFUNCTION("""COMPUTED_VALUE"""),"41.13256")</f>
        <v>41.13256</v>
      </c>
      <c r="H759" s="1" t="str">
        <f>IFERROR(__xludf.DUMMYFUNCTION("""COMPUTED_VALUE"""),"-76.9053")</f>
        <v>-76.9053</v>
      </c>
      <c r="I759" s="1" t="str">
        <f>IFERROR(__xludf.DUMMYFUNCTION("""COMPUTED_VALUE"""),"Suspended")</f>
        <v>Suspended</v>
      </c>
      <c r="J759" s="1" t="str">
        <f>IFERROR(__xludf.DUMMYFUNCTION("""COMPUTED_VALUE"""),"Medium")</f>
        <v>Medium</v>
      </c>
      <c r="K759" s="1" t="str">
        <f>IFERROR(__xludf.DUMMYFUNCTION("""COMPUTED_VALUE"""),"")</f>
        <v/>
      </c>
      <c r="L759" s="1" t="str">
        <f>IFERROR(__xludf.DUMMYFUNCTION("""COMPUTED_VALUE"""),"")</f>
        <v/>
      </c>
      <c r="M759" s="1" t="str">
        <f>IFERROR(__xludf.DUMMYFUNCTION("""COMPUTED_VALUE"""),"")</f>
        <v/>
      </c>
      <c r="N759" s="1" t="str">
        <f>IFERROR(__xludf.DUMMYFUNCTION("""COMPUTED_VALUE"""),"")</f>
        <v/>
      </c>
      <c r="O759" s="1" t="str">
        <f>IFERROR(__xludf.DUMMYFUNCTION("""COMPUTED_VALUE"""),"Unknown")</f>
        <v>Unknown</v>
      </c>
      <c r="P759" s="1" t="str">
        <f>IFERROR(__xludf.DUMMYFUNCTION("""COMPUTED_VALUE"""),"")</f>
        <v/>
      </c>
      <c r="Q759" s="1" t="str">
        <f>IFERROR(__xludf.DUMMYFUNCTION("""COMPUTED_VALUE"""),"")</f>
        <v/>
      </c>
      <c r="R759" s="1" t="str">
        <f>IFERROR(__xludf.DUMMYFUNCTION("""COMPUTED_VALUE"""),"")</f>
        <v/>
      </c>
      <c r="S759" s="1" t="str">
        <f>IFERROR(__xludf.DUMMYFUNCTION("""COMPUTED_VALUE"""),"")</f>
        <v/>
      </c>
      <c r="T759" s="1" t="str">
        <f>IFERROR(__xludf.DUMMYFUNCTION("""COMPUTED_VALUE"""),"")</f>
        <v/>
      </c>
      <c r="U759" s="1" t="str">
        <f>IFERROR(__xludf.DUMMYFUNCTION("""COMPUTED_VALUE"""),"")</f>
        <v/>
      </c>
      <c r="V759" s="1" t="str">
        <f>IFERROR(__xludf.DUMMYFUNCTION("""COMPUTED_VALUE"""),"")</f>
        <v/>
      </c>
      <c r="W759" s="1" t="str">
        <f>IFERROR(__xludf.DUMMYFUNCTION("""COMPUTED_VALUE"""),"37")</f>
        <v>37</v>
      </c>
      <c r="X759" s="1" t="str">
        <f>IFERROR(__xludf.DUMMYFUNCTION("""COMPUTED_VALUE"""),"$2.7 million")</f>
        <v>$2.7 million</v>
      </c>
      <c r="Y759" s="1" t="str">
        <f>IFERROR(__xludf.DUMMYFUNCTION("""COMPUTED_VALUE"""),"")</f>
        <v/>
      </c>
      <c r="Z759" s="1" t="str">
        <f>IFERROR(__xludf.DUMMYFUNCTION("""COMPUTED_VALUE"""),"Unknown")</f>
        <v>Unknown</v>
      </c>
      <c r="AA759" s="1" t="str">
        <f>IFERROR(__xludf.DUMMYFUNCTION("""COMPUTED_VALUE"""),"")</f>
        <v/>
      </c>
      <c r="AB759" s="1" t="str">
        <f>IFERROR(__xludf.DUMMYFUNCTION("""COMPUTED_VALUE"""),"")</f>
        <v/>
      </c>
      <c r="AC759" s="1" t="str">
        <f>IFERROR(__xludf.DUMMYFUNCTION("""COMPUTED_VALUE"""),"")</f>
        <v/>
      </c>
      <c r="AD759" s="1" t="str">
        <f>IFERROR(__xludf.DUMMYFUNCTION("""COMPUTED_VALUE"""),"")</f>
        <v/>
      </c>
      <c r="AE759" s="1" t="str">
        <f>IFERROR(__xludf.DUMMYFUNCTION("""COMPUTED_VALUE"""),"")</f>
        <v/>
      </c>
      <c r="AF759" s="1" t="str">
        <f>IFERROR(__xludf.DUMMYFUNCTION("""COMPUTED_VALUE"""),"")</f>
        <v/>
      </c>
      <c r="AG759" s="1" t="str">
        <f>IFERROR(__xludf.DUMMYFUNCTION("""COMPUTED_VALUE"""),"Project scrapped 8/2025, uncertain whether or not the property will be developed as a data center by another company")</f>
        <v>Project scrapped 8/2025, uncertain whether or not the property will be developed as a data center by another company</v>
      </c>
      <c r="AH759" s="1" t="str">
        <f>IFERROR(__xludf.DUMMYFUNCTION("""COMPUTED_VALUE"""),"Media Monitoring")</f>
        <v>Media Monitoring</v>
      </c>
      <c r="AI759" s="2" t="str">
        <f>IFERROR(__xludf.DUMMYFUNCTION("""COMPUTED_VALUE"""),"https://www.datacenterdynamics.com/en/news/plans-for-pennsylvania-data-center-scrapped/")</f>
        <v>https://www.datacenterdynamics.com/en/news/plans-for-pennsylvania-data-center-scrapped/</v>
      </c>
      <c r="AJ759" s="1" t="str">
        <f>IFERROR(__xludf.DUMMYFUNCTION("""COMPUTED_VALUE"""),"")</f>
        <v/>
      </c>
      <c r="AK759" s="1" t="str">
        <f>IFERROR(__xludf.DUMMYFUNCTION("""COMPUTED_VALUE"""),"")</f>
        <v/>
      </c>
      <c r="AL759" s="1" t="str">
        <f>IFERROR(__xludf.DUMMYFUNCTION("""COMPUTED_VALUE"""),"")</f>
        <v/>
      </c>
      <c r="AM759" s="1" t="str">
        <f>IFERROR(__xludf.DUMMYFUNCTION("""COMPUTED_VALUE"""),"")</f>
        <v/>
      </c>
      <c r="AN759" s="1" t="str">
        <f>IFERROR(__xludf.DUMMYFUNCTION("""COMPUTED_VALUE"""),"")</f>
        <v/>
      </c>
      <c r="AO759" s="1" t="str">
        <f>IFERROR(__xludf.DUMMYFUNCTION("""COMPUTED_VALUE"""),"")</f>
        <v/>
      </c>
      <c r="AP759" s="1" t="str">
        <f>IFERROR(__xludf.DUMMYFUNCTION("""COMPUTED_VALUE"""),"")</f>
        <v/>
      </c>
      <c r="AQ759" s="1" t="str">
        <f>IFERROR(__xludf.DUMMYFUNCTION("""COMPUTED_VALUE"""),"08/17/2025")</f>
        <v>08/17/2025</v>
      </c>
      <c r="AR759" s="1" t="str">
        <f>IFERROR(__xludf.DUMMYFUNCTION("""COMPUTED_VALUE"""),"08/17/2025")</f>
        <v>08/17/2025</v>
      </c>
    </row>
    <row r="760">
      <c r="A760" s="1" t="str">
        <f>IFERROR(__xludf.DUMMYFUNCTION("""COMPUTED_VALUE"""),"Project Gravity Data Center")</f>
        <v>Project Gravity Data Center</v>
      </c>
      <c r="B760" s="1" t="str">
        <f>IFERROR(__xludf.DUMMYFUNCTION("""COMPUTED_VALUE"""),"near Scranton-Carbondale Hwy")</f>
        <v>near Scranton-Carbondale Hwy</v>
      </c>
      <c r="C760" s="1" t="str">
        <f>IFERROR(__xludf.DUMMYFUNCTION("""COMPUTED_VALUE"""),"Archbald")</f>
        <v>Archbald</v>
      </c>
      <c r="D760" s="1" t="str">
        <f>IFERROR(__xludf.DUMMYFUNCTION("""COMPUTED_VALUE"""),"PA")</f>
        <v>PA</v>
      </c>
      <c r="E760" s="1" t="str">
        <f>IFERROR(__xludf.DUMMYFUNCTION("""COMPUTED_VALUE"""),"18403")</f>
        <v>18403</v>
      </c>
      <c r="F760" s="1" t="str">
        <f>IFERROR(__xludf.DUMMYFUNCTION("""COMPUTED_VALUE"""),"Lackawanna")</f>
        <v>Lackawanna</v>
      </c>
      <c r="G760" s="1" t="str">
        <f>IFERROR(__xludf.DUMMYFUNCTION("""COMPUTED_VALUE"""),"41.52497")</f>
        <v>41.52497</v>
      </c>
      <c r="H760" s="1" t="str">
        <f>IFERROR(__xludf.DUMMYFUNCTION("""COMPUTED_VALUE"""),"-75.561554")</f>
        <v>-75.561554</v>
      </c>
      <c r="I760" s="1" t="str">
        <f>IFERROR(__xludf.DUMMYFUNCTION("""COMPUTED_VALUE"""),"Proposed")</f>
        <v>Proposed</v>
      </c>
      <c r="J760" s="1" t="str">
        <f>IFERROR(__xludf.DUMMYFUNCTION("""COMPUTED_VALUE"""),"High")</f>
        <v>High</v>
      </c>
      <c r="K760" s="1" t="str">
        <f>IFERROR(__xludf.DUMMYFUNCTION("""COMPUTED_VALUE"""),"")</f>
        <v/>
      </c>
      <c r="L760" s="1" t="str">
        <f>IFERROR(__xludf.DUMMYFUNCTION("""COMPUTED_VALUE"""),"Archbald 25 Developer LLC")</f>
        <v>Archbald 25 Developer LLC</v>
      </c>
      <c r="M760" s="1" t="str">
        <f>IFERROR(__xludf.DUMMYFUNCTION("""COMPUTED_VALUE"""),"")</f>
        <v/>
      </c>
      <c r="N760" s="1" t="str">
        <f>IFERROR(__xludf.DUMMYFUNCTION("""COMPUTED_VALUE"""),"")</f>
        <v/>
      </c>
      <c r="O760" s="1" t="str">
        <f>IFERROR(__xludf.DUMMYFUNCTION("""COMPUTED_VALUE"""),"Hyperscale (100-999 MW)")</f>
        <v>Hyperscale (100-999 MW)</v>
      </c>
      <c r="P760" s="1" t="str">
        <f>IFERROR(__xludf.DUMMYFUNCTION("""COMPUTED_VALUE"""),"")</f>
        <v/>
      </c>
      <c r="Q760" s="1" t="str">
        <f>IFERROR(__xludf.DUMMYFUNCTION("""COMPUTED_VALUE"""),"")</f>
        <v/>
      </c>
      <c r="R760" s="1" t="str">
        <f>IFERROR(__xludf.DUMMYFUNCTION("""COMPUTED_VALUE"""),"")</f>
        <v/>
      </c>
      <c r="S760" s="1" t="str">
        <f>IFERROR(__xludf.DUMMYFUNCTION("""COMPUTED_VALUE"""),"6+")</f>
        <v>6+</v>
      </c>
      <c r="T760" s="1" t="str">
        <f>IFERROR(__xludf.DUMMYFUNCTION("""COMPUTED_VALUE"""),"")</f>
        <v/>
      </c>
      <c r="U760" s="1" t="str">
        <f>IFERROR(__xludf.DUMMYFUNCTION("""COMPUTED_VALUE"""),"")</f>
        <v/>
      </c>
      <c r="V760" s="1" t="str">
        <f>IFERROR(__xludf.DUMMYFUNCTION("""COMPUTED_VALUE"""),"1,600,000")</f>
        <v>1,600,000</v>
      </c>
      <c r="W760" s="1" t="str">
        <f>IFERROR(__xludf.DUMMYFUNCTION("""COMPUTED_VALUE"""),"186")</f>
        <v>186</v>
      </c>
      <c r="X760" s="1" t="str">
        <f>IFERROR(__xludf.DUMMYFUNCTION("""COMPUTED_VALUE"""),"")</f>
        <v/>
      </c>
      <c r="Y760" s="1" t="str">
        <f>IFERROR(__xludf.DUMMYFUNCTION("""COMPUTED_VALUE"""),"")</f>
        <v/>
      </c>
      <c r="Z760" s="1" t="str">
        <f>IFERROR(__xludf.DUMMYFUNCTION("""COMPUTED_VALUE"""),"Yes")</f>
        <v>Yes</v>
      </c>
      <c r="AA760" s="2" t="str">
        <f>IFERROR(__xludf.DUMMYFUNCTION("""COMPUTED_VALUE"""),"https://www.thetimes-tribune.com/2025/08/19/data-center-developer-to-buy-mobile-home-park-in-archbald/")</f>
        <v>https://www.thetimes-tribune.com/2025/08/19/data-center-developer-to-buy-mobile-home-park-in-archbald/</v>
      </c>
      <c r="AB760" s="1" t="str">
        <f>IFERROR(__xludf.DUMMYFUNCTION("""COMPUTED_VALUE"""),"")</f>
        <v/>
      </c>
      <c r="AC760" s="1" t="str">
        <f>IFERROR(__xludf.DUMMYFUNCTION("""COMPUTED_VALUE"""),"")</f>
        <v/>
      </c>
      <c r="AD760" s="1" t="str">
        <f>IFERROR(__xludf.DUMMYFUNCTION("""COMPUTED_VALUE"""),"")</f>
        <v/>
      </c>
      <c r="AE760" s="1" t="str">
        <f>IFERROR(__xludf.DUMMYFUNCTION("""COMPUTED_VALUE"""),"")</f>
        <v/>
      </c>
      <c r="AF760" s="1" t="str">
        <f>IFERROR(__xludf.DUMMYFUNCTION("""COMPUTED_VALUE"""),"")</f>
        <v/>
      </c>
      <c r="AG760" s="1" t="str">
        <f>IFERROR(__xludf.DUMMYFUNCTION("""COMPUTED_VALUE"""),"Archbold data center overlay district proposal failed. This facility has been controversial due to the potential displacement of residents at the adjacent Valley View Estates (Jermyn Mobile Home Village). PA DEP currently reviewing a Water Obstruction and"&amp;" Encroachment Joint Permit Application No. E3502225-006, public hearing to be held 1/6/26. Removed from PA DEP's fast track program as of 5/1/26.")</f>
        <v>Archbold data center overlay district proposal failed. This facility has been controversial due to the potential displacement of residents at the adjacent Valley View Estates (Jermyn Mobile Home Village). PA DEP currently reviewing a Water Obstruction and Encroachment Joint Permit Application No. E3502225-006, public hearing to be held 1/6/26. Removed from PA DEP's fast track program as of 5/1/26.</v>
      </c>
      <c r="AH760" s="1" t="str">
        <f>IFERROR(__xludf.DUMMYFUNCTION("""COMPUTED_VALUE"""),"Media Monitoring")</f>
        <v>Media Monitoring</v>
      </c>
      <c r="AI760" s="2" t="str">
        <f>IFERROR(__xludf.DUMMYFUNCTION("""COMPUTED_VALUE"""),"https://www.datacenterdynamics.com/en/news/plans-filed-for-16-million-sq-ft-data-center-campus-in-northeast-pennsylvania/")</f>
        <v>https://www.datacenterdynamics.com/en/news/plans-filed-for-16-million-sq-ft-data-center-campus-in-northeast-pennsylvania/</v>
      </c>
      <c r="AJ760" s="2" t="str">
        <f>IFERROR(__xludf.DUMMYFUNCTION("""COMPUTED_VALUE"""),"https://www.thetimes-tribune.com/2025/05/18/data-centers-could-reshape-landscape-in-nepa/")</f>
        <v>https://www.thetimes-tribune.com/2025/05/18/data-centers-could-reshape-landscape-in-nepa/</v>
      </c>
      <c r="AK760" s="2" t="str">
        <f>IFERROR(__xludf.DUMMYFUNCTION("""COMPUTED_VALUE"""),"https://www.msn.com/en-us/news/us/archbald-votes-no-to-new-data-center-ordinance/ar-AA1NQbGM")</f>
        <v>https://www.msn.com/en-us/news/us/archbald-votes-no-to-new-data-center-ordinance/ar-AA1NQbGM</v>
      </c>
      <c r="AL760" s="2" t="str">
        <f>IFERROR(__xludf.DUMMYFUNCTION("""COMPUTED_VALUE"""),"https://www.thetimes-tribune.com/2025/10/31/developer-applies-for-22-more-data-center-buildings-in-archbald/")</f>
        <v>https://www.thetimes-tribune.com/2025/10/31/developer-applies-for-22-more-data-center-buildings-in-archbald/</v>
      </c>
      <c r="AM760" s="2" t="str">
        <f>IFERROR(__xludf.DUMMYFUNCTION("""COMPUTED_VALUE"""),"https://fox56.com/news/local/archbald-residents-unite-against-unanswered-questions-on-data-centers")</f>
        <v>https://fox56.com/news/local/archbald-residents-unite-against-unanswered-questions-on-data-centers</v>
      </c>
      <c r="AN760" s="2" t="str">
        <f>IFERROR(__xludf.DUMMYFUNCTION("""COMPUTED_VALUE"""),"https://www.thetimes-tribune.com/2025/08/19/data-center-developer-to-buy-mobile-home-park-in-archbald/")</f>
        <v>https://www.thetimes-tribune.com/2025/08/19/data-center-developer-to-buy-mobile-home-park-in-archbald/</v>
      </c>
      <c r="AO760" s="2" t="str">
        <f>IFERROR(__xludf.DUMMYFUNCTION("""COMPUTED_VALUE"""),"https://paenvironmentdaily.blogspot.com/2025/12/dep-to-host-jan-6-public-information.html")</f>
        <v>https://paenvironmentdaily.blogspot.com/2025/12/dep-to-host-jan-6-public-information.html</v>
      </c>
      <c r="AP760" s="2" t="str">
        <f>IFERROR(__xludf.DUMMYFUNCTION("""COMPUTED_VALUE"""),"https://www.wvia.org/news/local/2026-05-01/fast-track-no-more-pa-kicks-archbald-data-center-campus-off-permit-program")</f>
        <v>https://www.wvia.org/news/local/2026-05-01/fast-track-no-more-pa-kicks-archbald-data-center-campus-off-permit-program</v>
      </c>
      <c r="AQ760" s="1" t="str">
        <f>IFERROR(__xludf.DUMMYFUNCTION("""COMPUTED_VALUE"""),"10/06/2025")</f>
        <v>10/06/2025</v>
      </c>
      <c r="AR760" s="1" t="str">
        <f>IFERROR(__xludf.DUMMYFUNCTION("""COMPUTED_VALUE"""),"05/18/2026")</f>
        <v>05/18/2026</v>
      </c>
    </row>
    <row r="761">
      <c r="A761" s="1" t="str">
        <f>IFERROR(__xludf.DUMMYFUNCTION("""COMPUTED_VALUE"""),"Project Green Mountain Data Center")</f>
        <v>Project Green Mountain Data Center</v>
      </c>
      <c r="B761" s="1" t="str">
        <f>IFERROR(__xludf.DUMMYFUNCTION("""COMPUTED_VALUE"""),"North of Salem Rd, east of Casey Hwy")</f>
        <v>North of Salem Rd, east of Casey Hwy</v>
      </c>
      <c r="C761" s="1" t="str">
        <f>IFERROR(__xludf.DUMMYFUNCTION("""COMPUTED_VALUE"""),"Archbald")</f>
        <v>Archbald</v>
      </c>
      <c r="D761" s="1" t="str">
        <f>IFERROR(__xludf.DUMMYFUNCTION("""COMPUTED_VALUE"""),"PA")</f>
        <v>PA</v>
      </c>
      <c r="E761" s="1" t="str">
        <f>IFERROR(__xludf.DUMMYFUNCTION("""COMPUTED_VALUE"""),"18403")</f>
        <v>18403</v>
      </c>
      <c r="F761" s="1" t="str">
        <f>IFERROR(__xludf.DUMMYFUNCTION("""COMPUTED_VALUE"""),"Lackawanna")</f>
        <v>Lackawanna</v>
      </c>
      <c r="G761" s="1" t="str">
        <f>IFERROR(__xludf.DUMMYFUNCTION("""COMPUTED_VALUE"""),"41.51297")</f>
        <v>41.51297</v>
      </c>
      <c r="H761" s="1" t="str">
        <f>IFERROR(__xludf.DUMMYFUNCTION("""COMPUTED_VALUE"""),"-75.52613")</f>
        <v>-75.52613</v>
      </c>
      <c r="I761" s="1" t="str">
        <f>IFERROR(__xludf.DUMMYFUNCTION("""COMPUTED_VALUE"""),"Proposed")</f>
        <v>Proposed</v>
      </c>
      <c r="J761" s="1" t="str">
        <f>IFERROR(__xludf.DUMMYFUNCTION("""COMPUTED_VALUE"""),"High")</f>
        <v>High</v>
      </c>
      <c r="K761" s="1" t="str">
        <f>IFERROR(__xludf.DUMMYFUNCTION("""COMPUTED_VALUE"""),"")</f>
        <v/>
      </c>
      <c r="L761" s="1" t="str">
        <f>IFERROR(__xludf.DUMMYFUNCTION("""COMPUTED_VALUE"""),"")</f>
        <v/>
      </c>
      <c r="M761" s="1" t="str">
        <f>IFERROR(__xludf.DUMMYFUNCTION("""COMPUTED_VALUE"""),"")</f>
        <v/>
      </c>
      <c r="N761" s="1" t="str">
        <f>IFERROR(__xludf.DUMMYFUNCTION("""COMPUTED_VALUE"""),"")</f>
        <v/>
      </c>
      <c r="O761" s="1" t="str">
        <f>IFERROR(__xludf.DUMMYFUNCTION("""COMPUTED_VALUE"""),"Unknown")</f>
        <v>Unknown</v>
      </c>
      <c r="P761" s="1" t="str">
        <f>IFERROR(__xludf.DUMMYFUNCTION("""COMPUTED_VALUE"""),"")</f>
        <v/>
      </c>
      <c r="Q761" s="1" t="str">
        <f>IFERROR(__xludf.DUMMYFUNCTION("""COMPUTED_VALUE"""),"")</f>
        <v/>
      </c>
      <c r="R761" s="1" t="str">
        <f>IFERROR(__xludf.DUMMYFUNCTION("""COMPUTED_VALUE"""),"")</f>
        <v/>
      </c>
      <c r="S761" s="1" t="str">
        <f>IFERROR(__xludf.DUMMYFUNCTION("""COMPUTED_VALUE"""),"7")</f>
        <v>7</v>
      </c>
      <c r="T761" s="1" t="str">
        <f>IFERROR(__xludf.DUMMYFUNCTION("""COMPUTED_VALUE"""),"")</f>
        <v/>
      </c>
      <c r="U761" s="1" t="str">
        <f>IFERROR(__xludf.DUMMYFUNCTION("""COMPUTED_VALUE"""),"")</f>
        <v/>
      </c>
      <c r="V761" s="1" t="str">
        <f>IFERROR(__xludf.DUMMYFUNCTION("""COMPUTED_VALUE"""),"966,000")</f>
        <v>966,000</v>
      </c>
      <c r="W761" s="1" t="str">
        <f>IFERROR(__xludf.DUMMYFUNCTION("""COMPUTED_VALUE"""),"270")</f>
        <v>270</v>
      </c>
      <c r="X761" s="1" t="str">
        <f>IFERROR(__xludf.DUMMYFUNCTION("""COMPUTED_VALUE"""),"")</f>
        <v/>
      </c>
      <c r="Y761" s="1" t="str">
        <f>IFERROR(__xludf.DUMMYFUNCTION("""COMPUTED_VALUE"""),"")</f>
        <v/>
      </c>
      <c r="Z761" s="1" t="str">
        <f>IFERROR(__xludf.DUMMYFUNCTION("""COMPUTED_VALUE"""),"Unknown")</f>
        <v>Unknown</v>
      </c>
      <c r="AA761" s="1" t="str">
        <f>IFERROR(__xludf.DUMMYFUNCTION("""COMPUTED_VALUE"""),"")</f>
        <v/>
      </c>
      <c r="AB761" s="1" t="str">
        <f>IFERROR(__xludf.DUMMYFUNCTION("""COMPUTED_VALUE"""),"")</f>
        <v/>
      </c>
      <c r="AC761" s="1" t="str">
        <f>IFERROR(__xludf.DUMMYFUNCTION("""COMPUTED_VALUE"""),"")</f>
        <v/>
      </c>
      <c r="AD761" s="1" t="str">
        <f>IFERROR(__xludf.DUMMYFUNCTION("""COMPUTED_VALUE"""),"")</f>
        <v/>
      </c>
      <c r="AE761" s="1" t="str">
        <f>IFERROR(__xludf.DUMMYFUNCTION("""COMPUTED_VALUE"""),"")</f>
        <v/>
      </c>
      <c r="AF761" s="1" t="str">
        <f>IFERROR(__xludf.DUMMYFUNCTION("""COMPUTED_VALUE"""),"")</f>
        <v/>
      </c>
      <c r="AG761" s="1" t="str">
        <f>IFERROR(__xludf.DUMMYFUNCTION("""COMPUTED_VALUE"""),"Back-up generator yards, a PP&amp;L-owned switchyard, a customer substation, and extended detention basins")</f>
        <v>Back-up generator yards, a PP&amp;L-owned switchyard, a customer substation, and extended detention basins</v>
      </c>
      <c r="AH761" s="1" t="str">
        <f>IFERROR(__xludf.DUMMYFUNCTION("""COMPUTED_VALUE"""),"Media Monitoring")</f>
        <v>Media Monitoring</v>
      </c>
      <c r="AI761" s="2" t="str">
        <f>IFERROR(__xludf.DUMMYFUNCTION("""COMPUTED_VALUE"""),"https://trackdatacenters.com/state/pennsylvania")</f>
        <v>https://trackdatacenters.com/state/pennsylvania</v>
      </c>
      <c r="AJ761" s="2" t="str">
        <f>IFERROR(__xludf.DUMMYFUNCTION("""COMPUTED_VALUE"""),"https://www.thetimes-tribune.com/2026/03/20/archbald-hearing-reveals-project-green-mountains-ties-to-other-data-center/")</f>
        <v>https://www.thetimes-tribune.com/2026/03/20/archbald-hearing-reveals-project-green-mountains-ties-to-other-data-center/</v>
      </c>
      <c r="AK761" s="1" t="str">
        <f>IFERROR(__xludf.DUMMYFUNCTION("""COMPUTED_VALUE"""),"")</f>
        <v/>
      </c>
      <c r="AL761" s="1" t="str">
        <f>IFERROR(__xludf.DUMMYFUNCTION("""COMPUTED_VALUE"""),"")</f>
        <v/>
      </c>
      <c r="AM761" s="1" t="str">
        <f>IFERROR(__xludf.DUMMYFUNCTION("""COMPUTED_VALUE"""),"")</f>
        <v/>
      </c>
      <c r="AN761" s="1" t="str">
        <f>IFERROR(__xludf.DUMMYFUNCTION("""COMPUTED_VALUE"""),"")</f>
        <v/>
      </c>
      <c r="AO761" s="1" t="str">
        <f>IFERROR(__xludf.DUMMYFUNCTION("""COMPUTED_VALUE"""),"")</f>
        <v/>
      </c>
      <c r="AP761" s="1" t="str">
        <f>IFERROR(__xludf.DUMMYFUNCTION("""COMPUTED_VALUE"""),"")</f>
        <v/>
      </c>
      <c r="AQ761" s="1" t="str">
        <f>IFERROR(__xludf.DUMMYFUNCTION("""COMPUTED_VALUE"""),"03/20/2026")</f>
        <v>03/20/2026</v>
      </c>
      <c r="AR761" s="1" t="str">
        <f>IFERROR(__xludf.DUMMYFUNCTION("""COMPUTED_VALUE"""),"03/20/2026")</f>
        <v>03/20/2026</v>
      </c>
    </row>
    <row r="762">
      <c r="A762" s="1" t="str">
        <f>IFERROR(__xludf.DUMMYFUNCTION("""COMPUTED_VALUE"""),"Project North")</f>
        <v>Project North</v>
      </c>
      <c r="B762" s="1" t="str">
        <f>IFERROR(__xludf.DUMMYFUNCTION("""COMPUTED_VALUE"""),"South of Gibson St")</f>
        <v>South of Gibson St</v>
      </c>
      <c r="C762" s="1" t="str">
        <f>IFERROR(__xludf.DUMMYFUNCTION("""COMPUTED_VALUE"""),"Archbald")</f>
        <v>Archbald</v>
      </c>
      <c r="D762" s="1" t="str">
        <f>IFERROR(__xludf.DUMMYFUNCTION("""COMPUTED_VALUE"""),"PA")</f>
        <v>PA</v>
      </c>
      <c r="E762" s="1" t="str">
        <f>IFERROR(__xludf.DUMMYFUNCTION("""COMPUTED_VALUE"""),"18403")</f>
        <v>18403</v>
      </c>
      <c r="F762" s="1" t="str">
        <f>IFERROR(__xludf.DUMMYFUNCTION("""COMPUTED_VALUE"""),"Lackawanna")</f>
        <v>Lackawanna</v>
      </c>
      <c r="G762" s="1" t="str">
        <f>IFERROR(__xludf.DUMMYFUNCTION("""COMPUTED_VALUE"""),"41.524982")</f>
        <v>41.524982</v>
      </c>
      <c r="H762" s="1" t="str">
        <f>IFERROR(__xludf.DUMMYFUNCTION("""COMPUTED_VALUE"""),"-75.554184")</f>
        <v>-75.554184</v>
      </c>
      <c r="I762" s="1" t="str">
        <f>IFERROR(__xludf.DUMMYFUNCTION("""COMPUTED_VALUE"""),"Proposed")</f>
        <v>Proposed</v>
      </c>
      <c r="J762" s="1" t="str">
        <f>IFERROR(__xludf.DUMMYFUNCTION("""COMPUTED_VALUE"""),"High")</f>
        <v>High</v>
      </c>
      <c r="K762" s="1" t="str">
        <f>IFERROR(__xludf.DUMMYFUNCTION("""COMPUTED_VALUE"""),"")</f>
        <v/>
      </c>
      <c r="L762" s="1" t="str">
        <f>IFERROR(__xludf.DUMMYFUNCTION("""COMPUTED_VALUE"""),"")</f>
        <v/>
      </c>
      <c r="M762" s="1" t="str">
        <f>IFERROR(__xludf.DUMMYFUNCTION("""COMPUTED_VALUE"""),"")</f>
        <v/>
      </c>
      <c r="N762" s="1" t="str">
        <f>IFERROR(__xludf.DUMMYFUNCTION("""COMPUTED_VALUE"""),"")</f>
        <v/>
      </c>
      <c r="O762" s="1" t="str">
        <f>IFERROR(__xludf.DUMMYFUNCTION("""COMPUTED_VALUE"""),"Unknown")</f>
        <v>Unknown</v>
      </c>
      <c r="P762" s="1" t="str">
        <f>IFERROR(__xludf.DUMMYFUNCTION("""COMPUTED_VALUE"""),"")</f>
        <v/>
      </c>
      <c r="Q762" s="1" t="str">
        <f>IFERROR(__xludf.DUMMYFUNCTION("""COMPUTED_VALUE"""),"")</f>
        <v/>
      </c>
      <c r="R762" s="1" t="str">
        <f>IFERROR(__xludf.DUMMYFUNCTION("""COMPUTED_VALUE"""),"")</f>
        <v/>
      </c>
      <c r="S762" s="1" t="str">
        <f>IFERROR(__xludf.DUMMYFUNCTION("""COMPUTED_VALUE"""),"")</f>
        <v/>
      </c>
      <c r="T762" s="1" t="str">
        <f>IFERROR(__xludf.DUMMYFUNCTION("""COMPUTED_VALUE"""),"")</f>
        <v/>
      </c>
      <c r="U762" s="1" t="str">
        <f>IFERROR(__xludf.DUMMYFUNCTION("""COMPUTED_VALUE"""),"")</f>
        <v/>
      </c>
      <c r="V762" s="1" t="str">
        <f>IFERROR(__xludf.DUMMYFUNCTION("""COMPUTED_VALUE"""),"")</f>
        <v/>
      </c>
      <c r="W762" s="1" t="str">
        <f>IFERROR(__xludf.DUMMYFUNCTION("""COMPUTED_VALUE"""),"")</f>
        <v/>
      </c>
      <c r="X762" s="1" t="str">
        <f>IFERROR(__xludf.DUMMYFUNCTION("""COMPUTED_VALUE"""),"")</f>
        <v/>
      </c>
      <c r="Y762" s="1" t="str">
        <f>IFERROR(__xludf.DUMMYFUNCTION("""COMPUTED_VALUE"""),"")</f>
        <v/>
      </c>
      <c r="Z762" s="1" t="str">
        <f>IFERROR(__xludf.DUMMYFUNCTION("""COMPUTED_VALUE"""),"Unknown")</f>
        <v>Unknown</v>
      </c>
      <c r="AA762" s="1" t="str">
        <f>IFERROR(__xludf.DUMMYFUNCTION("""COMPUTED_VALUE"""),"")</f>
        <v/>
      </c>
      <c r="AB762" s="1" t="str">
        <f>IFERROR(__xludf.DUMMYFUNCTION("""COMPUTED_VALUE"""),"")</f>
        <v/>
      </c>
      <c r="AC762" s="1" t="str">
        <f>IFERROR(__xludf.DUMMYFUNCTION("""COMPUTED_VALUE"""),"")</f>
        <v/>
      </c>
      <c r="AD762" s="1" t="str">
        <f>IFERROR(__xludf.DUMMYFUNCTION("""COMPUTED_VALUE"""),"")</f>
        <v/>
      </c>
      <c r="AE762" s="1" t="str">
        <f>IFERROR(__xludf.DUMMYFUNCTION("""COMPUTED_VALUE"""),"")</f>
        <v/>
      </c>
      <c r="AF762" s="1" t="str">
        <f>IFERROR(__xludf.DUMMYFUNCTION("""COMPUTED_VALUE"""),"")</f>
        <v/>
      </c>
      <c r="AG762" s="1" t="str">
        <f>IFERROR(__xludf.DUMMYFUNCTION("""COMPUTED_VALUE"""),"")</f>
        <v/>
      </c>
      <c r="AH762" s="1" t="str">
        <f>IFERROR(__xludf.DUMMYFUNCTION("""COMPUTED_VALUE"""),"Media Monitoring")</f>
        <v>Media Monitoring</v>
      </c>
      <c r="AI762" s="2" t="str">
        <f>IFERROR(__xludf.DUMMYFUNCTION("""COMPUTED_VALUE"""),"https://www.spotlightpa.org/news/2026/03/pennsylvania-data-centers-archbald-ai-evictions-environment")</f>
        <v>https://www.spotlightpa.org/news/2026/03/pennsylvania-data-centers-archbald-ai-evictions-environment</v>
      </c>
      <c r="AJ762" s="2" t="str">
        <f>IFERROR(__xludf.DUMMYFUNCTION("""COMPUTED_VALUE"""),"https://grist.org/energy/the-ai-boom-has-plunged-a-small-pennsylvania-town-into-chaos/")</f>
        <v>https://grist.org/energy/the-ai-boom-has-plunged-a-small-pennsylvania-town-into-chaos/</v>
      </c>
      <c r="AK762" s="1" t="str">
        <f>IFERROR(__xludf.DUMMYFUNCTION("""COMPUTED_VALUE"""),"")</f>
        <v/>
      </c>
      <c r="AL762" s="1" t="str">
        <f>IFERROR(__xludf.DUMMYFUNCTION("""COMPUTED_VALUE"""),"")</f>
        <v/>
      </c>
      <c r="AM762" s="1" t="str">
        <f>IFERROR(__xludf.DUMMYFUNCTION("""COMPUTED_VALUE"""),"")</f>
        <v/>
      </c>
      <c r="AN762" s="1" t="str">
        <f>IFERROR(__xludf.DUMMYFUNCTION("""COMPUTED_VALUE"""),"")</f>
        <v/>
      </c>
      <c r="AO762" s="1" t="str">
        <f>IFERROR(__xludf.DUMMYFUNCTION("""COMPUTED_VALUE"""),"")</f>
        <v/>
      </c>
      <c r="AP762" s="1" t="str">
        <f>IFERROR(__xludf.DUMMYFUNCTION("""COMPUTED_VALUE"""),"")</f>
        <v/>
      </c>
      <c r="AQ762" s="1" t="str">
        <f>IFERROR(__xludf.DUMMYFUNCTION("""COMPUTED_VALUE"""),"03/20/2026")</f>
        <v>03/20/2026</v>
      </c>
      <c r="AR762" s="1" t="str">
        <f>IFERROR(__xludf.DUMMYFUNCTION("""COMPUTED_VALUE"""),"03/20/2026")</f>
        <v>03/20/2026</v>
      </c>
    </row>
    <row r="763">
      <c r="A763" s="1" t="str">
        <f>IFERROR(__xludf.DUMMYFUNCTION("""COMPUTED_VALUE"""),"Project Scott")</f>
        <v>Project Scott</v>
      </c>
      <c r="B763" s="1" t="str">
        <f>IFERROR(__xludf.DUMMYFUNCTION("""COMPUTED_VALUE"""),"Btwn Eynon-Jermyn Rd and Scranton-Carbondale Hwy")</f>
        <v>Btwn Eynon-Jermyn Rd and Scranton-Carbondale Hwy</v>
      </c>
      <c r="C763" s="1" t="str">
        <f>IFERROR(__xludf.DUMMYFUNCTION("""COMPUTED_VALUE"""),"Archbald")</f>
        <v>Archbald</v>
      </c>
      <c r="D763" s="1" t="str">
        <f>IFERROR(__xludf.DUMMYFUNCTION("""COMPUTED_VALUE"""),"PA")</f>
        <v>PA</v>
      </c>
      <c r="E763" s="1" t="str">
        <f>IFERROR(__xludf.DUMMYFUNCTION("""COMPUTED_VALUE"""),"18403")</f>
        <v>18403</v>
      </c>
      <c r="F763" s="1" t="str">
        <f>IFERROR(__xludf.DUMMYFUNCTION("""COMPUTED_VALUE"""),"Lackawanna")</f>
        <v>Lackawanna</v>
      </c>
      <c r="G763" s="1" t="str">
        <f>IFERROR(__xludf.DUMMYFUNCTION("""COMPUTED_VALUE"""),"41.516857")</f>
        <v>41.516857</v>
      </c>
      <c r="H763" s="1" t="str">
        <f>IFERROR(__xludf.DUMMYFUNCTION("""COMPUTED_VALUE"""),"-75.564445")</f>
        <v>-75.564445</v>
      </c>
      <c r="I763" s="1" t="str">
        <f>IFERROR(__xludf.DUMMYFUNCTION("""COMPUTED_VALUE"""),"Proposed")</f>
        <v>Proposed</v>
      </c>
      <c r="J763" s="1" t="str">
        <f>IFERROR(__xludf.DUMMYFUNCTION("""COMPUTED_VALUE"""),"Medium")</f>
        <v>Medium</v>
      </c>
      <c r="K763" s="1" t="str">
        <f>IFERROR(__xludf.DUMMYFUNCTION("""COMPUTED_VALUE"""),"")</f>
        <v/>
      </c>
      <c r="L763" s="1" t="str">
        <f>IFERROR(__xludf.DUMMYFUNCTION("""COMPUTED_VALUE"""),"")</f>
        <v/>
      </c>
      <c r="M763" s="1" t="str">
        <f>IFERROR(__xludf.DUMMYFUNCTION("""COMPUTED_VALUE"""),"")</f>
        <v/>
      </c>
      <c r="N763" s="1" t="str">
        <f>IFERROR(__xludf.DUMMYFUNCTION("""COMPUTED_VALUE"""),"")</f>
        <v/>
      </c>
      <c r="O763" s="1" t="str">
        <f>IFERROR(__xludf.DUMMYFUNCTION("""COMPUTED_VALUE"""),"Mega campus (&gt;1,000 MW)")</f>
        <v>Mega campus (&gt;1,000 MW)</v>
      </c>
      <c r="P763" s="1" t="str">
        <f>IFERROR(__xludf.DUMMYFUNCTION("""COMPUTED_VALUE"""),"")</f>
        <v/>
      </c>
      <c r="Q763" s="1" t="str">
        <f>IFERROR(__xludf.DUMMYFUNCTION("""COMPUTED_VALUE"""),"")</f>
        <v/>
      </c>
      <c r="R763" s="1" t="str">
        <f>IFERROR(__xludf.DUMMYFUNCTION("""COMPUTED_VALUE"""),"")</f>
        <v/>
      </c>
      <c r="S763" s="1" t="str">
        <f>IFERROR(__xludf.DUMMYFUNCTION("""COMPUTED_VALUE"""),"16-18")</f>
        <v>16-18</v>
      </c>
      <c r="T763" s="1" t="str">
        <f>IFERROR(__xludf.DUMMYFUNCTION("""COMPUTED_VALUE"""),"")</f>
        <v/>
      </c>
      <c r="U763" s="1" t="str">
        <f>IFERROR(__xludf.DUMMYFUNCTION("""COMPUTED_VALUE"""),"")</f>
        <v/>
      </c>
      <c r="V763" s="1" t="str">
        <f>IFERROR(__xludf.DUMMYFUNCTION("""COMPUTED_VALUE"""),"2,592,000")</f>
        <v>2,592,000</v>
      </c>
      <c r="W763" s="1" t="str">
        <f>IFERROR(__xludf.DUMMYFUNCTION("""COMPUTED_VALUE"""),"474")</f>
        <v>474</v>
      </c>
      <c r="X763" s="1" t="str">
        <f>IFERROR(__xludf.DUMMYFUNCTION("""COMPUTED_VALUE"""),"")</f>
        <v/>
      </c>
      <c r="Y763" s="1" t="str">
        <f>IFERROR(__xludf.DUMMYFUNCTION("""COMPUTED_VALUE"""),"")</f>
        <v/>
      </c>
      <c r="Z763" s="1" t="str">
        <f>IFERROR(__xludf.DUMMYFUNCTION("""COMPUTED_VALUE"""),"Unknown")</f>
        <v>Unknown</v>
      </c>
      <c r="AA763" s="1" t="str">
        <f>IFERROR(__xludf.DUMMYFUNCTION("""COMPUTED_VALUE"""),"")</f>
        <v/>
      </c>
      <c r="AB763" s="1" t="str">
        <f>IFERROR(__xludf.DUMMYFUNCTION("""COMPUTED_VALUE"""),"")</f>
        <v/>
      </c>
      <c r="AC763" s="1" t="str">
        <f>IFERROR(__xludf.DUMMYFUNCTION("""COMPUTED_VALUE"""),"")</f>
        <v/>
      </c>
      <c r="AD763" s="1" t="str">
        <f>IFERROR(__xludf.DUMMYFUNCTION("""COMPUTED_VALUE"""),"")</f>
        <v/>
      </c>
      <c r="AE763" s="1" t="str">
        <f>IFERROR(__xludf.DUMMYFUNCTION("""COMPUTED_VALUE"""),"")</f>
        <v/>
      </c>
      <c r="AF763" s="1" t="str">
        <f>IFERROR(__xludf.DUMMYFUNCTION("""COMPUTED_VALUE"""),"")</f>
        <v/>
      </c>
      <c r="AG763" s="1" t="str">
        <f>IFERROR(__xludf.DUMMYFUNCTION("""COMPUTED_VALUE"""),"")</f>
        <v/>
      </c>
      <c r="AH763" s="1" t="str">
        <f>IFERROR(__xludf.DUMMYFUNCTION("""COMPUTED_VALUE"""),"Media Monitoring")</f>
        <v>Media Monitoring</v>
      </c>
      <c r="AI763" s="1" t="str">
        <f>IFERROR(__xludf.DUMMYFUNCTION("""COMPUTED_VALUE"""),"")</f>
        <v/>
      </c>
      <c r="AJ763" s="2" t="str">
        <f>IFERROR(__xludf.DUMMYFUNCTION("""COMPUTED_VALUE"""),"https://www.spotlightpa.org/news/2026/03/pennsylvania-data-centers-archbald-ai-evictions-environment")</f>
        <v>https://www.spotlightpa.org/news/2026/03/pennsylvania-data-centers-archbald-ai-evictions-environment</v>
      </c>
      <c r="AK763" s="2" t="str">
        <f>IFERROR(__xludf.DUMMYFUNCTION("""COMPUTED_VALUE"""),"https://grist.org/energy/the-ai-boom-has-plunged-a-small-pennsylvania-town-into-chaos/")</f>
        <v>https://grist.org/energy/the-ai-boom-has-plunged-a-small-pennsylvania-town-into-chaos/</v>
      </c>
      <c r="AL763" s="1" t="str">
        <f>IFERROR(__xludf.DUMMYFUNCTION("""COMPUTED_VALUE"""),"")</f>
        <v/>
      </c>
      <c r="AM763" s="1" t="str">
        <f>IFERROR(__xludf.DUMMYFUNCTION("""COMPUTED_VALUE"""),"")</f>
        <v/>
      </c>
      <c r="AN763" s="1" t="str">
        <f>IFERROR(__xludf.DUMMYFUNCTION("""COMPUTED_VALUE"""),"")</f>
        <v/>
      </c>
      <c r="AO763" s="1" t="str">
        <f>IFERROR(__xludf.DUMMYFUNCTION("""COMPUTED_VALUE"""),"")</f>
        <v/>
      </c>
      <c r="AP763" s="1" t="str">
        <f>IFERROR(__xludf.DUMMYFUNCTION("""COMPUTED_VALUE"""),"")</f>
        <v/>
      </c>
      <c r="AQ763" s="1" t="str">
        <f>IFERROR(__xludf.DUMMYFUNCTION("""COMPUTED_VALUE"""),"03/20/2026")</f>
        <v>03/20/2026</v>
      </c>
      <c r="AR763" s="1" t="str">
        <f>IFERROR(__xludf.DUMMYFUNCTION("""COMPUTED_VALUE"""),"03/20/2026")</f>
        <v>03/20/2026</v>
      </c>
    </row>
    <row r="764">
      <c r="A764" s="1" t="str">
        <f>IFERROR(__xludf.DUMMYFUNCTION("""COMPUTED_VALUE"""),"Wildcat Ridge Data Center")</f>
        <v>Wildcat Ridge Data Center</v>
      </c>
      <c r="B764" s="1" t="str">
        <f>IFERROR(__xludf.DUMMYFUNCTION("""COMPUTED_VALUE"""),"Scranton-Carbondale Hwy corridor")</f>
        <v>Scranton-Carbondale Hwy corridor</v>
      </c>
      <c r="C764" s="1" t="str">
        <f>IFERROR(__xludf.DUMMYFUNCTION("""COMPUTED_VALUE"""),"Archbald")</f>
        <v>Archbald</v>
      </c>
      <c r="D764" s="1" t="str">
        <f>IFERROR(__xludf.DUMMYFUNCTION("""COMPUTED_VALUE"""),"PA")</f>
        <v>PA</v>
      </c>
      <c r="E764" s="1" t="str">
        <f>IFERROR(__xludf.DUMMYFUNCTION("""COMPUTED_VALUE"""),"18403")</f>
        <v>18403</v>
      </c>
      <c r="F764" s="1" t="str">
        <f>IFERROR(__xludf.DUMMYFUNCTION("""COMPUTED_VALUE"""),"Lackawanna")</f>
        <v>Lackawanna</v>
      </c>
      <c r="G764" s="1" t="str">
        <f>IFERROR(__xludf.DUMMYFUNCTION("""COMPUTED_VALUE"""),"41.50318")</f>
        <v>41.50318</v>
      </c>
      <c r="H764" s="1" t="str">
        <f>IFERROR(__xludf.DUMMYFUNCTION("""COMPUTED_VALUE"""),"-75.58995")</f>
        <v>-75.58995</v>
      </c>
      <c r="I764" s="1" t="str">
        <f>IFERROR(__xludf.DUMMYFUNCTION("""COMPUTED_VALUE"""),"Suspended")</f>
        <v>Suspended</v>
      </c>
      <c r="J764" s="1" t="str">
        <f>IFERROR(__xludf.DUMMYFUNCTION("""COMPUTED_VALUE"""),"High")</f>
        <v>High</v>
      </c>
      <c r="K764" s="1" t="str">
        <f>IFERROR(__xludf.DUMMYFUNCTION("""COMPUTED_VALUE"""),"AI")</f>
        <v>AI</v>
      </c>
      <c r="L764" s="1" t="str">
        <f>IFERROR(__xludf.DUMMYFUNCTION("""COMPUTED_VALUE"""),"")</f>
        <v/>
      </c>
      <c r="M764" s="1" t="str">
        <f>IFERROR(__xludf.DUMMYFUNCTION("""COMPUTED_VALUE"""),"")</f>
        <v/>
      </c>
      <c r="N764" s="1" t="str">
        <f>IFERROR(__xludf.DUMMYFUNCTION("""COMPUTED_VALUE"""),"")</f>
        <v/>
      </c>
      <c r="O764" s="1" t="str">
        <f>IFERROR(__xludf.DUMMYFUNCTION("""COMPUTED_VALUE"""),"Mega campus (&gt;1,000 MW)")</f>
        <v>Mega campus (&gt;1,000 MW)</v>
      </c>
      <c r="P764" s="1" t="str">
        <f>IFERROR(__xludf.DUMMYFUNCTION("""COMPUTED_VALUE"""),"")</f>
        <v/>
      </c>
      <c r="Q764" s="1" t="str">
        <f>IFERROR(__xludf.DUMMYFUNCTION("""COMPUTED_VALUE"""),"")</f>
        <v/>
      </c>
      <c r="R764" s="1" t="str">
        <f>IFERROR(__xludf.DUMMYFUNCTION("""COMPUTED_VALUE"""),"")</f>
        <v/>
      </c>
      <c r="S764" s="1" t="str">
        <f>IFERROR(__xludf.DUMMYFUNCTION("""COMPUTED_VALUE"""),"14")</f>
        <v>14</v>
      </c>
      <c r="T764" s="1" t="str">
        <f>IFERROR(__xludf.DUMMYFUNCTION("""COMPUTED_VALUE"""),"")</f>
        <v/>
      </c>
      <c r="U764" s="1" t="str">
        <f>IFERROR(__xludf.DUMMYFUNCTION("""COMPUTED_VALUE"""),"")</f>
        <v/>
      </c>
      <c r="V764" s="1" t="str">
        <f>IFERROR(__xludf.DUMMYFUNCTION("""COMPUTED_VALUE"""),"17,200,000")</f>
        <v>17,200,000</v>
      </c>
      <c r="W764" s="1" t="str">
        <f>IFERROR(__xludf.DUMMYFUNCTION("""COMPUTED_VALUE"""),"574")</f>
        <v>574</v>
      </c>
      <c r="X764" s="1" t="str">
        <f>IFERROR(__xludf.DUMMYFUNCTION("""COMPUTED_VALUE"""),"$2.1 billion")</f>
        <v>$2.1 billion</v>
      </c>
      <c r="Y764" s="1" t="str">
        <f>IFERROR(__xludf.DUMMYFUNCTION("""COMPUTED_VALUE"""),"")</f>
        <v/>
      </c>
      <c r="Z764" s="1" t="str">
        <f>IFERROR(__xludf.DUMMYFUNCTION("""COMPUTED_VALUE"""),"Yes")</f>
        <v>Yes</v>
      </c>
      <c r="AA764" s="2" t="str">
        <f>IFERROR(__xludf.DUMMYFUNCTION("""COMPUTED_VALUE"""),"https://www.thetimes-tribune.com/2026/03/11/wildcat-ridge-data-center-campus-faces-major-opposition-in-archbald/")</f>
        <v>https://www.thetimes-tribune.com/2026/03/11/wildcat-ridge-data-center-campus-faces-major-opposition-in-archbald/</v>
      </c>
      <c r="AB764" s="1" t="str">
        <f>IFERROR(__xludf.DUMMYFUNCTION("""COMPUTED_VALUE"""),"")</f>
        <v/>
      </c>
      <c r="AC764" s="1" t="str">
        <f>IFERROR(__xludf.DUMMYFUNCTION("""COMPUTED_VALUE"""),"")</f>
        <v/>
      </c>
      <c r="AD764" s="1" t="str">
        <f>IFERROR(__xludf.DUMMYFUNCTION("""COMPUTED_VALUE"""),"")</f>
        <v/>
      </c>
      <c r="AE764" s="1" t="str">
        <f>IFERROR(__xludf.DUMMYFUNCTION("""COMPUTED_VALUE"""),"")</f>
        <v/>
      </c>
      <c r="AF764" s="1" t="str">
        <f>IFERROR(__xludf.DUMMYFUNCTION("""COMPUTED_VALUE"""),"")</f>
        <v/>
      </c>
      <c r="AG764" s="1" t="str">
        <f>IFERROR(__xludf.DUMMYFUNCTION("""COMPUTED_VALUE"""),"14 data centers on site. Archbold data center overlay district proposal failed.")</f>
        <v>14 data centers on site. Archbold data center overlay district proposal failed.</v>
      </c>
      <c r="AH764" s="1" t="str">
        <f>IFERROR(__xludf.DUMMYFUNCTION("""COMPUTED_VALUE"""),"Media Monitoring")</f>
        <v>Media Monitoring</v>
      </c>
      <c r="AI764" s="2" t="str">
        <f>IFERROR(__xludf.DUMMYFUNCTION("""COMPUTED_VALUE"""),"https://www.datacenterdynamics.com/en/news/plans-filed-for-16-million-sq-ft-data-center-campus-in-northeast-pennsylvania/")</f>
        <v>https://www.datacenterdynamics.com/en/news/plans-filed-for-16-million-sq-ft-data-center-campus-in-northeast-pennsylvania/</v>
      </c>
      <c r="AJ764" s="2" t="str">
        <f>IFERROR(__xludf.DUMMYFUNCTION("""COMPUTED_VALUE"""),"https://www.datacenterdynamics.com/en/news/21bn-data-center-campus-proposed-in-archbald-pennsylvania/")</f>
        <v>https://www.datacenterdynamics.com/en/news/21bn-data-center-campus-proposed-in-archbald-pennsylvania/</v>
      </c>
      <c r="AK764" s="2" t="str">
        <f>IFERROR(__xludf.DUMMYFUNCTION("""COMPUTED_VALUE"""),"https://www.thetimes-tribune.com/2025/05/18/data-centers-could-reshape-landscape-in-nepa/")</f>
        <v>https://www.thetimes-tribune.com/2025/05/18/data-centers-could-reshape-landscape-in-nepa/</v>
      </c>
      <c r="AL764" s="2" t="str">
        <f>IFERROR(__xludf.DUMMYFUNCTION("""COMPUTED_VALUE"""),"https://www.msn.com/en-us/news/us/archbald-votes-no-to-new-data-center-ordinance/ar-AA1NQbGM")</f>
        <v>https://www.msn.com/en-us/news/us/archbald-votes-no-to-new-data-center-ordinance/ar-AA1NQbGM</v>
      </c>
      <c r="AM764" s="2" t="str">
        <f>IFERROR(__xludf.DUMMYFUNCTION("""COMPUTED_VALUE"""),"https://www.thetimes-tribune.com/2025/10/31/developer-applies-for-22-more-data-center-buildings-in-archbald/")</f>
        <v>https://www.thetimes-tribune.com/2025/10/31/developer-applies-for-22-more-data-center-buildings-in-archbald/</v>
      </c>
      <c r="AN764" s="2" t="str">
        <f>IFERROR(__xludf.DUMMYFUNCTION("""COMPUTED_VALUE"""),"https://fox56.com/news/local/archbald-residents-unite-against-unanswered-questions-on-data-centers")</f>
        <v>https://fox56.com/news/local/archbald-residents-unite-against-unanswered-questions-on-data-centers</v>
      </c>
      <c r="AO764" s="2" t="str">
        <f>IFERROR(__xludf.DUMMYFUNCTION("""COMPUTED_VALUE"""),"https://www.spotlightpa.org/news/2026/03/pennsylvania-data-centers-archbald-ai-evictions-environment/?utm_source=ActiveCampaign&amp;utm_medium=email&amp;utm_content=6%20data%20centers%20%20One%20PA%20borough&amp;utm_campaign=PA%20Post%2003%2019%2026%20%28Copy%29")</f>
        <v>https://www.spotlightpa.org/news/2026/03/pennsylvania-data-centers-archbald-ai-evictions-environment/?utm_source=ActiveCampaign&amp;utm_medium=email&amp;utm_content=6%20data%20centers%20%20One%20PA%20borough&amp;utm_campaign=PA%20Post%2003%2019%2026%20%28Copy%29</v>
      </c>
      <c r="AP764" s="1" t="str">
        <f>IFERROR(__xludf.DUMMYFUNCTION("""COMPUTED_VALUE"""),"")</f>
        <v/>
      </c>
      <c r="AQ764" s="1" t="str">
        <f>IFERROR(__xludf.DUMMYFUNCTION("""COMPUTED_VALUE"""),"10/06/2025")</f>
        <v>10/06/2025</v>
      </c>
      <c r="AR764" s="1" t="str">
        <f>IFERROR(__xludf.DUMMYFUNCTION("""COMPUTED_VALUE"""),"03/23/2026")</f>
        <v>03/23/2026</v>
      </c>
    </row>
    <row r="765">
      <c r="A765" s="1" t="str">
        <f>IFERROR(__xludf.DUMMYFUNCTION("""COMPUTED_VALUE"""),"Nautilus crypto mine")</f>
        <v>Nautilus crypto mine</v>
      </c>
      <c r="B765" s="1" t="str">
        <f>IFERROR(__xludf.DUMMYFUNCTION("""COMPUTED_VALUE"""),"1375 Electron Ave")</f>
        <v>1375 Electron Ave</v>
      </c>
      <c r="C765" s="1" t="str">
        <f>IFERROR(__xludf.DUMMYFUNCTION("""COMPUTED_VALUE"""),"Berwick")</f>
        <v>Berwick</v>
      </c>
      <c r="D765" s="1" t="str">
        <f>IFERROR(__xludf.DUMMYFUNCTION("""COMPUTED_VALUE"""),"PA")</f>
        <v>PA</v>
      </c>
      <c r="E765" s="1" t="str">
        <f>IFERROR(__xludf.DUMMYFUNCTION("""COMPUTED_VALUE"""),"18603")</f>
        <v>18603</v>
      </c>
      <c r="F765" s="1" t="str">
        <f>IFERROR(__xludf.DUMMYFUNCTION("""COMPUTED_VALUE"""),"Luzerne")</f>
        <v>Luzerne</v>
      </c>
      <c r="G765" s="1" t="str">
        <f>IFERROR(__xludf.DUMMYFUNCTION("""COMPUTED_VALUE"""),"41.08303")</f>
        <v>41.08303</v>
      </c>
      <c r="H765" s="1" t="str">
        <f>IFERROR(__xludf.DUMMYFUNCTION("""COMPUTED_VALUE"""),"-76.1527")</f>
        <v>-76.1527</v>
      </c>
      <c r="I765" s="1" t="str">
        <f>IFERROR(__xludf.DUMMYFUNCTION("""COMPUTED_VALUE"""),"Operating")</f>
        <v>Operating</v>
      </c>
      <c r="J765" s="1" t="str">
        <f>IFERROR(__xludf.DUMMYFUNCTION("""COMPUTED_VALUE"""),"High")</f>
        <v>High</v>
      </c>
      <c r="K765" s="1" t="str">
        <f>IFERROR(__xludf.DUMMYFUNCTION("""COMPUTED_VALUE"""),"")</f>
        <v/>
      </c>
      <c r="L765" s="1" t="str">
        <f>IFERROR(__xludf.DUMMYFUNCTION("""COMPUTED_VALUE"""),"")</f>
        <v/>
      </c>
      <c r="M765" s="1" t="str">
        <f>IFERROR(__xludf.DUMMYFUNCTION("""COMPUTED_VALUE"""),"")</f>
        <v/>
      </c>
      <c r="N765" s="1" t="str">
        <f>IFERROR(__xludf.DUMMYFUNCTION("""COMPUTED_VALUE"""),"50")</f>
        <v>50</v>
      </c>
      <c r="O765" s="1" t="str">
        <f>IFERROR(__xludf.DUMMYFUNCTION("""COMPUTED_VALUE"""),"Medium (11-50 MW)")</f>
        <v>Medium (11-50 MW)</v>
      </c>
      <c r="P765" s="1" t="str">
        <f>IFERROR(__xludf.DUMMYFUNCTION("""COMPUTED_VALUE"""),"")</f>
        <v/>
      </c>
      <c r="Q765" s="1" t="str">
        <f>IFERROR(__xludf.DUMMYFUNCTION("""COMPUTED_VALUE"""),"")</f>
        <v/>
      </c>
      <c r="R765" s="1" t="str">
        <f>IFERROR(__xludf.DUMMYFUNCTION("""COMPUTED_VALUE"""),"")</f>
        <v/>
      </c>
      <c r="S765" s="1" t="str">
        <f>IFERROR(__xludf.DUMMYFUNCTION("""COMPUTED_VALUE"""),"")</f>
        <v/>
      </c>
      <c r="T765" s="1" t="str">
        <f>IFERROR(__xludf.DUMMYFUNCTION("""COMPUTED_VALUE"""),"")</f>
        <v/>
      </c>
      <c r="U765" s="1" t="str">
        <f>IFERROR(__xludf.DUMMYFUNCTION("""COMPUTED_VALUE"""),"")</f>
        <v/>
      </c>
      <c r="V765" s="1" t="str">
        <f>IFERROR(__xludf.DUMMYFUNCTION("""COMPUTED_VALUE"""),"")</f>
        <v/>
      </c>
      <c r="W765" s="1" t="str">
        <f>IFERROR(__xludf.DUMMYFUNCTION("""COMPUTED_VALUE"""),"")</f>
        <v/>
      </c>
      <c r="X765" s="1" t="str">
        <f>IFERROR(__xludf.DUMMYFUNCTION("""COMPUTED_VALUE"""),"")</f>
        <v/>
      </c>
      <c r="Y765" s="1" t="str">
        <f>IFERROR(__xludf.DUMMYFUNCTION("""COMPUTED_VALUE"""),"")</f>
        <v/>
      </c>
      <c r="Z765" s="1" t="str">
        <f>IFERROR(__xludf.DUMMYFUNCTION("""COMPUTED_VALUE"""),"Unknown")</f>
        <v>Unknown</v>
      </c>
      <c r="AA765" s="1" t="str">
        <f>IFERROR(__xludf.DUMMYFUNCTION("""COMPUTED_VALUE"""),"")</f>
        <v/>
      </c>
      <c r="AB765" s="1" t="str">
        <f>IFERROR(__xludf.DUMMYFUNCTION("""COMPUTED_VALUE"""),"")</f>
        <v/>
      </c>
      <c r="AC765" s="1" t="str">
        <f>IFERROR(__xludf.DUMMYFUNCTION("""COMPUTED_VALUE"""),"")</f>
        <v/>
      </c>
      <c r="AD765" s="1" t="str">
        <f>IFERROR(__xludf.DUMMYFUNCTION("""COMPUTED_VALUE"""),"")</f>
        <v/>
      </c>
      <c r="AE765" s="1" t="str">
        <f>IFERROR(__xludf.DUMMYFUNCTION("""COMPUTED_VALUE"""),"")</f>
        <v/>
      </c>
      <c r="AF765" s="1" t="str">
        <f>IFERROR(__xludf.DUMMYFUNCTION("""COMPUTED_VALUE"""),"")</f>
        <v/>
      </c>
      <c r="AG765" s="1" t="str">
        <f>IFERROR(__xludf.DUMMYFUNCTION("""COMPUTED_VALUE"""),"")</f>
        <v/>
      </c>
      <c r="AH765" s="1" t="str">
        <f>IFERROR(__xludf.DUMMYFUNCTION("""COMPUTED_VALUE"""),"Media Monitoring")</f>
        <v>Media Monitoring</v>
      </c>
      <c r="AI765" s="2" t="str">
        <f>IFERROR(__xludf.DUMMYFUNCTION("""COMPUTED_VALUE"""),"https://investors.terawulf.com/news-events/press-releases/detail/85/terawulf-announces-august-2024-production-and-operations")</f>
        <v>https://investors.terawulf.com/news-events/press-releases/detail/85/terawulf-announces-august-2024-production-and-operations</v>
      </c>
      <c r="AJ765" s="1" t="str">
        <f>IFERROR(__xludf.DUMMYFUNCTION("""COMPUTED_VALUE"""),"")</f>
        <v/>
      </c>
      <c r="AK765" s="1" t="str">
        <f>IFERROR(__xludf.DUMMYFUNCTION("""COMPUTED_VALUE"""),"")</f>
        <v/>
      </c>
      <c r="AL765" s="1" t="str">
        <f>IFERROR(__xludf.DUMMYFUNCTION("""COMPUTED_VALUE"""),"")</f>
        <v/>
      </c>
      <c r="AM765" s="1" t="str">
        <f>IFERROR(__xludf.DUMMYFUNCTION("""COMPUTED_VALUE"""),"")</f>
        <v/>
      </c>
      <c r="AN765" s="1" t="str">
        <f>IFERROR(__xludf.DUMMYFUNCTION("""COMPUTED_VALUE"""),"")</f>
        <v/>
      </c>
      <c r="AO765" s="1" t="str">
        <f>IFERROR(__xludf.DUMMYFUNCTION("""COMPUTED_VALUE"""),"")</f>
        <v/>
      </c>
      <c r="AP765" s="1" t="str">
        <f>IFERROR(__xludf.DUMMYFUNCTION("""COMPUTED_VALUE"""),"")</f>
        <v/>
      </c>
      <c r="AQ765" s="1" t="str">
        <f>IFERROR(__xludf.DUMMYFUNCTION("""COMPUTED_VALUE"""),"05/19/2025")</f>
        <v>05/19/2025</v>
      </c>
      <c r="AR765" s="1" t="str">
        <f>IFERROR(__xludf.DUMMYFUNCTION("""COMPUTED_VALUE"""),"05/19/2025")</f>
        <v>05/19/2025</v>
      </c>
    </row>
    <row r="766">
      <c r="A766" s="1" t="str">
        <f>IFERROR(__xludf.DUMMYFUNCTION("""COMPUTED_VALUE"""),"QTS Salem")</f>
        <v>QTS Salem</v>
      </c>
      <c r="B766" s="1" t="str">
        <f>IFERROR(__xludf.DUMMYFUNCTION("""COMPUTED_VALUE"""),"West of Susquehanna Nuclear Power Plant")</f>
        <v>West of Susquehanna Nuclear Power Plant</v>
      </c>
      <c r="C766" s="1" t="str">
        <f>IFERROR(__xludf.DUMMYFUNCTION("""COMPUTED_VALUE"""),"Berwick")</f>
        <v>Berwick</v>
      </c>
      <c r="D766" s="1" t="str">
        <f>IFERROR(__xludf.DUMMYFUNCTION("""COMPUTED_VALUE"""),"PA")</f>
        <v>PA</v>
      </c>
      <c r="E766" s="1" t="str">
        <f>IFERROR(__xludf.DUMMYFUNCTION("""COMPUTED_VALUE"""),"18603")</f>
        <v>18603</v>
      </c>
      <c r="F766" s="1" t="str">
        <f>IFERROR(__xludf.DUMMYFUNCTION("""COMPUTED_VALUE"""),"Luzerne")</f>
        <v>Luzerne</v>
      </c>
      <c r="G766" s="1" t="str">
        <f>IFERROR(__xludf.DUMMYFUNCTION("""COMPUTED_VALUE"""),"41.092793")</f>
        <v>41.092793</v>
      </c>
      <c r="H766" s="1" t="str">
        <f>IFERROR(__xludf.DUMMYFUNCTION("""COMPUTED_VALUE"""),"-76.16732")</f>
        <v>-76.16732</v>
      </c>
      <c r="I766" s="1" t="str">
        <f>IFERROR(__xludf.DUMMYFUNCTION("""COMPUTED_VALUE"""),"Proposed")</f>
        <v>Proposed</v>
      </c>
      <c r="J766" s="1" t="str">
        <f>IFERROR(__xludf.DUMMYFUNCTION("""COMPUTED_VALUE"""),"Medium")</f>
        <v>Medium</v>
      </c>
      <c r="K766" s="1" t="str">
        <f>IFERROR(__xludf.DUMMYFUNCTION("""COMPUTED_VALUE"""),"")</f>
        <v/>
      </c>
      <c r="L766" s="1" t="str">
        <f>IFERROR(__xludf.DUMMYFUNCTION("""COMPUTED_VALUE"""),"")</f>
        <v/>
      </c>
      <c r="M766" s="1" t="str">
        <f>IFERROR(__xludf.DUMMYFUNCTION("""COMPUTED_VALUE"""),"")</f>
        <v/>
      </c>
      <c r="N766" s="1" t="str">
        <f>IFERROR(__xludf.DUMMYFUNCTION("""COMPUTED_VALUE"""),"")</f>
        <v/>
      </c>
      <c r="O766" s="1" t="str">
        <f>IFERROR(__xludf.DUMMYFUNCTION("""COMPUTED_VALUE"""),"Hyperscale (100-999 MW)")</f>
        <v>Hyperscale (100-999 MW)</v>
      </c>
      <c r="P766" s="1" t="str">
        <f>IFERROR(__xludf.DUMMYFUNCTION("""COMPUTED_VALUE"""),"")</f>
        <v/>
      </c>
      <c r="Q766" s="1" t="str">
        <f>IFERROR(__xludf.DUMMYFUNCTION("""COMPUTED_VALUE"""),"")</f>
        <v/>
      </c>
      <c r="R766" s="1" t="str">
        <f>IFERROR(__xludf.DUMMYFUNCTION("""COMPUTED_VALUE"""),"")</f>
        <v/>
      </c>
      <c r="S766" s="1" t="str">
        <f>IFERROR(__xludf.DUMMYFUNCTION("""COMPUTED_VALUE"""),"12-17")</f>
        <v>12-17</v>
      </c>
      <c r="T766" s="1" t="str">
        <f>IFERROR(__xludf.DUMMYFUNCTION("""COMPUTED_VALUE"""),"")</f>
        <v/>
      </c>
      <c r="U766" s="1" t="str">
        <f>IFERROR(__xludf.DUMMYFUNCTION("""COMPUTED_VALUE"""),"")</f>
        <v/>
      </c>
      <c r="V766" s="1" t="str">
        <f>IFERROR(__xludf.DUMMYFUNCTION("""COMPUTED_VALUE"""),"")</f>
        <v/>
      </c>
      <c r="W766" s="1" t="str">
        <f>IFERROR(__xludf.DUMMYFUNCTION("""COMPUTED_VALUE"""),"1700")</f>
        <v>1700</v>
      </c>
      <c r="X766" s="1" t="str">
        <f>IFERROR(__xludf.DUMMYFUNCTION("""COMPUTED_VALUE"""),"$500 million")</f>
        <v>$500 million</v>
      </c>
      <c r="Y766" s="1" t="str">
        <f>IFERROR(__xludf.DUMMYFUNCTION("""COMPUTED_VALUE"""),"")</f>
        <v/>
      </c>
      <c r="Z766" s="1" t="str">
        <f>IFERROR(__xludf.DUMMYFUNCTION("""COMPUTED_VALUE"""),"Unknown")</f>
        <v>Unknown</v>
      </c>
      <c r="AA766" s="1" t="str">
        <f>IFERROR(__xludf.DUMMYFUNCTION("""COMPUTED_VALUE"""),"")</f>
        <v/>
      </c>
      <c r="AB766" s="1" t="str">
        <f>IFERROR(__xludf.DUMMYFUNCTION("""COMPUTED_VALUE"""),"")</f>
        <v/>
      </c>
      <c r="AC766" s="1" t="str">
        <f>IFERROR(__xludf.DUMMYFUNCTION("""COMPUTED_VALUE"""),"")</f>
        <v/>
      </c>
      <c r="AD766" s="1" t="str">
        <f>IFERROR(__xludf.DUMMYFUNCTION("""COMPUTED_VALUE"""),"")</f>
        <v/>
      </c>
      <c r="AE766" s="1" t="str">
        <f>IFERROR(__xludf.DUMMYFUNCTION("""COMPUTED_VALUE"""),"")</f>
        <v/>
      </c>
      <c r="AF766" s="1" t="str">
        <f>IFERROR(__xludf.DUMMYFUNCTION("""COMPUTED_VALUE"""),"")</f>
        <v/>
      </c>
      <c r="AG766" s="1" t="str">
        <f>IFERROR(__xludf.DUMMYFUNCTION("""COMPUTED_VALUE"""),"")</f>
        <v/>
      </c>
      <c r="AH766" s="1" t="str">
        <f>IFERROR(__xludf.DUMMYFUNCTION("""COMPUTED_VALUE"""),"Media Monitoring")</f>
        <v>Media Monitoring</v>
      </c>
      <c r="AI766" s="2" t="str">
        <f>IFERROR(__xludf.DUMMYFUNCTION("""COMPUTED_VALUE"""),"https://www.datacenterdynamics.com/en/news/qts-acquires-1700-acres-of-land-in-pennsylvania-for-data-center-development/")</f>
        <v>https://www.datacenterdynamics.com/en/news/qts-acquires-1700-acres-of-land-in-pennsylvania-for-data-center-development/</v>
      </c>
      <c r="AJ766" s="1" t="str">
        <f>IFERROR(__xludf.DUMMYFUNCTION("""COMPUTED_VALUE"""),"")</f>
        <v/>
      </c>
      <c r="AK766" s="1" t="str">
        <f>IFERROR(__xludf.DUMMYFUNCTION("""COMPUTED_VALUE"""),"")</f>
        <v/>
      </c>
      <c r="AL766" s="1" t="str">
        <f>IFERROR(__xludf.DUMMYFUNCTION("""COMPUTED_VALUE"""),"")</f>
        <v/>
      </c>
      <c r="AM766" s="1" t="str">
        <f>IFERROR(__xludf.DUMMYFUNCTION("""COMPUTED_VALUE"""),"")</f>
        <v/>
      </c>
      <c r="AN766" s="1" t="str">
        <f>IFERROR(__xludf.DUMMYFUNCTION("""COMPUTED_VALUE"""),"")</f>
        <v/>
      </c>
      <c r="AO766" s="1" t="str">
        <f>IFERROR(__xludf.DUMMYFUNCTION("""COMPUTED_VALUE"""),"")</f>
        <v/>
      </c>
      <c r="AP766" s="1" t="str">
        <f>IFERROR(__xludf.DUMMYFUNCTION("""COMPUTED_VALUE"""),"")</f>
        <v/>
      </c>
      <c r="AQ766" s="1" t="str">
        <f>IFERROR(__xludf.DUMMYFUNCTION("""COMPUTED_VALUE"""),"04/02/2026")</f>
        <v>04/02/2026</v>
      </c>
      <c r="AR766" s="1" t="str">
        <f>IFERROR(__xludf.DUMMYFUNCTION("""COMPUTED_VALUE"""),"04/02/2026")</f>
        <v>04/02/2026</v>
      </c>
    </row>
    <row r="767">
      <c r="A767" s="1" t="str">
        <f>IFERROR(__xludf.DUMMYFUNCTION("""COMPUTED_VALUE"""),"Tierpoint Bethlehem Data Center")</f>
        <v>Tierpoint Bethlehem Data Center</v>
      </c>
      <c r="B767" s="1" t="str">
        <f>IFERROR(__xludf.DUMMYFUNCTION("""COMPUTED_VALUE"""),"3864 Courtney Street, Ste 130")</f>
        <v>3864 Courtney Street, Ste 130</v>
      </c>
      <c r="C767" s="1" t="str">
        <f>IFERROR(__xludf.DUMMYFUNCTION("""COMPUTED_VALUE"""),"Bethlehem")</f>
        <v>Bethlehem</v>
      </c>
      <c r="D767" s="1" t="str">
        <f>IFERROR(__xludf.DUMMYFUNCTION("""COMPUTED_VALUE"""),"PA")</f>
        <v>PA</v>
      </c>
      <c r="E767" s="1" t="str">
        <f>IFERROR(__xludf.DUMMYFUNCTION("""COMPUTED_VALUE"""),"18017")</f>
        <v>18017</v>
      </c>
      <c r="F767" s="1" t="str">
        <f>IFERROR(__xludf.DUMMYFUNCTION("""COMPUTED_VALUE"""),"Northampton")</f>
        <v>Northampton</v>
      </c>
      <c r="G767" s="1" t="str">
        <f>IFERROR(__xludf.DUMMYFUNCTION("""COMPUTED_VALUE"""),"40.67062")</f>
        <v>40.67062</v>
      </c>
      <c r="H767" s="1" t="str">
        <f>IFERROR(__xludf.DUMMYFUNCTION("""COMPUTED_VALUE"""),"-75.37491")</f>
        <v>-75.37491</v>
      </c>
      <c r="I767" s="1" t="str">
        <f>IFERROR(__xludf.DUMMYFUNCTION("""COMPUTED_VALUE"""),"Operating")</f>
        <v>Operating</v>
      </c>
      <c r="J767" s="1" t="str">
        <f>IFERROR(__xludf.DUMMYFUNCTION("""COMPUTED_VALUE"""),"High")</f>
        <v>High</v>
      </c>
      <c r="K767" s="1" t="str">
        <f>IFERROR(__xludf.DUMMYFUNCTION("""COMPUTED_VALUE"""),"")</f>
        <v/>
      </c>
      <c r="L767" s="1" t="str">
        <f>IFERROR(__xludf.DUMMYFUNCTION("""COMPUTED_VALUE"""),"Tierpoint")</f>
        <v>Tierpoint</v>
      </c>
      <c r="M767" s="1" t="str">
        <f>IFERROR(__xludf.DUMMYFUNCTION("""COMPUTED_VALUE"""),"")</f>
        <v/>
      </c>
      <c r="N767" s="1" t="str">
        <f>IFERROR(__xludf.DUMMYFUNCTION("""COMPUTED_VALUE"""),"")</f>
        <v/>
      </c>
      <c r="O767" s="1" t="str">
        <f>IFERROR(__xludf.DUMMYFUNCTION("""COMPUTED_VALUE"""),"Unknown")</f>
        <v>Unknown</v>
      </c>
      <c r="P767" s="1" t="str">
        <f>IFERROR(__xludf.DUMMYFUNCTION("""COMPUTED_VALUE"""),"")</f>
        <v/>
      </c>
      <c r="Q767" s="1" t="str">
        <f>IFERROR(__xludf.DUMMYFUNCTION("""COMPUTED_VALUE"""),"")</f>
        <v/>
      </c>
      <c r="R767" s="1" t="str">
        <f>IFERROR(__xludf.DUMMYFUNCTION("""COMPUTED_VALUE"""),"")</f>
        <v/>
      </c>
      <c r="S767" s="1" t="str">
        <f>IFERROR(__xludf.DUMMYFUNCTION("""COMPUTED_VALUE"""),"")</f>
        <v/>
      </c>
      <c r="T767" s="1" t="str">
        <f>IFERROR(__xludf.DUMMYFUNCTION("""COMPUTED_VALUE"""),"")</f>
        <v/>
      </c>
      <c r="U767" s="1" t="str">
        <f>IFERROR(__xludf.DUMMYFUNCTION("""COMPUTED_VALUE"""),"")</f>
        <v/>
      </c>
      <c r="V767" s="1" t="str">
        <f>IFERROR(__xludf.DUMMYFUNCTION("""COMPUTED_VALUE"""),"25,000")</f>
        <v>25,000</v>
      </c>
      <c r="W767" s="1" t="str">
        <f>IFERROR(__xludf.DUMMYFUNCTION("""COMPUTED_VALUE"""),"")</f>
        <v/>
      </c>
      <c r="X767" s="1" t="str">
        <f>IFERROR(__xludf.DUMMYFUNCTION("""COMPUTED_VALUE"""),"")</f>
        <v/>
      </c>
      <c r="Y767" s="1" t="str">
        <f>IFERROR(__xludf.DUMMYFUNCTION("""COMPUTED_VALUE"""),"")</f>
        <v/>
      </c>
      <c r="Z767" s="1" t="str">
        <f>IFERROR(__xludf.DUMMYFUNCTION("""COMPUTED_VALUE"""),"Unknown")</f>
        <v>Unknown</v>
      </c>
      <c r="AA767" s="1" t="str">
        <f>IFERROR(__xludf.DUMMYFUNCTION("""COMPUTED_VALUE"""),"")</f>
        <v/>
      </c>
      <c r="AB767" s="1" t="str">
        <f>IFERROR(__xludf.DUMMYFUNCTION("""COMPUTED_VALUE"""),"")</f>
        <v/>
      </c>
      <c r="AC767" s="1" t="str">
        <f>IFERROR(__xludf.DUMMYFUNCTION("""COMPUTED_VALUE"""),"")</f>
        <v/>
      </c>
      <c r="AD767" s="1" t="str">
        <f>IFERROR(__xludf.DUMMYFUNCTION("""COMPUTED_VALUE"""),"")</f>
        <v/>
      </c>
      <c r="AE767" s="1" t="str">
        <f>IFERROR(__xludf.DUMMYFUNCTION("""COMPUTED_VALUE"""),"")</f>
        <v/>
      </c>
      <c r="AF767" s="1" t="str">
        <f>IFERROR(__xludf.DUMMYFUNCTION("""COMPUTED_VALUE"""),"")</f>
        <v/>
      </c>
      <c r="AG767" s="1" t="str">
        <f>IFERROR(__xludf.DUMMYFUNCTION("""COMPUTED_VALUE"""),"")</f>
        <v/>
      </c>
      <c r="AH767" s="1" t="str">
        <f>IFERROR(__xludf.DUMMYFUNCTION("""COMPUTED_VALUE"""),"Other")</f>
        <v>Other</v>
      </c>
      <c r="AI767" s="2" t="str">
        <f>IFERROR(__xludf.DUMMYFUNCTION("""COMPUTED_VALUE"""),"https://www.tierpoint.com/data-centers/pennsylvania/bethlehem/#BET")</f>
        <v>https://www.tierpoint.com/data-centers/pennsylvania/bethlehem/#BET</v>
      </c>
      <c r="AJ767" s="1" t="str">
        <f>IFERROR(__xludf.DUMMYFUNCTION("""COMPUTED_VALUE"""),"")</f>
        <v/>
      </c>
      <c r="AK767" s="1" t="str">
        <f>IFERROR(__xludf.DUMMYFUNCTION("""COMPUTED_VALUE"""),"")</f>
        <v/>
      </c>
      <c r="AL767" s="1" t="str">
        <f>IFERROR(__xludf.DUMMYFUNCTION("""COMPUTED_VALUE"""),"")</f>
        <v/>
      </c>
      <c r="AM767" s="1" t="str">
        <f>IFERROR(__xludf.DUMMYFUNCTION("""COMPUTED_VALUE"""),"")</f>
        <v/>
      </c>
      <c r="AN767" s="1" t="str">
        <f>IFERROR(__xludf.DUMMYFUNCTION("""COMPUTED_VALUE"""),"")</f>
        <v/>
      </c>
      <c r="AO767" s="1" t="str">
        <f>IFERROR(__xludf.DUMMYFUNCTION("""COMPUTED_VALUE"""),"")</f>
        <v/>
      </c>
      <c r="AP767" s="1" t="str">
        <f>IFERROR(__xludf.DUMMYFUNCTION("""COMPUTED_VALUE"""),"")</f>
        <v/>
      </c>
      <c r="AQ767" s="1" t="str">
        <f>IFERROR(__xludf.DUMMYFUNCTION("""COMPUTED_VALUE"""),"11/24/2025")</f>
        <v>11/24/2025</v>
      </c>
      <c r="AR767" s="1" t="str">
        <f>IFERROR(__xludf.DUMMYFUNCTION("""COMPUTED_VALUE"""),"11/24/2025")</f>
        <v>11/24/2025</v>
      </c>
    </row>
    <row r="768">
      <c r="A768" s="1" t="str">
        <f>IFERROR(__xludf.DUMMYFUNCTION("""COMPUTED_VALUE"""),"Tierpoint Lehigh Valley Data Center")</f>
        <v>Tierpoint Lehigh Valley Data Center</v>
      </c>
      <c r="B768" s="1" t="str">
        <f>IFERROR(__xludf.DUMMYFUNCTION("""COMPUTED_VALUE"""),"3949 Schelden Circle")</f>
        <v>3949 Schelden Circle</v>
      </c>
      <c r="C768" s="1" t="str">
        <f>IFERROR(__xludf.DUMMYFUNCTION("""COMPUTED_VALUE"""),"Bethlehem")</f>
        <v>Bethlehem</v>
      </c>
      <c r="D768" s="1" t="str">
        <f>IFERROR(__xludf.DUMMYFUNCTION("""COMPUTED_VALUE"""),"PA")</f>
        <v>PA</v>
      </c>
      <c r="E768" s="1" t="str">
        <f>IFERROR(__xludf.DUMMYFUNCTION("""COMPUTED_VALUE"""),"18107")</f>
        <v>18107</v>
      </c>
      <c r="F768" s="1" t="str">
        <f>IFERROR(__xludf.DUMMYFUNCTION("""COMPUTED_VALUE"""),"Northampton")</f>
        <v>Northampton</v>
      </c>
      <c r="G768" s="1" t="str">
        <f>IFERROR(__xludf.DUMMYFUNCTION("""COMPUTED_VALUE"""),"40.675163")</f>
        <v>40.675163</v>
      </c>
      <c r="H768" s="1" t="str">
        <f>IFERROR(__xludf.DUMMYFUNCTION("""COMPUTED_VALUE"""),"-75.37803")</f>
        <v>-75.37803</v>
      </c>
      <c r="I768" s="1" t="str">
        <f>IFERROR(__xludf.DUMMYFUNCTION("""COMPUTED_VALUE"""),"Operating")</f>
        <v>Operating</v>
      </c>
      <c r="J768" s="1" t="str">
        <f>IFERROR(__xludf.DUMMYFUNCTION("""COMPUTED_VALUE"""),"High")</f>
        <v>High</v>
      </c>
      <c r="K768" s="1" t="str">
        <f>IFERROR(__xludf.DUMMYFUNCTION("""COMPUTED_VALUE"""),"")</f>
        <v/>
      </c>
      <c r="L768" s="1" t="str">
        <f>IFERROR(__xludf.DUMMYFUNCTION("""COMPUTED_VALUE"""),"Tierpoint")</f>
        <v>Tierpoint</v>
      </c>
      <c r="M768" s="1" t="str">
        <f>IFERROR(__xludf.DUMMYFUNCTION("""COMPUTED_VALUE"""),"")</f>
        <v/>
      </c>
      <c r="N768" s="1" t="str">
        <f>IFERROR(__xludf.DUMMYFUNCTION("""COMPUTED_VALUE"""),"")</f>
        <v/>
      </c>
      <c r="O768" s="1" t="str">
        <f>IFERROR(__xludf.DUMMYFUNCTION("""COMPUTED_VALUE"""),"Unknown")</f>
        <v>Unknown</v>
      </c>
      <c r="P768" s="1" t="str">
        <f>IFERROR(__xludf.DUMMYFUNCTION("""COMPUTED_VALUE"""),"")</f>
        <v/>
      </c>
      <c r="Q768" s="1" t="str">
        <f>IFERROR(__xludf.DUMMYFUNCTION("""COMPUTED_VALUE"""),"")</f>
        <v/>
      </c>
      <c r="R768" s="1" t="str">
        <f>IFERROR(__xludf.DUMMYFUNCTION("""COMPUTED_VALUE"""),"")</f>
        <v/>
      </c>
      <c r="S768" s="1" t="str">
        <f>IFERROR(__xludf.DUMMYFUNCTION("""COMPUTED_VALUE"""),"")</f>
        <v/>
      </c>
      <c r="T768" s="1" t="str">
        <f>IFERROR(__xludf.DUMMYFUNCTION("""COMPUTED_VALUE"""),"")</f>
        <v/>
      </c>
      <c r="U768" s="1" t="str">
        <f>IFERROR(__xludf.DUMMYFUNCTION("""COMPUTED_VALUE"""),"")</f>
        <v/>
      </c>
      <c r="V768" s="1" t="str">
        <f>IFERROR(__xludf.DUMMYFUNCTION("""COMPUTED_VALUE"""),"27,000")</f>
        <v>27,000</v>
      </c>
      <c r="W768" s="1" t="str">
        <f>IFERROR(__xludf.DUMMYFUNCTION("""COMPUTED_VALUE"""),"")</f>
        <v/>
      </c>
      <c r="X768" s="1" t="str">
        <f>IFERROR(__xludf.DUMMYFUNCTION("""COMPUTED_VALUE"""),"")</f>
        <v/>
      </c>
      <c r="Y768" s="1" t="str">
        <f>IFERROR(__xludf.DUMMYFUNCTION("""COMPUTED_VALUE"""),"")</f>
        <v/>
      </c>
      <c r="Z768" s="1" t="str">
        <f>IFERROR(__xludf.DUMMYFUNCTION("""COMPUTED_VALUE"""),"Unknown")</f>
        <v>Unknown</v>
      </c>
      <c r="AA768" s="1" t="str">
        <f>IFERROR(__xludf.DUMMYFUNCTION("""COMPUTED_VALUE"""),"")</f>
        <v/>
      </c>
      <c r="AB768" s="1" t="str">
        <f>IFERROR(__xludf.DUMMYFUNCTION("""COMPUTED_VALUE"""),"")</f>
        <v/>
      </c>
      <c r="AC768" s="1" t="str">
        <f>IFERROR(__xludf.DUMMYFUNCTION("""COMPUTED_VALUE"""),"")</f>
        <v/>
      </c>
      <c r="AD768" s="1" t="str">
        <f>IFERROR(__xludf.DUMMYFUNCTION("""COMPUTED_VALUE"""),"")</f>
        <v/>
      </c>
      <c r="AE768" s="1" t="str">
        <f>IFERROR(__xludf.DUMMYFUNCTION("""COMPUTED_VALUE"""),"")</f>
        <v/>
      </c>
      <c r="AF768" s="1" t="str">
        <f>IFERROR(__xludf.DUMMYFUNCTION("""COMPUTED_VALUE"""),"")</f>
        <v/>
      </c>
      <c r="AG768" s="1" t="str">
        <f>IFERROR(__xludf.DUMMYFUNCTION("""COMPUTED_VALUE"""),"")</f>
        <v/>
      </c>
      <c r="AH768" s="1" t="str">
        <f>IFERROR(__xludf.DUMMYFUNCTION("""COMPUTED_VALUE"""),"Other")</f>
        <v>Other</v>
      </c>
      <c r="AI768" s="2" t="str">
        <f>IFERROR(__xludf.DUMMYFUNCTION("""COMPUTED_VALUE"""),"https://www.tierpoint.com/data-centers/pennsylvania/lehigh-valley/")</f>
        <v>https://www.tierpoint.com/data-centers/pennsylvania/lehigh-valley/</v>
      </c>
      <c r="AJ768" s="1" t="str">
        <f>IFERROR(__xludf.DUMMYFUNCTION("""COMPUTED_VALUE"""),"")</f>
        <v/>
      </c>
      <c r="AK768" s="1" t="str">
        <f>IFERROR(__xludf.DUMMYFUNCTION("""COMPUTED_VALUE"""),"")</f>
        <v/>
      </c>
      <c r="AL768" s="1" t="str">
        <f>IFERROR(__xludf.DUMMYFUNCTION("""COMPUTED_VALUE"""),"")</f>
        <v/>
      </c>
      <c r="AM768" s="1" t="str">
        <f>IFERROR(__xludf.DUMMYFUNCTION("""COMPUTED_VALUE"""),"")</f>
        <v/>
      </c>
      <c r="AN768" s="1" t="str">
        <f>IFERROR(__xludf.DUMMYFUNCTION("""COMPUTED_VALUE"""),"")</f>
        <v/>
      </c>
      <c r="AO768" s="1" t="str">
        <f>IFERROR(__xludf.DUMMYFUNCTION("""COMPUTED_VALUE"""),"")</f>
        <v/>
      </c>
      <c r="AP768" s="1" t="str">
        <f>IFERROR(__xludf.DUMMYFUNCTION("""COMPUTED_VALUE"""),"")</f>
        <v/>
      </c>
      <c r="AQ768" s="1" t="str">
        <f>IFERROR(__xludf.DUMMYFUNCTION("""COMPUTED_VALUE"""),"11/24/2025")</f>
        <v>11/24/2025</v>
      </c>
      <c r="AR768" s="1" t="str">
        <f>IFERROR(__xludf.DUMMYFUNCTION("""COMPUTED_VALUE"""),"11/24/2025")</f>
        <v>11/24/2025</v>
      </c>
    </row>
    <row r="769">
      <c r="A769" s="1" t="str">
        <f>IFERROR(__xludf.DUMMYFUNCTION("""COMPUTED_VALUE"""),"Blakely Data Center")</f>
        <v>Blakely Data Center</v>
      </c>
      <c r="B769" s="1" t="str">
        <f>IFERROR(__xludf.DUMMYFUNCTION("""COMPUTED_VALUE"""),"Terrace Dr corridor")</f>
        <v>Terrace Dr corridor</v>
      </c>
      <c r="C769" s="1" t="str">
        <f>IFERROR(__xludf.DUMMYFUNCTION("""COMPUTED_VALUE"""),"Blakely")</f>
        <v>Blakely</v>
      </c>
      <c r="D769" s="1" t="str">
        <f>IFERROR(__xludf.DUMMYFUNCTION("""COMPUTED_VALUE"""),"PA")</f>
        <v>PA</v>
      </c>
      <c r="E769" s="1" t="str">
        <f>IFERROR(__xludf.DUMMYFUNCTION("""COMPUTED_VALUE"""),"18447")</f>
        <v>18447</v>
      </c>
      <c r="F769" s="1" t="str">
        <f>IFERROR(__xludf.DUMMYFUNCTION("""COMPUTED_VALUE"""),"Lackawanna")</f>
        <v>Lackawanna</v>
      </c>
      <c r="G769" s="1" t="str">
        <f>IFERROR(__xludf.DUMMYFUNCTION("""COMPUTED_VALUE"""),"41.48713")</f>
        <v>41.48713</v>
      </c>
      <c r="H769" s="1" t="str">
        <f>IFERROR(__xludf.DUMMYFUNCTION("""COMPUTED_VALUE"""),"-75.59684")</f>
        <v>-75.59684</v>
      </c>
      <c r="I769" s="1" t="str">
        <f>IFERROR(__xludf.DUMMYFUNCTION("""COMPUTED_VALUE"""),"Cancelled")</f>
        <v>Cancelled</v>
      </c>
      <c r="J769" s="1" t="str">
        <f>IFERROR(__xludf.DUMMYFUNCTION("""COMPUTED_VALUE"""),"High")</f>
        <v>High</v>
      </c>
      <c r="K769" s="1" t="str">
        <f>IFERROR(__xludf.DUMMYFUNCTION("""COMPUTED_VALUE"""),"AI")</f>
        <v>AI</v>
      </c>
      <c r="L769" s="1" t="str">
        <f>IFERROR(__xludf.DUMMYFUNCTION("""COMPUTED_VALUE"""),"")</f>
        <v/>
      </c>
      <c r="M769" s="1" t="str">
        <f>IFERROR(__xludf.DUMMYFUNCTION("""COMPUTED_VALUE"""),"")</f>
        <v/>
      </c>
      <c r="N769" s="1" t="str">
        <f>IFERROR(__xludf.DUMMYFUNCTION("""COMPUTED_VALUE"""),"1500")</f>
        <v>1500</v>
      </c>
      <c r="O769" s="1" t="str">
        <f>IFERROR(__xludf.DUMMYFUNCTION("""COMPUTED_VALUE"""),"Mega campus (&gt;1,000 MW)")</f>
        <v>Mega campus (&gt;1,000 MW)</v>
      </c>
      <c r="P769" s="1" t="str">
        <f>IFERROR(__xludf.DUMMYFUNCTION("""COMPUTED_VALUE"""),"")</f>
        <v/>
      </c>
      <c r="Q769" s="1" t="str">
        <f>IFERROR(__xludf.DUMMYFUNCTION("""COMPUTED_VALUE"""),"")</f>
        <v/>
      </c>
      <c r="R769" s="1" t="str">
        <f>IFERROR(__xludf.DUMMYFUNCTION("""COMPUTED_VALUE"""),"")</f>
        <v/>
      </c>
      <c r="S769" s="1" t="str">
        <f>IFERROR(__xludf.DUMMYFUNCTION("""COMPUTED_VALUE"""),"")</f>
        <v/>
      </c>
      <c r="T769" s="1" t="str">
        <f>IFERROR(__xludf.DUMMYFUNCTION("""COMPUTED_VALUE"""),"")</f>
        <v/>
      </c>
      <c r="U769" s="1" t="str">
        <f>IFERROR(__xludf.DUMMYFUNCTION("""COMPUTED_VALUE"""),"")</f>
        <v/>
      </c>
      <c r="V769" s="1" t="str">
        <f>IFERROR(__xludf.DUMMYFUNCTION("""COMPUTED_VALUE"""),"1,200,000")</f>
        <v>1,200,000</v>
      </c>
      <c r="W769" s="1" t="str">
        <f>IFERROR(__xludf.DUMMYFUNCTION("""COMPUTED_VALUE"""),"121")</f>
        <v>121</v>
      </c>
      <c r="X769" s="1" t="str">
        <f>IFERROR(__xludf.DUMMYFUNCTION("""COMPUTED_VALUE"""),"")</f>
        <v/>
      </c>
      <c r="Y769" s="1" t="str">
        <f>IFERROR(__xludf.DUMMYFUNCTION("""COMPUTED_VALUE"""),"")</f>
        <v/>
      </c>
      <c r="Z769" s="1" t="str">
        <f>IFERROR(__xludf.DUMMYFUNCTION("""COMPUTED_VALUE"""),"Yes")</f>
        <v>Yes</v>
      </c>
      <c r="AA769" s="1" t="str">
        <f>IFERROR(__xludf.DUMMYFUNCTION("""COMPUTED_VALUE"""),"Local residents / grassroots opposition (large public meetings + zoning reform)")</f>
        <v>Local residents / grassroots opposition (large public meetings + zoning reform)</v>
      </c>
      <c r="AB769" s="1" t="str">
        <f>IFERROR(__xludf.DUMMYFUNCTION("""COMPUTED_VALUE"""),"")</f>
        <v/>
      </c>
      <c r="AC769" s="1" t="str">
        <f>IFERROR(__xludf.DUMMYFUNCTION("""COMPUTED_VALUE"""),"")</f>
        <v/>
      </c>
      <c r="AD769" s="1" t="str">
        <f>IFERROR(__xludf.DUMMYFUNCTION("""COMPUTED_VALUE"""),"")</f>
        <v/>
      </c>
      <c r="AE769" s="1" t="str">
        <f>IFERROR(__xludf.DUMMYFUNCTION("""COMPUTED_VALUE"""),"")</f>
        <v/>
      </c>
      <c r="AF769" s="1" t="str">
        <f>IFERROR(__xludf.DUMMYFUNCTION("""COMPUTED_VALUE"""),"")</f>
        <v/>
      </c>
      <c r="AG769" s="1" t="str">
        <f>IFERROR(__xludf.DUMMYFUNCTION("""COMPUTED_VALUE"""),"Blakely passed a zoning amendment that confines data centers to a specific overlay district")</f>
        <v>Blakely passed a zoning amendment that confines data centers to a specific overlay district</v>
      </c>
      <c r="AH769" s="1" t="str">
        <f>IFERROR(__xludf.DUMMYFUNCTION("""COMPUTED_VALUE"""),"Media Monitoring")</f>
        <v>Media Monitoring</v>
      </c>
      <c r="AI769" s="2" t="str">
        <f>IFERROR(__xludf.DUMMYFUNCTION("""COMPUTED_VALUE"""),"https://www.yahoo.com/news/articles/convenience-store-developer-proposes-ai-000500338.html")</f>
        <v>https://www.yahoo.com/news/articles/convenience-store-developer-proposes-ai-000500338.html</v>
      </c>
      <c r="AJ769" s="2" t="str">
        <f>IFERROR(__xludf.DUMMYFUNCTION("""COMPUTED_VALUE"""),"https://www.thetimes-tribune.com/2025/08/13/blakely-data-center-meeting-draws-large-crowd-opposition/")</f>
        <v>https://www.thetimes-tribune.com/2025/08/13/blakely-data-center-meeting-draws-large-crowd-opposition/</v>
      </c>
      <c r="AK769" s="2" t="str">
        <f>IFERROR(__xludf.DUMMYFUNCTION("""COMPUTED_VALUE"""),"https://www.wnep.com/article/news/local/lackawanna-county/data-center-developer-withdraws-proposal-for-blakely-construction/523-976b3357-7ae2-4da0-b0f5-55eb44fb7afa")</f>
        <v>https://www.wnep.com/article/news/local/lackawanna-county/data-center-developer-withdraws-proposal-for-blakely-construction/523-976b3357-7ae2-4da0-b0f5-55eb44fb7afa</v>
      </c>
      <c r="AL769" s="2" t="str">
        <f>IFERROR(__xludf.DUMMYFUNCTION("""COMPUTED_VALUE"""),"https://blakelydata.com/")</f>
        <v>https://blakelydata.com/</v>
      </c>
      <c r="AM769" s="2" t="str">
        <f>IFERROR(__xludf.DUMMYFUNCTION("""COMPUTED_VALUE"""),"https://www.wnep.com/article/news/local/lackawanna-county/data-center-lackawanna-county-archbald-blakely-jessup-council-votes/523-627d1d15-f8e2-436e-be39-732ec3ee3b26")</f>
        <v>https://www.wnep.com/article/news/local/lackawanna-county/data-center-lackawanna-county-archbald-blakely-jessup-council-votes/523-627d1d15-f8e2-436e-be39-732ec3ee3b26</v>
      </c>
      <c r="AN769" s="2" t="str">
        <f>IFERROR(__xludf.DUMMYFUNCTION("""COMPUTED_VALUE"""),"https://www.spotlightpa.org/news/2026/03/pennsylvania-data-centers-archbald-ai-evictions-environment")</f>
        <v>https://www.spotlightpa.org/news/2026/03/pennsylvania-data-centers-archbald-ai-evictions-environment</v>
      </c>
      <c r="AO769" s="2" t="str">
        <f>IFERROR(__xludf.DUMMYFUNCTION("""COMPUTED_VALUE"""),"https://trackdatacenters.com/state/pennsylvania")</f>
        <v>https://trackdatacenters.com/state/pennsylvania</v>
      </c>
      <c r="AP769" s="1" t="str">
        <f>IFERROR(__xludf.DUMMYFUNCTION("""COMPUTED_VALUE"""),"")</f>
        <v/>
      </c>
      <c r="AQ769" s="1" t="str">
        <f>IFERROR(__xludf.DUMMYFUNCTION("""COMPUTED_VALUE"""),"08/11/2025")</f>
        <v>08/11/2025</v>
      </c>
      <c r="AR769" s="1" t="str">
        <f>IFERROR(__xludf.DUMMYFUNCTION("""COMPUTED_VALUE"""),"03/23/2026")</f>
        <v>03/23/2026</v>
      </c>
    </row>
    <row r="770">
      <c r="A770" s="1" t="str">
        <f>IFERROR(__xludf.DUMMYFUNCTION("""COMPUTED_VALUE"""),"Iron Mountain Data Center")</f>
        <v>Iron Mountain Data Center</v>
      </c>
      <c r="B770" s="1" t="str">
        <f>IFERROR(__xludf.DUMMYFUNCTION("""COMPUTED_VALUE"""),"1137 Branchton Rd")</f>
        <v>1137 Branchton Rd</v>
      </c>
      <c r="C770" s="1" t="str">
        <f>IFERROR(__xludf.DUMMYFUNCTION("""COMPUTED_VALUE"""),"Boyers")</f>
        <v>Boyers</v>
      </c>
      <c r="D770" s="1" t="str">
        <f>IFERROR(__xludf.DUMMYFUNCTION("""COMPUTED_VALUE"""),"PA")</f>
        <v>PA</v>
      </c>
      <c r="E770" s="1" t="str">
        <f>IFERROR(__xludf.DUMMYFUNCTION("""COMPUTED_VALUE"""),"16020")</f>
        <v>16020</v>
      </c>
      <c r="F770" s="1" t="str">
        <f>IFERROR(__xludf.DUMMYFUNCTION("""COMPUTED_VALUE"""),"Beaver")</f>
        <v>Beaver</v>
      </c>
      <c r="G770" s="1" t="str">
        <f>IFERROR(__xludf.DUMMYFUNCTION("""COMPUTED_VALUE"""),"41.09156")</f>
        <v>41.09156</v>
      </c>
      <c r="H770" s="1" t="str">
        <f>IFERROR(__xludf.DUMMYFUNCTION("""COMPUTED_VALUE"""),"-79.913376")</f>
        <v>-79.913376</v>
      </c>
      <c r="I770" s="1" t="str">
        <f>IFERROR(__xludf.DUMMYFUNCTION("""COMPUTED_VALUE"""),"Operating")</f>
        <v>Operating</v>
      </c>
      <c r="J770" s="1" t="str">
        <f>IFERROR(__xludf.DUMMYFUNCTION("""COMPUTED_VALUE"""),"High")</f>
        <v>High</v>
      </c>
      <c r="K770" s="1" t="str">
        <f>IFERROR(__xludf.DUMMYFUNCTION("""COMPUTED_VALUE"""),"")</f>
        <v/>
      </c>
      <c r="L770" s="1" t="str">
        <f>IFERROR(__xludf.DUMMYFUNCTION("""COMPUTED_VALUE"""),"")</f>
        <v/>
      </c>
      <c r="M770" s="1" t="str">
        <f>IFERROR(__xludf.DUMMYFUNCTION("""COMPUTED_VALUE"""),"")</f>
        <v/>
      </c>
      <c r="N770" s="1" t="str">
        <f>IFERROR(__xludf.DUMMYFUNCTION("""COMPUTED_VALUE"""),"15.5")</f>
        <v>15.5</v>
      </c>
      <c r="O770" s="1" t="str">
        <f>IFERROR(__xludf.DUMMYFUNCTION("""COMPUTED_VALUE"""),"Medium (11-50 MW)")</f>
        <v>Medium (11-50 MW)</v>
      </c>
      <c r="P770" s="1" t="str">
        <f>IFERROR(__xludf.DUMMYFUNCTION("""COMPUTED_VALUE"""),"")</f>
        <v/>
      </c>
      <c r="Q770" s="1" t="str">
        <f>IFERROR(__xludf.DUMMYFUNCTION("""COMPUTED_VALUE"""),"")</f>
        <v/>
      </c>
      <c r="R770" s="1" t="str">
        <f>IFERROR(__xludf.DUMMYFUNCTION("""COMPUTED_VALUE"""),"")</f>
        <v/>
      </c>
      <c r="S770" s="1" t="str">
        <f>IFERROR(__xludf.DUMMYFUNCTION("""COMPUTED_VALUE"""),"")</f>
        <v/>
      </c>
      <c r="T770" s="1" t="str">
        <f>IFERROR(__xludf.DUMMYFUNCTION("""COMPUTED_VALUE"""),"")</f>
        <v/>
      </c>
      <c r="U770" s="1" t="str">
        <f>IFERROR(__xludf.DUMMYFUNCTION("""COMPUTED_VALUE"""),"")</f>
        <v/>
      </c>
      <c r="V770" s="1" t="str">
        <f>IFERROR(__xludf.DUMMYFUNCTION("""COMPUTED_VALUE"""),"330,000")</f>
        <v>330,000</v>
      </c>
      <c r="W770" s="1" t="str">
        <f>IFERROR(__xludf.DUMMYFUNCTION("""COMPUTED_VALUE"""),"315")</f>
        <v>315</v>
      </c>
      <c r="X770" s="1" t="str">
        <f>IFERROR(__xludf.DUMMYFUNCTION("""COMPUTED_VALUE"""),"")</f>
        <v/>
      </c>
      <c r="Y770" s="1" t="str">
        <f>IFERROR(__xludf.DUMMYFUNCTION("""COMPUTED_VALUE"""),"")</f>
        <v/>
      </c>
      <c r="Z770" s="1" t="str">
        <f>IFERROR(__xludf.DUMMYFUNCTION("""COMPUTED_VALUE"""),"Unknown")</f>
        <v>Unknown</v>
      </c>
      <c r="AA770" s="1" t="str">
        <f>IFERROR(__xludf.DUMMYFUNCTION("""COMPUTED_VALUE"""),"")</f>
        <v/>
      </c>
      <c r="AB770" s="1" t="str">
        <f>IFERROR(__xludf.DUMMYFUNCTION("""COMPUTED_VALUE"""),"")</f>
        <v/>
      </c>
      <c r="AC770" s="1" t="str">
        <f>IFERROR(__xludf.DUMMYFUNCTION("""COMPUTED_VALUE"""),"")</f>
        <v/>
      </c>
      <c r="AD770" s="1" t="str">
        <f>IFERROR(__xludf.DUMMYFUNCTION("""COMPUTED_VALUE"""),"")</f>
        <v/>
      </c>
      <c r="AE770" s="1" t="str">
        <f>IFERROR(__xludf.DUMMYFUNCTION("""COMPUTED_VALUE"""),"")</f>
        <v/>
      </c>
      <c r="AF770" s="1" t="str">
        <f>IFERROR(__xludf.DUMMYFUNCTION("""COMPUTED_VALUE"""),"")</f>
        <v/>
      </c>
      <c r="AG770" s="1" t="str">
        <f>IFERROR(__xludf.DUMMYFUNCTION("""COMPUTED_VALUE"""),"Iron Mountain’s WPA-1 data center is located 220 feet underground, using a natural cooling lake to optimize energy efficiency and offer security and protection")</f>
        <v>Iron Mountain’s WPA-1 data center is located 220 feet underground, using a natural cooling lake to optimize energy efficiency and offer security and protection</v>
      </c>
      <c r="AH770" s="1" t="str">
        <f>IFERROR(__xludf.DUMMYFUNCTION("""COMPUTED_VALUE"""),"Other")</f>
        <v>Other</v>
      </c>
      <c r="AI770" s="2" t="str">
        <f>IFERROR(__xludf.DUMMYFUNCTION("""COMPUTED_VALUE"""),"https://www.ironmountain.com/data-centers/locations/pennsylvania-data-center")</f>
        <v>https://www.ironmountain.com/data-centers/locations/pennsylvania-data-center</v>
      </c>
      <c r="AJ770" s="2" t="str">
        <f>IFERROR(__xludf.DUMMYFUNCTION("""COMPUTED_VALUE"""),"https://www.ironmountain.com/data-centers/about/news-and-events/news/2024/december/data-centers-inside-the-underground-iron-mountain-in-butler-county")</f>
        <v>https://www.ironmountain.com/data-centers/about/news-and-events/news/2024/december/data-centers-inside-the-underground-iron-mountain-in-butler-county</v>
      </c>
      <c r="AK770" s="1" t="str">
        <f>IFERROR(__xludf.DUMMYFUNCTION("""COMPUTED_VALUE"""),"")</f>
        <v/>
      </c>
      <c r="AL770" s="1" t="str">
        <f>IFERROR(__xludf.DUMMYFUNCTION("""COMPUTED_VALUE"""),"")</f>
        <v/>
      </c>
      <c r="AM770" s="1" t="str">
        <f>IFERROR(__xludf.DUMMYFUNCTION("""COMPUTED_VALUE"""),"")</f>
        <v/>
      </c>
      <c r="AN770" s="1" t="str">
        <f>IFERROR(__xludf.DUMMYFUNCTION("""COMPUTED_VALUE"""),"")</f>
        <v/>
      </c>
      <c r="AO770" s="1" t="str">
        <f>IFERROR(__xludf.DUMMYFUNCTION("""COMPUTED_VALUE"""),"")</f>
        <v/>
      </c>
      <c r="AP770" s="1" t="str">
        <f>IFERROR(__xludf.DUMMYFUNCTION("""COMPUTED_VALUE"""),"")</f>
        <v/>
      </c>
      <c r="AQ770" s="1" t="str">
        <f>IFERROR(__xludf.DUMMYFUNCTION("""COMPUTED_VALUE"""),"11/21/2025")</f>
        <v>11/21/2025</v>
      </c>
      <c r="AR770" s="1" t="str">
        <f>IFERROR(__xludf.DUMMYFUNCTION("""COMPUTED_VALUE"""),"11/21/2025")</f>
        <v>11/21/2025</v>
      </c>
    </row>
    <row r="771">
      <c r="A771" s="1" t="str">
        <f>IFERROR(__xludf.DUMMYFUNCTION("""COMPUTED_VALUE"""),"Tierpoint Allentown TekPark Data Center")</f>
        <v>Tierpoint Allentown TekPark Data Center</v>
      </c>
      <c r="B771" s="1" t="str">
        <f>IFERROR(__xludf.DUMMYFUNCTION("""COMPUTED_VALUE"""),"9999 Hamilton Blvd")</f>
        <v>9999 Hamilton Blvd</v>
      </c>
      <c r="C771" s="1" t="str">
        <f>IFERROR(__xludf.DUMMYFUNCTION("""COMPUTED_VALUE"""),"Breinigsville")</f>
        <v>Breinigsville</v>
      </c>
      <c r="D771" s="1" t="str">
        <f>IFERROR(__xludf.DUMMYFUNCTION("""COMPUTED_VALUE"""),"PA")</f>
        <v>PA</v>
      </c>
      <c r="E771" s="1" t="str">
        <f>IFERROR(__xludf.DUMMYFUNCTION("""COMPUTED_VALUE"""),"18031")</f>
        <v>18031</v>
      </c>
      <c r="F771" s="1" t="str">
        <f>IFERROR(__xludf.DUMMYFUNCTION("""COMPUTED_VALUE"""),"Lehigh")</f>
        <v>Lehigh</v>
      </c>
      <c r="G771" s="1" t="str">
        <f>IFERROR(__xludf.DUMMYFUNCTION("""COMPUTED_VALUE"""),"40.543934")</f>
        <v>40.543934</v>
      </c>
      <c r="H771" s="1" t="str">
        <f>IFERROR(__xludf.DUMMYFUNCTION("""COMPUTED_VALUE"""),"-75.649666")</f>
        <v>-75.649666</v>
      </c>
      <c r="I771" s="1" t="str">
        <f>IFERROR(__xludf.DUMMYFUNCTION("""COMPUTED_VALUE"""),"Operating")</f>
        <v>Operating</v>
      </c>
      <c r="J771" s="1" t="str">
        <f>IFERROR(__xludf.DUMMYFUNCTION("""COMPUTED_VALUE"""),"High")</f>
        <v>High</v>
      </c>
      <c r="K771" s="1" t="str">
        <f>IFERROR(__xludf.DUMMYFUNCTION("""COMPUTED_VALUE"""),"")</f>
        <v/>
      </c>
      <c r="L771" s="1" t="str">
        <f>IFERROR(__xludf.DUMMYFUNCTION("""COMPUTED_VALUE"""),"Tierpoint")</f>
        <v>Tierpoint</v>
      </c>
      <c r="M771" s="1" t="str">
        <f>IFERROR(__xludf.DUMMYFUNCTION("""COMPUTED_VALUE"""),"")</f>
        <v/>
      </c>
      <c r="N771" s="1" t="str">
        <f>IFERROR(__xludf.DUMMYFUNCTION("""COMPUTED_VALUE"""),"")</f>
        <v/>
      </c>
      <c r="O771" s="1" t="str">
        <f>IFERROR(__xludf.DUMMYFUNCTION("""COMPUTED_VALUE"""),"Unknown")</f>
        <v>Unknown</v>
      </c>
      <c r="P771" s="1" t="str">
        <f>IFERROR(__xludf.DUMMYFUNCTION("""COMPUTED_VALUE"""),"")</f>
        <v/>
      </c>
      <c r="Q771" s="1" t="str">
        <f>IFERROR(__xludf.DUMMYFUNCTION("""COMPUTED_VALUE"""),"")</f>
        <v/>
      </c>
      <c r="R771" s="1" t="str">
        <f>IFERROR(__xludf.DUMMYFUNCTION("""COMPUTED_VALUE"""),"")</f>
        <v/>
      </c>
      <c r="S771" s="1" t="str">
        <f>IFERROR(__xludf.DUMMYFUNCTION("""COMPUTED_VALUE"""),"")</f>
        <v/>
      </c>
      <c r="T771" s="1" t="str">
        <f>IFERROR(__xludf.DUMMYFUNCTION("""COMPUTED_VALUE"""),"")</f>
        <v/>
      </c>
      <c r="U771" s="1" t="str">
        <f>IFERROR(__xludf.DUMMYFUNCTION("""COMPUTED_VALUE"""),"")</f>
        <v/>
      </c>
      <c r="V771" s="1" t="str">
        <f>IFERROR(__xludf.DUMMYFUNCTION("""COMPUTED_VALUE"""),"122,000")</f>
        <v>122,000</v>
      </c>
      <c r="W771" s="1" t="str">
        <f>IFERROR(__xludf.DUMMYFUNCTION("""COMPUTED_VALUE"""),"")</f>
        <v/>
      </c>
      <c r="X771" s="1" t="str">
        <f>IFERROR(__xludf.DUMMYFUNCTION("""COMPUTED_VALUE"""),"")</f>
        <v/>
      </c>
      <c r="Y771" s="1" t="str">
        <f>IFERROR(__xludf.DUMMYFUNCTION("""COMPUTED_VALUE"""),"")</f>
        <v/>
      </c>
      <c r="Z771" s="1" t="str">
        <f>IFERROR(__xludf.DUMMYFUNCTION("""COMPUTED_VALUE"""),"Unknown")</f>
        <v>Unknown</v>
      </c>
      <c r="AA771" s="1" t="str">
        <f>IFERROR(__xludf.DUMMYFUNCTION("""COMPUTED_VALUE"""),"")</f>
        <v/>
      </c>
      <c r="AB771" s="1" t="str">
        <f>IFERROR(__xludf.DUMMYFUNCTION("""COMPUTED_VALUE"""),"")</f>
        <v/>
      </c>
      <c r="AC771" s="1" t="str">
        <f>IFERROR(__xludf.DUMMYFUNCTION("""COMPUTED_VALUE"""),"")</f>
        <v/>
      </c>
      <c r="AD771" s="1" t="str">
        <f>IFERROR(__xludf.DUMMYFUNCTION("""COMPUTED_VALUE"""),"")</f>
        <v/>
      </c>
      <c r="AE771" s="1" t="str">
        <f>IFERROR(__xludf.DUMMYFUNCTION("""COMPUTED_VALUE"""),"")</f>
        <v/>
      </c>
      <c r="AF771" s="1" t="str">
        <f>IFERROR(__xludf.DUMMYFUNCTION("""COMPUTED_VALUE"""),"")</f>
        <v/>
      </c>
      <c r="AG771" s="1" t="str">
        <f>IFERROR(__xludf.DUMMYFUNCTION("""COMPUTED_VALUE"""),"")</f>
        <v/>
      </c>
      <c r="AH771" s="1" t="str">
        <f>IFERROR(__xludf.DUMMYFUNCTION("""COMPUTED_VALUE"""),"Other")</f>
        <v>Other</v>
      </c>
      <c r="AI771" s="2" t="str">
        <f>IFERROR(__xludf.DUMMYFUNCTION("""COMPUTED_VALUE"""),"https://www.tierpoint.com/data-centers/pennsylvania/allentown-tekpark/")</f>
        <v>https://www.tierpoint.com/data-centers/pennsylvania/allentown-tekpark/</v>
      </c>
      <c r="AJ771" s="1" t="str">
        <f>IFERROR(__xludf.DUMMYFUNCTION("""COMPUTED_VALUE"""),"")</f>
        <v/>
      </c>
      <c r="AK771" s="1" t="str">
        <f>IFERROR(__xludf.DUMMYFUNCTION("""COMPUTED_VALUE"""),"")</f>
        <v/>
      </c>
      <c r="AL771" s="1" t="str">
        <f>IFERROR(__xludf.DUMMYFUNCTION("""COMPUTED_VALUE"""),"")</f>
        <v/>
      </c>
      <c r="AM771" s="1" t="str">
        <f>IFERROR(__xludf.DUMMYFUNCTION("""COMPUTED_VALUE"""),"")</f>
        <v/>
      </c>
      <c r="AN771" s="1" t="str">
        <f>IFERROR(__xludf.DUMMYFUNCTION("""COMPUTED_VALUE"""),"")</f>
        <v/>
      </c>
      <c r="AO771" s="1" t="str">
        <f>IFERROR(__xludf.DUMMYFUNCTION("""COMPUTED_VALUE"""),"")</f>
        <v/>
      </c>
      <c r="AP771" s="1" t="str">
        <f>IFERROR(__xludf.DUMMYFUNCTION("""COMPUTED_VALUE"""),"")</f>
        <v/>
      </c>
      <c r="AQ771" s="1" t="str">
        <f>IFERROR(__xludf.DUMMYFUNCTION("""COMPUTED_VALUE"""),"11/24/2025")</f>
        <v>11/24/2025</v>
      </c>
      <c r="AR771" s="1" t="str">
        <f>IFERROR(__xludf.DUMMYFUNCTION("""COMPUTED_VALUE"""),"11/24/2025")</f>
        <v>11/24/2025</v>
      </c>
    </row>
    <row r="772">
      <c r="A772" s="1" t="str">
        <f>IFERROR(__xludf.DUMMYFUNCTION("""COMPUTED_VALUE"""),"Starpointe Industrial Park Data Center")</f>
        <v>Starpointe Industrial Park Data Center</v>
      </c>
      <c r="B772" s="1" t="str">
        <f>IFERROR(__xludf.DUMMYFUNCTION("""COMPUTED_VALUE"""),"Starpointe Blvd")</f>
        <v>Starpointe Blvd</v>
      </c>
      <c r="C772" s="1" t="str">
        <f>IFERROR(__xludf.DUMMYFUNCTION("""COMPUTED_VALUE"""),"Burgettstown")</f>
        <v>Burgettstown</v>
      </c>
      <c r="D772" s="1" t="str">
        <f>IFERROR(__xludf.DUMMYFUNCTION("""COMPUTED_VALUE"""),"PA")</f>
        <v>PA</v>
      </c>
      <c r="E772" s="1" t="str">
        <f>IFERROR(__xludf.DUMMYFUNCTION("""COMPUTED_VALUE"""),"15021")</f>
        <v>15021</v>
      </c>
      <c r="F772" s="1" t="str">
        <f>IFERROR(__xludf.DUMMYFUNCTION("""COMPUTED_VALUE"""),"Washington")</f>
        <v>Washington</v>
      </c>
      <c r="G772" s="1" t="str">
        <f>IFERROR(__xludf.DUMMYFUNCTION("""COMPUTED_VALUE"""),"40.431973")</f>
        <v>40.431973</v>
      </c>
      <c r="H772" s="1" t="str">
        <f>IFERROR(__xludf.DUMMYFUNCTION("""COMPUTED_VALUE"""),"-80.42476")</f>
        <v>-80.42476</v>
      </c>
      <c r="I772" s="1" t="str">
        <f>IFERROR(__xludf.DUMMYFUNCTION("""COMPUTED_VALUE"""),"Proposed")</f>
        <v>Proposed</v>
      </c>
      <c r="J772" s="1" t="str">
        <f>IFERROR(__xludf.DUMMYFUNCTION("""COMPUTED_VALUE"""),"Medium")</f>
        <v>Medium</v>
      </c>
      <c r="K772" s="1" t="str">
        <f>IFERROR(__xludf.DUMMYFUNCTION("""COMPUTED_VALUE"""),"")</f>
        <v/>
      </c>
      <c r="L772" s="1" t="str">
        <f>IFERROR(__xludf.DUMMYFUNCTION("""COMPUTED_VALUE"""),"")</f>
        <v/>
      </c>
      <c r="M772" s="1" t="str">
        <f>IFERROR(__xludf.DUMMYFUNCTION("""COMPUTED_VALUE"""),"")</f>
        <v/>
      </c>
      <c r="N772" s="1" t="str">
        <f>IFERROR(__xludf.DUMMYFUNCTION("""COMPUTED_VALUE"""),"")</f>
        <v/>
      </c>
      <c r="O772" s="1" t="str">
        <f>IFERROR(__xludf.DUMMYFUNCTION("""COMPUTED_VALUE"""),"Hyperscale (100-999 MW)")</f>
        <v>Hyperscale (100-999 MW)</v>
      </c>
      <c r="P772" s="1" t="str">
        <f>IFERROR(__xludf.DUMMYFUNCTION("""COMPUTED_VALUE"""),"")</f>
        <v/>
      </c>
      <c r="Q772" s="1" t="str">
        <f>IFERROR(__xludf.DUMMYFUNCTION("""COMPUTED_VALUE"""),"")</f>
        <v/>
      </c>
      <c r="R772" s="1" t="str">
        <f>IFERROR(__xludf.DUMMYFUNCTION("""COMPUTED_VALUE"""),"")</f>
        <v/>
      </c>
      <c r="S772" s="1" t="str">
        <f>IFERROR(__xludf.DUMMYFUNCTION("""COMPUTED_VALUE"""),"")</f>
        <v/>
      </c>
      <c r="T772" s="1" t="str">
        <f>IFERROR(__xludf.DUMMYFUNCTION("""COMPUTED_VALUE"""),"")</f>
        <v/>
      </c>
      <c r="U772" s="1" t="str">
        <f>IFERROR(__xludf.DUMMYFUNCTION("""COMPUTED_VALUE"""),"")</f>
        <v/>
      </c>
      <c r="V772" s="1" t="str">
        <f>IFERROR(__xludf.DUMMYFUNCTION("""COMPUTED_VALUE"""),"")</f>
        <v/>
      </c>
      <c r="W772" s="1" t="str">
        <f>IFERROR(__xludf.DUMMYFUNCTION("""COMPUTED_VALUE"""),"")</f>
        <v/>
      </c>
      <c r="X772" s="1" t="str">
        <f>IFERROR(__xludf.DUMMYFUNCTION("""COMPUTED_VALUE"""),"")</f>
        <v/>
      </c>
      <c r="Y772" s="1" t="str">
        <f>IFERROR(__xludf.DUMMYFUNCTION("""COMPUTED_VALUE"""),"")</f>
        <v/>
      </c>
      <c r="Z772" s="1" t="str">
        <f>IFERROR(__xludf.DUMMYFUNCTION("""COMPUTED_VALUE"""),"Unknown")</f>
        <v>Unknown</v>
      </c>
      <c r="AA772" s="1" t="str">
        <f>IFERROR(__xludf.DUMMYFUNCTION("""COMPUTED_VALUE"""),"")</f>
        <v/>
      </c>
      <c r="AB772" s="1" t="str">
        <f>IFERROR(__xludf.DUMMYFUNCTION("""COMPUTED_VALUE"""),"")</f>
        <v/>
      </c>
      <c r="AC772" s="1" t="str">
        <f>IFERROR(__xludf.DUMMYFUNCTION("""COMPUTED_VALUE"""),"")</f>
        <v/>
      </c>
      <c r="AD772" s="1" t="str">
        <f>IFERROR(__xludf.DUMMYFUNCTION("""COMPUTED_VALUE"""),"")</f>
        <v/>
      </c>
      <c r="AE772" s="1" t="str">
        <f>IFERROR(__xludf.DUMMYFUNCTION("""COMPUTED_VALUE"""),"")</f>
        <v/>
      </c>
      <c r="AF772" s="1" t="str">
        <f>IFERROR(__xludf.DUMMYFUNCTION("""COMPUTED_VALUE"""),"")</f>
        <v/>
      </c>
      <c r="AG772" s="1" t="str">
        <f>IFERROR(__xludf.DUMMYFUNCTION("""COMPUTED_VALUE"""),"Hypothetical site for data center")</f>
        <v>Hypothetical site for data center</v>
      </c>
      <c r="AH772" s="1" t="str">
        <f>IFERROR(__xludf.DUMMYFUNCTION("""COMPUTED_VALUE"""),"Media Monitoring")</f>
        <v>Media Monitoring</v>
      </c>
      <c r="AI772" s="2" t="str">
        <f>IFERROR(__xludf.DUMMYFUNCTION("""COMPUTED_VALUE"""),"https://www.weirtondailytimes.com/news/business/2024/12/starpointe-industrial-park-sale-is-finalized/")</f>
        <v>https://www.weirtondailytimes.com/news/business/2024/12/starpointe-industrial-park-sale-is-finalized/</v>
      </c>
      <c r="AJ772" s="2" t="str">
        <f>IFERROR(__xludf.DUMMYFUNCTION("""COMPUTED_VALUE"""),"https://www.msn.com/en-us/news/us/hanover-township-passes-ordinance-to-regulate-potential-data-centers/ar-AA1ZM2Fc")</f>
        <v>https://www.msn.com/en-us/news/us/hanover-township-passes-ordinance-to-regulate-potential-data-centers/ar-AA1ZM2Fc</v>
      </c>
      <c r="AK772" s="2" t="str">
        <f>IFERROR(__xludf.DUMMYFUNCTION("""COMPUTED_VALUE"""),"https://www.bizjournals.com/pittsburgh/news/2026/03/27/heres-where-the-big-data-project-centers-are.html")</f>
        <v>https://www.bizjournals.com/pittsburgh/news/2026/03/27/heres-where-the-big-data-project-centers-are.html</v>
      </c>
      <c r="AL772" s="1" t="str">
        <f>IFERROR(__xludf.DUMMYFUNCTION("""COMPUTED_VALUE"""),"")</f>
        <v/>
      </c>
      <c r="AM772" s="1" t="str">
        <f>IFERROR(__xludf.DUMMYFUNCTION("""COMPUTED_VALUE"""),"")</f>
        <v/>
      </c>
      <c r="AN772" s="1" t="str">
        <f>IFERROR(__xludf.DUMMYFUNCTION("""COMPUTED_VALUE"""),"")</f>
        <v/>
      </c>
      <c r="AO772" s="1" t="str">
        <f>IFERROR(__xludf.DUMMYFUNCTION("""COMPUTED_VALUE"""),"")</f>
        <v/>
      </c>
      <c r="AP772" s="1" t="str">
        <f>IFERROR(__xludf.DUMMYFUNCTION("""COMPUTED_VALUE"""),"")</f>
        <v/>
      </c>
      <c r="AQ772" s="1" t="str">
        <f>IFERROR(__xludf.DUMMYFUNCTION("""COMPUTED_VALUE"""),"04/07/2026")</f>
        <v>04/07/2026</v>
      </c>
      <c r="AR772" s="1" t="str">
        <f>IFERROR(__xludf.DUMMYFUNCTION("""COMPUTED_VALUE"""),"04/07/2026")</f>
        <v>04/07/2026</v>
      </c>
    </row>
    <row r="773">
      <c r="A773" s="1" t="str">
        <f>IFERROR(__xludf.DUMMYFUNCTION("""COMPUTED_VALUE"""),"PAX-1 Data Center")</f>
        <v>PAX-1 Data Center</v>
      </c>
      <c r="B773" s="1" t="str">
        <f>IFERROR(__xludf.DUMMYFUNCTION("""COMPUTED_VALUE"""),"Country Club Rd corridor")</f>
        <v>Country Club Rd corridor</v>
      </c>
      <c r="C773" s="1" t="str">
        <f>IFERROR(__xludf.DUMMYFUNCTION("""COMPUTED_VALUE"""),"Carlisle")</f>
        <v>Carlisle</v>
      </c>
      <c r="D773" s="1" t="str">
        <f>IFERROR(__xludf.DUMMYFUNCTION("""COMPUTED_VALUE"""),"PA")</f>
        <v>PA</v>
      </c>
      <c r="E773" s="1" t="str">
        <f>IFERROR(__xludf.DUMMYFUNCTION("""COMPUTED_VALUE"""),"17015")</f>
        <v>17015</v>
      </c>
      <c r="F773" s="1" t="str">
        <f>IFERROR(__xludf.DUMMYFUNCTION("""COMPUTED_VALUE"""),"Cumberland")</f>
        <v>Cumberland</v>
      </c>
      <c r="G773" s="1" t="str">
        <f>IFERROR(__xludf.DUMMYFUNCTION("""COMPUTED_VALUE"""),"40.2481")</f>
        <v>40.2481</v>
      </c>
      <c r="H773" s="1" t="str">
        <f>IFERROR(__xludf.DUMMYFUNCTION("""COMPUTED_VALUE"""),"-77.1092")</f>
        <v>-77.1092</v>
      </c>
      <c r="I773" s="1" t="str">
        <f>IFERROR(__xludf.DUMMYFUNCTION("""COMPUTED_VALUE"""),"Approved/Permitted/Under construction")</f>
        <v>Approved/Permitted/Under construction</v>
      </c>
      <c r="J773" s="1" t="str">
        <f>IFERROR(__xludf.DUMMYFUNCTION("""COMPUTED_VALUE"""),"Medium")</f>
        <v>Medium</v>
      </c>
      <c r="K773" s="1" t="str">
        <f>IFERROR(__xludf.DUMMYFUNCTION("""COMPUTED_VALUE"""),"")</f>
        <v/>
      </c>
      <c r="L773" s="1" t="str">
        <f>IFERROR(__xludf.DUMMYFUNCTION("""COMPUTED_VALUE"""),"PowerHouse Data Centers / Pennsylvania Data Center Partners")</f>
        <v>PowerHouse Data Centers / Pennsylvania Data Center Partners</v>
      </c>
      <c r="M773" s="1" t="str">
        <f>IFERROR(__xludf.DUMMYFUNCTION("""COMPUTED_VALUE"""),"")</f>
        <v/>
      </c>
      <c r="N773" s="1" t="str">
        <f>IFERROR(__xludf.DUMMYFUNCTION("""COMPUTED_VALUE"""),"1350-1800")</f>
        <v>1350-1800</v>
      </c>
      <c r="O773" s="1" t="str">
        <f>IFERROR(__xludf.DUMMYFUNCTION("""COMPUTED_VALUE"""),"Mega campus (&gt;1,000 MW)")</f>
        <v>Mega campus (&gt;1,000 MW)</v>
      </c>
      <c r="P773" s="1" t="str">
        <f>IFERROR(__xludf.DUMMYFUNCTION("""COMPUTED_VALUE"""),"Grid (unspecified mix)")</f>
        <v>Grid (unspecified mix)</v>
      </c>
      <c r="Q773" s="1" t="str">
        <f>IFERROR(__xludf.DUMMYFUNCTION("""COMPUTED_VALUE"""),"")</f>
        <v/>
      </c>
      <c r="R773" s="1" t="str">
        <f>IFERROR(__xludf.DUMMYFUNCTION("""COMPUTED_VALUE"""),"")</f>
        <v/>
      </c>
      <c r="S773" s="1" t="str">
        <f>IFERROR(__xludf.DUMMYFUNCTION("""COMPUTED_VALUE"""),"3-18")</f>
        <v>3-18</v>
      </c>
      <c r="T773" s="1" t="str">
        <f>IFERROR(__xludf.DUMMYFUNCTION("""COMPUTED_VALUE"""),"")</f>
        <v/>
      </c>
      <c r="U773" s="1" t="str">
        <f>IFERROR(__xludf.DUMMYFUNCTION("""COMPUTED_VALUE"""),"")</f>
        <v/>
      </c>
      <c r="V773" s="1" t="str">
        <f>IFERROR(__xludf.DUMMYFUNCTION("""COMPUTED_VALUE"""),"5,000,000")</f>
        <v>5,000,000</v>
      </c>
      <c r="W773" s="1" t="str">
        <f>IFERROR(__xludf.DUMMYFUNCTION("""COMPUTED_VALUE"""),"700")</f>
        <v>700</v>
      </c>
      <c r="X773" s="1" t="str">
        <f>IFERROR(__xludf.DUMMYFUNCTION("""COMPUTED_VALUE"""),"$26-$44 billion")</f>
        <v>$26-$44 billion</v>
      </c>
      <c r="Y773" s="1" t="str">
        <f>IFERROR(__xludf.DUMMYFUNCTION("""COMPUTED_VALUE"""),"")</f>
        <v/>
      </c>
      <c r="Z773" s="1" t="str">
        <f>IFERROR(__xludf.DUMMYFUNCTION("""COMPUTED_VALUE"""),"Unknown")</f>
        <v>Unknown</v>
      </c>
      <c r="AA773" s="1" t="str">
        <f>IFERROR(__xludf.DUMMYFUNCTION("""COMPUTED_VALUE"""),"")</f>
        <v/>
      </c>
      <c r="AB773" s="1" t="str">
        <f>IFERROR(__xludf.DUMMYFUNCTION("""COMPUTED_VALUE"""),"")</f>
        <v/>
      </c>
      <c r="AC773" s="1" t="str">
        <f>IFERROR(__xludf.DUMMYFUNCTION("""COMPUTED_VALUE"""),"")</f>
        <v/>
      </c>
      <c r="AD773" s="1" t="str">
        <f>IFERROR(__xludf.DUMMYFUNCTION("""COMPUTED_VALUE"""),"")</f>
        <v/>
      </c>
      <c r="AE773" s="1" t="str">
        <f>IFERROR(__xludf.DUMMYFUNCTION("""COMPUTED_VALUE"""),"")</f>
        <v/>
      </c>
      <c r="AF773" s="1" t="str">
        <f>IFERROR(__xludf.DUMMYFUNCTION("""COMPUTED_VALUE"""),"")</f>
        <v/>
      </c>
      <c r="AG773" s="1" t="str">
        <f>IFERROR(__xludf.DUMMYFUNCTION("""COMPUTED_VALUE"""),"Plans for 3 hyperscale data centers. Includes construction of 450 MW substation")</f>
        <v>Plans for 3 hyperscale data centers. Includes construction of 450 MW substation</v>
      </c>
      <c r="AH773" s="1" t="str">
        <f>IFERROR(__xludf.DUMMYFUNCTION("""COMPUTED_VALUE"""),"Media Monitoring")</f>
        <v>Media Monitoring</v>
      </c>
      <c r="AI773" s="2" t="str">
        <f>IFERROR(__xludf.DUMMYFUNCTION("""COMPUTED_VALUE"""),"https://www.pennlive.com/news/2025/06/another-central-pa-community-creates-space-for-a-data-center.html")</f>
        <v>https://www.pennlive.com/news/2025/06/another-central-pa-community-creates-space-for-a-data-center.html</v>
      </c>
      <c r="AJ773" s="2" t="str">
        <f>IFERROR(__xludf.DUMMYFUNCTION("""COMPUTED_VALUE"""),"https://www.pennlive.com/business/2025/07/26-billion-in-data-center-projects-coming-to-central-pa.html")</f>
        <v>https://www.pennlive.com/business/2025/07/26-billion-in-data-center-projects-coming-to-central-pa.html</v>
      </c>
      <c r="AK773" s="2" t="str">
        <f>IFERROR(__xludf.DUMMYFUNCTION("""COMPUTED_VALUE"""),"https://www.datacenterdynamics.com/en/news/powerhouse-eyes-700-acre-data-center-campus-in-south-central-pennsylvania-report/")</f>
        <v>https://www.datacenterdynamics.com/en/news/powerhouse-eyes-700-acre-data-center-campus-in-south-central-pennsylvania-report/</v>
      </c>
      <c r="AL773" s="2" t="str">
        <f>IFERROR(__xludf.DUMMYFUNCTION("""COMPUTED_VALUE"""),"https://www.wgal.com/article/pennsylvania-digital-1-project-details/65629251")</f>
        <v>https://www.wgal.com/article/pennsylvania-digital-1-project-details/65629251</v>
      </c>
      <c r="AM773" s="2" t="str">
        <f>IFERROR(__xludf.DUMMYFUNCTION("""COMPUTED_VALUE"""),"https://local21news.com/news/local/a-new-data-center-might-be-build-in-cumberland-county-and-its-700-acres-ai-carlisle-artificial-intelligence-pennsylvania-data-center-partners-powerhouse-pa")</f>
        <v>https://local21news.com/news/local/a-new-data-center-might-be-build-in-cumberland-county-and-its-700-acres-ai-carlisle-artificial-intelligence-pennsylvania-data-center-partners-powerhouse-pa</v>
      </c>
      <c r="AN773" s="2" t="str">
        <f>IFERROR(__xludf.DUMMYFUNCTION("""COMPUTED_VALUE"""),"https://www.datacenterdynamics.com/en/news/data-center-and-energy-firms-plan-90bn-investment-in-pennsylvania/")</f>
        <v>https://www.datacenterdynamics.com/en/news/data-center-and-energy-firms-plan-90bn-investment-in-pennsylvania/</v>
      </c>
      <c r="AO773" s="2" t="str">
        <f>IFERROR(__xludf.DUMMYFUNCTION("""COMPUTED_VALUE"""),"https://www.fox43.com/article/news/local/cumberland-county/pennsylvania-data-centers-cumberland-county-middlesex-township/521-e1751c89-dc9c-4727-8ddd-45a27e7a0556")</f>
        <v>https://www.fox43.com/article/news/local/cumberland-county/pennsylvania-data-centers-cumberland-county-middlesex-township/521-e1751c89-dc9c-4727-8ddd-45a27e7a0556</v>
      </c>
      <c r="AP773" s="1" t="str">
        <f>IFERROR(__xludf.DUMMYFUNCTION("""COMPUTED_VALUE"""),"")</f>
        <v/>
      </c>
      <c r="AQ773" s="1" t="str">
        <f>IFERROR(__xludf.DUMMYFUNCTION("""COMPUTED_VALUE"""),"08/09/2025")</f>
        <v>08/09/2025</v>
      </c>
      <c r="AR773" s="1" t="str">
        <f>IFERROR(__xludf.DUMMYFUNCTION("""COMPUTED_VALUE"""),"04/29/2026")</f>
        <v>04/29/2026</v>
      </c>
    </row>
    <row r="774">
      <c r="A774" s="1" t="str">
        <f>IFERROR(__xludf.DUMMYFUNCTION("""COMPUTED_VALUE"""),"Clarks Summit Data Center")</f>
        <v>Clarks Summit Data Center</v>
      </c>
      <c r="B774" s="1" t="str">
        <f>IFERROR(__xludf.DUMMYFUNCTION("""COMPUTED_VALUE"""),"near 980 Newton Rd")</f>
        <v>near 980 Newton Rd</v>
      </c>
      <c r="C774" s="1" t="str">
        <f>IFERROR(__xludf.DUMMYFUNCTION("""COMPUTED_VALUE"""),"Clarks Summit")</f>
        <v>Clarks Summit</v>
      </c>
      <c r="D774" s="1" t="str">
        <f>IFERROR(__xludf.DUMMYFUNCTION("""COMPUTED_VALUE"""),"PA")</f>
        <v>PA</v>
      </c>
      <c r="E774" s="1" t="str">
        <f>IFERROR(__xludf.DUMMYFUNCTION("""COMPUTED_VALUE"""),"18411")</f>
        <v>18411</v>
      </c>
      <c r="F774" s="1" t="str">
        <f>IFERROR(__xludf.DUMMYFUNCTION("""COMPUTED_VALUE"""),"Lackawanna")</f>
        <v>Lackawanna</v>
      </c>
      <c r="G774" s="1" t="str">
        <f>IFERROR(__xludf.DUMMYFUNCTION("""COMPUTED_VALUE"""),"41.450073")</f>
        <v>41.450073</v>
      </c>
      <c r="H774" s="1" t="str">
        <f>IFERROR(__xludf.DUMMYFUNCTION("""COMPUTED_VALUE"""),"-75.7125")</f>
        <v>-75.7125</v>
      </c>
      <c r="I774" s="1" t="str">
        <f>IFERROR(__xludf.DUMMYFUNCTION("""COMPUTED_VALUE"""),"Proposed")</f>
        <v>Proposed</v>
      </c>
      <c r="J774" s="1" t="str">
        <f>IFERROR(__xludf.DUMMYFUNCTION("""COMPUTED_VALUE"""),"High")</f>
        <v>High</v>
      </c>
      <c r="K774" s="1" t="str">
        <f>IFERROR(__xludf.DUMMYFUNCTION("""COMPUTED_VALUE"""),"")</f>
        <v/>
      </c>
      <c r="L774" s="1" t="str">
        <f>IFERROR(__xludf.DUMMYFUNCTION("""COMPUTED_VALUE"""),"")</f>
        <v/>
      </c>
      <c r="M774" s="1" t="str">
        <f>IFERROR(__xludf.DUMMYFUNCTION("""COMPUTED_VALUE"""),"")</f>
        <v/>
      </c>
      <c r="N774" s="1" t="str">
        <f>IFERROR(__xludf.DUMMYFUNCTION("""COMPUTED_VALUE"""),"")</f>
        <v/>
      </c>
      <c r="O774" s="1" t="str">
        <f>IFERROR(__xludf.DUMMYFUNCTION("""COMPUTED_VALUE"""),"Unknown")</f>
        <v>Unknown</v>
      </c>
      <c r="P774" s="1" t="str">
        <f>IFERROR(__xludf.DUMMYFUNCTION("""COMPUTED_VALUE"""),"")</f>
        <v/>
      </c>
      <c r="Q774" s="1" t="str">
        <f>IFERROR(__xludf.DUMMYFUNCTION("""COMPUTED_VALUE"""),"")</f>
        <v/>
      </c>
      <c r="R774" s="1" t="str">
        <f>IFERROR(__xludf.DUMMYFUNCTION("""COMPUTED_VALUE"""),"")</f>
        <v/>
      </c>
      <c r="S774" s="1" t="str">
        <f>IFERROR(__xludf.DUMMYFUNCTION("""COMPUTED_VALUE"""),"2")</f>
        <v>2</v>
      </c>
      <c r="T774" s="1" t="str">
        <f>IFERROR(__xludf.DUMMYFUNCTION("""COMPUTED_VALUE"""),"")</f>
        <v/>
      </c>
      <c r="U774" s="1" t="str">
        <f>IFERROR(__xludf.DUMMYFUNCTION("""COMPUTED_VALUE"""),"")</f>
        <v/>
      </c>
      <c r="V774" s="1" t="str">
        <f>IFERROR(__xludf.DUMMYFUNCTION("""COMPUTED_VALUE"""),"290,400")</f>
        <v>290,400</v>
      </c>
      <c r="W774" s="1" t="str">
        <f>IFERROR(__xludf.DUMMYFUNCTION("""COMPUTED_VALUE"""),"76")</f>
        <v>76</v>
      </c>
      <c r="X774" s="1" t="str">
        <f>IFERROR(__xludf.DUMMYFUNCTION("""COMPUTED_VALUE"""),"")</f>
        <v/>
      </c>
      <c r="Y774" s="1" t="str">
        <f>IFERROR(__xludf.DUMMYFUNCTION("""COMPUTED_VALUE"""),"")</f>
        <v/>
      </c>
      <c r="Z774" s="1" t="str">
        <f>IFERROR(__xludf.DUMMYFUNCTION("""COMPUTED_VALUE"""),"Unknown")</f>
        <v>Unknown</v>
      </c>
      <c r="AA774" s="1" t="str">
        <f>IFERROR(__xludf.DUMMYFUNCTION("""COMPUTED_VALUE"""),"")</f>
        <v/>
      </c>
      <c r="AB774" s="1" t="str">
        <f>IFERROR(__xludf.DUMMYFUNCTION("""COMPUTED_VALUE"""),"Unknown")</f>
        <v>Unknown</v>
      </c>
      <c r="AC774" s="1" t="str">
        <f>IFERROR(__xludf.DUMMYFUNCTION("""COMPUTED_VALUE"""),"")</f>
        <v/>
      </c>
      <c r="AD774" s="1" t="str">
        <f>IFERROR(__xludf.DUMMYFUNCTION("""COMPUTED_VALUE"""),"")</f>
        <v/>
      </c>
      <c r="AE774" s="1" t="str">
        <f>IFERROR(__xludf.DUMMYFUNCTION("""COMPUTED_VALUE"""),"")</f>
        <v/>
      </c>
      <c r="AF774" s="1" t="str">
        <f>IFERROR(__xludf.DUMMYFUNCTION("""COMPUTED_VALUE"""),"")</f>
        <v/>
      </c>
      <c r="AG774" s="1" t="str">
        <f>IFERROR(__xludf.DUMMYFUNCTION("""COMPUTED_VALUE"""),"Includes on-site substation")</f>
        <v>Includes on-site substation</v>
      </c>
      <c r="AH774" s="1" t="str">
        <f>IFERROR(__xludf.DUMMYFUNCTION("""COMPUTED_VALUE"""),"Media Monitoring")</f>
        <v>Media Monitoring</v>
      </c>
      <c r="AI774" s="2" t="str">
        <f>IFERROR(__xludf.DUMMYFUNCTION("""COMPUTED_VALUE"""),"https://www.datacenterdynamics.com/en/news/two-building-data-center-campus-proposed-in-northeast-pennsylvania/")</f>
        <v>https://www.datacenterdynamics.com/en/news/two-building-data-center-campus-proposed-in-northeast-pennsylvania/</v>
      </c>
      <c r="AJ774" s="2" t="str">
        <f>IFERROR(__xludf.DUMMYFUNCTION("""COMPUTED_VALUE"""),"https://www.wvia.org/news/local/2026-04-10/proposed-newton-data-center-campus-is-10th-planned-for-lackawanna-county")</f>
        <v>https://www.wvia.org/news/local/2026-04-10/proposed-newton-data-center-campus-is-10th-planned-for-lackawanna-county</v>
      </c>
      <c r="AK774" s="1" t="str">
        <f>IFERROR(__xludf.DUMMYFUNCTION("""COMPUTED_VALUE"""),"")</f>
        <v/>
      </c>
      <c r="AL774" s="1" t="str">
        <f>IFERROR(__xludf.DUMMYFUNCTION("""COMPUTED_VALUE"""),"")</f>
        <v/>
      </c>
      <c r="AM774" s="1" t="str">
        <f>IFERROR(__xludf.DUMMYFUNCTION("""COMPUTED_VALUE"""),"")</f>
        <v/>
      </c>
      <c r="AN774" s="1" t="str">
        <f>IFERROR(__xludf.DUMMYFUNCTION("""COMPUTED_VALUE"""),"")</f>
        <v/>
      </c>
      <c r="AO774" s="1" t="str">
        <f>IFERROR(__xludf.DUMMYFUNCTION("""COMPUTED_VALUE"""),"")</f>
        <v/>
      </c>
      <c r="AP774" s="1" t="str">
        <f>IFERROR(__xludf.DUMMYFUNCTION("""COMPUTED_VALUE"""),"")</f>
        <v/>
      </c>
      <c r="AQ774" s="1" t="str">
        <f>IFERROR(__xludf.DUMMYFUNCTION("""COMPUTED_VALUE"""),"04/23/2026")</f>
        <v>04/23/2026</v>
      </c>
      <c r="AR774" s="1" t="str">
        <f>IFERROR(__xludf.DUMMYFUNCTION("""COMPUTED_VALUE"""),"04/23/2026")</f>
        <v>04/23/2026</v>
      </c>
    </row>
    <row r="775">
      <c r="A775" s="1" t="str">
        <f>IFERROR(__xludf.DUMMYFUNCTION("""COMPUTED_VALUE"""),"Project Gold Data Center")</f>
        <v>Project Gold Data Center</v>
      </c>
      <c r="B775" s="1" t="str">
        <f>IFERROR(__xludf.DUMMYFUNCTION("""COMPUTED_VALUE"""),"along Rt 380 between Covington and Clifton")</f>
        <v>along Rt 380 between Covington and Clifton</v>
      </c>
      <c r="C775" s="1" t="str">
        <f>IFERROR(__xludf.DUMMYFUNCTION("""COMPUTED_VALUE"""),"Clifton Twship")</f>
        <v>Clifton Twship</v>
      </c>
      <c r="D775" s="1" t="str">
        <f>IFERROR(__xludf.DUMMYFUNCTION("""COMPUTED_VALUE"""),"PA")</f>
        <v>PA</v>
      </c>
      <c r="E775" s="1" t="str">
        <f>IFERROR(__xludf.DUMMYFUNCTION("""COMPUTED_VALUE"""),"18424")</f>
        <v>18424</v>
      </c>
      <c r="F775" s="1" t="str">
        <f>IFERROR(__xludf.DUMMYFUNCTION("""COMPUTED_VALUE"""),"Lackawanna")</f>
        <v>Lackawanna</v>
      </c>
      <c r="G775" s="1" t="str">
        <f>IFERROR(__xludf.DUMMYFUNCTION("""COMPUTED_VALUE"""),"41.24829")</f>
        <v>41.24829</v>
      </c>
      <c r="H775" s="1" t="str">
        <f>IFERROR(__xludf.DUMMYFUNCTION("""COMPUTED_VALUE"""),"-75.5166")</f>
        <v>-75.5166</v>
      </c>
      <c r="I775" s="1" t="str">
        <f>IFERROR(__xludf.DUMMYFUNCTION("""COMPUTED_VALUE"""),"Proposed")</f>
        <v>Proposed</v>
      </c>
      <c r="J775" s="1" t="str">
        <f>IFERROR(__xludf.DUMMYFUNCTION("""COMPUTED_VALUE"""),"Medium")</f>
        <v>Medium</v>
      </c>
      <c r="K775" s="1" t="str">
        <f>IFERROR(__xludf.DUMMYFUNCTION("""COMPUTED_VALUE"""),"")</f>
        <v/>
      </c>
      <c r="L775" s="1" t="str">
        <f>IFERROR(__xludf.DUMMYFUNCTION("""COMPUTED_VALUE"""),"")</f>
        <v/>
      </c>
      <c r="M775" s="1" t="str">
        <f>IFERROR(__xludf.DUMMYFUNCTION("""COMPUTED_VALUE"""),"")</f>
        <v/>
      </c>
      <c r="N775" s="1" t="str">
        <f>IFERROR(__xludf.DUMMYFUNCTION("""COMPUTED_VALUE"""),"1500")</f>
        <v>1500</v>
      </c>
      <c r="O775" s="1" t="str">
        <f>IFERROR(__xludf.DUMMYFUNCTION("""COMPUTED_VALUE"""),"Mega campus (&gt;1,000 MW)")</f>
        <v>Mega campus (&gt;1,000 MW)</v>
      </c>
      <c r="P775" s="1" t="str">
        <f>IFERROR(__xludf.DUMMYFUNCTION("""COMPUTED_VALUE"""),"")</f>
        <v/>
      </c>
      <c r="Q775" s="1" t="str">
        <f>IFERROR(__xludf.DUMMYFUNCTION("""COMPUTED_VALUE"""),"")</f>
        <v/>
      </c>
      <c r="R775" s="1" t="str">
        <f>IFERROR(__xludf.DUMMYFUNCTION("""COMPUTED_VALUE"""),"")</f>
        <v/>
      </c>
      <c r="S775" s="1" t="str">
        <f>IFERROR(__xludf.DUMMYFUNCTION("""COMPUTED_VALUE"""),"35")</f>
        <v>35</v>
      </c>
      <c r="T775" s="1" t="str">
        <f>IFERROR(__xludf.DUMMYFUNCTION("""COMPUTED_VALUE"""),"")</f>
        <v/>
      </c>
      <c r="U775" s="1" t="str">
        <f>IFERROR(__xludf.DUMMYFUNCTION("""COMPUTED_VALUE"""),"")</f>
        <v/>
      </c>
      <c r="V775" s="1" t="str">
        <f>IFERROR(__xludf.DUMMYFUNCTION("""COMPUTED_VALUE"""),"9,400,000")</f>
        <v>9,400,000</v>
      </c>
      <c r="W775" s="1" t="str">
        <f>IFERROR(__xludf.DUMMYFUNCTION("""COMPUTED_VALUE"""),"1000")</f>
        <v>1000</v>
      </c>
      <c r="X775" s="1" t="str">
        <f>IFERROR(__xludf.DUMMYFUNCTION("""COMPUTED_VALUE"""),"$10 billion")</f>
        <v>$10 billion</v>
      </c>
      <c r="Y775" s="1" t="str">
        <f>IFERROR(__xludf.DUMMYFUNCTION("""COMPUTED_VALUE"""),"")</f>
        <v/>
      </c>
      <c r="Z775" s="1" t="str">
        <f>IFERROR(__xludf.DUMMYFUNCTION("""COMPUTED_VALUE"""),"Yes")</f>
        <v>Yes</v>
      </c>
      <c r="AA775" s="1" t="str">
        <f>IFERROR(__xludf.DUMMYFUNCTION("""COMPUTED_VALUE"""),"")</f>
        <v/>
      </c>
      <c r="AB775" s="1" t="str">
        <f>IFERROR(__xludf.DUMMYFUNCTION("""COMPUTED_VALUE"""),"")</f>
        <v/>
      </c>
      <c r="AC775" s="1" t="str">
        <f>IFERROR(__xludf.DUMMYFUNCTION("""COMPUTED_VALUE"""),"")</f>
        <v/>
      </c>
      <c r="AD775" s="2" t="str">
        <f>IFERROR(__xludf.DUMMYFUNCTION("""COMPUTED_VALUE"""),"https://nodatacenter.net/")</f>
        <v>https://nodatacenter.net/</v>
      </c>
      <c r="AE775" s="1" t="str">
        <f>IFERROR(__xludf.DUMMYFUNCTION("""COMPUTED_VALUE"""),"")</f>
        <v/>
      </c>
      <c r="AF775" s="1" t="str">
        <f>IFERROR(__xludf.DUMMYFUNCTION("""COMPUTED_VALUE"""),"")</f>
        <v/>
      </c>
      <c r="AG775" s="1" t="str">
        <f>IFERROR(__xludf.DUMMYFUNCTION("""COMPUTED_VALUE"""),"Facility size could be 4,400,000-9,400,000 sq feet")</f>
        <v>Facility size could be 4,400,000-9,400,000 sq feet</v>
      </c>
      <c r="AH775" s="1" t="str">
        <f>IFERROR(__xludf.DUMMYFUNCTION("""COMPUTED_VALUE"""),"Media Monitoring")</f>
        <v>Media Monitoring</v>
      </c>
      <c r="AI775" s="2" t="str">
        <f>IFERROR(__xludf.DUMMYFUNCTION("""COMPUTED_VALUE"""),"https://www.datacenterdynamics.com/en/news/15gw-data-center-campus-proposed-in-pennsylvania/")</f>
        <v>https://www.datacenterdynamics.com/en/news/15gw-data-center-campus-proposed-in-pennsylvania/</v>
      </c>
      <c r="AJ775" s="2" t="str">
        <f>IFERROR(__xludf.DUMMYFUNCTION("""COMPUTED_VALUE"""),"https://www.citizensvoice.com/2025/08/11/senate-data-center-hearing-at-valley-view-largely-touts-benefits/")</f>
        <v>https://www.citizensvoice.com/2025/08/11/senate-data-center-hearing-at-valley-view-largely-touts-benefits/</v>
      </c>
      <c r="AK775" s="2" t="str">
        <f>IFERROR(__xludf.DUMMYFUNCTION("""COMPUTED_VALUE"""),"https://trackdatacenters.com/state/pennsylvania")</f>
        <v>https://trackdatacenters.com/state/pennsylvania</v>
      </c>
      <c r="AL775" s="1" t="str">
        <f>IFERROR(__xludf.DUMMYFUNCTION("""COMPUTED_VALUE"""),"")</f>
        <v/>
      </c>
      <c r="AM775" s="1" t="str">
        <f>IFERROR(__xludf.DUMMYFUNCTION("""COMPUTED_VALUE"""),"")</f>
        <v/>
      </c>
      <c r="AN775" s="1" t="str">
        <f>IFERROR(__xludf.DUMMYFUNCTION("""COMPUTED_VALUE"""),"")</f>
        <v/>
      </c>
      <c r="AO775" s="1" t="str">
        <f>IFERROR(__xludf.DUMMYFUNCTION("""COMPUTED_VALUE"""),"")</f>
        <v/>
      </c>
      <c r="AP775" s="1" t="str">
        <f>IFERROR(__xludf.DUMMYFUNCTION("""COMPUTED_VALUE"""),"")</f>
        <v/>
      </c>
      <c r="AQ775" s="1" t="str">
        <f>IFERROR(__xludf.DUMMYFUNCTION("""COMPUTED_VALUE"""),"07/18/2025")</f>
        <v>07/18/2025</v>
      </c>
      <c r="AR775" s="1" t="str">
        <f>IFERROR(__xludf.DUMMYFUNCTION("""COMPUTED_VALUE"""),"03/20/2026")</f>
        <v>03/20/2026</v>
      </c>
    </row>
    <row r="776">
      <c r="A776" s="1" t="str">
        <f>IFERROR(__xludf.DUMMYFUNCTION("""COMPUTED_VALUE"""),"Flexential Collegeville Data Center")</f>
        <v>Flexential Collegeville Data Center</v>
      </c>
      <c r="B776" s="1" t="str">
        <f>IFERROR(__xludf.DUMMYFUNCTION("""COMPUTED_VALUE"""),"101 Troutman Rd")</f>
        <v>101 Troutman Rd</v>
      </c>
      <c r="C776" s="1" t="str">
        <f>IFERROR(__xludf.DUMMYFUNCTION("""COMPUTED_VALUE"""),"Collegeville")</f>
        <v>Collegeville</v>
      </c>
      <c r="D776" s="1" t="str">
        <f>IFERROR(__xludf.DUMMYFUNCTION("""COMPUTED_VALUE"""),"PA")</f>
        <v>PA</v>
      </c>
      <c r="E776" s="1" t="str">
        <f>IFERROR(__xludf.DUMMYFUNCTION("""COMPUTED_VALUE"""),"19426")</f>
        <v>19426</v>
      </c>
      <c r="F776" s="1" t="str">
        <f>IFERROR(__xludf.DUMMYFUNCTION("""COMPUTED_VALUE"""),"Montgomery")</f>
        <v>Montgomery</v>
      </c>
      <c r="G776" s="1" t="str">
        <f>IFERROR(__xludf.DUMMYFUNCTION("""COMPUTED_VALUE"""),"40.152084")</f>
        <v>40.152084</v>
      </c>
      <c r="H776" s="1" t="str">
        <f>IFERROR(__xludf.DUMMYFUNCTION("""COMPUTED_VALUE"""),"-75.476875")</f>
        <v>-75.476875</v>
      </c>
      <c r="I776" s="1" t="str">
        <f>IFERROR(__xludf.DUMMYFUNCTION("""COMPUTED_VALUE"""),"Operating")</f>
        <v>Operating</v>
      </c>
      <c r="J776" s="1" t="str">
        <f>IFERROR(__xludf.DUMMYFUNCTION("""COMPUTED_VALUE"""),"High")</f>
        <v>High</v>
      </c>
      <c r="K776" s="1" t="str">
        <f>IFERROR(__xludf.DUMMYFUNCTION("""COMPUTED_VALUE"""),"")</f>
        <v/>
      </c>
      <c r="L776" s="1" t="str">
        <f>IFERROR(__xludf.DUMMYFUNCTION("""COMPUTED_VALUE"""),"Flexential")</f>
        <v>Flexential</v>
      </c>
      <c r="M776" s="1" t="str">
        <f>IFERROR(__xludf.DUMMYFUNCTION("""COMPUTED_VALUE"""),"")</f>
        <v/>
      </c>
      <c r="N776" s="1" t="str">
        <f>IFERROR(__xludf.DUMMYFUNCTION("""COMPUTED_VALUE"""),"7.2")</f>
        <v>7.2</v>
      </c>
      <c r="O776" s="1" t="str">
        <f>IFERROR(__xludf.DUMMYFUNCTION("""COMPUTED_VALUE"""),"Small (0-10 MW)")</f>
        <v>Small (0-10 MW)</v>
      </c>
      <c r="P776" s="1" t="str">
        <f>IFERROR(__xludf.DUMMYFUNCTION("""COMPUTED_VALUE"""),"")</f>
        <v/>
      </c>
      <c r="Q776" s="1" t="str">
        <f>IFERROR(__xludf.DUMMYFUNCTION("""COMPUTED_VALUE"""),"")</f>
        <v/>
      </c>
      <c r="R776" s="1" t="str">
        <f>IFERROR(__xludf.DUMMYFUNCTION("""COMPUTED_VALUE"""),"")</f>
        <v/>
      </c>
      <c r="S776" s="1" t="str">
        <f>IFERROR(__xludf.DUMMYFUNCTION("""COMPUTED_VALUE"""),"")</f>
        <v/>
      </c>
      <c r="T776" s="1" t="str">
        <f>IFERROR(__xludf.DUMMYFUNCTION("""COMPUTED_VALUE"""),"Water")</f>
        <v>Water</v>
      </c>
      <c r="U776" s="1" t="str">
        <f>IFERROR(__xludf.DUMMYFUNCTION("""COMPUTED_VALUE"""),"")</f>
        <v/>
      </c>
      <c r="V776" s="1" t="str">
        <f>IFERROR(__xludf.DUMMYFUNCTION("""COMPUTED_VALUE"""),"203,703")</f>
        <v>203,703</v>
      </c>
      <c r="W776" s="1" t="str">
        <f>IFERROR(__xludf.DUMMYFUNCTION("""COMPUTED_VALUE"""),"")</f>
        <v/>
      </c>
      <c r="X776" s="1" t="str">
        <f>IFERROR(__xludf.DUMMYFUNCTION("""COMPUTED_VALUE"""),"")</f>
        <v/>
      </c>
      <c r="Y776" s="1" t="str">
        <f>IFERROR(__xludf.DUMMYFUNCTION("""COMPUTED_VALUE"""),"")</f>
        <v/>
      </c>
      <c r="Z776" s="1" t="str">
        <f>IFERROR(__xludf.DUMMYFUNCTION("""COMPUTED_VALUE"""),"Unknown")</f>
        <v>Unknown</v>
      </c>
      <c r="AA776" s="1" t="str">
        <f>IFERROR(__xludf.DUMMYFUNCTION("""COMPUTED_VALUE"""),"")</f>
        <v/>
      </c>
      <c r="AB776" s="1" t="str">
        <f>IFERROR(__xludf.DUMMYFUNCTION("""COMPUTED_VALUE"""),"")</f>
        <v/>
      </c>
      <c r="AC776" s="1" t="str">
        <f>IFERROR(__xludf.DUMMYFUNCTION("""COMPUTED_VALUE"""),"")</f>
        <v/>
      </c>
      <c r="AD776" s="1" t="str">
        <f>IFERROR(__xludf.DUMMYFUNCTION("""COMPUTED_VALUE"""),"")</f>
        <v/>
      </c>
      <c r="AE776" s="1" t="str">
        <f>IFERROR(__xludf.DUMMYFUNCTION("""COMPUTED_VALUE"""),"")</f>
        <v/>
      </c>
      <c r="AF776" s="1" t="str">
        <f>IFERROR(__xludf.DUMMYFUNCTION("""COMPUTED_VALUE"""),"")</f>
        <v/>
      </c>
      <c r="AG776" s="1" t="str">
        <f>IFERROR(__xludf.DUMMYFUNCTION("""COMPUTED_VALUE"""),"")</f>
        <v/>
      </c>
      <c r="AH776" s="1" t="str">
        <f>IFERROR(__xludf.DUMMYFUNCTION("""COMPUTED_VALUE"""),"Other")</f>
        <v>Other</v>
      </c>
      <c r="AI776" s="2" t="str">
        <f>IFERROR(__xludf.DUMMYFUNCTION("""COMPUTED_VALUE"""),"https://www.flexential.com/data-centers/pa/philadelphia/collegeville-data-center")</f>
        <v>https://www.flexential.com/data-centers/pa/philadelphia/collegeville-data-center</v>
      </c>
      <c r="AJ776" s="1" t="str">
        <f>IFERROR(__xludf.DUMMYFUNCTION("""COMPUTED_VALUE"""),"")</f>
        <v/>
      </c>
      <c r="AK776" s="1" t="str">
        <f>IFERROR(__xludf.DUMMYFUNCTION("""COMPUTED_VALUE"""),"")</f>
        <v/>
      </c>
      <c r="AL776" s="1" t="str">
        <f>IFERROR(__xludf.DUMMYFUNCTION("""COMPUTED_VALUE"""),"")</f>
        <v/>
      </c>
      <c r="AM776" s="1" t="str">
        <f>IFERROR(__xludf.DUMMYFUNCTION("""COMPUTED_VALUE"""),"")</f>
        <v/>
      </c>
      <c r="AN776" s="1" t="str">
        <f>IFERROR(__xludf.DUMMYFUNCTION("""COMPUTED_VALUE"""),"")</f>
        <v/>
      </c>
      <c r="AO776" s="1" t="str">
        <f>IFERROR(__xludf.DUMMYFUNCTION("""COMPUTED_VALUE"""),"")</f>
        <v/>
      </c>
      <c r="AP776" s="1" t="str">
        <f>IFERROR(__xludf.DUMMYFUNCTION("""COMPUTED_VALUE"""),"")</f>
        <v/>
      </c>
      <c r="AQ776" s="1" t="str">
        <f>IFERROR(__xludf.DUMMYFUNCTION("""COMPUTED_VALUE"""),"11/24/2025")</f>
        <v>11/24/2025</v>
      </c>
      <c r="AR776" s="1" t="str">
        <f>IFERROR(__xludf.DUMMYFUNCTION("""COMPUTED_VALUE"""),"11/21/2025")</f>
        <v>11/21/2025</v>
      </c>
    </row>
    <row r="777">
      <c r="A777" s="1" t="str">
        <f>IFERROR(__xludf.DUMMYFUNCTION("""COMPUTED_VALUE"""),"Plymouth Township Data Center")</f>
        <v>Plymouth Township Data Center</v>
      </c>
      <c r="B777" s="1" t="str">
        <f>IFERROR(__xludf.DUMMYFUNCTION("""COMPUTED_VALUE"""),"900 Conshohocken Rd")</f>
        <v>900 Conshohocken Rd</v>
      </c>
      <c r="C777" s="1" t="str">
        <f>IFERROR(__xludf.DUMMYFUNCTION("""COMPUTED_VALUE"""),"Conshohocken (Plymouth Township)")</f>
        <v>Conshohocken (Plymouth Township)</v>
      </c>
      <c r="D777" s="1" t="str">
        <f>IFERROR(__xludf.DUMMYFUNCTION("""COMPUTED_VALUE"""),"PA")</f>
        <v>PA</v>
      </c>
      <c r="E777" s="1" t="str">
        <f>IFERROR(__xludf.DUMMYFUNCTION("""COMPUTED_VALUE"""),"19428")</f>
        <v>19428</v>
      </c>
      <c r="F777" s="1" t="str">
        <f>IFERROR(__xludf.DUMMYFUNCTION("""COMPUTED_VALUE"""),"Montgomery")</f>
        <v>Montgomery</v>
      </c>
      <c r="G777" s="1" t="str">
        <f>IFERROR(__xludf.DUMMYFUNCTION("""COMPUTED_VALUE"""),"40.087204")</f>
        <v>40.087204</v>
      </c>
      <c r="H777" s="1" t="str">
        <f>IFERROR(__xludf.DUMMYFUNCTION("""COMPUTED_VALUE"""),"-75.31887")</f>
        <v>-75.31887</v>
      </c>
      <c r="I777" s="1" t="str">
        <f>IFERROR(__xludf.DUMMYFUNCTION("""COMPUTED_VALUE"""),"Cancelled")</f>
        <v>Cancelled</v>
      </c>
      <c r="J777" s="1" t="str">
        <f>IFERROR(__xludf.DUMMYFUNCTION("""COMPUTED_VALUE"""),"High")</f>
        <v>High</v>
      </c>
      <c r="K777" s="1" t="str">
        <f>IFERROR(__xludf.DUMMYFUNCTION("""COMPUTED_VALUE"""),"")</f>
        <v/>
      </c>
      <c r="L777" s="1" t="str">
        <f>IFERROR(__xludf.DUMMYFUNCTION("""COMPUTED_VALUE"""),"")</f>
        <v/>
      </c>
      <c r="M777" s="1" t="str">
        <f>IFERROR(__xludf.DUMMYFUNCTION("""COMPUTED_VALUE"""),"")</f>
        <v/>
      </c>
      <c r="N777" s="1" t="str">
        <f>IFERROR(__xludf.DUMMYFUNCTION("""COMPUTED_VALUE"""),"")</f>
        <v/>
      </c>
      <c r="O777" s="1" t="str">
        <f>IFERROR(__xludf.DUMMYFUNCTION("""COMPUTED_VALUE"""),"Hyperscale (100-999 MW)")</f>
        <v>Hyperscale (100-999 MW)</v>
      </c>
      <c r="P777" s="1" t="str">
        <f>IFERROR(__xludf.DUMMYFUNCTION("""COMPUTED_VALUE"""),"")</f>
        <v/>
      </c>
      <c r="Q777" s="1" t="str">
        <f>IFERROR(__xludf.DUMMYFUNCTION("""COMPUTED_VALUE"""),"")</f>
        <v/>
      </c>
      <c r="R777" s="1" t="str">
        <f>IFERROR(__xludf.DUMMYFUNCTION("""COMPUTED_VALUE"""),"")</f>
        <v/>
      </c>
      <c r="S777" s="1" t="str">
        <f>IFERROR(__xludf.DUMMYFUNCTION("""COMPUTED_VALUE"""),"10")</f>
        <v>10</v>
      </c>
      <c r="T777" s="1" t="str">
        <f>IFERROR(__xludf.DUMMYFUNCTION("""COMPUTED_VALUE"""),"")</f>
        <v/>
      </c>
      <c r="U777" s="1" t="str">
        <f>IFERROR(__xludf.DUMMYFUNCTION("""COMPUTED_VALUE"""),"")</f>
        <v/>
      </c>
      <c r="V777" s="1" t="str">
        <f>IFERROR(__xludf.DUMMYFUNCTION("""COMPUTED_VALUE"""),"2,000,000")</f>
        <v>2,000,000</v>
      </c>
      <c r="W777" s="1" t="str">
        <f>IFERROR(__xludf.DUMMYFUNCTION("""COMPUTED_VALUE"""),"66")</f>
        <v>66</v>
      </c>
      <c r="X777" s="1" t="str">
        <f>IFERROR(__xludf.DUMMYFUNCTION("""COMPUTED_VALUE"""),"")</f>
        <v/>
      </c>
      <c r="Y777" s="1" t="str">
        <f>IFERROR(__xludf.DUMMYFUNCTION("""COMPUTED_VALUE"""),"")</f>
        <v/>
      </c>
      <c r="Z777" s="1" t="str">
        <f>IFERROR(__xludf.DUMMYFUNCTION("""COMPUTED_VALUE"""),"Yes")</f>
        <v>Yes</v>
      </c>
      <c r="AA777" s="1" t="str">
        <f>IFERROR(__xludf.DUMMYFUNCTION("""COMPUTED_VALUE"""),"")</f>
        <v/>
      </c>
      <c r="AB777" s="1" t="str">
        <f>IFERROR(__xludf.DUMMYFUNCTION("""COMPUTED_VALUE"""),"")</f>
        <v/>
      </c>
      <c r="AC777" s="1" t="str">
        <f>IFERROR(__xludf.DUMMYFUNCTION("""COMPUTED_VALUE"""),"")</f>
        <v/>
      </c>
      <c r="AD777" s="1" t="str">
        <f>IFERROR(__xludf.DUMMYFUNCTION("""COMPUTED_VALUE"""),"")</f>
        <v/>
      </c>
      <c r="AE777" s="1" t="str">
        <f>IFERROR(__xludf.DUMMYFUNCTION("""COMPUTED_VALUE"""),"")</f>
        <v/>
      </c>
      <c r="AF777" s="2" t="str">
        <f>IFERROR(__xludf.DUMMYFUNCTION("""COMPUTED_VALUE"""),"https://www.change.org/p/no-conshy-or-plymouth-data-centers")</f>
        <v>https://www.change.org/p/no-conshy-or-plymouth-data-centers</v>
      </c>
      <c r="AG777" s="1" t="str">
        <f>IFERROR(__xludf.DUMMYFUNCTION("""COMPUTED_VALUE"""),"Rezoning proposal rejected. Proposed at the site of the recently closed Cleveland-Cliffs steel mill")</f>
        <v>Rezoning proposal rejected. Proposed at the site of the recently closed Cleveland-Cliffs steel mill</v>
      </c>
      <c r="AH777" s="1" t="str">
        <f>IFERROR(__xludf.DUMMYFUNCTION("""COMPUTED_VALUE"""),"Media Monitoring")</f>
        <v>Media Monitoring</v>
      </c>
      <c r="AI777" s="2" t="str">
        <f>IFERROR(__xludf.DUMMYFUNCTION("""COMPUTED_VALUE"""),"https://www.datacenterdynamics.com/en/news/planning-agency-of-plymouth-township-pennsylvania-votes-not-to-recommend-data-center-proposal/")</f>
        <v>https://www.datacenterdynamics.com/en/news/planning-agency-of-plymouth-township-pennsylvania-votes-not-to-recommend-data-center-proposal/</v>
      </c>
      <c r="AJ777" s="2" t="str">
        <f>IFERROR(__xludf.DUMMYFUNCTION("""COMPUTED_VALUE"""),"https://whyy.org/articles/conshohocken-pennsylvania-residents-pushback-data-center-proposal/")</f>
        <v>https://whyy.org/articles/conshohocken-pennsylvania-residents-pushback-data-center-proposal/</v>
      </c>
      <c r="AK777" s="2" t="str">
        <f>IFERROR(__xludf.DUMMYFUNCTION("""COMPUTED_VALUE"""),"https://vista.today/2025/11/fight-against-conshohocken-data-center/")</f>
        <v>https://vista.today/2025/11/fight-against-conshohocken-data-center/</v>
      </c>
      <c r="AL777" s="2" t="str">
        <f>IFERROR(__xludf.DUMMYFUNCTION("""COMPUTED_VALUE"""),"https://www.inquirer.com/news/pennsylvania/ai-data-center-construction-conshohocken-proposal-withdrawn-20251118.html")</f>
        <v>https://www.inquirer.com/news/pennsylvania/ai-data-center-construction-conshohocken-proposal-withdrawn-20251118.html</v>
      </c>
      <c r="AM777" s="2" t="str">
        <f>IFERROR(__xludf.DUMMYFUNCTION("""COMPUTED_VALUE"""),"https://datacenterwatch.substack.com/p/briefing-11212025")</f>
        <v>https://datacenterwatch.substack.com/p/briefing-11212025</v>
      </c>
      <c r="AN777" s="1" t="str">
        <f>IFERROR(__xludf.DUMMYFUNCTION("""COMPUTED_VALUE"""),"")</f>
        <v/>
      </c>
      <c r="AO777" s="1" t="str">
        <f>IFERROR(__xludf.DUMMYFUNCTION("""COMPUTED_VALUE"""),"")</f>
        <v/>
      </c>
      <c r="AP777" s="1" t="str">
        <f>IFERROR(__xludf.DUMMYFUNCTION("""COMPUTED_VALUE"""),"")</f>
        <v/>
      </c>
      <c r="AQ777" s="1" t="str">
        <f>IFERROR(__xludf.DUMMYFUNCTION("""COMPUTED_VALUE"""),"10/21/2025")</f>
        <v>10/21/2025</v>
      </c>
      <c r="AR777" s="1" t="str">
        <f>IFERROR(__xludf.DUMMYFUNCTION("""COMPUTED_VALUE"""),"03/22/2026")</f>
        <v>03/22/2026</v>
      </c>
    </row>
    <row r="778">
      <c r="A778" s="1" t="str">
        <f>IFERROR(__xludf.DUMMYFUNCTION("""COMPUTED_VALUE"""),"Energy Capital Partners")</f>
        <v>Energy Capital Partners</v>
      </c>
      <c r="B778" s="1" t="str">
        <f>IFERROR(__xludf.DUMMYFUNCTION("""COMPUTED_VALUE"""),"near 1055 Pikes Peak Rd")</f>
        <v>near 1055 Pikes Peak Rd</v>
      </c>
      <c r="C778" s="1" t="str">
        <f>IFERROR(__xludf.DUMMYFUNCTION("""COMPUTED_VALUE"""),"Delta")</f>
        <v>Delta</v>
      </c>
      <c r="D778" s="1" t="str">
        <f>IFERROR(__xludf.DUMMYFUNCTION("""COMPUTED_VALUE"""),"PA")</f>
        <v>PA</v>
      </c>
      <c r="E778" s="1" t="str">
        <f>IFERROR(__xludf.DUMMYFUNCTION("""COMPUTED_VALUE"""),"17314")</f>
        <v>17314</v>
      </c>
      <c r="F778" s="1" t="str">
        <f>IFERROR(__xludf.DUMMYFUNCTION("""COMPUTED_VALUE"""),"York")</f>
        <v>York</v>
      </c>
      <c r="G778" s="1" t="str">
        <f>IFERROR(__xludf.DUMMYFUNCTION("""COMPUTED_VALUE"""),"39.75768")</f>
        <v>39.75768</v>
      </c>
      <c r="H778" s="1" t="str">
        <f>IFERROR(__xludf.DUMMYFUNCTION("""COMPUTED_VALUE"""),"-76.2754")</f>
        <v>-76.2754</v>
      </c>
      <c r="I778" s="1" t="str">
        <f>IFERROR(__xludf.DUMMYFUNCTION("""COMPUTED_VALUE"""),"Proposed")</f>
        <v>Proposed</v>
      </c>
      <c r="J778" s="1" t="str">
        <f>IFERROR(__xludf.DUMMYFUNCTION("""COMPUTED_VALUE"""),"Medium")</f>
        <v>Medium</v>
      </c>
      <c r="K778" s="1" t="str">
        <f>IFERROR(__xludf.DUMMYFUNCTION("""COMPUTED_VALUE"""),"")</f>
        <v/>
      </c>
      <c r="L778" s="1" t="str">
        <f>IFERROR(__xludf.DUMMYFUNCTION("""COMPUTED_VALUE"""),"Calpine (Energy Capital Parners)")</f>
        <v>Calpine (Energy Capital Parners)</v>
      </c>
      <c r="M778" s="1" t="str">
        <f>IFERROR(__xludf.DUMMYFUNCTION("""COMPUTED_VALUE"""),"")</f>
        <v/>
      </c>
      <c r="N778" s="1" t="str">
        <f>IFERROR(__xludf.DUMMYFUNCTION("""COMPUTED_VALUE"""),"828")</f>
        <v>828</v>
      </c>
      <c r="O778" s="1" t="str">
        <f>IFERROR(__xludf.DUMMYFUNCTION("""COMPUTED_VALUE"""),"Hyperscale (100-999 MW)")</f>
        <v>Hyperscale (100-999 MW)</v>
      </c>
      <c r="P778" s="1" t="str">
        <f>IFERROR(__xludf.DUMMYFUNCTION("""COMPUTED_VALUE"""),"")</f>
        <v/>
      </c>
      <c r="Q778" s="1" t="str">
        <f>IFERROR(__xludf.DUMMYFUNCTION("""COMPUTED_VALUE"""),"")</f>
        <v/>
      </c>
      <c r="R778" s="1" t="str">
        <f>IFERROR(__xludf.DUMMYFUNCTION("""COMPUTED_VALUE"""),"")</f>
        <v/>
      </c>
      <c r="S778" s="1" t="str">
        <f>IFERROR(__xludf.DUMMYFUNCTION("""COMPUTED_VALUE"""),"")</f>
        <v/>
      </c>
      <c r="T778" s="1" t="str">
        <f>IFERROR(__xludf.DUMMYFUNCTION("""COMPUTED_VALUE"""),"")</f>
        <v/>
      </c>
      <c r="U778" s="1" t="str">
        <f>IFERROR(__xludf.DUMMYFUNCTION("""COMPUTED_VALUE"""),"")</f>
        <v/>
      </c>
      <c r="V778" s="1" t="str">
        <f>IFERROR(__xludf.DUMMYFUNCTION("""COMPUTED_VALUE"""),"")</f>
        <v/>
      </c>
      <c r="W778" s="1" t="str">
        <f>IFERROR(__xludf.DUMMYFUNCTION("""COMPUTED_VALUE"""),"")</f>
        <v/>
      </c>
      <c r="X778" s="1" t="str">
        <f>IFERROR(__xludf.DUMMYFUNCTION("""COMPUTED_VALUE"""),"$5 billion")</f>
        <v>$5 billion</v>
      </c>
      <c r="Y778" s="1" t="str">
        <f>IFERROR(__xludf.DUMMYFUNCTION("""COMPUTED_VALUE"""),"")</f>
        <v/>
      </c>
      <c r="Z778" s="1" t="str">
        <f>IFERROR(__xludf.DUMMYFUNCTION("""COMPUTED_VALUE"""),"Unknown")</f>
        <v>Unknown</v>
      </c>
      <c r="AA778" s="1" t="str">
        <f>IFERROR(__xludf.DUMMYFUNCTION("""COMPUTED_VALUE"""),"")</f>
        <v/>
      </c>
      <c r="AB778" s="1" t="str">
        <f>IFERROR(__xludf.DUMMYFUNCTION("""COMPUTED_VALUE"""),"")</f>
        <v/>
      </c>
      <c r="AC778" s="1" t="str">
        <f>IFERROR(__xludf.DUMMYFUNCTION("""COMPUTED_VALUE"""),"")</f>
        <v/>
      </c>
      <c r="AD778" s="1" t="str">
        <f>IFERROR(__xludf.DUMMYFUNCTION("""COMPUTED_VALUE"""),"")</f>
        <v/>
      </c>
      <c r="AE778" s="1" t="str">
        <f>IFERROR(__xludf.DUMMYFUNCTION("""COMPUTED_VALUE"""),"")</f>
        <v/>
      </c>
      <c r="AF778" s="1" t="str">
        <f>IFERROR(__xludf.DUMMYFUNCTION("""COMPUTED_VALUE"""),"")</f>
        <v/>
      </c>
      <c r="AG778" s="1" t="str">
        <f>IFERROR(__xludf.DUMMYFUNCTION("""COMPUTED_VALUE"""),"Will be housed at the site of the York 2 Energy Center owned by Calpine Corporation")</f>
        <v>Will be housed at the site of the York 2 Energy Center owned by Calpine Corporation</v>
      </c>
      <c r="AH778" s="1" t="str">
        <f>IFERROR(__xludf.DUMMYFUNCTION("""COMPUTED_VALUE"""),"Media Monitoring")</f>
        <v>Media Monitoring</v>
      </c>
      <c r="AI778" s="2" t="str">
        <f>IFERROR(__xludf.DUMMYFUNCTION("""COMPUTED_VALUE"""),"https://www.datacenterdynamics.com/en/news/energy-capital-partners-announces-plans-for-5bn-pennsylvania-data-center/")</f>
        <v>https://www.datacenterdynamics.com/en/news/energy-capital-partners-announces-plans-for-5bn-pennsylvania-data-center/</v>
      </c>
      <c r="AJ778" s="2" t="str">
        <f>IFERROR(__xludf.DUMMYFUNCTION("""COMPUTED_VALUE"""),"https://www.yorkdispatch.com/story/news/local/2025/07/18/york-county-to-host-5-billion-data-center-in-peach-bottom/85270282007/")</f>
        <v>https://www.yorkdispatch.com/story/news/local/2025/07/18/york-county-to-host-5-billion-data-center-in-peach-bottom/85270282007/</v>
      </c>
      <c r="AK778" s="1" t="str">
        <f>IFERROR(__xludf.DUMMYFUNCTION("""COMPUTED_VALUE"""),"")</f>
        <v/>
      </c>
      <c r="AL778" s="1" t="str">
        <f>IFERROR(__xludf.DUMMYFUNCTION("""COMPUTED_VALUE"""),"")</f>
        <v/>
      </c>
      <c r="AM778" s="1" t="str">
        <f>IFERROR(__xludf.DUMMYFUNCTION("""COMPUTED_VALUE"""),"")</f>
        <v/>
      </c>
      <c r="AN778" s="1" t="str">
        <f>IFERROR(__xludf.DUMMYFUNCTION("""COMPUTED_VALUE"""),"")</f>
        <v/>
      </c>
      <c r="AO778" s="1" t="str">
        <f>IFERROR(__xludf.DUMMYFUNCTION("""COMPUTED_VALUE"""),"")</f>
        <v/>
      </c>
      <c r="AP778" s="1" t="str">
        <f>IFERROR(__xludf.DUMMYFUNCTION("""COMPUTED_VALUE"""),"")</f>
        <v/>
      </c>
      <c r="AQ778" s="1" t="str">
        <f>IFERROR(__xludf.DUMMYFUNCTION("""COMPUTED_VALUE"""),"08/19/2025")</f>
        <v>08/19/2025</v>
      </c>
      <c r="AR778" s="1" t="str">
        <f>IFERROR(__xludf.DUMMYFUNCTION("""COMPUTED_VALUE"""),"08/19/2025")</f>
        <v>08/19/2025</v>
      </c>
    </row>
    <row r="779">
      <c r="A779" s="1" t="str">
        <f>IFERROR(__xludf.DUMMYFUNCTION("""COMPUTED_VALUE"""),"MRP ")</f>
        <v>MRP </v>
      </c>
      <c r="B779" s="1" t="str">
        <f>IFERROR(__xludf.DUMMYFUNCTION("""COMPUTED_VALUE"""),"Betw Amity Rd, Susquehanna Trail, and Hwy 322/22")</f>
        <v>Betw Amity Rd, Susquehanna Trail, and Hwy 322/22</v>
      </c>
      <c r="C779" s="1" t="str">
        <f>IFERROR(__xludf.DUMMYFUNCTION("""COMPUTED_VALUE"""),"Duncannon")</f>
        <v>Duncannon</v>
      </c>
      <c r="D779" s="1" t="str">
        <f>IFERROR(__xludf.DUMMYFUNCTION("""COMPUTED_VALUE"""),"PA")</f>
        <v>PA</v>
      </c>
      <c r="E779" s="1" t="str">
        <f>IFERROR(__xludf.DUMMYFUNCTION("""COMPUTED_VALUE"""),"17020")</f>
        <v>17020</v>
      </c>
      <c r="F779" s="1" t="str">
        <f>IFERROR(__xludf.DUMMYFUNCTION("""COMPUTED_VALUE"""),"Perry")</f>
        <v>Perry</v>
      </c>
      <c r="G779" s="1" t="str">
        <f>IFERROR(__xludf.DUMMYFUNCTION("""COMPUTED_VALUE"""),"40.432003")</f>
        <v>40.432003</v>
      </c>
      <c r="H779" s="1" t="str">
        <f>IFERROR(__xludf.DUMMYFUNCTION("""COMPUTED_VALUE"""),"-77.006775")</f>
        <v>-77.006775</v>
      </c>
      <c r="I779" s="1" t="str">
        <f>IFERROR(__xludf.DUMMYFUNCTION("""COMPUTED_VALUE"""),"Proposed")</f>
        <v>Proposed</v>
      </c>
      <c r="J779" s="1" t="str">
        <f>IFERROR(__xludf.DUMMYFUNCTION("""COMPUTED_VALUE"""),"Medium")</f>
        <v>Medium</v>
      </c>
      <c r="K779" s="1" t="str">
        <f>IFERROR(__xludf.DUMMYFUNCTION("""COMPUTED_VALUE"""),"")</f>
        <v/>
      </c>
      <c r="L779" s="1" t="str">
        <f>IFERROR(__xludf.DUMMYFUNCTION("""COMPUTED_VALUE"""),"")</f>
        <v/>
      </c>
      <c r="M779" s="1" t="str">
        <f>IFERROR(__xludf.DUMMYFUNCTION("""COMPUTED_VALUE"""),"")</f>
        <v/>
      </c>
      <c r="N779" s="1" t="str">
        <f>IFERROR(__xludf.DUMMYFUNCTION("""COMPUTED_VALUE"""),"")</f>
        <v/>
      </c>
      <c r="O779" s="1" t="str">
        <f>IFERROR(__xludf.DUMMYFUNCTION("""COMPUTED_VALUE"""),"Hyperscale (100-999 MW)")</f>
        <v>Hyperscale (100-999 MW)</v>
      </c>
      <c r="P779" s="1" t="str">
        <f>IFERROR(__xludf.DUMMYFUNCTION("""COMPUTED_VALUE"""),"")</f>
        <v/>
      </c>
      <c r="Q779" s="1" t="str">
        <f>IFERROR(__xludf.DUMMYFUNCTION("""COMPUTED_VALUE"""),"")</f>
        <v/>
      </c>
      <c r="R779" s="1" t="str">
        <f>IFERROR(__xludf.DUMMYFUNCTION("""COMPUTED_VALUE"""),"")</f>
        <v/>
      </c>
      <c r="S779" s="1" t="str">
        <f>IFERROR(__xludf.DUMMYFUNCTION("""COMPUTED_VALUE"""),"10")</f>
        <v>10</v>
      </c>
      <c r="T779" s="1" t="str">
        <f>IFERROR(__xludf.DUMMYFUNCTION("""COMPUTED_VALUE"""),"")</f>
        <v/>
      </c>
      <c r="U779" s="1" t="str">
        <f>IFERROR(__xludf.DUMMYFUNCTION("""COMPUTED_VALUE"""),"")</f>
        <v/>
      </c>
      <c r="V779" s="1" t="str">
        <f>IFERROR(__xludf.DUMMYFUNCTION("""COMPUTED_VALUE"""),"1,380,000")</f>
        <v>1,380,000</v>
      </c>
      <c r="W779" s="1" t="str">
        <f>IFERROR(__xludf.DUMMYFUNCTION("""COMPUTED_VALUE"""),"")</f>
        <v/>
      </c>
      <c r="X779" s="1" t="str">
        <f>IFERROR(__xludf.DUMMYFUNCTION("""COMPUTED_VALUE"""),"")</f>
        <v/>
      </c>
      <c r="Y779" s="1" t="str">
        <f>IFERROR(__xludf.DUMMYFUNCTION("""COMPUTED_VALUE"""),"")</f>
        <v/>
      </c>
      <c r="Z779" s="1" t="str">
        <f>IFERROR(__xludf.DUMMYFUNCTION("""COMPUTED_VALUE"""),"Unknown")</f>
        <v>Unknown</v>
      </c>
      <c r="AA779" s="1" t="str">
        <f>IFERROR(__xludf.DUMMYFUNCTION("""COMPUTED_VALUE"""),"")</f>
        <v/>
      </c>
      <c r="AB779" s="1" t="str">
        <f>IFERROR(__xludf.DUMMYFUNCTION("""COMPUTED_VALUE"""),"")</f>
        <v/>
      </c>
      <c r="AC779" s="1" t="str">
        <f>IFERROR(__xludf.DUMMYFUNCTION("""COMPUTED_VALUE"""),"")</f>
        <v/>
      </c>
      <c r="AD779" s="1" t="str">
        <f>IFERROR(__xludf.DUMMYFUNCTION("""COMPUTED_VALUE"""),"")</f>
        <v/>
      </c>
      <c r="AE779" s="1" t="str">
        <f>IFERROR(__xludf.DUMMYFUNCTION("""COMPUTED_VALUE"""),"")</f>
        <v/>
      </c>
      <c r="AF779" s="1" t="str">
        <f>IFERROR(__xludf.DUMMYFUNCTION("""COMPUTED_VALUE"""),"")</f>
        <v/>
      </c>
      <c r="AG779" s="1" t="str">
        <f>IFERROR(__xludf.DUMMYFUNCTION("""COMPUTED_VALUE"""),"Originally proposed as ""warehouse""")</f>
        <v>Originally proposed as "warehouse"</v>
      </c>
      <c r="AH779" s="1" t="str">
        <f>IFERROR(__xludf.DUMMYFUNCTION("""COMPUTED_VALUE"""),"Media Monitoring")</f>
        <v>Media Monitoring</v>
      </c>
      <c r="AI779" s="2" t="str">
        <f>IFERROR(__xludf.DUMMYFUNCTION("""COMPUTED_VALUE"""),"https://www.datacenterdynamics.com/en/news/developer-may-build-data-center-instead-of-warehouse-in-perry-county-pennsylvania/")</f>
        <v>https://www.datacenterdynamics.com/en/news/developer-may-build-data-center-instead-of-warehouse-in-perry-county-pennsylvania/</v>
      </c>
      <c r="AJ779" s="1" t="str">
        <f>IFERROR(__xludf.DUMMYFUNCTION("""COMPUTED_VALUE"""),"")</f>
        <v/>
      </c>
      <c r="AK779" s="1" t="str">
        <f>IFERROR(__xludf.DUMMYFUNCTION("""COMPUTED_VALUE"""),"")</f>
        <v/>
      </c>
      <c r="AL779" s="1" t="str">
        <f>IFERROR(__xludf.DUMMYFUNCTION("""COMPUTED_VALUE"""),"")</f>
        <v/>
      </c>
      <c r="AM779" s="1" t="str">
        <f>IFERROR(__xludf.DUMMYFUNCTION("""COMPUTED_VALUE"""),"")</f>
        <v/>
      </c>
      <c r="AN779" s="1" t="str">
        <f>IFERROR(__xludf.DUMMYFUNCTION("""COMPUTED_VALUE"""),"")</f>
        <v/>
      </c>
      <c r="AO779" s="1" t="str">
        <f>IFERROR(__xludf.DUMMYFUNCTION("""COMPUTED_VALUE"""),"")</f>
        <v/>
      </c>
      <c r="AP779" s="1" t="str">
        <f>IFERROR(__xludf.DUMMYFUNCTION("""COMPUTED_VALUE"""),"")</f>
        <v/>
      </c>
      <c r="AQ779" s="1" t="str">
        <f>IFERROR(__xludf.DUMMYFUNCTION("""COMPUTED_VALUE"""),"05/12/2026")</f>
        <v>05/12/2026</v>
      </c>
      <c r="AR779" s="1" t="str">
        <f>IFERROR(__xludf.DUMMYFUNCTION("""COMPUTED_VALUE"""),"05/12/2026")</f>
        <v>05/12/2026</v>
      </c>
    </row>
    <row r="780">
      <c r="A780" s="1" t="str">
        <f>IFERROR(__xludf.DUMMYFUNCTION("""COMPUTED_VALUE"""),"Smithfield Gateway Data Center")</f>
        <v>Smithfield Gateway Data Center</v>
      </c>
      <c r="B780" s="1" t="str">
        <f>IFERROR(__xludf.DUMMYFUNCTION("""COMPUTED_VALUE"""),"Mosier Farm Dr corridor, Smithfield Township")</f>
        <v>Mosier Farm Dr corridor, Smithfield Township</v>
      </c>
      <c r="C780" s="1" t="str">
        <f>IFERROR(__xludf.DUMMYFUNCTION("""COMPUTED_VALUE"""),"East Stroudsburg")</f>
        <v>East Stroudsburg</v>
      </c>
      <c r="D780" s="1" t="str">
        <f>IFERROR(__xludf.DUMMYFUNCTION("""COMPUTED_VALUE"""),"PA")</f>
        <v>PA</v>
      </c>
      <c r="E780" s="1" t="str">
        <f>IFERROR(__xludf.DUMMYFUNCTION("""COMPUTED_VALUE"""),"18301")</f>
        <v>18301</v>
      </c>
      <c r="F780" s="1" t="str">
        <f>IFERROR(__xludf.DUMMYFUNCTION("""COMPUTED_VALUE"""),"Monroe")</f>
        <v>Monroe</v>
      </c>
      <c r="G780" s="1" t="str">
        <f>IFERROR(__xludf.DUMMYFUNCTION("""COMPUTED_VALUE"""),"41.00482")</f>
        <v>41.00482</v>
      </c>
      <c r="H780" s="1" t="str">
        <f>IFERROR(__xludf.DUMMYFUNCTION("""COMPUTED_VALUE"""),"-75.14695")</f>
        <v>-75.14695</v>
      </c>
      <c r="I780" s="1" t="str">
        <f>IFERROR(__xludf.DUMMYFUNCTION("""COMPUTED_VALUE"""),"Proposed")</f>
        <v>Proposed</v>
      </c>
      <c r="J780" s="1" t="str">
        <f>IFERROR(__xludf.DUMMYFUNCTION("""COMPUTED_VALUE"""),"High")</f>
        <v>High</v>
      </c>
      <c r="K780" s="1" t="str">
        <f>IFERROR(__xludf.DUMMYFUNCTION("""COMPUTED_VALUE"""),"")</f>
        <v/>
      </c>
      <c r="L780" s="1" t="str">
        <f>IFERROR(__xludf.DUMMYFUNCTION("""COMPUTED_VALUE"""),"Gateway Development")</f>
        <v>Gateway Development</v>
      </c>
      <c r="M780" s="1" t="str">
        <f>IFERROR(__xludf.DUMMYFUNCTION("""COMPUTED_VALUE"""),"")</f>
        <v/>
      </c>
      <c r="N780" s="1" t="str">
        <f>IFERROR(__xludf.DUMMYFUNCTION("""COMPUTED_VALUE"""),"")</f>
        <v/>
      </c>
      <c r="O780" s="1" t="str">
        <f>IFERROR(__xludf.DUMMYFUNCTION("""COMPUTED_VALUE"""),"Hyperscale (100-999 MW)")</f>
        <v>Hyperscale (100-999 MW)</v>
      </c>
      <c r="P780" s="1" t="str">
        <f>IFERROR(__xludf.DUMMYFUNCTION("""COMPUTED_VALUE"""),"")</f>
        <v/>
      </c>
      <c r="Q780" s="1" t="str">
        <f>IFERROR(__xludf.DUMMYFUNCTION("""COMPUTED_VALUE"""),"")</f>
        <v/>
      </c>
      <c r="R780" s="1" t="str">
        <f>IFERROR(__xludf.DUMMYFUNCTION("""COMPUTED_VALUE"""),"")</f>
        <v/>
      </c>
      <c r="S780" s="1" t="str">
        <f>IFERROR(__xludf.DUMMYFUNCTION("""COMPUTED_VALUE"""),"2")</f>
        <v>2</v>
      </c>
      <c r="T780" s="1" t="str">
        <f>IFERROR(__xludf.DUMMYFUNCTION("""COMPUTED_VALUE"""),"")</f>
        <v/>
      </c>
      <c r="U780" s="1" t="str">
        <f>IFERROR(__xludf.DUMMYFUNCTION("""COMPUTED_VALUE"""),"")</f>
        <v/>
      </c>
      <c r="V780" s="1" t="str">
        <f>IFERROR(__xludf.DUMMYFUNCTION("""COMPUTED_VALUE"""),"500,000")</f>
        <v>500,000</v>
      </c>
      <c r="W780" s="1" t="str">
        <f>IFERROR(__xludf.DUMMYFUNCTION("""COMPUTED_VALUE"""),"")</f>
        <v/>
      </c>
      <c r="X780" s="1" t="str">
        <f>IFERROR(__xludf.DUMMYFUNCTION("""COMPUTED_VALUE"""),"")</f>
        <v/>
      </c>
      <c r="Y780" s="1" t="str">
        <f>IFERROR(__xludf.DUMMYFUNCTION("""COMPUTED_VALUE"""),"")</f>
        <v/>
      </c>
      <c r="Z780" s="1" t="str">
        <f>IFERROR(__xludf.DUMMYFUNCTION("""COMPUTED_VALUE"""),"Yes")</f>
        <v>Yes</v>
      </c>
      <c r="AA780" s="1" t="str">
        <f>IFERROR(__xludf.DUMMYFUNCTION("""COMPUTED_VALUE"""),"")</f>
        <v/>
      </c>
      <c r="AB780" s="1" t="str">
        <f>IFERROR(__xludf.DUMMYFUNCTION("""COMPUTED_VALUE"""),"")</f>
        <v/>
      </c>
      <c r="AC780" s="1" t="str">
        <f>IFERROR(__xludf.DUMMYFUNCTION("""COMPUTED_VALUE"""),"")</f>
        <v/>
      </c>
      <c r="AD780" s="1" t="str">
        <f>IFERROR(__xludf.DUMMYFUNCTION("""COMPUTED_VALUE"""),"")</f>
        <v/>
      </c>
      <c r="AE780" s="1" t="str">
        <f>IFERROR(__xludf.DUMMYFUNCTION("""COMPUTED_VALUE"""),"")</f>
        <v/>
      </c>
      <c r="AF780" s="2" t="str">
        <f>IFERROR(__xludf.DUMMYFUNCTION("""COMPUTED_VALUE"""),"https://www.change.org/p/stop-the-massive-data-center-in-east-stroudsburg-pa")</f>
        <v>https://www.change.org/p/stop-the-massive-data-center-in-east-stroudsburg-pa</v>
      </c>
      <c r="AG780" s="1" t="str">
        <f>IFERROR(__xludf.DUMMYFUNCTION("""COMPUTED_VALUE"""),"")</f>
        <v/>
      </c>
      <c r="AH780" s="1" t="str">
        <f>IFERROR(__xludf.DUMMYFUNCTION("""COMPUTED_VALUE"""),"Media Monitoring")</f>
        <v>Media Monitoring</v>
      </c>
      <c r="AI780" s="2" t="str">
        <f>IFERROR(__xludf.DUMMYFUNCTION("""COMPUTED_VALUE"""),"https://www.datacenterdynamics.com/en/news/data-center-could-come-to-stroudsburg-pennsylvania/")</f>
        <v>https://www.datacenterdynamics.com/en/news/data-center-could-come-to-stroudsburg-pennsylvania/</v>
      </c>
      <c r="AJ780" s="2" t="str">
        <f>IFERROR(__xludf.DUMMYFUNCTION("""COMPUTED_VALUE"""),"https://smithfieldtownship.com/odp/gatewaysketch/")</f>
        <v>https://smithfieldtownship.com/odp/gatewaysketch/</v>
      </c>
      <c r="AK780" s="1" t="str">
        <f>IFERROR(__xludf.DUMMYFUNCTION("""COMPUTED_VALUE"""),"")</f>
        <v/>
      </c>
      <c r="AL780" s="1" t="str">
        <f>IFERROR(__xludf.DUMMYFUNCTION("""COMPUTED_VALUE"""),"")</f>
        <v/>
      </c>
      <c r="AM780" s="1" t="str">
        <f>IFERROR(__xludf.DUMMYFUNCTION("""COMPUTED_VALUE"""),"")</f>
        <v/>
      </c>
      <c r="AN780" s="1" t="str">
        <f>IFERROR(__xludf.DUMMYFUNCTION("""COMPUTED_VALUE"""),"")</f>
        <v/>
      </c>
      <c r="AO780" s="1" t="str">
        <f>IFERROR(__xludf.DUMMYFUNCTION("""COMPUTED_VALUE"""),"")</f>
        <v/>
      </c>
      <c r="AP780" s="1" t="str">
        <f>IFERROR(__xludf.DUMMYFUNCTION("""COMPUTED_VALUE"""),"")</f>
        <v/>
      </c>
      <c r="AQ780" s="1" t="str">
        <f>IFERROR(__xludf.DUMMYFUNCTION("""COMPUTED_VALUE"""),"03/13/2026")</f>
        <v>03/13/2026</v>
      </c>
      <c r="AR780" s="1" t="str">
        <f>IFERROR(__xludf.DUMMYFUNCTION("""COMPUTED_VALUE"""),"03/13/2026")</f>
        <v>03/13/2026</v>
      </c>
    </row>
    <row r="781">
      <c r="A781" s="1" t="str">
        <f>IFERROR(__xludf.DUMMYFUNCTION("""COMPUTED_VALUE"""),"viLogics Ebensburg")</f>
        <v>viLogics Ebensburg</v>
      </c>
      <c r="B781" s="1" t="str">
        <f>IFERROR(__xludf.DUMMYFUNCTION("""COMPUTED_VALUE"""),"378 Industrial Park Rd")</f>
        <v>378 Industrial Park Rd</v>
      </c>
      <c r="C781" s="1" t="str">
        <f>IFERROR(__xludf.DUMMYFUNCTION("""COMPUTED_VALUE"""),"Ebensburg")</f>
        <v>Ebensburg</v>
      </c>
      <c r="D781" s="1" t="str">
        <f>IFERROR(__xludf.DUMMYFUNCTION("""COMPUTED_VALUE"""),"PA")</f>
        <v>PA</v>
      </c>
      <c r="E781" s="1" t="str">
        <f>IFERROR(__xludf.DUMMYFUNCTION("""COMPUTED_VALUE"""),"15931")</f>
        <v>15931</v>
      </c>
      <c r="F781" s="1" t="str">
        <f>IFERROR(__xludf.DUMMYFUNCTION("""COMPUTED_VALUE"""),"Cambria")</f>
        <v>Cambria</v>
      </c>
      <c r="G781" s="1" t="str">
        <f>IFERROR(__xludf.DUMMYFUNCTION("""COMPUTED_VALUE"""),"40.45876")</f>
        <v>40.45876</v>
      </c>
      <c r="H781" s="1" t="str">
        <f>IFERROR(__xludf.DUMMYFUNCTION("""COMPUTED_VALUE"""),"-78.758766")</f>
        <v>-78.758766</v>
      </c>
      <c r="I781" s="1" t="str">
        <f>IFERROR(__xludf.DUMMYFUNCTION("""COMPUTED_VALUE"""),"Operating")</f>
        <v>Operating</v>
      </c>
      <c r="J781" s="1" t="str">
        <f>IFERROR(__xludf.DUMMYFUNCTION("""COMPUTED_VALUE"""),"High")</f>
        <v>High</v>
      </c>
      <c r="K781" s="1" t="str">
        <f>IFERROR(__xludf.DUMMYFUNCTION("""COMPUTED_VALUE"""),"")</f>
        <v/>
      </c>
      <c r="L781" s="1" t="str">
        <f>IFERROR(__xludf.DUMMYFUNCTION("""COMPUTED_VALUE"""),"viLogics")</f>
        <v>viLogics</v>
      </c>
      <c r="M781" s="1" t="str">
        <f>IFERROR(__xludf.DUMMYFUNCTION("""COMPUTED_VALUE"""),"")</f>
        <v/>
      </c>
      <c r="N781" s="1" t="str">
        <f>IFERROR(__xludf.DUMMYFUNCTION("""COMPUTED_VALUE"""),"3")</f>
        <v>3</v>
      </c>
      <c r="O781" s="1" t="str">
        <f>IFERROR(__xludf.DUMMYFUNCTION("""COMPUTED_VALUE"""),"Small (0-10 MW)")</f>
        <v>Small (0-10 MW)</v>
      </c>
      <c r="P781" s="1" t="str">
        <f>IFERROR(__xludf.DUMMYFUNCTION("""COMPUTED_VALUE"""),"")</f>
        <v/>
      </c>
      <c r="Q781" s="1" t="str">
        <f>IFERROR(__xludf.DUMMYFUNCTION("""COMPUTED_VALUE"""),"")</f>
        <v/>
      </c>
      <c r="R781" s="1" t="str">
        <f>IFERROR(__xludf.DUMMYFUNCTION("""COMPUTED_VALUE"""),"")</f>
        <v/>
      </c>
      <c r="S781" s="1" t="str">
        <f>IFERROR(__xludf.DUMMYFUNCTION("""COMPUTED_VALUE"""),"")</f>
        <v/>
      </c>
      <c r="T781" s="1" t="str">
        <f>IFERROR(__xludf.DUMMYFUNCTION("""COMPUTED_VALUE"""),"")</f>
        <v/>
      </c>
      <c r="U781" s="1" t="str">
        <f>IFERROR(__xludf.DUMMYFUNCTION("""COMPUTED_VALUE"""),"")</f>
        <v/>
      </c>
      <c r="V781" s="1" t="str">
        <f>IFERROR(__xludf.DUMMYFUNCTION("""COMPUTED_VALUE"""),"15,000")</f>
        <v>15,000</v>
      </c>
      <c r="W781" s="1" t="str">
        <f>IFERROR(__xludf.DUMMYFUNCTION("""COMPUTED_VALUE"""),"")</f>
        <v/>
      </c>
      <c r="X781" s="1" t="str">
        <f>IFERROR(__xludf.DUMMYFUNCTION("""COMPUTED_VALUE"""),"")</f>
        <v/>
      </c>
      <c r="Y781" s="1" t="str">
        <f>IFERROR(__xludf.DUMMYFUNCTION("""COMPUTED_VALUE"""),"")</f>
        <v/>
      </c>
      <c r="Z781" s="1" t="str">
        <f>IFERROR(__xludf.DUMMYFUNCTION("""COMPUTED_VALUE"""),"Unknown")</f>
        <v>Unknown</v>
      </c>
      <c r="AA781" s="1" t="str">
        <f>IFERROR(__xludf.DUMMYFUNCTION("""COMPUTED_VALUE"""),"")</f>
        <v/>
      </c>
      <c r="AB781" s="1" t="str">
        <f>IFERROR(__xludf.DUMMYFUNCTION("""COMPUTED_VALUE"""),"")</f>
        <v/>
      </c>
      <c r="AC781" s="1" t="str">
        <f>IFERROR(__xludf.DUMMYFUNCTION("""COMPUTED_VALUE"""),"")</f>
        <v/>
      </c>
      <c r="AD781" s="1" t="str">
        <f>IFERROR(__xludf.DUMMYFUNCTION("""COMPUTED_VALUE"""),"")</f>
        <v/>
      </c>
      <c r="AE781" s="1" t="str">
        <f>IFERROR(__xludf.DUMMYFUNCTION("""COMPUTED_VALUE"""),"")</f>
        <v/>
      </c>
      <c r="AF781" s="1" t="str">
        <f>IFERROR(__xludf.DUMMYFUNCTION("""COMPUTED_VALUE"""),"")</f>
        <v/>
      </c>
      <c r="AG781" s="1" t="str">
        <f>IFERROR(__xludf.DUMMYFUNCTION("""COMPUTED_VALUE"""),"Fully Built-Out Whitespace: 2,500 sq.f.")</f>
        <v>Fully Built-Out Whitespace: 2,500 sq.f.</v>
      </c>
      <c r="AH781" s="1" t="str">
        <f>IFERROR(__xludf.DUMMYFUNCTION("""COMPUTED_VALUE"""),"Other")</f>
        <v>Other</v>
      </c>
      <c r="AI781" s="2" t="str">
        <f>IFERROR(__xludf.DUMMYFUNCTION("""COMPUTED_VALUE"""),"https://vilogics.com/")</f>
        <v>https://vilogics.com/</v>
      </c>
      <c r="AJ781" s="1" t="str">
        <f>IFERROR(__xludf.DUMMYFUNCTION("""COMPUTED_VALUE"""),"")</f>
        <v/>
      </c>
      <c r="AK781" s="1" t="str">
        <f>IFERROR(__xludf.DUMMYFUNCTION("""COMPUTED_VALUE"""),"")</f>
        <v/>
      </c>
      <c r="AL781" s="1" t="str">
        <f>IFERROR(__xludf.DUMMYFUNCTION("""COMPUTED_VALUE"""),"")</f>
        <v/>
      </c>
      <c r="AM781" s="1" t="str">
        <f>IFERROR(__xludf.DUMMYFUNCTION("""COMPUTED_VALUE"""),"")</f>
        <v/>
      </c>
      <c r="AN781" s="1" t="str">
        <f>IFERROR(__xludf.DUMMYFUNCTION("""COMPUTED_VALUE"""),"")</f>
        <v/>
      </c>
      <c r="AO781" s="1" t="str">
        <f>IFERROR(__xludf.DUMMYFUNCTION("""COMPUTED_VALUE"""),"")</f>
        <v/>
      </c>
      <c r="AP781" s="1" t="str">
        <f>IFERROR(__xludf.DUMMYFUNCTION("""COMPUTED_VALUE"""),"")</f>
        <v/>
      </c>
      <c r="AQ781" s="1" t="str">
        <f>IFERROR(__xludf.DUMMYFUNCTION("""COMPUTED_VALUE"""),"11/21/2025")</f>
        <v>11/21/2025</v>
      </c>
      <c r="AR781" s="1" t="str">
        <f>IFERROR(__xludf.DUMMYFUNCTION("""COMPUTED_VALUE"""),"11/21/2025")</f>
        <v>11/21/2025</v>
      </c>
    </row>
    <row r="782">
      <c r="A782" s="1" t="str">
        <f>IFERROR(__xludf.DUMMYFUNCTION("""COMPUTED_VALUE"""),"Sentinel Data Center")</f>
        <v>Sentinel Data Center</v>
      </c>
      <c r="B782" s="1" t="str">
        <f>IFERROR(__xludf.DUMMYFUNCTION("""COMPUTED_VALUE"""),"Swedesford Rd, east of Valley Creek Blvd")</f>
        <v>Swedesford Rd, east of Valley Creek Blvd</v>
      </c>
      <c r="C782" s="1" t="str">
        <f>IFERROR(__xludf.DUMMYFUNCTION("""COMPUTED_VALUE"""),"Exton")</f>
        <v>Exton</v>
      </c>
      <c r="D782" s="1" t="str">
        <f>IFERROR(__xludf.DUMMYFUNCTION("""COMPUTED_VALUE"""),"PA")</f>
        <v>PA</v>
      </c>
      <c r="E782" s="1" t="str">
        <f>IFERROR(__xludf.DUMMYFUNCTION("""COMPUTED_VALUE"""),"19341")</f>
        <v>19341</v>
      </c>
      <c r="F782" s="1" t="str">
        <f>IFERROR(__xludf.DUMMYFUNCTION("""COMPUTED_VALUE"""),"Chester")</f>
        <v>Chester</v>
      </c>
      <c r="G782" s="1" t="str">
        <f>IFERROR(__xludf.DUMMYFUNCTION("""COMPUTED_VALUE"""),"40.039886")</f>
        <v>40.039886</v>
      </c>
      <c r="H782" s="1" t="str">
        <f>IFERROR(__xludf.DUMMYFUNCTION("""COMPUTED_VALUE"""),"-75.5847")</f>
        <v>-75.5847</v>
      </c>
      <c r="I782" s="1" t="str">
        <f>IFERROR(__xludf.DUMMYFUNCTION("""COMPUTED_VALUE"""),"Proposed")</f>
        <v>Proposed</v>
      </c>
      <c r="J782" s="1" t="str">
        <f>IFERROR(__xludf.DUMMYFUNCTION("""COMPUTED_VALUE"""),"High")</f>
        <v>High</v>
      </c>
      <c r="K782" s="1" t="str">
        <f>IFERROR(__xludf.DUMMYFUNCTION("""COMPUTED_VALUE"""),"")</f>
        <v/>
      </c>
      <c r="L782" s="1" t="str">
        <f>IFERROR(__xludf.DUMMYFUNCTION("""COMPUTED_VALUE"""),"Sentinel")</f>
        <v>Sentinel</v>
      </c>
      <c r="M782" s="1" t="str">
        <f>IFERROR(__xludf.DUMMYFUNCTION("""COMPUTED_VALUE"""),"")</f>
        <v/>
      </c>
      <c r="N782" s="1" t="str">
        <f>IFERROR(__xludf.DUMMYFUNCTION("""COMPUTED_VALUE"""),"")</f>
        <v/>
      </c>
      <c r="O782" s="1" t="str">
        <f>IFERROR(__xludf.DUMMYFUNCTION("""COMPUTED_VALUE"""),"Unknown")</f>
        <v>Unknown</v>
      </c>
      <c r="P782" s="1" t="str">
        <f>IFERROR(__xludf.DUMMYFUNCTION("""COMPUTED_VALUE"""),"")</f>
        <v/>
      </c>
      <c r="Q782" s="1" t="str">
        <f>IFERROR(__xludf.DUMMYFUNCTION("""COMPUTED_VALUE"""),"")</f>
        <v/>
      </c>
      <c r="R782" s="1" t="str">
        <f>IFERROR(__xludf.DUMMYFUNCTION("""COMPUTED_VALUE"""),"")</f>
        <v/>
      </c>
      <c r="S782" s="1" t="str">
        <f>IFERROR(__xludf.DUMMYFUNCTION("""COMPUTED_VALUE"""),"2")</f>
        <v>2</v>
      </c>
      <c r="T782" s="1" t="str">
        <f>IFERROR(__xludf.DUMMYFUNCTION("""COMPUTED_VALUE"""),"")</f>
        <v/>
      </c>
      <c r="U782" s="1" t="str">
        <f>IFERROR(__xludf.DUMMYFUNCTION("""COMPUTED_VALUE"""),"")</f>
        <v/>
      </c>
      <c r="V782" s="1" t="str">
        <f>IFERROR(__xludf.DUMMYFUNCTION("""COMPUTED_VALUE"""),"887,000")</f>
        <v>887,000</v>
      </c>
      <c r="W782" s="1" t="str">
        <f>IFERROR(__xludf.DUMMYFUNCTION("""COMPUTED_VALUE"""),"")</f>
        <v/>
      </c>
      <c r="X782" s="1" t="str">
        <f>IFERROR(__xludf.DUMMYFUNCTION("""COMPUTED_VALUE"""),"")</f>
        <v/>
      </c>
      <c r="Y782" s="1" t="str">
        <f>IFERROR(__xludf.DUMMYFUNCTION("""COMPUTED_VALUE"""),"")</f>
        <v/>
      </c>
      <c r="Z782" s="1" t="str">
        <f>IFERROR(__xludf.DUMMYFUNCTION("""COMPUTED_VALUE"""),"Unknown")</f>
        <v>Unknown</v>
      </c>
      <c r="AA782" s="1" t="str">
        <f>IFERROR(__xludf.DUMMYFUNCTION("""COMPUTED_VALUE"""),"")</f>
        <v/>
      </c>
      <c r="AB782" s="1" t="str">
        <f>IFERROR(__xludf.DUMMYFUNCTION("""COMPUTED_VALUE"""),"")</f>
        <v/>
      </c>
      <c r="AC782" s="1" t="str">
        <f>IFERROR(__xludf.DUMMYFUNCTION("""COMPUTED_VALUE"""),"")</f>
        <v/>
      </c>
      <c r="AD782" s="1" t="str">
        <f>IFERROR(__xludf.DUMMYFUNCTION("""COMPUTED_VALUE"""),"")</f>
        <v/>
      </c>
      <c r="AE782" s="1" t="str">
        <f>IFERROR(__xludf.DUMMYFUNCTION("""COMPUTED_VALUE"""),"")</f>
        <v/>
      </c>
      <c r="AF782" s="1" t="str">
        <f>IFERROR(__xludf.DUMMYFUNCTION("""COMPUTED_VALUE"""),"")</f>
        <v/>
      </c>
      <c r="AG782" s="1" t="str">
        <f>IFERROR(__xludf.DUMMYFUNCTION("""COMPUTED_VALUE"""),"Brownfield, former Foote Mineral Co. Superfund Site")</f>
        <v>Brownfield, former Foote Mineral Co. Superfund Site</v>
      </c>
      <c r="AH782" s="1" t="str">
        <f>IFERROR(__xludf.DUMMYFUNCTION("""COMPUTED_VALUE"""),"Media Monitoring")</f>
        <v>Media Monitoring</v>
      </c>
      <c r="AI782" s="2" t="str">
        <f>IFERROR(__xludf.DUMMYFUNCTION("""COMPUTED_VALUE"""),"https://www.datacenterdynamics.com/en/news/developer-says-it-will-build-larger-data-center-if-plans-for-smaller-facility-near-philadelphia-go-unapproved/")</f>
        <v>https://www.datacenterdynamics.com/en/news/developer-says-it-will-build-larger-data-center-if-plans-for-smaller-facility-near-philadelphia-go-unapproved/</v>
      </c>
      <c r="AJ782" s="1" t="str">
        <f>IFERROR(__xludf.DUMMYFUNCTION("""COMPUTED_VALUE"""),"")</f>
        <v/>
      </c>
      <c r="AK782" s="1" t="str">
        <f>IFERROR(__xludf.DUMMYFUNCTION("""COMPUTED_VALUE"""),"")</f>
        <v/>
      </c>
      <c r="AL782" s="1" t="str">
        <f>IFERROR(__xludf.DUMMYFUNCTION("""COMPUTED_VALUE"""),"")</f>
        <v/>
      </c>
      <c r="AM782" s="1" t="str">
        <f>IFERROR(__xludf.DUMMYFUNCTION("""COMPUTED_VALUE"""),"")</f>
        <v/>
      </c>
      <c r="AN782" s="1" t="str">
        <f>IFERROR(__xludf.DUMMYFUNCTION("""COMPUTED_VALUE"""),"")</f>
        <v/>
      </c>
      <c r="AO782" s="1" t="str">
        <f>IFERROR(__xludf.DUMMYFUNCTION("""COMPUTED_VALUE"""),"")</f>
        <v/>
      </c>
      <c r="AP782" s="1" t="str">
        <f>IFERROR(__xludf.DUMMYFUNCTION("""COMPUTED_VALUE"""),"")</f>
        <v/>
      </c>
      <c r="AQ782" s="1" t="str">
        <f>IFERROR(__xludf.DUMMYFUNCTION("""COMPUTED_VALUE"""),"04/23/2026")</f>
        <v>04/23/2026</v>
      </c>
      <c r="AR782" s="1" t="str">
        <f>IFERROR(__xludf.DUMMYFUNCTION("""COMPUTED_VALUE"""),"04/23/2026")</f>
        <v>04/23/2026</v>
      </c>
    </row>
    <row r="783">
      <c r="A783" s="1" t="str">
        <f>IFERROR(__xludf.DUMMYFUNCTION("""COMPUTED_VALUE"""),"Archbald Data Center ")</f>
        <v>Archbald Data Center </v>
      </c>
      <c r="B783" s="1" t="str">
        <f>IFERROR(__xludf.DUMMYFUNCTION("""COMPUTED_VALUE"""),"Former Highway Auto Parts site")</f>
        <v>Former Highway Auto Parts site</v>
      </c>
      <c r="C783" s="1" t="str">
        <f>IFERROR(__xludf.DUMMYFUNCTION("""COMPUTED_VALUE"""),"Eynon")</f>
        <v>Eynon</v>
      </c>
      <c r="D783" s="1" t="str">
        <f>IFERROR(__xludf.DUMMYFUNCTION("""COMPUTED_VALUE"""),"PA")</f>
        <v>PA</v>
      </c>
      <c r="E783" s="1" t="str">
        <f>IFERROR(__xludf.DUMMYFUNCTION("""COMPUTED_VALUE"""),"18403")</f>
        <v>18403</v>
      </c>
      <c r="F783" s="1" t="str">
        <f>IFERROR(__xludf.DUMMYFUNCTION("""COMPUTED_VALUE"""),"Lackawanna")</f>
        <v>Lackawanna</v>
      </c>
      <c r="G783" s="1" t="str">
        <f>IFERROR(__xludf.DUMMYFUNCTION("""COMPUTED_VALUE"""),"41.51232")</f>
        <v>41.51232</v>
      </c>
      <c r="H783" s="1" t="str">
        <f>IFERROR(__xludf.DUMMYFUNCTION("""COMPUTED_VALUE"""),"-75.5583")</f>
        <v>-75.5583</v>
      </c>
      <c r="I783" s="1" t="str">
        <f>IFERROR(__xludf.DUMMYFUNCTION("""COMPUTED_VALUE"""),"Proposed")</f>
        <v>Proposed</v>
      </c>
      <c r="J783" s="1" t="str">
        <f>IFERROR(__xludf.DUMMYFUNCTION("""COMPUTED_VALUE"""),"High")</f>
        <v>High</v>
      </c>
      <c r="K783" s="1" t="str">
        <f>IFERROR(__xludf.DUMMYFUNCTION("""COMPUTED_VALUE"""),"")</f>
        <v/>
      </c>
      <c r="L783" s="1" t="str">
        <f>IFERROR(__xludf.DUMMYFUNCTION("""COMPUTED_VALUE"""),"PDC Realty LLC")</f>
        <v>PDC Realty LLC</v>
      </c>
      <c r="M783" s="1" t="str">
        <f>IFERROR(__xludf.DUMMYFUNCTION("""COMPUTED_VALUE"""),"")</f>
        <v/>
      </c>
      <c r="N783" s="1" t="str">
        <f>IFERROR(__xludf.DUMMYFUNCTION("""COMPUTED_VALUE"""),"")</f>
        <v/>
      </c>
      <c r="O783" s="1" t="str">
        <f>IFERROR(__xludf.DUMMYFUNCTION("""COMPUTED_VALUE"""),"Unknown")</f>
        <v>Unknown</v>
      </c>
      <c r="P783" s="1" t="str">
        <f>IFERROR(__xludf.DUMMYFUNCTION("""COMPUTED_VALUE"""),"")</f>
        <v/>
      </c>
      <c r="Q783" s="1" t="str">
        <f>IFERROR(__xludf.DUMMYFUNCTION("""COMPUTED_VALUE"""),"")</f>
        <v/>
      </c>
      <c r="R783" s="1" t="str">
        <f>IFERROR(__xludf.DUMMYFUNCTION("""COMPUTED_VALUE"""),"")</f>
        <v/>
      </c>
      <c r="S783" s="1" t="str">
        <f>IFERROR(__xludf.DUMMYFUNCTION("""COMPUTED_VALUE"""),"3")</f>
        <v>3</v>
      </c>
      <c r="T783" s="1" t="str">
        <f>IFERROR(__xludf.DUMMYFUNCTION("""COMPUTED_VALUE"""),"")</f>
        <v/>
      </c>
      <c r="U783" s="1" t="str">
        <f>IFERROR(__xludf.DUMMYFUNCTION("""COMPUTED_VALUE"""),"")</f>
        <v/>
      </c>
      <c r="V783" s="1" t="str">
        <f>IFERROR(__xludf.DUMMYFUNCTION("""COMPUTED_VALUE"""),"620,000")</f>
        <v>620,000</v>
      </c>
      <c r="W783" s="1" t="str">
        <f>IFERROR(__xludf.DUMMYFUNCTION("""COMPUTED_VALUE"""),"84")</f>
        <v>84</v>
      </c>
      <c r="X783" s="1" t="str">
        <f>IFERROR(__xludf.DUMMYFUNCTION("""COMPUTED_VALUE"""),"$1.6 million")</f>
        <v>$1.6 million</v>
      </c>
      <c r="Y783" s="1" t="str">
        <f>IFERROR(__xludf.DUMMYFUNCTION("""COMPUTED_VALUE"""),"")</f>
        <v/>
      </c>
      <c r="Z783" s="1" t="str">
        <f>IFERROR(__xludf.DUMMYFUNCTION("""COMPUTED_VALUE"""),"Yes")</f>
        <v>Yes</v>
      </c>
      <c r="AA783" s="2" t="str">
        <f>IFERROR(__xludf.DUMMYFUNCTION("""COMPUTED_VALUE"""),"https://www.spotlightpa.org/news/2026/03/pennsylvania-data-centers-archbald-ai-evictions-environment/")</f>
        <v>https://www.spotlightpa.org/news/2026/03/pennsylvania-data-centers-archbald-ai-evictions-environment/</v>
      </c>
      <c r="AB783" s="1" t="str">
        <f>IFERROR(__xludf.DUMMYFUNCTION("""COMPUTED_VALUE"""),"")</f>
        <v/>
      </c>
      <c r="AC783" s="1" t="str">
        <f>IFERROR(__xludf.DUMMYFUNCTION("""COMPUTED_VALUE"""),"")</f>
        <v/>
      </c>
      <c r="AD783" s="1" t="str">
        <f>IFERROR(__xludf.DUMMYFUNCTION("""COMPUTED_VALUE"""),"")</f>
        <v/>
      </c>
      <c r="AE783" s="1" t="str">
        <f>IFERROR(__xludf.DUMMYFUNCTION("""COMPUTED_VALUE"""),"")</f>
        <v/>
      </c>
      <c r="AF783" s="1" t="str">
        <f>IFERROR(__xludf.DUMMYFUNCTION("""COMPUTED_VALUE"""),"")</f>
        <v/>
      </c>
      <c r="AG783" s="1" t="str">
        <f>IFERROR(__xludf.DUMMYFUNCTION("""COMPUTED_VALUE"""),"3 data centers total. Proposed at the site of former Highway Auto Parts junkyard")</f>
        <v>3 data centers total. Proposed at the site of former Highway Auto Parts junkyard</v>
      </c>
      <c r="AH783" s="1" t="str">
        <f>IFERROR(__xludf.DUMMYFUNCTION("""COMPUTED_VALUE"""),"Media Monitoring")</f>
        <v>Media Monitoring</v>
      </c>
      <c r="AI783" s="2" t="str">
        <f>IFERROR(__xludf.DUMMYFUNCTION("""COMPUTED_VALUE"""),"https://www.thetimes-tribune.com/2025/05/14/developer-seeks-to-convert-archbald-junkyard-to-data-centers/")</f>
        <v>https://www.thetimes-tribune.com/2025/05/14/developer-seeks-to-convert-archbald-junkyard-to-data-centers/</v>
      </c>
      <c r="AJ783" s="2" t="str">
        <f>IFERROR(__xludf.DUMMYFUNCTION("""COMPUTED_VALUE"""),"https://www.wnep.com/article/news/local/lackawanna-county/data-center-lackawanna-county-archbald-blakely-jessup-council-votes/523-627d1d15-f8e2-436e-be39-732ec3ee3b26")</f>
        <v>https://www.wnep.com/article/news/local/lackawanna-county/data-center-lackawanna-county-archbald-blakely-jessup-council-votes/523-627d1d15-f8e2-436e-be39-732ec3ee3b26</v>
      </c>
      <c r="AK783" s="2" t="str">
        <f>IFERROR(__xludf.DUMMYFUNCTION("""COMPUTED_VALUE"""),"https://www.datacenterdynamics.com/en/news/junkyard-in-pennsylvania-acquired-developer-files-to-develop-data-center-campus/")</f>
        <v>https://www.datacenterdynamics.com/en/news/junkyard-in-pennsylvania-acquired-developer-files-to-develop-data-center-campus/</v>
      </c>
      <c r="AL783" s="1" t="str">
        <f>IFERROR(__xludf.DUMMYFUNCTION("""COMPUTED_VALUE"""),"")</f>
        <v/>
      </c>
      <c r="AM783" s="1" t="str">
        <f>IFERROR(__xludf.DUMMYFUNCTION("""COMPUTED_VALUE"""),"")</f>
        <v/>
      </c>
      <c r="AN783" s="1" t="str">
        <f>IFERROR(__xludf.DUMMYFUNCTION("""COMPUTED_VALUE"""),"")</f>
        <v/>
      </c>
      <c r="AO783" s="1" t="str">
        <f>IFERROR(__xludf.DUMMYFUNCTION("""COMPUTED_VALUE"""),"")</f>
        <v/>
      </c>
      <c r="AP783" s="1" t="str">
        <f>IFERROR(__xludf.DUMMYFUNCTION("""COMPUTED_VALUE"""),"")</f>
        <v/>
      </c>
      <c r="AQ783" s="1" t="str">
        <f>IFERROR(__xludf.DUMMYFUNCTION("""COMPUTED_VALUE"""),"05/19/2025")</f>
        <v>05/19/2025</v>
      </c>
      <c r="AR783" s="1" t="str">
        <f>IFERROR(__xludf.DUMMYFUNCTION("""COMPUTED_VALUE"""),"03/22/2026")</f>
        <v>03/22/2026</v>
      </c>
    </row>
    <row r="784">
      <c r="A784" s="1" t="str">
        <f>IFERROR(__xludf.DUMMYFUNCTION("""COMPUTED_VALUE"""),"Fairview Crossroads Data Center")</f>
        <v>Fairview Crossroads Data Center</v>
      </c>
      <c r="B784" s="1" t="str">
        <f>IFERROR(__xludf.DUMMYFUNCTION("""COMPUTED_VALUE"""),"I-83 &amp; Lewisberry Rd")</f>
        <v>I-83 &amp; Lewisberry Rd</v>
      </c>
      <c r="C784" s="1" t="str">
        <f>IFERROR(__xludf.DUMMYFUNCTION("""COMPUTED_VALUE"""),"Fairview Township")</f>
        <v>Fairview Township</v>
      </c>
      <c r="D784" s="1" t="str">
        <f>IFERROR(__xludf.DUMMYFUNCTION("""COMPUTED_VALUE"""),"PA")</f>
        <v>PA</v>
      </c>
      <c r="E784" s="1" t="str">
        <f>IFERROR(__xludf.DUMMYFUNCTION("""COMPUTED_VALUE"""),"17070")</f>
        <v>17070</v>
      </c>
      <c r="F784" s="1" t="str">
        <f>IFERROR(__xludf.DUMMYFUNCTION("""COMPUTED_VALUE"""),"York")</f>
        <v>York</v>
      </c>
      <c r="G784" s="1" t="str">
        <f>IFERROR(__xludf.DUMMYFUNCTION("""COMPUTED_VALUE"""),"40.206436")</f>
        <v>40.206436</v>
      </c>
      <c r="H784" s="1" t="str">
        <f>IFERROR(__xludf.DUMMYFUNCTION("""COMPUTED_VALUE"""),"-76.871")</f>
        <v>-76.871</v>
      </c>
      <c r="I784" s="1" t="str">
        <f>IFERROR(__xludf.DUMMYFUNCTION("""COMPUTED_VALUE"""),"Proposed")</f>
        <v>Proposed</v>
      </c>
      <c r="J784" s="1" t="str">
        <f>IFERROR(__xludf.DUMMYFUNCTION("""COMPUTED_VALUE"""),"Medium")</f>
        <v>Medium</v>
      </c>
      <c r="K784" s="1" t="str">
        <f>IFERROR(__xludf.DUMMYFUNCTION("""COMPUTED_VALUE"""),"")</f>
        <v/>
      </c>
      <c r="L784" s="1" t="str">
        <f>IFERROR(__xludf.DUMMYFUNCTION("""COMPUTED_VALUE"""),"Fairview Crossroads LLC")</f>
        <v>Fairview Crossroads LLC</v>
      </c>
      <c r="M784" s="1" t="str">
        <f>IFERROR(__xludf.DUMMYFUNCTION("""COMPUTED_VALUE"""),"")</f>
        <v/>
      </c>
      <c r="N784" s="1" t="str">
        <f>IFERROR(__xludf.DUMMYFUNCTION("""COMPUTED_VALUE"""),"")</f>
        <v/>
      </c>
      <c r="O784" s="1" t="str">
        <f>IFERROR(__xludf.DUMMYFUNCTION("""COMPUTED_VALUE"""),"Unknown")</f>
        <v>Unknown</v>
      </c>
      <c r="P784" s="1" t="str">
        <f>IFERROR(__xludf.DUMMYFUNCTION("""COMPUTED_VALUE"""),"")</f>
        <v/>
      </c>
      <c r="Q784" s="1" t="str">
        <f>IFERROR(__xludf.DUMMYFUNCTION("""COMPUTED_VALUE"""),"")</f>
        <v/>
      </c>
      <c r="R784" s="1" t="str">
        <f>IFERROR(__xludf.DUMMYFUNCTION("""COMPUTED_VALUE"""),"")</f>
        <v/>
      </c>
      <c r="S784" s="1" t="str">
        <f>IFERROR(__xludf.DUMMYFUNCTION("""COMPUTED_VALUE"""),"")</f>
        <v/>
      </c>
      <c r="T784" s="1" t="str">
        <f>IFERROR(__xludf.DUMMYFUNCTION("""COMPUTED_VALUE"""),"")</f>
        <v/>
      </c>
      <c r="U784" s="1" t="str">
        <f>IFERROR(__xludf.DUMMYFUNCTION("""COMPUTED_VALUE"""),"")</f>
        <v/>
      </c>
      <c r="V784" s="1" t="str">
        <f>IFERROR(__xludf.DUMMYFUNCTION("""COMPUTED_VALUE"""),"750,000")</f>
        <v>750,000</v>
      </c>
      <c r="W784" s="1" t="str">
        <f>IFERROR(__xludf.DUMMYFUNCTION("""COMPUTED_VALUE"""),"82")</f>
        <v>82</v>
      </c>
      <c r="X784" s="1" t="str">
        <f>IFERROR(__xludf.DUMMYFUNCTION("""COMPUTED_VALUE"""),"~$500 million")</f>
        <v>~$500 million</v>
      </c>
      <c r="Y784" s="1" t="str">
        <f>IFERROR(__xludf.DUMMYFUNCTION("""COMPUTED_VALUE"""),"")</f>
        <v/>
      </c>
      <c r="Z784" s="1" t="str">
        <f>IFERROR(__xludf.DUMMYFUNCTION("""COMPUTED_VALUE"""),"Unknown")</f>
        <v>Unknown</v>
      </c>
      <c r="AA784" s="1" t="str">
        <f>IFERROR(__xludf.DUMMYFUNCTION("""COMPUTED_VALUE"""),"")</f>
        <v/>
      </c>
      <c r="AB784" s="1" t="str">
        <f>IFERROR(__xludf.DUMMYFUNCTION("""COMPUTED_VALUE"""),"")</f>
        <v/>
      </c>
      <c r="AC784" s="1" t="str">
        <f>IFERROR(__xludf.DUMMYFUNCTION("""COMPUTED_VALUE"""),"")</f>
        <v/>
      </c>
      <c r="AD784" s="1" t="str">
        <f>IFERROR(__xludf.DUMMYFUNCTION("""COMPUTED_VALUE"""),"")</f>
        <v/>
      </c>
      <c r="AE784" s="1" t="str">
        <f>IFERROR(__xludf.DUMMYFUNCTION("""COMPUTED_VALUE"""),"")</f>
        <v/>
      </c>
      <c r="AF784" s="1" t="str">
        <f>IFERROR(__xludf.DUMMYFUNCTION("""COMPUTED_VALUE"""),"")</f>
        <v/>
      </c>
      <c r="AG784" s="1" t="str">
        <f>IFERROR(__xludf.DUMMYFUNCTION("""COMPUTED_VALUE"""),"On June 28 2025, the Board of Supervisors approved a zoning ordinance change to allow data centers as a conditional use.")</f>
        <v>On June 28 2025, the Board of Supervisors approved a zoning ordinance change to allow data centers as a conditional use.</v>
      </c>
      <c r="AH784" s="1" t="str">
        <f>IFERROR(__xludf.DUMMYFUNCTION("""COMPUTED_VALUE"""),"Other")</f>
        <v>Other</v>
      </c>
      <c r="AI784" s="2" t="str">
        <f>IFERROR(__xludf.DUMMYFUNCTION("""COMPUTED_VALUE"""),"https://www.pennlive.com/business/2025/07/750000-square-foot-data-center-planned-along-interstate-83.html")</f>
        <v>https://www.pennlive.com/business/2025/07/750000-square-foot-data-center-planned-along-interstate-83.html</v>
      </c>
      <c r="AJ784" s="2" t="str">
        <f>IFERROR(__xludf.DUMMYFUNCTION("""COMPUTED_VALUE"""),"https://www.datacenterdynamics.com/en/news/750000-sq-ft-data-center-could-be-built-in-fairview-township-pennsylvania/")</f>
        <v>https://www.datacenterdynamics.com/en/news/750000-sq-ft-data-center-could-be-built-in-fairview-township-pennsylvania/</v>
      </c>
      <c r="AK784" s="2" t="str">
        <f>IFERROR(__xludf.DUMMYFUNCTION("""COMPUTED_VALUE"""),"https://www.fox43.com/article/news/local/york-county/500-million-data-center-fairview-township-york-county/521-81526e0c-e19d-4211-adaf-d2cee8ecda8f")</f>
        <v>https://www.fox43.com/article/news/local/york-county/500-million-data-center-fairview-township-york-county/521-81526e0c-e19d-4211-adaf-d2cee8ecda8f</v>
      </c>
      <c r="AL784" s="2" t="str">
        <f>IFERROR(__xludf.DUMMYFUNCTION("""COMPUTED_VALUE"""),"https://twp.fairview.pa.us/Portals/0/Documents/Ordinances/Ord_%202025-03%20Zoning%20Text%20Amendment-Data%20Centers.pdf?ver=lnIE88kB2GVscYisHhcOOA%3d%3d")</f>
        <v>https://twp.fairview.pa.us/Portals/0/Documents/Ordinances/Ord_%202025-03%20Zoning%20Text%20Amendment-Data%20Centers.pdf?ver=lnIE88kB2GVscYisHhcOOA%3d%3d</v>
      </c>
      <c r="AM784" s="1" t="str">
        <f>IFERROR(__xludf.DUMMYFUNCTION("""COMPUTED_VALUE"""),"")</f>
        <v/>
      </c>
      <c r="AN784" s="1" t="str">
        <f>IFERROR(__xludf.DUMMYFUNCTION("""COMPUTED_VALUE"""),"")</f>
        <v/>
      </c>
      <c r="AO784" s="1" t="str">
        <f>IFERROR(__xludf.DUMMYFUNCTION("""COMPUTED_VALUE"""),"")</f>
        <v/>
      </c>
      <c r="AP784" s="1" t="str">
        <f>IFERROR(__xludf.DUMMYFUNCTION("""COMPUTED_VALUE"""),"")</f>
        <v/>
      </c>
      <c r="AQ784" s="1" t="str">
        <f>IFERROR(__xludf.DUMMYFUNCTION("""COMPUTED_VALUE"""),"11/21/2025")</f>
        <v>11/21/2025</v>
      </c>
      <c r="AR784" s="1" t="str">
        <f>IFERROR(__xludf.DUMMYFUNCTION("""COMPUTED_VALUE"""),"11/21/2025")</f>
        <v>11/21/2025</v>
      </c>
    </row>
    <row r="785">
      <c r="A785" s="1" t="str">
        <f>IFERROR(__xludf.DUMMYFUNCTION("""COMPUTED_VALUE"""),"Ark Pittsburgh Data Center")</f>
        <v>Ark Pittsburgh Data Center</v>
      </c>
      <c r="B785" s="1" t="str">
        <f>IFERROR(__xludf.DUMMYFUNCTION("""COMPUTED_VALUE"""),"161 Armstrong Drive")</f>
        <v>161 Armstrong Drive</v>
      </c>
      <c r="C785" s="1" t="str">
        <f>IFERROR(__xludf.DUMMYFUNCTION("""COMPUTED_VALUE"""),"Freeport")</f>
        <v>Freeport</v>
      </c>
      <c r="D785" s="1" t="str">
        <f>IFERROR(__xludf.DUMMYFUNCTION("""COMPUTED_VALUE"""),"PA")</f>
        <v>PA</v>
      </c>
      <c r="E785" s="1" t="str">
        <f>IFERROR(__xludf.DUMMYFUNCTION("""COMPUTED_VALUE"""),"16229")</f>
        <v>16229</v>
      </c>
      <c r="F785" s="1" t="str">
        <f>IFERROR(__xludf.DUMMYFUNCTION("""COMPUTED_VALUE"""),"Armstrong")</f>
        <v>Armstrong</v>
      </c>
      <c r="G785" s="1" t="str">
        <f>IFERROR(__xludf.DUMMYFUNCTION("""COMPUTED_VALUE"""),"40.752384")</f>
        <v>40.752384</v>
      </c>
      <c r="H785" s="1" t="str">
        <f>IFERROR(__xludf.DUMMYFUNCTION("""COMPUTED_VALUE"""),"-79.63733")</f>
        <v>-79.63733</v>
      </c>
      <c r="I785" s="1" t="str">
        <f>IFERROR(__xludf.DUMMYFUNCTION("""COMPUTED_VALUE"""),"Operating")</f>
        <v>Operating</v>
      </c>
      <c r="J785" s="1" t="str">
        <f>IFERROR(__xludf.DUMMYFUNCTION("""COMPUTED_VALUE"""),"High")</f>
        <v>High</v>
      </c>
      <c r="K785" s="1" t="str">
        <f>IFERROR(__xludf.DUMMYFUNCTION("""COMPUTED_VALUE"""),"")</f>
        <v/>
      </c>
      <c r="L785" s="1" t="str">
        <f>IFERROR(__xludf.DUMMYFUNCTION("""COMPUTED_VALUE"""),"Ark Data Centers")</f>
        <v>Ark Data Centers</v>
      </c>
      <c r="M785" s="1" t="str">
        <f>IFERROR(__xludf.DUMMYFUNCTION("""COMPUTED_VALUE"""),"")</f>
        <v/>
      </c>
      <c r="N785" s="1" t="str">
        <f>IFERROR(__xludf.DUMMYFUNCTION("""COMPUTED_VALUE"""),"1.5")</f>
        <v>1.5</v>
      </c>
      <c r="O785" s="1" t="str">
        <f>IFERROR(__xludf.DUMMYFUNCTION("""COMPUTED_VALUE"""),"Small (0-10 MW)")</f>
        <v>Small (0-10 MW)</v>
      </c>
      <c r="P785" s="1" t="str">
        <f>IFERROR(__xludf.DUMMYFUNCTION("""COMPUTED_VALUE"""),"Grid (unspecified mix)")</f>
        <v>Grid (unspecified mix)</v>
      </c>
      <c r="Q785" s="1" t="str">
        <f>IFERROR(__xludf.DUMMYFUNCTION("""COMPUTED_VALUE"""),"")</f>
        <v/>
      </c>
      <c r="R785" s="1" t="str">
        <f>IFERROR(__xludf.DUMMYFUNCTION("""COMPUTED_VALUE"""),"")</f>
        <v/>
      </c>
      <c r="S785" s="1" t="str">
        <f>IFERROR(__xludf.DUMMYFUNCTION("""COMPUTED_VALUE"""),"")</f>
        <v/>
      </c>
      <c r="T785" s="1" t="str">
        <f>IFERROR(__xludf.DUMMYFUNCTION("""COMPUTED_VALUE"""),"Air")</f>
        <v>Air</v>
      </c>
      <c r="U785" s="1" t="str">
        <f>IFERROR(__xludf.DUMMYFUNCTION("""COMPUTED_VALUE"""),"")</f>
        <v/>
      </c>
      <c r="V785" s="1" t="str">
        <f>IFERROR(__xludf.DUMMYFUNCTION("""COMPUTED_VALUE"""),"11,200")</f>
        <v>11,200</v>
      </c>
      <c r="W785" s="1" t="str">
        <f>IFERROR(__xludf.DUMMYFUNCTION("""COMPUTED_VALUE"""),"")</f>
        <v/>
      </c>
      <c r="X785" s="1" t="str">
        <f>IFERROR(__xludf.DUMMYFUNCTION("""COMPUTED_VALUE"""),"")</f>
        <v/>
      </c>
      <c r="Y785" s="1" t="str">
        <f>IFERROR(__xludf.DUMMYFUNCTION("""COMPUTED_VALUE"""),"")</f>
        <v/>
      </c>
      <c r="Z785" s="1" t="str">
        <f>IFERROR(__xludf.DUMMYFUNCTION("""COMPUTED_VALUE"""),"Unknown")</f>
        <v>Unknown</v>
      </c>
      <c r="AA785" s="1" t="str">
        <f>IFERROR(__xludf.DUMMYFUNCTION("""COMPUTED_VALUE"""),"")</f>
        <v/>
      </c>
      <c r="AB785" s="1" t="str">
        <f>IFERROR(__xludf.DUMMYFUNCTION("""COMPUTED_VALUE"""),"")</f>
        <v/>
      </c>
      <c r="AC785" s="1" t="str">
        <f>IFERROR(__xludf.DUMMYFUNCTION("""COMPUTED_VALUE"""),"")</f>
        <v/>
      </c>
      <c r="AD785" s="1" t="str">
        <f>IFERROR(__xludf.DUMMYFUNCTION("""COMPUTED_VALUE"""),"")</f>
        <v/>
      </c>
      <c r="AE785" s="1" t="str">
        <f>IFERROR(__xludf.DUMMYFUNCTION("""COMPUTED_VALUE"""),"")</f>
        <v/>
      </c>
      <c r="AF785" s="1" t="str">
        <f>IFERROR(__xludf.DUMMYFUNCTION("""COMPUTED_VALUE"""),"")</f>
        <v/>
      </c>
      <c r="AG785" s="1" t="str">
        <f>IFERROR(__xludf.DUMMYFUNCTION("""COMPUTED_VALUE"""),"")</f>
        <v/>
      </c>
      <c r="AH785" s="1" t="str">
        <f>IFERROR(__xludf.DUMMYFUNCTION("""COMPUTED_VALUE"""),"Other")</f>
        <v>Other</v>
      </c>
      <c r="AI785" s="2" t="str">
        <f>IFERROR(__xludf.DUMMYFUNCTION("""COMPUTED_VALUE"""),"https://www.arkdna.com/data-centers/pennsylvania/")</f>
        <v>https://www.arkdna.com/data-centers/pennsylvania/</v>
      </c>
      <c r="AJ785" s="1" t="str">
        <f>IFERROR(__xludf.DUMMYFUNCTION("""COMPUTED_VALUE"""),"")</f>
        <v/>
      </c>
      <c r="AK785" s="1" t="str">
        <f>IFERROR(__xludf.DUMMYFUNCTION("""COMPUTED_VALUE"""),"")</f>
        <v/>
      </c>
      <c r="AL785" s="1" t="str">
        <f>IFERROR(__xludf.DUMMYFUNCTION("""COMPUTED_VALUE"""),"")</f>
        <v/>
      </c>
      <c r="AM785" s="1" t="str">
        <f>IFERROR(__xludf.DUMMYFUNCTION("""COMPUTED_VALUE"""),"")</f>
        <v/>
      </c>
      <c r="AN785" s="1" t="str">
        <f>IFERROR(__xludf.DUMMYFUNCTION("""COMPUTED_VALUE"""),"")</f>
        <v/>
      </c>
      <c r="AO785" s="1" t="str">
        <f>IFERROR(__xludf.DUMMYFUNCTION("""COMPUTED_VALUE"""),"")</f>
        <v/>
      </c>
      <c r="AP785" s="1" t="str">
        <f>IFERROR(__xludf.DUMMYFUNCTION("""COMPUTED_VALUE"""),"")</f>
        <v/>
      </c>
      <c r="AQ785" s="1" t="str">
        <f>IFERROR(__xludf.DUMMYFUNCTION("""COMPUTED_VALUE"""),"11/21/2025")</f>
        <v>11/21/2025</v>
      </c>
      <c r="AR785" s="1" t="str">
        <f>IFERROR(__xludf.DUMMYFUNCTION("""COMPUTED_VALUE"""),"11/21/2025")</f>
        <v>11/21/2025</v>
      </c>
    </row>
    <row r="786">
      <c r="A786" s="1" t="str">
        <f>IFERROR(__xludf.DUMMYFUNCTION("""COMPUTED_VALUE"""),"CloudHQ Berks 61 Hyperscale Campus")</f>
        <v>CloudHQ Berks 61 Hyperscale Campus</v>
      </c>
      <c r="B786" s="1" t="str">
        <f>IFERROR(__xludf.DUMMYFUNCTION("""COMPUTED_VALUE"""),"Berks 61 Industrial Park (near PA-61/I-78)")</f>
        <v>Berks 61 Industrial Park (near PA-61/I-78)</v>
      </c>
      <c r="C786" s="1" t="str">
        <f>IFERROR(__xludf.DUMMYFUNCTION("""COMPUTED_VALUE"""),"Hamburg")</f>
        <v>Hamburg</v>
      </c>
      <c r="D786" s="1" t="str">
        <f>IFERROR(__xludf.DUMMYFUNCTION("""COMPUTED_VALUE"""),"PA")</f>
        <v>PA</v>
      </c>
      <c r="E786" s="1" t="str">
        <f>IFERROR(__xludf.DUMMYFUNCTION("""COMPUTED_VALUE"""),"19526")</f>
        <v>19526</v>
      </c>
      <c r="F786" s="1" t="str">
        <f>IFERROR(__xludf.DUMMYFUNCTION("""COMPUTED_VALUE"""),"Berks")</f>
        <v>Berks</v>
      </c>
      <c r="G786" s="1" t="str">
        <f>IFERROR(__xludf.DUMMYFUNCTION("""COMPUTED_VALUE"""),"40.57368")</f>
        <v>40.57368</v>
      </c>
      <c r="H786" s="1" t="str">
        <f>IFERROR(__xludf.DUMMYFUNCTION("""COMPUTED_VALUE"""),"-76.01037")</f>
        <v>-76.01037</v>
      </c>
      <c r="I786" s="1" t="str">
        <f>IFERROR(__xludf.DUMMYFUNCTION("""COMPUTED_VALUE"""),"Proposed")</f>
        <v>Proposed</v>
      </c>
      <c r="J786" s="1" t="str">
        <f>IFERROR(__xludf.DUMMYFUNCTION("""COMPUTED_VALUE"""),"Medium")</f>
        <v>Medium</v>
      </c>
      <c r="K786" s="1" t="str">
        <f>IFERROR(__xludf.DUMMYFUNCTION("""COMPUTED_VALUE"""),"")</f>
        <v/>
      </c>
      <c r="L786" s="1" t="str">
        <f>IFERROR(__xludf.DUMMYFUNCTION("""COMPUTED_VALUE"""),"CloudHQ")</f>
        <v>CloudHQ</v>
      </c>
      <c r="M786" s="1" t="str">
        <f>IFERROR(__xludf.DUMMYFUNCTION("""COMPUTED_VALUE"""),"")</f>
        <v/>
      </c>
      <c r="N786" s="1" t="str">
        <f>IFERROR(__xludf.DUMMYFUNCTION("""COMPUTED_VALUE"""),"")</f>
        <v/>
      </c>
      <c r="O786" s="1" t="str">
        <f>IFERROR(__xludf.DUMMYFUNCTION("""COMPUTED_VALUE"""),"Hyperscale (100-999 MW)")</f>
        <v>Hyperscale (100-999 MW)</v>
      </c>
      <c r="P786" s="1" t="str">
        <f>IFERROR(__xludf.DUMMYFUNCTION("""COMPUTED_VALUE"""),"")</f>
        <v/>
      </c>
      <c r="Q786" s="1" t="str">
        <f>IFERROR(__xludf.DUMMYFUNCTION("""COMPUTED_VALUE"""),"")</f>
        <v/>
      </c>
      <c r="R786" s="1" t="str">
        <f>IFERROR(__xludf.DUMMYFUNCTION("""COMPUTED_VALUE"""),"")</f>
        <v/>
      </c>
      <c r="S786" s="1" t="str">
        <f>IFERROR(__xludf.DUMMYFUNCTION("""COMPUTED_VALUE"""),"4")</f>
        <v>4</v>
      </c>
      <c r="T786" s="1" t="str">
        <f>IFERROR(__xludf.DUMMYFUNCTION("""COMPUTED_VALUE"""),"")</f>
        <v/>
      </c>
      <c r="U786" s="1" t="str">
        <f>IFERROR(__xludf.DUMMYFUNCTION("""COMPUTED_VALUE"""),"")</f>
        <v/>
      </c>
      <c r="V786" s="1" t="str">
        <f>IFERROR(__xludf.DUMMYFUNCTION("""COMPUTED_VALUE"""),"")</f>
        <v/>
      </c>
      <c r="W786" s="1" t="str">
        <f>IFERROR(__xludf.DUMMYFUNCTION("""COMPUTED_VALUE"""),"")</f>
        <v/>
      </c>
      <c r="X786" s="1" t="str">
        <f>IFERROR(__xludf.DUMMYFUNCTION("""COMPUTED_VALUE"""),"$2 billion")</f>
        <v>$2 billion</v>
      </c>
      <c r="Y786" s="1" t="str">
        <f>IFERROR(__xludf.DUMMYFUNCTION("""COMPUTED_VALUE"""),"")</f>
        <v/>
      </c>
      <c r="Z786" s="1" t="str">
        <f>IFERROR(__xludf.DUMMYFUNCTION("""COMPUTED_VALUE"""),"Unknown")</f>
        <v>Unknown</v>
      </c>
      <c r="AA786" s="1" t="str">
        <f>IFERROR(__xludf.DUMMYFUNCTION("""COMPUTED_VALUE"""),"")</f>
        <v/>
      </c>
      <c r="AB786" s="1" t="str">
        <f>IFERROR(__xludf.DUMMYFUNCTION("""COMPUTED_VALUE"""),"")</f>
        <v/>
      </c>
      <c r="AC786" s="1" t="str">
        <f>IFERROR(__xludf.DUMMYFUNCTION("""COMPUTED_VALUE"""),"")</f>
        <v/>
      </c>
      <c r="AD786" s="1" t="str">
        <f>IFERROR(__xludf.DUMMYFUNCTION("""COMPUTED_VALUE"""),"")</f>
        <v/>
      </c>
      <c r="AE786" s="1" t="str">
        <f>IFERROR(__xludf.DUMMYFUNCTION("""COMPUTED_VALUE"""),"")</f>
        <v/>
      </c>
      <c r="AF786" s="1" t="str">
        <f>IFERROR(__xludf.DUMMYFUNCTION("""COMPUTED_VALUE"""),"")</f>
        <v/>
      </c>
      <c r="AG786" s="1" t="str">
        <f>IFERROR(__xludf.DUMMYFUNCTION("""COMPUTED_VALUE"""),"")</f>
        <v/>
      </c>
      <c r="AH786" s="1" t="str">
        <f>IFERROR(__xludf.DUMMYFUNCTION("""COMPUTED_VALUE"""),"Other")</f>
        <v>Other</v>
      </c>
      <c r="AI786" s="2" t="str">
        <f>IFERROR(__xludf.DUMMYFUNCTION("""COMPUTED_VALUE"""),"https://www.datacenterfrontier.com/site-selection/article/55281341/pennsylvanias-homer-city-energy-campus-a-brownfield-transformed-for-data-center-innovation")</f>
        <v>https://www.datacenterfrontier.com/site-selection/article/55281341/pennsylvanias-homer-city-energy-campus-a-brownfield-transformed-for-data-center-innovation</v>
      </c>
      <c r="AJ786" s="1" t="str">
        <f>IFERROR(__xludf.DUMMYFUNCTION("""COMPUTED_VALUE"""),"")</f>
        <v/>
      </c>
      <c r="AK786" s="1" t="str">
        <f>IFERROR(__xludf.DUMMYFUNCTION("""COMPUTED_VALUE"""),"")</f>
        <v/>
      </c>
      <c r="AL786" s="1" t="str">
        <f>IFERROR(__xludf.DUMMYFUNCTION("""COMPUTED_VALUE"""),"")</f>
        <v/>
      </c>
      <c r="AM786" s="1" t="str">
        <f>IFERROR(__xludf.DUMMYFUNCTION("""COMPUTED_VALUE"""),"")</f>
        <v/>
      </c>
      <c r="AN786" s="1" t="str">
        <f>IFERROR(__xludf.DUMMYFUNCTION("""COMPUTED_VALUE"""),"")</f>
        <v/>
      </c>
      <c r="AO786" s="1" t="str">
        <f>IFERROR(__xludf.DUMMYFUNCTION("""COMPUTED_VALUE"""),"")</f>
        <v/>
      </c>
      <c r="AP786" s="1" t="str">
        <f>IFERROR(__xludf.DUMMYFUNCTION("""COMPUTED_VALUE"""),"")</f>
        <v/>
      </c>
      <c r="AQ786" s="1" t="str">
        <f>IFERROR(__xludf.DUMMYFUNCTION("""COMPUTED_VALUE"""),"11/24/2025")</f>
        <v>11/24/2025</v>
      </c>
      <c r="AR786" s="1" t="str">
        <f>IFERROR(__xludf.DUMMYFUNCTION("""COMPUTED_VALUE"""),"11/24/2025")</f>
        <v>11/24/2025</v>
      </c>
    </row>
    <row r="787">
      <c r="A787" s="1" t="str">
        <f>IFERROR(__xludf.DUMMYFUNCTION("""COMPUTED_VALUE"""),"Harrisburg Data Center ")</f>
        <v>Harrisburg Data Center </v>
      </c>
      <c r="B787" s="1" t="str">
        <f>IFERROR(__xludf.DUMMYFUNCTION("""COMPUTED_VALUE"""),"650 S Harrisburg St")</f>
        <v>650 S Harrisburg St</v>
      </c>
      <c r="C787" s="1" t="str">
        <f>IFERROR(__xludf.DUMMYFUNCTION("""COMPUTED_VALUE"""),"Harrisburg")</f>
        <v>Harrisburg</v>
      </c>
      <c r="D787" s="1" t="str">
        <f>IFERROR(__xludf.DUMMYFUNCTION("""COMPUTED_VALUE"""),"PA")</f>
        <v>PA</v>
      </c>
      <c r="E787" s="1" t="str">
        <f>IFERROR(__xludf.DUMMYFUNCTION("""COMPUTED_VALUE"""),"17113")</f>
        <v>17113</v>
      </c>
      <c r="F787" s="1" t="str">
        <f>IFERROR(__xludf.DUMMYFUNCTION("""COMPUTED_VALUE"""),"Dauphin")</f>
        <v>Dauphin</v>
      </c>
      <c r="G787" s="1" t="str">
        <f>IFERROR(__xludf.DUMMYFUNCTION("""COMPUTED_VALUE"""),"40.22755")</f>
        <v>40.22755</v>
      </c>
      <c r="H787" s="1" t="str">
        <f>IFERROR(__xludf.DUMMYFUNCTION("""COMPUTED_VALUE"""),"-76.8093")</f>
        <v>-76.8093</v>
      </c>
      <c r="I787" s="1" t="str">
        <f>IFERROR(__xludf.DUMMYFUNCTION("""COMPUTED_VALUE"""),"Proposed")</f>
        <v>Proposed</v>
      </c>
      <c r="J787" s="1" t="str">
        <f>IFERROR(__xludf.DUMMYFUNCTION("""COMPUTED_VALUE"""),"High")</f>
        <v>High</v>
      </c>
      <c r="K787" s="1" t="str">
        <f>IFERROR(__xludf.DUMMYFUNCTION("""COMPUTED_VALUE"""),"")</f>
        <v/>
      </c>
      <c r="L787" s="1" t="str">
        <f>IFERROR(__xludf.DUMMYFUNCTION("""COMPUTED_VALUE"""),"Provident Realty (Harrisburg I, LLC)")</f>
        <v>Provident Realty (Harrisburg I, LLC)</v>
      </c>
      <c r="M787" s="1" t="str">
        <f>IFERROR(__xludf.DUMMYFUNCTION("""COMPUTED_VALUE"""),"")</f>
        <v/>
      </c>
      <c r="N787" s="1" t="str">
        <f>IFERROR(__xludf.DUMMYFUNCTION("""COMPUTED_VALUE"""),"")</f>
        <v/>
      </c>
      <c r="O787" s="1" t="str">
        <f>IFERROR(__xludf.DUMMYFUNCTION("""COMPUTED_VALUE"""),"Unknown")</f>
        <v>Unknown</v>
      </c>
      <c r="P787" s="1" t="str">
        <f>IFERROR(__xludf.DUMMYFUNCTION("""COMPUTED_VALUE"""),"")</f>
        <v/>
      </c>
      <c r="Q787" s="1" t="str">
        <f>IFERROR(__xludf.DUMMYFUNCTION("""COMPUTED_VALUE"""),"")</f>
        <v/>
      </c>
      <c r="R787" s="1" t="str">
        <f>IFERROR(__xludf.DUMMYFUNCTION("""COMPUTED_VALUE"""),"")</f>
        <v/>
      </c>
      <c r="S787" s="1" t="str">
        <f>IFERROR(__xludf.DUMMYFUNCTION("""COMPUTED_VALUE"""),"")</f>
        <v/>
      </c>
      <c r="T787" s="1" t="str">
        <f>IFERROR(__xludf.DUMMYFUNCTION("""COMPUTED_VALUE"""),"")</f>
        <v/>
      </c>
      <c r="U787" s="1" t="str">
        <f>IFERROR(__xludf.DUMMYFUNCTION("""COMPUTED_VALUE"""),"")</f>
        <v/>
      </c>
      <c r="V787" s="1" t="str">
        <f>IFERROR(__xludf.DUMMYFUNCTION("""COMPUTED_VALUE"""),"")</f>
        <v/>
      </c>
      <c r="W787" s="1" t="str">
        <f>IFERROR(__xludf.DUMMYFUNCTION("""COMPUTED_VALUE"""),"250")</f>
        <v>250</v>
      </c>
      <c r="X787" s="1" t="str">
        <f>IFERROR(__xludf.DUMMYFUNCTION("""COMPUTED_VALUE"""),"$45.6 million")</f>
        <v>$45.6 million</v>
      </c>
      <c r="Y787" s="1" t="str">
        <f>IFERROR(__xludf.DUMMYFUNCTION("""COMPUTED_VALUE"""),"")</f>
        <v/>
      </c>
      <c r="Z787" s="1" t="str">
        <f>IFERROR(__xludf.DUMMYFUNCTION("""COMPUTED_VALUE"""),"Unknown")</f>
        <v>Unknown</v>
      </c>
      <c r="AA787" s="1" t="str">
        <f>IFERROR(__xludf.DUMMYFUNCTION("""COMPUTED_VALUE"""),"")</f>
        <v/>
      </c>
      <c r="AB787" s="1" t="str">
        <f>IFERROR(__xludf.DUMMYFUNCTION("""COMPUTED_VALUE"""),"")</f>
        <v/>
      </c>
      <c r="AC787" s="1" t="str">
        <f>IFERROR(__xludf.DUMMYFUNCTION("""COMPUTED_VALUE"""),"")</f>
        <v/>
      </c>
      <c r="AD787" s="1" t="str">
        <f>IFERROR(__xludf.DUMMYFUNCTION("""COMPUTED_VALUE"""),"")</f>
        <v/>
      </c>
      <c r="AE787" s="1" t="str">
        <f>IFERROR(__xludf.DUMMYFUNCTION("""COMPUTED_VALUE"""),"")</f>
        <v/>
      </c>
      <c r="AF787" s="1" t="str">
        <f>IFERROR(__xludf.DUMMYFUNCTION("""COMPUTED_VALUE"""),"")</f>
        <v/>
      </c>
      <c r="AG787" s="1" t="str">
        <f>IFERROR(__xludf.DUMMYFUNCTION("""COMPUTED_VALUE"""),"Dauphin Highlands Golf Course will remain open until the tentative sale closing date of December 31, 2027")</f>
        <v>Dauphin Highlands Golf Course will remain open until the tentative sale closing date of December 31, 2027</v>
      </c>
      <c r="AH787" s="1" t="str">
        <f>IFERROR(__xludf.DUMMYFUNCTION("""COMPUTED_VALUE"""),"Media Monitoring")</f>
        <v>Media Monitoring</v>
      </c>
      <c r="AI787" s="2" t="str">
        <f>IFERROR(__xludf.DUMMYFUNCTION("""COMPUTED_VALUE"""),"https://www.datacenterdynamics.com/en/news/golf-course-set-to-become-data-center-in-dauphin-county-pennsylvania/")</f>
        <v>https://www.datacenterdynamics.com/en/news/golf-course-set-to-become-data-center-in-dauphin-county-pennsylvania/</v>
      </c>
      <c r="AJ787" s="2" t="str">
        <f>IFERROR(__xludf.DUMMYFUNCTION("""COMPUTED_VALUE"""),"https://www.fox43.com/article/news/local/dauphin-county/dauphin-highlands-golf-course-to-be-sold-456-million-to-build-new-data-center/521-0b9bf4e4-3d23-438f-a74f-4d373640f428")</f>
        <v>https://www.fox43.com/article/news/local/dauphin-county/dauphin-highlands-golf-course-to-be-sold-456-million-to-build-new-data-center/521-0b9bf4e4-3d23-438f-a74f-4d373640f428</v>
      </c>
      <c r="AK787" s="2" t="str">
        <f>IFERROR(__xludf.DUMMYFUNCTION("""COMPUTED_VALUE"""),"https://www.fox43.com/article/news/local/dauphin-county/dauphin-highlands-golf-course-to-be-sold-456-million-to-build-new-data-center/521-0b9bf4e4-3d23-438f-a74f-4d373640f428")</f>
        <v>https://www.fox43.com/article/news/local/dauphin-county/dauphin-highlands-golf-course-to-be-sold-456-million-to-build-new-data-center/521-0b9bf4e4-3d23-438f-a74f-4d373640f428</v>
      </c>
      <c r="AL787" s="1" t="str">
        <f>IFERROR(__xludf.DUMMYFUNCTION("""COMPUTED_VALUE"""),"")</f>
        <v/>
      </c>
      <c r="AM787" s="1" t="str">
        <f>IFERROR(__xludf.DUMMYFUNCTION("""COMPUTED_VALUE"""),"")</f>
        <v/>
      </c>
      <c r="AN787" s="1" t="str">
        <f>IFERROR(__xludf.DUMMYFUNCTION("""COMPUTED_VALUE"""),"")</f>
        <v/>
      </c>
      <c r="AO787" s="1" t="str">
        <f>IFERROR(__xludf.DUMMYFUNCTION("""COMPUTED_VALUE"""),"")</f>
        <v/>
      </c>
      <c r="AP787" s="1" t="str">
        <f>IFERROR(__xludf.DUMMYFUNCTION("""COMPUTED_VALUE"""),"")</f>
        <v/>
      </c>
      <c r="AQ787" s="1" t="str">
        <f>IFERROR(__xludf.DUMMYFUNCTION("""COMPUTED_VALUE"""),"08/25/2025")</f>
        <v>08/25/2025</v>
      </c>
      <c r="AR787" s="1" t="str">
        <f>IFERROR(__xludf.DUMMYFUNCTION("""COMPUTED_VALUE"""),"03/22/2026")</f>
        <v>03/22/2026</v>
      </c>
    </row>
    <row r="788">
      <c r="A788" s="1" t="str">
        <f>IFERROR(__xludf.DUMMYFUNCTION("""COMPUTED_VALUE"""),"Project Hazelnut")</f>
        <v>Project Hazelnut</v>
      </c>
      <c r="B788" s="1" t="str">
        <f>IFERROR(__xludf.DUMMYFUNCTION("""COMPUTED_VALUE"""),"Humboldt North Industrial Park, N Park Dr")</f>
        <v>Humboldt North Industrial Park, N Park Dr</v>
      </c>
      <c r="C788" s="1" t="str">
        <f>IFERROR(__xludf.DUMMYFUNCTION("""COMPUTED_VALUE"""),"Hazelton")</f>
        <v>Hazelton</v>
      </c>
      <c r="D788" s="1" t="str">
        <f>IFERROR(__xludf.DUMMYFUNCTION("""COMPUTED_VALUE"""),"PA")</f>
        <v>PA</v>
      </c>
      <c r="E788" s="1" t="str">
        <f>IFERROR(__xludf.DUMMYFUNCTION("""COMPUTED_VALUE"""),"18202")</f>
        <v>18202</v>
      </c>
      <c r="F788" s="1" t="str">
        <f>IFERROR(__xludf.DUMMYFUNCTION("""COMPUTED_VALUE"""),"Luzerne")</f>
        <v>Luzerne</v>
      </c>
      <c r="G788" s="1" t="str">
        <f>IFERROR(__xludf.DUMMYFUNCTION("""COMPUTED_VALUE"""),"40.9272")</f>
        <v>40.9272</v>
      </c>
      <c r="H788" s="1" t="str">
        <f>IFERROR(__xludf.DUMMYFUNCTION("""COMPUTED_VALUE"""),"-76.0426")</f>
        <v>-76.0426</v>
      </c>
      <c r="I788" s="1" t="str">
        <f>IFERROR(__xludf.DUMMYFUNCTION("""COMPUTED_VALUE"""),"Cancelled")</f>
        <v>Cancelled</v>
      </c>
      <c r="J788" s="1" t="str">
        <f>IFERROR(__xludf.DUMMYFUNCTION("""COMPUTED_VALUE"""),"High")</f>
        <v>High</v>
      </c>
      <c r="K788" s="1" t="str">
        <f>IFERROR(__xludf.DUMMYFUNCTION("""COMPUTED_VALUE"""),"")</f>
        <v/>
      </c>
      <c r="L788" s="1" t="str">
        <f>IFERROR(__xludf.DUMMYFUNCTION("""COMPUTED_VALUE"""),"NorthPoint Development")</f>
        <v>NorthPoint Development</v>
      </c>
      <c r="M788" s="1" t="str">
        <f>IFERROR(__xludf.DUMMYFUNCTION("""COMPUTED_VALUE"""),"")</f>
        <v/>
      </c>
      <c r="N788" s="1" t="str">
        <f>IFERROR(__xludf.DUMMYFUNCTION("""COMPUTED_VALUE"""),"")</f>
        <v/>
      </c>
      <c r="O788" s="1" t="str">
        <f>IFERROR(__xludf.DUMMYFUNCTION("""COMPUTED_VALUE"""),"Unknown")</f>
        <v>Unknown</v>
      </c>
      <c r="P788" s="1" t="str">
        <f>IFERROR(__xludf.DUMMYFUNCTION("""COMPUTED_VALUE"""),"")</f>
        <v/>
      </c>
      <c r="Q788" s="1" t="str">
        <f>IFERROR(__xludf.DUMMYFUNCTION("""COMPUTED_VALUE"""),"")</f>
        <v/>
      </c>
      <c r="R788" s="1" t="str">
        <f>IFERROR(__xludf.DUMMYFUNCTION("""COMPUTED_VALUE"""),"")</f>
        <v/>
      </c>
      <c r="S788" s="1" t="str">
        <f>IFERROR(__xludf.DUMMYFUNCTION("""COMPUTED_VALUE"""),"15")</f>
        <v>15</v>
      </c>
      <c r="T788" s="1" t="str">
        <f>IFERROR(__xludf.DUMMYFUNCTION("""COMPUTED_VALUE"""),"")</f>
        <v/>
      </c>
      <c r="U788" s="1" t="str">
        <f>IFERROR(__xludf.DUMMYFUNCTION("""COMPUTED_VALUE"""),"")</f>
        <v/>
      </c>
      <c r="V788" s="1" t="str">
        <f>IFERROR(__xludf.DUMMYFUNCTION("""COMPUTED_VALUE"""),"")</f>
        <v/>
      </c>
      <c r="W788" s="1" t="str">
        <f>IFERROR(__xludf.DUMMYFUNCTION("""COMPUTED_VALUE"""),"1280")</f>
        <v>1280</v>
      </c>
      <c r="X788" s="1" t="str">
        <f>IFERROR(__xludf.DUMMYFUNCTION("""COMPUTED_VALUE"""),"")</f>
        <v/>
      </c>
      <c r="Y788" s="1" t="str">
        <f>IFERROR(__xludf.DUMMYFUNCTION("""COMPUTED_VALUE"""),"2027")</f>
        <v>2027</v>
      </c>
      <c r="Z788" s="1" t="str">
        <f>IFERROR(__xludf.DUMMYFUNCTION("""COMPUTED_VALUE"""),"Yes")</f>
        <v>Yes</v>
      </c>
      <c r="AA788" s="2" t="str">
        <f>IFERROR(__xludf.DUMMYFUNCTION("""COMPUTED_VALUE"""),"https://fox56.com/news/local/crowd-of-100-gathers-in-hazle-twp-as-supervisor-board-votes-down-proposed-data-center")</f>
        <v>https://fox56.com/news/local/crowd-of-100-gathers-in-hazle-twp-as-supervisor-board-votes-down-proposed-data-center</v>
      </c>
      <c r="AB788" s="1" t="str">
        <f>IFERROR(__xludf.DUMMYFUNCTION("""COMPUTED_VALUE"""),"")</f>
        <v/>
      </c>
      <c r="AC788" s="1" t="str">
        <f>IFERROR(__xludf.DUMMYFUNCTION("""COMPUTED_VALUE"""),"")</f>
        <v/>
      </c>
      <c r="AD788" s="2" t="str">
        <f>IFERROR(__xludf.DUMMYFUNCTION("""COMPUTED_VALUE"""),"https://www.foodandwaterwatch.org/")</f>
        <v>https://www.foodandwaterwatch.org/</v>
      </c>
      <c r="AE788" s="1" t="str">
        <f>IFERROR(__xludf.DUMMYFUNCTION("""COMPUTED_VALUE"""),"")</f>
        <v/>
      </c>
      <c r="AF788" s="1" t="str">
        <f>IFERROR(__xludf.DUMMYFUNCTION("""COMPUTED_VALUE"""),"")</f>
        <v/>
      </c>
      <c r="AG788" s="2" t="str">
        <f>IFERROR(__xludf.DUMMYFUNCTION("""COMPUTED_VALUE"""),"https://www.facebook.com/share/g/1MmD3egK9Z/")</f>
        <v>https://www.facebook.com/share/g/1MmD3egK9Z/</v>
      </c>
      <c r="AH788" s="1" t="str">
        <f>IFERROR(__xludf.DUMMYFUNCTION("""COMPUTED_VALUE"""),"Media Monitoring")</f>
        <v>Media Monitoring</v>
      </c>
      <c r="AI788" s="2" t="str">
        <f>IFERROR(__xludf.DUMMYFUNCTION("""COMPUTED_VALUE"""),"https://www.timesleader.com/news/1685632/luzerne-county-real-estate-tax-break-requested-for-15-building-data-center-in-hazle-township")</f>
        <v>https://www.timesleader.com/news/1685632/luzerne-county-real-estate-tax-break-requested-for-15-building-data-center-in-hazle-township</v>
      </c>
      <c r="AJ788" s="2" t="str">
        <f>IFERROR(__xludf.DUMMYFUNCTION("""COMPUTED_VALUE"""),"https://www.foodandwaterwatch.org/2025/11/18/hazle-township-pa-unanimously-rejects-data-center-campus/")</f>
        <v>https://www.foodandwaterwatch.org/2025/11/18/hazle-township-pa-unanimously-rejects-data-center-campus/</v>
      </c>
      <c r="AK788" s="2" t="str">
        <f>IFERROR(__xludf.DUMMYFUNCTION("""COMPUTED_VALUE"""),"https://www.2822news.com/news/local-news/outcry-grows-over-proposed-data-center-campus/")</f>
        <v>https://www.2822news.com/news/local-news/outcry-grows-over-proposed-data-center-campus/</v>
      </c>
      <c r="AL788" s="2" t="str">
        <f>IFERROR(__xludf.DUMMYFUNCTION("""COMPUTED_VALUE"""),"https://www.foodandwaterwatch.org/2025/11/18/hazle-township-pa-unanimously-rejects-data-center-campus/")</f>
        <v>https://www.foodandwaterwatch.org/2025/11/18/hazle-township-pa-unanimously-rejects-data-center-campus/</v>
      </c>
      <c r="AM788" s="1" t="str">
        <f>IFERROR(__xludf.DUMMYFUNCTION("""COMPUTED_VALUE"""),"")</f>
        <v/>
      </c>
      <c r="AN788" s="1" t="str">
        <f>IFERROR(__xludf.DUMMYFUNCTION("""COMPUTED_VALUE"""),"")</f>
        <v/>
      </c>
      <c r="AO788" s="1" t="str">
        <f>IFERROR(__xludf.DUMMYFUNCTION("""COMPUTED_VALUE"""),"")</f>
        <v/>
      </c>
      <c r="AP788" s="1" t="str">
        <f>IFERROR(__xludf.DUMMYFUNCTION("""COMPUTED_VALUE"""),"")</f>
        <v/>
      </c>
      <c r="AQ788" s="1" t="str">
        <f>IFERROR(__xludf.DUMMYFUNCTION("""COMPUTED_VALUE"""),"08/04/2025")</f>
        <v>08/04/2025</v>
      </c>
      <c r="AR788" s="1" t="str">
        <f>IFERROR(__xludf.DUMMYFUNCTION("""COMPUTED_VALUE"""),"03/22/2026")</f>
        <v>03/22/2026</v>
      </c>
    </row>
    <row r="789">
      <c r="A789" s="1" t="str">
        <f>IFERROR(__xludf.DUMMYFUNCTION("""COMPUTED_VALUE"""),"Homer City Energy Campus")</f>
        <v>Homer City Energy Campus</v>
      </c>
      <c r="B789" s="1" t="str">
        <f>IFERROR(__xludf.DUMMYFUNCTION("""COMPUTED_VALUE"""),"1750 Power Plant Rd")</f>
        <v>1750 Power Plant Rd</v>
      </c>
      <c r="C789" s="1" t="str">
        <f>IFERROR(__xludf.DUMMYFUNCTION("""COMPUTED_VALUE"""),"Homer City")</f>
        <v>Homer City</v>
      </c>
      <c r="D789" s="1" t="str">
        <f>IFERROR(__xludf.DUMMYFUNCTION("""COMPUTED_VALUE"""),"PA")</f>
        <v>PA</v>
      </c>
      <c r="E789" s="1" t="str">
        <f>IFERROR(__xludf.DUMMYFUNCTION("""COMPUTED_VALUE"""),"15748")</f>
        <v>15748</v>
      </c>
      <c r="F789" s="1" t="str">
        <f>IFERROR(__xludf.DUMMYFUNCTION("""COMPUTED_VALUE"""),"Indiana")</f>
        <v>Indiana</v>
      </c>
      <c r="G789" s="1" t="str">
        <f>IFERROR(__xludf.DUMMYFUNCTION("""COMPUTED_VALUE"""),"40.51395")</f>
        <v>40.51395</v>
      </c>
      <c r="H789" s="1" t="str">
        <f>IFERROR(__xludf.DUMMYFUNCTION("""COMPUTED_VALUE"""),"-79.1967")</f>
        <v>-79.1967</v>
      </c>
      <c r="I789" s="1" t="str">
        <f>IFERROR(__xludf.DUMMYFUNCTION("""COMPUTED_VALUE"""),"Approved/Permitted/Under construction")</f>
        <v>Approved/Permitted/Under construction</v>
      </c>
      <c r="J789" s="1" t="str">
        <f>IFERROR(__xludf.DUMMYFUNCTION("""COMPUTED_VALUE"""),"High")</f>
        <v>High</v>
      </c>
      <c r="K789" s="1" t="str">
        <f>IFERROR(__xludf.DUMMYFUNCTION("""COMPUTED_VALUE"""),"AI")</f>
        <v>AI</v>
      </c>
      <c r="L789" s="1" t="str">
        <f>IFERROR(__xludf.DUMMYFUNCTION("""COMPUTED_VALUE"""),"Homer City Redevelopment (with Kiewit as contractor/partner)")</f>
        <v>Homer City Redevelopment (with Kiewit as contractor/partner)</v>
      </c>
      <c r="M789" s="1" t="str">
        <f>IFERROR(__xludf.DUMMYFUNCTION("""COMPUTED_VALUE"""),"")</f>
        <v/>
      </c>
      <c r="N789" s="1" t="str">
        <f>IFERROR(__xludf.DUMMYFUNCTION("""COMPUTED_VALUE"""),"4500")</f>
        <v>4500</v>
      </c>
      <c r="O789" s="1" t="str">
        <f>IFERROR(__xludf.DUMMYFUNCTION("""COMPUTED_VALUE"""),"Mega campus (&gt;1,000 MW)")</f>
        <v>Mega campus (&gt;1,000 MW)</v>
      </c>
      <c r="P789" s="1" t="str">
        <f>IFERROR(__xludf.DUMMYFUNCTION("""COMPUTED_VALUE"""),"Natural gas")</f>
        <v>Natural gas</v>
      </c>
      <c r="Q789" s="1" t="str">
        <f>IFERROR(__xludf.DUMMYFUNCTION("""COMPUTED_VALUE"""),"Yes - Homer City Generating Station")</f>
        <v>Yes - Homer City Generating Station</v>
      </c>
      <c r="R789" s="1" t="str">
        <f>IFERROR(__xludf.DUMMYFUNCTION("""COMPUTED_VALUE"""),"")</f>
        <v/>
      </c>
      <c r="S789" s="1" t="str">
        <f>IFERROR(__xludf.DUMMYFUNCTION("""COMPUTED_VALUE"""),"")</f>
        <v/>
      </c>
      <c r="T789" s="1" t="str">
        <f>IFERROR(__xludf.DUMMYFUNCTION("""COMPUTED_VALUE"""),"")</f>
        <v/>
      </c>
      <c r="U789" s="1" t="str">
        <f>IFERROR(__xludf.DUMMYFUNCTION("""COMPUTED_VALUE"""),"")</f>
        <v/>
      </c>
      <c r="V789" s="1" t="str">
        <f>IFERROR(__xludf.DUMMYFUNCTION("""COMPUTED_VALUE"""),"")</f>
        <v/>
      </c>
      <c r="W789" s="1" t="str">
        <f>IFERROR(__xludf.DUMMYFUNCTION("""COMPUTED_VALUE"""),"3200")</f>
        <v>3200</v>
      </c>
      <c r="X789" s="1" t="str">
        <f>IFERROR(__xludf.DUMMYFUNCTION("""COMPUTED_VALUE"""),"$10 billion")</f>
        <v>$10 billion</v>
      </c>
      <c r="Y789" s="1" t="str">
        <f>IFERROR(__xludf.DUMMYFUNCTION("""COMPUTED_VALUE"""),"2027")</f>
        <v>2027</v>
      </c>
      <c r="Z789" s="1" t="str">
        <f>IFERROR(__xludf.DUMMYFUNCTION("""COMPUTED_VALUE"""),"Yes")</f>
        <v>Yes</v>
      </c>
      <c r="AA789" s="1" t="str">
        <f>IFERROR(__xludf.DUMMYFUNCTION("""COMPUTED_VALUE"""),"In December 2025, Clean Air Council, PennFuture, and Sierra Club filed an appeal of the development's permit with the PA Environmental Hearing Board. Learn more at: https://cleanair.org/homer-city-air-permit-appeal/ ")</f>
        <v>In December 2025, Clean Air Council, PennFuture, and Sierra Club filed an appeal of the development's permit with the PA Environmental Hearing Board. Learn more at: https://cleanair.org/homer-city-air-permit-appeal/ </v>
      </c>
      <c r="AB789" s="1" t="str">
        <f>IFERROR(__xludf.DUMMYFUNCTION("""COMPUTED_VALUE"""),"Organized Advocacy")</f>
        <v>Organized Advocacy</v>
      </c>
      <c r="AC789" s="1" t="str">
        <f>IFERROR(__xludf.DUMMYFUNCTION("""COMPUTED_VALUE"""),"")</f>
        <v/>
      </c>
      <c r="AD789" s="2" t="str">
        <f>IFERROR(__xludf.DUMMYFUNCTION("""COMPUTED_VALUE"""),"https://www.concernedresidentsofwesternpa.com/")</f>
        <v>https://www.concernedresidentsofwesternpa.com/</v>
      </c>
      <c r="AE789" s="2" t="str">
        <f>IFERROR(__xludf.DUMMYFUNCTION("""COMPUTED_VALUE"""),"https://www.protectpt.org/data-center")</f>
        <v>https://www.protectpt.org/data-center</v>
      </c>
      <c r="AF789" s="1" t="str">
        <f>IFERROR(__xludf.DUMMYFUNCTION("""COMPUTED_VALUE"""),"")</f>
        <v/>
      </c>
      <c r="AG789" s="1" t="str">
        <f>IFERROR(__xludf.DUMMYFUNCTION("""COMPUTED_VALUE"""),"Site of Homer City Generating Station (former coal plant)")</f>
        <v>Site of Homer City Generating Station (former coal plant)</v>
      </c>
      <c r="AH789" s="1" t="str">
        <f>IFERROR(__xludf.DUMMYFUNCTION("""COMPUTED_VALUE"""),"Media Monitoring")</f>
        <v>Media Monitoring</v>
      </c>
      <c r="AI789" s="2" t="str">
        <f>IFERROR(__xludf.DUMMYFUNCTION("""COMPUTED_VALUE"""),"https://triblive.com/local/regional/developers-offer-details-on-planned-natural-gas-fueled-power-generating-plant-in-homer-city/")</f>
        <v>https://triblive.com/local/regional/developers-offer-details-on-planned-natural-gas-fueled-power-generating-plant-in-homer-city/</v>
      </c>
      <c r="AJ789" s="2" t="str">
        <f>IFERROR(__xludf.DUMMYFUNCTION("""COMPUTED_VALUE"""),"https://www.datacenterdynamics.com/en/news/homer-city-and-kiewit-unveil-plans-for-45gw-natural-gas-powered-ai-data-center-in-pennsylvania/")</f>
        <v>https://www.datacenterdynamics.com/en/news/homer-city-and-kiewit-unveil-plans-for-45gw-natural-gas-powered-ai-data-center-in-pennsylvania/</v>
      </c>
      <c r="AK789" s="2" t="str">
        <f>IFERROR(__xludf.DUMMYFUNCTION("""COMPUTED_VALUE"""),"https://triblive.com/local/regional/dep-gives-preliminary-nod-to-homer-city-plant-but-enviromental-group-sounds-alarm-regarding-pollution/")</f>
        <v>https://triblive.com/local/regional/dep-gives-preliminary-nod-to-homer-city-plant-but-enviromental-group-sounds-alarm-regarding-pollution/</v>
      </c>
      <c r="AL789" s="2" t="str">
        <f>IFERROR(__xludf.DUMMYFUNCTION("""COMPUTED_VALUE"""),"https://www.homercityredevelopment.com/project-overview")</f>
        <v>https://www.homercityredevelopment.com/project-overview</v>
      </c>
      <c r="AM789" s="2" t="str">
        <f>IFERROR(__xludf.DUMMYFUNCTION("""COMPUTED_VALUE"""),"https://www.datacenterfrontier.com/site-selection/article/55281341/pennsylvanias-homer-city-energy-campus-a-brownfield-transformed-for-data-center-innovation")</f>
        <v>https://www.datacenterfrontier.com/site-selection/article/55281341/pennsylvanias-homer-city-energy-campus-a-brownfield-transformed-for-data-center-innovation</v>
      </c>
      <c r="AN789" s="2" t="str">
        <f>IFERROR(__xludf.DUMMYFUNCTION("""COMPUTED_VALUE"""),"https://www.indianagazette.com/news/environmental-advocates-pa-youths-appeal-permit-for-homer-city-energy-campus/article_7a34ee2f-e81a-41e0-9138-a25f5cbd9de4.html?fbclid=IwY2xjawPp60BleHRuA2FlbQIxMQBzcnRjBmFwcF9pZBAyMjIwMzkxNzg4MjAwODkyAAEeRuDRB7oOPRZeqxr"&amp;"V5GLOlv4YEkleEG7D6Ml3jQPSw4r0bhIaswlYqUZ15sg_aem_7zjyQqhwcx_teLrh61aVDA")</f>
        <v>https://www.indianagazette.com/news/environmental-advocates-pa-youths-appeal-permit-for-homer-city-energy-campus/article_7a34ee2f-e81a-41e0-9138-a25f5cbd9de4.html?fbclid=IwY2xjawPp60BleHRuA2FlbQIxMQBzcnRjBmFwcF9pZBAyMjIwMzkxNzg4MjAwODkyAAEeRuDRB7oOPRZeqxrV5GLOlv4YEkleEG7D6Ml3jQPSw4r0bhIaswlYqUZ15sg_aem_7zjyQqhwcx_teLrh61aVDA</v>
      </c>
      <c r="AO789" s="2" t="str">
        <f>IFERROR(__xludf.DUMMYFUNCTION("""COMPUTED_VALUE"""),"https://www.businesswire.com/news/home/20260401716982/en/Homer-City-Redevelopment-Crosses-the-First-Steel-Threshold")</f>
        <v>https://www.businesswire.com/news/home/20260401716982/en/Homer-City-Redevelopment-Crosses-the-First-Steel-Threshold</v>
      </c>
      <c r="AP789" s="1" t="str">
        <f>IFERROR(__xludf.DUMMYFUNCTION("""COMPUTED_VALUE"""),"")</f>
        <v/>
      </c>
      <c r="AQ789" s="1" t="str">
        <f>IFERROR(__xludf.DUMMYFUNCTION("""COMPUTED_VALUE"""),"09/17/2025")</f>
        <v>09/17/2025</v>
      </c>
      <c r="AR789" s="1" t="str">
        <f>IFERROR(__xludf.DUMMYFUNCTION("""COMPUTED_VALUE"""),"04/02/2026")</f>
        <v>04/02/2026</v>
      </c>
    </row>
    <row r="790">
      <c r="A790" s="1" t="str">
        <f>IFERROR(__xludf.DUMMYFUNCTION("""COMPUTED_VALUE""")," HCI DP Land Acquisition Data Center")</f>
        <v> HCI DP Land Acquisition Data Center</v>
      </c>
      <c r="B790" s="1" t="str">
        <f>IFERROR(__xludf.DUMMYFUNCTION("""COMPUTED_VALUE"""),"off Wagner St")</f>
        <v>off Wagner St</v>
      </c>
      <c r="C790" s="1" t="str">
        <f>IFERROR(__xludf.DUMMYFUNCTION("""COMPUTED_VALUE"""),"Hummelstown")</f>
        <v>Hummelstown</v>
      </c>
      <c r="D790" s="1" t="str">
        <f>IFERROR(__xludf.DUMMYFUNCTION("""COMPUTED_VALUE"""),"PA")</f>
        <v>PA</v>
      </c>
      <c r="E790" s="1" t="str">
        <f>IFERROR(__xludf.DUMMYFUNCTION("""COMPUTED_VALUE"""),"17036")</f>
        <v>17036</v>
      </c>
      <c r="F790" s="1" t="str">
        <f>IFERROR(__xludf.DUMMYFUNCTION("""COMPUTED_VALUE"""),"Dauphin")</f>
        <v>Dauphin</v>
      </c>
      <c r="G790" s="1" t="str">
        <f>IFERROR(__xludf.DUMMYFUNCTION("""COMPUTED_VALUE"""),"40.278946")</f>
        <v>40.278946</v>
      </c>
      <c r="H790" s="1" t="str">
        <f>IFERROR(__xludf.DUMMYFUNCTION("""COMPUTED_VALUE"""),"-76.70091")</f>
        <v>-76.70091</v>
      </c>
      <c r="I790" s="1" t="str">
        <f>IFERROR(__xludf.DUMMYFUNCTION("""COMPUTED_VALUE"""),"Proposed")</f>
        <v>Proposed</v>
      </c>
      <c r="J790" s="1" t="str">
        <f>IFERROR(__xludf.DUMMYFUNCTION("""COMPUTED_VALUE"""),"Medium")</f>
        <v>Medium</v>
      </c>
      <c r="K790" s="1" t="str">
        <f>IFERROR(__xludf.DUMMYFUNCTION("""COMPUTED_VALUE"""),"")</f>
        <v/>
      </c>
      <c r="L790" s="1" t="str">
        <f>IFERROR(__xludf.DUMMYFUNCTION("""COMPUTED_VALUE"""),"")</f>
        <v/>
      </c>
      <c r="M790" s="1" t="str">
        <f>IFERROR(__xludf.DUMMYFUNCTION("""COMPUTED_VALUE"""),"")</f>
        <v/>
      </c>
      <c r="N790" s="1" t="str">
        <f>IFERROR(__xludf.DUMMYFUNCTION("""COMPUTED_VALUE"""),"")</f>
        <v/>
      </c>
      <c r="O790" s="1" t="str">
        <f>IFERROR(__xludf.DUMMYFUNCTION("""COMPUTED_VALUE"""),"Unknown")</f>
        <v>Unknown</v>
      </c>
      <c r="P790" s="1" t="str">
        <f>IFERROR(__xludf.DUMMYFUNCTION("""COMPUTED_VALUE"""),"")</f>
        <v/>
      </c>
      <c r="Q790" s="1" t="str">
        <f>IFERROR(__xludf.DUMMYFUNCTION("""COMPUTED_VALUE"""),"")</f>
        <v/>
      </c>
      <c r="R790" s="1" t="str">
        <f>IFERROR(__xludf.DUMMYFUNCTION("""COMPUTED_VALUE"""),"")</f>
        <v/>
      </c>
      <c r="S790" s="1" t="str">
        <f>IFERROR(__xludf.DUMMYFUNCTION("""COMPUTED_VALUE"""),"2")</f>
        <v>2</v>
      </c>
      <c r="T790" s="1" t="str">
        <f>IFERROR(__xludf.DUMMYFUNCTION("""COMPUTED_VALUE"""),"")</f>
        <v/>
      </c>
      <c r="U790" s="1" t="str">
        <f>IFERROR(__xludf.DUMMYFUNCTION("""COMPUTED_VALUE"""),"")</f>
        <v/>
      </c>
      <c r="V790" s="1" t="str">
        <f>IFERROR(__xludf.DUMMYFUNCTION("""COMPUTED_VALUE"""),"596,800")</f>
        <v>596,800</v>
      </c>
      <c r="W790" s="1" t="str">
        <f>IFERROR(__xludf.DUMMYFUNCTION("""COMPUTED_VALUE"""),"250")</f>
        <v>250</v>
      </c>
      <c r="X790" s="1" t="str">
        <f>IFERROR(__xludf.DUMMYFUNCTION("""COMPUTED_VALUE"""),"")</f>
        <v/>
      </c>
      <c r="Y790" s="1" t="str">
        <f>IFERROR(__xludf.DUMMYFUNCTION("""COMPUTED_VALUE"""),"")</f>
        <v/>
      </c>
      <c r="Z790" s="1" t="str">
        <f>IFERROR(__xludf.DUMMYFUNCTION("""COMPUTED_VALUE"""),"Unknown")</f>
        <v>Unknown</v>
      </c>
      <c r="AA790" s="1" t="str">
        <f>IFERROR(__xludf.DUMMYFUNCTION("""COMPUTED_VALUE"""),"")</f>
        <v/>
      </c>
      <c r="AB790" s="1" t="str">
        <f>IFERROR(__xludf.DUMMYFUNCTION("""COMPUTED_VALUE"""),"")</f>
        <v/>
      </c>
      <c r="AC790" s="1" t="str">
        <f>IFERROR(__xludf.DUMMYFUNCTION("""COMPUTED_VALUE"""),"")</f>
        <v/>
      </c>
      <c r="AD790" s="1" t="str">
        <f>IFERROR(__xludf.DUMMYFUNCTION("""COMPUTED_VALUE"""),"")</f>
        <v/>
      </c>
      <c r="AE790" s="1" t="str">
        <f>IFERROR(__xludf.DUMMYFUNCTION("""COMPUTED_VALUE"""),"")</f>
        <v/>
      </c>
      <c r="AF790" s="1" t="str">
        <f>IFERROR(__xludf.DUMMYFUNCTION("""COMPUTED_VALUE"""),"")</f>
        <v/>
      </c>
      <c r="AG790" s="1" t="str">
        <f>IFERROR(__xludf.DUMMYFUNCTION("""COMPUTED_VALUE"""),"former quarry")</f>
        <v>former quarry</v>
      </c>
      <c r="AH790" s="1" t="str">
        <f>IFERROR(__xludf.DUMMYFUNCTION("""COMPUTED_VALUE"""),"Media Monitoring")</f>
        <v>Media Monitoring</v>
      </c>
      <c r="AI790" s="2" t="str">
        <f>IFERROR(__xludf.DUMMYFUNCTION("""COMPUTED_VALUE"""),"https://www.datacenterdynamics.com/en/news/data-centers-planned-at-former-quarry-in-dauphin-county-pennsylvania/")</f>
        <v>https://www.datacenterdynamics.com/en/news/data-centers-planned-at-former-quarry-in-dauphin-county-pennsylvania/</v>
      </c>
      <c r="AJ790" s="1" t="str">
        <f>IFERROR(__xludf.DUMMYFUNCTION("""COMPUTED_VALUE"""),"")</f>
        <v/>
      </c>
      <c r="AK790" s="1" t="str">
        <f>IFERROR(__xludf.DUMMYFUNCTION("""COMPUTED_VALUE"""),"")</f>
        <v/>
      </c>
      <c r="AL790" s="1" t="str">
        <f>IFERROR(__xludf.DUMMYFUNCTION("""COMPUTED_VALUE"""),"")</f>
        <v/>
      </c>
      <c r="AM790" s="1" t="str">
        <f>IFERROR(__xludf.DUMMYFUNCTION("""COMPUTED_VALUE"""),"")</f>
        <v/>
      </c>
      <c r="AN790" s="1" t="str">
        <f>IFERROR(__xludf.DUMMYFUNCTION("""COMPUTED_VALUE"""),"")</f>
        <v/>
      </c>
      <c r="AO790" s="1" t="str">
        <f>IFERROR(__xludf.DUMMYFUNCTION("""COMPUTED_VALUE"""),"")</f>
        <v/>
      </c>
      <c r="AP790" s="1" t="str">
        <f>IFERROR(__xludf.DUMMYFUNCTION("""COMPUTED_VALUE"""),"")</f>
        <v/>
      </c>
      <c r="AQ790" s="1" t="str">
        <f>IFERROR(__xludf.DUMMYFUNCTION("""COMPUTED_VALUE"""),"06/24/2026")</f>
        <v>06/24/2026</v>
      </c>
      <c r="AR790" s="1" t="str">
        <f>IFERROR(__xludf.DUMMYFUNCTION("""COMPUTED_VALUE"""),"06/24/2026")</f>
        <v>06/24/2026</v>
      </c>
    </row>
    <row r="791">
      <c r="A791" s="1" t="str">
        <f>IFERROR(__xludf.DUMMYFUNCTION("""COMPUTED_VALUE"""),"Breaker Street Associates LLC Data Center")</f>
        <v>Breaker Street Associates LLC Data Center</v>
      </c>
      <c r="B791" s="1" t="str">
        <f>IFERROR(__xludf.DUMMYFUNCTION("""COMPUTED_VALUE"""),"off Breaker St")</f>
        <v>off Breaker St</v>
      </c>
      <c r="C791" s="1" t="str">
        <f>IFERROR(__xludf.DUMMYFUNCTION("""COMPUTED_VALUE"""),"Jessup")</f>
        <v>Jessup</v>
      </c>
      <c r="D791" s="1" t="str">
        <f>IFERROR(__xludf.DUMMYFUNCTION("""COMPUTED_VALUE"""),"PA")</f>
        <v>PA</v>
      </c>
      <c r="E791" s="1" t="str">
        <f>IFERROR(__xludf.DUMMYFUNCTION("""COMPUTED_VALUE"""),"18434")</f>
        <v>18434</v>
      </c>
      <c r="F791" s="1" t="str">
        <f>IFERROR(__xludf.DUMMYFUNCTION("""COMPUTED_VALUE"""),"Lackawanna")</f>
        <v>Lackawanna</v>
      </c>
      <c r="G791" s="1" t="str">
        <f>IFERROR(__xludf.DUMMYFUNCTION("""COMPUTED_VALUE"""),"41.47588")</f>
        <v>41.47588</v>
      </c>
      <c r="H791" s="1" t="str">
        <f>IFERROR(__xludf.DUMMYFUNCTION("""COMPUTED_VALUE"""),"-75.5564")</f>
        <v>-75.5564</v>
      </c>
      <c r="I791" s="1" t="str">
        <f>IFERROR(__xludf.DUMMYFUNCTION("""COMPUTED_VALUE"""),"Proposed")</f>
        <v>Proposed</v>
      </c>
      <c r="J791" s="1" t="str">
        <f>IFERROR(__xludf.DUMMYFUNCTION("""COMPUTED_VALUE"""),"Medium")</f>
        <v>Medium</v>
      </c>
      <c r="K791" s="1" t="str">
        <f>IFERROR(__xludf.DUMMYFUNCTION("""COMPUTED_VALUE"""),"")</f>
        <v/>
      </c>
      <c r="L791" s="1" t="str">
        <f>IFERROR(__xludf.DUMMYFUNCTION("""COMPUTED_VALUE"""),"Breaker Street Associates LLC")</f>
        <v>Breaker Street Associates LLC</v>
      </c>
      <c r="M791" s="1" t="str">
        <f>IFERROR(__xludf.DUMMYFUNCTION("""COMPUTED_VALUE"""),"")</f>
        <v/>
      </c>
      <c r="N791" s="1" t="str">
        <f>IFERROR(__xludf.DUMMYFUNCTION("""COMPUTED_VALUE"""),"600")</f>
        <v>600</v>
      </c>
      <c r="O791" s="1" t="str">
        <f>IFERROR(__xludf.DUMMYFUNCTION("""COMPUTED_VALUE"""),"Hyperscale (100-999 MW)")</f>
        <v>Hyperscale (100-999 MW)</v>
      </c>
      <c r="P791" s="1" t="str">
        <f>IFERROR(__xludf.DUMMYFUNCTION("""COMPUTED_VALUE"""),"")</f>
        <v/>
      </c>
      <c r="Q791" s="1" t="str">
        <f>IFERROR(__xludf.DUMMYFUNCTION("""COMPUTED_VALUE"""),"")</f>
        <v/>
      </c>
      <c r="R791" s="1" t="str">
        <f>IFERROR(__xludf.DUMMYFUNCTION("""COMPUTED_VALUE"""),"")</f>
        <v/>
      </c>
      <c r="S791" s="1" t="str">
        <f>IFERROR(__xludf.DUMMYFUNCTION("""COMPUTED_VALUE"""),"6")</f>
        <v>6</v>
      </c>
      <c r="T791" s="1" t="str">
        <f>IFERROR(__xludf.DUMMYFUNCTION("""COMPUTED_VALUE"""),"")</f>
        <v/>
      </c>
      <c r="U791" s="1" t="str">
        <f>IFERROR(__xludf.DUMMYFUNCTION("""COMPUTED_VALUE"""),"")</f>
        <v/>
      </c>
      <c r="V791" s="1" t="str">
        <f>IFERROR(__xludf.DUMMYFUNCTION("""COMPUTED_VALUE"""),"1,100,000")</f>
        <v>1,100,000</v>
      </c>
      <c r="W791" s="1" t="str">
        <f>IFERROR(__xludf.DUMMYFUNCTION("""COMPUTED_VALUE"""),"131")</f>
        <v>131</v>
      </c>
      <c r="X791" s="1" t="str">
        <f>IFERROR(__xludf.DUMMYFUNCTION("""COMPUTED_VALUE"""),"")</f>
        <v/>
      </c>
      <c r="Y791" s="1" t="str">
        <f>IFERROR(__xludf.DUMMYFUNCTION("""COMPUTED_VALUE"""),"")</f>
        <v/>
      </c>
      <c r="Z791" s="1" t="str">
        <f>IFERROR(__xludf.DUMMYFUNCTION("""COMPUTED_VALUE"""),"Unknown")</f>
        <v>Unknown</v>
      </c>
      <c r="AA791" s="1" t="str">
        <f>IFERROR(__xludf.DUMMYFUNCTION("""COMPUTED_VALUE"""),"")</f>
        <v/>
      </c>
      <c r="AB791" s="1" t="str">
        <f>IFERROR(__xludf.DUMMYFUNCTION("""COMPUTED_VALUE"""),"")</f>
        <v/>
      </c>
      <c r="AC791" s="1" t="str">
        <f>IFERROR(__xludf.DUMMYFUNCTION("""COMPUTED_VALUE"""),"")</f>
        <v/>
      </c>
      <c r="AD791" s="1" t="str">
        <f>IFERROR(__xludf.DUMMYFUNCTION("""COMPUTED_VALUE"""),"")</f>
        <v/>
      </c>
      <c r="AE791" s="1" t="str">
        <f>IFERROR(__xludf.DUMMYFUNCTION("""COMPUTED_VALUE"""),"")</f>
        <v/>
      </c>
      <c r="AF791" s="1" t="str">
        <f>IFERROR(__xludf.DUMMYFUNCTION("""COMPUTED_VALUE"""),"")</f>
        <v/>
      </c>
      <c r="AG791" s="1" t="str">
        <f>IFERROR(__xludf.DUMMYFUNCTION("""COMPUTED_VALUE"""),"The application was filed before Jessup adopted its new data center zoning so the project is grandfathered under the older rules. A zoning appeal is underway concerning infrastructure planned in a residential zone.")</f>
        <v>The application was filed before Jessup adopted its new data center zoning so the project is grandfathered under the older rules. A zoning appeal is underway concerning infrastructure planned in a residential zone.</v>
      </c>
      <c r="AH791" s="1" t="str">
        <f>IFERROR(__xludf.DUMMYFUNCTION("""COMPUTED_VALUE"""),"Media Monitoring")</f>
        <v>Media Monitoring</v>
      </c>
      <c r="AI791" s="2" t="str">
        <f>IFERROR(__xludf.DUMMYFUNCTION("""COMPUTED_VALUE"""),"https://www.yahoo.com/news/articles/convenience-store-developer-proposes-ai-000500338.html")</f>
        <v>https://www.yahoo.com/news/articles/convenience-store-developer-proposes-ai-000500338.html</v>
      </c>
      <c r="AJ791" s="2" t="str">
        <f>IFERROR(__xludf.DUMMYFUNCTION("""COMPUTED_VALUE"""),"https://www.citizensvoice.com/2025/08/11/senate-data-center-hearing-at-valley-view-largely-touts-benefits/")</f>
        <v>https://www.citizensvoice.com/2025/08/11/senate-data-center-hearing-at-valley-view-largely-touts-benefits/</v>
      </c>
      <c r="AK791" s="2" t="str">
        <f>IFERROR(__xludf.DUMMYFUNCTION("""COMPUTED_VALUE"""),"https://www.thetimes-tribune.com/2025/05/18/data-centers-could-reshape-landscape-in-nepa/")</f>
        <v>https://www.thetimes-tribune.com/2025/05/18/data-centers-could-reshape-landscape-in-nepa/</v>
      </c>
      <c r="AL791" s="1" t="str">
        <f>IFERROR(__xludf.DUMMYFUNCTION("""COMPUTED_VALUE"""),"")</f>
        <v/>
      </c>
      <c r="AM791" s="1" t="str">
        <f>IFERROR(__xludf.DUMMYFUNCTION("""COMPUTED_VALUE"""),"")</f>
        <v/>
      </c>
      <c r="AN791" s="1" t="str">
        <f>IFERROR(__xludf.DUMMYFUNCTION("""COMPUTED_VALUE"""),"")</f>
        <v/>
      </c>
      <c r="AO791" s="1" t="str">
        <f>IFERROR(__xludf.DUMMYFUNCTION("""COMPUTED_VALUE"""),"")</f>
        <v/>
      </c>
      <c r="AP791" s="1" t="str">
        <f>IFERROR(__xludf.DUMMYFUNCTION("""COMPUTED_VALUE"""),"")</f>
        <v/>
      </c>
      <c r="AQ791" s="1" t="str">
        <f>IFERROR(__xludf.DUMMYFUNCTION("""COMPUTED_VALUE"""),"08/11/2025")</f>
        <v>08/11/2025</v>
      </c>
      <c r="AR791" s="1" t="str">
        <f>IFERROR(__xludf.DUMMYFUNCTION("""COMPUTED_VALUE"""),"08/11/2025")</f>
        <v>08/11/2025</v>
      </c>
    </row>
    <row r="792">
      <c r="A792" s="1" t="str">
        <f>IFERROR(__xludf.DUMMYFUNCTION("""COMPUTED_VALUE"""),"Catalyst Commercial Development LLC")</f>
        <v>Catalyst Commercial Development LLC</v>
      </c>
      <c r="B792" s="1" t="str">
        <f>IFERROR(__xludf.DUMMYFUNCTION("""COMPUTED_VALUE"""),"Sunnyside Rd and Alberigi Dr")</f>
        <v>Sunnyside Rd and Alberigi Dr</v>
      </c>
      <c r="C792" s="1" t="str">
        <f>IFERROR(__xludf.DUMMYFUNCTION("""COMPUTED_VALUE"""),"Jessup")</f>
        <v>Jessup</v>
      </c>
      <c r="D792" s="1" t="str">
        <f>IFERROR(__xludf.DUMMYFUNCTION("""COMPUTED_VALUE"""),"PA")</f>
        <v>PA</v>
      </c>
      <c r="E792" s="1" t="str">
        <f>IFERROR(__xludf.DUMMYFUNCTION("""COMPUTED_VALUE"""),"18435")</f>
        <v>18435</v>
      </c>
      <c r="F792" s="1" t="str">
        <f>IFERROR(__xludf.DUMMYFUNCTION("""COMPUTED_VALUE"""),"Lackawanna")</f>
        <v>Lackawanna</v>
      </c>
      <c r="G792" s="1" t="str">
        <f>IFERROR(__xludf.DUMMYFUNCTION("""COMPUTED_VALUE"""),"41.46812")</f>
        <v>41.46812</v>
      </c>
      <c r="H792" s="1" t="str">
        <f>IFERROR(__xludf.DUMMYFUNCTION("""COMPUTED_VALUE"""),"-75.5516")</f>
        <v>-75.5516</v>
      </c>
      <c r="I792" s="1" t="str">
        <f>IFERROR(__xludf.DUMMYFUNCTION("""COMPUTED_VALUE"""),"Proposed")</f>
        <v>Proposed</v>
      </c>
      <c r="J792" s="1" t="str">
        <f>IFERROR(__xludf.DUMMYFUNCTION("""COMPUTED_VALUE"""),"High")</f>
        <v>High</v>
      </c>
      <c r="K792" s="1" t="str">
        <f>IFERROR(__xludf.DUMMYFUNCTION("""COMPUTED_VALUE"""),"")</f>
        <v/>
      </c>
      <c r="L792" s="1" t="str">
        <f>IFERROR(__xludf.DUMMYFUNCTION("""COMPUTED_VALUE"""),"")</f>
        <v/>
      </c>
      <c r="M792" s="1" t="str">
        <f>IFERROR(__xludf.DUMMYFUNCTION("""COMPUTED_VALUE"""),"")</f>
        <v/>
      </c>
      <c r="N792" s="1" t="str">
        <f>IFERROR(__xludf.DUMMYFUNCTION("""COMPUTED_VALUE"""),"")</f>
        <v/>
      </c>
      <c r="O792" s="1" t="str">
        <f>IFERROR(__xludf.DUMMYFUNCTION("""COMPUTED_VALUE"""),"Unknown")</f>
        <v>Unknown</v>
      </c>
      <c r="P792" s="1" t="str">
        <f>IFERROR(__xludf.DUMMYFUNCTION("""COMPUTED_VALUE"""),"")</f>
        <v/>
      </c>
      <c r="Q792" s="1" t="str">
        <f>IFERROR(__xludf.DUMMYFUNCTION("""COMPUTED_VALUE"""),"")</f>
        <v/>
      </c>
      <c r="R792" s="1" t="str">
        <f>IFERROR(__xludf.DUMMYFUNCTION("""COMPUTED_VALUE"""),"")</f>
        <v/>
      </c>
      <c r="S792" s="1" t="str">
        <f>IFERROR(__xludf.DUMMYFUNCTION("""COMPUTED_VALUE"""),"")</f>
        <v/>
      </c>
      <c r="T792" s="1" t="str">
        <f>IFERROR(__xludf.DUMMYFUNCTION("""COMPUTED_VALUE"""),"")</f>
        <v/>
      </c>
      <c r="U792" s="1" t="str">
        <f>IFERROR(__xludf.DUMMYFUNCTION("""COMPUTED_VALUE"""),"")</f>
        <v/>
      </c>
      <c r="V792" s="1" t="str">
        <f>IFERROR(__xludf.DUMMYFUNCTION("""COMPUTED_VALUE"""),"487,000")</f>
        <v>487,000</v>
      </c>
      <c r="W792" s="1" t="str">
        <f>IFERROR(__xludf.DUMMYFUNCTION("""COMPUTED_VALUE"""),"48")</f>
        <v>48</v>
      </c>
      <c r="X792" s="1" t="str">
        <f>IFERROR(__xludf.DUMMYFUNCTION("""COMPUTED_VALUE"""),"")</f>
        <v/>
      </c>
      <c r="Y792" s="1" t="str">
        <f>IFERROR(__xludf.DUMMYFUNCTION("""COMPUTED_VALUE"""),"")</f>
        <v/>
      </c>
      <c r="Z792" s="1" t="str">
        <f>IFERROR(__xludf.DUMMYFUNCTION("""COMPUTED_VALUE"""),"Unknown")</f>
        <v>Unknown</v>
      </c>
      <c r="AA792" s="1" t="str">
        <f>IFERROR(__xludf.DUMMYFUNCTION("""COMPUTED_VALUE"""),"")</f>
        <v/>
      </c>
      <c r="AB792" s="1" t="str">
        <f>IFERROR(__xludf.DUMMYFUNCTION("""COMPUTED_VALUE"""),"")</f>
        <v/>
      </c>
      <c r="AC792" s="1" t="str">
        <f>IFERROR(__xludf.DUMMYFUNCTION("""COMPUTED_VALUE"""),"")</f>
        <v/>
      </c>
      <c r="AD792" s="1" t="str">
        <f>IFERROR(__xludf.DUMMYFUNCTION("""COMPUTED_VALUE"""),"")</f>
        <v/>
      </c>
      <c r="AE792" s="1" t="str">
        <f>IFERROR(__xludf.DUMMYFUNCTION("""COMPUTED_VALUE"""),"")</f>
        <v/>
      </c>
      <c r="AF792" s="1" t="str">
        <f>IFERROR(__xludf.DUMMYFUNCTION("""COMPUTED_VALUE"""),"")</f>
        <v/>
      </c>
      <c r="AG792" s="1" t="str">
        <f>IFERROR(__xludf.DUMMYFUNCTION("""COMPUTED_VALUE"""),"")</f>
        <v/>
      </c>
      <c r="AH792" s="1" t="str">
        <f>IFERROR(__xludf.DUMMYFUNCTION("""COMPUTED_VALUE"""),"Media Monitoring")</f>
        <v>Media Monitoring</v>
      </c>
      <c r="AI792" s="2" t="str">
        <f>IFERROR(__xludf.DUMMYFUNCTION("""COMPUTED_VALUE"""),"https://web.archive.org/web/20250917231914/https://www.thetimes-tribune.com/2025/09/16/developer-shifts-from-warehouse-to-data-center-by-power-plant-in-jessup/")</f>
        <v>https://web.archive.org/web/20250917231914/https://www.thetimes-tribune.com/2025/09/16/developer-shifts-from-warehouse-to-data-center-by-power-plant-in-jessup/</v>
      </c>
      <c r="AJ792" s="1" t="str">
        <f>IFERROR(__xludf.DUMMYFUNCTION("""COMPUTED_VALUE"""),"")</f>
        <v/>
      </c>
      <c r="AK792" s="1" t="str">
        <f>IFERROR(__xludf.DUMMYFUNCTION("""COMPUTED_VALUE"""),"")</f>
        <v/>
      </c>
      <c r="AL792" s="1" t="str">
        <f>IFERROR(__xludf.DUMMYFUNCTION("""COMPUTED_VALUE"""),"")</f>
        <v/>
      </c>
      <c r="AM792" s="1" t="str">
        <f>IFERROR(__xludf.DUMMYFUNCTION("""COMPUTED_VALUE"""),"")</f>
        <v/>
      </c>
      <c r="AN792" s="1" t="str">
        <f>IFERROR(__xludf.DUMMYFUNCTION("""COMPUTED_VALUE"""),"")</f>
        <v/>
      </c>
      <c r="AO792" s="1" t="str">
        <f>IFERROR(__xludf.DUMMYFUNCTION("""COMPUTED_VALUE"""),"")</f>
        <v/>
      </c>
      <c r="AP792" s="1" t="str">
        <f>IFERROR(__xludf.DUMMYFUNCTION("""COMPUTED_VALUE"""),"")</f>
        <v/>
      </c>
      <c r="AQ792" s="1" t="str">
        <f>IFERROR(__xludf.DUMMYFUNCTION("""COMPUTED_VALUE"""),"09/17/2025")</f>
        <v>09/17/2025</v>
      </c>
      <c r="AR792" s="1" t="str">
        <f>IFERROR(__xludf.DUMMYFUNCTION("""COMPUTED_VALUE"""),"09/17/2025")</f>
        <v>09/17/2025</v>
      </c>
    </row>
    <row r="793">
      <c r="A793" s="1" t="str">
        <f>IFERROR(__xludf.DUMMYFUNCTION("""COMPUTED_VALUE"""),"Jim Thorpe Data Center")</f>
        <v>Jim Thorpe Data Center</v>
      </c>
      <c r="B793" s="1" t="str">
        <f>IFERROR(__xludf.DUMMYFUNCTION("""COMPUTED_VALUE"""),"460 Maury Rd")</f>
        <v>460 Maury Rd</v>
      </c>
      <c r="C793" s="1" t="str">
        <f>IFERROR(__xludf.DUMMYFUNCTION("""COMPUTED_VALUE"""),"Jim Thorpe")</f>
        <v>Jim Thorpe</v>
      </c>
      <c r="D793" s="1" t="str">
        <f>IFERROR(__xludf.DUMMYFUNCTION("""COMPUTED_VALUE"""),"PA")</f>
        <v>PA</v>
      </c>
      <c r="E793" s="1" t="str">
        <f>IFERROR(__xludf.DUMMYFUNCTION("""COMPUTED_VALUE"""),"8229")</f>
        <v>8229</v>
      </c>
      <c r="F793" s="1" t="str">
        <f>IFERROR(__xludf.DUMMYFUNCTION("""COMPUTED_VALUE"""),"Carbon")</f>
        <v>Carbon</v>
      </c>
      <c r="G793" s="1" t="str">
        <f>IFERROR(__xludf.DUMMYFUNCTION("""COMPUTED_VALUE"""),"40.895737")</f>
        <v>40.895737</v>
      </c>
      <c r="H793" s="1" t="str">
        <f>IFERROR(__xludf.DUMMYFUNCTION("""COMPUTED_VALUE"""),"-75.68105")</f>
        <v>-75.68105</v>
      </c>
      <c r="I793" s="1" t="str">
        <f>IFERROR(__xludf.DUMMYFUNCTION("""COMPUTED_VALUE"""),"Proposed")</f>
        <v>Proposed</v>
      </c>
      <c r="J793" s="1" t="str">
        <f>IFERROR(__xludf.DUMMYFUNCTION("""COMPUTED_VALUE"""),"High")</f>
        <v>High</v>
      </c>
      <c r="K793" s="1" t="str">
        <f>IFERROR(__xludf.DUMMYFUNCTION("""COMPUTED_VALUE"""),"")</f>
        <v/>
      </c>
      <c r="L793" s="1" t="str">
        <f>IFERROR(__xludf.DUMMYFUNCTION("""COMPUTED_VALUE"""),"")</f>
        <v/>
      </c>
      <c r="M793" s="1" t="str">
        <f>IFERROR(__xludf.DUMMYFUNCTION("""COMPUTED_VALUE"""),"")</f>
        <v/>
      </c>
      <c r="N793" s="1" t="str">
        <f>IFERROR(__xludf.DUMMYFUNCTION("""COMPUTED_VALUE"""),"")</f>
        <v/>
      </c>
      <c r="O793" s="1" t="str">
        <f>IFERROR(__xludf.DUMMYFUNCTION("""COMPUTED_VALUE"""),"Unknown")</f>
        <v>Unknown</v>
      </c>
      <c r="P793" s="1" t="str">
        <f>IFERROR(__xludf.DUMMYFUNCTION("""COMPUTED_VALUE"""),"")</f>
        <v/>
      </c>
      <c r="Q793" s="1" t="str">
        <f>IFERROR(__xludf.DUMMYFUNCTION("""COMPUTED_VALUE"""),"")</f>
        <v/>
      </c>
      <c r="R793" s="1" t="str">
        <f>IFERROR(__xludf.DUMMYFUNCTION("""COMPUTED_VALUE"""),"")</f>
        <v/>
      </c>
      <c r="S793" s="1" t="str">
        <f>IFERROR(__xludf.DUMMYFUNCTION("""COMPUTED_VALUE"""),"")</f>
        <v/>
      </c>
      <c r="T793" s="1" t="str">
        <f>IFERROR(__xludf.DUMMYFUNCTION("""COMPUTED_VALUE"""),"Water")</f>
        <v>Water</v>
      </c>
      <c r="U793" s="1" t="str">
        <f>IFERROR(__xludf.DUMMYFUNCTION("""COMPUTED_VALUE"""),"")</f>
        <v/>
      </c>
      <c r="V793" s="1" t="str">
        <f>IFERROR(__xludf.DUMMYFUNCTION("""COMPUTED_VALUE"""),"")</f>
        <v/>
      </c>
      <c r="W793" s="1" t="str">
        <f>IFERROR(__xludf.DUMMYFUNCTION("""COMPUTED_VALUE"""),"750")</f>
        <v>750</v>
      </c>
      <c r="X793" s="1" t="str">
        <f>IFERROR(__xludf.DUMMYFUNCTION("""COMPUTED_VALUE"""),"")</f>
        <v/>
      </c>
      <c r="Y793" s="1" t="str">
        <f>IFERROR(__xludf.DUMMYFUNCTION("""COMPUTED_VALUE"""),"")</f>
        <v/>
      </c>
      <c r="Z793" s="1" t="str">
        <f>IFERROR(__xludf.DUMMYFUNCTION("""COMPUTED_VALUE"""),"Yes")</f>
        <v>Yes</v>
      </c>
      <c r="AA793" s="1" t="str">
        <f>IFERROR(__xludf.DUMMYFUNCTION("""COMPUTED_VALUE"""),"")</f>
        <v/>
      </c>
      <c r="AB793" s="1" t="str">
        <f>IFERROR(__xludf.DUMMYFUNCTION("""COMPUTED_VALUE"""),"")</f>
        <v/>
      </c>
      <c r="AC793" s="1" t="str">
        <f>IFERROR(__xludf.DUMMYFUNCTION("""COMPUTED_VALUE"""),"")</f>
        <v/>
      </c>
      <c r="AD793" s="2" t="str">
        <f>IFERROR(__xludf.DUMMYFUNCTION("""COMPUTED_VALUE"""),"https://www.facebook.com/p/Penn-Forest-Residents-Against-Data-Center-61580305181244/")</f>
        <v>https://www.facebook.com/p/Penn-Forest-Residents-Against-Data-Center-61580305181244/</v>
      </c>
      <c r="AE793" s="1" t="str">
        <f>IFERROR(__xludf.DUMMYFUNCTION("""COMPUTED_VALUE"""),"")</f>
        <v/>
      </c>
      <c r="AF793" s="1" t="str">
        <f>IFERROR(__xludf.DUMMYFUNCTION("""COMPUTED_VALUE"""),"")</f>
        <v/>
      </c>
      <c r="AG793" s="1" t="str">
        <f>IFERROR(__xludf.DUMMYFUNCTION("""COMPUTED_VALUE"""),"")</f>
        <v/>
      </c>
      <c r="AH793" s="1" t="str">
        <f>IFERROR(__xludf.DUMMYFUNCTION("""COMPUTED_VALUE"""),"Media Monitoring")</f>
        <v>Media Monitoring</v>
      </c>
      <c r="AI793" s="2" t="str">
        <f>IFERROR(__xludf.DUMMYFUNCTION("""COMPUTED_VALUE"""),"https://www.wfmz.com/news/area/poconos-coal/carbon-county/penn-forest-community-discusses-potential-data-center/article_266fe14e-2bc7-474d-88a1-f309707f90af.html")</f>
        <v>https://www.wfmz.com/news/area/poconos-coal/carbon-county/penn-forest-community-discusses-potential-data-center/article_266fe14e-2bc7-474d-88a1-f309707f90af.html</v>
      </c>
      <c r="AJ793" s="2" t="str">
        <f>IFERROR(__xludf.DUMMYFUNCTION("""COMPUTED_VALUE"""),"https://www.tnonline.com/20250911/data-center-on-rt-903-discussed/")</f>
        <v>https://www.tnonline.com/20250911/data-center-on-rt-903-discussed/</v>
      </c>
      <c r="AK793" s="1" t="str">
        <f>IFERROR(__xludf.DUMMYFUNCTION("""COMPUTED_VALUE"""),"")</f>
        <v/>
      </c>
      <c r="AL793" s="1" t="str">
        <f>IFERROR(__xludf.DUMMYFUNCTION("""COMPUTED_VALUE"""),"")</f>
        <v/>
      </c>
      <c r="AM793" s="1" t="str">
        <f>IFERROR(__xludf.DUMMYFUNCTION("""COMPUTED_VALUE"""),"")</f>
        <v/>
      </c>
      <c r="AN793" s="1" t="str">
        <f>IFERROR(__xludf.DUMMYFUNCTION("""COMPUTED_VALUE"""),"")</f>
        <v/>
      </c>
      <c r="AO793" s="1" t="str">
        <f>IFERROR(__xludf.DUMMYFUNCTION("""COMPUTED_VALUE"""),"")</f>
        <v/>
      </c>
      <c r="AP793" s="1" t="str">
        <f>IFERROR(__xludf.DUMMYFUNCTION("""COMPUTED_VALUE"""),"")</f>
        <v/>
      </c>
      <c r="AQ793" s="1" t="str">
        <f>IFERROR(__xludf.DUMMYFUNCTION("""COMPUTED_VALUE"""),"02/05/2026")</f>
        <v>02/05/2026</v>
      </c>
      <c r="AR793" s="1" t="str">
        <f>IFERROR(__xludf.DUMMYFUNCTION("""COMPUTED_VALUE"""),"02/05/2026")</f>
        <v>02/05/2026</v>
      </c>
    </row>
    <row r="794">
      <c r="A794" s="1" t="str">
        <f>IFERROR(__xludf.DUMMYFUNCTION("""COMPUTED_VALUE"""),"Bitfarm Scrubgrass")</f>
        <v>Bitfarm Scrubgrass</v>
      </c>
      <c r="B794" s="1" t="str">
        <f>IFERROR(__xludf.DUMMYFUNCTION("""COMPUTED_VALUE"""),"2151 Lisbon Road")</f>
        <v>2151 Lisbon Road</v>
      </c>
      <c r="C794" s="1" t="str">
        <f>IFERROR(__xludf.DUMMYFUNCTION("""COMPUTED_VALUE"""),"Kennerdell")</f>
        <v>Kennerdell</v>
      </c>
      <c r="D794" s="1" t="str">
        <f>IFERROR(__xludf.DUMMYFUNCTION("""COMPUTED_VALUE"""),"PA")</f>
        <v>PA</v>
      </c>
      <c r="E794" s="1" t="str">
        <f>IFERROR(__xludf.DUMMYFUNCTION("""COMPUTED_VALUE"""),"16374")</f>
        <v>16374</v>
      </c>
      <c r="F794" s="1" t="str">
        <f>IFERROR(__xludf.DUMMYFUNCTION("""COMPUTED_VALUE"""),"Venango")</f>
        <v>Venango</v>
      </c>
      <c r="G794" s="1" t="str">
        <f>IFERROR(__xludf.DUMMYFUNCTION("""COMPUTED_VALUE"""),"41.26942")</f>
        <v>41.26942</v>
      </c>
      <c r="H794" s="1" t="str">
        <f>IFERROR(__xludf.DUMMYFUNCTION("""COMPUTED_VALUE"""),"-79.81057")</f>
        <v>-79.81057</v>
      </c>
      <c r="I794" s="1" t="str">
        <f>IFERROR(__xludf.DUMMYFUNCTION("""COMPUTED_VALUE"""),"Operating")</f>
        <v>Operating</v>
      </c>
      <c r="J794" s="1" t="str">
        <f>IFERROR(__xludf.DUMMYFUNCTION("""COMPUTED_VALUE"""),"High")</f>
        <v>High</v>
      </c>
      <c r="K794" s="1" t="str">
        <f>IFERROR(__xludf.DUMMYFUNCTION("""COMPUTED_VALUE"""),"")</f>
        <v/>
      </c>
      <c r="L794" s="1" t="str">
        <f>IFERROR(__xludf.DUMMYFUNCTION("""COMPUTED_VALUE"""),"")</f>
        <v/>
      </c>
      <c r="M794" s="1" t="str">
        <f>IFERROR(__xludf.DUMMYFUNCTION("""COMPUTED_VALUE"""),"")</f>
        <v/>
      </c>
      <c r="N794" s="1" t="str">
        <f>IFERROR(__xludf.DUMMYFUNCTION("""COMPUTED_VALUE"""),"63")</f>
        <v>63</v>
      </c>
      <c r="O794" s="1" t="str">
        <f>IFERROR(__xludf.DUMMYFUNCTION("""COMPUTED_VALUE"""),"Large (51-99 MW)")</f>
        <v>Large (51-99 MW)</v>
      </c>
      <c r="P794" s="1" t="str">
        <f>IFERROR(__xludf.DUMMYFUNCTION("""COMPUTED_VALUE"""),"")</f>
        <v/>
      </c>
      <c r="Q794" s="1" t="str">
        <f>IFERROR(__xludf.DUMMYFUNCTION("""COMPUTED_VALUE"""),"")</f>
        <v/>
      </c>
      <c r="R794" s="1" t="str">
        <f>IFERROR(__xludf.DUMMYFUNCTION("""COMPUTED_VALUE"""),"")</f>
        <v/>
      </c>
      <c r="S794" s="1" t="str">
        <f>IFERROR(__xludf.DUMMYFUNCTION("""COMPUTED_VALUE"""),"")</f>
        <v/>
      </c>
      <c r="T794" s="1" t="str">
        <f>IFERROR(__xludf.DUMMYFUNCTION("""COMPUTED_VALUE"""),"")</f>
        <v/>
      </c>
      <c r="U794" s="1" t="str">
        <f>IFERROR(__xludf.DUMMYFUNCTION("""COMPUTED_VALUE"""),"")</f>
        <v/>
      </c>
      <c r="V794" s="1" t="str">
        <f>IFERROR(__xludf.DUMMYFUNCTION("""COMPUTED_VALUE"""),"")</f>
        <v/>
      </c>
      <c r="W794" s="1" t="str">
        <f>IFERROR(__xludf.DUMMYFUNCTION("""COMPUTED_VALUE"""),"")</f>
        <v/>
      </c>
      <c r="X794" s="1" t="str">
        <f>IFERROR(__xludf.DUMMYFUNCTION("""COMPUTED_VALUE"""),"")</f>
        <v/>
      </c>
      <c r="Y794" s="1" t="str">
        <f>IFERROR(__xludf.DUMMYFUNCTION("""COMPUTED_VALUE"""),"")</f>
        <v/>
      </c>
      <c r="Z794" s="1" t="str">
        <f>IFERROR(__xludf.DUMMYFUNCTION("""COMPUTED_VALUE"""),"Unknown")</f>
        <v>Unknown</v>
      </c>
      <c r="AA794" s="1" t="str">
        <f>IFERROR(__xludf.DUMMYFUNCTION("""COMPUTED_VALUE"""),"")</f>
        <v/>
      </c>
      <c r="AB794" s="1" t="str">
        <f>IFERROR(__xludf.DUMMYFUNCTION("""COMPUTED_VALUE"""),"")</f>
        <v/>
      </c>
      <c r="AC794" s="1" t="str">
        <f>IFERROR(__xludf.DUMMYFUNCTION("""COMPUTED_VALUE"""),"")</f>
        <v/>
      </c>
      <c r="AD794" s="1" t="str">
        <f>IFERROR(__xludf.DUMMYFUNCTION("""COMPUTED_VALUE"""),"")</f>
        <v/>
      </c>
      <c r="AE794" s="1" t="str">
        <f>IFERROR(__xludf.DUMMYFUNCTION("""COMPUTED_VALUE"""),"")</f>
        <v/>
      </c>
      <c r="AF794" s="1" t="str">
        <f>IFERROR(__xludf.DUMMYFUNCTION("""COMPUTED_VALUE"""),"")</f>
        <v/>
      </c>
      <c r="AG794" s="1" t="str">
        <f>IFERROR(__xludf.DUMMYFUNCTION("""COMPUTED_VALUE"""),"Bitcoin transitioning to AI")</f>
        <v>Bitcoin transitioning to AI</v>
      </c>
      <c r="AH794" s="1" t="str">
        <f>IFERROR(__xludf.DUMMYFUNCTION("""COMPUTED_VALUE"""),"Media Monitoring")</f>
        <v>Media Monitoring</v>
      </c>
      <c r="AI794" s="2" t="str">
        <f>IFERROR(__xludf.DUMMYFUNCTION("""COMPUTED_VALUE"""),"https://www.tomshardware.com/tech-industry/cryptomining/major-bitcoin-mining-firm-pivoting-to-ai-plans-to-fully-abandon-crypto-mining-by-2027-bitfarm-to-leverage-341-megawatt-capacity-for-ai-following-usd46-million-q3-loss")</f>
        <v>https://www.tomshardware.com/tech-industry/cryptomining/major-bitcoin-mining-firm-pivoting-to-ai-plans-to-fully-abandon-crypto-mining-by-2027-bitfarm-to-leverage-341-megawatt-capacity-for-ai-following-usd46-million-q3-loss</v>
      </c>
      <c r="AJ794" s="2" t="str">
        <f>IFERROR(__xludf.DUMMYFUNCTION("""COMPUTED_VALUE"""),"https://bitfarms.com/our-portfolio/data-centers/north-america/")</f>
        <v>https://bitfarms.com/our-portfolio/data-centers/north-america/</v>
      </c>
      <c r="AK794" s="1" t="str">
        <f>IFERROR(__xludf.DUMMYFUNCTION("""COMPUTED_VALUE"""),"")</f>
        <v/>
      </c>
      <c r="AL794" s="1" t="str">
        <f>IFERROR(__xludf.DUMMYFUNCTION("""COMPUTED_VALUE"""),"")</f>
        <v/>
      </c>
      <c r="AM794" s="1" t="str">
        <f>IFERROR(__xludf.DUMMYFUNCTION("""COMPUTED_VALUE"""),"")</f>
        <v/>
      </c>
      <c r="AN794" s="1" t="str">
        <f>IFERROR(__xludf.DUMMYFUNCTION("""COMPUTED_VALUE"""),"")</f>
        <v/>
      </c>
      <c r="AO794" s="1" t="str">
        <f>IFERROR(__xludf.DUMMYFUNCTION("""COMPUTED_VALUE"""),"")</f>
        <v/>
      </c>
      <c r="AP794" s="1" t="str">
        <f>IFERROR(__xludf.DUMMYFUNCTION("""COMPUTED_VALUE"""),"")</f>
        <v/>
      </c>
      <c r="AQ794" s="1" t="str">
        <f>IFERROR(__xludf.DUMMYFUNCTION("""COMPUTED_VALUE"""),"11/17/2025")</f>
        <v>11/17/2025</v>
      </c>
      <c r="AR794" s="1" t="str">
        <f>IFERROR(__xludf.DUMMYFUNCTION("""COMPUTED_VALUE"""),"11/17/2025")</f>
        <v>11/17/2025</v>
      </c>
    </row>
    <row r="795">
      <c r="A795" s="1" t="str">
        <f>IFERROR(__xludf.DUMMYFUNCTION("""COMPUTED_VALUE"""),"DaSTOR Data Center")</f>
        <v>DaSTOR Data Center</v>
      </c>
      <c r="B795" s="1" t="str">
        <f>IFERROR(__xludf.DUMMYFUNCTION("""COMPUTED_VALUE"""),"3400 Horizon Drive")</f>
        <v>3400 Horizon Drive</v>
      </c>
      <c r="C795" s="1" t="str">
        <f>IFERROR(__xludf.DUMMYFUNCTION("""COMPUTED_VALUE"""),"King of Prussia")</f>
        <v>King of Prussia</v>
      </c>
      <c r="D795" s="1" t="str">
        <f>IFERROR(__xludf.DUMMYFUNCTION("""COMPUTED_VALUE"""),"PA")</f>
        <v>PA</v>
      </c>
      <c r="E795" s="1" t="str">
        <f>IFERROR(__xludf.DUMMYFUNCTION("""COMPUTED_VALUE"""),"19406")</f>
        <v>19406</v>
      </c>
      <c r="F795" s="1" t="str">
        <f>IFERROR(__xludf.DUMMYFUNCTION("""COMPUTED_VALUE"""),"Montgomery")</f>
        <v>Montgomery</v>
      </c>
      <c r="G795" s="1" t="str">
        <f>IFERROR(__xludf.DUMMYFUNCTION("""COMPUTED_VALUE"""),"40.08822")</f>
        <v>40.08822</v>
      </c>
      <c r="H795" s="1" t="str">
        <f>IFERROR(__xludf.DUMMYFUNCTION("""COMPUTED_VALUE"""),"-75.339264")</f>
        <v>-75.339264</v>
      </c>
      <c r="I795" s="1" t="str">
        <f>IFERROR(__xludf.DUMMYFUNCTION("""COMPUTED_VALUE"""),"Operating")</f>
        <v>Operating</v>
      </c>
      <c r="J795" s="1" t="str">
        <f>IFERROR(__xludf.DUMMYFUNCTION("""COMPUTED_VALUE"""),"High")</f>
        <v>High</v>
      </c>
      <c r="K795" s="1" t="str">
        <f>IFERROR(__xludf.DUMMYFUNCTION("""COMPUTED_VALUE"""),"")</f>
        <v/>
      </c>
      <c r="L795" s="1" t="str">
        <f>IFERROR(__xludf.DUMMYFUNCTION("""COMPUTED_VALUE"""),"DaSTOR")</f>
        <v>DaSTOR</v>
      </c>
      <c r="M795" s="1" t="str">
        <f>IFERROR(__xludf.DUMMYFUNCTION("""COMPUTED_VALUE"""),"")</f>
        <v/>
      </c>
      <c r="N795" s="1" t="str">
        <f>IFERROR(__xludf.DUMMYFUNCTION("""COMPUTED_VALUE"""),"4")</f>
        <v>4</v>
      </c>
      <c r="O795" s="1" t="str">
        <f>IFERROR(__xludf.DUMMYFUNCTION("""COMPUTED_VALUE"""),"Small (0-10 MW)")</f>
        <v>Small (0-10 MW)</v>
      </c>
      <c r="P795" s="1" t="str">
        <f>IFERROR(__xludf.DUMMYFUNCTION("""COMPUTED_VALUE"""),"")</f>
        <v/>
      </c>
      <c r="Q795" s="1" t="str">
        <f>IFERROR(__xludf.DUMMYFUNCTION("""COMPUTED_VALUE"""),"")</f>
        <v/>
      </c>
      <c r="R795" s="1" t="str">
        <f>IFERROR(__xludf.DUMMYFUNCTION("""COMPUTED_VALUE"""),"")</f>
        <v/>
      </c>
      <c r="S795" s="1" t="str">
        <f>IFERROR(__xludf.DUMMYFUNCTION("""COMPUTED_VALUE"""),"")</f>
        <v/>
      </c>
      <c r="T795" s="1" t="str">
        <f>IFERROR(__xludf.DUMMYFUNCTION("""COMPUTED_VALUE"""),"")</f>
        <v/>
      </c>
      <c r="U795" s="1" t="str">
        <f>IFERROR(__xludf.DUMMYFUNCTION("""COMPUTED_VALUE"""),"")</f>
        <v/>
      </c>
      <c r="V795" s="1" t="str">
        <f>IFERROR(__xludf.DUMMYFUNCTION("""COMPUTED_VALUE"""),"22,000")</f>
        <v>22,000</v>
      </c>
      <c r="W795" s="1" t="str">
        <f>IFERROR(__xludf.DUMMYFUNCTION("""COMPUTED_VALUE"""),"")</f>
        <v/>
      </c>
      <c r="X795" s="1" t="str">
        <f>IFERROR(__xludf.DUMMYFUNCTION("""COMPUTED_VALUE"""),"")</f>
        <v/>
      </c>
      <c r="Y795" s="1" t="str">
        <f>IFERROR(__xludf.DUMMYFUNCTION("""COMPUTED_VALUE"""),"")</f>
        <v/>
      </c>
      <c r="Z795" s="1" t="str">
        <f>IFERROR(__xludf.DUMMYFUNCTION("""COMPUTED_VALUE"""),"Unknown")</f>
        <v>Unknown</v>
      </c>
      <c r="AA795" s="1" t="str">
        <f>IFERROR(__xludf.DUMMYFUNCTION("""COMPUTED_VALUE"""),"")</f>
        <v/>
      </c>
      <c r="AB795" s="1" t="str">
        <f>IFERROR(__xludf.DUMMYFUNCTION("""COMPUTED_VALUE"""),"")</f>
        <v/>
      </c>
      <c r="AC795" s="1" t="str">
        <f>IFERROR(__xludf.DUMMYFUNCTION("""COMPUTED_VALUE"""),"")</f>
        <v/>
      </c>
      <c r="AD795" s="1" t="str">
        <f>IFERROR(__xludf.DUMMYFUNCTION("""COMPUTED_VALUE"""),"")</f>
        <v/>
      </c>
      <c r="AE795" s="1" t="str">
        <f>IFERROR(__xludf.DUMMYFUNCTION("""COMPUTED_VALUE"""),"")</f>
        <v/>
      </c>
      <c r="AF795" s="1" t="str">
        <f>IFERROR(__xludf.DUMMYFUNCTION("""COMPUTED_VALUE"""),"")</f>
        <v/>
      </c>
      <c r="AG795" s="1" t="str">
        <f>IFERROR(__xludf.DUMMYFUNCTION("""COMPUTED_VALUE"""),"")</f>
        <v/>
      </c>
      <c r="AH795" s="1" t="str">
        <f>IFERROR(__xludf.DUMMYFUNCTION("""COMPUTED_VALUE"""),"Other")</f>
        <v>Other</v>
      </c>
      <c r="AI795" s="2" t="str">
        <f>IFERROR(__xludf.DUMMYFUNCTION("""COMPUTED_VALUE"""),"https://dastorllc.com/locations/#horizon")</f>
        <v>https://dastorllc.com/locations/#horizon</v>
      </c>
      <c r="AJ795" s="1" t="str">
        <f>IFERROR(__xludf.DUMMYFUNCTION("""COMPUTED_VALUE"""),"")</f>
        <v/>
      </c>
      <c r="AK795" s="1" t="str">
        <f>IFERROR(__xludf.DUMMYFUNCTION("""COMPUTED_VALUE"""),"")</f>
        <v/>
      </c>
      <c r="AL795" s="1" t="str">
        <f>IFERROR(__xludf.DUMMYFUNCTION("""COMPUTED_VALUE"""),"")</f>
        <v/>
      </c>
      <c r="AM795" s="1" t="str">
        <f>IFERROR(__xludf.DUMMYFUNCTION("""COMPUTED_VALUE"""),"")</f>
        <v/>
      </c>
      <c r="AN795" s="1" t="str">
        <f>IFERROR(__xludf.DUMMYFUNCTION("""COMPUTED_VALUE"""),"")</f>
        <v/>
      </c>
      <c r="AO795" s="1" t="str">
        <f>IFERROR(__xludf.DUMMYFUNCTION("""COMPUTED_VALUE"""),"")</f>
        <v/>
      </c>
      <c r="AP795" s="1" t="str">
        <f>IFERROR(__xludf.DUMMYFUNCTION("""COMPUTED_VALUE"""),"")</f>
        <v/>
      </c>
      <c r="AQ795" s="1" t="str">
        <f>IFERROR(__xludf.DUMMYFUNCTION("""COMPUTED_VALUE"""),"11/24/2025")</f>
        <v>11/24/2025</v>
      </c>
      <c r="AR795" s="1" t="str">
        <f>IFERROR(__xludf.DUMMYFUNCTION("""COMPUTED_VALUE"""),"11/24/2025")</f>
        <v>11/24/2025</v>
      </c>
    </row>
    <row r="796">
      <c r="A796" s="1" t="str">
        <f>IFERROR(__xludf.DUMMYFUNCTION("""COMPUTED_VALUE"""),"CoreWeave Lancaster 1")</f>
        <v>CoreWeave Lancaster 1</v>
      </c>
      <c r="B796" s="1" t="str">
        <f>IFERROR(__xludf.DUMMYFUNCTION("""COMPUTED_VALUE"""),"216 Greenfield Rd")</f>
        <v>216 Greenfield Rd</v>
      </c>
      <c r="C796" s="1" t="str">
        <f>IFERROR(__xludf.DUMMYFUNCTION("""COMPUTED_VALUE"""),"Lancaster")</f>
        <v>Lancaster</v>
      </c>
      <c r="D796" s="1" t="str">
        <f>IFERROR(__xludf.DUMMYFUNCTION("""COMPUTED_VALUE"""),"PA")</f>
        <v>PA</v>
      </c>
      <c r="E796" s="1" t="str">
        <f>IFERROR(__xludf.DUMMYFUNCTION("""COMPUTED_VALUE"""),"17601")</f>
        <v>17601</v>
      </c>
      <c r="F796" s="1" t="str">
        <f>IFERROR(__xludf.DUMMYFUNCTION("""COMPUTED_VALUE"""),"Lancaster")</f>
        <v>Lancaster</v>
      </c>
      <c r="G796" s="1" t="str">
        <f>IFERROR(__xludf.DUMMYFUNCTION("""COMPUTED_VALUE"""),"40.0485")</f>
        <v>40.0485</v>
      </c>
      <c r="H796" s="1" t="str">
        <f>IFERROR(__xludf.DUMMYFUNCTION("""COMPUTED_VALUE"""),"-76.2598")</f>
        <v>-76.2598</v>
      </c>
      <c r="I796" s="1" t="str">
        <f>IFERROR(__xludf.DUMMYFUNCTION("""COMPUTED_VALUE"""),"Proposed")</f>
        <v>Proposed</v>
      </c>
      <c r="J796" s="1" t="str">
        <f>IFERROR(__xludf.DUMMYFUNCTION("""COMPUTED_VALUE"""),"High")</f>
        <v>High</v>
      </c>
      <c r="K796" s="1" t="str">
        <f>IFERROR(__xludf.DUMMYFUNCTION("""COMPUTED_VALUE"""),"AI")</f>
        <v>AI</v>
      </c>
      <c r="L796" s="1" t="str">
        <f>IFERROR(__xludf.DUMMYFUNCTION("""COMPUTED_VALUE"""),"Chirisa Technology Parks and Machine Investment Group/CoreWeave")</f>
        <v>Chirisa Technology Parks and Machine Investment Group/CoreWeave</v>
      </c>
      <c r="M796" s="1" t="str">
        <f>IFERROR(__xludf.DUMMYFUNCTION("""COMPUTED_VALUE"""),"")</f>
        <v/>
      </c>
      <c r="N796" s="1" t="str">
        <f>IFERROR(__xludf.DUMMYFUNCTION("""COMPUTED_VALUE"""),"100-300")</f>
        <v>100-300</v>
      </c>
      <c r="O796" s="1" t="str">
        <f>IFERROR(__xludf.DUMMYFUNCTION("""COMPUTED_VALUE"""),"Hyperscale (100-999 MW)")</f>
        <v>Hyperscale (100-999 MW)</v>
      </c>
      <c r="P796" s="1" t="str">
        <f>IFERROR(__xludf.DUMMYFUNCTION("""COMPUTED_VALUE"""),"")</f>
        <v/>
      </c>
      <c r="Q796" s="1" t="str">
        <f>IFERROR(__xludf.DUMMYFUNCTION("""COMPUTED_VALUE"""),"")</f>
        <v/>
      </c>
      <c r="R796" s="1" t="str">
        <f>IFERROR(__xludf.DUMMYFUNCTION("""COMPUTED_VALUE"""),"")</f>
        <v/>
      </c>
      <c r="S796" s="1" t="str">
        <f>IFERROR(__xludf.DUMMYFUNCTION("""COMPUTED_VALUE"""),"")</f>
        <v/>
      </c>
      <c r="T796" s="1" t="str">
        <f>IFERROR(__xludf.DUMMYFUNCTION("""COMPUTED_VALUE"""),"")</f>
        <v/>
      </c>
      <c r="U796" s="1" t="str">
        <f>IFERROR(__xludf.DUMMYFUNCTION("""COMPUTED_VALUE"""),"")</f>
        <v/>
      </c>
      <c r="V796" s="1" t="str">
        <f>IFERROR(__xludf.DUMMYFUNCTION("""COMPUTED_VALUE"""),"450,000")</f>
        <v>450,000</v>
      </c>
      <c r="W796" s="1" t="str">
        <f>IFERROR(__xludf.DUMMYFUNCTION("""COMPUTED_VALUE"""),"78")</f>
        <v>78</v>
      </c>
      <c r="X796" s="1" t="str">
        <f>IFERROR(__xludf.DUMMYFUNCTION("""COMPUTED_VALUE"""),"$6 billion")</f>
        <v>$6 billion</v>
      </c>
      <c r="Y796" s="1" t="str">
        <f>IFERROR(__xludf.DUMMYFUNCTION("""COMPUTED_VALUE"""),"")</f>
        <v/>
      </c>
      <c r="Z796" s="1" t="str">
        <f>IFERROR(__xludf.DUMMYFUNCTION("""COMPUTED_VALUE"""),"Yes")</f>
        <v>Yes</v>
      </c>
      <c r="AA796" s="1" t="str">
        <f>IFERROR(__xludf.DUMMYFUNCTION("""COMPUTED_VALUE"""),"")</f>
        <v/>
      </c>
      <c r="AB796" s="1" t="str">
        <f>IFERROR(__xludf.DUMMYFUNCTION("""COMPUTED_VALUE"""),"")</f>
        <v/>
      </c>
      <c r="AC796" s="1" t="str">
        <f>IFERROR(__xludf.DUMMYFUNCTION("""COMPUTED_VALUE"""),"")</f>
        <v/>
      </c>
      <c r="AD796" s="1" t="str">
        <f>IFERROR(__xludf.DUMMYFUNCTION("""COMPUTED_VALUE"""),"")</f>
        <v/>
      </c>
      <c r="AE796" s="1" t="str">
        <f>IFERROR(__xludf.DUMMYFUNCTION("""COMPUTED_VALUE"""),"")</f>
        <v/>
      </c>
      <c r="AF796" s="1" t="str">
        <f>IFERROR(__xludf.DUMMYFUNCTION("""COMPUTED_VALUE"""),"")</f>
        <v/>
      </c>
      <c r="AG796" s="1" t="str">
        <f>IFERROR(__xludf.DUMMYFUNCTION("""COMPUTED_VALUE"""),"Cost and MW for both sites, 72 backup diesel generators, former printing press building. Despite public pressure to reject the data centers, Lancaster entered into a CBA with Chirisa Technology Parks for two data center campuses. The deal requires the dev"&amp;"eloper to use 100% clean energy for the first 10 years (with a minimum of 60% thereafter), limits water usage to 20,000 gallons per day per campus, enforces strict noise standards, and contributes $20 million to city economic development and sustainabilit"&amp;"y funds")</f>
        <v>Cost and MW for both sites, 72 backup diesel generators, former printing press building. Despite public pressure to reject the data centers, Lancaster entered into a CBA with Chirisa Technology Parks for two data center campuses. The deal requires the developer to use 100% clean energy for the first 10 years (with a minimum of 60% thereafter), limits water usage to 20,000 gallons per day per campus, enforces strict noise standards, and contributes $20 million to city economic development and sustainability funds</v>
      </c>
      <c r="AH796" s="1" t="str">
        <f>IFERROR(__xludf.DUMMYFUNCTION("""COMPUTED_VALUE"""),"Media Monitoring")</f>
        <v>Media Monitoring</v>
      </c>
      <c r="AI796" s="2" t="str">
        <f>IFERROR(__xludf.DUMMYFUNCTION("""COMPUTED_VALUE"""),"https://www.datacenterdynamics.com/en/news/coreweave-plans-6bn-data-center-in-lancaster-pennsylvania/")</f>
        <v>https://www.datacenterdynamics.com/en/news/coreweave-plans-6bn-data-center-in-lancaster-pennsylvania/</v>
      </c>
      <c r="AJ796" s="2" t="str">
        <f>IFERROR(__xludf.DUMMYFUNCTION("""COMPUTED_VALUE"""),"https://web.archive.org/web/20250727192710/https://lancasteronline.com/opinion/editorials/we-have-numerous-questions-about-the-new-data-center-planned-for-lancaster-city-editorial/article_c2cf2479-33f1-4425-921f-1fac8b46f7df.html")</f>
        <v>https://web.archive.org/web/20250727192710/https://lancasteronline.com/opinion/editorials/we-have-numerous-questions-about-the-new-data-center-planned-for-lancaster-city-editorial/article_c2cf2479-33f1-4425-921f-1fac8b46f7df.html</v>
      </c>
      <c r="AK796" s="2" t="str">
        <f>IFERROR(__xludf.DUMMYFUNCTION("""COMPUTED_VALUE"""),"https://www.fox43.com/article/news/local/lancaster-outlines-new-community-agreement-with-data-centers-communty-lancaster-county/521-ff141d3b-7896-472f-9351-6c74a4c85bd1")</f>
        <v>https://www.fox43.com/article/news/local/lancaster-outlines-new-community-agreement-with-data-centers-communty-lancaster-county/521-ff141d3b-7896-472f-9351-6c74a4c85bd1</v>
      </c>
      <c r="AL796" s="1" t="str">
        <f>IFERROR(__xludf.DUMMYFUNCTION("""COMPUTED_VALUE"""),"")</f>
        <v/>
      </c>
      <c r="AM796" s="1" t="str">
        <f>IFERROR(__xludf.DUMMYFUNCTION("""COMPUTED_VALUE"""),"")</f>
        <v/>
      </c>
      <c r="AN796" s="1" t="str">
        <f>IFERROR(__xludf.DUMMYFUNCTION("""COMPUTED_VALUE"""),"")</f>
        <v/>
      </c>
      <c r="AO796" s="1" t="str">
        <f>IFERROR(__xludf.DUMMYFUNCTION("""COMPUTED_VALUE"""),"")</f>
        <v/>
      </c>
      <c r="AP796" s="1" t="str">
        <f>IFERROR(__xludf.DUMMYFUNCTION("""COMPUTED_VALUE"""),"")</f>
        <v/>
      </c>
      <c r="AQ796" s="1" t="str">
        <f>IFERROR(__xludf.DUMMYFUNCTION("""COMPUTED_VALUE"""),"07/16/2025")</f>
        <v>07/16/2025</v>
      </c>
      <c r="AR796" s="1" t="str">
        <f>IFERROR(__xludf.DUMMYFUNCTION("""COMPUTED_VALUE"""),"04/20/2026")</f>
        <v>04/20/2026</v>
      </c>
    </row>
    <row r="797">
      <c r="A797" s="1" t="str">
        <f>IFERROR(__xludf.DUMMYFUNCTION("""COMPUTED_VALUE"""),"CoreWeave Lancaster 2")</f>
        <v>CoreWeave Lancaster 2</v>
      </c>
      <c r="B797" s="1" t="str">
        <f>IFERROR(__xludf.DUMMYFUNCTION("""COMPUTED_VALUE"""),"1375 Harrisburg Pike")</f>
        <v>1375 Harrisburg Pike</v>
      </c>
      <c r="C797" s="1" t="str">
        <f>IFERROR(__xludf.DUMMYFUNCTION("""COMPUTED_VALUE"""),"Lancaster")</f>
        <v>Lancaster</v>
      </c>
      <c r="D797" s="1" t="str">
        <f>IFERROR(__xludf.DUMMYFUNCTION("""COMPUTED_VALUE"""),"PA")</f>
        <v>PA</v>
      </c>
      <c r="E797" s="1" t="str">
        <f>IFERROR(__xludf.DUMMYFUNCTION("""COMPUTED_VALUE"""),"17601")</f>
        <v>17601</v>
      </c>
      <c r="F797" s="1" t="str">
        <f>IFERROR(__xludf.DUMMYFUNCTION("""COMPUTED_VALUE"""),"Lancaster")</f>
        <v>Lancaster</v>
      </c>
      <c r="G797" s="1" t="str">
        <f>IFERROR(__xludf.DUMMYFUNCTION("""COMPUTED_VALUE"""),"40.05947")</f>
        <v>40.05947</v>
      </c>
      <c r="H797" s="1" t="str">
        <f>IFERROR(__xludf.DUMMYFUNCTION("""COMPUTED_VALUE"""),"-76.33")</f>
        <v>-76.33</v>
      </c>
      <c r="I797" s="1" t="str">
        <f>IFERROR(__xludf.DUMMYFUNCTION("""COMPUTED_VALUE"""),"Proposed")</f>
        <v>Proposed</v>
      </c>
      <c r="J797" s="1" t="str">
        <f>IFERROR(__xludf.DUMMYFUNCTION("""COMPUTED_VALUE"""),"High")</f>
        <v>High</v>
      </c>
      <c r="K797" s="1" t="str">
        <f>IFERROR(__xludf.DUMMYFUNCTION("""COMPUTED_VALUE"""),"AI")</f>
        <v>AI</v>
      </c>
      <c r="L797" s="1" t="str">
        <f>IFERROR(__xludf.DUMMYFUNCTION("""COMPUTED_VALUE"""),"Chirisa Technology Parks and Machine Investment Group/CoreWeave")</f>
        <v>Chirisa Technology Parks and Machine Investment Group/CoreWeave</v>
      </c>
      <c r="M797" s="1" t="str">
        <f>IFERROR(__xludf.DUMMYFUNCTION("""COMPUTED_VALUE"""),"")</f>
        <v/>
      </c>
      <c r="N797" s="1" t="str">
        <f>IFERROR(__xludf.DUMMYFUNCTION("""COMPUTED_VALUE"""),"100-300")</f>
        <v>100-300</v>
      </c>
      <c r="O797" s="1" t="str">
        <f>IFERROR(__xludf.DUMMYFUNCTION("""COMPUTED_VALUE"""),"Hyperscale (100-999 MW)")</f>
        <v>Hyperscale (100-999 MW)</v>
      </c>
      <c r="P797" s="1" t="str">
        <f>IFERROR(__xludf.DUMMYFUNCTION("""COMPUTED_VALUE"""),"")</f>
        <v/>
      </c>
      <c r="Q797" s="1" t="str">
        <f>IFERROR(__xludf.DUMMYFUNCTION("""COMPUTED_VALUE"""),"")</f>
        <v/>
      </c>
      <c r="R797" s="1" t="str">
        <f>IFERROR(__xludf.DUMMYFUNCTION("""COMPUTED_VALUE"""),"")</f>
        <v/>
      </c>
      <c r="S797" s="1" t="str">
        <f>IFERROR(__xludf.DUMMYFUNCTION("""COMPUTED_VALUE"""),"")</f>
        <v/>
      </c>
      <c r="T797" s="1" t="str">
        <f>IFERROR(__xludf.DUMMYFUNCTION("""COMPUTED_VALUE"""),"")</f>
        <v/>
      </c>
      <c r="U797" s="1" t="str">
        <f>IFERROR(__xludf.DUMMYFUNCTION("""COMPUTED_VALUE"""),"")</f>
        <v/>
      </c>
      <c r="V797" s="1" t="str">
        <f>IFERROR(__xludf.DUMMYFUNCTION("""COMPUTED_VALUE"""),"825,000")</f>
        <v>825,000</v>
      </c>
      <c r="W797" s="1" t="str">
        <f>IFERROR(__xludf.DUMMYFUNCTION("""COMPUTED_VALUE"""),"66")</f>
        <v>66</v>
      </c>
      <c r="X797" s="1" t="str">
        <f>IFERROR(__xludf.DUMMYFUNCTION("""COMPUTED_VALUE"""),"$6 billion")</f>
        <v>$6 billion</v>
      </c>
      <c r="Y797" s="1" t="str">
        <f>IFERROR(__xludf.DUMMYFUNCTION("""COMPUTED_VALUE"""),"")</f>
        <v/>
      </c>
      <c r="Z797" s="1" t="str">
        <f>IFERROR(__xludf.DUMMYFUNCTION("""COMPUTED_VALUE"""),"Yes")</f>
        <v>Yes</v>
      </c>
      <c r="AA797" s="1" t="str">
        <f>IFERROR(__xludf.DUMMYFUNCTION("""COMPUTED_VALUE"""),"")</f>
        <v/>
      </c>
      <c r="AB797" s="1" t="str">
        <f>IFERROR(__xludf.DUMMYFUNCTION("""COMPUTED_VALUE"""),"")</f>
        <v/>
      </c>
      <c r="AC797" s="1" t="str">
        <f>IFERROR(__xludf.DUMMYFUNCTION("""COMPUTED_VALUE"""),"")</f>
        <v/>
      </c>
      <c r="AD797" s="1" t="str">
        <f>IFERROR(__xludf.DUMMYFUNCTION("""COMPUTED_VALUE"""),"")</f>
        <v/>
      </c>
      <c r="AE797" s="1" t="str">
        <f>IFERROR(__xludf.DUMMYFUNCTION("""COMPUTED_VALUE"""),"")</f>
        <v/>
      </c>
      <c r="AF797" s="1" t="str">
        <f>IFERROR(__xludf.DUMMYFUNCTION("""COMPUTED_VALUE"""),"")</f>
        <v/>
      </c>
      <c r="AG797" s="1" t="str">
        <f>IFERROR(__xludf.DUMMYFUNCTION("""COMPUTED_VALUE"""),"Cost and MW for both sites, 72 backup diesel generators, former printing press building. Despite public pressure to reject the data centers, Lancaster entered into a CBA with Chirisa Technology Parks for two data center campuses. The deal requires the dev"&amp;"eloper to use 100% clean energy for the first 10 years (with a minimum of 60% thereafter), limits water usage to 20,000 gallons per day per campus, enforces strict noise standards, and contributes $20 million to city economic development and sustainabilit"&amp;"y funds")</f>
        <v>Cost and MW for both sites, 72 backup diesel generators, former printing press building. Despite public pressure to reject the data centers, Lancaster entered into a CBA with Chirisa Technology Parks for two data center campuses. The deal requires the developer to use 100% clean energy for the first 10 years (with a minimum of 60% thereafter), limits water usage to 20,000 gallons per day per campus, enforces strict noise standards, and contributes $20 million to city economic development and sustainability funds</v>
      </c>
      <c r="AH797" s="1" t="str">
        <f>IFERROR(__xludf.DUMMYFUNCTION("""COMPUTED_VALUE"""),"Media Monitoring")</f>
        <v>Media Monitoring</v>
      </c>
      <c r="AI797" s="2" t="str">
        <f>IFERROR(__xludf.DUMMYFUNCTION("""COMPUTED_VALUE"""),"https://www.datacenterdynamics.com/en/news/coreweave-plans-6bn-data-center-in-lancaster-pennsylvania/")</f>
        <v>https://www.datacenterdynamics.com/en/news/coreweave-plans-6bn-data-center-in-lancaster-pennsylvania/</v>
      </c>
      <c r="AJ797" s="2" t="str">
        <f>IFERROR(__xludf.DUMMYFUNCTION("""COMPUTED_VALUE"""),"https://www.fox43.com/article/news/local/lancaster-outlines-new-community-agreement-with-data-centers-communty-lancaster-county/521-ff141d3b-7896-472f-9351-6c74a4c85bd1")</f>
        <v>https://www.fox43.com/article/news/local/lancaster-outlines-new-community-agreement-with-data-centers-communty-lancaster-county/521-ff141d3b-7896-472f-9351-6c74a4c85bd1</v>
      </c>
      <c r="AK797" s="1" t="str">
        <f>IFERROR(__xludf.DUMMYFUNCTION("""COMPUTED_VALUE"""),"")</f>
        <v/>
      </c>
      <c r="AL797" s="1" t="str">
        <f>IFERROR(__xludf.DUMMYFUNCTION("""COMPUTED_VALUE"""),"")</f>
        <v/>
      </c>
      <c r="AM797" s="1" t="str">
        <f>IFERROR(__xludf.DUMMYFUNCTION("""COMPUTED_VALUE"""),"")</f>
        <v/>
      </c>
      <c r="AN797" s="1" t="str">
        <f>IFERROR(__xludf.DUMMYFUNCTION("""COMPUTED_VALUE"""),"")</f>
        <v/>
      </c>
      <c r="AO797" s="1" t="str">
        <f>IFERROR(__xludf.DUMMYFUNCTION("""COMPUTED_VALUE"""),"")</f>
        <v/>
      </c>
      <c r="AP797" s="1" t="str">
        <f>IFERROR(__xludf.DUMMYFUNCTION("""COMPUTED_VALUE"""),"")</f>
        <v/>
      </c>
      <c r="AQ797" s="1" t="str">
        <f>IFERROR(__xludf.DUMMYFUNCTION("""COMPUTED_VALUE"""),"07/16/2025")</f>
        <v>07/16/2025</v>
      </c>
      <c r="AR797" s="1" t="str">
        <f>IFERROR(__xludf.DUMMYFUNCTION("""COMPUTED_VALUE"""),"04/20/2026")</f>
        <v>04/20/2026</v>
      </c>
    </row>
    <row r="798">
      <c r="A798" s="1" t="str">
        <f>IFERROR(__xludf.DUMMYFUNCTION("""COMPUTED_VALUE"""),"Lumen: Lancaster 1 Data Center")</f>
        <v>Lumen: Lancaster 1 Data Center</v>
      </c>
      <c r="B798" s="1" t="str">
        <f>IFERROR(__xludf.DUMMYFUNCTION("""COMPUTED_VALUE"""),"1720 Hempstead Rd")</f>
        <v>1720 Hempstead Rd</v>
      </c>
      <c r="C798" s="1" t="str">
        <f>IFERROR(__xludf.DUMMYFUNCTION("""COMPUTED_VALUE"""),"Lancaster")</f>
        <v>Lancaster</v>
      </c>
      <c r="D798" s="1" t="str">
        <f>IFERROR(__xludf.DUMMYFUNCTION("""COMPUTED_VALUE"""),"PA")</f>
        <v>PA</v>
      </c>
      <c r="E798" s="1" t="str">
        <f>IFERROR(__xludf.DUMMYFUNCTION("""COMPUTED_VALUE"""),"17601")</f>
        <v>17601</v>
      </c>
      <c r="F798" s="1" t="str">
        <f>IFERROR(__xludf.DUMMYFUNCTION("""COMPUTED_VALUE"""),"Lancaster")</f>
        <v>Lancaster</v>
      </c>
      <c r="G798" s="1" t="str">
        <f>IFERROR(__xludf.DUMMYFUNCTION("""COMPUTED_VALUE"""),"40.049385")</f>
        <v>40.049385</v>
      </c>
      <c r="H798" s="1" t="str">
        <f>IFERROR(__xludf.DUMMYFUNCTION("""COMPUTED_VALUE"""),"-76.25195")</f>
        <v>-76.25195</v>
      </c>
      <c r="I798" s="1" t="str">
        <f>IFERROR(__xludf.DUMMYFUNCTION("""COMPUTED_VALUE"""),"Operating")</f>
        <v>Operating</v>
      </c>
      <c r="J798" s="1" t="str">
        <f>IFERROR(__xludf.DUMMYFUNCTION("""COMPUTED_VALUE"""),"High")</f>
        <v>High</v>
      </c>
      <c r="K798" s="1" t="str">
        <f>IFERROR(__xludf.DUMMYFUNCTION("""COMPUTED_VALUE"""),"")</f>
        <v/>
      </c>
      <c r="L798" s="1" t="str">
        <f>IFERROR(__xludf.DUMMYFUNCTION("""COMPUTED_VALUE"""),"Lumen")</f>
        <v>Lumen</v>
      </c>
      <c r="M798" s="1" t="str">
        <f>IFERROR(__xludf.DUMMYFUNCTION("""COMPUTED_VALUE"""),"")</f>
        <v/>
      </c>
      <c r="N798" s="1" t="str">
        <f>IFERROR(__xludf.DUMMYFUNCTION("""COMPUTED_VALUE"""),"")</f>
        <v/>
      </c>
      <c r="O798" s="1" t="str">
        <f>IFERROR(__xludf.DUMMYFUNCTION("""COMPUTED_VALUE"""),"Unknown")</f>
        <v>Unknown</v>
      </c>
      <c r="P798" s="1" t="str">
        <f>IFERROR(__xludf.DUMMYFUNCTION("""COMPUTED_VALUE"""),"")</f>
        <v/>
      </c>
      <c r="Q798" s="1" t="str">
        <f>IFERROR(__xludf.DUMMYFUNCTION("""COMPUTED_VALUE"""),"")</f>
        <v/>
      </c>
      <c r="R798" s="1" t="str">
        <f>IFERROR(__xludf.DUMMYFUNCTION("""COMPUTED_VALUE"""),"")</f>
        <v/>
      </c>
      <c r="S798" s="1" t="str">
        <f>IFERROR(__xludf.DUMMYFUNCTION("""COMPUTED_VALUE"""),"")</f>
        <v/>
      </c>
      <c r="T798" s="1" t="str">
        <f>IFERROR(__xludf.DUMMYFUNCTION("""COMPUTED_VALUE"""),"")</f>
        <v/>
      </c>
      <c r="U798" s="1" t="str">
        <f>IFERROR(__xludf.DUMMYFUNCTION("""COMPUTED_VALUE"""),"")</f>
        <v/>
      </c>
      <c r="V798" s="1" t="str">
        <f>IFERROR(__xludf.DUMMYFUNCTION("""COMPUTED_VALUE"""),"5,000")</f>
        <v>5,000</v>
      </c>
      <c r="W798" s="1" t="str">
        <f>IFERROR(__xludf.DUMMYFUNCTION("""COMPUTED_VALUE"""),"")</f>
        <v/>
      </c>
      <c r="X798" s="1" t="str">
        <f>IFERROR(__xludf.DUMMYFUNCTION("""COMPUTED_VALUE"""),"")</f>
        <v/>
      </c>
      <c r="Y798" s="1" t="str">
        <f>IFERROR(__xludf.DUMMYFUNCTION("""COMPUTED_VALUE"""),"")</f>
        <v/>
      </c>
      <c r="Z798" s="1" t="str">
        <f>IFERROR(__xludf.DUMMYFUNCTION("""COMPUTED_VALUE"""),"Unknown")</f>
        <v>Unknown</v>
      </c>
      <c r="AA798" s="1" t="str">
        <f>IFERROR(__xludf.DUMMYFUNCTION("""COMPUTED_VALUE"""),"")</f>
        <v/>
      </c>
      <c r="AB798" s="1" t="str">
        <f>IFERROR(__xludf.DUMMYFUNCTION("""COMPUTED_VALUE"""),"")</f>
        <v/>
      </c>
      <c r="AC798" s="1" t="str">
        <f>IFERROR(__xludf.DUMMYFUNCTION("""COMPUTED_VALUE"""),"")</f>
        <v/>
      </c>
      <c r="AD798" s="1" t="str">
        <f>IFERROR(__xludf.DUMMYFUNCTION("""COMPUTED_VALUE"""),"")</f>
        <v/>
      </c>
      <c r="AE798" s="1" t="str">
        <f>IFERROR(__xludf.DUMMYFUNCTION("""COMPUTED_VALUE"""),"")</f>
        <v/>
      </c>
      <c r="AF798" s="1" t="str">
        <f>IFERROR(__xludf.DUMMYFUNCTION("""COMPUTED_VALUE"""),"")</f>
        <v/>
      </c>
      <c r="AG798" s="1" t="str">
        <f>IFERROR(__xludf.DUMMYFUNCTION("""COMPUTED_VALUE"""),"")</f>
        <v/>
      </c>
      <c r="AH798" s="1" t="str">
        <f>IFERROR(__xludf.DUMMYFUNCTION("""COMPUTED_VALUE"""),"Other")</f>
        <v>Other</v>
      </c>
      <c r="AI798" s="1" t="str">
        <f>IFERROR(__xludf.DUMMYFUNCTION("""COMPUTED_VALUE"""),"")</f>
        <v/>
      </c>
      <c r="AJ798" s="1" t="str">
        <f>IFERROR(__xludf.DUMMYFUNCTION("""COMPUTED_VALUE"""),"")</f>
        <v/>
      </c>
      <c r="AK798" s="1" t="str">
        <f>IFERROR(__xludf.DUMMYFUNCTION("""COMPUTED_VALUE"""),"")</f>
        <v/>
      </c>
      <c r="AL798" s="1" t="str">
        <f>IFERROR(__xludf.DUMMYFUNCTION("""COMPUTED_VALUE"""),"")</f>
        <v/>
      </c>
      <c r="AM798" s="1" t="str">
        <f>IFERROR(__xludf.DUMMYFUNCTION("""COMPUTED_VALUE"""),"")</f>
        <v/>
      </c>
      <c r="AN798" s="1" t="str">
        <f>IFERROR(__xludf.DUMMYFUNCTION("""COMPUTED_VALUE"""),"")</f>
        <v/>
      </c>
      <c r="AO798" s="1" t="str">
        <f>IFERROR(__xludf.DUMMYFUNCTION("""COMPUTED_VALUE"""),"")</f>
        <v/>
      </c>
      <c r="AP798" s="1" t="str">
        <f>IFERROR(__xludf.DUMMYFUNCTION("""COMPUTED_VALUE"""),"")</f>
        <v/>
      </c>
      <c r="AQ798" s="1" t="str">
        <f>IFERROR(__xludf.DUMMYFUNCTION("""COMPUTED_VALUE"""),"11/21/2025")</f>
        <v>11/21/2025</v>
      </c>
      <c r="AR798" s="1" t="str">
        <f>IFERROR(__xludf.DUMMYFUNCTION("""COMPUTED_VALUE"""),"11/21/2025")</f>
        <v>11/21/2025</v>
      </c>
    </row>
    <row r="799">
      <c r="A799" s="1" t="str">
        <f>IFERROR(__xludf.DUMMYFUNCTION("""COMPUTED_VALUE"""),"PA Data Center Partners")</f>
        <v>PA Data Center Partners</v>
      </c>
      <c r="B799" s="1" t="str">
        <f>IFERROR(__xludf.DUMMYFUNCTION("""COMPUTED_VALUE"""),"Miflin County Industrial Park, Loop Rd")</f>
        <v>Miflin County Industrial Park, Loop Rd</v>
      </c>
      <c r="C799" s="1" t="str">
        <f>IFERROR(__xludf.DUMMYFUNCTION("""COMPUTED_VALUE"""),"Lewistown")</f>
        <v>Lewistown</v>
      </c>
      <c r="D799" s="1" t="str">
        <f>IFERROR(__xludf.DUMMYFUNCTION("""COMPUTED_VALUE"""),"PA")</f>
        <v>PA</v>
      </c>
      <c r="E799" s="1" t="str">
        <f>IFERROR(__xludf.DUMMYFUNCTION("""COMPUTED_VALUE"""),"17044")</f>
        <v>17044</v>
      </c>
      <c r="F799" s="1" t="str">
        <f>IFERROR(__xludf.DUMMYFUNCTION("""COMPUTED_VALUE"""),"Miflin")</f>
        <v>Miflin</v>
      </c>
      <c r="G799" s="1" t="str">
        <f>IFERROR(__xludf.DUMMYFUNCTION("""COMPUTED_VALUE"""),"40.568882")</f>
        <v>40.568882</v>
      </c>
      <c r="H799" s="1" t="str">
        <f>IFERROR(__xludf.DUMMYFUNCTION("""COMPUTED_VALUE"""),"-77.61606")</f>
        <v>-77.61606</v>
      </c>
      <c r="I799" s="1" t="str">
        <f>IFERROR(__xludf.DUMMYFUNCTION("""COMPUTED_VALUE"""),"Proposed")</f>
        <v>Proposed</v>
      </c>
      <c r="J799" s="1" t="str">
        <f>IFERROR(__xludf.DUMMYFUNCTION("""COMPUTED_VALUE"""),"High")</f>
        <v>High</v>
      </c>
      <c r="K799" s="1" t="str">
        <f>IFERROR(__xludf.DUMMYFUNCTION("""COMPUTED_VALUE"""),"")</f>
        <v/>
      </c>
      <c r="L799" s="1" t="str">
        <f>IFERROR(__xludf.DUMMYFUNCTION("""COMPUTED_VALUE"""),"")</f>
        <v/>
      </c>
      <c r="M799" s="1" t="str">
        <f>IFERROR(__xludf.DUMMYFUNCTION("""COMPUTED_VALUE"""),"")</f>
        <v/>
      </c>
      <c r="N799" s="1" t="str">
        <f>IFERROR(__xludf.DUMMYFUNCTION("""COMPUTED_VALUE"""),"")</f>
        <v/>
      </c>
      <c r="O799" s="1" t="str">
        <f>IFERROR(__xludf.DUMMYFUNCTION("""COMPUTED_VALUE"""),"Unknown")</f>
        <v>Unknown</v>
      </c>
      <c r="P799" s="1" t="str">
        <f>IFERROR(__xludf.DUMMYFUNCTION("""COMPUTED_VALUE"""),"")</f>
        <v/>
      </c>
      <c r="Q799" s="1" t="str">
        <f>IFERROR(__xludf.DUMMYFUNCTION("""COMPUTED_VALUE"""),"")</f>
        <v/>
      </c>
      <c r="R799" s="1" t="str">
        <f>IFERROR(__xludf.DUMMYFUNCTION("""COMPUTED_VALUE"""),"")</f>
        <v/>
      </c>
      <c r="S799" s="1" t="str">
        <f>IFERROR(__xludf.DUMMYFUNCTION("""COMPUTED_VALUE"""),"")</f>
        <v/>
      </c>
      <c r="T799" s="1" t="str">
        <f>IFERROR(__xludf.DUMMYFUNCTION("""COMPUTED_VALUE"""),"")</f>
        <v/>
      </c>
      <c r="U799" s="1" t="str">
        <f>IFERROR(__xludf.DUMMYFUNCTION("""COMPUTED_VALUE"""),"")</f>
        <v/>
      </c>
      <c r="V799" s="1" t="str">
        <f>IFERROR(__xludf.DUMMYFUNCTION("""COMPUTED_VALUE"""),"")</f>
        <v/>
      </c>
      <c r="W799" s="1" t="str">
        <f>IFERROR(__xludf.DUMMYFUNCTION("""COMPUTED_VALUE"""),"")</f>
        <v/>
      </c>
      <c r="X799" s="1" t="str">
        <f>IFERROR(__xludf.DUMMYFUNCTION("""COMPUTED_VALUE"""),"")</f>
        <v/>
      </c>
      <c r="Y799" s="1" t="str">
        <f>IFERROR(__xludf.DUMMYFUNCTION("""COMPUTED_VALUE"""),"")</f>
        <v/>
      </c>
      <c r="Z799" s="1" t="str">
        <f>IFERROR(__xludf.DUMMYFUNCTION("""COMPUTED_VALUE"""),"")</f>
        <v/>
      </c>
      <c r="AA799" s="1" t="str">
        <f>IFERROR(__xludf.DUMMYFUNCTION("""COMPUTED_VALUE"""),"")</f>
        <v/>
      </c>
      <c r="AB799" s="1" t="str">
        <f>IFERROR(__xludf.DUMMYFUNCTION("""COMPUTED_VALUE"""),"")</f>
        <v/>
      </c>
      <c r="AC799" s="1" t="str">
        <f>IFERROR(__xludf.DUMMYFUNCTION("""COMPUTED_VALUE"""),"")</f>
        <v/>
      </c>
      <c r="AD799" s="1" t="str">
        <f>IFERROR(__xludf.DUMMYFUNCTION("""COMPUTED_VALUE"""),"")</f>
        <v/>
      </c>
      <c r="AE799" s="1" t="str">
        <f>IFERROR(__xludf.DUMMYFUNCTION("""COMPUTED_VALUE"""),"")</f>
        <v/>
      </c>
      <c r="AF799" s="1" t="str">
        <f>IFERROR(__xludf.DUMMYFUNCTION("""COMPUTED_VALUE"""),"")</f>
        <v/>
      </c>
      <c r="AG799" s="1" t="str">
        <f>IFERROR(__xludf.DUMMYFUNCTION("""COMPUTED_VALUE"""),"")</f>
        <v/>
      </c>
      <c r="AH799" s="1" t="str">
        <f>IFERROR(__xludf.DUMMYFUNCTION("""COMPUTED_VALUE"""),"Media Monitoring")</f>
        <v>Media Monitoring</v>
      </c>
      <c r="AI799" s="2" t="str">
        <f>IFERROR(__xludf.DUMMYFUNCTION("""COMPUTED_VALUE"""),"https://www.datacenterdynamics.com/en/news/plans-for-data-center-submitted-in-mifflin-county-pennsylvania-just-two-days-before-local-moratorium-vote/")</f>
        <v>https://www.datacenterdynamics.com/en/news/plans-for-data-center-submitted-in-mifflin-county-pennsylvania-just-two-days-before-local-moratorium-vote/</v>
      </c>
      <c r="AJ799" s="1" t="str">
        <f>IFERROR(__xludf.DUMMYFUNCTION("""COMPUTED_VALUE"""),"")</f>
        <v/>
      </c>
      <c r="AK799" s="1" t="str">
        <f>IFERROR(__xludf.DUMMYFUNCTION("""COMPUTED_VALUE"""),"")</f>
        <v/>
      </c>
      <c r="AL799" s="1" t="str">
        <f>IFERROR(__xludf.DUMMYFUNCTION("""COMPUTED_VALUE"""),"")</f>
        <v/>
      </c>
      <c r="AM799" s="1" t="str">
        <f>IFERROR(__xludf.DUMMYFUNCTION("""COMPUTED_VALUE"""),"")</f>
        <v/>
      </c>
      <c r="AN799" s="1" t="str">
        <f>IFERROR(__xludf.DUMMYFUNCTION("""COMPUTED_VALUE"""),"")</f>
        <v/>
      </c>
      <c r="AO799" s="1" t="str">
        <f>IFERROR(__xludf.DUMMYFUNCTION("""COMPUTED_VALUE"""),"")</f>
        <v/>
      </c>
      <c r="AP799" s="1" t="str">
        <f>IFERROR(__xludf.DUMMYFUNCTION("""COMPUTED_VALUE"""),"")</f>
        <v/>
      </c>
      <c r="AQ799" s="1" t="str">
        <f>IFERROR(__xludf.DUMMYFUNCTION("""COMPUTED_VALUE"""),"07/14/2026")</f>
        <v>07/14/2026</v>
      </c>
      <c r="AR799" s="1" t="str">
        <f>IFERROR(__xludf.DUMMYFUNCTION("""COMPUTED_VALUE"""),"07/14/2026")</f>
        <v>07/14/2026</v>
      </c>
    </row>
    <row r="800">
      <c r="A800" s="1" t="str">
        <f>IFERROR(__xludf.DUMMYFUNCTION("""COMPUTED_VALUE"""),"AWS Data Center")</f>
        <v>AWS Data Center</v>
      </c>
      <c r="B800" s="1" t="str">
        <f>IFERROR(__xludf.DUMMYFUNCTION("""COMPUTED_VALUE"""),"Lofty Rd")</f>
        <v>Lofty Rd</v>
      </c>
      <c r="C800" s="1" t="str">
        <f>IFERROR(__xludf.DUMMYFUNCTION("""COMPUTED_VALUE"""),"McAdoo/ Kline Twp")</f>
        <v>McAdoo/ Kline Twp</v>
      </c>
      <c r="D800" s="1" t="str">
        <f>IFERROR(__xludf.DUMMYFUNCTION("""COMPUTED_VALUE"""),"PA")</f>
        <v>PA</v>
      </c>
      <c r="E800" s="1" t="str">
        <f>IFERROR(__xludf.DUMMYFUNCTION("""COMPUTED_VALUE"""),"18237")</f>
        <v>18237</v>
      </c>
      <c r="F800" s="1" t="str">
        <f>IFERROR(__xludf.DUMMYFUNCTION("""COMPUTED_VALUE"""),"Schuylkill")</f>
        <v>Schuylkill</v>
      </c>
      <c r="G800" s="1" t="str">
        <f>IFERROR(__xludf.DUMMYFUNCTION("""COMPUTED_VALUE"""),"40.86813")</f>
        <v>40.86813</v>
      </c>
      <c r="H800" s="1" t="str">
        <f>IFERROR(__xludf.DUMMYFUNCTION("""COMPUTED_VALUE"""),"-76.024254")</f>
        <v>-76.024254</v>
      </c>
      <c r="I800" s="1" t="str">
        <f>IFERROR(__xludf.DUMMYFUNCTION("""COMPUTED_VALUE"""),"Proposed")</f>
        <v>Proposed</v>
      </c>
      <c r="J800" s="1" t="str">
        <f>IFERROR(__xludf.DUMMYFUNCTION("""COMPUTED_VALUE"""),"Medium")</f>
        <v>Medium</v>
      </c>
      <c r="K800" s="1" t="str">
        <f>IFERROR(__xludf.DUMMYFUNCTION("""COMPUTED_VALUE"""),"")</f>
        <v/>
      </c>
      <c r="L800" s="1" t="str">
        <f>IFERROR(__xludf.DUMMYFUNCTION("""COMPUTED_VALUE"""),"Amazon")</f>
        <v>Amazon</v>
      </c>
      <c r="M800" s="1" t="str">
        <f>IFERROR(__xludf.DUMMYFUNCTION("""COMPUTED_VALUE"""),"")</f>
        <v/>
      </c>
      <c r="N800" s="1" t="str">
        <f>IFERROR(__xludf.DUMMYFUNCTION("""COMPUTED_VALUE"""),"")</f>
        <v/>
      </c>
      <c r="O800" s="1" t="str">
        <f>IFERROR(__xludf.DUMMYFUNCTION("""COMPUTED_VALUE"""),"Hyperscale (100-999 MW)")</f>
        <v>Hyperscale (100-999 MW)</v>
      </c>
      <c r="P800" s="1" t="str">
        <f>IFERROR(__xludf.DUMMYFUNCTION("""COMPUTED_VALUE"""),"")</f>
        <v/>
      </c>
      <c r="Q800" s="1" t="str">
        <f>IFERROR(__xludf.DUMMYFUNCTION("""COMPUTED_VALUE"""),"")</f>
        <v/>
      </c>
      <c r="R800" s="1" t="str">
        <f>IFERROR(__xludf.DUMMYFUNCTION("""COMPUTED_VALUE"""),"")</f>
        <v/>
      </c>
      <c r="S800" s="1" t="str">
        <f>IFERROR(__xludf.DUMMYFUNCTION("""COMPUTED_VALUE"""),"10")</f>
        <v>10</v>
      </c>
      <c r="T800" s="1" t="str">
        <f>IFERROR(__xludf.DUMMYFUNCTION("""COMPUTED_VALUE"""),"")</f>
        <v/>
      </c>
      <c r="U800" s="1" t="str">
        <f>IFERROR(__xludf.DUMMYFUNCTION("""COMPUTED_VALUE"""),"")</f>
        <v/>
      </c>
      <c r="V800" s="1" t="str">
        <f>IFERROR(__xludf.DUMMYFUNCTION("""COMPUTED_VALUE"""),"2,500,000")</f>
        <v>2,500,000</v>
      </c>
      <c r="W800" s="1" t="str">
        <f>IFERROR(__xludf.DUMMYFUNCTION("""COMPUTED_VALUE"""),"346")</f>
        <v>346</v>
      </c>
      <c r="X800" s="1" t="str">
        <f>IFERROR(__xludf.DUMMYFUNCTION("""COMPUTED_VALUE"""),"")</f>
        <v/>
      </c>
      <c r="Y800" s="1" t="str">
        <f>IFERROR(__xludf.DUMMYFUNCTION("""COMPUTED_VALUE"""),"")</f>
        <v/>
      </c>
      <c r="Z800" s="1" t="str">
        <f>IFERROR(__xludf.DUMMYFUNCTION("""COMPUTED_VALUE"""),"Unknown")</f>
        <v>Unknown</v>
      </c>
      <c r="AA800" s="1" t="str">
        <f>IFERROR(__xludf.DUMMYFUNCTION("""COMPUTED_VALUE"""),"")</f>
        <v/>
      </c>
      <c r="AB800" s="1" t="str">
        <f>IFERROR(__xludf.DUMMYFUNCTION("""COMPUTED_VALUE"""),"")</f>
        <v/>
      </c>
      <c r="AC800" s="1" t="str">
        <f>IFERROR(__xludf.DUMMYFUNCTION("""COMPUTED_VALUE"""),"")</f>
        <v/>
      </c>
      <c r="AD800" s="1" t="str">
        <f>IFERROR(__xludf.DUMMYFUNCTION("""COMPUTED_VALUE"""),"")</f>
        <v/>
      </c>
      <c r="AE800" s="1" t="str">
        <f>IFERROR(__xludf.DUMMYFUNCTION("""COMPUTED_VALUE"""),"")</f>
        <v/>
      </c>
      <c r="AF800" s="1" t="str">
        <f>IFERROR(__xludf.DUMMYFUNCTION("""COMPUTED_VALUE"""),"")</f>
        <v/>
      </c>
      <c r="AG800" s="1" t="str">
        <f>IFERROR(__xludf.DUMMYFUNCTION("""COMPUTED_VALUE"""),"")</f>
        <v/>
      </c>
      <c r="AH800" s="1" t="str">
        <f>IFERROR(__xludf.DUMMYFUNCTION("""COMPUTED_VALUE"""),"Media Monitoring")</f>
        <v>Media Monitoring</v>
      </c>
      <c r="AI800" s="2" t="str">
        <f>IFERROR(__xludf.DUMMYFUNCTION("""COMPUTED_VALUE"""),"https://www.datacenterdynamics.com/en/news/aws-plans-25-million-sq-ft-data-center-campus-in-kline-township-pennsylvania/")</f>
        <v>https://www.datacenterdynamics.com/en/news/aws-plans-25-million-sq-ft-data-center-campus-in-kline-township-pennsylvania/</v>
      </c>
      <c r="AJ800" s="1" t="str">
        <f>IFERROR(__xludf.DUMMYFUNCTION("""COMPUTED_VALUE"""),"")</f>
        <v/>
      </c>
      <c r="AK800" s="1" t="str">
        <f>IFERROR(__xludf.DUMMYFUNCTION("""COMPUTED_VALUE"""),"")</f>
        <v/>
      </c>
      <c r="AL800" s="1" t="str">
        <f>IFERROR(__xludf.DUMMYFUNCTION("""COMPUTED_VALUE"""),"")</f>
        <v/>
      </c>
      <c r="AM800" s="1" t="str">
        <f>IFERROR(__xludf.DUMMYFUNCTION("""COMPUTED_VALUE"""),"")</f>
        <v/>
      </c>
      <c r="AN800" s="1" t="str">
        <f>IFERROR(__xludf.DUMMYFUNCTION("""COMPUTED_VALUE"""),"")</f>
        <v/>
      </c>
      <c r="AO800" s="1" t="str">
        <f>IFERROR(__xludf.DUMMYFUNCTION("""COMPUTED_VALUE"""),"")</f>
        <v/>
      </c>
      <c r="AP800" s="1" t="str">
        <f>IFERROR(__xludf.DUMMYFUNCTION("""COMPUTED_VALUE"""),"")</f>
        <v/>
      </c>
      <c r="AQ800" s="1" t="str">
        <f>IFERROR(__xludf.DUMMYFUNCTION("""COMPUTED_VALUE"""),"01/26/2026")</f>
        <v>01/26/2026</v>
      </c>
      <c r="AR800" s="1" t="str">
        <f>IFERROR(__xludf.DUMMYFUNCTION("""COMPUTED_VALUE"""),"01/26/2026")</f>
        <v>01/26/2026</v>
      </c>
    </row>
    <row r="801">
      <c r="A801" s="1" t="str">
        <f>IFERROR(__xludf.DUMMYFUNCTION("""COMPUTED_VALUE"""),"Fort Cherry Data Center")</f>
        <v>Fort Cherry Data Center</v>
      </c>
      <c r="B801" s="1" t="str">
        <f>IFERROR(__xludf.DUMMYFUNCTION("""COMPUTED_VALUE"""),"Fort Cherry Road")</f>
        <v>Fort Cherry Road</v>
      </c>
      <c r="C801" s="1" t="str">
        <f>IFERROR(__xludf.DUMMYFUNCTION("""COMPUTED_VALUE"""),"McDonald")</f>
        <v>McDonald</v>
      </c>
      <c r="D801" s="1" t="str">
        <f>IFERROR(__xludf.DUMMYFUNCTION("""COMPUTED_VALUE"""),"PA")</f>
        <v>PA</v>
      </c>
      <c r="E801" s="1" t="str">
        <f>IFERROR(__xludf.DUMMYFUNCTION("""COMPUTED_VALUE"""),"15057")</f>
        <v>15057</v>
      </c>
      <c r="F801" s="1" t="str">
        <f>IFERROR(__xludf.DUMMYFUNCTION("""COMPUTED_VALUE"""),"Washington")</f>
        <v>Washington</v>
      </c>
      <c r="G801" s="1" t="str">
        <f>IFERROR(__xludf.DUMMYFUNCTION("""COMPUTED_VALUE"""),"40.35888")</f>
        <v>40.35888</v>
      </c>
      <c r="H801" s="1" t="str">
        <f>IFERROR(__xludf.DUMMYFUNCTION("""COMPUTED_VALUE"""),"-80.26809")</f>
        <v>-80.26809</v>
      </c>
      <c r="I801" s="1" t="str">
        <f>IFERROR(__xludf.DUMMYFUNCTION("""COMPUTED_VALUE"""),"Approved/Permitted/Under construction")</f>
        <v>Approved/Permitted/Under construction</v>
      </c>
      <c r="J801" s="1" t="str">
        <f>IFERROR(__xludf.DUMMYFUNCTION("""COMPUTED_VALUE"""),"High")</f>
        <v>High</v>
      </c>
      <c r="K801" s="1" t="str">
        <f>IFERROR(__xludf.DUMMYFUNCTION("""COMPUTED_VALUE""")," Multi-tenant industrial park, flex logistics space, and high-density data center facilities")</f>
        <v> Multi-tenant industrial park, flex logistics space, and high-density data center facilities</v>
      </c>
      <c r="L801" s="1" t="str">
        <f>IFERROR(__xludf.DUMMYFUNCTION("""COMPUTED_VALUE"""),"Liberty Energy")</f>
        <v>Liberty Energy</v>
      </c>
      <c r="M801" s="1" t="str">
        <f>IFERROR(__xludf.DUMMYFUNCTION("""COMPUTED_VALUE"""),"")</f>
        <v/>
      </c>
      <c r="N801" s="1" t="str">
        <f>IFERROR(__xludf.DUMMYFUNCTION("""COMPUTED_VALUE"""),"250")</f>
        <v>250</v>
      </c>
      <c r="O801" s="1" t="str">
        <f>IFERROR(__xludf.DUMMYFUNCTION("""COMPUTED_VALUE"""),"Mega campus (&gt;1,000 MW)")</f>
        <v>Mega campus (&gt;1,000 MW)</v>
      </c>
      <c r="P801" s="1" t="str">
        <f>IFERROR(__xludf.DUMMYFUNCTION("""COMPUTED_VALUE"""),"")</f>
        <v/>
      </c>
      <c r="Q801" s="1" t="str">
        <f>IFERROR(__xludf.DUMMYFUNCTION("""COMPUTED_VALUE"""),"")</f>
        <v/>
      </c>
      <c r="R801" s="1" t="str">
        <f>IFERROR(__xludf.DUMMYFUNCTION("""COMPUTED_VALUE"""),"")</f>
        <v/>
      </c>
      <c r="S801" s="1" t="str">
        <f>IFERROR(__xludf.DUMMYFUNCTION("""COMPUTED_VALUE"""),"")</f>
        <v/>
      </c>
      <c r="T801" s="1" t="str">
        <f>IFERROR(__xludf.DUMMYFUNCTION("""COMPUTED_VALUE"""),"Water")</f>
        <v>Water</v>
      </c>
      <c r="U801" s="1" t="str">
        <f>IFERROR(__xludf.DUMMYFUNCTION("""COMPUTED_VALUE"""),"Closed loop")</f>
        <v>Closed loop</v>
      </c>
      <c r="V801" s="1" t="str">
        <f>IFERROR(__xludf.DUMMYFUNCTION("""COMPUTED_VALUE"""),"6,000,000")</f>
        <v>6,000,000</v>
      </c>
      <c r="W801" s="1" t="str">
        <f>IFERROR(__xludf.DUMMYFUNCTION("""COMPUTED_VALUE"""),"875")</f>
        <v>875</v>
      </c>
      <c r="X801" s="1" t="str">
        <f>IFERROR(__xludf.DUMMYFUNCTION("""COMPUTED_VALUE"""),"750 million ")</f>
        <v>750 million </v>
      </c>
      <c r="Y801" s="1" t="str">
        <f>IFERROR(__xludf.DUMMYFUNCTION("""COMPUTED_VALUE"""),"2027")</f>
        <v>2027</v>
      </c>
      <c r="Z801" s="1" t="str">
        <f>IFERROR(__xludf.DUMMYFUNCTION("""COMPUTED_VALUE"""),"Yes")</f>
        <v>Yes</v>
      </c>
      <c r="AA801" s="1" t="str">
        <f>IFERROR(__xludf.DUMMYFUNCTION("""COMPUTED_VALUE"""),"")</f>
        <v/>
      </c>
      <c r="AB801" s="1" t="str">
        <f>IFERROR(__xludf.DUMMYFUNCTION("""COMPUTED_VALUE"""),"Organized Advocacy")</f>
        <v>Organized Advocacy</v>
      </c>
      <c r="AC801" s="1" t="str">
        <f>IFERROR(__xludf.DUMMYFUNCTION("""COMPUTED_VALUE"""),"")</f>
        <v/>
      </c>
      <c r="AD801" s="2" t="str">
        <f>IFERROR(__xludf.DUMMYFUNCTION("""COMPUTED_VALUE"""),"https://www.robinsonwater.com/")</f>
        <v>https://www.robinsonwater.com/</v>
      </c>
      <c r="AE801" s="2" t="str">
        <f>IFERROR(__xludf.DUMMYFUNCTION("""COMPUTED_VALUE"""),"https://centerforcoalfieldjustice.org/")</f>
        <v>https://centerforcoalfieldjustice.org/</v>
      </c>
      <c r="AF801" s="1" t="str">
        <f>IFERROR(__xludf.DUMMYFUNCTION("""COMPUTED_VALUE"""),"")</f>
        <v/>
      </c>
      <c r="AG801" s="1" t="str">
        <f>IFERROR(__xludf.DUMMYFUNCTION("""COMPUTED_VALUE"""),"")</f>
        <v/>
      </c>
      <c r="AH801" s="1" t="str">
        <f>IFERROR(__xludf.DUMMYFUNCTION("""COMPUTED_VALUE"""),"Media Monitoring")</f>
        <v>Media Monitoring</v>
      </c>
      <c r="AI801" s="2" t="str">
        <f>IFERROR(__xludf.DUMMYFUNCTION("""COMPUTED_VALUE"""),"https://imperialland.com/fort-cherry-development-district/")</f>
        <v>https://imperialland.com/fort-cherry-development-district/</v>
      </c>
      <c r="AJ801" s="2" t="str">
        <f>IFERROR(__xludf.DUMMYFUNCTION("""COMPUTED_VALUE"""),"https://www.datacenterdynamics.com/en/news/liberty-energy-range-resources-ilc-to-build-gas-plant-for-data-centers-in-pennsylvania/")</f>
        <v>https://www.datacenterdynamics.com/en/news/liberty-energy-range-resources-ilc-to-build-gas-plant-for-data-centers-in-pennsylvania/</v>
      </c>
      <c r="AK801" s="1" t="str">
        <f>IFERROR(__xludf.DUMMYFUNCTION("""COMPUTED_VALUE"""),"")</f>
        <v/>
      </c>
      <c r="AL801" s="1" t="str">
        <f>IFERROR(__xludf.DUMMYFUNCTION("""COMPUTED_VALUE"""),"")</f>
        <v/>
      </c>
      <c r="AM801" s="1" t="str">
        <f>IFERROR(__xludf.DUMMYFUNCTION("""COMPUTED_VALUE"""),"")</f>
        <v/>
      </c>
      <c r="AN801" s="1" t="str">
        <f>IFERROR(__xludf.DUMMYFUNCTION("""COMPUTED_VALUE"""),"")</f>
        <v/>
      </c>
      <c r="AO801" s="1" t="str">
        <f>IFERROR(__xludf.DUMMYFUNCTION("""COMPUTED_VALUE"""),"")</f>
        <v/>
      </c>
      <c r="AP801" s="1" t="str">
        <f>IFERROR(__xludf.DUMMYFUNCTION("""COMPUTED_VALUE"""),"")</f>
        <v/>
      </c>
      <c r="AQ801" s="1" t="str">
        <f>IFERROR(__xludf.DUMMYFUNCTION("""COMPUTED_VALUE"""),"06/30/2026")</f>
        <v>06/30/2026</v>
      </c>
      <c r="AR801" s="1" t="str">
        <f>IFERROR(__xludf.DUMMYFUNCTION("""COMPUTED_VALUE"""),"06/30/2026")</f>
        <v>06/30/2026</v>
      </c>
    </row>
    <row r="802">
      <c r="A802" s="1" t="str">
        <f>IFERROR(__xludf.DUMMYFUNCTION("""COMPUTED_VALUE"""),"Northern Data/ Ardent Data Center")</f>
        <v>Northern Data/ Ardent Data Center</v>
      </c>
      <c r="B802" s="1" t="str">
        <f>IFERROR(__xludf.DUMMYFUNCTION("""COMPUTED_VALUE"""),"615 McMichael Rd")</f>
        <v>615 McMichael Rd</v>
      </c>
      <c r="C802" s="1" t="str">
        <f>IFERROR(__xludf.DUMMYFUNCTION("""COMPUTED_VALUE"""),"McKees Rock")</f>
        <v>McKees Rock</v>
      </c>
      <c r="D802" s="1" t="str">
        <f>IFERROR(__xludf.DUMMYFUNCTION("""COMPUTED_VALUE"""),"PA")</f>
        <v>PA</v>
      </c>
      <c r="E802" s="1" t="str">
        <f>IFERROR(__xludf.DUMMYFUNCTION("""COMPUTED_VALUE"""),"15136")</f>
        <v>15136</v>
      </c>
      <c r="F802" s="1" t="str">
        <f>IFERROR(__xludf.DUMMYFUNCTION("""COMPUTED_VALUE"""),"Allegheny")</f>
        <v>Allegheny</v>
      </c>
      <c r="G802" s="1" t="str">
        <f>IFERROR(__xludf.DUMMYFUNCTION("""COMPUTED_VALUE"""),"40.43956")</f>
        <v>40.43956</v>
      </c>
      <c r="H802" s="1" t="str">
        <f>IFERROR(__xludf.DUMMYFUNCTION("""COMPUTED_VALUE"""),"-80.1421")</f>
        <v>-80.1421</v>
      </c>
      <c r="I802" s="1" t="str">
        <f>IFERROR(__xludf.DUMMYFUNCTION("""COMPUTED_VALUE"""),"Operating")</f>
        <v>Operating</v>
      </c>
      <c r="J802" s="1" t="str">
        <f>IFERROR(__xludf.DUMMYFUNCTION("""COMPUTED_VALUE"""),"High")</f>
        <v>High</v>
      </c>
      <c r="K802" s="1" t="str">
        <f>IFERROR(__xludf.DUMMYFUNCTION("""COMPUTED_VALUE"""),"")</f>
        <v/>
      </c>
      <c r="L802" s="1" t="str">
        <f>IFERROR(__xludf.DUMMYFUNCTION("""COMPUTED_VALUE"""),"Northern Data")</f>
        <v>Northern Data</v>
      </c>
      <c r="M802" s="1" t="str">
        <f>IFERROR(__xludf.DUMMYFUNCTION("""COMPUTED_VALUE"""),"")</f>
        <v/>
      </c>
      <c r="N802" s="1" t="str">
        <f>IFERROR(__xludf.DUMMYFUNCTION("""COMPUTED_VALUE"""),"20")</f>
        <v>20</v>
      </c>
      <c r="O802" s="1" t="str">
        <f>IFERROR(__xludf.DUMMYFUNCTION("""COMPUTED_VALUE"""),"Medium (11-50 MW)")</f>
        <v>Medium (11-50 MW)</v>
      </c>
      <c r="P802" s="1" t="str">
        <f>IFERROR(__xludf.DUMMYFUNCTION("""COMPUTED_VALUE"""),"")</f>
        <v/>
      </c>
      <c r="Q802" s="1" t="str">
        <f>IFERROR(__xludf.DUMMYFUNCTION("""COMPUTED_VALUE"""),"")</f>
        <v/>
      </c>
      <c r="R802" s="1" t="str">
        <f>IFERROR(__xludf.DUMMYFUNCTION("""COMPUTED_VALUE"""),"")</f>
        <v/>
      </c>
      <c r="S802" s="1" t="str">
        <f>IFERROR(__xludf.DUMMYFUNCTION("""COMPUTED_VALUE"""),"")</f>
        <v/>
      </c>
      <c r="T802" s="1" t="str">
        <f>IFERROR(__xludf.DUMMYFUNCTION("""COMPUTED_VALUE"""),"")</f>
        <v/>
      </c>
      <c r="U802" s="1" t="str">
        <f>IFERROR(__xludf.DUMMYFUNCTION("""COMPUTED_VALUE"""),"")</f>
        <v/>
      </c>
      <c r="V802" s="1" t="str">
        <f>IFERROR(__xludf.DUMMYFUNCTION("""COMPUTED_VALUE"""),"41,000")</f>
        <v>41,000</v>
      </c>
      <c r="W802" s="1" t="str">
        <f>IFERROR(__xludf.DUMMYFUNCTION("""COMPUTED_VALUE"""),"")</f>
        <v/>
      </c>
      <c r="X802" s="1" t="str">
        <f>IFERROR(__xludf.DUMMYFUNCTION("""COMPUTED_VALUE"""),"$7.12 million")</f>
        <v>$7.12 million</v>
      </c>
      <c r="Y802" s="1" t="str">
        <f>IFERROR(__xludf.DUMMYFUNCTION("""COMPUTED_VALUE"""),"")</f>
        <v/>
      </c>
      <c r="Z802" s="1" t="str">
        <f>IFERROR(__xludf.DUMMYFUNCTION("""COMPUTED_VALUE"""),"Unknown")</f>
        <v>Unknown</v>
      </c>
      <c r="AA802" s="1" t="str">
        <f>IFERROR(__xludf.DUMMYFUNCTION("""COMPUTED_VALUE"""),"")</f>
        <v/>
      </c>
      <c r="AB802" s="1" t="str">
        <f>IFERROR(__xludf.DUMMYFUNCTION("""COMPUTED_VALUE"""),"")</f>
        <v/>
      </c>
      <c r="AC802" s="1" t="str">
        <f>IFERROR(__xludf.DUMMYFUNCTION("""COMPUTED_VALUE"""),"")</f>
        <v/>
      </c>
      <c r="AD802" s="1" t="str">
        <f>IFERROR(__xludf.DUMMYFUNCTION("""COMPUTED_VALUE"""),"")</f>
        <v/>
      </c>
      <c r="AE802" s="1" t="str">
        <f>IFERROR(__xludf.DUMMYFUNCTION("""COMPUTED_VALUE"""),"")</f>
        <v/>
      </c>
      <c r="AF802" s="1" t="str">
        <f>IFERROR(__xludf.DUMMYFUNCTION("""COMPUTED_VALUE"""),"")</f>
        <v/>
      </c>
      <c r="AG802" s="1" t="str">
        <f>IFERROR(__xludf.DUMMYFUNCTION("""COMPUTED_VALUE"""),"")</f>
        <v/>
      </c>
      <c r="AH802" s="1" t="str">
        <f>IFERROR(__xludf.DUMMYFUNCTION("""COMPUTED_VALUE"""),"Media Monitoring")</f>
        <v>Media Monitoring</v>
      </c>
      <c r="AI802" s="2" t="str">
        <f>IFERROR(__xludf.DUMMYFUNCTION("""COMPUTED_VALUE"""),"https://www.datacenterdynamics.com/en/news/northern-data-launches-data-center-in-pittsburgh-pennsylvania/")</f>
        <v>https://www.datacenterdynamics.com/en/news/northern-data-launches-data-center-in-pittsburgh-pennsylvania/</v>
      </c>
      <c r="AJ802" s="1" t="str">
        <f>IFERROR(__xludf.DUMMYFUNCTION("""COMPUTED_VALUE"""),"")</f>
        <v/>
      </c>
      <c r="AK802" s="1" t="str">
        <f>IFERROR(__xludf.DUMMYFUNCTION("""COMPUTED_VALUE"""),"")</f>
        <v/>
      </c>
      <c r="AL802" s="1" t="str">
        <f>IFERROR(__xludf.DUMMYFUNCTION("""COMPUTED_VALUE"""),"")</f>
        <v/>
      </c>
      <c r="AM802" s="1" t="str">
        <f>IFERROR(__xludf.DUMMYFUNCTION("""COMPUTED_VALUE"""),"")</f>
        <v/>
      </c>
      <c r="AN802" s="1" t="str">
        <f>IFERROR(__xludf.DUMMYFUNCTION("""COMPUTED_VALUE"""),"")</f>
        <v/>
      </c>
      <c r="AO802" s="1" t="str">
        <f>IFERROR(__xludf.DUMMYFUNCTION("""COMPUTED_VALUE"""),"")</f>
        <v/>
      </c>
      <c r="AP802" s="1" t="str">
        <f>IFERROR(__xludf.DUMMYFUNCTION("""COMPUTED_VALUE"""),"")</f>
        <v/>
      </c>
      <c r="AQ802" s="1" t="str">
        <f>IFERROR(__xludf.DUMMYFUNCTION("""COMPUTED_VALUE"""),"08/11/2025")</f>
        <v>08/11/2025</v>
      </c>
      <c r="AR802" s="1" t="str">
        <f>IFERROR(__xludf.DUMMYFUNCTION("""COMPUTED_VALUE"""),"08/11/2025")</f>
        <v>08/11/2025</v>
      </c>
    </row>
    <row r="803">
      <c r="A803" s="1" t="str">
        <f>IFERROR(__xludf.DUMMYFUNCTION("""COMPUTED_VALUE"""),"Mawson Midland Data Center")</f>
        <v>Mawson Midland Data Center</v>
      </c>
      <c r="B803" s="1" t="str">
        <f>IFERROR(__xludf.DUMMYFUNCTION("""COMPUTED_VALUE"""),"950 10th St")</f>
        <v>950 10th St</v>
      </c>
      <c r="C803" s="1" t="str">
        <f>IFERROR(__xludf.DUMMYFUNCTION("""COMPUTED_VALUE"""),"Midland")</f>
        <v>Midland</v>
      </c>
      <c r="D803" s="1" t="str">
        <f>IFERROR(__xludf.DUMMYFUNCTION("""COMPUTED_VALUE"""),"PA")</f>
        <v>PA</v>
      </c>
      <c r="E803" s="1" t="str">
        <f>IFERROR(__xludf.DUMMYFUNCTION("""COMPUTED_VALUE"""),"15059")</f>
        <v>15059</v>
      </c>
      <c r="F803" s="1" t="str">
        <f>IFERROR(__xludf.DUMMYFUNCTION("""COMPUTED_VALUE"""),"Beaver")</f>
        <v>Beaver</v>
      </c>
      <c r="G803" s="1" t="str">
        <f>IFERROR(__xludf.DUMMYFUNCTION("""COMPUTED_VALUE"""),"40.632298")</f>
        <v>40.632298</v>
      </c>
      <c r="H803" s="1" t="str">
        <f>IFERROR(__xludf.DUMMYFUNCTION("""COMPUTED_VALUE"""),"-80.45189")</f>
        <v>-80.45189</v>
      </c>
      <c r="I803" s="1" t="str">
        <f>IFERROR(__xludf.DUMMYFUNCTION("""COMPUTED_VALUE"""),"Expanding")</f>
        <v>Expanding</v>
      </c>
      <c r="J803" s="1" t="str">
        <f>IFERROR(__xludf.DUMMYFUNCTION("""COMPUTED_VALUE"""),"High")</f>
        <v>High</v>
      </c>
      <c r="K803" s="1" t="str">
        <f>IFERROR(__xludf.DUMMYFUNCTION("""COMPUTED_VALUE"""),"")</f>
        <v/>
      </c>
      <c r="L803" s="1" t="str">
        <f>IFERROR(__xludf.DUMMYFUNCTION("""COMPUTED_VALUE"""),"Mawson Infrastructure Group")</f>
        <v>Mawson Infrastructure Group</v>
      </c>
      <c r="M803" s="1" t="str">
        <f>IFERROR(__xludf.DUMMYFUNCTION("""COMPUTED_VALUE"""),"")</f>
        <v/>
      </c>
      <c r="N803" s="1" t="str">
        <f>IFERROR(__xludf.DUMMYFUNCTION("""COMPUTED_VALUE"""),"100")</f>
        <v>100</v>
      </c>
      <c r="O803" s="1" t="str">
        <f>IFERROR(__xludf.DUMMYFUNCTION("""COMPUTED_VALUE"""),"Hyperscale (100-999 MW)")</f>
        <v>Hyperscale (100-999 MW)</v>
      </c>
      <c r="P803" s="1" t="str">
        <f>IFERROR(__xludf.DUMMYFUNCTION("""COMPUTED_VALUE"""),"")</f>
        <v/>
      </c>
      <c r="Q803" s="1" t="str">
        <f>IFERROR(__xludf.DUMMYFUNCTION("""COMPUTED_VALUE"""),"")</f>
        <v/>
      </c>
      <c r="R803" s="1" t="str">
        <f>IFERROR(__xludf.DUMMYFUNCTION("""COMPUTED_VALUE"""),"")</f>
        <v/>
      </c>
      <c r="S803" s="1" t="str">
        <f>IFERROR(__xludf.DUMMYFUNCTION("""COMPUTED_VALUE"""),"")</f>
        <v/>
      </c>
      <c r="T803" s="1" t="str">
        <f>IFERROR(__xludf.DUMMYFUNCTION("""COMPUTED_VALUE"""),"")</f>
        <v/>
      </c>
      <c r="U803" s="1" t="str">
        <f>IFERROR(__xludf.DUMMYFUNCTION("""COMPUTED_VALUE"""),"")</f>
        <v/>
      </c>
      <c r="V803" s="1" t="str">
        <f>IFERROR(__xludf.DUMMYFUNCTION("""COMPUTED_VALUE"""),"")</f>
        <v/>
      </c>
      <c r="W803" s="1" t="str">
        <f>IFERROR(__xludf.DUMMYFUNCTION("""COMPUTED_VALUE"""),"")</f>
        <v/>
      </c>
      <c r="X803" s="1" t="str">
        <f>IFERROR(__xludf.DUMMYFUNCTION("""COMPUTED_VALUE"""),"")</f>
        <v/>
      </c>
      <c r="Y803" s="1" t="str">
        <f>IFERROR(__xludf.DUMMYFUNCTION("""COMPUTED_VALUE"""),"")</f>
        <v/>
      </c>
      <c r="Z803" s="1" t="str">
        <f>IFERROR(__xludf.DUMMYFUNCTION("""COMPUTED_VALUE"""),"Unknown")</f>
        <v>Unknown</v>
      </c>
      <c r="AA803" s="1" t="str">
        <f>IFERROR(__xludf.DUMMYFUNCTION("""COMPUTED_VALUE"""),"")</f>
        <v/>
      </c>
      <c r="AB803" s="1" t="str">
        <f>IFERROR(__xludf.DUMMYFUNCTION("""COMPUTED_VALUE"""),"")</f>
        <v/>
      </c>
      <c r="AC803" s="1" t="str">
        <f>IFERROR(__xludf.DUMMYFUNCTION("""COMPUTED_VALUE"""),"")</f>
        <v/>
      </c>
      <c r="AD803" s="1" t="str">
        <f>IFERROR(__xludf.DUMMYFUNCTION("""COMPUTED_VALUE"""),"")</f>
        <v/>
      </c>
      <c r="AE803" s="1" t="str">
        <f>IFERROR(__xludf.DUMMYFUNCTION("""COMPUTED_VALUE"""),"")</f>
        <v/>
      </c>
      <c r="AF803" s="1" t="str">
        <f>IFERROR(__xludf.DUMMYFUNCTION("""COMPUTED_VALUE"""),"")</f>
        <v/>
      </c>
      <c r="AG803" s="1" t="str">
        <f>IFERROR(__xludf.DUMMYFUNCTION("""COMPUTED_VALUE"""),"Bitcoin and data mining operation converting to data centers, former steel mill site")</f>
        <v>Bitcoin and data mining operation converting to data centers, former steel mill site</v>
      </c>
      <c r="AH803" s="1" t="str">
        <f>IFERROR(__xludf.DUMMYFUNCTION("""COMPUTED_VALUE"""),"Media Monitoring")</f>
        <v>Media Monitoring</v>
      </c>
      <c r="AI803" s="2" t="str">
        <f>IFERROR(__xludf.DUMMYFUNCTION("""COMPUTED_VALUE"""),"https://www.gem.wiki/Mawson_Infrastructure_Group_Beaver_County_facility")</f>
        <v>https://www.gem.wiki/Mawson_Infrastructure_Group_Beaver_County_facility</v>
      </c>
      <c r="AJ803" s="2" t="str">
        <f>IFERROR(__xludf.DUMMYFUNCTION("""COMPUTED_VALUE"""),"https://www.post-gazette.com/business/tech-news/2026/02/08/beaver-valley-data-centers-shippingport-aligned/stories/202602080033")</f>
        <v>https://www.post-gazette.com/business/tech-news/2026/02/08/beaver-valley-data-centers-shippingport-aligned/stories/202602080033</v>
      </c>
      <c r="AK803" s="2" t="str">
        <f>IFERROR(__xludf.DUMMYFUNCTION("""COMPUTED_VALUE"""),"https://www.cbsnews.com/pittsburgh/news/ai-infrastructure-beaver-valley/")</f>
        <v>https://www.cbsnews.com/pittsburgh/news/ai-infrastructure-beaver-valley/</v>
      </c>
      <c r="AL803" s="1" t="str">
        <f>IFERROR(__xludf.DUMMYFUNCTION("""COMPUTED_VALUE"""),"")</f>
        <v/>
      </c>
      <c r="AM803" s="1" t="str">
        <f>IFERROR(__xludf.DUMMYFUNCTION("""COMPUTED_VALUE"""),"")</f>
        <v/>
      </c>
      <c r="AN803" s="1" t="str">
        <f>IFERROR(__xludf.DUMMYFUNCTION("""COMPUTED_VALUE"""),"")</f>
        <v/>
      </c>
      <c r="AO803" s="1" t="str">
        <f>IFERROR(__xludf.DUMMYFUNCTION("""COMPUTED_VALUE"""),"")</f>
        <v/>
      </c>
      <c r="AP803" s="1" t="str">
        <f>IFERROR(__xludf.DUMMYFUNCTION("""COMPUTED_VALUE"""),"")</f>
        <v/>
      </c>
      <c r="AQ803" s="1" t="str">
        <f>IFERROR(__xludf.DUMMYFUNCTION("""COMPUTED_VALUE"""),"02/20/2026")</f>
        <v>02/20/2026</v>
      </c>
      <c r="AR803" s="1" t="str">
        <f>IFERROR(__xludf.DUMMYFUNCTION("""COMPUTED_VALUE"""),"02/20/2026")</f>
        <v>02/20/2026</v>
      </c>
    </row>
    <row r="804">
      <c r="A804" s="1" t="str">
        <f>IFERROR(__xludf.DUMMYFUNCTION("""COMPUTED_VALUE"""),"Robena Mine Data Center/ Project Hummingbird")</f>
        <v>Robena Mine Data Center/ Project Hummingbird</v>
      </c>
      <c r="B804" s="1" t="str">
        <f>IFERROR(__xludf.DUMMYFUNCTION("""COMPUTED_VALUE"""),"Former Robena Mine site")</f>
        <v>Former Robena Mine site</v>
      </c>
      <c r="C804" s="1" t="str">
        <f>IFERROR(__xludf.DUMMYFUNCTION("""COMPUTED_VALUE"""),"Monongahela Township")</f>
        <v>Monongahela Township</v>
      </c>
      <c r="D804" s="1" t="str">
        <f>IFERROR(__xludf.DUMMYFUNCTION("""COMPUTED_VALUE"""),"PA")</f>
        <v>PA</v>
      </c>
      <c r="E804" s="1" t="str">
        <f>IFERROR(__xludf.DUMMYFUNCTION("""COMPUTED_VALUE"""),"15338")</f>
        <v>15338</v>
      </c>
      <c r="F804" s="1" t="str">
        <f>IFERROR(__xludf.DUMMYFUNCTION("""COMPUTED_VALUE"""),"Greene")</f>
        <v>Greene</v>
      </c>
      <c r="G804" s="1" t="str">
        <f>IFERROR(__xludf.DUMMYFUNCTION("""COMPUTED_VALUE"""),"39.83526")</f>
        <v>39.83526</v>
      </c>
      <c r="H804" s="1" t="str">
        <f>IFERROR(__xludf.DUMMYFUNCTION("""COMPUTED_VALUE"""),"-79.942505")</f>
        <v>-79.942505</v>
      </c>
      <c r="I804" s="1" t="str">
        <f>IFERROR(__xludf.DUMMYFUNCTION("""COMPUTED_VALUE"""),"Approved/Permitted/Under construction")</f>
        <v>Approved/Permitted/Under construction</v>
      </c>
      <c r="J804" s="1" t="str">
        <f>IFERROR(__xludf.DUMMYFUNCTION("""COMPUTED_VALUE"""),"Medium")</f>
        <v>Medium</v>
      </c>
      <c r="K804" s="1" t="str">
        <f>IFERROR(__xludf.DUMMYFUNCTION("""COMPUTED_VALUE"""),"AI")</f>
        <v>AI</v>
      </c>
      <c r="L804" s="1" t="str">
        <f>IFERROR(__xludf.DUMMYFUNCTION("""COMPUTED_VALUE"""),"Essential Utilities/ International Electric Power of Pittsburgh")</f>
        <v>Essential Utilities/ International Electric Power of Pittsburgh</v>
      </c>
      <c r="M804" s="1" t="str">
        <f>IFERROR(__xludf.DUMMYFUNCTION("""COMPUTED_VALUE"""),"")</f>
        <v/>
      </c>
      <c r="N804" s="1" t="str">
        <f>IFERROR(__xludf.DUMMYFUNCTION("""COMPUTED_VALUE"""),"910")</f>
        <v>910</v>
      </c>
      <c r="O804" s="1" t="str">
        <f>IFERROR(__xludf.DUMMYFUNCTION("""COMPUTED_VALUE"""),"Hyperscale (100-999 MW)")</f>
        <v>Hyperscale (100-999 MW)</v>
      </c>
      <c r="P804" s="1" t="str">
        <f>IFERROR(__xludf.DUMMYFUNCTION("""COMPUTED_VALUE"""),"Natural gas")</f>
        <v>Natural gas</v>
      </c>
      <c r="Q804" s="1" t="str">
        <f>IFERROR(__xludf.DUMMYFUNCTION("""COMPUTED_VALUE"""),"Yes - Greene County Power Station")</f>
        <v>Yes - Greene County Power Station</v>
      </c>
      <c r="R804" s="1" t="str">
        <f>IFERROR(__xludf.DUMMYFUNCTION("""COMPUTED_VALUE"""),"")</f>
        <v/>
      </c>
      <c r="S804" s="1" t="str">
        <f>IFERROR(__xludf.DUMMYFUNCTION("""COMPUTED_VALUE"""),"")</f>
        <v/>
      </c>
      <c r="T804" s="1" t="str">
        <f>IFERROR(__xludf.DUMMYFUNCTION("""COMPUTED_VALUE"""),"Water")</f>
        <v>Water</v>
      </c>
      <c r="U804" s="1" t="str">
        <f>IFERROR(__xludf.DUMMYFUNCTION("""COMPUTED_VALUE"""),"")</f>
        <v/>
      </c>
      <c r="V804" s="1" t="str">
        <f>IFERROR(__xludf.DUMMYFUNCTION("""COMPUTED_VALUE"""),"")</f>
        <v/>
      </c>
      <c r="W804" s="1" t="str">
        <f>IFERROR(__xludf.DUMMYFUNCTION("""COMPUTED_VALUE"""),"1400")</f>
        <v>1400</v>
      </c>
      <c r="X804" s="1" t="str">
        <f>IFERROR(__xludf.DUMMYFUNCTION("""COMPUTED_VALUE"""),"")</f>
        <v/>
      </c>
      <c r="Y804" s="1" t="str">
        <f>IFERROR(__xludf.DUMMYFUNCTION("""COMPUTED_VALUE"""),"2029")</f>
        <v>2029</v>
      </c>
      <c r="Z804" s="1" t="str">
        <f>IFERROR(__xludf.DUMMYFUNCTION("""COMPUTED_VALUE"""),"Yes")</f>
        <v>Yes</v>
      </c>
      <c r="AA804" s="1" t="str">
        <f>IFERROR(__xludf.DUMMYFUNCTION("""COMPUTED_VALUE"""),"")</f>
        <v/>
      </c>
      <c r="AB804" s="1" t="str">
        <f>IFERROR(__xludf.DUMMYFUNCTION("""COMPUTED_VALUE"""),"")</f>
        <v/>
      </c>
      <c r="AC804" s="1" t="str">
        <f>IFERROR(__xludf.DUMMYFUNCTION("""COMPUTED_VALUE"""),"")</f>
        <v/>
      </c>
      <c r="AD804" s="2" t="str">
        <f>IFERROR(__xludf.DUMMYFUNCTION("""COMPUTED_VALUE"""),"https://centerforcoalfieldjustice.org/")</f>
        <v>https://centerforcoalfieldjustice.org/</v>
      </c>
      <c r="AE804" s="1" t="str">
        <f>IFERROR(__xludf.DUMMYFUNCTION("""COMPUTED_VALUE"""),"")</f>
        <v/>
      </c>
      <c r="AF804" s="1" t="str">
        <f>IFERROR(__xludf.DUMMYFUNCTION("""COMPUTED_VALUE"""),"")</f>
        <v/>
      </c>
      <c r="AG804" s="1" t="str">
        <f>IFERROR(__xludf.DUMMYFUNCTION("""COMPUTED_VALUE"""),"The first phase of work approved by Greene County Planning Commission. Could use up to 17 mil gallons of water/day")</f>
        <v>The first phase of work approved by Greene County Planning Commission. Could use up to 17 mil gallons of water/day</v>
      </c>
      <c r="AH804" s="1" t="str">
        <f>IFERROR(__xludf.DUMMYFUNCTION("""COMPUTED_VALUE"""),"Crowdsourced")</f>
        <v>Crowdsourced</v>
      </c>
      <c r="AI804" s="2" t="str">
        <f>IFERROR(__xludf.DUMMYFUNCTION("""COMPUTED_VALUE"""),"https://www.heraldstandard.com/gcm/2025/oct/16/data-center-project-announced-for-greene-county/")</f>
        <v>https://www.heraldstandard.com/gcm/2025/oct/16/data-center-project-announced-for-greene-county/</v>
      </c>
      <c r="AJ804" s="2" t="str">
        <f>IFERROR(__xludf.DUMMYFUNCTION("""COMPUTED_VALUE"""),"https://www.observer-reporter.com/uncategorized/2025/oct/16/data-center-project-announced-for-greene-county/")</f>
        <v>https://www.observer-reporter.com/uncategorized/2025/oct/16/data-center-project-announced-for-greene-county/</v>
      </c>
      <c r="AK804" s="2" t="str">
        <f>IFERROR(__xludf.DUMMYFUNCTION("""COMPUTED_VALUE"""),"https://www.observer-reporter.com/uncategorized/2025/dec/19/greene-county-planners-ok-early-work-on-proposed-data-center-site/")</f>
        <v>https://www.observer-reporter.com/uncategorized/2025/dec/19/greene-county-planners-ok-early-work-on-proposed-data-center-site/</v>
      </c>
      <c r="AL804" s="1" t="str">
        <f>IFERROR(__xludf.DUMMYFUNCTION("""COMPUTED_VALUE"""),"")</f>
        <v/>
      </c>
      <c r="AM804" s="1" t="str">
        <f>IFERROR(__xludf.DUMMYFUNCTION("""COMPUTED_VALUE"""),"")</f>
        <v/>
      </c>
      <c r="AN804" s="1" t="str">
        <f>IFERROR(__xludf.DUMMYFUNCTION("""COMPUTED_VALUE"""),"")</f>
        <v/>
      </c>
      <c r="AO804" s="1" t="str">
        <f>IFERROR(__xludf.DUMMYFUNCTION("""COMPUTED_VALUE"""),"")</f>
        <v/>
      </c>
      <c r="AP804" s="1" t="str">
        <f>IFERROR(__xludf.DUMMYFUNCTION("""COMPUTED_VALUE"""),"")</f>
        <v/>
      </c>
      <c r="AQ804" s="1" t="str">
        <f>IFERROR(__xludf.DUMMYFUNCTION("""COMPUTED_VALUE"""),"11/10/2025")</f>
        <v>11/10/2025</v>
      </c>
      <c r="AR804" s="1" t="str">
        <f>IFERROR(__xludf.DUMMYFUNCTION("""COMPUTED_VALUE"""),"02/11/2026")</f>
        <v>02/11/2026</v>
      </c>
    </row>
    <row r="805">
      <c r="A805" s="1" t="str">
        <f>IFERROR(__xludf.DUMMYFUNCTION("""COMPUTED_VALUE"""),"Amazon Falls Township Data Center")</f>
        <v>Amazon Falls Township Data Center</v>
      </c>
      <c r="B805" s="1" t="str">
        <f>IFERROR(__xludf.DUMMYFUNCTION("""COMPUTED_VALUE"""),"1000 S Pennsylvania Ave")</f>
        <v>1000 S Pennsylvania Ave</v>
      </c>
      <c r="C805" s="1" t="str">
        <f>IFERROR(__xludf.DUMMYFUNCTION("""COMPUTED_VALUE"""),"Morrisville")</f>
        <v>Morrisville</v>
      </c>
      <c r="D805" s="1" t="str">
        <f>IFERROR(__xludf.DUMMYFUNCTION("""COMPUTED_VALUE"""),"PA")</f>
        <v>PA</v>
      </c>
      <c r="E805" s="1" t="str">
        <f>IFERROR(__xludf.DUMMYFUNCTION("""COMPUTED_VALUE"""),"19067")</f>
        <v>19067</v>
      </c>
      <c r="F805" s="1" t="str">
        <f>IFERROR(__xludf.DUMMYFUNCTION("""COMPUTED_VALUE"""),"Bucks")</f>
        <v>Bucks</v>
      </c>
      <c r="G805" s="1" t="str">
        <f>IFERROR(__xludf.DUMMYFUNCTION("""COMPUTED_VALUE"""),"40.15494")</f>
        <v>40.15494</v>
      </c>
      <c r="H805" s="1" t="str">
        <f>IFERROR(__xludf.DUMMYFUNCTION("""COMPUTED_VALUE"""),"-74.744415")</f>
        <v>-74.744415</v>
      </c>
      <c r="I805" s="1" t="str">
        <f>IFERROR(__xludf.DUMMYFUNCTION("""COMPUTED_VALUE"""),"Proposed")</f>
        <v>Proposed</v>
      </c>
      <c r="J805" s="1" t="str">
        <f>IFERROR(__xludf.DUMMYFUNCTION("""COMPUTED_VALUE"""),"High")</f>
        <v>High</v>
      </c>
      <c r="K805" s="1" t="str">
        <f>IFERROR(__xludf.DUMMYFUNCTION("""COMPUTED_VALUE"""),"AI")</f>
        <v>AI</v>
      </c>
      <c r="L805" s="1" t="str">
        <f>IFERROR(__xludf.DUMMYFUNCTION("""COMPUTED_VALUE"""),"Amazon")</f>
        <v>Amazon</v>
      </c>
      <c r="M805" s="1" t="str">
        <f>IFERROR(__xludf.DUMMYFUNCTION("""COMPUTED_VALUE"""),"")</f>
        <v/>
      </c>
      <c r="N805" s="1" t="str">
        <f>IFERROR(__xludf.DUMMYFUNCTION("""COMPUTED_VALUE"""),"")</f>
        <v/>
      </c>
      <c r="O805" s="1" t="str">
        <f>IFERROR(__xludf.DUMMYFUNCTION("""COMPUTED_VALUE"""),"Hyperscale (100-999 MW)")</f>
        <v>Hyperscale (100-999 MW)</v>
      </c>
      <c r="P805" s="1" t="str">
        <f>IFERROR(__xludf.DUMMYFUNCTION("""COMPUTED_VALUE"""),"")</f>
        <v/>
      </c>
      <c r="Q805" s="1" t="str">
        <f>IFERROR(__xludf.DUMMYFUNCTION("""COMPUTED_VALUE"""),"")</f>
        <v/>
      </c>
      <c r="R805" s="1" t="str">
        <f>IFERROR(__xludf.DUMMYFUNCTION("""COMPUTED_VALUE"""),"")</f>
        <v/>
      </c>
      <c r="S805" s="1" t="str">
        <f>IFERROR(__xludf.DUMMYFUNCTION("""COMPUTED_VALUE"""),"")</f>
        <v/>
      </c>
      <c r="T805" s="1" t="str">
        <f>IFERROR(__xludf.DUMMYFUNCTION("""COMPUTED_VALUE"""),"")</f>
        <v/>
      </c>
      <c r="U805" s="1" t="str">
        <f>IFERROR(__xludf.DUMMYFUNCTION("""COMPUTED_VALUE"""),"")</f>
        <v/>
      </c>
      <c r="V805" s="1" t="str">
        <f>IFERROR(__xludf.DUMMYFUNCTION("""COMPUTED_VALUE"""),"")</f>
        <v/>
      </c>
      <c r="W805" s="1" t="str">
        <f>IFERROR(__xludf.DUMMYFUNCTION("""COMPUTED_VALUE"""),"")</f>
        <v/>
      </c>
      <c r="X805" s="1" t="str">
        <f>IFERROR(__xludf.DUMMYFUNCTION("""COMPUTED_VALUE"""),"")</f>
        <v/>
      </c>
      <c r="Y805" s="1" t="str">
        <f>IFERROR(__xludf.DUMMYFUNCTION("""COMPUTED_VALUE"""),"")</f>
        <v/>
      </c>
      <c r="Z805" s="1" t="str">
        <f>IFERROR(__xludf.DUMMYFUNCTION("""COMPUTED_VALUE"""),"Unknown")</f>
        <v>Unknown</v>
      </c>
      <c r="AA805" s="1" t="str">
        <f>IFERROR(__xludf.DUMMYFUNCTION("""COMPUTED_VALUE"""),"")</f>
        <v/>
      </c>
      <c r="AB805" s="1" t="str">
        <f>IFERROR(__xludf.DUMMYFUNCTION("""COMPUTED_VALUE"""),"")</f>
        <v/>
      </c>
      <c r="AC805" s="1" t="str">
        <f>IFERROR(__xludf.DUMMYFUNCTION("""COMPUTED_VALUE"""),"")</f>
        <v/>
      </c>
      <c r="AD805" s="1" t="str">
        <f>IFERROR(__xludf.DUMMYFUNCTION("""COMPUTED_VALUE"""),"")</f>
        <v/>
      </c>
      <c r="AE805" s="1" t="str">
        <f>IFERROR(__xludf.DUMMYFUNCTION("""COMPUTED_VALUE"""),"")</f>
        <v/>
      </c>
      <c r="AF805" s="1" t="str">
        <f>IFERROR(__xludf.DUMMYFUNCTION("""COMPUTED_VALUE"""),"")</f>
        <v/>
      </c>
      <c r="AG805" s="1" t="str">
        <f>IFERROR(__xludf.DUMMYFUNCTION("""COMPUTED_VALUE"""),"Labeled as a""digital infrastructure campus"" planned at the Keystone Trade Center in Fairless Hills (formerly owned by US Steel) as part of a statewide investment. Project being fast tracked by the PA DEP (https://www.pa.gov/agencies/oto/fasttrack/fallst"&amp;"ownshipdatacenterdevelopment)")</f>
        <v>Labeled as a"digital infrastructure campus" planned at the Keystone Trade Center in Fairless Hills (formerly owned by US Steel) as part of a statewide investment. Project being fast tracked by the PA DEP (https://www.pa.gov/agencies/oto/fasttrack/fallstownshipdatacenterdevelopment)</v>
      </c>
      <c r="AH805" s="1" t="str">
        <f>IFERROR(__xludf.DUMMYFUNCTION("""COMPUTED_VALUE"""),"Media Monitoring")</f>
        <v>Media Monitoring</v>
      </c>
      <c r="AI805" s="2" t="str">
        <f>IFERROR(__xludf.DUMMYFUNCTION("""COMPUTED_VALUE"""),"https://www.datacenterdynamics.com/en/news/falls-township-approves-nda-for-data-center-project-outside-philadelphia-in-pennsylvania/")</f>
        <v>https://www.datacenterdynamics.com/en/news/falls-township-approves-nda-for-data-center-project-outside-philadelphia-in-pennsylvania/</v>
      </c>
      <c r="AJ805" s="2" t="str">
        <f>IFERROR(__xludf.DUMMYFUNCTION("""COMPUTED_VALUE"""),"https://technical.ly/civics/amazon-20b-pennsylvania-cloud-ai/")</f>
        <v>https://technical.ly/civics/amazon-20b-pennsylvania-cloud-ai/</v>
      </c>
      <c r="AK805" s="2" t="str">
        <f>IFERROR(__xludf.DUMMYFUNCTION("""COMPUTED_VALUE"""),"https://www.fallstwp.com/resources/news/article/?id=10070")</f>
        <v>https://www.fallstwp.com/resources/news/article/?id=10070</v>
      </c>
      <c r="AL805" s="1" t="str">
        <f>IFERROR(__xludf.DUMMYFUNCTION("""COMPUTED_VALUE"""),"")</f>
        <v/>
      </c>
      <c r="AM805" s="1" t="str">
        <f>IFERROR(__xludf.DUMMYFUNCTION("""COMPUTED_VALUE"""),"")</f>
        <v/>
      </c>
      <c r="AN805" s="1" t="str">
        <f>IFERROR(__xludf.DUMMYFUNCTION("""COMPUTED_VALUE"""),"")</f>
        <v/>
      </c>
      <c r="AO805" s="1" t="str">
        <f>IFERROR(__xludf.DUMMYFUNCTION("""COMPUTED_VALUE"""),"")</f>
        <v/>
      </c>
      <c r="AP805" s="1" t="str">
        <f>IFERROR(__xludf.DUMMYFUNCTION("""COMPUTED_VALUE"""),"")</f>
        <v/>
      </c>
      <c r="AQ805" s="1" t="str">
        <f>IFERROR(__xludf.DUMMYFUNCTION("""COMPUTED_VALUE"""),"07/24/2025")</f>
        <v>07/24/2025</v>
      </c>
      <c r="AR805" s="1" t="str">
        <f>IFERROR(__xludf.DUMMYFUNCTION("""COMPUTED_VALUE"""),"02/13/2026")</f>
        <v>02/13/2026</v>
      </c>
    </row>
    <row r="806">
      <c r="A806" s="1" t="str">
        <f>IFERROR(__xludf.DUMMYFUNCTION("""COMPUTED_VALUE"""),"Dorrance Township Data Center")</f>
        <v>Dorrance Township Data Center</v>
      </c>
      <c r="B806" s="1" t="str">
        <f>IFERROR(__xludf.DUMMYFUNCTION("""COMPUTED_VALUE"""),"S Main Rd corridor")</f>
        <v>S Main Rd corridor</v>
      </c>
      <c r="C806" s="1" t="str">
        <f>IFERROR(__xludf.DUMMYFUNCTION("""COMPUTED_VALUE"""),"Mountain Top")</f>
        <v>Mountain Top</v>
      </c>
      <c r="D806" s="1" t="str">
        <f>IFERROR(__xludf.DUMMYFUNCTION("""COMPUTED_VALUE"""),"PA")</f>
        <v>PA</v>
      </c>
      <c r="E806" s="1" t="str">
        <f>IFERROR(__xludf.DUMMYFUNCTION("""COMPUTED_VALUE"""),"18707")</f>
        <v>18707</v>
      </c>
      <c r="F806" s="1" t="str">
        <f>IFERROR(__xludf.DUMMYFUNCTION("""COMPUTED_VALUE"""),"Luzerne")</f>
        <v>Luzerne</v>
      </c>
      <c r="G806" s="1" t="str">
        <f>IFERROR(__xludf.DUMMYFUNCTION("""COMPUTED_VALUE"""),"41.080692")</f>
        <v>41.080692</v>
      </c>
      <c r="H806" s="1" t="str">
        <f>IFERROR(__xludf.DUMMYFUNCTION("""COMPUTED_VALUE"""),"-75.95785")</f>
        <v>-75.95785</v>
      </c>
      <c r="I806" s="1" t="str">
        <f>IFERROR(__xludf.DUMMYFUNCTION("""COMPUTED_VALUE"""),"Proposed")</f>
        <v>Proposed</v>
      </c>
      <c r="J806" s="1" t="str">
        <f>IFERROR(__xludf.DUMMYFUNCTION("""COMPUTED_VALUE"""),"Medium")</f>
        <v>Medium</v>
      </c>
      <c r="K806" s="1" t="str">
        <f>IFERROR(__xludf.DUMMYFUNCTION("""COMPUTED_VALUE"""),"")</f>
        <v/>
      </c>
      <c r="L806" s="1" t="str">
        <f>IFERROR(__xludf.DUMMYFUNCTION("""COMPUTED_VALUE"""),"Brewster Land Company, LLC")</f>
        <v>Brewster Land Company, LLC</v>
      </c>
      <c r="M806" s="1" t="str">
        <f>IFERROR(__xludf.DUMMYFUNCTION("""COMPUTED_VALUE"""),"")</f>
        <v/>
      </c>
      <c r="N806" s="1" t="str">
        <f>IFERROR(__xludf.DUMMYFUNCTION("""COMPUTED_VALUE"""),"")</f>
        <v/>
      </c>
      <c r="O806" s="1" t="str">
        <f>IFERROR(__xludf.DUMMYFUNCTION("""COMPUTED_VALUE"""),"Hyperscale (100-999 MW)")</f>
        <v>Hyperscale (100-999 MW)</v>
      </c>
      <c r="P806" s="1" t="str">
        <f>IFERROR(__xludf.DUMMYFUNCTION("""COMPUTED_VALUE"""),"")</f>
        <v/>
      </c>
      <c r="Q806" s="1" t="str">
        <f>IFERROR(__xludf.DUMMYFUNCTION("""COMPUTED_VALUE"""),"")</f>
        <v/>
      </c>
      <c r="R806" s="1" t="str">
        <f>IFERROR(__xludf.DUMMYFUNCTION("""COMPUTED_VALUE"""),"")</f>
        <v/>
      </c>
      <c r="S806" s="1" t="str">
        <f>IFERROR(__xludf.DUMMYFUNCTION("""COMPUTED_VALUE"""),"6")</f>
        <v>6</v>
      </c>
      <c r="T806" s="1" t="str">
        <f>IFERROR(__xludf.DUMMYFUNCTION("""COMPUTED_VALUE"""),"")</f>
        <v/>
      </c>
      <c r="U806" s="1" t="str">
        <f>IFERROR(__xludf.DUMMYFUNCTION("""COMPUTED_VALUE"""),"")</f>
        <v/>
      </c>
      <c r="V806" s="1" t="str">
        <f>IFERROR(__xludf.DUMMYFUNCTION("""COMPUTED_VALUE"""),"918,000")</f>
        <v>918,000</v>
      </c>
      <c r="W806" s="1" t="str">
        <f>IFERROR(__xludf.DUMMYFUNCTION("""COMPUTED_VALUE"""),"155")</f>
        <v>155</v>
      </c>
      <c r="X806" s="1" t="str">
        <f>IFERROR(__xludf.DUMMYFUNCTION("""COMPUTED_VALUE"""),"")</f>
        <v/>
      </c>
      <c r="Y806" s="1" t="str">
        <f>IFERROR(__xludf.DUMMYFUNCTION("""COMPUTED_VALUE"""),"")</f>
        <v/>
      </c>
      <c r="Z806" s="1" t="str">
        <f>IFERROR(__xludf.DUMMYFUNCTION("""COMPUTED_VALUE"""),"Yes")</f>
        <v>Yes</v>
      </c>
      <c r="AA806" s="1" t="str">
        <f>IFERROR(__xludf.DUMMYFUNCTION("""COMPUTED_VALUE"""),"")</f>
        <v/>
      </c>
      <c r="AB806" s="1" t="str">
        <f>IFERROR(__xludf.DUMMYFUNCTION("""COMPUTED_VALUE"""),"")</f>
        <v/>
      </c>
      <c r="AC806" s="1" t="str">
        <f>IFERROR(__xludf.DUMMYFUNCTION("""COMPUTED_VALUE"""),"")</f>
        <v/>
      </c>
      <c r="AD806" s="2" t="str">
        <f>IFERROR(__xludf.DUMMYFUNCTION("""COMPUTED_VALUE"""),"https://www.gofundme.com/f/support-our-fight-against-data-center-development")</f>
        <v>https://www.gofundme.com/f/support-our-fight-against-data-center-development</v>
      </c>
      <c r="AE806" s="1" t="str">
        <f>IFERROR(__xludf.DUMMYFUNCTION("""COMPUTED_VALUE"""),"")</f>
        <v/>
      </c>
      <c r="AF806" s="1" t="str">
        <f>IFERROR(__xludf.DUMMYFUNCTION("""COMPUTED_VALUE"""),"")</f>
        <v/>
      </c>
      <c r="AG806" s="1" t="str">
        <f>IFERROR(__xludf.DUMMYFUNCTION("""COMPUTED_VALUE"""),"")</f>
        <v/>
      </c>
      <c r="AH806" s="1" t="str">
        <f>IFERROR(__xludf.DUMMYFUNCTION("""COMPUTED_VALUE"""),"Media Monitoring")</f>
        <v>Media Monitoring</v>
      </c>
      <c r="AI806" s="2" t="str">
        <f>IFERROR(__xludf.DUMMYFUNCTION("""COMPUTED_VALUE"""),"https://www.datacenterdynamics.com/en/news/municipal-leaders-debate-data-center-zoning-ordinance-in-dorrance-township-pennsylvania/")</f>
        <v>https://www.datacenterdynamics.com/en/news/municipal-leaders-debate-data-center-zoning-ordinance-in-dorrance-township-pennsylvania/</v>
      </c>
      <c r="AJ806" s="2" t="str">
        <f>IFERROR(__xludf.DUMMYFUNCTION("""COMPUTED_VALUE"""),"https://web.archive.org/web/20251010033215/https://www.citizensvoice.com/2025/10/08/developer-challenges-dorrance-twp-zoning-ordinance-arguing-it-unlawfully-excluded-data-centers/")</f>
        <v>https://web.archive.org/web/20251010033215/https://www.citizensvoice.com/2025/10/08/developer-challenges-dorrance-twp-zoning-ordinance-arguing-it-unlawfully-excluded-data-centers/</v>
      </c>
      <c r="AK806" s="2" t="str">
        <f>IFERROR(__xludf.DUMMYFUNCTION("""COMPUTED_VALUE"""),"https://www.gofundme.com/f/support-our-fight-against-data-center-development")</f>
        <v>https://www.gofundme.com/f/support-our-fight-against-data-center-development</v>
      </c>
      <c r="AL806" s="1" t="str">
        <f>IFERROR(__xludf.DUMMYFUNCTION("""COMPUTED_VALUE"""),"")</f>
        <v/>
      </c>
      <c r="AM806" s="1" t="str">
        <f>IFERROR(__xludf.DUMMYFUNCTION("""COMPUTED_VALUE"""),"")</f>
        <v/>
      </c>
      <c r="AN806" s="1" t="str">
        <f>IFERROR(__xludf.DUMMYFUNCTION("""COMPUTED_VALUE"""),"")</f>
        <v/>
      </c>
      <c r="AO806" s="1" t="str">
        <f>IFERROR(__xludf.DUMMYFUNCTION("""COMPUTED_VALUE"""),"")</f>
        <v/>
      </c>
      <c r="AP806" s="1" t="str">
        <f>IFERROR(__xludf.DUMMYFUNCTION("""COMPUTED_VALUE"""),"")</f>
        <v/>
      </c>
      <c r="AQ806" s="1" t="str">
        <f>IFERROR(__xludf.DUMMYFUNCTION("""COMPUTED_VALUE"""),"11/16/2025")</f>
        <v>11/16/2025</v>
      </c>
      <c r="AR806" s="1" t="str">
        <f>IFERROR(__xludf.DUMMYFUNCTION("""COMPUTED_VALUE"""),"03/22/2026")</f>
        <v>03/22/2026</v>
      </c>
    </row>
    <row r="807">
      <c r="A807" s="1" t="str">
        <f>IFERROR(__xludf.DUMMYFUNCTION("""COMPUTED_VALUE"""),"Muncy Data Center")</f>
        <v>Muncy Data Center</v>
      </c>
      <c r="B807" s="1" t="str">
        <f>IFERROR(__xludf.DUMMYFUNCTION("""COMPUTED_VALUE"""),"572-824 John Brady Dr")</f>
        <v>572-824 John Brady Dr</v>
      </c>
      <c r="C807" s="1" t="str">
        <f>IFERROR(__xludf.DUMMYFUNCTION("""COMPUTED_VALUE"""),"Muncy")</f>
        <v>Muncy</v>
      </c>
      <c r="D807" s="1" t="str">
        <f>IFERROR(__xludf.DUMMYFUNCTION("""COMPUTED_VALUE"""),"PA")</f>
        <v>PA</v>
      </c>
      <c r="E807" s="1" t="str">
        <f>IFERROR(__xludf.DUMMYFUNCTION("""COMPUTED_VALUE"""),"17756")</f>
        <v>17756</v>
      </c>
      <c r="F807" s="1" t="str">
        <f>IFERROR(__xludf.DUMMYFUNCTION("""COMPUTED_VALUE"""),"Lycoming")</f>
        <v>Lycoming</v>
      </c>
      <c r="G807" s="1" t="str">
        <f>IFERROR(__xludf.DUMMYFUNCTION("""COMPUTED_VALUE"""),"41.22825")</f>
        <v>41.22825</v>
      </c>
      <c r="H807" s="1" t="str">
        <f>IFERROR(__xludf.DUMMYFUNCTION("""COMPUTED_VALUE"""),"-76.81257")</f>
        <v>-76.81257</v>
      </c>
      <c r="I807" s="1" t="str">
        <f>IFERROR(__xludf.DUMMYFUNCTION("""COMPUTED_VALUE"""),"Approved/Permitted/Under construction")</f>
        <v>Approved/Permitted/Under construction</v>
      </c>
      <c r="J807" s="1" t="str">
        <f>IFERROR(__xludf.DUMMYFUNCTION("""COMPUTED_VALUE"""),"High")</f>
        <v>High</v>
      </c>
      <c r="K807" s="1" t="str">
        <f>IFERROR(__xludf.DUMMYFUNCTION("""COMPUTED_VALUE"""),"")</f>
        <v/>
      </c>
      <c r="L807" s="1" t="str">
        <f>IFERROR(__xludf.DUMMYFUNCTION("""COMPUTED_VALUE"""),"Danko Holdings II LP and Fishlips LLC")</f>
        <v>Danko Holdings II LP and Fishlips LLC</v>
      </c>
      <c r="M807" s="1" t="str">
        <f>IFERROR(__xludf.DUMMYFUNCTION("""COMPUTED_VALUE"""),"")</f>
        <v/>
      </c>
      <c r="N807" s="1" t="str">
        <f>IFERROR(__xludf.DUMMYFUNCTION("""COMPUTED_VALUE"""),"")</f>
        <v/>
      </c>
      <c r="O807" s="1" t="str">
        <f>IFERROR(__xludf.DUMMYFUNCTION("""COMPUTED_VALUE"""),"Unknown")</f>
        <v>Unknown</v>
      </c>
      <c r="P807" s="1" t="str">
        <f>IFERROR(__xludf.DUMMYFUNCTION("""COMPUTED_VALUE"""),"")</f>
        <v/>
      </c>
      <c r="Q807" s="1" t="str">
        <f>IFERROR(__xludf.DUMMYFUNCTION("""COMPUTED_VALUE"""),"")</f>
        <v/>
      </c>
      <c r="R807" s="1" t="str">
        <f>IFERROR(__xludf.DUMMYFUNCTION("""COMPUTED_VALUE"""),"")</f>
        <v/>
      </c>
      <c r="S807" s="1" t="str">
        <f>IFERROR(__xludf.DUMMYFUNCTION("""COMPUTED_VALUE"""),"3")</f>
        <v>3</v>
      </c>
      <c r="T807" s="1" t="str">
        <f>IFERROR(__xludf.DUMMYFUNCTION("""COMPUTED_VALUE"""),"")</f>
        <v/>
      </c>
      <c r="U807" s="1" t="str">
        <f>IFERROR(__xludf.DUMMYFUNCTION("""COMPUTED_VALUE"""),"")</f>
        <v/>
      </c>
      <c r="V807" s="1" t="str">
        <f>IFERROR(__xludf.DUMMYFUNCTION("""COMPUTED_VALUE"""),"")</f>
        <v/>
      </c>
      <c r="W807" s="1" t="str">
        <f>IFERROR(__xludf.DUMMYFUNCTION("""COMPUTED_VALUE"""),"72")</f>
        <v>72</v>
      </c>
      <c r="X807" s="1" t="str">
        <f>IFERROR(__xludf.DUMMYFUNCTION("""COMPUTED_VALUE"""),"")</f>
        <v/>
      </c>
      <c r="Y807" s="1" t="str">
        <f>IFERROR(__xludf.DUMMYFUNCTION("""COMPUTED_VALUE"""),"")</f>
        <v/>
      </c>
      <c r="Z807" s="1" t="str">
        <f>IFERROR(__xludf.DUMMYFUNCTION("""COMPUTED_VALUE"""),"Unknown")</f>
        <v>Unknown</v>
      </c>
      <c r="AA807" s="1" t="str">
        <f>IFERROR(__xludf.DUMMYFUNCTION("""COMPUTED_VALUE"""),"")</f>
        <v/>
      </c>
      <c r="AB807" s="1" t="str">
        <f>IFERROR(__xludf.DUMMYFUNCTION("""COMPUTED_VALUE"""),"")</f>
        <v/>
      </c>
      <c r="AC807" s="1" t="str">
        <f>IFERROR(__xludf.DUMMYFUNCTION("""COMPUTED_VALUE"""),"")</f>
        <v/>
      </c>
      <c r="AD807" s="1" t="str">
        <f>IFERROR(__xludf.DUMMYFUNCTION("""COMPUTED_VALUE"""),"")</f>
        <v/>
      </c>
      <c r="AE807" s="1" t="str">
        <f>IFERROR(__xludf.DUMMYFUNCTION("""COMPUTED_VALUE"""),"")</f>
        <v/>
      </c>
      <c r="AF807" s="1" t="str">
        <f>IFERROR(__xludf.DUMMYFUNCTION("""COMPUTED_VALUE"""),"")</f>
        <v/>
      </c>
      <c r="AG807" s="1" t="str">
        <f>IFERROR(__xludf.DUMMYFUNCTION("""COMPUTED_VALUE"""),"Approved only hours before Muncy data center moratorium implemented. Also includes six water tanks, two stormwater basins, water and sewage treatment facilities, a substation, and a security building.")</f>
        <v>Approved only hours before Muncy data center moratorium implemented. Also includes six water tanks, two stormwater basins, water and sewage treatment facilities, a substation, and a security building.</v>
      </c>
      <c r="AH807" s="1" t="str">
        <f>IFERROR(__xludf.DUMMYFUNCTION("""COMPUTED_VALUE"""),"Media Monitoring")</f>
        <v>Media Monitoring</v>
      </c>
      <c r="AI807" s="2" t="str">
        <f>IFERROR(__xludf.DUMMYFUNCTION("""COMPUTED_VALUE"""),"https://www.northcentralpa.com/business/williamsport-company-proposes-data-center-in-muncy-township/article_003d97a3-bddd-4d12-ba00-8efb4ba98fa4.html#google_vignette")</f>
        <v>https://www.northcentralpa.com/business/williamsport-company-proposes-data-center-in-muncy-township/article_003d97a3-bddd-4d12-ba00-8efb4ba98fa4.html#google_vignette</v>
      </c>
      <c r="AJ807" s="2" t="str">
        <f>IFERROR(__xludf.DUMMYFUNCTION("""COMPUTED_VALUE"""),"https://www.sungazette.com/uncategorized/2026/06/data-center-proposed-in-muncy-township/")</f>
        <v>https://www.sungazette.com/uncategorized/2026/06/data-center-proposed-in-muncy-township/</v>
      </c>
      <c r="AK807" s="2" t="str">
        <f>IFERROR(__xludf.DUMMYFUNCTION("""COMPUTED_VALUE"""),"https://www.sungazette.com/news/top-news/2026/07/muncy-township-solicitor-data-center-filings-are-inconsistent/")</f>
        <v>https://www.sungazette.com/news/top-news/2026/07/muncy-township-solicitor-data-center-filings-are-inconsistent/</v>
      </c>
      <c r="AL807" s="1" t="str">
        <f>IFERROR(__xludf.DUMMYFUNCTION("""COMPUTED_VALUE"""),"")</f>
        <v/>
      </c>
      <c r="AM807" s="1" t="str">
        <f>IFERROR(__xludf.DUMMYFUNCTION("""COMPUTED_VALUE"""),"")</f>
        <v/>
      </c>
      <c r="AN807" s="1" t="str">
        <f>IFERROR(__xludf.DUMMYFUNCTION("""COMPUTED_VALUE"""),"")</f>
        <v/>
      </c>
      <c r="AO807" s="1" t="str">
        <f>IFERROR(__xludf.DUMMYFUNCTION("""COMPUTED_VALUE"""),"")</f>
        <v/>
      </c>
      <c r="AP807" s="1" t="str">
        <f>IFERROR(__xludf.DUMMYFUNCTION("""COMPUTED_VALUE"""),"")</f>
        <v/>
      </c>
      <c r="AQ807" s="1" t="str">
        <f>IFERROR(__xludf.DUMMYFUNCTION("""COMPUTED_VALUE"""),"06/09/2026")</f>
        <v>06/09/2026</v>
      </c>
      <c r="AR807" s="1" t="str">
        <f>IFERROR(__xludf.DUMMYFUNCTION("""COMPUTED_VALUE"""),"07/19/2026")</f>
        <v>07/19/2026</v>
      </c>
    </row>
    <row r="808">
      <c r="A808" s="1" t="str">
        <f>IFERROR(__xludf.DUMMYFUNCTION("""COMPUTED_VALUE"""),"Bitfarm Bitcoin Panther Creek")</f>
        <v>Bitfarm Bitcoin Panther Creek</v>
      </c>
      <c r="B808" s="1" t="str">
        <f>IFERROR(__xludf.DUMMYFUNCTION("""COMPUTED_VALUE"""),"4 Dennison Rd")</f>
        <v>4 Dennison Rd</v>
      </c>
      <c r="C808" s="1" t="str">
        <f>IFERROR(__xludf.DUMMYFUNCTION("""COMPUTED_VALUE"""),"Nesquehoning")</f>
        <v>Nesquehoning</v>
      </c>
      <c r="D808" s="1" t="str">
        <f>IFERROR(__xludf.DUMMYFUNCTION("""COMPUTED_VALUE"""),"PA")</f>
        <v>PA</v>
      </c>
      <c r="E808" s="1" t="str">
        <f>IFERROR(__xludf.DUMMYFUNCTION("""COMPUTED_VALUE"""),"18240")</f>
        <v>18240</v>
      </c>
      <c r="F808" s="1" t="str">
        <f>IFERROR(__xludf.DUMMYFUNCTION("""COMPUTED_VALUE"""),"Carbon")</f>
        <v>Carbon</v>
      </c>
      <c r="G808" s="1" t="str">
        <f>IFERROR(__xludf.DUMMYFUNCTION("""COMPUTED_VALUE"""),"40.8556")</f>
        <v>40.8556</v>
      </c>
      <c r="H808" s="1" t="str">
        <f>IFERROR(__xludf.DUMMYFUNCTION("""COMPUTED_VALUE"""),"-75.8781")</f>
        <v>-75.8781</v>
      </c>
      <c r="I808" s="1" t="str">
        <f>IFERROR(__xludf.DUMMYFUNCTION("""COMPUTED_VALUE"""),"Operating")</f>
        <v>Operating</v>
      </c>
      <c r="J808" s="1" t="str">
        <f>IFERROR(__xludf.DUMMYFUNCTION("""COMPUTED_VALUE"""),"High")</f>
        <v>High</v>
      </c>
      <c r="K808" s="1" t="str">
        <f>IFERROR(__xludf.DUMMYFUNCTION("""COMPUTED_VALUE"""),"AI")</f>
        <v>AI</v>
      </c>
      <c r="L808" s="1" t="str">
        <f>IFERROR(__xludf.DUMMYFUNCTION("""COMPUTED_VALUE"""),"BitFarms/T5")</f>
        <v>BitFarms/T5</v>
      </c>
      <c r="M808" s="1" t="str">
        <f>IFERROR(__xludf.DUMMYFUNCTION("""COMPUTED_VALUE"""),"")</f>
        <v/>
      </c>
      <c r="N808" s="1" t="str">
        <f>IFERROR(__xludf.DUMMYFUNCTION("""COMPUTED_VALUE"""),"60-80")</f>
        <v>60-80</v>
      </c>
      <c r="O808" s="1" t="str">
        <f>IFERROR(__xludf.DUMMYFUNCTION("""COMPUTED_VALUE"""),"Large (51-99 MW)")</f>
        <v>Large (51-99 MW)</v>
      </c>
      <c r="P808" s="1" t="str">
        <f>IFERROR(__xludf.DUMMYFUNCTION("""COMPUTED_VALUE"""),"")</f>
        <v/>
      </c>
      <c r="Q808" s="1" t="str">
        <f>IFERROR(__xludf.DUMMYFUNCTION("""COMPUTED_VALUE"""),"")</f>
        <v/>
      </c>
      <c r="R808" s="1" t="str">
        <f>IFERROR(__xludf.DUMMYFUNCTION("""COMPUTED_VALUE"""),"")</f>
        <v/>
      </c>
      <c r="S808" s="1" t="str">
        <f>IFERROR(__xludf.DUMMYFUNCTION("""COMPUTED_VALUE"""),"")</f>
        <v/>
      </c>
      <c r="T808" s="1" t="str">
        <f>IFERROR(__xludf.DUMMYFUNCTION("""COMPUTED_VALUE"""),"")</f>
        <v/>
      </c>
      <c r="U808" s="1" t="str">
        <f>IFERROR(__xludf.DUMMYFUNCTION("""COMPUTED_VALUE"""),"")</f>
        <v/>
      </c>
      <c r="V808" s="1" t="str">
        <f>IFERROR(__xludf.DUMMYFUNCTION("""COMPUTED_VALUE"""),"")</f>
        <v/>
      </c>
      <c r="W808" s="1" t="str">
        <f>IFERROR(__xludf.DUMMYFUNCTION("""COMPUTED_VALUE"""),"")</f>
        <v/>
      </c>
      <c r="X808" s="1" t="str">
        <f>IFERROR(__xludf.DUMMYFUNCTION("""COMPUTED_VALUE"""),"")</f>
        <v/>
      </c>
      <c r="Y808" s="1" t="str">
        <f>IFERROR(__xludf.DUMMYFUNCTION("""COMPUTED_VALUE"""),"")</f>
        <v/>
      </c>
      <c r="Z808" s="1" t="str">
        <f>IFERROR(__xludf.DUMMYFUNCTION("""COMPUTED_VALUE"""),"Unknown")</f>
        <v>Unknown</v>
      </c>
      <c r="AA808" s="1" t="str">
        <f>IFERROR(__xludf.DUMMYFUNCTION("""COMPUTED_VALUE"""),"")</f>
        <v/>
      </c>
      <c r="AB808" s="1" t="str">
        <f>IFERROR(__xludf.DUMMYFUNCTION("""COMPUTED_VALUE"""),"")</f>
        <v/>
      </c>
      <c r="AC808" s="1" t="str">
        <f>IFERROR(__xludf.DUMMYFUNCTION("""COMPUTED_VALUE"""),"")</f>
        <v/>
      </c>
      <c r="AD808" s="1" t="str">
        <f>IFERROR(__xludf.DUMMYFUNCTION("""COMPUTED_VALUE"""),"")</f>
        <v/>
      </c>
      <c r="AE808" s="1" t="str">
        <f>IFERROR(__xludf.DUMMYFUNCTION("""COMPUTED_VALUE"""),"")</f>
        <v/>
      </c>
      <c r="AF808" s="1" t="str">
        <f>IFERROR(__xludf.DUMMYFUNCTION("""COMPUTED_VALUE"""),"")</f>
        <v/>
      </c>
      <c r="AG808" s="1" t="str">
        <f>IFERROR(__xludf.DUMMYFUNCTION("""COMPUTED_VALUE"""),"Bitcoin facility that is transitioning to AI. Located on site of closed Panther Creek Waste Coal-fired Power Plant in Carbon County")</f>
        <v>Bitcoin facility that is transitioning to AI. Located on site of closed Panther Creek Waste Coal-fired Power Plant in Carbon County</v>
      </c>
      <c r="AH808" s="1" t="str">
        <f>IFERROR(__xludf.DUMMYFUNCTION("""COMPUTED_VALUE"""),"Crowdsourced")</f>
        <v>Crowdsourced</v>
      </c>
      <c r="AI808" s="2" t="str">
        <f>IFERROR(__xludf.DUMMYFUNCTION("""COMPUTED_VALUE"""),"https://www.tomshardware.com/tech-industry/cryptomining/major-bitcoin-mining-firm-pivoting-to-ai-plans-to-fully-abandon-crypto-mining-by-2027-bitfarm-to-leverage-341-megawatt-capacity-for-ai-following-usd46-million-q3-loss")</f>
        <v>https://www.tomshardware.com/tech-industry/cryptomining/major-bitcoin-mining-firm-pivoting-to-ai-plans-to-fully-abandon-crypto-mining-by-2027-bitfarm-to-leverage-341-megawatt-capacity-for-ai-following-usd46-million-q3-loss</v>
      </c>
      <c r="AJ808" s="2" t="str">
        <f>IFERROR(__xludf.DUMMYFUNCTION("""COMPUTED_VALUE"""),"https://bitfarms.com/our-portfolio/data-centers/north-america/")</f>
        <v>https://bitfarms.com/our-portfolio/data-centers/north-america/</v>
      </c>
      <c r="AK808" s="2" t="str">
        <f>IFERROR(__xludf.DUMMYFUNCTION("""COMPUTED_VALUE"""),"https://paenvironmentdaily.blogspot.com/2025/08/bitfarms-announces-partnership-to.html")</f>
        <v>https://paenvironmentdaily.blogspot.com/2025/08/bitfarms-announces-partnership-to.html</v>
      </c>
      <c r="AL808" s="2" t="str">
        <f>IFERROR(__xludf.DUMMYFUNCTION("""COMPUTED_VALUE"""),"https://investor.bitfarms.com/news-releases/news-release-details/bitfarms-announces-partnership-t5-data-centers-advance-hpcai")</f>
        <v>https://investor.bitfarms.com/news-releases/news-release-details/bitfarms-announces-partnership-t5-data-centers-advance-hpcai</v>
      </c>
      <c r="AM808" s="1" t="str">
        <f>IFERROR(__xludf.DUMMYFUNCTION("""COMPUTED_VALUE"""),"")</f>
        <v/>
      </c>
      <c r="AN808" s="1" t="str">
        <f>IFERROR(__xludf.DUMMYFUNCTION("""COMPUTED_VALUE"""),"")</f>
        <v/>
      </c>
      <c r="AO808" s="1" t="str">
        <f>IFERROR(__xludf.DUMMYFUNCTION("""COMPUTED_VALUE"""),"")</f>
        <v/>
      </c>
      <c r="AP808" s="1" t="str">
        <f>IFERROR(__xludf.DUMMYFUNCTION("""COMPUTED_VALUE"""),"")</f>
        <v/>
      </c>
      <c r="AQ808" s="1" t="str">
        <f>IFERROR(__xludf.DUMMYFUNCTION("""COMPUTED_VALUE"""),"08/06/2025")</f>
        <v>08/06/2025</v>
      </c>
      <c r="AR808" s="1" t="str">
        <f>IFERROR(__xludf.DUMMYFUNCTION("""COMPUTED_VALUE"""),"11/17/2025")</f>
        <v>11/17/2025</v>
      </c>
    </row>
    <row r="809">
      <c r="A809" s="1" t="str">
        <f>IFERROR(__xludf.DUMMYFUNCTION("""COMPUTED_VALUE"""),"Bitfarms AI")</f>
        <v>Bitfarms AI</v>
      </c>
      <c r="B809" s="1" t="str">
        <f>IFERROR(__xludf.DUMMYFUNCTION("""COMPUTED_VALUE"""),"Industrial Rd")</f>
        <v>Industrial Rd</v>
      </c>
      <c r="C809" s="1" t="str">
        <f>IFERROR(__xludf.DUMMYFUNCTION("""COMPUTED_VALUE"""),"Nesquehoning")</f>
        <v>Nesquehoning</v>
      </c>
      <c r="D809" s="1" t="str">
        <f>IFERROR(__xludf.DUMMYFUNCTION("""COMPUTED_VALUE"""),"PA")</f>
        <v>PA</v>
      </c>
      <c r="E809" s="1" t="str">
        <f>IFERROR(__xludf.DUMMYFUNCTION("""COMPUTED_VALUE"""),"18240")</f>
        <v>18240</v>
      </c>
      <c r="F809" s="1" t="str">
        <f>IFERROR(__xludf.DUMMYFUNCTION("""COMPUTED_VALUE"""),"Carbon")</f>
        <v>Carbon</v>
      </c>
      <c r="G809" s="1" t="str">
        <f>IFERROR(__xludf.DUMMYFUNCTION("""COMPUTED_VALUE"""),"40.85592")</f>
        <v>40.85592</v>
      </c>
      <c r="H809" s="1" t="str">
        <f>IFERROR(__xludf.DUMMYFUNCTION("""COMPUTED_VALUE"""),"-75.87033")</f>
        <v>-75.87033</v>
      </c>
      <c r="I809" s="1" t="str">
        <f>IFERROR(__xludf.DUMMYFUNCTION("""COMPUTED_VALUE"""),"Proposed")</f>
        <v>Proposed</v>
      </c>
      <c r="J809" s="1" t="str">
        <f>IFERROR(__xludf.DUMMYFUNCTION("""COMPUTED_VALUE"""),"Medium")</f>
        <v>Medium</v>
      </c>
      <c r="K809" s="1" t="str">
        <f>IFERROR(__xludf.DUMMYFUNCTION("""COMPUTED_VALUE"""),"")</f>
        <v/>
      </c>
      <c r="L809" s="1" t="str">
        <f>IFERROR(__xludf.DUMMYFUNCTION("""COMPUTED_VALUE"""),"Bitfarms")</f>
        <v>Bitfarms</v>
      </c>
      <c r="M809" s="1" t="str">
        <f>IFERROR(__xludf.DUMMYFUNCTION("""COMPUTED_VALUE"""),"")</f>
        <v/>
      </c>
      <c r="N809" s="1" t="str">
        <f>IFERROR(__xludf.DUMMYFUNCTION("""COMPUTED_VALUE"""),"")</f>
        <v/>
      </c>
      <c r="O809" s="1" t="str">
        <f>IFERROR(__xludf.DUMMYFUNCTION("""COMPUTED_VALUE"""),"Hyperscale (100-999 MW)")</f>
        <v>Hyperscale (100-999 MW)</v>
      </c>
      <c r="P809" s="1" t="str">
        <f>IFERROR(__xludf.DUMMYFUNCTION("""COMPUTED_VALUE"""),"")</f>
        <v/>
      </c>
      <c r="Q809" s="1" t="str">
        <f>IFERROR(__xludf.DUMMYFUNCTION("""COMPUTED_VALUE"""),"")</f>
        <v/>
      </c>
      <c r="R809" s="1" t="str">
        <f>IFERROR(__xludf.DUMMYFUNCTION("""COMPUTED_VALUE"""),"")</f>
        <v/>
      </c>
      <c r="S809" s="1" t="str">
        <f>IFERROR(__xludf.DUMMYFUNCTION("""COMPUTED_VALUE"""),"4")</f>
        <v>4</v>
      </c>
      <c r="T809" s="1" t="str">
        <f>IFERROR(__xludf.DUMMYFUNCTION("""COMPUTED_VALUE"""),"")</f>
        <v/>
      </c>
      <c r="U809" s="1" t="str">
        <f>IFERROR(__xludf.DUMMYFUNCTION("""COMPUTED_VALUE"""),"")</f>
        <v/>
      </c>
      <c r="V809" s="1" t="str">
        <f>IFERROR(__xludf.DUMMYFUNCTION("""COMPUTED_VALUE"""),"1,260,000")</f>
        <v>1,260,000</v>
      </c>
      <c r="W809" s="1" t="str">
        <f>IFERROR(__xludf.DUMMYFUNCTION("""COMPUTED_VALUE"""),"")</f>
        <v/>
      </c>
      <c r="X809" s="1" t="str">
        <f>IFERROR(__xludf.DUMMYFUNCTION("""COMPUTED_VALUE"""),"$315 million")</f>
        <v>$315 million</v>
      </c>
      <c r="Y809" s="1" t="str">
        <f>IFERROR(__xludf.DUMMYFUNCTION("""COMPUTED_VALUE"""),"2028")</f>
        <v>2028</v>
      </c>
      <c r="Z809" s="1" t="str">
        <f>IFERROR(__xludf.DUMMYFUNCTION("""COMPUTED_VALUE"""),"Unknown")</f>
        <v>Unknown</v>
      </c>
      <c r="AA809" s="1" t="str">
        <f>IFERROR(__xludf.DUMMYFUNCTION("""COMPUTED_VALUE"""),"")</f>
        <v/>
      </c>
      <c r="AB809" s="1" t="str">
        <f>IFERROR(__xludf.DUMMYFUNCTION("""COMPUTED_VALUE"""),"")</f>
        <v/>
      </c>
      <c r="AC809" s="1" t="str">
        <f>IFERROR(__xludf.DUMMYFUNCTION("""COMPUTED_VALUE"""),"")</f>
        <v/>
      </c>
      <c r="AD809" s="1" t="str">
        <f>IFERROR(__xludf.DUMMYFUNCTION("""COMPUTED_VALUE"""),"")</f>
        <v/>
      </c>
      <c r="AE809" s="1" t="str">
        <f>IFERROR(__xludf.DUMMYFUNCTION("""COMPUTED_VALUE"""),"")</f>
        <v/>
      </c>
      <c r="AF809" s="1" t="str">
        <f>IFERROR(__xludf.DUMMYFUNCTION("""COMPUTED_VALUE"""),"")</f>
        <v/>
      </c>
      <c r="AG809" s="1" t="str">
        <f>IFERROR(__xludf.DUMMYFUNCTION("""COMPUTED_VALUE"""),"Claim to use 3000 gal/ day of water")</f>
        <v>Claim to use 3000 gal/ day of water</v>
      </c>
      <c r="AH809" s="1" t="str">
        <f>IFERROR(__xludf.DUMMYFUNCTION("""COMPUTED_VALUE"""),"Media Monitoring")</f>
        <v>Media Monitoring</v>
      </c>
      <c r="AI809" s="2" t="str">
        <f>IFERROR(__xludf.DUMMYFUNCTION("""COMPUTED_VALUE"""),"https://www.tnonline.com/20251120/bitfarms-details-data-center-plan-job-potential/")</f>
        <v>https://www.tnonline.com/20251120/bitfarms-details-data-center-plan-job-potential/</v>
      </c>
      <c r="AJ809" s="1" t="str">
        <f>IFERROR(__xludf.DUMMYFUNCTION("""COMPUTED_VALUE"""),"")</f>
        <v/>
      </c>
      <c r="AK809" s="1" t="str">
        <f>IFERROR(__xludf.DUMMYFUNCTION("""COMPUTED_VALUE"""),"")</f>
        <v/>
      </c>
      <c r="AL809" s="1" t="str">
        <f>IFERROR(__xludf.DUMMYFUNCTION("""COMPUTED_VALUE"""),"")</f>
        <v/>
      </c>
      <c r="AM809" s="1" t="str">
        <f>IFERROR(__xludf.DUMMYFUNCTION("""COMPUTED_VALUE"""),"")</f>
        <v/>
      </c>
      <c r="AN809" s="1" t="str">
        <f>IFERROR(__xludf.DUMMYFUNCTION("""COMPUTED_VALUE"""),"")</f>
        <v/>
      </c>
      <c r="AO809" s="1" t="str">
        <f>IFERROR(__xludf.DUMMYFUNCTION("""COMPUTED_VALUE"""),"")</f>
        <v/>
      </c>
      <c r="AP809" s="1" t="str">
        <f>IFERROR(__xludf.DUMMYFUNCTION("""COMPUTED_VALUE"""),"")</f>
        <v/>
      </c>
      <c r="AQ809" s="1" t="str">
        <f>IFERROR(__xludf.DUMMYFUNCTION("""COMPUTED_VALUE"""),"11/24/2025")</f>
        <v>11/24/2025</v>
      </c>
      <c r="AR809" s="1" t="str">
        <f>IFERROR(__xludf.DUMMYFUNCTION("""COMPUTED_VALUE"""),"11/24/2025")</f>
        <v>11/24/2025</v>
      </c>
    </row>
    <row r="810">
      <c r="A810" s="1" t="str">
        <f>IFERROR(__xludf.DUMMYFUNCTION("""COMPUTED_VALUE"""),"Powder Mills Site Data Center")</f>
        <v>Powder Mills Site Data Center</v>
      </c>
      <c r="B810" s="1" t="str">
        <f>IFERROR(__xludf.DUMMYFUNCTION("""COMPUTED_VALUE"""),"3478 Howard Dr")</f>
        <v>3478 Howard Dr</v>
      </c>
      <c r="C810" s="1" t="str">
        <f>IFERROR(__xludf.DUMMYFUNCTION("""COMPUTED_VALUE"""),"New Castle")</f>
        <v>New Castle</v>
      </c>
      <c r="D810" s="1" t="str">
        <f>IFERROR(__xludf.DUMMYFUNCTION("""COMPUTED_VALUE"""),"PA")</f>
        <v>PA</v>
      </c>
      <c r="E810" s="1" t="str">
        <f>IFERROR(__xludf.DUMMYFUNCTION("""COMPUTED_VALUE"""),"16102")</f>
        <v>16102</v>
      </c>
      <c r="F810" s="1" t="str">
        <f>IFERROR(__xludf.DUMMYFUNCTION("""COMPUTED_VALUE"""),"Lawrence")</f>
        <v>Lawrence</v>
      </c>
      <c r="G810" s="1" t="str">
        <f>IFERROR(__xludf.DUMMYFUNCTION("""COMPUTED_VALUE"""),"40.989223")</f>
        <v>40.989223</v>
      </c>
      <c r="H810" s="1" t="str">
        <f>IFERROR(__xludf.DUMMYFUNCTION("""COMPUTED_VALUE"""),"-80.42953")</f>
        <v>-80.42953</v>
      </c>
      <c r="I810" s="1" t="str">
        <f>IFERROR(__xludf.DUMMYFUNCTION("""COMPUTED_VALUE"""),"Proposed")</f>
        <v>Proposed</v>
      </c>
      <c r="J810" s="1" t="str">
        <f>IFERROR(__xludf.DUMMYFUNCTION("""COMPUTED_VALUE"""),"High")</f>
        <v>High</v>
      </c>
      <c r="K810" s="1" t="str">
        <f>IFERROR(__xludf.DUMMYFUNCTION("""COMPUTED_VALUE"""),"")</f>
        <v/>
      </c>
      <c r="L810" s="1" t="str">
        <f>IFERROR(__xludf.DUMMYFUNCTION("""COMPUTED_VALUE"""),"")</f>
        <v/>
      </c>
      <c r="M810" s="1" t="str">
        <f>IFERROR(__xludf.DUMMYFUNCTION("""COMPUTED_VALUE"""),"")</f>
        <v/>
      </c>
      <c r="N810" s="1" t="str">
        <f>IFERROR(__xludf.DUMMYFUNCTION("""COMPUTED_VALUE"""),"")</f>
        <v/>
      </c>
      <c r="O810" s="1" t="str">
        <f>IFERROR(__xludf.DUMMYFUNCTION("""COMPUTED_VALUE"""),"Unknown")</f>
        <v>Unknown</v>
      </c>
      <c r="P810" s="1" t="str">
        <f>IFERROR(__xludf.DUMMYFUNCTION("""COMPUTED_VALUE"""),"Grid (unspecified mix)")</f>
        <v>Grid (unspecified mix)</v>
      </c>
      <c r="Q810" s="1" t="str">
        <f>IFERROR(__xludf.DUMMYFUNCTION("""COMPUTED_VALUE"""),"")</f>
        <v/>
      </c>
      <c r="R810" s="1" t="str">
        <f>IFERROR(__xludf.DUMMYFUNCTION("""COMPUTED_VALUE"""),"")</f>
        <v/>
      </c>
      <c r="S810" s="1" t="str">
        <f>IFERROR(__xludf.DUMMYFUNCTION("""COMPUTED_VALUE"""),"16")</f>
        <v>16</v>
      </c>
      <c r="T810" s="1" t="str">
        <f>IFERROR(__xludf.DUMMYFUNCTION("""COMPUTED_VALUE"""),"")</f>
        <v/>
      </c>
      <c r="U810" s="1" t="str">
        <f>IFERROR(__xludf.DUMMYFUNCTION("""COMPUTED_VALUE"""),"")</f>
        <v/>
      </c>
      <c r="V810" s="1" t="str">
        <f>IFERROR(__xludf.DUMMYFUNCTION("""COMPUTED_VALUE"""),"")</f>
        <v/>
      </c>
      <c r="W810" s="1" t="str">
        <f>IFERROR(__xludf.DUMMYFUNCTION("""COMPUTED_VALUE"""),"569")</f>
        <v>569</v>
      </c>
      <c r="X810" s="1" t="str">
        <f>IFERROR(__xludf.DUMMYFUNCTION("""COMPUTED_VALUE"""),"")</f>
        <v/>
      </c>
      <c r="Y810" s="1" t="str">
        <f>IFERROR(__xludf.DUMMYFUNCTION("""COMPUTED_VALUE"""),"")</f>
        <v/>
      </c>
      <c r="Z810" s="1" t="str">
        <f>IFERROR(__xludf.DUMMYFUNCTION("""COMPUTED_VALUE"""),"Yes")</f>
        <v>Yes</v>
      </c>
      <c r="AA810" s="1" t="str">
        <f>IFERROR(__xludf.DUMMYFUNCTION("""COMPUTED_VALUE"""),"")</f>
        <v/>
      </c>
      <c r="AB810" s="1" t="str">
        <f>IFERROR(__xludf.DUMMYFUNCTION("""COMPUTED_VALUE"""),"Organized Advocacy")</f>
        <v>Organized Advocacy</v>
      </c>
      <c r="AC810" s="1" t="str">
        <f>IFERROR(__xludf.DUMMYFUNCTION("""COMPUTED_VALUE"""),"")</f>
        <v/>
      </c>
      <c r="AD810" s="1" t="str">
        <f>IFERROR(__xludf.DUMMYFUNCTION("""COMPUTED_VALUE"""),"")</f>
        <v/>
      </c>
      <c r="AE810" s="1" t="str">
        <f>IFERROR(__xludf.DUMMYFUNCTION("""COMPUTED_VALUE"""),"")</f>
        <v/>
      </c>
      <c r="AF810" s="2" t="str">
        <f>IFERROR(__xludf.DUMMYFUNCTION("""COMPUTED_VALUE"""),"https://www.change.org/p/preserve-the-rural-character-of-mahoning-township-and-surrounding-area-in-lawrence-county")</f>
        <v>https://www.change.org/p/preserve-the-rural-character-of-mahoning-township-and-surrounding-area-in-lawrence-county</v>
      </c>
      <c r="AG810" s="1" t="str">
        <f>IFERROR(__xludf.DUMMYFUNCTION("""COMPUTED_VALUE"""),"Former dynamite plant")</f>
        <v>Former dynamite plant</v>
      </c>
      <c r="AH810" s="1" t="str">
        <f>IFERROR(__xludf.DUMMYFUNCTION("""COMPUTED_VALUE"""),"Media Monitoring")</f>
        <v>Media Monitoring</v>
      </c>
      <c r="AI810" s="2" t="str">
        <f>IFERROR(__xludf.DUMMYFUNCTION("""COMPUTED_VALUE"""),"https://www.datacenterdynamics.com/en/news/data-center-campus-proposed-at-former-dynamite-factory-site-in-lawrence-county-pennsylvania/")</f>
        <v>https://www.datacenterdynamics.com/en/news/data-center-campus-proposed-at-former-dynamite-factory-site-in-lawrence-county-pennsylvania/</v>
      </c>
      <c r="AJ810" s="1" t="str">
        <f>IFERROR(__xludf.DUMMYFUNCTION("""COMPUTED_VALUE"""),"")</f>
        <v/>
      </c>
      <c r="AK810" s="1" t="str">
        <f>IFERROR(__xludf.DUMMYFUNCTION("""COMPUTED_VALUE"""),"")</f>
        <v/>
      </c>
      <c r="AL810" s="1" t="str">
        <f>IFERROR(__xludf.DUMMYFUNCTION("""COMPUTED_VALUE"""),"")</f>
        <v/>
      </c>
      <c r="AM810" s="1" t="str">
        <f>IFERROR(__xludf.DUMMYFUNCTION("""COMPUTED_VALUE"""),"")</f>
        <v/>
      </c>
      <c r="AN810" s="1" t="str">
        <f>IFERROR(__xludf.DUMMYFUNCTION("""COMPUTED_VALUE"""),"")</f>
        <v/>
      </c>
      <c r="AO810" s="1" t="str">
        <f>IFERROR(__xludf.DUMMYFUNCTION("""COMPUTED_VALUE"""),"")</f>
        <v/>
      </c>
      <c r="AP810" s="1" t="str">
        <f>IFERROR(__xludf.DUMMYFUNCTION("""COMPUTED_VALUE"""),"")</f>
        <v/>
      </c>
      <c r="AQ810" s="1" t="str">
        <f>IFERROR(__xludf.DUMMYFUNCTION("""COMPUTED_VALUE"""),"07/16/2026")</f>
        <v>07/16/2026</v>
      </c>
      <c r="AR810" s="1" t="str">
        <f>IFERROR(__xludf.DUMMYFUNCTION("""COMPUTED_VALUE"""),"07/16/2026")</f>
        <v>07/16/2026</v>
      </c>
    </row>
    <row r="811">
      <c r="A811" s="1" t="str">
        <f>IFERROR(__xludf.DUMMYFUNCTION("""COMPUTED_VALUE"""),"KRNL Data Center")</f>
        <v>KRNL Data Center</v>
      </c>
      <c r="B811" s="1" t="str">
        <f>IFERROR(__xludf.DUMMYFUNCTION("""COMPUTED_VALUE"""),"Constellation Energy")</f>
        <v>Constellation Energy</v>
      </c>
      <c r="C811" s="1" t="str">
        <f>IFERROR(__xludf.DUMMYFUNCTION("""COMPUTED_VALUE"""),"New Castle Twp")</f>
        <v>New Castle Twp</v>
      </c>
      <c r="D811" s="1" t="str">
        <f>IFERROR(__xludf.DUMMYFUNCTION("""COMPUTED_VALUE"""),"PA")</f>
        <v>PA</v>
      </c>
      <c r="E811" s="1" t="str">
        <f>IFERROR(__xludf.DUMMYFUNCTION("""COMPUTED_VALUE"""),"17931")</f>
        <v>17931</v>
      </c>
      <c r="F811" s="1" t="str">
        <f>IFERROR(__xludf.DUMMYFUNCTION("""COMPUTED_VALUE"""),"Schuylkill")</f>
        <v>Schuylkill</v>
      </c>
      <c r="G811" s="1" t="str">
        <f>IFERROR(__xludf.DUMMYFUNCTION("""COMPUTED_VALUE"""),"40.7742")</f>
        <v>40.7742</v>
      </c>
      <c r="H811" s="1" t="str">
        <f>IFERROR(__xludf.DUMMYFUNCTION("""COMPUTED_VALUE"""),"-76.235")</f>
        <v>-76.235</v>
      </c>
      <c r="I811" s="1" t="str">
        <f>IFERROR(__xludf.DUMMYFUNCTION("""COMPUTED_VALUE"""),"Proposed")</f>
        <v>Proposed</v>
      </c>
      <c r="J811" s="1" t="str">
        <f>IFERROR(__xludf.DUMMYFUNCTION("""COMPUTED_VALUE"""),"Medium")</f>
        <v>Medium</v>
      </c>
      <c r="K811" s="1" t="str">
        <f>IFERROR(__xludf.DUMMYFUNCTION("""COMPUTED_VALUE"""),"")</f>
        <v/>
      </c>
      <c r="L811" s="1" t="str">
        <f>IFERROR(__xludf.DUMMYFUNCTION("""COMPUTED_VALUE"""),"")</f>
        <v/>
      </c>
      <c r="M811" s="1" t="str">
        <f>IFERROR(__xludf.DUMMYFUNCTION("""COMPUTED_VALUE"""),"")</f>
        <v/>
      </c>
      <c r="N811" s="1" t="str">
        <f>IFERROR(__xludf.DUMMYFUNCTION("""COMPUTED_VALUE"""),"")</f>
        <v/>
      </c>
      <c r="O811" s="1" t="str">
        <f>IFERROR(__xludf.DUMMYFUNCTION("""COMPUTED_VALUE"""),"Unknown")</f>
        <v>Unknown</v>
      </c>
      <c r="P811" s="1" t="str">
        <f>IFERROR(__xludf.DUMMYFUNCTION("""COMPUTED_VALUE"""),"")</f>
        <v/>
      </c>
      <c r="Q811" s="1" t="str">
        <f>IFERROR(__xludf.DUMMYFUNCTION("""COMPUTED_VALUE"""),"")</f>
        <v/>
      </c>
      <c r="R811" s="1" t="str">
        <f>IFERROR(__xludf.DUMMYFUNCTION("""COMPUTED_VALUE"""),"")</f>
        <v/>
      </c>
      <c r="S811" s="1" t="str">
        <f>IFERROR(__xludf.DUMMYFUNCTION("""COMPUTED_VALUE"""),"4")</f>
        <v>4</v>
      </c>
      <c r="T811" s="1" t="str">
        <f>IFERROR(__xludf.DUMMYFUNCTION("""COMPUTED_VALUE"""),"")</f>
        <v/>
      </c>
      <c r="U811" s="1" t="str">
        <f>IFERROR(__xludf.DUMMYFUNCTION("""COMPUTED_VALUE"""),"")</f>
        <v/>
      </c>
      <c r="V811" s="1" t="str">
        <f>IFERROR(__xludf.DUMMYFUNCTION("""COMPUTED_VALUE"""),"850,000")</f>
        <v>850,000</v>
      </c>
      <c r="W811" s="1" t="str">
        <f>IFERROR(__xludf.DUMMYFUNCTION("""COMPUTED_VALUE"""),"")</f>
        <v/>
      </c>
      <c r="X811" s="1" t="str">
        <f>IFERROR(__xludf.DUMMYFUNCTION("""COMPUTED_VALUE"""),"")</f>
        <v/>
      </c>
      <c r="Y811" s="1" t="str">
        <f>IFERROR(__xludf.DUMMYFUNCTION("""COMPUTED_VALUE"""),"")</f>
        <v/>
      </c>
      <c r="Z811" s="1" t="str">
        <f>IFERROR(__xludf.DUMMYFUNCTION("""COMPUTED_VALUE"""),"Unknown")</f>
        <v>Unknown</v>
      </c>
      <c r="AA811" s="1" t="str">
        <f>IFERROR(__xludf.DUMMYFUNCTION("""COMPUTED_VALUE"""),"")</f>
        <v/>
      </c>
      <c r="AB811" s="1" t="str">
        <f>IFERROR(__xludf.DUMMYFUNCTION("""COMPUTED_VALUE"""),"")</f>
        <v/>
      </c>
      <c r="AC811" s="1" t="str">
        <f>IFERROR(__xludf.DUMMYFUNCTION("""COMPUTED_VALUE"""),"")</f>
        <v/>
      </c>
      <c r="AD811" s="1" t="str">
        <f>IFERROR(__xludf.DUMMYFUNCTION("""COMPUTED_VALUE"""),"")</f>
        <v/>
      </c>
      <c r="AE811" s="1" t="str">
        <f>IFERROR(__xludf.DUMMYFUNCTION("""COMPUTED_VALUE"""),"")</f>
        <v/>
      </c>
      <c r="AF811" s="1" t="str">
        <f>IFERROR(__xludf.DUMMYFUNCTION("""COMPUTED_VALUE"""),"")</f>
        <v/>
      </c>
      <c r="AG811" s="1" t="str">
        <f>IFERROR(__xludf.DUMMYFUNCTION("""COMPUTED_VALUE"""),"8 stories high, land negotiations currently")</f>
        <v>8 stories high, land negotiations currently</v>
      </c>
      <c r="AH811" s="1" t="str">
        <f>IFERROR(__xludf.DUMMYFUNCTION("""COMPUTED_VALUE"""),"Media Monitoring")</f>
        <v>Media Monitoring</v>
      </c>
      <c r="AI811" s="2" t="str">
        <f>IFERROR(__xludf.DUMMYFUNCTION("""COMPUTED_VALUE"""),"https://www.facebook.com/photo?fbid=10237319121305210&amp;set=gm.1273615847314795&amp;idorvanity=400148284661560")</f>
        <v>https://www.facebook.com/photo?fbid=10237319121305210&amp;set=gm.1273615847314795&amp;idorvanity=400148284661560</v>
      </c>
      <c r="AJ811" s="1" t="str">
        <f>IFERROR(__xludf.DUMMYFUNCTION("""COMPUTED_VALUE"""),"")</f>
        <v/>
      </c>
      <c r="AK811" s="1" t="str">
        <f>IFERROR(__xludf.DUMMYFUNCTION("""COMPUTED_VALUE"""),"")</f>
        <v/>
      </c>
      <c r="AL811" s="1" t="str">
        <f>IFERROR(__xludf.DUMMYFUNCTION("""COMPUTED_VALUE"""),"")</f>
        <v/>
      </c>
      <c r="AM811" s="1" t="str">
        <f>IFERROR(__xludf.DUMMYFUNCTION("""COMPUTED_VALUE"""),"")</f>
        <v/>
      </c>
      <c r="AN811" s="1" t="str">
        <f>IFERROR(__xludf.DUMMYFUNCTION("""COMPUTED_VALUE"""),"")</f>
        <v/>
      </c>
      <c r="AO811" s="1" t="str">
        <f>IFERROR(__xludf.DUMMYFUNCTION("""COMPUTED_VALUE"""),"")</f>
        <v/>
      </c>
      <c r="AP811" s="1" t="str">
        <f>IFERROR(__xludf.DUMMYFUNCTION("""COMPUTED_VALUE"""),"")</f>
        <v/>
      </c>
      <c r="AQ811" s="1" t="str">
        <f>IFERROR(__xludf.DUMMYFUNCTION("""COMPUTED_VALUE"""),"09/08/2025")</f>
        <v>09/08/2025</v>
      </c>
      <c r="AR811" s="1" t="str">
        <f>IFERROR(__xludf.DUMMYFUNCTION("""COMPUTED_VALUE"""),"09/08/2025")</f>
        <v>09/08/2025</v>
      </c>
    </row>
    <row r="812">
      <c r="A812" s="1" t="str">
        <f>IFERROR(__xludf.DUMMYFUNCTION("""COMPUTED_VALUE"""),"Upper Burrell Data Center/TECfusions Keystone Connect")</f>
        <v>Upper Burrell Data Center/TECfusions Keystone Connect</v>
      </c>
      <c r="B812" s="1" t="str">
        <f>IFERROR(__xludf.DUMMYFUNCTION("""COMPUTED_VALUE"""),"100 Technical Ln")</f>
        <v>100 Technical Ln</v>
      </c>
      <c r="C812" s="1" t="str">
        <f>IFERROR(__xludf.DUMMYFUNCTION("""COMPUTED_VALUE"""),"New Kensington (Upper Burrell)")</f>
        <v>New Kensington (Upper Burrell)</v>
      </c>
      <c r="D812" s="1" t="str">
        <f>IFERROR(__xludf.DUMMYFUNCTION("""COMPUTED_VALUE"""),"PA")</f>
        <v>PA</v>
      </c>
      <c r="E812" s="1" t="str">
        <f>IFERROR(__xludf.DUMMYFUNCTION("""COMPUTED_VALUE"""),"15068")</f>
        <v>15068</v>
      </c>
      <c r="F812" s="1" t="str">
        <f>IFERROR(__xludf.DUMMYFUNCTION("""COMPUTED_VALUE"""),"Westmoreland")</f>
        <v>Westmoreland</v>
      </c>
      <c r="G812" s="1" t="str">
        <f>IFERROR(__xludf.DUMMYFUNCTION("""COMPUTED_VALUE"""),"40.5489")</f>
        <v>40.5489</v>
      </c>
      <c r="H812" s="1" t="str">
        <f>IFERROR(__xludf.DUMMYFUNCTION("""COMPUTED_VALUE"""),"-79.6466")</f>
        <v>-79.6466</v>
      </c>
      <c r="I812" s="1" t="str">
        <f>IFERROR(__xludf.DUMMYFUNCTION("""COMPUTED_VALUE"""),"Expanding")</f>
        <v>Expanding</v>
      </c>
      <c r="J812" s="1" t="str">
        <f>IFERROR(__xludf.DUMMYFUNCTION("""COMPUTED_VALUE"""),"High")</f>
        <v>High</v>
      </c>
      <c r="K812" s="1" t="str">
        <f>IFERROR(__xludf.DUMMYFUNCTION("""COMPUTED_VALUE"""),"")</f>
        <v/>
      </c>
      <c r="L812" s="1" t="str">
        <f>IFERROR(__xludf.DUMMYFUNCTION("""COMPUTED_VALUE"""),"TECfusions/TensorWave")</f>
        <v>TECfusions/TensorWave</v>
      </c>
      <c r="M812" s="1" t="str">
        <f>IFERROR(__xludf.DUMMYFUNCTION("""COMPUTED_VALUE"""),"")</f>
        <v/>
      </c>
      <c r="N812" s="1" t="str">
        <f>IFERROR(__xludf.DUMMYFUNCTION("""COMPUTED_VALUE"""),"12-3,000")</f>
        <v>12-3,000</v>
      </c>
      <c r="O812" s="1" t="str">
        <f>IFERROR(__xludf.DUMMYFUNCTION("""COMPUTED_VALUE"""),"Mega campus (&gt;1,000 MW)")</f>
        <v>Mega campus (&gt;1,000 MW)</v>
      </c>
      <c r="P812" s="1" t="str">
        <f>IFERROR(__xludf.DUMMYFUNCTION("""COMPUTED_VALUE"""),"Natural gas")</f>
        <v>Natural gas</v>
      </c>
      <c r="Q812" s="1" t="str">
        <f>IFERROR(__xludf.DUMMYFUNCTION("""COMPUTED_VALUE"""),"Yes")</f>
        <v>Yes</v>
      </c>
      <c r="R812" s="1" t="str">
        <f>IFERROR(__xludf.DUMMYFUNCTION("""COMPUTED_VALUE"""),"")</f>
        <v/>
      </c>
      <c r="S812" s="1" t="str">
        <f>IFERROR(__xludf.DUMMYFUNCTION("""COMPUTED_VALUE"""),"")</f>
        <v/>
      </c>
      <c r="T812" s="1" t="str">
        <f>IFERROR(__xludf.DUMMYFUNCTION("""COMPUTED_VALUE"""),"")</f>
        <v/>
      </c>
      <c r="U812" s="1" t="str">
        <f>IFERROR(__xludf.DUMMYFUNCTION("""COMPUTED_VALUE"""),"")</f>
        <v/>
      </c>
      <c r="V812" s="1" t="str">
        <f>IFERROR(__xludf.DUMMYFUNCTION("""COMPUTED_VALUE"""),"")</f>
        <v/>
      </c>
      <c r="W812" s="1" t="str">
        <f>IFERROR(__xludf.DUMMYFUNCTION("""COMPUTED_VALUE"""),"1395")</f>
        <v>1395</v>
      </c>
      <c r="X812" s="1" t="str">
        <f>IFERROR(__xludf.DUMMYFUNCTION("""COMPUTED_VALUE"""),"")</f>
        <v/>
      </c>
      <c r="Y812" s="1" t="str">
        <f>IFERROR(__xludf.DUMMYFUNCTION("""COMPUTED_VALUE"""),"")</f>
        <v/>
      </c>
      <c r="Z812" s="1" t="str">
        <f>IFERROR(__xludf.DUMMYFUNCTION("""COMPUTED_VALUE"""),"Yes")</f>
        <v>Yes</v>
      </c>
      <c r="AA812" s="1" t="str">
        <f>IFERROR(__xludf.DUMMYFUNCTION("""COMPUTED_VALUE"""),"")</f>
        <v/>
      </c>
      <c r="AB812" s="1" t="str">
        <f>IFERROR(__xludf.DUMMYFUNCTION("""COMPUTED_VALUE"""),"")</f>
        <v/>
      </c>
      <c r="AC812" s="1" t="str">
        <f>IFERROR(__xludf.DUMMYFUNCTION("""COMPUTED_VALUE"""),"")</f>
        <v/>
      </c>
      <c r="AD812" s="2" t="str">
        <f>IFERROR(__xludf.DUMMYFUNCTION("""COMPUTED_VALUE"""),"https://www.protectpt.org/data-center")</f>
        <v>https://www.protectpt.org/data-center</v>
      </c>
      <c r="AE812" s="1" t="str">
        <f>IFERROR(__xludf.DUMMYFUNCTION("""COMPUTED_VALUE"""),"")</f>
        <v/>
      </c>
      <c r="AF812" s="1" t="str">
        <f>IFERROR(__xludf.DUMMYFUNCTION("""COMPUTED_VALUE"""),"")</f>
        <v/>
      </c>
      <c r="AG812" s="1" t="str">
        <f>IFERROR(__xludf.DUMMYFUNCTION("""COMPUTED_VALUE"""),"In former Alcoa plant site, onsite gas generation and microgrid")</f>
        <v>In former Alcoa plant site, onsite gas generation and microgrid</v>
      </c>
      <c r="AH812" s="1" t="str">
        <f>IFERROR(__xludf.DUMMYFUNCTION("""COMPUTED_VALUE"""),"Media Monitoring")</f>
        <v>Media Monitoring</v>
      </c>
      <c r="AI812" s="2" t="str">
        <f>IFERROR(__xludf.DUMMYFUNCTION("""COMPUTED_VALUE"""),"https://www.prnewswire.com/news-releases/tecfusions-unveils-massive-1400-acre-data-center-project-in-pennsylvania-revitalizing-former-industrial-plant-302350041.html")</f>
        <v>https://www.prnewswire.com/news-releases/tecfusions-unveils-massive-1400-acre-data-center-project-in-pennsylvania-revitalizing-former-industrial-plant-302350041.html</v>
      </c>
      <c r="AJ812" s="2" t="str">
        <f>IFERROR(__xludf.DUMMYFUNCTION("""COMPUTED_VALUE"""),"https://triblive.com/local/valley-news-dispatch/upper-burrell-data-center-to-use-natural-gas-for-more-than-2-gigawatts-of-power-generation/")</f>
        <v>https://triblive.com/local/valley-news-dispatch/upper-burrell-data-center-to-use-natural-gas-for-more-than-2-gigawatts-of-power-generation/</v>
      </c>
      <c r="AK812" s="2" t="str">
        <f>IFERROR(__xludf.DUMMYFUNCTION("""COMPUTED_VALUE"""),"https://www.spotlightpa.org/news/2025/10/pennsylvania-data-centers-community-opposition-ai-development-environment/")</f>
        <v>https://www.spotlightpa.org/news/2025/10/pennsylvania-data-centers-community-opposition-ai-development-environment/</v>
      </c>
      <c r="AL812" s="2" t="str">
        <f>IFERROR(__xludf.DUMMYFUNCTION("""COMPUTED_VALUE"""),"https://www.datacenterdynamics.com/en/news/tecfusions-acquires-former-manufacturing-site-outside-pittsburgh-pennsylvania-for-3gw-data-center-site/")</f>
        <v>https://www.datacenterdynamics.com/en/news/tecfusions-acquires-former-manufacturing-site-outside-pittsburgh-pennsylvania-for-3gw-data-center-site/</v>
      </c>
      <c r="AM812" s="2" t="str">
        <f>IFERROR(__xludf.DUMMYFUNCTION("""COMPUTED_VALUE"""),"https://tecfusions.com/?clarksville#solutions-newkensington")</f>
        <v>https://tecfusions.com/?clarksville#solutions-newkensington</v>
      </c>
      <c r="AN812" s="2" t="str">
        <f>IFERROR(__xludf.DUMMYFUNCTION("""COMPUTED_VALUE"""),"https://triblive.com/local/valley-news-dispatch/upper-burrell-data-center-nets-first-tenant-at-former-alcoa-research-site/")</f>
        <v>https://triblive.com/local/valley-news-dispatch/upper-burrell-data-center-nets-first-tenant-at-former-alcoa-research-site/</v>
      </c>
      <c r="AO812" s="1" t="str">
        <f>IFERROR(__xludf.DUMMYFUNCTION("""COMPUTED_VALUE"""),"")</f>
        <v/>
      </c>
      <c r="AP812" s="1" t="str">
        <f>IFERROR(__xludf.DUMMYFUNCTION("""COMPUTED_VALUE"""),"")</f>
        <v/>
      </c>
      <c r="AQ812" s="1" t="str">
        <f>IFERROR(__xludf.DUMMYFUNCTION("""COMPUTED_VALUE"""),"07/24/2025")</f>
        <v>07/24/2025</v>
      </c>
      <c r="AR812" s="1" t="str">
        <f>IFERROR(__xludf.DUMMYFUNCTION("""COMPUTED_VALUE"""),"03/22/2026")</f>
        <v>03/22/2026</v>
      </c>
    </row>
    <row r="813">
      <c r="A813" s="1" t="str">
        <f>IFERROR(__xludf.DUMMYFUNCTION("""COMPUTED_VALUE"""),"Tierpoint Valley Forge Data Center")</f>
        <v>Tierpoint Valley Forge Data Center</v>
      </c>
      <c r="B813" s="1" t="str">
        <f>IFERROR(__xludf.DUMMYFUNCTION("""COMPUTED_VALUE"""),"1000 Adams Ave")</f>
        <v>1000 Adams Ave</v>
      </c>
      <c r="C813" s="1" t="str">
        <f>IFERROR(__xludf.DUMMYFUNCTION("""COMPUTED_VALUE"""),"Norristown")</f>
        <v>Norristown</v>
      </c>
      <c r="D813" s="1" t="str">
        <f>IFERROR(__xludf.DUMMYFUNCTION("""COMPUTED_VALUE"""),"PA")</f>
        <v>PA</v>
      </c>
      <c r="E813" s="1" t="str">
        <f>IFERROR(__xludf.DUMMYFUNCTION("""COMPUTED_VALUE"""),"19403")</f>
        <v>19403</v>
      </c>
      <c r="F813" s="1" t="str">
        <f>IFERROR(__xludf.DUMMYFUNCTION("""COMPUTED_VALUE"""),"Montgomery")</f>
        <v>Montgomery</v>
      </c>
      <c r="G813" s="1" t="str">
        <f>IFERROR(__xludf.DUMMYFUNCTION("""COMPUTED_VALUE"""),"40.1223")</f>
        <v>40.1223</v>
      </c>
      <c r="H813" s="1" t="str">
        <f>IFERROR(__xludf.DUMMYFUNCTION("""COMPUTED_VALUE"""),"-75.42087")</f>
        <v>-75.42087</v>
      </c>
      <c r="I813" s="1" t="str">
        <f>IFERROR(__xludf.DUMMYFUNCTION("""COMPUTED_VALUE"""),"Operating")</f>
        <v>Operating</v>
      </c>
      <c r="J813" s="1" t="str">
        <f>IFERROR(__xludf.DUMMYFUNCTION("""COMPUTED_VALUE"""),"High")</f>
        <v>High</v>
      </c>
      <c r="K813" s="1" t="str">
        <f>IFERROR(__xludf.DUMMYFUNCTION("""COMPUTED_VALUE"""),"")</f>
        <v/>
      </c>
      <c r="L813" s="1" t="str">
        <f>IFERROR(__xludf.DUMMYFUNCTION("""COMPUTED_VALUE"""),"Tierpoint")</f>
        <v>Tierpoint</v>
      </c>
      <c r="M813" s="1" t="str">
        <f>IFERROR(__xludf.DUMMYFUNCTION("""COMPUTED_VALUE"""),"")</f>
        <v/>
      </c>
      <c r="N813" s="1" t="str">
        <f>IFERROR(__xludf.DUMMYFUNCTION("""COMPUTED_VALUE"""),"")</f>
        <v/>
      </c>
      <c r="O813" s="1" t="str">
        <f>IFERROR(__xludf.DUMMYFUNCTION("""COMPUTED_VALUE"""),"Unknown")</f>
        <v>Unknown</v>
      </c>
      <c r="P813" s="1" t="str">
        <f>IFERROR(__xludf.DUMMYFUNCTION("""COMPUTED_VALUE"""),"")</f>
        <v/>
      </c>
      <c r="Q813" s="1" t="str">
        <f>IFERROR(__xludf.DUMMYFUNCTION("""COMPUTED_VALUE"""),"")</f>
        <v/>
      </c>
      <c r="R813" s="1" t="str">
        <f>IFERROR(__xludf.DUMMYFUNCTION("""COMPUTED_VALUE"""),"")</f>
        <v/>
      </c>
      <c r="S813" s="1" t="str">
        <f>IFERROR(__xludf.DUMMYFUNCTION("""COMPUTED_VALUE"""),"")</f>
        <v/>
      </c>
      <c r="T813" s="1" t="str">
        <f>IFERROR(__xludf.DUMMYFUNCTION("""COMPUTED_VALUE"""),"")</f>
        <v/>
      </c>
      <c r="U813" s="1" t="str">
        <f>IFERROR(__xludf.DUMMYFUNCTION("""COMPUTED_VALUE"""),"")</f>
        <v/>
      </c>
      <c r="V813" s="1" t="str">
        <f>IFERROR(__xludf.DUMMYFUNCTION("""COMPUTED_VALUE"""),"137,000")</f>
        <v>137,000</v>
      </c>
      <c r="W813" s="1" t="str">
        <f>IFERROR(__xludf.DUMMYFUNCTION("""COMPUTED_VALUE"""),"")</f>
        <v/>
      </c>
      <c r="X813" s="1" t="str">
        <f>IFERROR(__xludf.DUMMYFUNCTION("""COMPUTED_VALUE"""),"")</f>
        <v/>
      </c>
      <c r="Y813" s="1" t="str">
        <f>IFERROR(__xludf.DUMMYFUNCTION("""COMPUTED_VALUE"""),"")</f>
        <v/>
      </c>
      <c r="Z813" s="1" t="str">
        <f>IFERROR(__xludf.DUMMYFUNCTION("""COMPUTED_VALUE"""),"Unknown")</f>
        <v>Unknown</v>
      </c>
      <c r="AA813" s="1" t="str">
        <f>IFERROR(__xludf.DUMMYFUNCTION("""COMPUTED_VALUE"""),"")</f>
        <v/>
      </c>
      <c r="AB813" s="1" t="str">
        <f>IFERROR(__xludf.DUMMYFUNCTION("""COMPUTED_VALUE"""),"")</f>
        <v/>
      </c>
      <c r="AC813" s="1" t="str">
        <f>IFERROR(__xludf.DUMMYFUNCTION("""COMPUTED_VALUE"""),"")</f>
        <v/>
      </c>
      <c r="AD813" s="1" t="str">
        <f>IFERROR(__xludf.DUMMYFUNCTION("""COMPUTED_VALUE"""),"")</f>
        <v/>
      </c>
      <c r="AE813" s="1" t="str">
        <f>IFERROR(__xludf.DUMMYFUNCTION("""COMPUTED_VALUE"""),"")</f>
        <v/>
      </c>
      <c r="AF813" s="1" t="str">
        <f>IFERROR(__xludf.DUMMYFUNCTION("""COMPUTED_VALUE"""),"")</f>
        <v/>
      </c>
      <c r="AG813" s="1" t="str">
        <f>IFERROR(__xludf.DUMMYFUNCTION("""COMPUTED_VALUE"""),"")</f>
        <v/>
      </c>
      <c r="AH813" s="1" t="str">
        <f>IFERROR(__xludf.DUMMYFUNCTION("""COMPUTED_VALUE"""),"Other")</f>
        <v>Other</v>
      </c>
      <c r="AI813" s="2" t="str">
        <f>IFERROR(__xludf.DUMMYFUNCTION("""COMPUTED_VALUE"""),"https://www.tierpoint.com/data-centers/pennsylvania/valley-forge/")</f>
        <v>https://www.tierpoint.com/data-centers/pennsylvania/valley-forge/</v>
      </c>
      <c r="AJ813" s="1" t="str">
        <f>IFERROR(__xludf.DUMMYFUNCTION("""COMPUTED_VALUE"""),"")</f>
        <v/>
      </c>
      <c r="AK813" s="1" t="str">
        <f>IFERROR(__xludf.DUMMYFUNCTION("""COMPUTED_VALUE"""),"")</f>
        <v/>
      </c>
      <c r="AL813" s="1" t="str">
        <f>IFERROR(__xludf.DUMMYFUNCTION("""COMPUTED_VALUE"""),"")</f>
        <v/>
      </c>
      <c r="AM813" s="1" t="str">
        <f>IFERROR(__xludf.DUMMYFUNCTION("""COMPUTED_VALUE"""),"")</f>
        <v/>
      </c>
      <c r="AN813" s="1" t="str">
        <f>IFERROR(__xludf.DUMMYFUNCTION("""COMPUTED_VALUE"""),"")</f>
        <v/>
      </c>
      <c r="AO813" s="1" t="str">
        <f>IFERROR(__xludf.DUMMYFUNCTION("""COMPUTED_VALUE"""),"")</f>
        <v/>
      </c>
      <c r="AP813" s="1" t="str">
        <f>IFERROR(__xludf.DUMMYFUNCTION("""COMPUTED_VALUE"""),"")</f>
        <v/>
      </c>
      <c r="AQ813" s="1" t="str">
        <f>IFERROR(__xludf.DUMMYFUNCTION("""COMPUTED_VALUE"""),"11/24/2025")</f>
        <v>11/24/2025</v>
      </c>
      <c r="AR813" s="1" t="str">
        <f>IFERROR(__xludf.DUMMYFUNCTION("""COMPUTED_VALUE"""),"11/24/2025")</f>
        <v>11/24/2025</v>
      </c>
    </row>
    <row r="814">
      <c r="A814" s="1" t="str">
        <f>IFERROR(__xludf.DUMMYFUNCTION("""COMPUTED_VALUE"""),"365 Data Centers Philadelphia Data Center")</f>
        <v>365 Data Centers Philadelphia Data Center</v>
      </c>
      <c r="B814" s="1" t="str">
        <f>IFERROR(__xludf.DUMMYFUNCTION("""COMPUTED_VALUE"""),"1500 Spring Garden Street")</f>
        <v>1500 Spring Garden Street</v>
      </c>
      <c r="C814" s="1" t="str">
        <f>IFERROR(__xludf.DUMMYFUNCTION("""COMPUTED_VALUE"""),"Philadelphia")</f>
        <v>Philadelphia</v>
      </c>
      <c r="D814" s="1" t="str">
        <f>IFERROR(__xludf.DUMMYFUNCTION("""COMPUTED_VALUE"""),"PA")</f>
        <v>PA</v>
      </c>
      <c r="E814" s="1" t="str">
        <f>IFERROR(__xludf.DUMMYFUNCTION("""COMPUTED_VALUE"""),"19103")</f>
        <v>19103</v>
      </c>
      <c r="F814" s="1" t="str">
        <f>IFERROR(__xludf.DUMMYFUNCTION("""COMPUTED_VALUE"""),"Philadelphia")</f>
        <v>Philadelphia</v>
      </c>
      <c r="G814" s="1" t="str">
        <f>IFERROR(__xludf.DUMMYFUNCTION("""COMPUTED_VALUE"""),"39.962574")</f>
        <v>39.962574</v>
      </c>
      <c r="H814" s="1" t="str">
        <f>IFERROR(__xludf.DUMMYFUNCTION("""COMPUTED_VALUE"""),"-75.16374")</f>
        <v>-75.16374</v>
      </c>
      <c r="I814" s="1" t="str">
        <f>IFERROR(__xludf.DUMMYFUNCTION("""COMPUTED_VALUE"""),"Operating")</f>
        <v>Operating</v>
      </c>
      <c r="J814" s="1" t="str">
        <f>IFERROR(__xludf.DUMMYFUNCTION("""COMPUTED_VALUE"""),"High")</f>
        <v>High</v>
      </c>
      <c r="K814" s="1" t="str">
        <f>IFERROR(__xludf.DUMMYFUNCTION("""COMPUTED_VALUE"""),"")</f>
        <v/>
      </c>
      <c r="L814" s="1" t="str">
        <f>IFERROR(__xludf.DUMMYFUNCTION("""COMPUTED_VALUE"""),"365 Data Centers")</f>
        <v>365 Data Centers</v>
      </c>
      <c r="M814" s="1" t="str">
        <f>IFERROR(__xludf.DUMMYFUNCTION("""COMPUTED_VALUE"""),"")</f>
        <v/>
      </c>
      <c r="N814" s="1" t="str">
        <f>IFERROR(__xludf.DUMMYFUNCTION("""COMPUTED_VALUE"""),"10")</f>
        <v>10</v>
      </c>
      <c r="O814" s="1" t="str">
        <f>IFERROR(__xludf.DUMMYFUNCTION("""COMPUTED_VALUE"""),"Small (0-10 MW)")</f>
        <v>Small (0-10 MW)</v>
      </c>
      <c r="P814" s="1" t="str">
        <f>IFERROR(__xludf.DUMMYFUNCTION("""COMPUTED_VALUE"""),"")</f>
        <v/>
      </c>
      <c r="Q814" s="1" t="str">
        <f>IFERROR(__xludf.DUMMYFUNCTION("""COMPUTED_VALUE"""),"")</f>
        <v/>
      </c>
      <c r="R814" s="1" t="str">
        <f>IFERROR(__xludf.DUMMYFUNCTION("""COMPUTED_VALUE"""),"")</f>
        <v/>
      </c>
      <c r="S814" s="1" t="str">
        <f>IFERROR(__xludf.DUMMYFUNCTION("""COMPUTED_VALUE"""),"")</f>
        <v/>
      </c>
      <c r="T814" s="1" t="str">
        <f>IFERROR(__xludf.DUMMYFUNCTION("""COMPUTED_VALUE"""),"")</f>
        <v/>
      </c>
      <c r="U814" s="1" t="str">
        <f>IFERROR(__xludf.DUMMYFUNCTION("""COMPUTED_VALUE"""),"")</f>
        <v/>
      </c>
      <c r="V814" s="1" t="str">
        <f>IFERROR(__xludf.DUMMYFUNCTION("""COMPUTED_VALUE"""),"135,100")</f>
        <v>135,100</v>
      </c>
      <c r="W814" s="1" t="str">
        <f>IFERROR(__xludf.DUMMYFUNCTION("""COMPUTED_VALUE"""),"")</f>
        <v/>
      </c>
      <c r="X814" s="1" t="str">
        <f>IFERROR(__xludf.DUMMYFUNCTION("""COMPUTED_VALUE"""),"")</f>
        <v/>
      </c>
      <c r="Y814" s="1" t="str">
        <f>IFERROR(__xludf.DUMMYFUNCTION("""COMPUTED_VALUE"""),"")</f>
        <v/>
      </c>
      <c r="Z814" s="1" t="str">
        <f>IFERROR(__xludf.DUMMYFUNCTION("""COMPUTED_VALUE"""),"Unknown")</f>
        <v>Unknown</v>
      </c>
      <c r="AA814" s="1" t="str">
        <f>IFERROR(__xludf.DUMMYFUNCTION("""COMPUTED_VALUE"""),"")</f>
        <v/>
      </c>
      <c r="AB814" s="1" t="str">
        <f>IFERROR(__xludf.DUMMYFUNCTION("""COMPUTED_VALUE"""),"")</f>
        <v/>
      </c>
      <c r="AC814" s="1" t="str">
        <f>IFERROR(__xludf.DUMMYFUNCTION("""COMPUTED_VALUE"""),"")</f>
        <v/>
      </c>
      <c r="AD814" s="1" t="str">
        <f>IFERROR(__xludf.DUMMYFUNCTION("""COMPUTED_VALUE"""),"")</f>
        <v/>
      </c>
      <c r="AE814" s="1" t="str">
        <f>IFERROR(__xludf.DUMMYFUNCTION("""COMPUTED_VALUE"""),"")</f>
        <v/>
      </c>
      <c r="AF814" s="1" t="str">
        <f>IFERROR(__xludf.DUMMYFUNCTION("""COMPUTED_VALUE"""),"")</f>
        <v/>
      </c>
      <c r="AG814" s="1" t="str">
        <f>IFERROR(__xludf.DUMMYFUNCTION("""COMPUTED_VALUE"""),"")</f>
        <v/>
      </c>
      <c r="AH814" s="1" t="str">
        <f>IFERROR(__xludf.DUMMYFUNCTION("""COMPUTED_VALUE"""),"Other")</f>
        <v>Other</v>
      </c>
      <c r="AI814" s="2" t="str">
        <f>IFERROR(__xludf.DUMMYFUNCTION("""COMPUTED_VALUE"""),"https://365datacenters.com/philadelphia-data-center-2/")</f>
        <v>https://365datacenters.com/philadelphia-data-center-2/</v>
      </c>
      <c r="AJ814" s="1" t="str">
        <f>IFERROR(__xludf.DUMMYFUNCTION("""COMPUTED_VALUE"""),"")</f>
        <v/>
      </c>
      <c r="AK814" s="1" t="str">
        <f>IFERROR(__xludf.DUMMYFUNCTION("""COMPUTED_VALUE"""),"")</f>
        <v/>
      </c>
      <c r="AL814" s="1" t="str">
        <f>IFERROR(__xludf.DUMMYFUNCTION("""COMPUTED_VALUE"""),"")</f>
        <v/>
      </c>
      <c r="AM814" s="1" t="str">
        <f>IFERROR(__xludf.DUMMYFUNCTION("""COMPUTED_VALUE"""),"")</f>
        <v/>
      </c>
      <c r="AN814" s="1" t="str">
        <f>IFERROR(__xludf.DUMMYFUNCTION("""COMPUTED_VALUE"""),"")</f>
        <v/>
      </c>
      <c r="AO814" s="1" t="str">
        <f>IFERROR(__xludf.DUMMYFUNCTION("""COMPUTED_VALUE"""),"")</f>
        <v/>
      </c>
      <c r="AP814" s="1" t="str">
        <f>IFERROR(__xludf.DUMMYFUNCTION("""COMPUTED_VALUE"""),"")</f>
        <v/>
      </c>
      <c r="AQ814" s="1" t="str">
        <f>IFERROR(__xludf.DUMMYFUNCTION("""COMPUTED_VALUE"""),"11/24/2025")</f>
        <v>11/24/2025</v>
      </c>
      <c r="AR814" s="1" t="str">
        <f>IFERROR(__xludf.DUMMYFUNCTION("""COMPUTED_VALUE"""),"11/24/2025")</f>
        <v>11/24/2025</v>
      </c>
    </row>
    <row r="815">
      <c r="A815" s="1" t="str">
        <f>IFERROR(__xludf.DUMMYFUNCTION("""COMPUTED_VALUE"""),"H5 Philadelphia Data Center")</f>
        <v>H5 Philadelphia Data Center</v>
      </c>
      <c r="B815" s="1" t="str">
        <f>IFERROR(__xludf.DUMMYFUNCTION("""COMPUTED_VALUE"""),"1500 Spring Garden St., Suite 520")</f>
        <v>1500 Spring Garden St., Suite 520</v>
      </c>
      <c r="C815" s="1" t="str">
        <f>IFERROR(__xludf.DUMMYFUNCTION("""COMPUTED_VALUE"""),"Philadelphia")</f>
        <v>Philadelphia</v>
      </c>
      <c r="D815" s="1" t="str">
        <f>IFERROR(__xludf.DUMMYFUNCTION("""COMPUTED_VALUE"""),"PA")</f>
        <v>PA</v>
      </c>
      <c r="E815" s="1" t="str">
        <f>IFERROR(__xludf.DUMMYFUNCTION("""COMPUTED_VALUE"""),"19103")</f>
        <v>19103</v>
      </c>
      <c r="F815" s="1" t="str">
        <f>IFERROR(__xludf.DUMMYFUNCTION("""COMPUTED_VALUE"""),"Philadelphia")</f>
        <v>Philadelphia</v>
      </c>
      <c r="G815" s="1" t="str">
        <f>IFERROR(__xludf.DUMMYFUNCTION("""COMPUTED_VALUE"""),"39.96254")</f>
        <v>39.96254</v>
      </c>
      <c r="H815" s="1" t="str">
        <f>IFERROR(__xludf.DUMMYFUNCTION("""COMPUTED_VALUE"""),"-75.16369")</f>
        <v>-75.16369</v>
      </c>
      <c r="I815" s="1" t="str">
        <f>IFERROR(__xludf.DUMMYFUNCTION("""COMPUTED_VALUE"""),"Operating")</f>
        <v>Operating</v>
      </c>
      <c r="J815" s="1" t="str">
        <f>IFERROR(__xludf.DUMMYFUNCTION("""COMPUTED_VALUE"""),"High")</f>
        <v>High</v>
      </c>
      <c r="K815" s="1" t="str">
        <f>IFERROR(__xludf.DUMMYFUNCTION("""COMPUTED_VALUE"""),"")</f>
        <v/>
      </c>
      <c r="L815" s="1" t="str">
        <f>IFERROR(__xludf.DUMMYFUNCTION("""COMPUTED_VALUE"""),"H5 Data Centers")</f>
        <v>H5 Data Centers</v>
      </c>
      <c r="M815" s="1" t="str">
        <f>IFERROR(__xludf.DUMMYFUNCTION("""COMPUTED_VALUE"""),"")</f>
        <v/>
      </c>
      <c r="N815" s="1" t="str">
        <f>IFERROR(__xludf.DUMMYFUNCTION("""COMPUTED_VALUE"""),"")</f>
        <v/>
      </c>
      <c r="O815" s="1" t="str">
        <f>IFERROR(__xludf.DUMMYFUNCTION("""COMPUTED_VALUE"""),"Unknown")</f>
        <v>Unknown</v>
      </c>
      <c r="P815" s="1" t="str">
        <f>IFERROR(__xludf.DUMMYFUNCTION("""COMPUTED_VALUE"""),"")</f>
        <v/>
      </c>
      <c r="Q815" s="1" t="str">
        <f>IFERROR(__xludf.DUMMYFUNCTION("""COMPUTED_VALUE"""),"")</f>
        <v/>
      </c>
      <c r="R815" s="1" t="str">
        <f>IFERROR(__xludf.DUMMYFUNCTION("""COMPUTED_VALUE"""),"")</f>
        <v/>
      </c>
      <c r="S815" s="1" t="str">
        <f>IFERROR(__xludf.DUMMYFUNCTION("""COMPUTED_VALUE"""),"")</f>
        <v/>
      </c>
      <c r="T815" s="1" t="str">
        <f>IFERROR(__xludf.DUMMYFUNCTION("""COMPUTED_VALUE"""),"")</f>
        <v/>
      </c>
      <c r="U815" s="1" t="str">
        <f>IFERROR(__xludf.DUMMYFUNCTION("""COMPUTED_VALUE"""),"")</f>
        <v/>
      </c>
      <c r="V815" s="1" t="str">
        <f>IFERROR(__xludf.DUMMYFUNCTION("""COMPUTED_VALUE"""),"72,000")</f>
        <v>72,000</v>
      </c>
      <c r="W815" s="1" t="str">
        <f>IFERROR(__xludf.DUMMYFUNCTION("""COMPUTED_VALUE"""),"")</f>
        <v/>
      </c>
      <c r="X815" s="1" t="str">
        <f>IFERROR(__xludf.DUMMYFUNCTION("""COMPUTED_VALUE"""),"")</f>
        <v/>
      </c>
      <c r="Y815" s="1" t="str">
        <f>IFERROR(__xludf.DUMMYFUNCTION("""COMPUTED_VALUE"""),"")</f>
        <v/>
      </c>
      <c r="Z815" s="1" t="str">
        <f>IFERROR(__xludf.DUMMYFUNCTION("""COMPUTED_VALUE"""),"Unknown")</f>
        <v>Unknown</v>
      </c>
      <c r="AA815" s="1" t="str">
        <f>IFERROR(__xludf.DUMMYFUNCTION("""COMPUTED_VALUE"""),"")</f>
        <v/>
      </c>
      <c r="AB815" s="1" t="str">
        <f>IFERROR(__xludf.DUMMYFUNCTION("""COMPUTED_VALUE"""),"")</f>
        <v/>
      </c>
      <c r="AC815" s="1" t="str">
        <f>IFERROR(__xludf.DUMMYFUNCTION("""COMPUTED_VALUE"""),"")</f>
        <v/>
      </c>
      <c r="AD815" s="1" t="str">
        <f>IFERROR(__xludf.DUMMYFUNCTION("""COMPUTED_VALUE"""),"")</f>
        <v/>
      </c>
      <c r="AE815" s="1" t="str">
        <f>IFERROR(__xludf.DUMMYFUNCTION("""COMPUTED_VALUE"""),"")</f>
        <v/>
      </c>
      <c r="AF815" s="1" t="str">
        <f>IFERROR(__xludf.DUMMYFUNCTION("""COMPUTED_VALUE"""),"")</f>
        <v/>
      </c>
      <c r="AG815" s="1" t="str">
        <f>IFERROR(__xludf.DUMMYFUNCTION("""COMPUTED_VALUE"""),"")</f>
        <v/>
      </c>
      <c r="AH815" s="1" t="str">
        <f>IFERROR(__xludf.DUMMYFUNCTION("""COMPUTED_VALUE"""),"Other")</f>
        <v>Other</v>
      </c>
      <c r="AI815" s="2" t="str">
        <f>IFERROR(__xludf.DUMMYFUNCTION("""COMPUTED_VALUE"""),"https://h5datacenters.com/philadelphia-data-center.html")</f>
        <v>https://h5datacenters.com/philadelphia-data-center.html</v>
      </c>
      <c r="AJ815" s="2" t="str">
        <f>IFERROR(__xludf.DUMMYFUNCTION("""COMPUTED_VALUE"""),"https://h5datacenters.com/slick_philadelphia.pdf")</f>
        <v>https://h5datacenters.com/slick_philadelphia.pdf</v>
      </c>
      <c r="AK815" s="1" t="str">
        <f>IFERROR(__xludf.DUMMYFUNCTION("""COMPUTED_VALUE"""),"")</f>
        <v/>
      </c>
      <c r="AL815" s="1" t="str">
        <f>IFERROR(__xludf.DUMMYFUNCTION("""COMPUTED_VALUE"""),"")</f>
        <v/>
      </c>
      <c r="AM815" s="1" t="str">
        <f>IFERROR(__xludf.DUMMYFUNCTION("""COMPUTED_VALUE"""),"")</f>
        <v/>
      </c>
      <c r="AN815" s="1" t="str">
        <f>IFERROR(__xludf.DUMMYFUNCTION("""COMPUTED_VALUE"""),"")</f>
        <v/>
      </c>
      <c r="AO815" s="1" t="str">
        <f>IFERROR(__xludf.DUMMYFUNCTION("""COMPUTED_VALUE"""),"")</f>
        <v/>
      </c>
      <c r="AP815" s="1" t="str">
        <f>IFERROR(__xludf.DUMMYFUNCTION("""COMPUTED_VALUE"""),"")</f>
        <v/>
      </c>
      <c r="AQ815" s="1" t="str">
        <f>IFERROR(__xludf.DUMMYFUNCTION("""COMPUTED_VALUE"""),"11/24/2025")</f>
        <v>11/24/2025</v>
      </c>
      <c r="AR815" s="1" t="str">
        <f>IFERROR(__xludf.DUMMYFUNCTION("""COMPUTED_VALUE"""),"11/24/2025")</f>
        <v>11/24/2025</v>
      </c>
    </row>
    <row r="816">
      <c r="A816" s="1" t="str">
        <f>IFERROR(__xludf.DUMMYFUNCTION("""COMPUTED_VALUE"""),"Lumen Philadelphia 1")</f>
        <v>Lumen Philadelphia 1</v>
      </c>
      <c r="B816" s="1" t="str">
        <f>IFERROR(__xludf.DUMMYFUNCTION("""COMPUTED_VALUE"""),"401 N Broad Street")</f>
        <v>401 N Broad Street</v>
      </c>
      <c r="C816" s="1" t="str">
        <f>IFERROR(__xludf.DUMMYFUNCTION("""COMPUTED_VALUE"""),"Philadelphia")</f>
        <v>Philadelphia</v>
      </c>
      <c r="D816" s="1" t="str">
        <f>IFERROR(__xludf.DUMMYFUNCTION("""COMPUTED_VALUE"""),"PA")</f>
        <v>PA</v>
      </c>
      <c r="E816" s="1" t="str">
        <f>IFERROR(__xludf.DUMMYFUNCTION("""COMPUTED_VALUE"""),"19108")</f>
        <v>19108</v>
      </c>
      <c r="F816" s="1" t="str">
        <f>IFERROR(__xludf.DUMMYFUNCTION("""COMPUTED_VALUE"""),"Philadelphia")</f>
        <v>Philadelphia</v>
      </c>
      <c r="G816" s="1" t="str">
        <f>IFERROR(__xludf.DUMMYFUNCTION("""COMPUTED_VALUE"""),"39.959843")</f>
        <v>39.959843</v>
      </c>
      <c r="H816" s="1" t="str">
        <f>IFERROR(__xludf.DUMMYFUNCTION("""COMPUTED_VALUE"""),"-75.160965")</f>
        <v>-75.160965</v>
      </c>
      <c r="I816" s="1" t="str">
        <f>IFERROR(__xludf.DUMMYFUNCTION("""COMPUTED_VALUE"""),"Operating")</f>
        <v>Operating</v>
      </c>
      <c r="J816" s="1" t="str">
        <f>IFERROR(__xludf.DUMMYFUNCTION("""COMPUTED_VALUE"""),"High")</f>
        <v>High</v>
      </c>
      <c r="K816" s="1" t="str">
        <f>IFERROR(__xludf.DUMMYFUNCTION("""COMPUTED_VALUE"""),"")</f>
        <v/>
      </c>
      <c r="L816" s="1" t="str">
        <f>IFERROR(__xludf.DUMMYFUNCTION("""COMPUTED_VALUE"""),"Lumen")</f>
        <v>Lumen</v>
      </c>
      <c r="M816" s="1" t="str">
        <f>IFERROR(__xludf.DUMMYFUNCTION("""COMPUTED_VALUE"""),"")</f>
        <v/>
      </c>
      <c r="N816" s="1" t="str">
        <f>IFERROR(__xludf.DUMMYFUNCTION("""COMPUTED_VALUE"""),"")</f>
        <v/>
      </c>
      <c r="O816" s="1" t="str">
        <f>IFERROR(__xludf.DUMMYFUNCTION("""COMPUTED_VALUE"""),"Unknown")</f>
        <v>Unknown</v>
      </c>
      <c r="P816" s="1" t="str">
        <f>IFERROR(__xludf.DUMMYFUNCTION("""COMPUTED_VALUE"""),"")</f>
        <v/>
      </c>
      <c r="Q816" s="1" t="str">
        <f>IFERROR(__xludf.DUMMYFUNCTION("""COMPUTED_VALUE"""),"")</f>
        <v/>
      </c>
      <c r="R816" s="1" t="str">
        <f>IFERROR(__xludf.DUMMYFUNCTION("""COMPUTED_VALUE"""),"")</f>
        <v/>
      </c>
      <c r="S816" s="1" t="str">
        <f>IFERROR(__xludf.DUMMYFUNCTION("""COMPUTED_VALUE"""),"")</f>
        <v/>
      </c>
      <c r="T816" s="1" t="str">
        <f>IFERROR(__xludf.DUMMYFUNCTION("""COMPUTED_VALUE"""),"")</f>
        <v/>
      </c>
      <c r="U816" s="1" t="str">
        <f>IFERROR(__xludf.DUMMYFUNCTION("""COMPUTED_VALUE"""),"")</f>
        <v/>
      </c>
      <c r="V816" s="1" t="str">
        <f>IFERROR(__xludf.DUMMYFUNCTION("""COMPUTED_VALUE"""),"")</f>
        <v/>
      </c>
      <c r="W816" s="1" t="str">
        <f>IFERROR(__xludf.DUMMYFUNCTION("""COMPUTED_VALUE"""),"")</f>
        <v/>
      </c>
      <c r="X816" s="1" t="str">
        <f>IFERROR(__xludf.DUMMYFUNCTION("""COMPUTED_VALUE"""),"")</f>
        <v/>
      </c>
      <c r="Y816" s="1" t="str">
        <f>IFERROR(__xludf.DUMMYFUNCTION("""COMPUTED_VALUE"""),"")</f>
        <v/>
      </c>
      <c r="Z816" s="1" t="str">
        <f>IFERROR(__xludf.DUMMYFUNCTION("""COMPUTED_VALUE"""),"Unknown")</f>
        <v>Unknown</v>
      </c>
      <c r="AA816" s="1" t="str">
        <f>IFERROR(__xludf.DUMMYFUNCTION("""COMPUTED_VALUE"""),"")</f>
        <v/>
      </c>
      <c r="AB816" s="1" t="str">
        <f>IFERROR(__xludf.DUMMYFUNCTION("""COMPUTED_VALUE"""),"")</f>
        <v/>
      </c>
      <c r="AC816" s="1" t="str">
        <f>IFERROR(__xludf.DUMMYFUNCTION("""COMPUTED_VALUE"""),"")</f>
        <v/>
      </c>
      <c r="AD816" s="1" t="str">
        <f>IFERROR(__xludf.DUMMYFUNCTION("""COMPUTED_VALUE"""),"")</f>
        <v/>
      </c>
      <c r="AE816" s="1" t="str">
        <f>IFERROR(__xludf.DUMMYFUNCTION("""COMPUTED_VALUE"""),"")</f>
        <v/>
      </c>
      <c r="AF816" s="1" t="str">
        <f>IFERROR(__xludf.DUMMYFUNCTION("""COMPUTED_VALUE"""),"")</f>
        <v/>
      </c>
      <c r="AG816" s="1" t="str">
        <f>IFERROR(__xludf.DUMMYFUNCTION("""COMPUTED_VALUE"""),"")</f>
        <v/>
      </c>
      <c r="AH816" s="1" t="str">
        <f>IFERROR(__xludf.DUMMYFUNCTION("""COMPUTED_VALUE"""),"Other")</f>
        <v>Other</v>
      </c>
      <c r="AI816" s="2" t="str">
        <f>IFERROR(__xludf.DUMMYFUNCTION("""COMPUTED_VALUE"""),"https://www.lumen.com/en-us/resources/network-maps.html")</f>
        <v>https://www.lumen.com/en-us/resources/network-maps.html</v>
      </c>
      <c r="AJ816" s="1" t="str">
        <f>IFERROR(__xludf.DUMMYFUNCTION("""COMPUTED_VALUE"""),"")</f>
        <v/>
      </c>
      <c r="AK816" s="1" t="str">
        <f>IFERROR(__xludf.DUMMYFUNCTION("""COMPUTED_VALUE"""),"")</f>
        <v/>
      </c>
      <c r="AL816" s="1" t="str">
        <f>IFERROR(__xludf.DUMMYFUNCTION("""COMPUTED_VALUE"""),"")</f>
        <v/>
      </c>
      <c r="AM816" s="1" t="str">
        <f>IFERROR(__xludf.DUMMYFUNCTION("""COMPUTED_VALUE"""),"")</f>
        <v/>
      </c>
      <c r="AN816" s="1" t="str">
        <f>IFERROR(__xludf.DUMMYFUNCTION("""COMPUTED_VALUE"""),"")</f>
        <v/>
      </c>
      <c r="AO816" s="1" t="str">
        <f>IFERROR(__xludf.DUMMYFUNCTION("""COMPUTED_VALUE"""),"")</f>
        <v/>
      </c>
      <c r="AP816" s="1" t="str">
        <f>IFERROR(__xludf.DUMMYFUNCTION("""COMPUTED_VALUE"""),"")</f>
        <v/>
      </c>
      <c r="AQ816" s="1" t="str">
        <f>IFERROR(__xludf.DUMMYFUNCTION("""COMPUTED_VALUE"""),"11/24/2025")</f>
        <v>11/24/2025</v>
      </c>
      <c r="AR816" s="1" t="str">
        <f>IFERROR(__xludf.DUMMYFUNCTION("""COMPUTED_VALUE"""),"11/24/2025")</f>
        <v>11/24/2025</v>
      </c>
    </row>
    <row r="817">
      <c r="A817" s="1" t="str">
        <f>IFERROR(__xludf.DUMMYFUNCTION("""COMPUTED_VALUE"""),"Lumen Philadelphia 2")</f>
        <v>Lumen Philadelphia 2</v>
      </c>
      <c r="B817" s="1" t="str">
        <f>IFERROR(__xludf.DUMMYFUNCTION("""COMPUTED_VALUE"""),"701 Market Street")</f>
        <v>701 Market Street</v>
      </c>
      <c r="C817" s="1" t="str">
        <f>IFERROR(__xludf.DUMMYFUNCTION("""COMPUTED_VALUE"""),"Philadelphia")</f>
        <v>Philadelphia</v>
      </c>
      <c r="D817" s="1" t="str">
        <f>IFERROR(__xludf.DUMMYFUNCTION("""COMPUTED_VALUE"""),"PA")</f>
        <v>PA</v>
      </c>
      <c r="E817" s="1" t="str">
        <f>IFERROR(__xludf.DUMMYFUNCTION("""COMPUTED_VALUE"""),"19106")</f>
        <v>19106</v>
      </c>
      <c r="F817" s="1" t="str">
        <f>IFERROR(__xludf.DUMMYFUNCTION("""COMPUTED_VALUE"""),"Philadelphia")</f>
        <v>Philadelphia</v>
      </c>
      <c r="G817" s="1" t="str">
        <f>IFERROR(__xludf.DUMMYFUNCTION("""COMPUTED_VALUE"""),"39.951508")</f>
        <v>39.951508</v>
      </c>
      <c r="H817" s="1" t="str">
        <f>IFERROR(__xludf.DUMMYFUNCTION("""COMPUTED_VALUE"""),"-75.15258")</f>
        <v>-75.15258</v>
      </c>
      <c r="I817" s="1" t="str">
        <f>IFERROR(__xludf.DUMMYFUNCTION("""COMPUTED_VALUE"""),"Operating")</f>
        <v>Operating</v>
      </c>
      <c r="J817" s="1" t="str">
        <f>IFERROR(__xludf.DUMMYFUNCTION("""COMPUTED_VALUE"""),"High")</f>
        <v>High</v>
      </c>
      <c r="K817" s="1" t="str">
        <f>IFERROR(__xludf.DUMMYFUNCTION("""COMPUTED_VALUE"""),"")</f>
        <v/>
      </c>
      <c r="L817" s="1" t="str">
        <f>IFERROR(__xludf.DUMMYFUNCTION("""COMPUTED_VALUE"""),"Lumen")</f>
        <v>Lumen</v>
      </c>
      <c r="M817" s="1" t="str">
        <f>IFERROR(__xludf.DUMMYFUNCTION("""COMPUTED_VALUE"""),"")</f>
        <v/>
      </c>
      <c r="N817" s="1" t="str">
        <f>IFERROR(__xludf.DUMMYFUNCTION("""COMPUTED_VALUE"""),"")</f>
        <v/>
      </c>
      <c r="O817" s="1" t="str">
        <f>IFERROR(__xludf.DUMMYFUNCTION("""COMPUTED_VALUE"""),"Unknown")</f>
        <v>Unknown</v>
      </c>
      <c r="P817" s="1" t="str">
        <f>IFERROR(__xludf.DUMMYFUNCTION("""COMPUTED_VALUE"""),"")</f>
        <v/>
      </c>
      <c r="Q817" s="1" t="str">
        <f>IFERROR(__xludf.DUMMYFUNCTION("""COMPUTED_VALUE"""),"")</f>
        <v/>
      </c>
      <c r="R817" s="1" t="str">
        <f>IFERROR(__xludf.DUMMYFUNCTION("""COMPUTED_VALUE"""),"")</f>
        <v/>
      </c>
      <c r="S817" s="1" t="str">
        <f>IFERROR(__xludf.DUMMYFUNCTION("""COMPUTED_VALUE"""),"")</f>
        <v/>
      </c>
      <c r="T817" s="1" t="str">
        <f>IFERROR(__xludf.DUMMYFUNCTION("""COMPUTED_VALUE"""),"")</f>
        <v/>
      </c>
      <c r="U817" s="1" t="str">
        <f>IFERROR(__xludf.DUMMYFUNCTION("""COMPUTED_VALUE"""),"")</f>
        <v/>
      </c>
      <c r="V817" s="1" t="str">
        <f>IFERROR(__xludf.DUMMYFUNCTION("""COMPUTED_VALUE"""),"")</f>
        <v/>
      </c>
      <c r="W817" s="1" t="str">
        <f>IFERROR(__xludf.DUMMYFUNCTION("""COMPUTED_VALUE"""),"")</f>
        <v/>
      </c>
      <c r="X817" s="1" t="str">
        <f>IFERROR(__xludf.DUMMYFUNCTION("""COMPUTED_VALUE"""),"")</f>
        <v/>
      </c>
      <c r="Y817" s="1" t="str">
        <f>IFERROR(__xludf.DUMMYFUNCTION("""COMPUTED_VALUE"""),"")</f>
        <v/>
      </c>
      <c r="Z817" s="1" t="str">
        <f>IFERROR(__xludf.DUMMYFUNCTION("""COMPUTED_VALUE"""),"Unknown")</f>
        <v>Unknown</v>
      </c>
      <c r="AA817" s="1" t="str">
        <f>IFERROR(__xludf.DUMMYFUNCTION("""COMPUTED_VALUE"""),"")</f>
        <v/>
      </c>
      <c r="AB817" s="1" t="str">
        <f>IFERROR(__xludf.DUMMYFUNCTION("""COMPUTED_VALUE"""),"")</f>
        <v/>
      </c>
      <c r="AC817" s="1" t="str">
        <f>IFERROR(__xludf.DUMMYFUNCTION("""COMPUTED_VALUE"""),"")</f>
        <v/>
      </c>
      <c r="AD817" s="1" t="str">
        <f>IFERROR(__xludf.DUMMYFUNCTION("""COMPUTED_VALUE"""),"")</f>
        <v/>
      </c>
      <c r="AE817" s="1" t="str">
        <f>IFERROR(__xludf.DUMMYFUNCTION("""COMPUTED_VALUE"""),"")</f>
        <v/>
      </c>
      <c r="AF817" s="1" t="str">
        <f>IFERROR(__xludf.DUMMYFUNCTION("""COMPUTED_VALUE"""),"")</f>
        <v/>
      </c>
      <c r="AG817" s="1" t="str">
        <f>IFERROR(__xludf.DUMMYFUNCTION("""COMPUTED_VALUE"""),"")</f>
        <v/>
      </c>
      <c r="AH817" s="1" t="str">
        <f>IFERROR(__xludf.DUMMYFUNCTION("""COMPUTED_VALUE"""),"Other")</f>
        <v>Other</v>
      </c>
      <c r="AI817" s="2" t="str">
        <f>IFERROR(__xludf.DUMMYFUNCTION("""COMPUTED_VALUE"""),"https://www.lumen.com/en-us/resources/network-maps.html")</f>
        <v>https://www.lumen.com/en-us/resources/network-maps.html</v>
      </c>
      <c r="AJ817" s="1" t="str">
        <f>IFERROR(__xludf.DUMMYFUNCTION("""COMPUTED_VALUE"""),"")</f>
        <v/>
      </c>
      <c r="AK817" s="1" t="str">
        <f>IFERROR(__xludf.DUMMYFUNCTION("""COMPUTED_VALUE"""),"")</f>
        <v/>
      </c>
      <c r="AL817" s="1" t="str">
        <f>IFERROR(__xludf.DUMMYFUNCTION("""COMPUTED_VALUE"""),"")</f>
        <v/>
      </c>
      <c r="AM817" s="1" t="str">
        <f>IFERROR(__xludf.DUMMYFUNCTION("""COMPUTED_VALUE"""),"")</f>
        <v/>
      </c>
      <c r="AN817" s="1" t="str">
        <f>IFERROR(__xludf.DUMMYFUNCTION("""COMPUTED_VALUE"""),"")</f>
        <v/>
      </c>
      <c r="AO817" s="1" t="str">
        <f>IFERROR(__xludf.DUMMYFUNCTION("""COMPUTED_VALUE"""),"")</f>
        <v/>
      </c>
      <c r="AP817" s="1" t="str">
        <f>IFERROR(__xludf.DUMMYFUNCTION("""COMPUTED_VALUE"""),"")</f>
        <v/>
      </c>
      <c r="AQ817" s="1" t="str">
        <f>IFERROR(__xludf.DUMMYFUNCTION("""COMPUTED_VALUE"""),"11/24/2025")</f>
        <v>11/24/2025</v>
      </c>
      <c r="AR817" s="1" t="str">
        <f>IFERROR(__xludf.DUMMYFUNCTION("""COMPUTED_VALUE"""),"11/24/2025")</f>
        <v>11/24/2025</v>
      </c>
    </row>
    <row r="818">
      <c r="A818" s="1" t="str">
        <f>IFERROR(__xludf.DUMMYFUNCTION("""COMPUTED_VALUE"""),"Lumen Philadelphia 3")</f>
        <v>Lumen Philadelphia 3</v>
      </c>
      <c r="B818" s="1" t="str">
        <f>IFERROR(__xludf.DUMMYFUNCTION("""COMPUTED_VALUE"""),"3020 Market Street")</f>
        <v>3020 Market Street</v>
      </c>
      <c r="C818" s="1" t="str">
        <f>IFERROR(__xludf.DUMMYFUNCTION("""COMPUTED_VALUE"""),"Philadelphia")</f>
        <v>Philadelphia</v>
      </c>
      <c r="D818" s="1" t="str">
        <f>IFERROR(__xludf.DUMMYFUNCTION("""COMPUTED_VALUE"""),"PA")</f>
        <v>PA</v>
      </c>
      <c r="E818" s="1" t="str">
        <f>IFERROR(__xludf.DUMMYFUNCTION("""COMPUTED_VALUE"""),"19104")</f>
        <v>19104</v>
      </c>
      <c r="F818" s="1" t="str">
        <f>IFERROR(__xludf.DUMMYFUNCTION("""COMPUTED_VALUE"""),"Philadelphia")</f>
        <v>Philadelphia</v>
      </c>
      <c r="G818" s="1" t="str">
        <f>IFERROR(__xludf.DUMMYFUNCTION("""COMPUTED_VALUE"""),"39.95495")</f>
        <v>39.95495</v>
      </c>
      <c r="H818" s="1" t="str">
        <f>IFERROR(__xludf.DUMMYFUNCTION("""COMPUTED_VALUE"""),"-75.1846")</f>
        <v>-75.1846</v>
      </c>
      <c r="I818" s="1" t="str">
        <f>IFERROR(__xludf.DUMMYFUNCTION("""COMPUTED_VALUE"""),"Operating")</f>
        <v>Operating</v>
      </c>
      <c r="J818" s="1" t="str">
        <f>IFERROR(__xludf.DUMMYFUNCTION("""COMPUTED_VALUE"""),"High")</f>
        <v>High</v>
      </c>
      <c r="K818" s="1" t="str">
        <f>IFERROR(__xludf.DUMMYFUNCTION("""COMPUTED_VALUE"""),"")</f>
        <v/>
      </c>
      <c r="L818" s="1" t="str">
        <f>IFERROR(__xludf.DUMMYFUNCTION("""COMPUTED_VALUE"""),"Lumen")</f>
        <v>Lumen</v>
      </c>
      <c r="M818" s="1" t="str">
        <f>IFERROR(__xludf.DUMMYFUNCTION("""COMPUTED_VALUE"""),"")</f>
        <v/>
      </c>
      <c r="N818" s="1" t="str">
        <f>IFERROR(__xludf.DUMMYFUNCTION("""COMPUTED_VALUE"""),"")</f>
        <v/>
      </c>
      <c r="O818" s="1" t="str">
        <f>IFERROR(__xludf.DUMMYFUNCTION("""COMPUTED_VALUE"""),"Unknown")</f>
        <v>Unknown</v>
      </c>
      <c r="P818" s="1" t="str">
        <f>IFERROR(__xludf.DUMMYFUNCTION("""COMPUTED_VALUE"""),"")</f>
        <v/>
      </c>
      <c r="Q818" s="1" t="str">
        <f>IFERROR(__xludf.DUMMYFUNCTION("""COMPUTED_VALUE"""),"")</f>
        <v/>
      </c>
      <c r="R818" s="1" t="str">
        <f>IFERROR(__xludf.DUMMYFUNCTION("""COMPUTED_VALUE"""),"")</f>
        <v/>
      </c>
      <c r="S818" s="1" t="str">
        <f>IFERROR(__xludf.DUMMYFUNCTION("""COMPUTED_VALUE"""),"")</f>
        <v/>
      </c>
      <c r="T818" s="1" t="str">
        <f>IFERROR(__xludf.DUMMYFUNCTION("""COMPUTED_VALUE"""),"")</f>
        <v/>
      </c>
      <c r="U818" s="1" t="str">
        <f>IFERROR(__xludf.DUMMYFUNCTION("""COMPUTED_VALUE"""),"")</f>
        <v/>
      </c>
      <c r="V818" s="1" t="str">
        <f>IFERROR(__xludf.DUMMYFUNCTION("""COMPUTED_VALUE"""),"")</f>
        <v/>
      </c>
      <c r="W818" s="1" t="str">
        <f>IFERROR(__xludf.DUMMYFUNCTION("""COMPUTED_VALUE"""),"")</f>
        <v/>
      </c>
      <c r="X818" s="1" t="str">
        <f>IFERROR(__xludf.DUMMYFUNCTION("""COMPUTED_VALUE"""),"")</f>
        <v/>
      </c>
      <c r="Y818" s="1" t="str">
        <f>IFERROR(__xludf.DUMMYFUNCTION("""COMPUTED_VALUE"""),"")</f>
        <v/>
      </c>
      <c r="Z818" s="1" t="str">
        <f>IFERROR(__xludf.DUMMYFUNCTION("""COMPUTED_VALUE"""),"Unknown")</f>
        <v>Unknown</v>
      </c>
      <c r="AA818" s="1" t="str">
        <f>IFERROR(__xludf.DUMMYFUNCTION("""COMPUTED_VALUE"""),"")</f>
        <v/>
      </c>
      <c r="AB818" s="1" t="str">
        <f>IFERROR(__xludf.DUMMYFUNCTION("""COMPUTED_VALUE"""),"")</f>
        <v/>
      </c>
      <c r="AC818" s="1" t="str">
        <f>IFERROR(__xludf.DUMMYFUNCTION("""COMPUTED_VALUE"""),"")</f>
        <v/>
      </c>
      <c r="AD818" s="1" t="str">
        <f>IFERROR(__xludf.DUMMYFUNCTION("""COMPUTED_VALUE"""),"")</f>
        <v/>
      </c>
      <c r="AE818" s="1" t="str">
        <f>IFERROR(__xludf.DUMMYFUNCTION("""COMPUTED_VALUE"""),"")</f>
        <v/>
      </c>
      <c r="AF818" s="1" t="str">
        <f>IFERROR(__xludf.DUMMYFUNCTION("""COMPUTED_VALUE"""),"")</f>
        <v/>
      </c>
      <c r="AG818" s="1" t="str">
        <f>IFERROR(__xludf.DUMMYFUNCTION("""COMPUTED_VALUE"""),"")</f>
        <v/>
      </c>
      <c r="AH818" s="1" t="str">
        <f>IFERROR(__xludf.DUMMYFUNCTION("""COMPUTED_VALUE"""),"Other")</f>
        <v>Other</v>
      </c>
      <c r="AI818" s="2" t="str">
        <f>IFERROR(__xludf.DUMMYFUNCTION("""COMPUTED_VALUE"""),"https://www.lumen.com/en-us/resources/network-maps.html")</f>
        <v>https://www.lumen.com/en-us/resources/network-maps.html</v>
      </c>
      <c r="AJ818" s="1" t="str">
        <f>IFERROR(__xludf.DUMMYFUNCTION("""COMPUTED_VALUE"""),"")</f>
        <v/>
      </c>
      <c r="AK818" s="1" t="str">
        <f>IFERROR(__xludf.DUMMYFUNCTION("""COMPUTED_VALUE"""),"")</f>
        <v/>
      </c>
      <c r="AL818" s="1" t="str">
        <f>IFERROR(__xludf.DUMMYFUNCTION("""COMPUTED_VALUE"""),"")</f>
        <v/>
      </c>
      <c r="AM818" s="1" t="str">
        <f>IFERROR(__xludf.DUMMYFUNCTION("""COMPUTED_VALUE"""),"")</f>
        <v/>
      </c>
      <c r="AN818" s="1" t="str">
        <f>IFERROR(__xludf.DUMMYFUNCTION("""COMPUTED_VALUE"""),"")</f>
        <v/>
      </c>
      <c r="AO818" s="1" t="str">
        <f>IFERROR(__xludf.DUMMYFUNCTION("""COMPUTED_VALUE"""),"")</f>
        <v/>
      </c>
      <c r="AP818" s="1" t="str">
        <f>IFERROR(__xludf.DUMMYFUNCTION("""COMPUTED_VALUE"""),"")</f>
        <v/>
      </c>
      <c r="AQ818" s="1" t="str">
        <f>IFERROR(__xludf.DUMMYFUNCTION("""COMPUTED_VALUE"""),"11/24/2025")</f>
        <v>11/24/2025</v>
      </c>
      <c r="AR818" s="1" t="str">
        <f>IFERROR(__xludf.DUMMYFUNCTION("""COMPUTED_VALUE"""),"11/24/2025")</f>
        <v>11/24/2025</v>
      </c>
    </row>
    <row r="819">
      <c r="A819" s="1" t="str">
        <f>IFERROR(__xludf.DUMMYFUNCTION("""COMPUTED_VALUE"""),"Lumen Philadelphia 4")</f>
        <v>Lumen Philadelphia 4</v>
      </c>
      <c r="B819" s="1" t="str">
        <f>IFERROR(__xludf.DUMMYFUNCTION("""COMPUTED_VALUE"""),"2401 Locust St")</f>
        <v>2401 Locust St</v>
      </c>
      <c r="C819" s="1" t="str">
        <f>IFERROR(__xludf.DUMMYFUNCTION("""COMPUTED_VALUE"""),"Philadelphia")</f>
        <v>Philadelphia</v>
      </c>
      <c r="D819" s="1" t="str">
        <f>IFERROR(__xludf.DUMMYFUNCTION("""COMPUTED_VALUE"""),"PA")</f>
        <v>PA</v>
      </c>
      <c r="E819" s="1" t="str">
        <f>IFERROR(__xludf.DUMMYFUNCTION("""COMPUTED_VALUE"""),"19103")</f>
        <v>19103</v>
      </c>
      <c r="F819" s="1" t="str">
        <f>IFERROR(__xludf.DUMMYFUNCTION("""COMPUTED_VALUE"""),"Philadelphia")</f>
        <v>Philadelphia</v>
      </c>
      <c r="G819" s="1" t="str">
        <f>IFERROR(__xludf.DUMMYFUNCTION("""COMPUTED_VALUE"""),"39.95055")</f>
        <v>39.95055</v>
      </c>
      <c r="H819" s="1" t="str">
        <f>IFERROR(__xludf.DUMMYFUNCTION("""COMPUTED_VALUE"""),"-75.18009")</f>
        <v>-75.18009</v>
      </c>
      <c r="I819" s="1" t="str">
        <f>IFERROR(__xludf.DUMMYFUNCTION("""COMPUTED_VALUE"""),"Operating")</f>
        <v>Operating</v>
      </c>
      <c r="J819" s="1" t="str">
        <f>IFERROR(__xludf.DUMMYFUNCTION("""COMPUTED_VALUE"""),"High")</f>
        <v>High</v>
      </c>
      <c r="K819" s="1" t="str">
        <f>IFERROR(__xludf.DUMMYFUNCTION("""COMPUTED_VALUE"""),"")</f>
        <v/>
      </c>
      <c r="L819" s="1" t="str">
        <f>IFERROR(__xludf.DUMMYFUNCTION("""COMPUTED_VALUE"""),"Lumen")</f>
        <v>Lumen</v>
      </c>
      <c r="M819" s="1" t="str">
        <f>IFERROR(__xludf.DUMMYFUNCTION("""COMPUTED_VALUE"""),"")</f>
        <v/>
      </c>
      <c r="N819" s="1" t="str">
        <f>IFERROR(__xludf.DUMMYFUNCTION("""COMPUTED_VALUE"""),"")</f>
        <v/>
      </c>
      <c r="O819" s="1" t="str">
        <f>IFERROR(__xludf.DUMMYFUNCTION("""COMPUTED_VALUE"""),"Unknown")</f>
        <v>Unknown</v>
      </c>
      <c r="P819" s="1" t="str">
        <f>IFERROR(__xludf.DUMMYFUNCTION("""COMPUTED_VALUE"""),"")</f>
        <v/>
      </c>
      <c r="Q819" s="1" t="str">
        <f>IFERROR(__xludf.DUMMYFUNCTION("""COMPUTED_VALUE"""),"")</f>
        <v/>
      </c>
      <c r="R819" s="1" t="str">
        <f>IFERROR(__xludf.DUMMYFUNCTION("""COMPUTED_VALUE"""),"")</f>
        <v/>
      </c>
      <c r="S819" s="1" t="str">
        <f>IFERROR(__xludf.DUMMYFUNCTION("""COMPUTED_VALUE"""),"")</f>
        <v/>
      </c>
      <c r="T819" s="1" t="str">
        <f>IFERROR(__xludf.DUMMYFUNCTION("""COMPUTED_VALUE"""),"")</f>
        <v/>
      </c>
      <c r="U819" s="1" t="str">
        <f>IFERROR(__xludf.DUMMYFUNCTION("""COMPUTED_VALUE"""),"")</f>
        <v/>
      </c>
      <c r="V819" s="1" t="str">
        <f>IFERROR(__xludf.DUMMYFUNCTION("""COMPUTED_VALUE"""),"")</f>
        <v/>
      </c>
      <c r="W819" s="1" t="str">
        <f>IFERROR(__xludf.DUMMYFUNCTION("""COMPUTED_VALUE"""),"")</f>
        <v/>
      </c>
      <c r="X819" s="1" t="str">
        <f>IFERROR(__xludf.DUMMYFUNCTION("""COMPUTED_VALUE"""),"")</f>
        <v/>
      </c>
      <c r="Y819" s="1" t="str">
        <f>IFERROR(__xludf.DUMMYFUNCTION("""COMPUTED_VALUE"""),"")</f>
        <v/>
      </c>
      <c r="Z819" s="1" t="str">
        <f>IFERROR(__xludf.DUMMYFUNCTION("""COMPUTED_VALUE"""),"Unknown")</f>
        <v>Unknown</v>
      </c>
      <c r="AA819" s="1" t="str">
        <f>IFERROR(__xludf.DUMMYFUNCTION("""COMPUTED_VALUE"""),"")</f>
        <v/>
      </c>
      <c r="AB819" s="1" t="str">
        <f>IFERROR(__xludf.DUMMYFUNCTION("""COMPUTED_VALUE"""),"")</f>
        <v/>
      </c>
      <c r="AC819" s="1" t="str">
        <f>IFERROR(__xludf.DUMMYFUNCTION("""COMPUTED_VALUE"""),"")</f>
        <v/>
      </c>
      <c r="AD819" s="1" t="str">
        <f>IFERROR(__xludf.DUMMYFUNCTION("""COMPUTED_VALUE"""),"")</f>
        <v/>
      </c>
      <c r="AE819" s="1" t="str">
        <f>IFERROR(__xludf.DUMMYFUNCTION("""COMPUTED_VALUE"""),"")</f>
        <v/>
      </c>
      <c r="AF819" s="1" t="str">
        <f>IFERROR(__xludf.DUMMYFUNCTION("""COMPUTED_VALUE"""),"")</f>
        <v/>
      </c>
      <c r="AG819" s="1" t="str">
        <f>IFERROR(__xludf.DUMMYFUNCTION("""COMPUTED_VALUE"""),"")</f>
        <v/>
      </c>
      <c r="AH819" s="1" t="str">
        <f>IFERROR(__xludf.DUMMYFUNCTION("""COMPUTED_VALUE"""),"Other")</f>
        <v>Other</v>
      </c>
      <c r="AI819" s="2" t="str">
        <f>IFERROR(__xludf.DUMMYFUNCTION("""COMPUTED_VALUE"""),"https://www.lumen.com/en-us/resources/network-maps.html")</f>
        <v>https://www.lumen.com/en-us/resources/network-maps.html</v>
      </c>
      <c r="AJ819" s="1" t="str">
        <f>IFERROR(__xludf.DUMMYFUNCTION("""COMPUTED_VALUE"""),"")</f>
        <v/>
      </c>
      <c r="AK819" s="1" t="str">
        <f>IFERROR(__xludf.DUMMYFUNCTION("""COMPUTED_VALUE"""),"")</f>
        <v/>
      </c>
      <c r="AL819" s="1" t="str">
        <f>IFERROR(__xludf.DUMMYFUNCTION("""COMPUTED_VALUE"""),"")</f>
        <v/>
      </c>
      <c r="AM819" s="1" t="str">
        <f>IFERROR(__xludf.DUMMYFUNCTION("""COMPUTED_VALUE"""),"")</f>
        <v/>
      </c>
      <c r="AN819" s="1" t="str">
        <f>IFERROR(__xludf.DUMMYFUNCTION("""COMPUTED_VALUE"""),"")</f>
        <v/>
      </c>
      <c r="AO819" s="1" t="str">
        <f>IFERROR(__xludf.DUMMYFUNCTION("""COMPUTED_VALUE"""),"")</f>
        <v/>
      </c>
      <c r="AP819" s="1" t="str">
        <f>IFERROR(__xludf.DUMMYFUNCTION("""COMPUTED_VALUE"""),"")</f>
        <v/>
      </c>
      <c r="AQ819" s="1" t="str">
        <f>IFERROR(__xludf.DUMMYFUNCTION("""COMPUTED_VALUE"""),"11/24/2025")</f>
        <v>11/24/2025</v>
      </c>
      <c r="AR819" s="1" t="str">
        <f>IFERROR(__xludf.DUMMYFUNCTION("""COMPUTED_VALUE"""),"11/24/2025")</f>
        <v>11/24/2025</v>
      </c>
    </row>
    <row r="820">
      <c r="A820" s="1" t="str">
        <f>IFERROR(__xludf.DUMMYFUNCTION("""COMPUTED_VALUE"""),"Netrality Philadelphia Data Center")</f>
        <v>Netrality Philadelphia Data Center</v>
      </c>
      <c r="B820" s="1" t="str">
        <f>IFERROR(__xludf.DUMMYFUNCTION("""COMPUTED_VALUE"""),"401 N Broad Street Suite 990")</f>
        <v>401 N Broad Street Suite 990</v>
      </c>
      <c r="C820" s="1" t="str">
        <f>IFERROR(__xludf.DUMMYFUNCTION("""COMPUTED_VALUE"""),"Philadelphia")</f>
        <v>Philadelphia</v>
      </c>
      <c r="D820" s="1" t="str">
        <f>IFERROR(__xludf.DUMMYFUNCTION("""COMPUTED_VALUE"""),"PA")</f>
        <v>PA</v>
      </c>
      <c r="E820" s="1" t="str">
        <f>IFERROR(__xludf.DUMMYFUNCTION("""COMPUTED_VALUE"""),"19108")</f>
        <v>19108</v>
      </c>
      <c r="F820" s="1" t="str">
        <f>IFERROR(__xludf.DUMMYFUNCTION("""COMPUTED_VALUE"""),"Philadelphia")</f>
        <v>Philadelphia</v>
      </c>
      <c r="G820" s="1" t="str">
        <f>IFERROR(__xludf.DUMMYFUNCTION("""COMPUTED_VALUE"""),"39.960106")</f>
        <v>39.960106</v>
      </c>
      <c r="H820" s="1" t="str">
        <f>IFERROR(__xludf.DUMMYFUNCTION("""COMPUTED_VALUE"""),"-75.161545")</f>
        <v>-75.161545</v>
      </c>
      <c r="I820" s="1" t="str">
        <f>IFERROR(__xludf.DUMMYFUNCTION("""COMPUTED_VALUE"""),"Operating")</f>
        <v>Operating</v>
      </c>
      <c r="J820" s="1" t="str">
        <f>IFERROR(__xludf.DUMMYFUNCTION("""COMPUTED_VALUE"""),"High")</f>
        <v>High</v>
      </c>
      <c r="K820" s="1" t="str">
        <f>IFERROR(__xludf.DUMMYFUNCTION("""COMPUTED_VALUE"""),"")</f>
        <v/>
      </c>
      <c r="L820" s="1" t="str">
        <f>IFERROR(__xludf.DUMMYFUNCTION("""COMPUTED_VALUE"""),"Netrality")</f>
        <v>Netrality</v>
      </c>
      <c r="M820" s="1" t="str">
        <f>IFERROR(__xludf.DUMMYFUNCTION("""COMPUTED_VALUE"""),"")</f>
        <v/>
      </c>
      <c r="N820" s="1" t="str">
        <f>IFERROR(__xludf.DUMMYFUNCTION("""COMPUTED_VALUE"""),"")</f>
        <v/>
      </c>
      <c r="O820" s="1" t="str">
        <f>IFERROR(__xludf.DUMMYFUNCTION("""COMPUTED_VALUE"""),"Unknown")</f>
        <v>Unknown</v>
      </c>
      <c r="P820" s="1" t="str">
        <f>IFERROR(__xludf.DUMMYFUNCTION("""COMPUTED_VALUE"""),"")</f>
        <v/>
      </c>
      <c r="Q820" s="1" t="str">
        <f>IFERROR(__xludf.DUMMYFUNCTION("""COMPUTED_VALUE"""),"")</f>
        <v/>
      </c>
      <c r="R820" s="1" t="str">
        <f>IFERROR(__xludf.DUMMYFUNCTION("""COMPUTED_VALUE"""),"")</f>
        <v/>
      </c>
      <c r="S820" s="1" t="str">
        <f>IFERROR(__xludf.DUMMYFUNCTION("""COMPUTED_VALUE"""),"")</f>
        <v/>
      </c>
      <c r="T820" s="1" t="str">
        <f>IFERROR(__xludf.DUMMYFUNCTION("""COMPUTED_VALUE"""),"Water")</f>
        <v>Water</v>
      </c>
      <c r="U820" s="1" t="str">
        <f>IFERROR(__xludf.DUMMYFUNCTION("""COMPUTED_VALUE"""),"Open loop")</f>
        <v>Open loop</v>
      </c>
      <c r="V820" s="1" t="str">
        <f>IFERROR(__xludf.DUMMYFUNCTION("""COMPUTED_VALUE"""),"")</f>
        <v/>
      </c>
      <c r="W820" s="1" t="str">
        <f>IFERROR(__xludf.DUMMYFUNCTION("""COMPUTED_VALUE"""),"")</f>
        <v/>
      </c>
      <c r="X820" s="1" t="str">
        <f>IFERROR(__xludf.DUMMYFUNCTION("""COMPUTED_VALUE"""),"")</f>
        <v/>
      </c>
      <c r="Y820" s="1" t="str">
        <f>IFERROR(__xludf.DUMMYFUNCTION("""COMPUTED_VALUE"""),"")</f>
        <v/>
      </c>
      <c r="Z820" s="1" t="str">
        <f>IFERROR(__xludf.DUMMYFUNCTION("""COMPUTED_VALUE"""),"Unknown")</f>
        <v>Unknown</v>
      </c>
      <c r="AA820" s="1" t="str">
        <f>IFERROR(__xludf.DUMMYFUNCTION("""COMPUTED_VALUE"""),"")</f>
        <v/>
      </c>
      <c r="AB820" s="1" t="str">
        <f>IFERROR(__xludf.DUMMYFUNCTION("""COMPUTED_VALUE"""),"")</f>
        <v/>
      </c>
      <c r="AC820" s="1" t="str">
        <f>IFERROR(__xludf.DUMMYFUNCTION("""COMPUTED_VALUE"""),"")</f>
        <v/>
      </c>
      <c r="AD820" s="1" t="str">
        <f>IFERROR(__xludf.DUMMYFUNCTION("""COMPUTED_VALUE"""),"")</f>
        <v/>
      </c>
      <c r="AE820" s="1" t="str">
        <f>IFERROR(__xludf.DUMMYFUNCTION("""COMPUTED_VALUE"""),"")</f>
        <v/>
      </c>
      <c r="AF820" s="1" t="str">
        <f>IFERROR(__xludf.DUMMYFUNCTION("""COMPUTED_VALUE"""),"")</f>
        <v/>
      </c>
      <c r="AG820" s="1" t="str">
        <f>IFERROR(__xludf.DUMMYFUNCTION("""COMPUTED_VALUE"""),"")</f>
        <v/>
      </c>
      <c r="AH820" s="1" t="str">
        <f>IFERROR(__xludf.DUMMYFUNCTION("""COMPUTED_VALUE"""),"Other")</f>
        <v>Other</v>
      </c>
      <c r="AI820" s="2" t="str">
        <f>IFERROR(__xludf.DUMMYFUNCTION("""COMPUTED_VALUE"""),"https://netrality.com/data-center/401-north-broad-philadelphia/")</f>
        <v>https://netrality.com/data-center/401-north-broad-philadelphia/</v>
      </c>
      <c r="AJ820" s="1" t="str">
        <f>IFERROR(__xludf.DUMMYFUNCTION("""COMPUTED_VALUE"""),"")</f>
        <v/>
      </c>
      <c r="AK820" s="1" t="str">
        <f>IFERROR(__xludf.DUMMYFUNCTION("""COMPUTED_VALUE"""),"")</f>
        <v/>
      </c>
      <c r="AL820" s="1" t="str">
        <f>IFERROR(__xludf.DUMMYFUNCTION("""COMPUTED_VALUE"""),"")</f>
        <v/>
      </c>
      <c r="AM820" s="1" t="str">
        <f>IFERROR(__xludf.DUMMYFUNCTION("""COMPUTED_VALUE"""),"")</f>
        <v/>
      </c>
      <c r="AN820" s="1" t="str">
        <f>IFERROR(__xludf.DUMMYFUNCTION("""COMPUTED_VALUE"""),"")</f>
        <v/>
      </c>
      <c r="AO820" s="1" t="str">
        <f>IFERROR(__xludf.DUMMYFUNCTION("""COMPUTED_VALUE"""),"")</f>
        <v/>
      </c>
      <c r="AP820" s="1" t="str">
        <f>IFERROR(__xludf.DUMMYFUNCTION("""COMPUTED_VALUE"""),"")</f>
        <v/>
      </c>
      <c r="AQ820" s="1" t="str">
        <f>IFERROR(__xludf.DUMMYFUNCTION("""COMPUTED_VALUE"""),"11/24/2025")</f>
        <v>11/24/2025</v>
      </c>
      <c r="AR820" s="1" t="str">
        <f>IFERROR(__xludf.DUMMYFUNCTION("""COMPUTED_VALUE"""),"11/24/2025")</f>
        <v>11/24/2025</v>
      </c>
    </row>
    <row r="821">
      <c r="A821" s="1" t="str">
        <f>IFERROR(__xludf.DUMMYFUNCTION("""COMPUTED_VALUE"""),"Philadelphia IBX Data Center ")</f>
        <v>Philadelphia IBX Data Center </v>
      </c>
      <c r="B821" s="1" t="str">
        <f>IFERROR(__xludf.DUMMYFUNCTION("""COMPUTED_VALUE"""),"401 N Broad Street, Suite 990")</f>
        <v>401 N Broad Street, Suite 990</v>
      </c>
      <c r="C821" s="1" t="str">
        <f>IFERROR(__xludf.DUMMYFUNCTION("""COMPUTED_VALUE"""),"Philadelphia")</f>
        <v>Philadelphia</v>
      </c>
      <c r="D821" s="1" t="str">
        <f>IFERROR(__xludf.DUMMYFUNCTION("""COMPUTED_VALUE"""),"PA")</f>
        <v>PA</v>
      </c>
      <c r="E821" s="1" t="str">
        <f>IFERROR(__xludf.DUMMYFUNCTION("""COMPUTED_VALUE"""),"19108")</f>
        <v>19108</v>
      </c>
      <c r="F821" s="1" t="str">
        <f>IFERROR(__xludf.DUMMYFUNCTION("""COMPUTED_VALUE"""),"Philadelphia")</f>
        <v>Philadelphia</v>
      </c>
      <c r="G821" s="1" t="str">
        <f>IFERROR(__xludf.DUMMYFUNCTION("""COMPUTED_VALUE"""),"39.959885")</f>
        <v>39.959885</v>
      </c>
      <c r="H821" s="1" t="str">
        <f>IFERROR(__xludf.DUMMYFUNCTION("""COMPUTED_VALUE"""),"-75.16155")</f>
        <v>-75.16155</v>
      </c>
      <c r="I821" s="1" t="str">
        <f>IFERROR(__xludf.DUMMYFUNCTION("""COMPUTED_VALUE"""),"Operating")</f>
        <v>Operating</v>
      </c>
      <c r="J821" s="1" t="str">
        <f>IFERROR(__xludf.DUMMYFUNCTION("""COMPUTED_VALUE"""),"High")</f>
        <v>High</v>
      </c>
      <c r="K821" s="1" t="str">
        <f>IFERROR(__xludf.DUMMYFUNCTION("""COMPUTED_VALUE"""),"")</f>
        <v/>
      </c>
      <c r="L821" s="1" t="str">
        <f>IFERROR(__xludf.DUMMYFUNCTION("""COMPUTED_VALUE"""),"Equinix")</f>
        <v>Equinix</v>
      </c>
      <c r="M821" s="1" t="str">
        <f>IFERROR(__xludf.DUMMYFUNCTION("""COMPUTED_VALUE"""),"")</f>
        <v/>
      </c>
      <c r="N821" s="1" t="str">
        <f>IFERROR(__xludf.DUMMYFUNCTION("""COMPUTED_VALUE"""),"")</f>
        <v/>
      </c>
      <c r="O821" s="1" t="str">
        <f>IFERROR(__xludf.DUMMYFUNCTION("""COMPUTED_VALUE"""),"Unknown")</f>
        <v>Unknown</v>
      </c>
      <c r="P821" s="1" t="str">
        <f>IFERROR(__xludf.DUMMYFUNCTION("""COMPUTED_VALUE"""),"")</f>
        <v/>
      </c>
      <c r="Q821" s="1" t="str">
        <f>IFERROR(__xludf.DUMMYFUNCTION("""COMPUTED_VALUE"""),"")</f>
        <v/>
      </c>
      <c r="R821" s="1" t="str">
        <f>IFERROR(__xludf.DUMMYFUNCTION("""COMPUTED_VALUE"""),"")</f>
        <v/>
      </c>
      <c r="S821" s="1" t="str">
        <f>IFERROR(__xludf.DUMMYFUNCTION("""COMPUTED_VALUE"""),"")</f>
        <v/>
      </c>
      <c r="T821" s="1" t="str">
        <f>IFERROR(__xludf.DUMMYFUNCTION("""COMPUTED_VALUE"""),"")</f>
        <v/>
      </c>
      <c r="U821" s="1" t="str">
        <f>IFERROR(__xludf.DUMMYFUNCTION("""COMPUTED_VALUE"""),"")</f>
        <v/>
      </c>
      <c r="V821" s="1" t="str">
        <f>IFERROR(__xludf.DUMMYFUNCTION("""COMPUTED_VALUE"""),"")</f>
        <v/>
      </c>
      <c r="W821" s="1" t="str">
        <f>IFERROR(__xludf.DUMMYFUNCTION("""COMPUTED_VALUE"""),"")</f>
        <v/>
      </c>
      <c r="X821" s="1" t="str">
        <f>IFERROR(__xludf.DUMMYFUNCTION("""COMPUTED_VALUE"""),"")</f>
        <v/>
      </c>
      <c r="Y821" s="1" t="str">
        <f>IFERROR(__xludf.DUMMYFUNCTION("""COMPUTED_VALUE"""),"")</f>
        <v/>
      </c>
      <c r="Z821" s="1" t="str">
        <f>IFERROR(__xludf.DUMMYFUNCTION("""COMPUTED_VALUE"""),"Unknown")</f>
        <v>Unknown</v>
      </c>
      <c r="AA821" s="1" t="str">
        <f>IFERROR(__xludf.DUMMYFUNCTION("""COMPUTED_VALUE"""),"")</f>
        <v/>
      </c>
      <c r="AB821" s="1" t="str">
        <f>IFERROR(__xludf.DUMMYFUNCTION("""COMPUTED_VALUE"""),"")</f>
        <v/>
      </c>
      <c r="AC821" s="1" t="str">
        <f>IFERROR(__xludf.DUMMYFUNCTION("""COMPUTED_VALUE"""),"")</f>
        <v/>
      </c>
      <c r="AD821" s="1" t="str">
        <f>IFERROR(__xludf.DUMMYFUNCTION("""COMPUTED_VALUE"""),"")</f>
        <v/>
      </c>
      <c r="AE821" s="1" t="str">
        <f>IFERROR(__xludf.DUMMYFUNCTION("""COMPUTED_VALUE"""),"")</f>
        <v/>
      </c>
      <c r="AF821" s="1" t="str">
        <f>IFERROR(__xludf.DUMMYFUNCTION("""COMPUTED_VALUE"""),"")</f>
        <v/>
      </c>
      <c r="AG821" s="1" t="str">
        <f>IFERROR(__xludf.DUMMYFUNCTION("""COMPUTED_VALUE"""),"")</f>
        <v/>
      </c>
      <c r="AH821" s="1" t="str">
        <f>IFERROR(__xludf.DUMMYFUNCTION("""COMPUTED_VALUE"""),"Other")</f>
        <v>Other</v>
      </c>
      <c r="AI821" s="2" t="str">
        <f>IFERROR(__xludf.DUMMYFUNCTION("""COMPUTED_VALUE"""),"https://www.equinix.com/data-centers/americas-colocation/united-states-colocation/philadelphia-data-centers/ph1")</f>
        <v>https://www.equinix.com/data-centers/americas-colocation/united-states-colocation/philadelphia-data-centers/ph1</v>
      </c>
      <c r="AJ821" s="1" t="str">
        <f>IFERROR(__xludf.DUMMYFUNCTION("""COMPUTED_VALUE"""),"")</f>
        <v/>
      </c>
      <c r="AK821" s="1" t="str">
        <f>IFERROR(__xludf.DUMMYFUNCTION("""COMPUTED_VALUE"""),"")</f>
        <v/>
      </c>
      <c r="AL821" s="1" t="str">
        <f>IFERROR(__xludf.DUMMYFUNCTION("""COMPUTED_VALUE"""),"")</f>
        <v/>
      </c>
      <c r="AM821" s="1" t="str">
        <f>IFERROR(__xludf.DUMMYFUNCTION("""COMPUTED_VALUE"""),"")</f>
        <v/>
      </c>
      <c r="AN821" s="1" t="str">
        <f>IFERROR(__xludf.DUMMYFUNCTION("""COMPUTED_VALUE"""),"")</f>
        <v/>
      </c>
      <c r="AO821" s="1" t="str">
        <f>IFERROR(__xludf.DUMMYFUNCTION("""COMPUTED_VALUE"""),"")</f>
        <v/>
      </c>
      <c r="AP821" s="1" t="str">
        <f>IFERROR(__xludf.DUMMYFUNCTION("""COMPUTED_VALUE"""),"")</f>
        <v/>
      </c>
      <c r="AQ821" s="1" t="str">
        <f>IFERROR(__xludf.DUMMYFUNCTION("""COMPUTED_VALUE"""),"11/24/2025")</f>
        <v>11/24/2025</v>
      </c>
      <c r="AR821" s="1" t="str">
        <f>IFERROR(__xludf.DUMMYFUNCTION("""COMPUTED_VALUE"""),"11/24/2025")</f>
        <v>11/24/2025</v>
      </c>
    </row>
    <row r="822">
      <c r="A822" s="1" t="str">
        <f>IFERROR(__xludf.DUMMYFUNCTION("""COMPUTED_VALUE"""),"Philadelphia Vanguard Data Center")</f>
        <v>Philadelphia Vanguard Data Center</v>
      </c>
      <c r="B822" s="1" t="str">
        <f>IFERROR(__xludf.DUMMYFUNCTION("""COMPUTED_VALUE"""),"2000 Kubach Rd")</f>
        <v>2000 Kubach Rd</v>
      </c>
      <c r="C822" s="1" t="str">
        <f>IFERROR(__xludf.DUMMYFUNCTION("""COMPUTED_VALUE"""),"Philadelphia")</f>
        <v>Philadelphia</v>
      </c>
      <c r="D822" s="1" t="str">
        <f>IFERROR(__xludf.DUMMYFUNCTION("""COMPUTED_VALUE"""),"PA")</f>
        <v>PA</v>
      </c>
      <c r="E822" s="1" t="str">
        <f>IFERROR(__xludf.DUMMYFUNCTION("""COMPUTED_VALUE"""),"19116")</f>
        <v>19116</v>
      </c>
      <c r="F822" s="1" t="str">
        <f>IFERROR(__xludf.DUMMYFUNCTION("""COMPUTED_VALUE"""),"Philadelphia")</f>
        <v>Philadelphia</v>
      </c>
      <c r="G822" s="1" t="str">
        <f>IFERROR(__xludf.DUMMYFUNCTION("""COMPUTED_VALUE"""),"40.116432")</f>
        <v>40.116432</v>
      </c>
      <c r="H822" s="1" t="str">
        <f>IFERROR(__xludf.DUMMYFUNCTION("""COMPUTED_VALUE"""),"-75.00086")</f>
        <v>-75.00086</v>
      </c>
      <c r="I822" s="1" t="str">
        <f>IFERROR(__xludf.DUMMYFUNCTION("""COMPUTED_VALUE"""),"Operating")</f>
        <v>Operating</v>
      </c>
      <c r="J822" s="1" t="str">
        <f>IFERROR(__xludf.DUMMYFUNCTION("""COMPUTED_VALUE"""),"High")</f>
        <v>High</v>
      </c>
      <c r="K822" s="1" t="str">
        <f>IFERROR(__xludf.DUMMYFUNCTION("""COMPUTED_VALUE"""),"")</f>
        <v/>
      </c>
      <c r="L822" s="1" t="str">
        <f>IFERROR(__xludf.DUMMYFUNCTION("""COMPUTED_VALUE"""),"The Vanguard Group")</f>
        <v>The Vanguard Group</v>
      </c>
      <c r="M822" s="1" t="str">
        <f>IFERROR(__xludf.DUMMYFUNCTION("""COMPUTED_VALUE"""),"")</f>
        <v/>
      </c>
      <c r="N822" s="1" t="str">
        <f>IFERROR(__xludf.DUMMYFUNCTION("""COMPUTED_VALUE"""),"")</f>
        <v/>
      </c>
      <c r="O822" s="1" t="str">
        <f>IFERROR(__xludf.DUMMYFUNCTION("""COMPUTED_VALUE"""),"Unknown")</f>
        <v>Unknown</v>
      </c>
      <c r="P822" s="1" t="str">
        <f>IFERROR(__xludf.DUMMYFUNCTION("""COMPUTED_VALUE"""),"")</f>
        <v/>
      </c>
      <c r="Q822" s="1" t="str">
        <f>IFERROR(__xludf.DUMMYFUNCTION("""COMPUTED_VALUE"""),"")</f>
        <v/>
      </c>
      <c r="R822" s="1" t="str">
        <f>IFERROR(__xludf.DUMMYFUNCTION("""COMPUTED_VALUE"""),"")</f>
        <v/>
      </c>
      <c r="S822" s="1" t="str">
        <f>IFERROR(__xludf.DUMMYFUNCTION("""COMPUTED_VALUE"""),"")</f>
        <v/>
      </c>
      <c r="T822" s="1" t="str">
        <f>IFERROR(__xludf.DUMMYFUNCTION("""COMPUTED_VALUE"""),"")</f>
        <v/>
      </c>
      <c r="U822" s="1" t="str">
        <f>IFERROR(__xludf.DUMMYFUNCTION("""COMPUTED_VALUE"""),"")</f>
        <v/>
      </c>
      <c r="V822" s="1" t="str">
        <f>IFERROR(__xludf.DUMMYFUNCTION("""COMPUTED_VALUE"""),"121,000")</f>
        <v>121,000</v>
      </c>
      <c r="W822" s="1" t="str">
        <f>IFERROR(__xludf.DUMMYFUNCTION("""COMPUTED_VALUE"""),"")</f>
        <v/>
      </c>
      <c r="X822" s="1" t="str">
        <f>IFERROR(__xludf.DUMMYFUNCTION("""COMPUTED_VALUE"""),"")</f>
        <v/>
      </c>
      <c r="Y822" s="1" t="str">
        <f>IFERROR(__xludf.DUMMYFUNCTION("""COMPUTED_VALUE"""),"")</f>
        <v/>
      </c>
      <c r="Z822" s="1" t="str">
        <f>IFERROR(__xludf.DUMMYFUNCTION("""COMPUTED_VALUE"""),"Unknown")</f>
        <v>Unknown</v>
      </c>
      <c r="AA822" s="1" t="str">
        <f>IFERROR(__xludf.DUMMYFUNCTION("""COMPUTED_VALUE"""),"")</f>
        <v/>
      </c>
      <c r="AB822" s="1" t="str">
        <f>IFERROR(__xludf.DUMMYFUNCTION("""COMPUTED_VALUE"""),"")</f>
        <v/>
      </c>
      <c r="AC822" s="1" t="str">
        <f>IFERROR(__xludf.DUMMYFUNCTION("""COMPUTED_VALUE"""),"")</f>
        <v/>
      </c>
      <c r="AD822" s="1" t="str">
        <f>IFERROR(__xludf.DUMMYFUNCTION("""COMPUTED_VALUE"""),"")</f>
        <v/>
      </c>
      <c r="AE822" s="1" t="str">
        <f>IFERROR(__xludf.DUMMYFUNCTION("""COMPUTED_VALUE"""),"")</f>
        <v/>
      </c>
      <c r="AF822" s="1" t="str">
        <f>IFERROR(__xludf.DUMMYFUNCTION("""COMPUTED_VALUE"""),"")</f>
        <v/>
      </c>
      <c r="AG822" s="1" t="str">
        <f>IFERROR(__xludf.DUMMYFUNCTION("""COMPUTED_VALUE"""),"")</f>
        <v/>
      </c>
      <c r="AH822" s="1" t="str">
        <f>IFERROR(__xludf.DUMMYFUNCTION("""COMPUTED_VALUE"""),"Other")</f>
        <v>Other</v>
      </c>
      <c r="AI822" s="2" t="str">
        <f>IFERROR(__xludf.DUMMYFUNCTION("""COMPUTED_VALUE"""),"http://property.compstak.com/2000-Kubach-Road-Philadelphia/p/72300")</f>
        <v>http://property.compstak.com/2000-Kubach-Road-Philadelphia/p/72300</v>
      </c>
      <c r="AJ822" s="1" t="str">
        <f>IFERROR(__xludf.DUMMYFUNCTION("""COMPUTED_VALUE"""),"")</f>
        <v/>
      </c>
      <c r="AK822" s="1" t="str">
        <f>IFERROR(__xludf.DUMMYFUNCTION("""COMPUTED_VALUE"""),"")</f>
        <v/>
      </c>
      <c r="AL822" s="1" t="str">
        <f>IFERROR(__xludf.DUMMYFUNCTION("""COMPUTED_VALUE"""),"")</f>
        <v/>
      </c>
      <c r="AM822" s="1" t="str">
        <f>IFERROR(__xludf.DUMMYFUNCTION("""COMPUTED_VALUE"""),"")</f>
        <v/>
      </c>
      <c r="AN822" s="1" t="str">
        <f>IFERROR(__xludf.DUMMYFUNCTION("""COMPUTED_VALUE"""),"")</f>
        <v/>
      </c>
      <c r="AO822" s="1" t="str">
        <f>IFERROR(__xludf.DUMMYFUNCTION("""COMPUTED_VALUE"""),"")</f>
        <v/>
      </c>
      <c r="AP822" s="1" t="str">
        <f>IFERROR(__xludf.DUMMYFUNCTION("""COMPUTED_VALUE"""),"")</f>
        <v/>
      </c>
      <c r="AQ822" s="1" t="str">
        <f>IFERROR(__xludf.DUMMYFUNCTION("""COMPUTED_VALUE"""),"11/24/2025")</f>
        <v>11/24/2025</v>
      </c>
      <c r="AR822" s="1" t="str">
        <f>IFERROR(__xludf.DUMMYFUNCTION("""COMPUTED_VALUE"""),"11/24/2025")</f>
        <v>11/24/2025</v>
      </c>
    </row>
    <row r="823">
      <c r="A823" s="1" t="str">
        <f>IFERROR(__xludf.DUMMYFUNCTION("""COMPUTED_VALUE"""),"Tierpoint Philadelphia Navy Yard Data Center")</f>
        <v>Tierpoint Philadelphia Navy Yard Data Center</v>
      </c>
      <c r="B823" s="1" t="str">
        <f>IFERROR(__xludf.DUMMYFUNCTION("""COMPUTED_VALUE"""),"4775 League Island Blvd")</f>
        <v>4775 League Island Blvd</v>
      </c>
      <c r="C823" s="1" t="str">
        <f>IFERROR(__xludf.DUMMYFUNCTION("""COMPUTED_VALUE"""),"Philadelphia")</f>
        <v>Philadelphia</v>
      </c>
      <c r="D823" s="1" t="str">
        <f>IFERROR(__xludf.DUMMYFUNCTION("""COMPUTED_VALUE"""),"PA")</f>
        <v>PA</v>
      </c>
      <c r="E823" s="1" t="str">
        <f>IFERROR(__xludf.DUMMYFUNCTION("""COMPUTED_VALUE"""),"19112")</f>
        <v>19112</v>
      </c>
      <c r="F823" s="1" t="str">
        <f>IFERROR(__xludf.DUMMYFUNCTION("""COMPUTED_VALUE"""),"Philadelphia")</f>
        <v>Philadelphia</v>
      </c>
      <c r="G823" s="1" t="str">
        <f>IFERROR(__xludf.DUMMYFUNCTION("""COMPUTED_VALUE"""),"39.892517")</f>
        <v>39.892517</v>
      </c>
      <c r="H823" s="1" t="str">
        <f>IFERROR(__xludf.DUMMYFUNCTION("""COMPUTED_VALUE"""),"-75.166374")</f>
        <v>-75.166374</v>
      </c>
      <c r="I823" s="1" t="str">
        <f>IFERROR(__xludf.DUMMYFUNCTION("""COMPUTED_VALUE"""),"Operating")</f>
        <v>Operating</v>
      </c>
      <c r="J823" s="1" t="str">
        <f>IFERROR(__xludf.DUMMYFUNCTION("""COMPUTED_VALUE"""),"High")</f>
        <v>High</v>
      </c>
      <c r="K823" s="1" t="str">
        <f>IFERROR(__xludf.DUMMYFUNCTION("""COMPUTED_VALUE"""),"")</f>
        <v/>
      </c>
      <c r="L823" s="1" t="str">
        <f>IFERROR(__xludf.DUMMYFUNCTION("""COMPUTED_VALUE"""),"Tierpoint")</f>
        <v>Tierpoint</v>
      </c>
      <c r="M823" s="1" t="str">
        <f>IFERROR(__xludf.DUMMYFUNCTION("""COMPUTED_VALUE"""),"")</f>
        <v/>
      </c>
      <c r="N823" s="1" t="str">
        <f>IFERROR(__xludf.DUMMYFUNCTION("""COMPUTED_VALUE"""),"")</f>
        <v/>
      </c>
      <c r="O823" s="1" t="str">
        <f>IFERROR(__xludf.DUMMYFUNCTION("""COMPUTED_VALUE"""),"Unknown")</f>
        <v>Unknown</v>
      </c>
      <c r="P823" s="1" t="str">
        <f>IFERROR(__xludf.DUMMYFUNCTION("""COMPUTED_VALUE"""),"")</f>
        <v/>
      </c>
      <c r="Q823" s="1" t="str">
        <f>IFERROR(__xludf.DUMMYFUNCTION("""COMPUTED_VALUE"""),"")</f>
        <v/>
      </c>
      <c r="R823" s="1" t="str">
        <f>IFERROR(__xludf.DUMMYFUNCTION("""COMPUTED_VALUE"""),"")</f>
        <v/>
      </c>
      <c r="S823" s="1" t="str">
        <f>IFERROR(__xludf.DUMMYFUNCTION("""COMPUTED_VALUE"""),"")</f>
        <v/>
      </c>
      <c r="T823" s="1" t="str">
        <f>IFERROR(__xludf.DUMMYFUNCTION("""COMPUTED_VALUE"""),"")</f>
        <v/>
      </c>
      <c r="U823" s="1" t="str">
        <f>IFERROR(__xludf.DUMMYFUNCTION("""COMPUTED_VALUE"""),"")</f>
        <v/>
      </c>
      <c r="V823" s="1" t="str">
        <f>IFERROR(__xludf.DUMMYFUNCTION("""COMPUTED_VALUE"""),"25,000")</f>
        <v>25,000</v>
      </c>
      <c r="W823" s="1" t="str">
        <f>IFERROR(__xludf.DUMMYFUNCTION("""COMPUTED_VALUE"""),"")</f>
        <v/>
      </c>
      <c r="X823" s="1" t="str">
        <f>IFERROR(__xludf.DUMMYFUNCTION("""COMPUTED_VALUE"""),"")</f>
        <v/>
      </c>
      <c r="Y823" s="1" t="str">
        <f>IFERROR(__xludf.DUMMYFUNCTION("""COMPUTED_VALUE"""),"")</f>
        <v/>
      </c>
      <c r="Z823" s="1" t="str">
        <f>IFERROR(__xludf.DUMMYFUNCTION("""COMPUTED_VALUE"""),"Unknown")</f>
        <v>Unknown</v>
      </c>
      <c r="AA823" s="1" t="str">
        <f>IFERROR(__xludf.DUMMYFUNCTION("""COMPUTED_VALUE"""),"")</f>
        <v/>
      </c>
      <c r="AB823" s="1" t="str">
        <f>IFERROR(__xludf.DUMMYFUNCTION("""COMPUTED_VALUE"""),"")</f>
        <v/>
      </c>
      <c r="AC823" s="1" t="str">
        <f>IFERROR(__xludf.DUMMYFUNCTION("""COMPUTED_VALUE"""),"")</f>
        <v/>
      </c>
      <c r="AD823" s="1" t="str">
        <f>IFERROR(__xludf.DUMMYFUNCTION("""COMPUTED_VALUE"""),"")</f>
        <v/>
      </c>
      <c r="AE823" s="1" t="str">
        <f>IFERROR(__xludf.DUMMYFUNCTION("""COMPUTED_VALUE"""),"")</f>
        <v/>
      </c>
      <c r="AF823" s="1" t="str">
        <f>IFERROR(__xludf.DUMMYFUNCTION("""COMPUTED_VALUE"""),"")</f>
        <v/>
      </c>
      <c r="AG823" s="1" t="str">
        <f>IFERROR(__xludf.DUMMYFUNCTION("""COMPUTED_VALUE"""),"")</f>
        <v/>
      </c>
      <c r="AH823" s="1" t="str">
        <f>IFERROR(__xludf.DUMMYFUNCTION("""COMPUTED_VALUE"""),"Other")</f>
        <v>Other</v>
      </c>
      <c r="AI823" s="2" t="str">
        <f>IFERROR(__xludf.DUMMYFUNCTION("""COMPUTED_VALUE"""),"http://tierpoint.com/data-centers/pennsylvania/philadelphia/#PHI")</f>
        <v>http://tierpoint.com/data-centers/pennsylvania/philadelphia/#PHI</v>
      </c>
      <c r="AJ823" s="1" t="str">
        <f>IFERROR(__xludf.DUMMYFUNCTION("""COMPUTED_VALUE"""),"")</f>
        <v/>
      </c>
      <c r="AK823" s="1" t="str">
        <f>IFERROR(__xludf.DUMMYFUNCTION("""COMPUTED_VALUE"""),"")</f>
        <v/>
      </c>
      <c r="AL823" s="1" t="str">
        <f>IFERROR(__xludf.DUMMYFUNCTION("""COMPUTED_VALUE"""),"")</f>
        <v/>
      </c>
      <c r="AM823" s="1" t="str">
        <f>IFERROR(__xludf.DUMMYFUNCTION("""COMPUTED_VALUE"""),"")</f>
        <v/>
      </c>
      <c r="AN823" s="1" t="str">
        <f>IFERROR(__xludf.DUMMYFUNCTION("""COMPUTED_VALUE"""),"")</f>
        <v/>
      </c>
      <c r="AO823" s="1" t="str">
        <f>IFERROR(__xludf.DUMMYFUNCTION("""COMPUTED_VALUE"""),"")</f>
        <v/>
      </c>
      <c r="AP823" s="1" t="str">
        <f>IFERROR(__xludf.DUMMYFUNCTION("""COMPUTED_VALUE"""),"")</f>
        <v/>
      </c>
      <c r="AQ823" s="1" t="str">
        <f>IFERROR(__xludf.DUMMYFUNCTION("""COMPUTED_VALUE"""),"11/24/2025")</f>
        <v>11/24/2025</v>
      </c>
      <c r="AR823" s="1" t="str">
        <f>IFERROR(__xludf.DUMMYFUNCTION("""COMPUTED_VALUE"""),"11/24/2025")</f>
        <v>11/24/2025</v>
      </c>
    </row>
    <row r="824">
      <c r="A824" s="1" t="str">
        <f>IFERROR(__xludf.DUMMYFUNCTION("""COMPUTED_VALUE"""),"365 Data Centers Philadelphia Data Center")</f>
        <v>365 Data Centers Philadelphia Data Center</v>
      </c>
      <c r="B824" s="1" t="str">
        <f>IFERROR(__xludf.DUMMYFUNCTION("""COMPUTED_VALUE"""),"3701 Market Street")</f>
        <v>3701 Market Street</v>
      </c>
      <c r="C824" s="1" t="str">
        <f>IFERROR(__xludf.DUMMYFUNCTION("""COMPUTED_VALUE"""),"Philadephia")</f>
        <v>Philadephia</v>
      </c>
      <c r="D824" s="1" t="str">
        <f>IFERROR(__xludf.DUMMYFUNCTION("""COMPUTED_VALUE"""),"PA")</f>
        <v>PA</v>
      </c>
      <c r="E824" s="1" t="str">
        <f>IFERROR(__xludf.DUMMYFUNCTION("""COMPUTED_VALUE"""),"19104")</f>
        <v>19104</v>
      </c>
      <c r="F824" s="1" t="str">
        <f>IFERROR(__xludf.DUMMYFUNCTION("""COMPUTED_VALUE"""),"Philadelphia")</f>
        <v>Philadelphia</v>
      </c>
      <c r="G824" s="1" t="str">
        <f>IFERROR(__xludf.DUMMYFUNCTION("""COMPUTED_VALUE"""),"39.956966")</f>
        <v>39.956966</v>
      </c>
      <c r="H824" s="1" t="str">
        <f>IFERROR(__xludf.DUMMYFUNCTION("""COMPUTED_VALUE"""),"-75.19623")</f>
        <v>-75.19623</v>
      </c>
      <c r="I824" s="1" t="str">
        <f>IFERROR(__xludf.DUMMYFUNCTION("""COMPUTED_VALUE"""),"Operating")</f>
        <v>Operating</v>
      </c>
      <c r="J824" s="1" t="str">
        <f>IFERROR(__xludf.DUMMYFUNCTION("""COMPUTED_VALUE"""),"High")</f>
        <v>High</v>
      </c>
      <c r="K824" s="1" t="str">
        <f>IFERROR(__xludf.DUMMYFUNCTION("""COMPUTED_VALUE"""),"")</f>
        <v/>
      </c>
      <c r="L824" s="1" t="str">
        <f>IFERROR(__xludf.DUMMYFUNCTION("""COMPUTED_VALUE"""),"365 Data Centers")</f>
        <v>365 Data Centers</v>
      </c>
      <c r="M824" s="1" t="str">
        <f>IFERROR(__xludf.DUMMYFUNCTION("""COMPUTED_VALUE"""),"")</f>
        <v/>
      </c>
      <c r="N824" s="1" t="str">
        <f>IFERROR(__xludf.DUMMYFUNCTION("""COMPUTED_VALUE"""),"")</f>
        <v/>
      </c>
      <c r="O824" s="1" t="str">
        <f>IFERROR(__xludf.DUMMYFUNCTION("""COMPUTED_VALUE"""),"Unknown")</f>
        <v>Unknown</v>
      </c>
      <c r="P824" s="1" t="str">
        <f>IFERROR(__xludf.DUMMYFUNCTION("""COMPUTED_VALUE"""),"")</f>
        <v/>
      </c>
      <c r="Q824" s="1" t="str">
        <f>IFERROR(__xludf.DUMMYFUNCTION("""COMPUTED_VALUE"""),"")</f>
        <v/>
      </c>
      <c r="R824" s="1" t="str">
        <f>IFERROR(__xludf.DUMMYFUNCTION("""COMPUTED_VALUE"""),"")</f>
        <v/>
      </c>
      <c r="S824" s="1" t="str">
        <f>IFERROR(__xludf.DUMMYFUNCTION("""COMPUTED_VALUE"""),"")</f>
        <v/>
      </c>
      <c r="T824" s="1" t="str">
        <f>IFERROR(__xludf.DUMMYFUNCTION("""COMPUTED_VALUE"""),"")</f>
        <v/>
      </c>
      <c r="U824" s="1" t="str">
        <f>IFERROR(__xludf.DUMMYFUNCTION("""COMPUTED_VALUE"""),"")</f>
        <v/>
      </c>
      <c r="V824" s="1" t="str">
        <f>IFERROR(__xludf.DUMMYFUNCTION("""COMPUTED_VALUE"""),"20,500")</f>
        <v>20,500</v>
      </c>
      <c r="W824" s="1" t="str">
        <f>IFERROR(__xludf.DUMMYFUNCTION("""COMPUTED_VALUE"""),"")</f>
        <v/>
      </c>
      <c r="X824" s="1" t="str">
        <f>IFERROR(__xludf.DUMMYFUNCTION("""COMPUTED_VALUE"""),"")</f>
        <v/>
      </c>
      <c r="Y824" s="1" t="str">
        <f>IFERROR(__xludf.DUMMYFUNCTION("""COMPUTED_VALUE"""),"")</f>
        <v/>
      </c>
      <c r="Z824" s="1" t="str">
        <f>IFERROR(__xludf.DUMMYFUNCTION("""COMPUTED_VALUE"""),"Unknown")</f>
        <v>Unknown</v>
      </c>
      <c r="AA824" s="1" t="str">
        <f>IFERROR(__xludf.DUMMYFUNCTION("""COMPUTED_VALUE"""),"")</f>
        <v/>
      </c>
      <c r="AB824" s="1" t="str">
        <f>IFERROR(__xludf.DUMMYFUNCTION("""COMPUTED_VALUE"""),"")</f>
        <v/>
      </c>
      <c r="AC824" s="1" t="str">
        <f>IFERROR(__xludf.DUMMYFUNCTION("""COMPUTED_VALUE"""),"")</f>
        <v/>
      </c>
      <c r="AD824" s="1" t="str">
        <f>IFERROR(__xludf.DUMMYFUNCTION("""COMPUTED_VALUE"""),"")</f>
        <v/>
      </c>
      <c r="AE824" s="1" t="str">
        <f>IFERROR(__xludf.DUMMYFUNCTION("""COMPUTED_VALUE"""),"")</f>
        <v/>
      </c>
      <c r="AF824" s="1" t="str">
        <f>IFERROR(__xludf.DUMMYFUNCTION("""COMPUTED_VALUE"""),"")</f>
        <v/>
      </c>
      <c r="AG824" s="1" t="str">
        <f>IFERROR(__xludf.DUMMYFUNCTION("""COMPUTED_VALUE"""),"")</f>
        <v/>
      </c>
      <c r="AH824" s="1" t="str">
        <f>IFERROR(__xludf.DUMMYFUNCTION("""COMPUTED_VALUE"""),"Other")</f>
        <v>Other</v>
      </c>
      <c r="AI824" s="2" t="str">
        <f>IFERROR(__xludf.DUMMYFUNCTION("""COMPUTED_VALUE"""),"https://365datacenters.com/philadelphia-data-center/")</f>
        <v>https://365datacenters.com/philadelphia-data-center/</v>
      </c>
      <c r="AJ824" s="1" t="str">
        <f>IFERROR(__xludf.DUMMYFUNCTION("""COMPUTED_VALUE"""),"")</f>
        <v/>
      </c>
      <c r="AK824" s="1" t="str">
        <f>IFERROR(__xludf.DUMMYFUNCTION("""COMPUTED_VALUE"""),"")</f>
        <v/>
      </c>
      <c r="AL824" s="1" t="str">
        <f>IFERROR(__xludf.DUMMYFUNCTION("""COMPUTED_VALUE"""),"")</f>
        <v/>
      </c>
      <c r="AM824" s="1" t="str">
        <f>IFERROR(__xludf.DUMMYFUNCTION("""COMPUTED_VALUE"""),"")</f>
        <v/>
      </c>
      <c r="AN824" s="1" t="str">
        <f>IFERROR(__xludf.DUMMYFUNCTION("""COMPUTED_VALUE"""),"")</f>
        <v/>
      </c>
      <c r="AO824" s="1" t="str">
        <f>IFERROR(__xludf.DUMMYFUNCTION("""COMPUTED_VALUE"""),"")</f>
        <v/>
      </c>
      <c r="AP824" s="1" t="str">
        <f>IFERROR(__xludf.DUMMYFUNCTION("""COMPUTED_VALUE"""),"")</f>
        <v/>
      </c>
      <c r="AQ824" s="1" t="str">
        <f>IFERROR(__xludf.DUMMYFUNCTION("""COMPUTED_VALUE"""),"11/24/2025")</f>
        <v>11/24/2025</v>
      </c>
      <c r="AR824" s="1" t="str">
        <f>IFERROR(__xludf.DUMMYFUNCTION("""COMPUTED_VALUE"""),"11/24/2025")</f>
        <v>11/24/2025</v>
      </c>
    </row>
    <row r="825">
      <c r="A825" s="1" t="str">
        <f>IFERROR(__xludf.DUMMYFUNCTION("""COMPUTED_VALUE"""),"Ascent Data")</f>
        <v>Ascent Data</v>
      </c>
      <c r="B825" s="1" t="str">
        <f>IFERROR(__xludf.DUMMYFUNCTION("""COMPUTED_VALUE"""),"90 Beta Dr")</f>
        <v>90 Beta Dr</v>
      </c>
      <c r="C825" s="1" t="str">
        <f>IFERROR(__xludf.DUMMYFUNCTION("""COMPUTED_VALUE"""),"Pittsburgh")</f>
        <v>Pittsburgh</v>
      </c>
      <c r="D825" s="1" t="str">
        <f>IFERROR(__xludf.DUMMYFUNCTION("""COMPUTED_VALUE"""),"PA")</f>
        <v>PA</v>
      </c>
      <c r="E825" s="1" t="str">
        <f>IFERROR(__xludf.DUMMYFUNCTION("""COMPUTED_VALUE"""),"15238")</f>
        <v>15238</v>
      </c>
      <c r="F825" s="1" t="str">
        <f>IFERROR(__xludf.DUMMYFUNCTION("""COMPUTED_VALUE"""),"Allegheny")</f>
        <v>Allegheny</v>
      </c>
      <c r="G825" s="1" t="str">
        <f>IFERROR(__xludf.DUMMYFUNCTION("""COMPUTED_VALUE"""),"40.49623")</f>
        <v>40.49623</v>
      </c>
      <c r="H825" s="1" t="str">
        <f>IFERROR(__xludf.DUMMYFUNCTION("""COMPUTED_VALUE"""),"-79.866455")</f>
        <v>-79.866455</v>
      </c>
      <c r="I825" s="1" t="str">
        <f>IFERROR(__xludf.DUMMYFUNCTION("""COMPUTED_VALUE"""),"Operating")</f>
        <v>Operating</v>
      </c>
      <c r="J825" s="1" t="str">
        <f>IFERROR(__xludf.DUMMYFUNCTION("""COMPUTED_VALUE"""),"High")</f>
        <v>High</v>
      </c>
      <c r="K825" s="1" t="str">
        <f>IFERROR(__xludf.DUMMYFUNCTION("""COMPUTED_VALUE"""),"")</f>
        <v/>
      </c>
      <c r="L825" s="1" t="str">
        <f>IFERROR(__xludf.DUMMYFUNCTION("""COMPUTED_VALUE"""),"")</f>
        <v/>
      </c>
      <c r="M825" s="1" t="str">
        <f>IFERROR(__xludf.DUMMYFUNCTION("""COMPUTED_VALUE"""),"")</f>
        <v/>
      </c>
      <c r="N825" s="1" t="str">
        <f>IFERROR(__xludf.DUMMYFUNCTION("""COMPUTED_VALUE"""),"")</f>
        <v/>
      </c>
      <c r="O825" s="1" t="str">
        <f>IFERROR(__xludf.DUMMYFUNCTION("""COMPUTED_VALUE"""),"Unknown")</f>
        <v>Unknown</v>
      </c>
      <c r="P825" s="1" t="str">
        <f>IFERROR(__xludf.DUMMYFUNCTION("""COMPUTED_VALUE"""),"")</f>
        <v/>
      </c>
      <c r="Q825" s="1" t="str">
        <f>IFERROR(__xludf.DUMMYFUNCTION("""COMPUTED_VALUE"""),"")</f>
        <v/>
      </c>
      <c r="R825" s="1" t="str">
        <f>IFERROR(__xludf.DUMMYFUNCTION("""COMPUTED_VALUE"""),"")</f>
        <v/>
      </c>
      <c r="S825" s="1" t="str">
        <f>IFERROR(__xludf.DUMMYFUNCTION("""COMPUTED_VALUE"""),"")</f>
        <v/>
      </c>
      <c r="T825" s="1" t="str">
        <f>IFERROR(__xludf.DUMMYFUNCTION("""COMPUTED_VALUE"""),"")</f>
        <v/>
      </c>
      <c r="U825" s="1" t="str">
        <f>IFERROR(__xludf.DUMMYFUNCTION("""COMPUTED_VALUE"""),"")</f>
        <v/>
      </c>
      <c r="V825" s="1" t="str">
        <f>IFERROR(__xludf.DUMMYFUNCTION("""COMPUTED_VALUE"""),"")</f>
        <v/>
      </c>
      <c r="W825" s="1" t="str">
        <f>IFERROR(__xludf.DUMMYFUNCTION("""COMPUTED_VALUE"""),"")</f>
        <v/>
      </c>
      <c r="X825" s="1" t="str">
        <f>IFERROR(__xludf.DUMMYFUNCTION("""COMPUTED_VALUE"""),"")</f>
        <v/>
      </c>
      <c r="Y825" s="1" t="str">
        <f>IFERROR(__xludf.DUMMYFUNCTION("""COMPUTED_VALUE"""),"")</f>
        <v/>
      </c>
      <c r="Z825" s="1" t="str">
        <f>IFERROR(__xludf.DUMMYFUNCTION("""COMPUTED_VALUE"""),"Unknown")</f>
        <v>Unknown</v>
      </c>
      <c r="AA825" s="1" t="str">
        <f>IFERROR(__xludf.DUMMYFUNCTION("""COMPUTED_VALUE"""),"")</f>
        <v/>
      </c>
      <c r="AB825" s="1" t="str">
        <f>IFERROR(__xludf.DUMMYFUNCTION("""COMPUTED_VALUE"""),"")</f>
        <v/>
      </c>
      <c r="AC825" s="1" t="str">
        <f>IFERROR(__xludf.DUMMYFUNCTION("""COMPUTED_VALUE"""),"")</f>
        <v/>
      </c>
      <c r="AD825" s="1" t="str">
        <f>IFERROR(__xludf.DUMMYFUNCTION("""COMPUTED_VALUE"""),"")</f>
        <v/>
      </c>
      <c r="AE825" s="1" t="str">
        <f>IFERROR(__xludf.DUMMYFUNCTION("""COMPUTED_VALUE"""),"")</f>
        <v/>
      </c>
      <c r="AF825" s="1" t="str">
        <f>IFERROR(__xludf.DUMMYFUNCTION("""COMPUTED_VALUE"""),"")</f>
        <v/>
      </c>
      <c r="AG825" s="1" t="str">
        <f>IFERROR(__xludf.DUMMYFUNCTION("""COMPUTED_VALUE"""),"")</f>
        <v/>
      </c>
      <c r="AH825" s="1" t="str">
        <f>IFERROR(__xludf.DUMMYFUNCTION("""COMPUTED_VALUE"""),"Other")</f>
        <v>Other</v>
      </c>
      <c r="AI825" s="1" t="str">
        <f>IFERROR(__xludf.DUMMYFUNCTION("""COMPUTED_VALUE"""),"")</f>
        <v/>
      </c>
      <c r="AJ825" s="1" t="str">
        <f>IFERROR(__xludf.DUMMYFUNCTION("""COMPUTED_VALUE"""),"")</f>
        <v/>
      </c>
      <c r="AK825" s="1" t="str">
        <f>IFERROR(__xludf.DUMMYFUNCTION("""COMPUTED_VALUE"""),"")</f>
        <v/>
      </c>
      <c r="AL825" s="1" t="str">
        <f>IFERROR(__xludf.DUMMYFUNCTION("""COMPUTED_VALUE"""),"")</f>
        <v/>
      </c>
      <c r="AM825" s="1" t="str">
        <f>IFERROR(__xludf.DUMMYFUNCTION("""COMPUTED_VALUE"""),"")</f>
        <v/>
      </c>
      <c r="AN825" s="1" t="str">
        <f>IFERROR(__xludf.DUMMYFUNCTION("""COMPUTED_VALUE"""),"")</f>
        <v/>
      </c>
      <c r="AO825" s="1" t="str">
        <f>IFERROR(__xludf.DUMMYFUNCTION("""COMPUTED_VALUE"""),"")</f>
        <v/>
      </c>
      <c r="AP825" s="1" t="str">
        <f>IFERROR(__xludf.DUMMYFUNCTION("""COMPUTED_VALUE"""),"")</f>
        <v/>
      </c>
      <c r="AQ825" s="1" t="str">
        <f>IFERROR(__xludf.DUMMYFUNCTION("""COMPUTED_VALUE"""),"12/02/2025")</f>
        <v>12/02/2025</v>
      </c>
      <c r="AR825" s="1" t="str">
        <f>IFERROR(__xludf.DUMMYFUNCTION("""COMPUTED_VALUE"""),"12/02/2025")</f>
        <v>12/02/2025</v>
      </c>
    </row>
    <row r="826">
      <c r="A826" s="1" t="str">
        <f>IFERROR(__xludf.DUMMYFUNCTION("""COMPUTED_VALUE"""),"Consolidated Communications Pittsburgh Data Center")</f>
        <v>Consolidated Communications Pittsburgh Data Center</v>
      </c>
      <c r="B826" s="1" t="str">
        <f>IFERROR(__xludf.DUMMYFUNCTION("""COMPUTED_VALUE"""),"115 Evergreen Heights Dr")</f>
        <v>115 Evergreen Heights Dr</v>
      </c>
      <c r="C826" s="1" t="str">
        <f>IFERROR(__xludf.DUMMYFUNCTION("""COMPUTED_VALUE"""),"Pittsburgh")</f>
        <v>Pittsburgh</v>
      </c>
      <c r="D826" s="1" t="str">
        <f>IFERROR(__xludf.DUMMYFUNCTION("""COMPUTED_VALUE"""),"PA")</f>
        <v>PA</v>
      </c>
      <c r="E826" s="1" t="str">
        <f>IFERROR(__xludf.DUMMYFUNCTION("""COMPUTED_VALUE"""),"15229")</f>
        <v>15229</v>
      </c>
      <c r="F826" s="1" t="str">
        <f>IFERROR(__xludf.DUMMYFUNCTION("""COMPUTED_VALUE"""),"Allegheny")</f>
        <v>Allegheny</v>
      </c>
      <c r="G826" s="1" t="str">
        <f>IFERROR(__xludf.DUMMYFUNCTION("""COMPUTED_VALUE"""),"40.5186")</f>
        <v>40.5186</v>
      </c>
      <c r="H826" s="1" t="str">
        <f>IFERROR(__xludf.DUMMYFUNCTION("""COMPUTED_VALUE"""),"-80.0152")</f>
        <v>-80.0152</v>
      </c>
      <c r="I826" s="1" t="str">
        <f>IFERROR(__xludf.DUMMYFUNCTION("""COMPUTED_VALUE"""),"Operating")</f>
        <v>Operating</v>
      </c>
      <c r="J826" s="1" t="str">
        <f>IFERROR(__xludf.DUMMYFUNCTION("""COMPUTED_VALUE"""),"High")</f>
        <v>High</v>
      </c>
      <c r="K826" s="1" t="str">
        <f>IFERROR(__xludf.DUMMYFUNCTION("""COMPUTED_VALUE"""),"")</f>
        <v/>
      </c>
      <c r="L826" s="1" t="str">
        <f>IFERROR(__xludf.DUMMYFUNCTION("""COMPUTED_VALUE"""),"")</f>
        <v/>
      </c>
      <c r="M826" s="1" t="str">
        <f>IFERROR(__xludf.DUMMYFUNCTION("""COMPUTED_VALUE"""),"")</f>
        <v/>
      </c>
      <c r="N826" s="1" t="str">
        <f>IFERROR(__xludf.DUMMYFUNCTION("""COMPUTED_VALUE"""),"4")</f>
        <v>4</v>
      </c>
      <c r="O826" s="1" t="str">
        <f>IFERROR(__xludf.DUMMYFUNCTION("""COMPUTED_VALUE"""),"Small (0-10 MW)")</f>
        <v>Small (0-10 MW)</v>
      </c>
      <c r="P826" s="1" t="str">
        <f>IFERROR(__xludf.DUMMYFUNCTION("""COMPUTED_VALUE"""),"")</f>
        <v/>
      </c>
      <c r="Q826" s="1" t="str">
        <f>IFERROR(__xludf.DUMMYFUNCTION("""COMPUTED_VALUE"""),"")</f>
        <v/>
      </c>
      <c r="R826" s="1" t="str">
        <f>IFERROR(__xludf.DUMMYFUNCTION("""COMPUTED_VALUE"""),"")</f>
        <v/>
      </c>
      <c r="S826" s="1" t="str">
        <f>IFERROR(__xludf.DUMMYFUNCTION("""COMPUTED_VALUE"""),"")</f>
        <v/>
      </c>
      <c r="T826" s="1" t="str">
        <f>IFERROR(__xludf.DUMMYFUNCTION("""COMPUTED_VALUE"""),"")</f>
        <v/>
      </c>
      <c r="U826" s="1" t="str">
        <f>IFERROR(__xludf.DUMMYFUNCTION("""COMPUTED_VALUE"""),"")</f>
        <v/>
      </c>
      <c r="V826" s="1" t="str">
        <f>IFERROR(__xludf.DUMMYFUNCTION("""COMPUTED_VALUE"""),"65000")</f>
        <v>65000</v>
      </c>
      <c r="W826" s="1" t="str">
        <f>IFERROR(__xludf.DUMMYFUNCTION("""COMPUTED_VALUE"""),"")</f>
        <v/>
      </c>
      <c r="X826" s="1" t="str">
        <f>IFERROR(__xludf.DUMMYFUNCTION("""COMPUTED_VALUE"""),"")</f>
        <v/>
      </c>
      <c r="Y826" s="1" t="str">
        <f>IFERROR(__xludf.DUMMYFUNCTION("""COMPUTED_VALUE"""),"")</f>
        <v/>
      </c>
      <c r="Z826" s="1" t="str">
        <f>IFERROR(__xludf.DUMMYFUNCTION("""COMPUTED_VALUE"""),"Unknown")</f>
        <v>Unknown</v>
      </c>
      <c r="AA826" s="1" t="str">
        <f>IFERROR(__xludf.DUMMYFUNCTION("""COMPUTED_VALUE"""),"")</f>
        <v/>
      </c>
      <c r="AB826" s="1" t="str">
        <f>IFERROR(__xludf.DUMMYFUNCTION("""COMPUTED_VALUE"""),"")</f>
        <v/>
      </c>
      <c r="AC826" s="1" t="str">
        <f>IFERROR(__xludf.DUMMYFUNCTION("""COMPUTED_VALUE"""),"")</f>
        <v/>
      </c>
      <c r="AD826" s="1" t="str">
        <f>IFERROR(__xludf.DUMMYFUNCTION("""COMPUTED_VALUE"""),"")</f>
        <v/>
      </c>
      <c r="AE826" s="1" t="str">
        <f>IFERROR(__xludf.DUMMYFUNCTION("""COMPUTED_VALUE"""),"")</f>
        <v/>
      </c>
      <c r="AF826" s="1" t="str">
        <f>IFERROR(__xludf.DUMMYFUNCTION("""COMPUTED_VALUE"""),"")</f>
        <v/>
      </c>
      <c r="AG826" s="1" t="str">
        <f>IFERROR(__xludf.DUMMYFUNCTION("""COMPUTED_VALUE"""),"")</f>
        <v/>
      </c>
      <c r="AH826" s="1" t="str">
        <f>IFERROR(__xludf.DUMMYFUNCTION("""COMPUTED_VALUE"""),"Media Monitoring")</f>
        <v>Media Monitoring</v>
      </c>
      <c r="AI826" s="2" t="str">
        <f>IFERROR(__xludf.DUMMYFUNCTION("""COMPUTED_VALUE"""),"https://www.consolidated.com/business/medium-enterprise/data-center-services/locations/pennsylvania")</f>
        <v>https://www.consolidated.com/business/medium-enterprise/data-center-services/locations/pennsylvania</v>
      </c>
      <c r="AJ826" s="1" t="str">
        <f>IFERROR(__xludf.DUMMYFUNCTION("""COMPUTED_VALUE"""),"")</f>
        <v/>
      </c>
      <c r="AK826" s="1" t="str">
        <f>IFERROR(__xludf.DUMMYFUNCTION("""COMPUTED_VALUE"""),"")</f>
        <v/>
      </c>
      <c r="AL826" s="1" t="str">
        <f>IFERROR(__xludf.DUMMYFUNCTION("""COMPUTED_VALUE"""),"")</f>
        <v/>
      </c>
      <c r="AM826" s="1" t="str">
        <f>IFERROR(__xludf.DUMMYFUNCTION("""COMPUTED_VALUE"""),"")</f>
        <v/>
      </c>
      <c r="AN826" s="1" t="str">
        <f>IFERROR(__xludf.DUMMYFUNCTION("""COMPUTED_VALUE"""),"")</f>
        <v/>
      </c>
      <c r="AO826" s="1" t="str">
        <f>IFERROR(__xludf.DUMMYFUNCTION("""COMPUTED_VALUE"""),"")</f>
        <v/>
      </c>
      <c r="AP826" s="1" t="str">
        <f>IFERROR(__xludf.DUMMYFUNCTION("""COMPUTED_VALUE"""),"")</f>
        <v/>
      </c>
      <c r="AQ826" s="1" t="str">
        <f>IFERROR(__xludf.DUMMYFUNCTION("""COMPUTED_VALUE"""),"08/04/2025")</f>
        <v>08/04/2025</v>
      </c>
      <c r="AR826" s="1" t="str">
        <f>IFERROR(__xludf.DUMMYFUNCTION("""COMPUTED_VALUE"""),"12/02/2025")</f>
        <v>12/02/2025</v>
      </c>
    </row>
    <row r="827">
      <c r="A827" s="1" t="str">
        <f>IFERROR(__xludf.DUMMYFUNCTION("""COMPUTED_VALUE"""),"DataBank Downtown Pittsburgh Campus ")</f>
        <v>DataBank Downtown Pittsburgh Campus </v>
      </c>
      <c r="B827" s="1" t="str">
        <f>IFERROR(__xludf.DUMMYFUNCTION("""COMPUTED_VALUE"""),"100 S Commons #126")</f>
        <v>100 S Commons #126</v>
      </c>
      <c r="C827" s="1" t="str">
        <f>IFERROR(__xludf.DUMMYFUNCTION("""COMPUTED_VALUE"""),"Pittsburgh")</f>
        <v>Pittsburgh</v>
      </c>
      <c r="D827" s="1" t="str">
        <f>IFERROR(__xludf.DUMMYFUNCTION("""COMPUTED_VALUE"""),"PA")</f>
        <v>PA</v>
      </c>
      <c r="E827" s="1" t="str">
        <f>IFERROR(__xludf.DUMMYFUNCTION("""COMPUTED_VALUE"""),"15212")</f>
        <v>15212</v>
      </c>
      <c r="F827" s="1" t="str">
        <f>IFERROR(__xludf.DUMMYFUNCTION("""COMPUTED_VALUE"""),"Allegheny")</f>
        <v>Allegheny</v>
      </c>
      <c r="G827" s="1" t="str">
        <f>IFERROR(__xludf.DUMMYFUNCTION("""COMPUTED_VALUE"""),"40.451286")</f>
        <v>40.451286</v>
      </c>
      <c r="H827" s="1" t="str">
        <f>IFERROR(__xludf.DUMMYFUNCTION("""COMPUTED_VALUE"""),"-80.00508")</f>
        <v>-80.00508</v>
      </c>
      <c r="I827" s="1" t="str">
        <f>IFERROR(__xludf.DUMMYFUNCTION("""COMPUTED_VALUE"""),"Operating")</f>
        <v>Operating</v>
      </c>
      <c r="J827" s="1" t="str">
        <f>IFERROR(__xludf.DUMMYFUNCTION("""COMPUTED_VALUE"""),"High")</f>
        <v>High</v>
      </c>
      <c r="K827" s="1" t="str">
        <f>IFERROR(__xludf.DUMMYFUNCTION("""COMPUTED_VALUE"""),"")</f>
        <v/>
      </c>
      <c r="L827" s="1" t="str">
        <f>IFERROR(__xludf.DUMMYFUNCTION("""COMPUTED_VALUE"""),"DataBank")</f>
        <v>DataBank</v>
      </c>
      <c r="M827" s="1" t="str">
        <f>IFERROR(__xludf.DUMMYFUNCTION("""COMPUTED_VALUE"""),"")</f>
        <v/>
      </c>
      <c r="N827" s="1" t="str">
        <f>IFERROR(__xludf.DUMMYFUNCTION("""COMPUTED_VALUE"""),"1.9")</f>
        <v>1.9</v>
      </c>
      <c r="O827" s="1" t="str">
        <f>IFERROR(__xludf.DUMMYFUNCTION("""COMPUTED_VALUE"""),"Small (0-10 MW)")</f>
        <v>Small (0-10 MW)</v>
      </c>
      <c r="P827" s="1" t="str">
        <f>IFERROR(__xludf.DUMMYFUNCTION("""COMPUTED_VALUE"""),"")</f>
        <v/>
      </c>
      <c r="Q827" s="1" t="str">
        <f>IFERROR(__xludf.DUMMYFUNCTION("""COMPUTED_VALUE"""),"")</f>
        <v/>
      </c>
      <c r="R827" s="1" t="str">
        <f>IFERROR(__xludf.DUMMYFUNCTION("""COMPUTED_VALUE"""),"")</f>
        <v/>
      </c>
      <c r="S827" s="1" t="str">
        <f>IFERROR(__xludf.DUMMYFUNCTION("""COMPUTED_VALUE"""),"")</f>
        <v/>
      </c>
      <c r="T827" s="1" t="str">
        <f>IFERROR(__xludf.DUMMYFUNCTION("""COMPUTED_VALUE"""),"")</f>
        <v/>
      </c>
      <c r="U827" s="1" t="str">
        <f>IFERROR(__xludf.DUMMYFUNCTION("""COMPUTED_VALUE"""),"")</f>
        <v/>
      </c>
      <c r="V827" s="1" t="str">
        <f>IFERROR(__xludf.DUMMYFUNCTION("""COMPUTED_VALUE"""),"30,760")</f>
        <v>30,760</v>
      </c>
      <c r="W827" s="1" t="str">
        <f>IFERROR(__xludf.DUMMYFUNCTION("""COMPUTED_VALUE"""),"")</f>
        <v/>
      </c>
      <c r="X827" s="1" t="str">
        <f>IFERROR(__xludf.DUMMYFUNCTION("""COMPUTED_VALUE"""),"")</f>
        <v/>
      </c>
      <c r="Y827" s="1" t="str">
        <f>IFERROR(__xludf.DUMMYFUNCTION("""COMPUTED_VALUE"""),"")</f>
        <v/>
      </c>
      <c r="Z827" s="1" t="str">
        <f>IFERROR(__xludf.DUMMYFUNCTION("""COMPUTED_VALUE"""),"Unknown")</f>
        <v>Unknown</v>
      </c>
      <c r="AA827" s="1" t="str">
        <f>IFERROR(__xludf.DUMMYFUNCTION("""COMPUTED_VALUE"""),"")</f>
        <v/>
      </c>
      <c r="AB827" s="1" t="str">
        <f>IFERROR(__xludf.DUMMYFUNCTION("""COMPUTED_VALUE"""),"")</f>
        <v/>
      </c>
      <c r="AC827" s="1" t="str">
        <f>IFERROR(__xludf.DUMMYFUNCTION("""COMPUTED_VALUE"""),"")</f>
        <v/>
      </c>
      <c r="AD827" s="1" t="str">
        <f>IFERROR(__xludf.DUMMYFUNCTION("""COMPUTED_VALUE"""),"")</f>
        <v/>
      </c>
      <c r="AE827" s="1" t="str">
        <f>IFERROR(__xludf.DUMMYFUNCTION("""COMPUTED_VALUE"""),"")</f>
        <v/>
      </c>
      <c r="AF827" s="1" t="str">
        <f>IFERROR(__xludf.DUMMYFUNCTION("""COMPUTED_VALUE"""),"")</f>
        <v/>
      </c>
      <c r="AG827" s="1" t="str">
        <f>IFERROR(__xludf.DUMMYFUNCTION("""COMPUTED_VALUE"""),"Located inside NOVA Place, the renovated Allegheny Technology Center Mall")</f>
        <v>Located inside NOVA Place, the renovated Allegheny Technology Center Mall</v>
      </c>
      <c r="AH827" s="1" t="str">
        <f>IFERROR(__xludf.DUMMYFUNCTION("""COMPUTED_VALUE"""),"Other")</f>
        <v>Other</v>
      </c>
      <c r="AI827" s="2" t="str">
        <f>IFERROR(__xludf.DUMMYFUNCTION("""COMPUTED_VALUE"""),"https://www.databank.com/data-centers/pittsburgh/100-south-commons/")</f>
        <v>https://www.databank.com/data-centers/pittsburgh/100-south-commons/</v>
      </c>
      <c r="AJ827" s="1" t="str">
        <f>IFERROR(__xludf.DUMMYFUNCTION("""COMPUTED_VALUE"""),"")</f>
        <v/>
      </c>
      <c r="AK827" s="1" t="str">
        <f>IFERROR(__xludf.DUMMYFUNCTION("""COMPUTED_VALUE"""),"")</f>
        <v/>
      </c>
      <c r="AL827" s="1" t="str">
        <f>IFERROR(__xludf.DUMMYFUNCTION("""COMPUTED_VALUE"""),"")</f>
        <v/>
      </c>
      <c r="AM827" s="1" t="str">
        <f>IFERROR(__xludf.DUMMYFUNCTION("""COMPUTED_VALUE"""),"")</f>
        <v/>
      </c>
      <c r="AN827" s="1" t="str">
        <f>IFERROR(__xludf.DUMMYFUNCTION("""COMPUTED_VALUE"""),"")</f>
        <v/>
      </c>
      <c r="AO827" s="1" t="str">
        <f>IFERROR(__xludf.DUMMYFUNCTION("""COMPUTED_VALUE"""),"")</f>
        <v/>
      </c>
      <c r="AP827" s="1" t="str">
        <f>IFERROR(__xludf.DUMMYFUNCTION("""COMPUTED_VALUE"""),"")</f>
        <v/>
      </c>
      <c r="AQ827" s="1" t="str">
        <f>IFERROR(__xludf.DUMMYFUNCTION("""COMPUTED_VALUE"""),"11/21/2025")</f>
        <v>11/21/2025</v>
      </c>
      <c r="AR827" s="1" t="str">
        <f>IFERROR(__xludf.DUMMYFUNCTION("""COMPUTED_VALUE"""),"11/21/2025")</f>
        <v>11/21/2025</v>
      </c>
    </row>
    <row r="828">
      <c r="A828" s="1" t="str">
        <f>IFERROR(__xludf.DUMMYFUNCTION("""COMPUTED_VALUE"""),"DataBank Summit Park Campus ")</f>
        <v>DataBank Summit Park Campus </v>
      </c>
      <c r="B828" s="1" t="str">
        <f>IFERROR(__xludf.DUMMYFUNCTION("""COMPUTED_VALUE"""),"35 Summit Park Dr")</f>
        <v>35 Summit Park Dr</v>
      </c>
      <c r="C828" s="1" t="str">
        <f>IFERROR(__xludf.DUMMYFUNCTION("""COMPUTED_VALUE"""),"Pittsburgh")</f>
        <v>Pittsburgh</v>
      </c>
      <c r="D828" s="1" t="str">
        <f>IFERROR(__xludf.DUMMYFUNCTION("""COMPUTED_VALUE"""),"PA")</f>
        <v>PA</v>
      </c>
      <c r="E828" s="1" t="str">
        <f>IFERROR(__xludf.DUMMYFUNCTION("""COMPUTED_VALUE"""),"15275")</f>
        <v>15275</v>
      </c>
      <c r="F828" s="1" t="str">
        <f>IFERROR(__xludf.DUMMYFUNCTION("""COMPUTED_VALUE"""),"Allegheny")</f>
        <v>Allegheny</v>
      </c>
      <c r="G828" s="1" t="str">
        <f>IFERROR(__xludf.DUMMYFUNCTION("""COMPUTED_VALUE"""),"40.45133")</f>
        <v>40.45133</v>
      </c>
      <c r="H828" s="1" t="str">
        <f>IFERROR(__xludf.DUMMYFUNCTION("""COMPUTED_VALUE"""),"-80.1902")</f>
        <v>-80.1902</v>
      </c>
      <c r="I828" s="1" t="str">
        <f>IFERROR(__xludf.DUMMYFUNCTION("""COMPUTED_VALUE"""),"Operating")</f>
        <v>Operating</v>
      </c>
      <c r="J828" s="1" t="str">
        <f>IFERROR(__xludf.DUMMYFUNCTION("""COMPUTED_VALUE"""),"High")</f>
        <v>High</v>
      </c>
      <c r="K828" s="1" t="str">
        <f>IFERROR(__xludf.DUMMYFUNCTION("""COMPUTED_VALUE"""),"")</f>
        <v/>
      </c>
      <c r="L828" s="1" t="str">
        <f>IFERROR(__xludf.DUMMYFUNCTION("""COMPUTED_VALUE"""),"DataBank")</f>
        <v>DataBank</v>
      </c>
      <c r="M828" s="1" t="str">
        <f>IFERROR(__xludf.DUMMYFUNCTION("""COMPUTED_VALUE"""),"")</f>
        <v/>
      </c>
      <c r="N828" s="1" t="str">
        <f>IFERROR(__xludf.DUMMYFUNCTION("""COMPUTED_VALUE"""),"5")</f>
        <v>5</v>
      </c>
      <c r="O828" s="1" t="str">
        <f>IFERROR(__xludf.DUMMYFUNCTION("""COMPUTED_VALUE"""),"Small (0-10 MW)")</f>
        <v>Small (0-10 MW)</v>
      </c>
      <c r="P828" s="1" t="str">
        <f>IFERROR(__xludf.DUMMYFUNCTION("""COMPUTED_VALUE"""),"")</f>
        <v/>
      </c>
      <c r="Q828" s="1" t="str">
        <f>IFERROR(__xludf.DUMMYFUNCTION("""COMPUTED_VALUE"""),"")</f>
        <v/>
      </c>
      <c r="R828" s="1" t="str">
        <f>IFERROR(__xludf.DUMMYFUNCTION("""COMPUTED_VALUE"""),"")</f>
        <v/>
      </c>
      <c r="S828" s="1" t="str">
        <f>IFERROR(__xludf.DUMMYFUNCTION("""COMPUTED_VALUE"""),"")</f>
        <v/>
      </c>
      <c r="T828" s="1" t="str">
        <f>IFERROR(__xludf.DUMMYFUNCTION("""COMPUTED_VALUE"""),"")</f>
        <v/>
      </c>
      <c r="U828" s="1" t="str">
        <f>IFERROR(__xludf.DUMMYFUNCTION("""COMPUTED_VALUE"""),"")</f>
        <v/>
      </c>
      <c r="V828" s="1" t="str">
        <f>IFERROR(__xludf.DUMMYFUNCTION("""COMPUTED_VALUE"""),"47,100")</f>
        <v>47,100</v>
      </c>
      <c r="W828" s="1" t="str">
        <f>IFERROR(__xludf.DUMMYFUNCTION("""COMPUTED_VALUE"""),"17")</f>
        <v>17</v>
      </c>
      <c r="X828" s="1" t="str">
        <f>IFERROR(__xludf.DUMMYFUNCTION("""COMPUTED_VALUE"""),"")</f>
        <v/>
      </c>
      <c r="Y828" s="1" t="str">
        <f>IFERROR(__xludf.DUMMYFUNCTION("""COMPUTED_VALUE"""),"")</f>
        <v/>
      </c>
      <c r="Z828" s="1" t="str">
        <f>IFERROR(__xludf.DUMMYFUNCTION("""COMPUTED_VALUE"""),"Unknown")</f>
        <v>Unknown</v>
      </c>
      <c r="AA828" s="1" t="str">
        <f>IFERROR(__xludf.DUMMYFUNCTION("""COMPUTED_VALUE"""),"")</f>
        <v/>
      </c>
      <c r="AB828" s="1" t="str">
        <f>IFERROR(__xludf.DUMMYFUNCTION("""COMPUTED_VALUE"""),"")</f>
        <v/>
      </c>
      <c r="AC828" s="1" t="str">
        <f>IFERROR(__xludf.DUMMYFUNCTION("""COMPUTED_VALUE"""),"")</f>
        <v/>
      </c>
      <c r="AD828" s="1" t="str">
        <f>IFERROR(__xludf.DUMMYFUNCTION("""COMPUTED_VALUE"""),"")</f>
        <v/>
      </c>
      <c r="AE828" s="1" t="str">
        <f>IFERROR(__xludf.DUMMYFUNCTION("""COMPUTED_VALUE"""),"")</f>
        <v/>
      </c>
      <c r="AF828" s="1" t="str">
        <f>IFERROR(__xludf.DUMMYFUNCTION("""COMPUTED_VALUE"""),"")</f>
        <v/>
      </c>
      <c r="AG828" s="1" t="str">
        <f>IFERROR(__xludf.DUMMYFUNCTION("""COMPUTED_VALUE"""),"")</f>
        <v/>
      </c>
      <c r="AH828" s="1" t="str">
        <f>IFERROR(__xludf.DUMMYFUNCTION("""COMPUTED_VALUE"""),"Media Monitoring")</f>
        <v>Media Monitoring</v>
      </c>
      <c r="AI828" s="2" t="str">
        <f>IFERROR(__xludf.DUMMYFUNCTION("""COMPUTED_VALUE"""),"https://www.databank.com/data-centers/pittsburgh/summit-park-campus/")</f>
        <v>https://www.databank.com/data-centers/pittsburgh/summit-park-campus/</v>
      </c>
      <c r="AJ828" s="1" t="str">
        <f>IFERROR(__xludf.DUMMYFUNCTION("""COMPUTED_VALUE"""),"")</f>
        <v/>
      </c>
      <c r="AK828" s="1" t="str">
        <f>IFERROR(__xludf.DUMMYFUNCTION("""COMPUTED_VALUE"""),"")</f>
        <v/>
      </c>
      <c r="AL828" s="1" t="str">
        <f>IFERROR(__xludf.DUMMYFUNCTION("""COMPUTED_VALUE"""),"")</f>
        <v/>
      </c>
      <c r="AM828" s="1" t="str">
        <f>IFERROR(__xludf.DUMMYFUNCTION("""COMPUTED_VALUE"""),"")</f>
        <v/>
      </c>
      <c r="AN828" s="1" t="str">
        <f>IFERROR(__xludf.DUMMYFUNCTION("""COMPUTED_VALUE"""),"")</f>
        <v/>
      </c>
      <c r="AO828" s="1" t="str">
        <f>IFERROR(__xludf.DUMMYFUNCTION("""COMPUTED_VALUE"""),"")</f>
        <v/>
      </c>
      <c r="AP828" s="1" t="str">
        <f>IFERROR(__xludf.DUMMYFUNCTION("""COMPUTED_VALUE"""),"")</f>
        <v/>
      </c>
      <c r="AQ828" s="1" t="str">
        <f>IFERROR(__xludf.DUMMYFUNCTION("""COMPUTED_VALUE"""),"08/04/2025")</f>
        <v>08/04/2025</v>
      </c>
      <c r="AR828" s="1" t="str">
        <f>IFERROR(__xludf.DUMMYFUNCTION("""COMPUTED_VALUE"""),"08/04/2025")</f>
        <v>08/04/2025</v>
      </c>
    </row>
    <row r="829">
      <c r="A829" s="1" t="str">
        <f>IFERROR(__xludf.DUMMYFUNCTION("""COMPUTED_VALUE"""),"Expedient PIT1")</f>
        <v>Expedient PIT1</v>
      </c>
      <c r="B829" s="1" t="str">
        <f>IFERROR(__xludf.DUMMYFUNCTION("""COMPUTED_VALUE"""),"810 Parish St")</f>
        <v>810 Parish St</v>
      </c>
      <c r="C829" s="1" t="str">
        <f>IFERROR(__xludf.DUMMYFUNCTION("""COMPUTED_VALUE"""),"Pittsburgh")</f>
        <v>Pittsburgh</v>
      </c>
      <c r="D829" s="1" t="str">
        <f>IFERROR(__xludf.DUMMYFUNCTION("""COMPUTED_VALUE"""),"PA")</f>
        <v>PA</v>
      </c>
      <c r="E829" s="1" t="str">
        <f>IFERROR(__xludf.DUMMYFUNCTION("""COMPUTED_VALUE"""),"15220")</f>
        <v>15220</v>
      </c>
      <c r="F829" s="1" t="str">
        <f>IFERROR(__xludf.DUMMYFUNCTION("""COMPUTED_VALUE"""),"Allegheny")</f>
        <v>Allegheny</v>
      </c>
      <c r="G829" s="1" t="str">
        <f>IFERROR(__xludf.DUMMYFUNCTION("""COMPUTED_VALUE"""),"40.42745")</f>
        <v>40.42745</v>
      </c>
      <c r="H829" s="1" t="str">
        <f>IFERROR(__xludf.DUMMYFUNCTION("""COMPUTED_VALUE"""),"-80.0425")</f>
        <v>-80.0425</v>
      </c>
      <c r="I829" s="1" t="str">
        <f>IFERROR(__xludf.DUMMYFUNCTION("""COMPUTED_VALUE"""),"Operating")</f>
        <v>Operating</v>
      </c>
      <c r="J829" s="1" t="str">
        <f>IFERROR(__xludf.DUMMYFUNCTION("""COMPUTED_VALUE"""),"High")</f>
        <v>High</v>
      </c>
      <c r="K829" s="1" t="str">
        <f>IFERROR(__xludf.DUMMYFUNCTION("""COMPUTED_VALUE"""),"")</f>
        <v/>
      </c>
      <c r="L829" s="1" t="str">
        <f>IFERROR(__xludf.DUMMYFUNCTION("""COMPUTED_VALUE"""),"Expedient")</f>
        <v>Expedient</v>
      </c>
      <c r="M829" s="1" t="str">
        <f>IFERROR(__xludf.DUMMYFUNCTION("""COMPUTED_VALUE"""),"")</f>
        <v/>
      </c>
      <c r="N829" s="1" t="str">
        <f>IFERROR(__xludf.DUMMYFUNCTION("""COMPUTED_VALUE"""),"1.8")</f>
        <v>1.8</v>
      </c>
      <c r="O829" s="1" t="str">
        <f>IFERROR(__xludf.DUMMYFUNCTION("""COMPUTED_VALUE"""),"Small (0-10 MW)")</f>
        <v>Small (0-10 MW)</v>
      </c>
      <c r="P829" s="1" t="str">
        <f>IFERROR(__xludf.DUMMYFUNCTION("""COMPUTED_VALUE"""),"")</f>
        <v/>
      </c>
      <c r="Q829" s="1" t="str">
        <f>IFERROR(__xludf.DUMMYFUNCTION("""COMPUTED_VALUE"""),"")</f>
        <v/>
      </c>
      <c r="R829" s="1" t="str">
        <f>IFERROR(__xludf.DUMMYFUNCTION("""COMPUTED_VALUE"""),"")</f>
        <v/>
      </c>
      <c r="S829" s="1" t="str">
        <f>IFERROR(__xludf.DUMMYFUNCTION("""COMPUTED_VALUE"""),"")</f>
        <v/>
      </c>
      <c r="T829" s="1" t="str">
        <f>IFERROR(__xludf.DUMMYFUNCTION("""COMPUTED_VALUE"""),"")</f>
        <v/>
      </c>
      <c r="U829" s="1" t="str">
        <f>IFERROR(__xludf.DUMMYFUNCTION("""COMPUTED_VALUE"""),"")</f>
        <v/>
      </c>
      <c r="V829" s="1" t="str">
        <f>IFERROR(__xludf.DUMMYFUNCTION("""COMPUTED_VALUE"""),"26,000")</f>
        <v>26,000</v>
      </c>
      <c r="W829" s="1" t="str">
        <f>IFERROR(__xludf.DUMMYFUNCTION("""COMPUTED_VALUE"""),"")</f>
        <v/>
      </c>
      <c r="X829" s="1" t="str">
        <f>IFERROR(__xludf.DUMMYFUNCTION("""COMPUTED_VALUE"""),"")</f>
        <v/>
      </c>
      <c r="Y829" s="1" t="str">
        <f>IFERROR(__xludf.DUMMYFUNCTION("""COMPUTED_VALUE"""),"")</f>
        <v/>
      </c>
      <c r="Z829" s="1" t="str">
        <f>IFERROR(__xludf.DUMMYFUNCTION("""COMPUTED_VALUE"""),"Unknown")</f>
        <v>Unknown</v>
      </c>
      <c r="AA829" s="1" t="str">
        <f>IFERROR(__xludf.DUMMYFUNCTION("""COMPUTED_VALUE"""),"")</f>
        <v/>
      </c>
      <c r="AB829" s="1" t="str">
        <f>IFERROR(__xludf.DUMMYFUNCTION("""COMPUTED_VALUE"""),"")</f>
        <v/>
      </c>
      <c r="AC829" s="1" t="str">
        <f>IFERROR(__xludf.DUMMYFUNCTION("""COMPUTED_VALUE"""),"")</f>
        <v/>
      </c>
      <c r="AD829" s="1" t="str">
        <f>IFERROR(__xludf.DUMMYFUNCTION("""COMPUTED_VALUE"""),"")</f>
        <v/>
      </c>
      <c r="AE829" s="1" t="str">
        <f>IFERROR(__xludf.DUMMYFUNCTION("""COMPUTED_VALUE"""),"")</f>
        <v/>
      </c>
      <c r="AF829" s="1" t="str">
        <f>IFERROR(__xludf.DUMMYFUNCTION("""COMPUTED_VALUE"""),"")</f>
        <v/>
      </c>
      <c r="AG829" s="1" t="str">
        <f>IFERROR(__xludf.DUMMYFUNCTION("""COMPUTED_VALUE"""),"")</f>
        <v/>
      </c>
      <c r="AH829" s="1" t="str">
        <f>IFERROR(__xludf.DUMMYFUNCTION("""COMPUTED_VALUE"""),"Media Monitoring")</f>
        <v>Media Monitoring</v>
      </c>
      <c r="AI829" s="2" t="str">
        <f>IFERROR(__xludf.DUMMYFUNCTION("""COMPUTED_VALUE"""),"https://www.expedient.com/data-centers/pittsburgh/")</f>
        <v>https://www.expedient.com/data-centers/pittsburgh/</v>
      </c>
      <c r="AJ829" s="1" t="str">
        <f>IFERROR(__xludf.DUMMYFUNCTION("""COMPUTED_VALUE"""),"")</f>
        <v/>
      </c>
      <c r="AK829" s="1" t="str">
        <f>IFERROR(__xludf.DUMMYFUNCTION("""COMPUTED_VALUE"""),"")</f>
        <v/>
      </c>
      <c r="AL829" s="1" t="str">
        <f>IFERROR(__xludf.DUMMYFUNCTION("""COMPUTED_VALUE"""),"")</f>
        <v/>
      </c>
      <c r="AM829" s="1" t="str">
        <f>IFERROR(__xludf.DUMMYFUNCTION("""COMPUTED_VALUE"""),"")</f>
        <v/>
      </c>
      <c r="AN829" s="1" t="str">
        <f>IFERROR(__xludf.DUMMYFUNCTION("""COMPUTED_VALUE"""),"")</f>
        <v/>
      </c>
      <c r="AO829" s="1" t="str">
        <f>IFERROR(__xludf.DUMMYFUNCTION("""COMPUTED_VALUE"""),"")</f>
        <v/>
      </c>
      <c r="AP829" s="1" t="str">
        <f>IFERROR(__xludf.DUMMYFUNCTION("""COMPUTED_VALUE"""),"")</f>
        <v/>
      </c>
      <c r="AQ829" s="1" t="str">
        <f>IFERROR(__xludf.DUMMYFUNCTION("""COMPUTED_VALUE"""),"08/04/2025")</f>
        <v>08/04/2025</v>
      </c>
      <c r="AR829" s="1" t="str">
        <f>IFERROR(__xludf.DUMMYFUNCTION("""COMPUTED_VALUE"""),"08/04/2025")</f>
        <v>08/04/2025</v>
      </c>
    </row>
    <row r="830">
      <c r="A830" s="1" t="str">
        <f>IFERROR(__xludf.DUMMYFUNCTION("""COMPUTED_VALUE"""),"Expedient PIT2")</f>
        <v>Expedient PIT2</v>
      </c>
      <c r="B830" s="1" t="str">
        <f>IFERROR(__xludf.DUMMYFUNCTION("""COMPUTED_VALUE"""),"100 S Commons Suite 001")</f>
        <v>100 S Commons Suite 001</v>
      </c>
      <c r="C830" s="1" t="str">
        <f>IFERROR(__xludf.DUMMYFUNCTION("""COMPUTED_VALUE"""),"Pittsburgh")</f>
        <v>Pittsburgh</v>
      </c>
      <c r="D830" s="1" t="str">
        <f>IFERROR(__xludf.DUMMYFUNCTION("""COMPUTED_VALUE"""),"PA")</f>
        <v>PA</v>
      </c>
      <c r="E830" s="1" t="str">
        <f>IFERROR(__xludf.DUMMYFUNCTION("""COMPUTED_VALUE"""),"15212")</f>
        <v>15212</v>
      </c>
      <c r="F830" s="1" t="str">
        <f>IFERROR(__xludf.DUMMYFUNCTION("""COMPUTED_VALUE"""),"Allegheny")</f>
        <v>Allegheny</v>
      </c>
      <c r="G830" s="1" t="str">
        <f>IFERROR(__xludf.DUMMYFUNCTION("""COMPUTED_VALUE"""),"40.45128")</f>
        <v>40.45128</v>
      </c>
      <c r="H830" s="1" t="str">
        <f>IFERROR(__xludf.DUMMYFUNCTION("""COMPUTED_VALUE"""),"-80.0056")</f>
        <v>-80.0056</v>
      </c>
      <c r="I830" s="1" t="str">
        <f>IFERROR(__xludf.DUMMYFUNCTION("""COMPUTED_VALUE"""),"Operating")</f>
        <v>Operating</v>
      </c>
      <c r="J830" s="1" t="str">
        <f>IFERROR(__xludf.DUMMYFUNCTION("""COMPUTED_VALUE"""),"High")</f>
        <v>High</v>
      </c>
      <c r="K830" s="1" t="str">
        <f>IFERROR(__xludf.DUMMYFUNCTION("""COMPUTED_VALUE"""),"")</f>
        <v/>
      </c>
      <c r="L830" s="1" t="str">
        <f>IFERROR(__xludf.DUMMYFUNCTION("""COMPUTED_VALUE"""),"Expedient")</f>
        <v>Expedient</v>
      </c>
      <c r="M830" s="1" t="str">
        <f>IFERROR(__xludf.DUMMYFUNCTION("""COMPUTED_VALUE"""),"")</f>
        <v/>
      </c>
      <c r="N830" s="1" t="str">
        <f>IFERROR(__xludf.DUMMYFUNCTION("""COMPUTED_VALUE"""),"4.2")</f>
        <v>4.2</v>
      </c>
      <c r="O830" s="1" t="str">
        <f>IFERROR(__xludf.DUMMYFUNCTION("""COMPUTED_VALUE"""),"Small (0-10 MW)")</f>
        <v>Small (0-10 MW)</v>
      </c>
      <c r="P830" s="1" t="str">
        <f>IFERROR(__xludf.DUMMYFUNCTION("""COMPUTED_VALUE"""),"")</f>
        <v/>
      </c>
      <c r="Q830" s="1" t="str">
        <f>IFERROR(__xludf.DUMMYFUNCTION("""COMPUTED_VALUE"""),"")</f>
        <v/>
      </c>
      <c r="R830" s="1" t="str">
        <f>IFERROR(__xludf.DUMMYFUNCTION("""COMPUTED_VALUE"""),"")</f>
        <v/>
      </c>
      <c r="S830" s="1" t="str">
        <f>IFERROR(__xludf.DUMMYFUNCTION("""COMPUTED_VALUE"""),"")</f>
        <v/>
      </c>
      <c r="T830" s="1" t="str">
        <f>IFERROR(__xludf.DUMMYFUNCTION("""COMPUTED_VALUE"""),"")</f>
        <v/>
      </c>
      <c r="U830" s="1" t="str">
        <f>IFERROR(__xludf.DUMMYFUNCTION("""COMPUTED_VALUE"""),"")</f>
        <v/>
      </c>
      <c r="V830" s="1" t="str">
        <f>IFERROR(__xludf.DUMMYFUNCTION("""COMPUTED_VALUE"""),"50,700")</f>
        <v>50,700</v>
      </c>
      <c r="W830" s="1" t="str">
        <f>IFERROR(__xludf.DUMMYFUNCTION("""COMPUTED_VALUE"""),"")</f>
        <v/>
      </c>
      <c r="X830" s="1" t="str">
        <f>IFERROR(__xludf.DUMMYFUNCTION("""COMPUTED_VALUE"""),"")</f>
        <v/>
      </c>
      <c r="Y830" s="1" t="str">
        <f>IFERROR(__xludf.DUMMYFUNCTION("""COMPUTED_VALUE"""),"")</f>
        <v/>
      </c>
      <c r="Z830" s="1" t="str">
        <f>IFERROR(__xludf.DUMMYFUNCTION("""COMPUTED_VALUE"""),"Unknown")</f>
        <v>Unknown</v>
      </c>
      <c r="AA830" s="1" t="str">
        <f>IFERROR(__xludf.DUMMYFUNCTION("""COMPUTED_VALUE"""),"")</f>
        <v/>
      </c>
      <c r="AB830" s="1" t="str">
        <f>IFERROR(__xludf.DUMMYFUNCTION("""COMPUTED_VALUE"""),"")</f>
        <v/>
      </c>
      <c r="AC830" s="1" t="str">
        <f>IFERROR(__xludf.DUMMYFUNCTION("""COMPUTED_VALUE"""),"")</f>
        <v/>
      </c>
      <c r="AD830" s="1" t="str">
        <f>IFERROR(__xludf.DUMMYFUNCTION("""COMPUTED_VALUE"""),"")</f>
        <v/>
      </c>
      <c r="AE830" s="1" t="str">
        <f>IFERROR(__xludf.DUMMYFUNCTION("""COMPUTED_VALUE"""),"")</f>
        <v/>
      </c>
      <c r="AF830" s="1" t="str">
        <f>IFERROR(__xludf.DUMMYFUNCTION("""COMPUTED_VALUE"""),"")</f>
        <v/>
      </c>
      <c r="AG830" s="1" t="str">
        <f>IFERROR(__xludf.DUMMYFUNCTION("""COMPUTED_VALUE"""),"")</f>
        <v/>
      </c>
      <c r="AH830" s="1" t="str">
        <f>IFERROR(__xludf.DUMMYFUNCTION("""COMPUTED_VALUE"""),"Media Monitoring")</f>
        <v>Media Monitoring</v>
      </c>
      <c r="AI830" s="2" t="str">
        <f>IFERROR(__xludf.DUMMYFUNCTION("""COMPUTED_VALUE"""),"https://www.expedient.com/data-centers/pittsburgh/")</f>
        <v>https://www.expedient.com/data-centers/pittsburgh/</v>
      </c>
      <c r="AJ830" s="1" t="str">
        <f>IFERROR(__xludf.DUMMYFUNCTION("""COMPUTED_VALUE"""),"")</f>
        <v/>
      </c>
      <c r="AK830" s="1" t="str">
        <f>IFERROR(__xludf.DUMMYFUNCTION("""COMPUTED_VALUE"""),"")</f>
        <v/>
      </c>
      <c r="AL830" s="1" t="str">
        <f>IFERROR(__xludf.DUMMYFUNCTION("""COMPUTED_VALUE"""),"")</f>
        <v/>
      </c>
      <c r="AM830" s="1" t="str">
        <f>IFERROR(__xludf.DUMMYFUNCTION("""COMPUTED_VALUE"""),"")</f>
        <v/>
      </c>
      <c r="AN830" s="1" t="str">
        <f>IFERROR(__xludf.DUMMYFUNCTION("""COMPUTED_VALUE"""),"")</f>
        <v/>
      </c>
      <c r="AO830" s="1" t="str">
        <f>IFERROR(__xludf.DUMMYFUNCTION("""COMPUTED_VALUE"""),"")</f>
        <v/>
      </c>
      <c r="AP830" s="1" t="str">
        <f>IFERROR(__xludf.DUMMYFUNCTION("""COMPUTED_VALUE"""),"")</f>
        <v/>
      </c>
      <c r="AQ830" s="1" t="str">
        <f>IFERROR(__xludf.DUMMYFUNCTION("""COMPUTED_VALUE"""),"08/04/2025")</f>
        <v>08/04/2025</v>
      </c>
      <c r="AR830" s="1" t="str">
        <f>IFERROR(__xludf.DUMMYFUNCTION("""COMPUTED_VALUE"""),"08/04/2025")</f>
        <v>08/04/2025</v>
      </c>
    </row>
    <row r="831">
      <c r="A831" s="1" t="str">
        <f>IFERROR(__xludf.DUMMYFUNCTION("""COMPUTED_VALUE"""),"H5 Pittsburgh")</f>
        <v>H5 Pittsburgh</v>
      </c>
      <c r="B831" s="1" t="str">
        <f>IFERROR(__xludf.DUMMYFUNCTION("""COMPUTED_VALUE"""),"2202 Liberty Ave")</f>
        <v>2202 Liberty Ave</v>
      </c>
      <c r="C831" s="1" t="str">
        <f>IFERROR(__xludf.DUMMYFUNCTION("""COMPUTED_VALUE"""),"Pittsburgh")</f>
        <v>Pittsburgh</v>
      </c>
      <c r="D831" s="1" t="str">
        <f>IFERROR(__xludf.DUMMYFUNCTION("""COMPUTED_VALUE"""),"PA")</f>
        <v>PA</v>
      </c>
      <c r="E831" s="1" t="str">
        <f>IFERROR(__xludf.DUMMYFUNCTION("""COMPUTED_VALUE"""),"15222")</f>
        <v>15222</v>
      </c>
      <c r="F831" s="1" t="str">
        <f>IFERROR(__xludf.DUMMYFUNCTION("""COMPUTED_VALUE"""),"Allegheny")</f>
        <v>Allegheny</v>
      </c>
      <c r="G831" s="1" t="str">
        <f>IFERROR(__xludf.DUMMYFUNCTION("""COMPUTED_VALUE"""),"40.451946")</f>
        <v>40.451946</v>
      </c>
      <c r="H831" s="1" t="str">
        <f>IFERROR(__xludf.DUMMYFUNCTION("""COMPUTED_VALUE"""),"-79.980896")</f>
        <v>-79.980896</v>
      </c>
      <c r="I831" s="1" t="str">
        <f>IFERROR(__xludf.DUMMYFUNCTION("""COMPUTED_VALUE"""),"Operating")</f>
        <v>Operating</v>
      </c>
      <c r="J831" s="1" t="str">
        <f>IFERROR(__xludf.DUMMYFUNCTION("""COMPUTED_VALUE"""),"High")</f>
        <v>High</v>
      </c>
      <c r="K831" s="1" t="str">
        <f>IFERROR(__xludf.DUMMYFUNCTION("""COMPUTED_VALUE"""),"")</f>
        <v/>
      </c>
      <c r="L831" s="1" t="str">
        <f>IFERROR(__xludf.DUMMYFUNCTION("""COMPUTED_VALUE"""),"H5 Data Centers")</f>
        <v>H5 Data Centers</v>
      </c>
      <c r="M831" s="1" t="str">
        <f>IFERROR(__xludf.DUMMYFUNCTION("""COMPUTED_VALUE"""),"")</f>
        <v/>
      </c>
      <c r="N831" s="1" t="str">
        <f>IFERROR(__xludf.DUMMYFUNCTION("""COMPUTED_VALUE"""),"")</f>
        <v/>
      </c>
      <c r="O831" s="1" t="str">
        <f>IFERROR(__xludf.DUMMYFUNCTION("""COMPUTED_VALUE"""),"Unknown")</f>
        <v>Unknown</v>
      </c>
      <c r="P831" s="1" t="str">
        <f>IFERROR(__xludf.DUMMYFUNCTION("""COMPUTED_VALUE"""),"")</f>
        <v/>
      </c>
      <c r="Q831" s="1" t="str">
        <f>IFERROR(__xludf.DUMMYFUNCTION("""COMPUTED_VALUE"""),"")</f>
        <v/>
      </c>
      <c r="R831" s="1" t="str">
        <f>IFERROR(__xludf.DUMMYFUNCTION("""COMPUTED_VALUE"""),"")</f>
        <v/>
      </c>
      <c r="S831" s="1" t="str">
        <f>IFERROR(__xludf.DUMMYFUNCTION("""COMPUTED_VALUE"""),"")</f>
        <v/>
      </c>
      <c r="T831" s="1" t="str">
        <f>IFERROR(__xludf.DUMMYFUNCTION("""COMPUTED_VALUE"""),"")</f>
        <v/>
      </c>
      <c r="U831" s="1" t="str">
        <f>IFERROR(__xludf.DUMMYFUNCTION("""COMPUTED_VALUE"""),"")</f>
        <v/>
      </c>
      <c r="V831" s="1" t="str">
        <f>IFERROR(__xludf.DUMMYFUNCTION("""COMPUTED_VALUE"""),"30,000")</f>
        <v>30,000</v>
      </c>
      <c r="W831" s="1" t="str">
        <f>IFERROR(__xludf.DUMMYFUNCTION("""COMPUTED_VALUE"""),"")</f>
        <v/>
      </c>
      <c r="X831" s="1" t="str">
        <f>IFERROR(__xludf.DUMMYFUNCTION("""COMPUTED_VALUE"""),"")</f>
        <v/>
      </c>
      <c r="Y831" s="1" t="str">
        <f>IFERROR(__xludf.DUMMYFUNCTION("""COMPUTED_VALUE"""),"")</f>
        <v/>
      </c>
      <c r="Z831" s="1" t="str">
        <f>IFERROR(__xludf.DUMMYFUNCTION("""COMPUTED_VALUE"""),"Unknown")</f>
        <v>Unknown</v>
      </c>
      <c r="AA831" s="1" t="str">
        <f>IFERROR(__xludf.DUMMYFUNCTION("""COMPUTED_VALUE"""),"")</f>
        <v/>
      </c>
      <c r="AB831" s="1" t="str">
        <f>IFERROR(__xludf.DUMMYFUNCTION("""COMPUTED_VALUE"""),"")</f>
        <v/>
      </c>
      <c r="AC831" s="1" t="str">
        <f>IFERROR(__xludf.DUMMYFUNCTION("""COMPUTED_VALUE"""),"")</f>
        <v/>
      </c>
      <c r="AD831" s="1" t="str">
        <f>IFERROR(__xludf.DUMMYFUNCTION("""COMPUTED_VALUE"""),"")</f>
        <v/>
      </c>
      <c r="AE831" s="1" t="str">
        <f>IFERROR(__xludf.DUMMYFUNCTION("""COMPUTED_VALUE"""),"")</f>
        <v/>
      </c>
      <c r="AF831" s="1" t="str">
        <f>IFERROR(__xludf.DUMMYFUNCTION("""COMPUTED_VALUE"""),"")</f>
        <v/>
      </c>
      <c r="AG831" s="1" t="str">
        <f>IFERROR(__xludf.DUMMYFUNCTION("""COMPUTED_VALUE"""),"")</f>
        <v/>
      </c>
      <c r="AH831" s="1" t="str">
        <f>IFERROR(__xludf.DUMMYFUNCTION("""COMPUTED_VALUE"""),"Other")</f>
        <v>Other</v>
      </c>
      <c r="AI831" s="2" t="str">
        <f>IFERROR(__xludf.DUMMYFUNCTION("""COMPUTED_VALUE"""),"https://h5datacenters.com/pittsburgh-data-center.html")</f>
        <v>https://h5datacenters.com/pittsburgh-data-center.html</v>
      </c>
      <c r="AJ831" s="1" t="str">
        <f>IFERROR(__xludf.DUMMYFUNCTION("""COMPUTED_VALUE"""),"")</f>
        <v/>
      </c>
      <c r="AK831" s="1" t="str">
        <f>IFERROR(__xludf.DUMMYFUNCTION("""COMPUTED_VALUE"""),"")</f>
        <v/>
      </c>
      <c r="AL831" s="1" t="str">
        <f>IFERROR(__xludf.DUMMYFUNCTION("""COMPUTED_VALUE"""),"")</f>
        <v/>
      </c>
      <c r="AM831" s="1" t="str">
        <f>IFERROR(__xludf.DUMMYFUNCTION("""COMPUTED_VALUE"""),"")</f>
        <v/>
      </c>
      <c r="AN831" s="1" t="str">
        <f>IFERROR(__xludf.DUMMYFUNCTION("""COMPUTED_VALUE"""),"")</f>
        <v/>
      </c>
      <c r="AO831" s="1" t="str">
        <f>IFERROR(__xludf.DUMMYFUNCTION("""COMPUTED_VALUE"""),"")</f>
        <v/>
      </c>
      <c r="AP831" s="1" t="str">
        <f>IFERROR(__xludf.DUMMYFUNCTION("""COMPUTED_VALUE"""),"")</f>
        <v/>
      </c>
      <c r="AQ831" s="1" t="str">
        <f>IFERROR(__xludf.DUMMYFUNCTION("""COMPUTED_VALUE"""),"11/21/2025")</f>
        <v>11/21/2025</v>
      </c>
      <c r="AR831" s="1" t="str">
        <f>IFERROR(__xludf.DUMMYFUNCTION("""COMPUTED_VALUE"""),"11/21/2025")</f>
        <v>11/21/2025</v>
      </c>
    </row>
    <row r="832">
      <c r="A832" s="1" t="str">
        <f>IFERROR(__xludf.DUMMYFUNCTION("""COMPUTED_VALUE"""),"Lumen: Pittsburgh Data Center 1")</f>
        <v>Lumen: Pittsburgh Data Center 1</v>
      </c>
      <c r="B832" s="1" t="str">
        <f>IFERROR(__xludf.DUMMYFUNCTION("""COMPUTED_VALUE"""),"143 25th Street")</f>
        <v>143 25th Street</v>
      </c>
      <c r="C832" s="1" t="str">
        <f>IFERROR(__xludf.DUMMYFUNCTION("""COMPUTED_VALUE"""),"Pittsburgh")</f>
        <v>Pittsburgh</v>
      </c>
      <c r="D832" s="1" t="str">
        <f>IFERROR(__xludf.DUMMYFUNCTION("""COMPUTED_VALUE"""),"PA")</f>
        <v>PA</v>
      </c>
      <c r="E832" s="1" t="str">
        <f>IFERROR(__xludf.DUMMYFUNCTION("""COMPUTED_VALUE"""),"15023")</f>
        <v>15023</v>
      </c>
      <c r="F832" s="1" t="str">
        <f>IFERROR(__xludf.DUMMYFUNCTION("""COMPUTED_VALUE"""),"Allegheny")</f>
        <v>Allegheny</v>
      </c>
      <c r="G832" s="1" t="str">
        <f>IFERROR(__xludf.DUMMYFUNCTION("""COMPUTED_VALUE"""),"40.45482")</f>
        <v>40.45482</v>
      </c>
      <c r="H832" s="1" t="str">
        <f>IFERROR(__xludf.DUMMYFUNCTION("""COMPUTED_VALUE"""),"-79.98007")</f>
        <v>-79.98007</v>
      </c>
      <c r="I832" s="1" t="str">
        <f>IFERROR(__xludf.DUMMYFUNCTION("""COMPUTED_VALUE"""),"Operating")</f>
        <v>Operating</v>
      </c>
      <c r="J832" s="1" t="str">
        <f>IFERROR(__xludf.DUMMYFUNCTION("""COMPUTED_VALUE"""),"High")</f>
        <v>High</v>
      </c>
      <c r="K832" s="1" t="str">
        <f>IFERROR(__xludf.DUMMYFUNCTION("""COMPUTED_VALUE"""),"")</f>
        <v/>
      </c>
      <c r="L832" s="1" t="str">
        <f>IFERROR(__xludf.DUMMYFUNCTION("""COMPUTED_VALUE"""),"Lumen")</f>
        <v>Lumen</v>
      </c>
      <c r="M832" s="1" t="str">
        <f>IFERROR(__xludf.DUMMYFUNCTION("""COMPUTED_VALUE"""),"")</f>
        <v/>
      </c>
      <c r="N832" s="1" t="str">
        <f>IFERROR(__xludf.DUMMYFUNCTION("""COMPUTED_VALUE"""),"")</f>
        <v/>
      </c>
      <c r="O832" s="1" t="str">
        <f>IFERROR(__xludf.DUMMYFUNCTION("""COMPUTED_VALUE"""),"Unknown")</f>
        <v>Unknown</v>
      </c>
      <c r="P832" s="1" t="str">
        <f>IFERROR(__xludf.DUMMYFUNCTION("""COMPUTED_VALUE"""),"")</f>
        <v/>
      </c>
      <c r="Q832" s="1" t="str">
        <f>IFERROR(__xludf.DUMMYFUNCTION("""COMPUTED_VALUE"""),"")</f>
        <v/>
      </c>
      <c r="R832" s="1" t="str">
        <f>IFERROR(__xludf.DUMMYFUNCTION("""COMPUTED_VALUE"""),"")</f>
        <v/>
      </c>
      <c r="S832" s="1" t="str">
        <f>IFERROR(__xludf.DUMMYFUNCTION("""COMPUTED_VALUE"""),"")</f>
        <v/>
      </c>
      <c r="T832" s="1" t="str">
        <f>IFERROR(__xludf.DUMMYFUNCTION("""COMPUTED_VALUE"""),"")</f>
        <v/>
      </c>
      <c r="U832" s="1" t="str">
        <f>IFERROR(__xludf.DUMMYFUNCTION("""COMPUTED_VALUE"""),"")</f>
        <v/>
      </c>
      <c r="V832" s="1" t="str">
        <f>IFERROR(__xludf.DUMMYFUNCTION("""COMPUTED_VALUE"""),"3,661")</f>
        <v>3,661</v>
      </c>
      <c r="W832" s="1" t="str">
        <f>IFERROR(__xludf.DUMMYFUNCTION("""COMPUTED_VALUE"""),"")</f>
        <v/>
      </c>
      <c r="X832" s="1" t="str">
        <f>IFERROR(__xludf.DUMMYFUNCTION("""COMPUTED_VALUE"""),"")</f>
        <v/>
      </c>
      <c r="Y832" s="1" t="str">
        <f>IFERROR(__xludf.DUMMYFUNCTION("""COMPUTED_VALUE"""),"")</f>
        <v/>
      </c>
      <c r="Z832" s="1" t="str">
        <f>IFERROR(__xludf.DUMMYFUNCTION("""COMPUTED_VALUE"""),"Unknown")</f>
        <v>Unknown</v>
      </c>
      <c r="AA832" s="1" t="str">
        <f>IFERROR(__xludf.DUMMYFUNCTION("""COMPUTED_VALUE"""),"")</f>
        <v/>
      </c>
      <c r="AB832" s="1" t="str">
        <f>IFERROR(__xludf.DUMMYFUNCTION("""COMPUTED_VALUE"""),"")</f>
        <v/>
      </c>
      <c r="AC832" s="1" t="str">
        <f>IFERROR(__xludf.DUMMYFUNCTION("""COMPUTED_VALUE"""),"")</f>
        <v/>
      </c>
      <c r="AD832" s="1" t="str">
        <f>IFERROR(__xludf.DUMMYFUNCTION("""COMPUTED_VALUE"""),"")</f>
        <v/>
      </c>
      <c r="AE832" s="1" t="str">
        <f>IFERROR(__xludf.DUMMYFUNCTION("""COMPUTED_VALUE"""),"")</f>
        <v/>
      </c>
      <c r="AF832" s="1" t="str">
        <f>IFERROR(__xludf.DUMMYFUNCTION("""COMPUTED_VALUE"""),"")</f>
        <v/>
      </c>
      <c r="AG832" s="1" t="str">
        <f>IFERROR(__xludf.DUMMYFUNCTION("""COMPUTED_VALUE"""),"")</f>
        <v/>
      </c>
      <c r="AH832" s="1" t="str">
        <f>IFERROR(__xludf.DUMMYFUNCTION("""COMPUTED_VALUE"""),"Other")</f>
        <v>Other</v>
      </c>
      <c r="AI832" s="1" t="str">
        <f>IFERROR(__xludf.DUMMYFUNCTION("""COMPUTED_VALUE"""),"")</f>
        <v/>
      </c>
      <c r="AJ832" s="1" t="str">
        <f>IFERROR(__xludf.DUMMYFUNCTION("""COMPUTED_VALUE"""),"")</f>
        <v/>
      </c>
      <c r="AK832" s="1" t="str">
        <f>IFERROR(__xludf.DUMMYFUNCTION("""COMPUTED_VALUE"""),"")</f>
        <v/>
      </c>
      <c r="AL832" s="1" t="str">
        <f>IFERROR(__xludf.DUMMYFUNCTION("""COMPUTED_VALUE"""),"")</f>
        <v/>
      </c>
      <c r="AM832" s="1" t="str">
        <f>IFERROR(__xludf.DUMMYFUNCTION("""COMPUTED_VALUE"""),"")</f>
        <v/>
      </c>
      <c r="AN832" s="1" t="str">
        <f>IFERROR(__xludf.DUMMYFUNCTION("""COMPUTED_VALUE"""),"")</f>
        <v/>
      </c>
      <c r="AO832" s="1" t="str">
        <f>IFERROR(__xludf.DUMMYFUNCTION("""COMPUTED_VALUE"""),"")</f>
        <v/>
      </c>
      <c r="AP832" s="1" t="str">
        <f>IFERROR(__xludf.DUMMYFUNCTION("""COMPUTED_VALUE"""),"")</f>
        <v/>
      </c>
      <c r="AQ832" s="1" t="str">
        <f>IFERROR(__xludf.DUMMYFUNCTION("""COMPUTED_VALUE"""),"11/21/2025")</f>
        <v>11/21/2025</v>
      </c>
      <c r="AR832" s="1" t="str">
        <f>IFERROR(__xludf.DUMMYFUNCTION("""COMPUTED_VALUE"""),"11/21/2025")</f>
        <v>11/21/2025</v>
      </c>
    </row>
    <row r="833">
      <c r="A833" s="1" t="str">
        <f>IFERROR(__xludf.DUMMYFUNCTION("""COMPUTED_VALUE"""),"Lumen: Pittsurgh Data Center 2")</f>
        <v>Lumen: Pittsurgh Data Center 2</v>
      </c>
      <c r="B833" s="1" t="str">
        <f>IFERROR(__xludf.DUMMYFUNCTION("""COMPUTED_VALUE"""),"200 Technology Drive")</f>
        <v>200 Technology Drive</v>
      </c>
      <c r="C833" s="1" t="str">
        <f>IFERROR(__xludf.DUMMYFUNCTION("""COMPUTED_VALUE"""),"Pittsburgh")</f>
        <v>Pittsburgh</v>
      </c>
      <c r="D833" s="1" t="str">
        <f>IFERROR(__xludf.DUMMYFUNCTION("""COMPUTED_VALUE"""),"PA")</f>
        <v>PA</v>
      </c>
      <c r="E833" s="1" t="str">
        <f>IFERROR(__xludf.DUMMYFUNCTION("""COMPUTED_VALUE"""),"15219")</f>
        <v>15219</v>
      </c>
      <c r="F833" s="1" t="str">
        <f>IFERROR(__xludf.DUMMYFUNCTION("""COMPUTED_VALUE"""),"Allegheny")</f>
        <v>Allegheny</v>
      </c>
      <c r="G833" s="1" t="str">
        <f>IFERROR(__xludf.DUMMYFUNCTION("""COMPUTED_VALUE"""),"40.430367")</f>
        <v>40.430367</v>
      </c>
      <c r="H833" s="1" t="str">
        <f>IFERROR(__xludf.DUMMYFUNCTION("""COMPUTED_VALUE"""),"-79.95969")</f>
        <v>-79.95969</v>
      </c>
      <c r="I833" s="1" t="str">
        <f>IFERROR(__xludf.DUMMYFUNCTION("""COMPUTED_VALUE"""),"Operating")</f>
        <v>Operating</v>
      </c>
      <c r="J833" s="1" t="str">
        <f>IFERROR(__xludf.DUMMYFUNCTION("""COMPUTED_VALUE"""),"High")</f>
        <v>High</v>
      </c>
      <c r="K833" s="1" t="str">
        <f>IFERROR(__xludf.DUMMYFUNCTION("""COMPUTED_VALUE"""),"")</f>
        <v/>
      </c>
      <c r="L833" s="1" t="str">
        <f>IFERROR(__xludf.DUMMYFUNCTION("""COMPUTED_VALUE"""),"Lumen")</f>
        <v>Lumen</v>
      </c>
      <c r="M833" s="1" t="str">
        <f>IFERROR(__xludf.DUMMYFUNCTION("""COMPUTED_VALUE"""),"")</f>
        <v/>
      </c>
      <c r="N833" s="1" t="str">
        <f>IFERROR(__xludf.DUMMYFUNCTION("""COMPUTED_VALUE"""),"")</f>
        <v/>
      </c>
      <c r="O833" s="1" t="str">
        <f>IFERROR(__xludf.DUMMYFUNCTION("""COMPUTED_VALUE"""),"Unknown")</f>
        <v>Unknown</v>
      </c>
      <c r="P833" s="1" t="str">
        <f>IFERROR(__xludf.DUMMYFUNCTION("""COMPUTED_VALUE"""),"")</f>
        <v/>
      </c>
      <c r="Q833" s="1" t="str">
        <f>IFERROR(__xludf.DUMMYFUNCTION("""COMPUTED_VALUE"""),"")</f>
        <v/>
      </c>
      <c r="R833" s="1" t="str">
        <f>IFERROR(__xludf.DUMMYFUNCTION("""COMPUTED_VALUE"""),"")</f>
        <v/>
      </c>
      <c r="S833" s="1" t="str">
        <f>IFERROR(__xludf.DUMMYFUNCTION("""COMPUTED_VALUE"""),"")</f>
        <v/>
      </c>
      <c r="T833" s="1" t="str">
        <f>IFERROR(__xludf.DUMMYFUNCTION("""COMPUTED_VALUE"""),"")</f>
        <v/>
      </c>
      <c r="U833" s="1" t="str">
        <f>IFERROR(__xludf.DUMMYFUNCTION("""COMPUTED_VALUE"""),"")</f>
        <v/>
      </c>
      <c r="V833" s="1" t="str">
        <f>IFERROR(__xludf.DUMMYFUNCTION("""COMPUTED_VALUE"""),"30,966")</f>
        <v>30,966</v>
      </c>
      <c r="W833" s="1" t="str">
        <f>IFERROR(__xludf.DUMMYFUNCTION("""COMPUTED_VALUE"""),"")</f>
        <v/>
      </c>
      <c r="X833" s="1" t="str">
        <f>IFERROR(__xludf.DUMMYFUNCTION("""COMPUTED_VALUE"""),"")</f>
        <v/>
      </c>
      <c r="Y833" s="1" t="str">
        <f>IFERROR(__xludf.DUMMYFUNCTION("""COMPUTED_VALUE"""),"")</f>
        <v/>
      </c>
      <c r="Z833" s="1" t="str">
        <f>IFERROR(__xludf.DUMMYFUNCTION("""COMPUTED_VALUE"""),"Unknown")</f>
        <v>Unknown</v>
      </c>
      <c r="AA833" s="1" t="str">
        <f>IFERROR(__xludf.DUMMYFUNCTION("""COMPUTED_VALUE"""),"")</f>
        <v/>
      </c>
      <c r="AB833" s="1" t="str">
        <f>IFERROR(__xludf.DUMMYFUNCTION("""COMPUTED_VALUE"""),"")</f>
        <v/>
      </c>
      <c r="AC833" s="1" t="str">
        <f>IFERROR(__xludf.DUMMYFUNCTION("""COMPUTED_VALUE"""),"")</f>
        <v/>
      </c>
      <c r="AD833" s="1" t="str">
        <f>IFERROR(__xludf.DUMMYFUNCTION("""COMPUTED_VALUE"""),"")</f>
        <v/>
      </c>
      <c r="AE833" s="1" t="str">
        <f>IFERROR(__xludf.DUMMYFUNCTION("""COMPUTED_VALUE"""),"")</f>
        <v/>
      </c>
      <c r="AF833" s="1" t="str">
        <f>IFERROR(__xludf.DUMMYFUNCTION("""COMPUTED_VALUE"""),"")</f>
        <v/>
      </c>
      <c r="AG833" s="1" t="str">
        <f>IFERROR(__xludf.DUMMYFUNCTION("""COMPUTED_VALUE"""),"")</f>
        <v/>
      </c>
      <c r="AH833" s="1" t="str">
        <f>IFERROR(__xludf.DUMMYFUNCTION("""COMPUTED_VALUE"""),"Other")</f>
        <v>Other</v>
      </c>
      <c r="AI833" s="1" t="str">
        <f>IFERROR(__xludf.DUMMYFUNCTION("""COMPUTED_VALUE"""),"")</f>
        <v/>
      </c>
      <c r="AJ833" s="1" t="str">
        <f>IFERROR(__xludf.DUMMYFUNCTION("""COMPUTED_VALUE"""),"")</f>
        <v/>
      </c>
      <c r="AK833" s="1" t="str">
        <f>IFERROR(__xludf.DUMMYFUNCTION("""COMPUTED_VALUE"""),"")</f>
        <v/>
      </c>
      <c r="AL833" s="1" t="str">
        <f>IFERROR(__xludf.DUMMYFUNCTION("""COMPUTED_VALUE"""),"")</f>
        <v/>
      </c>
      <c r="AM833" s="1" t="str">
        <f>IFERROR(__xludf.DUMMYFUNCTION("""COMPUTED_VALUE"""),"")</f>
        <v/>
      </c>
      <c r="AN833" s="1" t="str">
        <f>IFERROR(__xludf.DUMMYFUNCTION("""COMPUTED_VALUE"""),"")</f>
        <v/>
      </c>
      <c r="AO833" s="1" t="str">
        <f>IFERROR(__xludf.DUMMYFUNCTION("""COMPUTED_VALUE"""),"")</f>
        <v/>
      </c>
      <c r="AP833" s="1" t="str">
        <f>IFERROR(__xludf.DUMMYFUNCTION("""COMPUTED_VALUE"""),"")</f>
        <v/>
      </c>
      <c r="AQ833" s="1" t="str">
        <f>IFERROR(__xludf.DUMMYFUNCTION("""COMPUTED_VALUE"""),"11/21/2025")</f>
        <v>11/21/2025</v>
      </c>
      <c r="AR833" s="1" t="str">
        <f>IFERROR(__xludf.DUMMYFUNCTION("""COMPUTED_VALUE"""),"11/21/2025")</f>
        <v>11/21/2025</v>
      </c>
    </row>
    <row r="834">
      <c r="A834" s="1" t="str">
        <f>IFERROR(__xludf.DUMMYFUNCTION("""COMPUTED_VALUE"""),"Pottstown Data Center")</f>
        <v>Pottstown Data Center</v>
      </c>
      <c r="B834" s="1" t="str">
        <f>IFERROR(__xludf.DUMMYFUNCTION("""COMPUTED_VALUE"""),"2345 New Schuylkill Rd and Sanatoga Rds")</f>
        <v>2345 New Schuylkill Rd and Sanatoga Rds</v>
      </c>
      <c r="C834" s="1" t="str">
        <f>IFERROR(__xludf.DUMMYFUNCTION("""COMPUTED_VALUE"""),"Pottstown")</f>
        <v>Pottstown</v>
      </c>
      <c r="D834" s="1" t="str">
        <f>IFERROR(__xludf.DUMMYFUNCTION("""COMPUTED_VALUE"""),"PA")</f>
        <v>PA</v>
      </c>
      <c r="E834" s="1" t="str">
        <f>IFERROR(__xludf.DUMMYFUNCTION("""COMPUTED_VALUE"""),"19465")</f>
        <v>19465</v>
      </c>
      <c r="F834" s="1" t="str">
        <f>IFERROR(__xludf.DUMMYFUNCTION("""COMPUTED_VALUE"""),"Chester")</f>
        <v>Chester</v>
      </c>
      <c r="G834" s="1" t="str">
        <f>IFERROR(__xludf.DUMMYFUNCTION("""COMPUTED_VALUE"""),"40.21353")</f>
        <v>40.21353</v>
      </c>
      <c r="H834" s="1" t="str">
        <f>IFERROR(__xludf.DUMMYFUNCTION("""COMPUTED_VALUE"""),"-75.596565")</f>
        <v>-75.596565</v>
      </c>
      <c r="I834" s="1" t="str">
        <f>IFERROR(__xludf.DUMMYFUNCTION("""COMPUTED_VALUE"""),"Proposed")</f>
        <v>Proposed</v>
      </c>
      <c r="J834" s="1" t="str">
        <f>IFERROR(__xludf.DUMMYFUNCTION("""COMPUTED_VALUE"""),"High")</f>
        <v>High</v>
      </c>
      <c r="K834" s="1" t="str">
        <f>IFERROR(__xludf.DUMMYFUNCTION("""COMPUTED_VALUE"""),"")</f>
        <v/>
      </c>
      <c r="L834" s="1" t="str">
        <f>IFERROR(__xludf.DUMMYFUNCTION("""COMPUTED_VALUE"""),"")</f>
        <v/>
      </c>
      <c r="M834" s="1" t="str">
        <f>IFERROR(__xludf.DUMMYFUNCTION("""COMPUTED_VALUE"""),"")</f>
        <v/>
      </c>
      <c r="N834" s="1" t="str">
        <f>IFERROR(__xludf.DUMMYFUNCTION("""COMPUTED_VALUE"""),"")</f>
        <v/>
      </c>
      <c r="O834" s="1" t="str">
        <f>IFERROR(__xludf.DUMMYFUNCTION("""COMPUTED_VALUE"""),"Hyperscale (100-999 MW)")</f>
        <v>Hyperscale (100-999 MW)</v>
      </c>
      <c r="P834" s="1" t="str">
        <f>IFERROR(__xludf.DUMMYFUNCTION("""COMPUTED_VALUE"""),"")</f>
        <v/>
      </c>
      <c r="Q834" s="1" t="str">
        <f>IFERROR(__xludf.DUMMYFUNCTION("""COMPUTED_VALUE"""),"")</f>
        <v/>
      </c>
      <c r="R834" s="1" t="str">
        <f>IFERROR(__xludf.DUMMYFUNCTION("""COMPUTED_VALUE"""),"")</f>
        <v/>
      </c>
      <c r="S834" s="1" t="str">
        <f>IFERROR(__xludf.DUMMYFUNCTION("""COMPUTED_VALUE"""),"5-20")</f>
        <v>5-20</v>
      </c>
      <c r="T834" s="1" t="str">
        <f>IFERROR(__xludf.DUMMYFUNCTION("""COMPUTED_VALUE"""),"")</f>
        <v/>
      </c>
      <c r="U834" s="1" t="str">
        <f>IFERROR(__xludf.DUMMYFUNCTION("""COMPUTED_VALUE"""),"")</f>
        <v/>
      </c>
      <c r="V834" s="1" t="str">
        <f>IFERROR(__xludf.DUMMYFUNCTION("""COMPUTED_VALUE"""),"2,250,000")</f>
        <v>2,250,000</v>
      </c>
      <c r="W834" s="1" t="str">
        <f>IFERROR(__xludf.DUMMYFUNCTION("""COMPUTED_VALUE"""),"")</f>
        <v/>
      </c>
      <c r="X834" s="1" t="str">
        <f>IFERROR(__xludf.DUMMYFUNCTION("""COMPUTED_VALUE"""),"")</f>
        <v/>
      </c>
      <c r="Y834" s="1" t="str">
        <f>IFERROR(__xludf.DUMMYFUNCTION("""COMPUTED_VALUE"""),"")</f>
        <v/>
      </c>
      <c r="Z834" s="1" t="str">
        <f>IFERROR(__xludf.DUMMYFUNCTION("""COMPUTED_VALUE"""),"Unknown")</f>
        <v>Unknown</v>
      </c>
      <c r="AA834" s="1" t="str">
        <f>IFERROR(__xludf.DUMMYFUNCTION("""COMPUTED_VALUE"""),"")</f>
        <v/>
      </c>
      <c r="AB834" s="1" t="str">
        <f>IFERROR(__xludf.DUMMYFUNCTION("""COMPUTED_VALUE"""),"")</f>
        <v/>
      </c>
      <c r="AC834" s="1" t="str">
        <f>IFERROR(__xludf.DUMMYFUNCTION("""COMPUTED_VALUE"""),"")</f>
        <v/>
      </c>
      <c r="AD834" s="1" t="str">
        <f>IFERROR(__xludf.DUMMYFUNCTION("""COMPUTED_VALUE"""),"")</f>
        <v/>
      </c>
      <c r="AE834" s="1" t="str">
        <f>IFERROR(__xludf.DUMMYFUNCTION("""COMPUTED_VALUE"""),"")</f>
        <v/>
      </c>
      <c r="AF834" s="1" t="str">
        <f>IFERROR(__xludf.DUMMYFUNCTION("""COMPUTED_VALUE"""),"")</f>
        <v/>
      </c>
      <c r="AG834" s="1" t="str">
        <f>IFERROR(__xludf.DUMMYFUNCTION("""COMPUTED_VALUE"""),"Facility size estimated between 450,000 - 2,250,000 sq feet")</f>
        <v>Facility size estimated between 450,000 - 2,250,000 sq feet</v>
      </c>
      <c r="AH834" s="1" t="str">
        <f>IFERROR(__xludf.DUMMYFUNCTION("""COMPUTED_VALUE"""),"Media Monitoring")</f>
        <v>Media Monitoring</v>
      </c>
      <c r="AI834" s="2" t="str">
        <f>IFERROR(__xludf.DUMMYFUNCTION("""COMPUTED_VALUE"""),"https://www.datacenterdynamics.com/en/news/14-million-sq-ft-data-center-campus-planned-outside-philadelphia-pennsylvania/")</f>
        <v>https://www.datacenterdynamics.com/en/news/14-million-sq-ft-data-center-campus-planned-outside-philadelphia-pennsylvania/</v>
      </c>
      <c r="AJ834" s="2" t="str">
        <f>IFERROR(__xludf.DUMMYFUNCTION("""COMPUTED_VALUE"""),"https://eastcoventry-pa.gov/vertical/sites/%7BA2FA46C5-686F-4B16-8376-0BDF39FCC483%7D/uploads/Constellation_Application_BOS-25-002.pdf")</f>
        <v>https://eastcoventry-pa.gov/vertical/sites/%7BA2FA46C5-686F-4B16-8376-0BDF39FCC483%7D/uploads/Constellation_Application_BOS-25-002.pdf</v>
      </c>
      <c r="AK834" s="1" t="str">
        <f>IFERROR(__xludf.DUMMYFUNCTION("""COMPUTED_VALUE"""),"")</f>
        <v/>
      </c>
      <c r="AL834" s="1" t="str">
        <f>IFERROR(__xludf.DUMMYFUNCTION("""COMPUTED_VALUE"""),"")</f>
        <v/>
      </c>
      <c r="AM834" s="1" t="str">
        <f>IFERROR(__xludf.DUMMYFUNCTION("""COMPUTED_VALUE"""),"")</f>
        <v/>
      </c>
      <c r="AN834" s="1" t="str">
        <f>IFERROR(__xludf.DUMMYFUNCTION("""COMPUTED_VALUE"""),"")</f>
        <v/>
      </c>
      <c r="AO834" s="1" t="str">
        <f>IFERROR(__xludf.DUMMYFUNCTION("""COMPUTED_VALUE"""),"")</f>
        <v/>
      </c>
      <c r="AP834" s="1" t="str">
        <f>IFERROR(__xludf.DUMMYFUNCTION("""COMPUTED_VALUE"""),"")</f>
        <v/>
      </c>
      <c r="AQ834" s="1" t="str">
        <f>IFERROR(__xludf.DUMMYFUNCTION("""COMPUTED_VALUE"""),"01/19/2026")</f>
        <v>01/19/2026</v>
      </c>
      <c r="AR834" s="1" t="str">
        <f>IFERROR(__xludf.DUMMYFUNCTION("""COMPUTED_VALUE"""),"03/22/2026")</f>
        <v>03/22/2026</v>
      </c>
    </row>
    <row r="835">
      <c r="A835" s="1" t="str">
        <f>IFERROR(__xludf.DUMMYFUNCTION("""COMPUTED_VALUE"""),"Project Laurel")</f>
        <v>Project Laurel</v>
      </c>
      <c r="B835" s="1" t="str">
        <f>IFERROR(__xludf.DUMMYFUNCTION("""COMPUTED_VALUE"""),"Sanatoga Rd, Possum Hollow Rd, Evergreen Rd")</f>
        <v>Sanatoga Rd, Possum Hollow Rd, Evergreen Rd</v>
      </c>
      <c r="C835" s="1" t="str">
        <f>IFERROR(__xludf.DUMMYFUNCTION("""COMPUTED_VALUE"""),"Pottstown")</f>
        <v>Pottstown</v>
      </c>
      <c r="D835" s="1" t="str">
        <f>IFERROR(__xludf.DUMMYFUNCTION("""COMPUTED_VALUE"""),"PA")</f>
        <v>PA</v>
      </c>
      <c r="E835" s="1" t="str">
        <f>IFERROR(__xludf.DUMMYFUNCTION("""COMPUTED_VALUE"""),"19464")</f>
        <v>19464</v>
      </c>
      <c r="F835" s="1" t="str">
        <f>IFERROR(__xludf.DUMMYFUNCTION("""COMPUTED_VALUE"""),"Montgomery")</f>
        <v>Montgomery</v>
      </c>
      <c r="G835" s="1" t="str">
        <f>IFERROR(__xludf.DUMMYFUNCTION("""COMPUTED_VALUE"""),"40.234047")</f>
        <v>40.234047</v>
      </c>
      <c r="H835" s="1" t="str">
        <f>IFERROR(__xludf.DUMMYFUNCTION("""COMPUTED_VALUE"""),"-75.5769")</f>
        <v>-75.5769</v>
      </c>
      <c r="I835" s="1" t="str">
        <f>IFERROR(__xludf.DUMMYFUNCTION("""COMPUTED_VALUE"""),"Proposed")</f>
        <v>Proposed</v>
      </c>
      <c r="J835" s="1" t="str">
        <f>IFERROR(__xludf.DUMMYFUNCTION("""COMPUTED_VALUE"""),"High")</f>
        <v>High</v>
      </c>
      <c r="K835" s="1" t="str">
        <f>IFERROR(__xludf.DUMMYFUNCTION("""COMPUTED_VALUE"""),"")</f>
        <v/>
      </c>
      <c r="L835" s="1" t="str">
        <f>IFERROR(__xludf.DUMMYFUNCTION("""COMPUTED_VALUE"""),"MCD 7 LLC")</f>
        <v>MCD 7 LLC</v>
      </c>
      <c r="M835" s="1" t="str">
        <f>IFERROR(__xludf.DUMMYFUNCTION("""COMPUTED_VALUE"""),"")</f>
        <v/>
      </c>
      <c r="N835" s="1" t="str">
        <f>IFERROR(__xludf.DUMMYFUNCTION("""COMPUTED_VALUE"""),"750")</f>
        <v>750</v>
      </c>
      <c r="O835" s="1" t="str">
        <f>IFERROR(__xludf.DUMMYFUNCTION("""COMPUTED_VALUE"""),"Hyperscale (100-999 MW)")</f>
        <v>Hyperscale (100-999 MW)</v>
      </c>
      <c r="P835" s="1" t="str">
        <f>IFERROR(__xludf.DUMMYFUNCTION("""COMPUTED_VALUE"""),"")</f>
        <v/>
      </c>
      <c r="Q835" s="1" t="str">
        <f>IFERROR(__xludf.DUMMYFUNCTION("""COMPUTED_VALUE"""),"")</f>
        <v/>
      </c>
      <c r="R835" s="1" t="str">
        <f>IFERROR(__xludf.DUMMYFUNCTION("""COMPUTED_VALUE"""),"")</f>
        <v/>
      </c>
      <c r="S835" s="1" t="str">
        <f>IFERROR(__xludf.DUMMYFUNCTION("""COMPUTED_VALUE"""),"8")</f>
        <v>8</v>
      </c>
      <c r="T835" s="1" t="str">
        <f>IFERROR(__xludf.DUMMYFUNCTION("""COMPUTED_VALUE"""),"")</f>
        <v/>
      </c>
      <c r="U835" s="1" t="str">
        <f>IFERROR(__xludf.DUMMYFUNCTION("""COMPUTED_VALUE"""),"")</f>
        <v/>
      </c>
      <c r="V835" s="1" t="str">
        <f>IFERROR(__xludf.DUMMYFUNCTION("""COMPUTED_VALUE"""),"1,400,000")</f>
        <v>1,400,000</v>
      </c>
      <c r="W835" s="1" t="str">
        <f>IFERROR(__xludf.DUMMYFUNCTION("""COMPUTED_VALUE"""),"")</f>
        <v/>
      </c>
      <c r="X835" s="1" t="str">
        <f>IFERROR(__xludf.DUMMYFUNCTION("""COMPUTED_VALUE"""),"")</f>
        <v/>
      </c>
      <c r="Y835" s="1" t="str">
        <f>IFERROR(__xludf.DUMMYFUNCTION("""COMPUTED_VALUE"""),"")</f>
        <v/>
      </c>
      <c r="Z835" s="1" t="str">
        <f>IFERROR(__xludf.DUMMYFUNCTION("""COMPUTED_VALUE"""),"Yes")</f>
        <v>Yes</v>
      </c>
      <c r="AA835" s="1" t="str">
        <f>IFERROR(__xludf.DUMMYFUNCTION("""COMPUTED_VALUE"""),"")</f>
        <v/>
      </c>
      <c r="AB835" s="1" t="str">
        <f>IFERROR(__xludf.DUMMYFUNCTION("""COMPUTED_VALUE"""),"")</f>
        <v/>
      </c>
      <c r="AC835" s="1" t="str">
        <f>IFERROR(__xludf.DUMMYFUNCTION("""COMPUTED_VALUE"""),"")</f>
        <v/>
      </c>
      <c r="AD835" s="1" t="str">
        <f>IFERROR(__xludf.DUMMYFUNCTION("""COMPUTED_VALUE"""),"")</f>
        <v/>
      </c>
      <c r="AE835" s="1" t="str">
        <f>IFERROR(__xludf.DUMMYFUNCTION("""COMPUTED_VALUE"""),"")</f>
        <v/>
      </c>
      <c r="AF835" s="2" t="str">
        <f>IFERROR(__xludf.DUMMYFUNCTION("""COMPUTED_VALUE"""),"https://www.change.org/p/oppose-data-centers-in-linfield-and-limerick")</f>
        <v>https://www.change.org/p/oppose-data-centers-in-linfield-and-limerick</v>
      </c>
      <c r="AG835" s="1" t="str">
        <f>IFERROR(__xludf.DUMMYFUNCTION("""COMPUTED_VALUE"""),"")</f>
        <v/>
      </c>
      <c r="AH835" s="1" t="str">
        <f>IFERROR(__xludf.DUMMYFUNCTION("""COMPUTED_VALUE"""),"Media Monitoring")</f>
        <v>Media Monitoring</v>
      </c>
      <c r="AI835" s="2" t="str">
        <f>IFERROR(__xludf.DUMMYFUNCTION("""COMPUTED_VALUE"""),"https://www.datacenterdynamics.com/en/news/14-million-sq-ft-data-center-campus-planned-outside-philadelphia-pennsylvania/")</f>
        <v>https://www.datacenterdynamics.com/en/news/14-million-sq-ft-data-center-campus-planned-outside-philadelphia-pennsylvania/</v>
      </c>
      <c r="AJ835" s="2" t="str">
        <f>IFERROR(__xludf.DUMMYFUNCTION("""COMPUTED_VALUE"""),"https://www.limerickpa.org/AgendaCenter/ViewFile/Agenda/_01082026-612?fbclid=IwZXh0bgNhZW0CMTAAYnJpZBExb3RUV2s2NlBnWW1GUU0xZXNydGMGYXBwX2lkEDIyMjAzOTE3ODgyMDA4OTIAAR4x3Vge5famrtF2lACHuKQJONinPG2f-bbYqqqmsfBMaiRHM4_ImgqrazahkQ_aem_wmrdy1BZYJs01DybQZ5gYA")</f>
        <v>https://www.limerickpa.org/AgendaCenter/ViewFile/Agenda/_01082026-612?fbclid=IwZXh0bgNhZW0CMTAAYnJpZBExb3RUV2s2NlBnWW1GUU0xZXNydGMGYXBwX2lkEDIyMjAzOTE3ODgyMDA4OTIAAR4x3Vge5famrtF2lACHuKQJONinPG2f-bbYqqqmsfBMaiRHM4_ImgqrazahkQ_aem_wmrdy1BZYJs01DybQZ5gYA</v>
      </c>
      <c r="AK835" s="1" t="str">
        <f>IFERROR(__xludf.DUMMYFUNCTION("""COMPUTED_VALUE"""),"")</f>
        <v/>
      </c>
      <c r="AL835" s="1" t="str">
        <f>IFERROR(__xludf.DUMMYFUNCTION("""COMPUTED_VALUE"""),"")</f>
        <v/>
      </c>
      <c r="AM835" s="1" t="str">
        <f>IFERROR(__xludf.DUMMYFUNCTION("""COMPUTED_VALUE"""),"")</f>
        <v/>
      </c>
      <c r="AN835" s="1" t="str">
        <f>IFERROR(__xludf.DUMMYFUNCTION("""COMPUTED_VALUE"""),"")</f>
        <v/>
      </c>
      <c r="AO835" s="1" t="str">
        <f>IFERROR(__xludf.DUMMYFUNCTION("""COMPUTED_VALUE"""),"")</f>
        <v/>
      </c>
      <c r="AP835" s="1" t="str">
        <f>IFERROR(__xludf.DUMMYFUNCTION("""COMPUTED_VALUE"""),"")</f>
        <v/>
      </c>
      <c r="AQ835" s="1" t="str">
        <f>IFERROR(__xludf.DUMMYFUNCTION("""COMPUTED_VALUE"""),"01/19/2026")</f>
        <v>01/19/2026</v>
      </c>
      <c r="AR835" s="1" t="str">
        <f>IFERROR(__xludf.DUMMYFUNCTION("""COMPUTED_VALUE"""),"01/19/2026")</f>
        <v>01/19/2026</v>
      </c>
    </row>
    <row r="836">
      <c r="A836" s="1" t="str">
        <f>IFERROR(__xludf.DUMMYFUNCTION("""COMPUTED_VALUE"""),"Ransom Township Data Center")</f>
        <v>Ransom Township Data Center</v>
      </c>
      <c r="B836" s="1" t="str">
        <f>IFERROR(__xludf.DUMMYFUNCTION("""COMPUTED_VALUE"""),"819 Newton Rd")</f>
        <v>819 Newton Rd</v>
      </c>
      <c r="C836" s="1" t="str">
        <f>IFERROR(__xludf.DUMMYFUNCTION("""COMPUTED_VALUE"""),"Ransom Twp")</f>
        <v>Ransom Twp</v>
      </c>
      <c r="D836" s="1" t="str">
        <f>IFERROR(__xludf.DUMMYFUNCTION("""COMPUTED_VALUE"""),"PA")</f>
        <v>PA</v>
      </c>
      <c r="E836" s="1" t="str">
        <f>IFERROR(__xludf.DUMMYFUNCTION("""COMPUTED_VALUE"""),"18504")</f>
        <v>18504</v>
      </c>
      <c r="F836" s="1" t="str">
        <f>IFERROR(__xludf.DUMMYFUNCTION("""COMPUTED_VALUE"""),"Lackawanna")</f>
        <v>Lackawanna</v>
      </c>
      <c r="G836" s="1" t="str">
        <f>IFERROR(__xludf.DUMMYFUNCTION("""COMPUTED_VALUE"""),"41.44154")</f>
        <v>41.44154</v>
      </c>
      <c r="H836" s="1" t="str">
        <f>IFERROR(__xludf.DUMMYFUNCTION("""COMPUTED_VALUE"""),"-75.704315")</f>
        <v>-75.704315</v>
      </c>
      <c r="I836" s="1" t="str">
        <f>IFERROR(__xludf.DUMMYFUNCTION("""COMPUTED_VALUE"""),"Suspended")</f>
        <v>Suspended</v>
      </c>
      <c r="J836" s="1" t="str">
        <f>IFERROR(__xludf.DUMMYFUNCTION("""COMPUTED_VALUE"""),"High")</f>
        <v>High</v>
      </c>
      <c r="K836" s="1" t="str">
        <f>IFERROR(__xludf.DUMMYFUNCTION("""COMPUTED_VALUE"""),"")</f>
        <v/>
      </c>
      <c r="L836" s="1" t="str">
        <f>IFERROR(__xludf.DUMMYFUNCTION("""COMPUTED_VALUE"""),"")</f>
        <v/>
      </c>
      <c r="M836" s="1" t="str">
        <f>IFERROR(__xludf.DUMMYFUNCTION("""COMPUTED_VALUE"""),"")</f>
        <v/>
      </c>
      <c r="N836" s="1" t="str">
        <f>IFERROR(__xludf.DUMMYFUNCTION("""COMPUTED_VALUE"""),"")</f>
        <v/>
      </c>
      <c r="O836" s="1" t="str">
        <f>IFERROR(__xludf.DUMMYFUNCTION("""COMPUTED_VALUE"""),"Unknown")</f>
        <v>Unknown</v>
      </c>
      <c r="P836" s="1" t="str">
        <f>IFERROR(__xludf.DUMMYFUNCTION("""COMPUTED_VALUE"""),"")</f>
        <v/>
      </c>
      <c r="Q836" s="1" t="str">
        <f>IFERROR(__xludf.DUMMYFUNCTION("""COMPUTED_VALUE"""),"")</f>
        <v/>
      </c>
      <c r="R836" s="1" t="str">
        <f>IFERROR(__xludf.DUMMYFUNCTION("""COMPUTED_VALUE"""),"")</f>
        <v/>
      </c>
      <c r="S836" s="1" t="str">
        <f>IFERROR(__xludf.DUMMYFUNCTION("""COMPUTED_VALUE"""),"")</f>
        <v/>
      </c>
      <c r="T836" s="1" t="str">
        <f>IFERROR(__xludf.DUMMYFUNCTION("""COMPUTED_VALUE"""),"")</f>
        <v/>
      </c>
      <c r="U836" s="1" t="str">
        <f>IFERROR(__xludf.DUMMYFUNCTION("""COMPUTED_VALUE"""),"")</f>
        <v/>
      </c>
      <c r="V836" s="1" t="str">
        <f>IFERROR(__xludf.DUMMYFUNCTION("""COMPUTED_VALUE"""),"")</f>
        <v/>
      </c>
      <c r="W836" s="1" t="str">
        <f>IFERROR(__xludf.DUMMYFUNCTION("""COMPUTED_VALUE"""),"251")</f>
        <v>251</v>
      </c>
      <c r="X836" s="1" t="str">
        <f>IFERROR(__xludf.DUMMYFUNCTION("""COMPUTED_VALUE"""),"")</f>
        <v/>
      </c>
      <c r="Y836" s="1" t="str">
        <f>IFERROR(__xludf.DUMMYFUNCTION("""COMPUTED_VALUE"""),"")</f>
        <v/>
      </c>
      <c r="Z836" s="1" t="str">
        <f>IFERROR(__xludf.DUMMYFUNCTION("""COMPUTED_VALUE"""),"Yes")</f>
        <v>Yes</v>
      </c>
      <c r="AA836" s="1" t="str">
        <f>IFERROR(__xludf.DUMMYFUNCTION("""COMPUTED_VALUE"""),"")</f>
        <v/>
      </c>
      <c r="AB836" s="1" t="str">
        <f>IFERROR(__xludf.DUMMYFUNCTION("""COMPUTED_VALUE"""),"")</f>
        <v/>
      </c>
      <c r="AC836" s="1" t="str">
        <f>IFERROR(__xludf.DUMMYFUNCTION("""COMPUTED_VALUE"""),"")</f>
        <v/>
      </c>
      <c r="AD836" s="2" t="str">
        <f>IFERROR(__xludf.DUMMYFUNCTION("""COMPUTED_VALUE"""),"https://www.facebook.com/groups/2297149624011296")</f>
        <v>https://www.facebook.com/groups/2297149624011296</v>
      </c>
      <c r="AE836" s="1" t="str">
        <f>IFERROR(__xludf.DUMMYFUNCTION("""COMPUTED_VALUE"""),"")</f>
        <v/>
      </c>
      <c r="AF836" s="1" t="str">
        <f>IFERROR(__xludf.DUMMYFUNCTION("""COMPUTED_VALUE"""),"")</f>
        <v/>
      </c>
      <c r="AG836" s="1" t="str">
        <f>IFERROR(__xludf.DUMMYFUNCTION("""COMPUTED_VALUE"""),"")</f>
        <v/>
      </c>
      <c r="AH836" s="1" t="str">
        <f>IFERROR(__xludf.DUMMYFUNCTION("""COMPUTED_VALUE"""),"Media Monitoring")</f>
        <v>Media Monitoring</v>
      </c>
      <c r="AI836" s="2" t="str">
        <f>IFERROR(__xludf.DUMMYFUNCTION("""COMPUTED_VALUE"""),"https://www.datacenterdynamics.com/en/news/zoning-amendment-rejected-for-data-center-in-ransom-township-pennsylvania/")</f>
        <v>https://www.datacenterdynamics.com/en/news/zoning-amendment-rejected-for-data-center-in-ransom-township-pennsylvania/</v>
      </c>
      <c r="AJ836" s="1" t="str">
        <f>IFERROR(__xludf.DUMMYFUNCTION("""COMPUTED_VALUE"""),"")</f>
        <v/>
      </c>
      <c r="AK836" s="1" t="str">
        <f>IFERROR(__xludf.DUMMYFUNCTION("""COMPUTED_VALUE"""),"")</f>
        <v/>
      </c>
      <c r="AL836" s="1" t="str">
        <f>IFERROR(__xludf.DUMMYFUNCTION("""COMPUTED_VALUE"""),"")</f>
        <v/>
      </c>
      <c r="AM836" s="1" t="str">
        <f>IFERROR(__xludf.DUMMYFUNCTION("""COMPUTED_VALUE"""),"")</f>
        <v/>
      </c>
      <c r="AN836" s="1" t="str">
        <f>IFERROR(__xludf.DUMMYFUNCTION("""COMPUTED_VALUE"""),"")</f>
        <v/>
      </c>
      <c r="AO836" s="1" t="str">
        <f>IFERROR(__xludf.DUMMYFUNCTION("""COMPUTED_VALUE"""),"")</f>
        <v/>
      </c>
      <c r="AP836" s="1" t="str">
        <f>IFERROR(__xludf.DUMMYFUNCTION("""COMPUTED_VALUE"""),"")</f>
        <v/>
      </c>
      <c r="AQ836" s="1" t="str">
        <f>IFERROR(__xludf.DUMMYFUNCTION("""COMPUTED_VALUE"""),"01/22/2026")</f>
        <v>01/22/2026</v>
      </c>
      <c r="AR836" s="1" t="str">
        <f>IFERROR(__xludf.DUMMYFUNCTION("""COMPUTED_VALUE"""),"03/22/2026")</f>
        <v>03/22/2026</v>
      </c>
    </row>
    <row r="837">
      <c r="A837" s="1" t="str">
        <f>IFERROR(__xludf.DUMMYFUNCTION("""COMPUTED_VALUE"""),"DaSTOR (Reading) Data Center")</f>
        <v>DaSTOR (Reading) Data Center</v>
      </c>
      <c r="B837" s="1" t="str">
        <f>IFERROR(__xludf.DUMMYFUNCTION("""COMPUTED_VALUE"""),"2561 Bernville Road")</f>
        <v>2561 Bernville Road</v>
      </c>
      <c r="C837" s="1" t="str">
        <f>IFERROR(__xludf.DUMMYFUNCTION("""COMPUTED_VALUE"""),"Reading")</f>
        <v>Reading</v>
      </c>
      <c r="D837" s="1" t="str">
        <f>IFERROR(__xludf.DUMMYFUNCTION("""COMPUTED_VALUE"""),"PA")</f>
        <v>PA</v>
      </c>
      <c r="E837" s="1" t="str">
        <f>IFERROR(__xludf.DUMMYFUNCTION("""COMPUTED_VALUE"""),"19605")</f>
        <v>19605</v>
      </c>
      <c r="F837" s="1" t="str">
        <f>IFERROR(__xludf.DUMMYFUNCTION("""COMPUTED_VALUE"""),"Berks")</f>
        <v>Berks</v>
      </c>
      <c r="G837" s="1" t="str">
        <f>IFERROR(__xludf.DUMMYFUNCTION("""COMPUTED_VALUE"""),"40.380787")</f>
        <v>40.380787</v>
      </c>
      <c r="H837" s="1" t="str">
        <f>IFERROR(__xludf.DUMMYFUNCTION("""COMPUTED_VALUE"""),"-75.98114")</f>
        <v>-75.98114</v>
      </c>
      <c r="I837" s="1" t="str">
        <f>IFERROR(__xludf.DUMMYFUNCTION("""COMPUTED_VALUE"""),"Operating")</f>
        <v>Operating</v>
      </c>
      <c r="J837" s="1" t="str">
        <f>IFERROR(__xludf.DUMMYFUNCTION("""COMPUTED_VALUE"""),"High")</f>
        <v>High</v>
      </c>
      <c r="K837" s="1" t="str">
        <f>IFERROR(__xludf.DUMMYFUNCTION("""COMPUTED_VALUE"""),"")</f>
        <v/>
      </c>
      <c r="L837" s="1" t="str">
        <f>IFERROR(__xludf.DUMMYFUNCTION("""COMPUTED_VALUE"""),"DaSTOR")</f>
        <v>DaSTOR</v>
      </c>
      <c r="M837" s="1" t="str">
        <f>IFERROR(__xludf.DUMMYFUNCTION("""COMPUTED_VALUE"""),"")</f>
        <v/>
      </c>
      <c r="N837" s="1" t="str">
        <f>IFERROR(__xludf.DUMMYFUNCTION("""COMPUTED_VALUE"""),"6")</f>
        <v>6</v>
      </c>
      <c r="O837" s="1" t="str">
        <f>IFERROR(__xludf.DUMMYFUNCTION("""COMPUTED_VALUE"""),"Small (0-10 MW)")</f>
        <v>Small (0-10 MW)</v>
      </c>
      <c r="P837" s="1" t="str">
        <f>IFERROR(__xludf.DUMMYFUNCTION("""COMPUTED_VALUE"""),"")</f>
        <v/>
      </c>
      <c r="Q837" s="1" t="str">
        <f>IFERROR(__xludf.DUMMYFUNCTION("""COMPUTED_VALUE"""),"")</f>
        <v/>
      </c>
      <c r="R837" s="1" t="str">
        <f>IFERROR(__xludf.DUMMYFUNCTION("""COMPUTED_VALUE"""),"")</f>
        <v/>
      </c>
      <c r="S837" s="1" t="str">
        <f>IFERROR(__xludf.DUMMYFUNCTION("""COMPUTED_VALUE"""),"")</f>
        <v/>
      </c>
      <c r="T837" s="1" t="str">
        <f>IFERROR(__xludf.DUMMYFUNCTION("""COMPUTED_VALUE"""),"")</f>
        <v/>
      </c>
      <c r="U837" s="1" t="str">
        <f>IFERROR(__xludf.DUMMYFUNCTION("""COMPUTED_VALUE"""),"")</f>
        <v/>
      </c>
      <c r="V837" s="1" t="str">
        <f>IFERROR(__xludf.DUMMYFUNCTION("""COMPUTED_VALUE"""),"110,000")</f>
        <v>110,000</v>
      </c>
      <c r="W837" s="1" t="str">
        <f>IFERROR(__xludf.DUMMYFUNCTION("""COMPUTED_VALUE"""),"")</f>
        <v/>
      </c>
      <c r="X837" s="1" t="str">
        <f>IFERROR(__xludf.DUMMYFUNCTION("""COMPUTED_VALUE"""),"")</f>
        <v/>
      </c>
      <c r="Y837" s="1" t="str">
        <f>IFERROR(__xludf.DUMMYFUNCTION("""COMPUTED_VALUE"""),"")</f>
        <v/>
      </c>
      <c r="Z837" s="1" t="str">
        <f>IFERROR(__xludf.DUMMYFUNCTION("""COMPUTED_VALUE"""),"Unknown")</f>
        <v>Unknown</v>
      </c>
      <c r="AA837" s="1" t="str">
        <f>IFERROR(__xludf.DUMMYFUNCTION("""COMPUTED_VALUE"""),"")</f>
        <v/>
      </c>
      <c r="AB837" s="1" t="str">
        <f>IFERROR(__xludf.DUMMYFUNCTION("""COMPUTED_VALUE"""),"")</f>
        <v/>
      </c>
      <c r="AC837" s="1" t="str">
        <f>IFERROR(__xludf.DUMMYFUNCTION("""COMPUTED_VALUE"""),"")</f>
        <v/>
      </c>
      <c r="AD837" s="1" t="str">
        <f>IFERROR(__xludf.DUMMYFUNCTION("""COMPUTED_VALUE"""),"")</f>
        <v/>
      </c>
      <c r="AE837" s="1" t="str">
        <f>IFERROR(__xludf.DUMMYFUNCTION("""COMPUTED_VALUE"""),"")</f>
        <v/>
      </c>
      <c r="AF837" s="1" t="str">
        <f>IFERROR(__xludf.DUMMYFUNCTION("""COMPUTED_VALUE"""),"")</f>
        <v/>
      </c>
      <c r="AG837" s="1" t="str">
        <f>IFERROR(__xludf.DUMMYFUNCTION("""COMPUTED_VALUE"""),"")</f>
        <v/>
      </c>
      <c r="AH837" s="1" t="str">
        <f>IFERROR(__xludf.DUMMYFUNCTION("""COMPUTED_VALUE"""),"Other")</f>
        <v>Other</v>
      </c>
      <c r="AI837" s="2" t="str">
        <f>IFERROR(__xludf.DUMMYFUNCTION("""COMPUTED_VALUE"""),"https://dastorllc.com/locations/")</f>
        <v>https://dastorllc.com/locations/</v>
      </c>
      <c r="AJ837" s="1" t="str">
        <f>IFERROR(__xludf.DUMMYFUNCTION("""COMPUTED_VALUE"""),"")</f>
        <v/>
      </c>
      <c r="AK837" s="1" t="str">
        <f>IFERROR(__xludf.DUMMYFUNCTION("""COMPUTED_VALUE"""),"")</f>
        <v/>
      </c>
      <c r="AL837" s="1" t="str">
        <f>IFERROR(__xludf.DUMMYFUNCTION("""COMPUTED_VALUE"""),"")</f>
        <v/>
      </c>
      <c r="AM837" s="1" t="str">
        <f>IFERROR(__xludf.DUMMYFUNCTION("""COMPUTED_VALUE"""),"")</f>
        <v/>
      </c>
      <c r="AN837" s="1" t="str">
        <f>IFERROR(__xludf.DUMMYFUNCTION("""COMPUTED_VALUE"""),"")</f>
        <v/>
      </c>
      <c r="AO837" s="1" t="str">
        <f>IFERROR(__xludf.DUMMYFUNCTION("""COMPUTED_VALUE"""),"")</f>
        <v/>
      </c>
      <c r="AP837" s="1" t="str">
        <f>IFERROR(__xludf.DUMMYFUNCTION("""COMPUTED_VALUE"""),"")</f>
        <v/>
      </c>
      <c r="AQ837" s="1" t="str">
        <f>IFERROR(__xludf.DUMMYFUNCTION("""COMPUTED_VALUE"""),"11/24/2025")</f>
        <v>11/24/2025</v>
      </c>
      <c r="AR837" s="1" t="str">
        <f>IFERROR(__xludf.DUMMYFUNCTION("""COMPUTED_VALUE"""),"11/24/2025")</f>
        <v>11/24/2025</v>
      </c>
    </row>
    <row r="838">
      <c r="A838" s="1" t="str">
        <f>IFERROR(__xludf.DUMMYFUNCTION("""COMPUTED_VALUE"""),"Direct LTx Cloud Data Center")</f>
        <v>Direct LTx Cloud Data Center</v>
      </c>
      <c r="B838" s="1" t="str">
        <f>IFERROR(__xludf.DUMMYFUNCTION("""COMPUTED_VALUE"""),"2561 Bernville Rd")</f>
        <v>2561 Bernville Rd</v>
      </c>
      <c r="C838" s="1" t="str">
        <f>IFERROR(__xludf.DUMMYFUNCTION("""COMPUTED_VALUE"""),"Reading")</f>
        <v>Reading</v>
      </c>
      <c r="D838" s="1" t="str">
        <f>IFERROR(__xludf.DUMMYFUNCTION("""COMPUTED_VALUE"""),"PA")</f>
        <v>PA</v>
      </c>
      <c r="E838" s="1" t="str">
        <f>IFERROR(__xludf.DUMMYFUNCTION("""COMPUTED_VALUE"""),"19605")</f>
        <v>19605</v>
      </c>
      <c r="F838" s="1" t="str">
        <f>IFERROR(__xludf.DUMMYFUNCTION("""COMPUTED_VALUE"""),"Berks")</f>
        <v>Berks</v>
      </c>
      <c r="G838" s="1" t="str">
        <f>IFERROR(__xludf.DUMMYFUNCTION("""COMPUTED_VALUE"""),"40.381546")</f>
        <v>40.381546</v>
      </c>
      <c r="H838" s="1" t="str">
        <f>IFERROR(__xludf.DUMMYFUNCTION("""COMPUTED_VALUE"""),"-75.98202")</f>
        <v>-75.98202</v>
      </c>
      <c r="I838" s="1" t="str">
        <f>IFERROR(__xludf.DUMMYFUNCTION("""COMPUTED_VALUE"""),"Operating")</f>
        <v>Operating</v>
      </c>
      <c r="J838" s="1" t="str">
        <f>IFERROR(__xludf.DUMMYFUNCTION("""COMPUTED_VALUE"""),"High")</f>
        <v>High</v>
      </c>
      <c r="K838" s="1" t="str">
        <f>IFERROR(__xludf.DUMMYFUNCTION("""COMPUTED_VALUE"""),"")</f>
        <v/>
      </c>
      <c r="L838" s="1" t="str">
        <f>IFERROR(__xludf.DUMMYFUNCTION("""COMPUTED_VALUE"""),"Directlink Technologies")</f>
        <v>Directlink Technologies</v>
      </c>
      <c r="M838" s="1" t="str">
        <f>IFERROR(__xludf.DUMMYFUNCTION("""COMPUTED_VALUE"""),"")</f>
        <v/>
      </c>
      <c r="N838" s="1" t="str">
        <f>IFERROR(__xludf.DUMMYFUNCTION("""COMPUTED_VALUE"""),"6")</f>
        <v>6</v>
      </c>
      <c r="O838" s="1" t="str">
        <f>IFERROR(__xludf.DUMMYFUNCTION("""COMPUTED_VALUE"""),"Small (0-10 MW)")</f>
        <v>Small (0-10 MW)</v>
      </c>
      <c r="P838" s="1" t="str">
        <f>IFERROR(__xludf.DUMMYFUNCTION("""COMPUTED_VALUE"""),"")</f>
        <v/>
      </c>
      <c r="Q838" s="1" t="str">
        <f>IFERROR(__xludf.DUMMYFUNCTION("""COMPUTED_VALUE"""),"")</f>
        <v/>
      </c>
      <c r="R838" s="1" t="str">
        <f>IFERROR(__xludf.DUMMYFUNCTION("""COMPUTED_VALUE"""),"")</f>
        <v/>
      </c>
      <c r="S838" s="1" t="str">
        <f>IFERROR(__xludf.DUMMYFUNCTION("""COMPUTED_VALUE"""),"")</f>
        <v/>
      </c>
      <c r="T838" s="1" t="str">
        <f>IFERROR(__xludf.DUMMYFUNCTION("""COMPUTED_VALUE"""),"Hybrid air/water")</f>
        <v>Hybrid air/water</v>
      </c>
      <c r="U838" s="1" t="str">
        <f>IFERROR(__xludf.DUMMYFUNCTION("""COMPUTED_VALUE"""),"")</f>
        <v/>
      </c>
      <c r="V838" s="1" t="str">
        <f>IFERROR(__xludf.DUMMYFUNCTION("""COMPUTED_VALUE"""),"110,000")</f>
        <v>110,000</v>
      </c>
      <c r="W838" s="1" t="str">
        <f>IFERROR(__xludf.DUMMYFUNCTION("""COMPUTED_VALUE"""),"")</f>
        <v/>
      </c>
      <c r="X838" s="1" t="str">
        <f>IFERROR(__xludf.DUMMYFUNCTION("""COMPUTED_VALUE"""),"")</f>
        <v/>
      </c>
      <c r="Y838" s="1" t="str">
        <f>IFERROR(__xludf.DUMMYFUNCTION("""COMPUTED_VALUE"""),"")</f>
        <v/>
      </c>
      <c r="Z838" s="1" t="str">
        <f>IFERROR(__xludf.DUMMYFUNCTION("""COMPUTED_VALUE"""),"Unknown")</f>
        <v>Unknown</v>
      </c>
      <c r="AA838" s="1" t="str">
        <f>IFERROR(__xludf.DUMMYFUNCTION("""COMPUTED_VALUE"""),"")</f>
        <v/>
      </c>
      <c r="AB838" s="1" t="str">
        <f>IFERROR(__xludf.DUMMYFUNCTION("""COMPUTED_VALUE"""),"")</f>
        <v/>
      </c>
      <c r="AC838" s="1" t="str">
        <f>IFERROR(__xludf.DUMMYFUNCTION("""COMPUTED_VALUE"""),"")</f>
        <v/>
      </c>
      <c r="AD838" s="1" t="str">
        <f>IFERROR(__xludf.DUMMYFUNCTION("""COMPUTED_VALUE"""),"")</f>
        <v/>
      </c>
      <c r="AE838" s="1" t="str">
        <f>IFERROR(__xludf.DUMMYFUNCTION("""COMPUTED_VALUE"""),"")</f>
        <v/>
      </c>
      <c r="AF838" s="1" t="str">
        <f>IFERROR(__xludf.DUMMYFUNCTION("""COMPUTED_VALUE"""),"")</f>
        <v/>
      </c>
      <c r="AG838" s="1" t="str">
        <f>IFERROR(__xludf.DUMMYFUNCTION("""COMPUTED_VALUE"""),"")</f>
        <v/>
      </c>
      <c r="AH838" s="1" t="str">
        <f>IFERROR(__xludf.DUMMYFUNCTION("""COMPUTED_VALUE"""),"Other")</f>
        <v>Other</v>
      </c>
      <c r="AI838" s="2" t="str">
        <f>IFERROR(__xludf.DUMMYFUNCTION("""COMPUTED_VALUE"""),"https://www.directltx.com/facility-information")</f>
        <v>https://www.directltx.com/facility-information</v>
      </c>
      <c r="AJ838" s="1" t="str">
        <f>IFERROR(__xludf.DUMMYFUNCTION("""COMPUTED_VALUE"""),"")</f>
        <v/>
      </c>
      <c r="AK838" s="1" t="str">
        <f>IFERROR(__xludf.DUMMYFUNCTION("""COMPUTED_VALUE"""),"")</f>
        <v/>
      </c>
      <c r="AL838" s="1" t="str">
        <f>IFERROR(__xludf.DUMMYFUNCTION("""COMPUTED_VALUE"""),"")</f>
        <v/>
      </c>
      <c r="AM838" s="1" t="str">
        <f>IFERROR(__xludf.DUMMYFUNCTION("""COMPUTED_VALUE"""),"")</f>
        <v/>
      </c>
      <c r="AN838" s="1" t="str">
        <f>IFERROR(__xludf.DUMMYFUNCTION("""COMPUTED_VALUE"""),"")</f>
        <v/>
      </c>
      <c r="AO838" s="1" t="str">
        <f>IFERROR(__xludf.DUMMYFUNCTION("""COMPUTED_VALUE"""),"")</f>
        <v/>
      </c>
      <c r="AP838" s="1" t="str">
        <f>IFERROR(__xludf.DUMMYFUNCTION("""COMPUTED_VALUE"""),"")</f>
        <v/>
      </c>
      <c r="AQ838" s="1" t="str">
        <f>IFERROR(__xludf.DUMMYFUNCTION("""COMPUTED_VALUE"""),"11/24/2025")</f>
        <v>11/24/2025</v>
      </c>
      <c r="AR838" s="1" t="str">
        <f>IFERROR(__xludf.DUMMYFUNCTION("""COMPUTED_VALUE"""),"11/24/2025")</f>
        <v>11/24/2025</v>
      </c>
    </row>
    <row r="839">
      <c r="A839" s="1" t="str">
        <f>IFERROR(__xludf.DUMMYFUNCTION("""COMPUTED_VALUE"""),"Omega Systems Reading Data Center")</f>
        <v>Omega Systems Reading Data Center</v>
      </c>
      <c r="B839" s="1" t="str">
        <f>IFERROR(__xludf.DUMMYFUNCTION("""COMPUTED_VALUE"""),"1121 Snyder Road")</f>
        <v>1121 Snyder Road</v>
      </c>
      <c r="C839" s="1" t="str">
        <f>IFERROR(__xludf.DUMMYFUNCTION("""COMPUTED_VALUE"""),"Reading")</f>
        <v>Reading</v>
      </c>
      <c r="D839" s="1" t="str">
        <f>IFERROR(__xludf.DUMMYFUNCTION("""COMPUTED_VALUE"""),"PA")</f>
        <v>PA</v>
      </c>
      <c r="E839" s="1" t="str">
        <f>IFERROR(__xludf.DUMMYFUNCTION("""COMPUTED_VALUE"""),"19609")</f>
        <v>19609</v>
      </c>
      <c r="F839" s="1" t="str">
        <f>IFERROR(__xludf.DUMMYFUNCTION("""COMPUTED_VALUE"""),"Berks")</f>
        <v>Berks</v>
      </c>
      <c r="G839" s="1" t="str">
        <f>IFERROR(__xludf.DUMMYFUNCTION("""COMPUTED_VALUE"""),"40.34144")</f>
        <v>40.34144</v>
      </c>
      <c r="H839" s="1" t="str">
        <f>IFERROR(__xludf.DUMMYFUNCTION("""COMPUTED_VALUE"""),"-76.00547")</f>
        <v>-76.00547</v>
      </c>
      <c r="I839" s="1" t="str">
        <f>IFERROR(__xludf.DUMMYFUNCTION("""COMPUTED_VALUE"""),"Operating")</f>
        <v>Operating</v>
      </c>
      <c r="J839" s="1" t="str">
        <f>IFERROR(__xludf.DUMMYFUNCTION("""COMPUTED_VALUE"""),"High")</f>
        <v>High</v>
      </c>
      <c r="K839" s="1" t="str">
        <f>IFERROR(__xludf.DUMMYFUNCTION("""COMPUTED_VALUE"""),"")</f>
        <v/>
      </c>
      <c r="L839" s="1" t="str">
        <f>IFERROR(__xludf.DUMMYFUNCTION("""COMPUTED_VALUE"""),"Omega")</f>
        <v>Omega</v>
      </c>
      <c r="M839" s="1" t="str">
        <f>IFERROR(__xludf.DUMMYFUNCTION("""COMPUTED_VALUE"""),"")</f>
        <v/>
      </c>
      <c r="N839" s="1" t="str">
        <f>IFERROR(__xludf.DUMMYFUNCTION("""COMPUTED_VALUE"""),"")</f>
        <v/>
      </c>
      <c r="O839" s="1" t="str">
        <f>IFERROR(__xludf.DUMMYFUNCTION("""COMPUTED_VALUE"""),"Unknown")</f>
        <v>Unknown</v>
      </c>
      <c r="P839" s="1" t="str">
        <f>IFERROR(__xludf.DUMMYFUNCTION("""COMPUTED_VALUE"""),"")</f>
        <v/>
      </c>
      <c r="Q839" s="1" t="str">
        <f>IFERROR(__xludf.DUMMYFUNCTION("""COMPUTED_VALUE"""),"")</f>
        <v/>
      </c>
      <c r="R839" s="1" t="str">
        <f>IFERROR(__xludf.DUMMYFUNCTION("""COMPUTED_VALUE"""),"")</f>
        <v/>
      </c>
      <c r="S839" s="1" t="str">
        <f>IFERROR(__xludf.DUMMYFUNCTION("""COMPUTED_VALUE"""),"")</f>
        <v/>
      </c>
      <c r="T839" s="1" t="str">
        <f>IFERROR(__xludf.DUMMYFUNCTION("""COMPUTED_VALUE"""),"")</f>
        <v/>
      </c>
      <c r="U839" s="1" t="str">
        <f>IFERROR(__xludf.DUMMYFUNCTION("""COMPUTED_VALUE"""),"")</f>
        <v/>
      </c>
      <c r="V839" s="1" t="str">
        <f>IFERROR(__xludf.DUMMYFUNCTION("""COMPUTED_VALUE"""),"")</f>
        <v/>
      </c>
      <c r="W839" s="1" t="str">
        <f>IFERROR(__xludf.DUMMYFUNCTION("""COMPUTED_VALUE"""),"")</f>
        <v/>
      </c>
      <c r="X839" s="1" t="str">
        <f>IFERROR(__xludf.DUMMYFUNCTION("""COMPUTED_VALUE"""),"")</f>
        <v/>
      </c>
      <c r="Y839" s="1" t="str">
        <f>IFERROR(__xludf.DUMMYFUNCTION("""COMPUTED_VALUE"""),"")</f>
        <v/>
      </c>
      <c r="Z839" s="1" t="str">
        <f>IFERROR(__xludf.DUMMYFUNCTION("""COMPUTED_VALUE"""),"Unknown")</f>
        <v>Unknown</v>
      </c>
      <c r="AA839" s="1" t="str">
        <f>IFERROR(__xludf.DUMMYFUNCTION("""COMPUTED_VALUE"""),"")</f>
        <v/>
      </c>
      <c r="AB839" s="1" t="str">
        <f>IFERROR(__xludf.DUMMYFUNCTION("""COMPUTED_VALUE"""),"")</f>
        <v/>
      </c>
      <c r="AC839" s="1" t="str">
        <f>IFERROR(__xludf.DUMMYFUNCTION("""COMPUTED_VALUE"""),"")</f>
        <v/>
      </c>
      <c r="AD839" s="1" t="str">
        <f>IFERROR(__xludf.DUMMYFUNCTION("""COMPUTED_VALUE"""),"")</f>
        <v/>
      </c>
      <c r="AE839" s="1" t="str">
        <f>IFERROR(__xludf.DUMMYFUNCTION("""COMPUTED_VALUE"""),"")</f>
        <v/>
      </c>
      <c r="AF839" s="1" t="str">
        <f>IFERROR(__xludf.DUMMYFUNCTION("""COMPUTED_VALUE"""),"")</f>
        <v/>
      </c>
      <c r="AG839" s="1" t="str">
        <f>IFERROR(__xludf.DUMMYFUNCTION("""COMPUTED_VALUE"""),"")</f>
        <v/>
      </c>
      <c r="AH839" s="1" t="str">
        <f>IFERROR(__xludf.DUMMYFUNCTION("""COMPUTED_VALUE"""),"Other")</f>
        <v>Other</v>
      </c>
      <c r="AI839" s="2" t="str">
        <f>IFERROR(__xludf.DUMMYFUNCTION("""COMPUTED_VALUE"""),"https://omegasystemscorp.com/company/locations/")</f>
        <v>https://omegasystemscorp.com/company/locations/</v>
      </c>
      <c r="AJ839" s="1" t="str">
        <f>IFERROR(__xludf.DUMMYFUNCTION("""COMPUTED_VALUE"""),"")</f>
        <v/>
      </c>
      <c r="AK839" s="1" t="str">
        <f>IFERROR(__xludf.DUMMYFUNCTION("""COMPUTED_VALUE"""),"")</f>
        <v/>
      </c>
      <c r="AL839" s="1" t="str">
        <f>IFERROR(__xludf.DUMMYFUNCTION("""COMPUTED_VALUE"""),"")</f>
        <v/>
      </c>
      <c r="AM839" s="1" t="str">
        <f>IFERROR(__xludf.DUMMYFUNCTION("""COMPUTED_VALUE"""),"")</f>
        <v/>
      </c>
      <c r="AN839" s="1" t="str">
        <f>IFERROR(__xludf.DUMMYFUNCTION("""COMPUTED_VALUE"""),"")</f>
        <v/>
      </c>
      <c r="AO839" s="1" t="str">
        <f>IFERROR(__xludf.DUMMYFUNCTION("""COMPUTED_VALUE"""),"")</f>
        <v/>
      </c>
      <c r="AP839" s="1" t="str">
        <f>IFERROR(__xludf.DUMMYFUNCTION("""COMPUTED_VALUE"""),"")</f>
        <v/>
      </c>
      <c r="AQ839" s="1" t="str">
        <f>IFERROR(__xludf.DUMMYFUNCTION("""COMPUTED_VALUE"""),"11/24/2025")</f>
        <v>11/24/2025</v>
      </c>
      <c r="AR839" s="1" t="str">
        <f>IFERROR(__xludf.DUMMYFUNCTION("""COMPUTED_VALUE"""),"11/24/2025")</f>
        <v>11/24/2025</v>
      </c>
    </row>
    <row r="840">
      <c r="A840" s="1" t="str">
        <f>IFERROR(__xludf.DUMMYFUNCTION("""COMPUTED_VALUE"""),"Champion Data Center Project")</f>
        <v>Champion Data Center Project</v>
      </c>
      <c r="B840" s="1" t="str">
        <f>IFERROR(__xludf.DUMMYFUNCTION("""COMPUTED_VALUE"""),"Champion Drive")</f>
        <v>Champion Drive</v>
      </c>
      <c r="C840" s="1" t="str">
        <f>IFERROR(__xludf.DUMMYFUNCTION("""COMPUTED_VALUE"""),"Robinson Township ")</f>
        <v>Robinson Township </v>
      </c>
      <c r="D840" s="1" t="str">
        <f>IFERROR(__xludf.DUMMYFUNCTION("""COMPUTED_VALUE"""),"PA")</f>
        <v>PA</v>
      </c>
      <c r="E840" s="1" t="str">
        <f>IFERROR(__xludf.DUMMYFUNCTION("""COMPUTED_VALUE"""),"15057")</f>
        <v>15057</v>
      </c>
      <c r="F840" s="1" t="str">
        <f>IFERROR(__xludf.DUMMYFUNCTION("""COMPUTED_VALUE"""),"Allegheny")</f>
        <v>Allegheny</v>
      </c>
      <c r="G840" s="1" t="str">
        <f>IFERROR(__xludf.DUMMYFUNCTION("""COMPUTED_VALUE"""),"40.49")</f>
        <v>40.49</v>
      </c>
      <c r="H840" s="1" t="str">
        <f>IFERROR(__xludf.DUMMYFUNCTION("""COMPUTED_VALUE"""),"-80.23")</f>
        <v>-80.23</v>
      </c>
      <c r="I840" s="1" t="str">
        <f>IFERROR(__xludf.DUMMYFUNCTION("""COMPUTED_VALUE"""),"Proposed")</f>
        <v>Proposed</v>
      </c>
      <c r="J840" s="1" t="str">
        <f>IFERROR(__xludf.DUMMYFUNCTION("""COMPUTED_VALUE"""),"Medium")</f>
        <v>Medium</v>
      </c>
      <c r="K840" s="1" t="str">
        <f>IFERROR(__xludf.DUMMYFUNCTION("""COMPUTED_VALUE"""),"Hyperscale AI/Data Center Campus")</f>
        <v>Hyperscale AI/Data Center Campus</v>
      </c>
      <c r="L840" s="1" t="str">
        <f>IFERROR(__xludf.DUMMYFUNCTION("""COMPUTED_VALUE"""),"")</f>
        <v/>
      </c>
      <c r="M840" s="1" t="str">
        <f>IFERROR(__xludf.DUMMYFUNCTION("""COMPUTED_VALUE"""),"")</f>
        <v/>
      </c>
      <c r="N840" s="1" t="str">
        <f>IFERROR(__xludf.DUMMYFUNCTION("""COMPUTED_VALUE"""),"300")</f>
        <v>300</v>
      </c>
      <c r="O840" s="1" t="str">
        <f>IFERROR(__xludf.DUMMYFUNCTION("""COMPUTED_VALUE"""),"Large (51-99 MW)")</f>
        <v>Large (51-99 MW)</v>
      </c>
      <c r="P840" s="1" t="str">
        <f>IFERROR(__xludf.DUMMYFUNCTION("""COMPUTED_VALUE"""),"")</f>
        <v/>
      </c>
      <c r="Q840" s="1" t="str">
        <f>IFERROR(__xludf.DUMMYFUNCTION("""COMPUTED_VALUE"""),"")</f>
        <v/>
      </c>
      <c r="R840" s="1" t="str">
        <f>IFERROR(__xludf.DUMMYFUNCTION("""COMPUTED_VALUE"""),"")</f>
        <v/>
      </c>
      <c r="S840" s="1" t="str">
        <f>IFERROR(__xludf.DUMMYFUNCTION("""COMPUTED_VALUE"""),"")</f>
        <v/>
      </c>
      <c r="T840" s="1" t="str">
        <f>IFERROR(__xludf.DUMMYFUNCTION("""COMPUTED_VALUE"""),"")</f>
        <v/>
      </c>
      <c r="U840" s="1" t="str">
        <f>IFERROR(__xludf.DUMMYFUNCTION("""COMPUTED_VALUE"""),"")</f>
        <v/>
      </c>
      <c r="V840" s="1" t="str">
        <f>IFERROR(__xludf.DUMMYFUNCTION("""COMPUTED_VALUE"""),"")</f>
        <v/>
      </c>
      <c r="W840" s="1" t="str">
        <f>IFERROR(__xludf.DUMMYFUNCTION("""COMPUTED_VALUE"""),"1000")</f>
        <v>1000</v>
      </c>
      <c r="X840" s="1" t="str">
        <f>IFERROR(__xludf.DUMMYFUNCTION("""COMPUTED_VALUE"""),"")</f>
        <v/>
      </c>
      <c r="Y840" s="1" t="str">
        <f>IFERROR(__xludf.DUMMYFUNCTION("""COMPUTED_VALUE"""),"")</f>
        <v/>
      </c>
      <c r="Z840" s="1" t="str">
        <f>IFERROR(__xludf.DUMMYFUNCTION("""COMPUTED_VALUE"""),"Unknown")</f>
        <v>Unknown</v>
      </c>
      <c r="AA840" s="1" t="str">
        <f>IFERROR(__xludf.DUMMYFUNCTION("""COMPUTED_VALUE"""),"")</f>
        <v/>
      </c>
      <c r="AB840" s="1" t="str">
        <f>IFERROR(__xludf.DUMMYFUNCTION("""COMPUTED_VALUE"""),"Unknown")</f>
        <v>Unknown</v>
      </c>
      <c r="AC840" s="1" t="str">
        <f>IFERROR(__xludf.DUMMYFUNCTION("""COMPUTED_VALUE"""),"")</f>
        <v/>
      </c>
      <c r="AD840" s="1" t="str">
        <f>IFERROR(__xludf.DUMMYFUNCTION("""COMPUTED_VALUE"""),"")</f>
        <v/>
      </c>
      <c r="AE840" s="1" t="str">
        <f>IFERROR(__xludf.DUMMYFUNCTION("""COMPUTED_VALUE"""),"")</f>
        <v/>
      </c>
      <c r="AF840" s="1" t="str">
        <f>IFERROR(__xludf.DUMMYFUNCTION("""COMPUTED_VALUE"""),"")</f>
        <v/>
      </c>
      <c r="AG840" s="1" t="str">
        <f>IFERROR(__xludf.DUMMYFUNCTION("""COMPUTED_VALUE"""),"Marketed as a hyperscale-ready development in Robinson Township. Listed in preliminary activity/land advertisement stage.")</f>
        <v>Marketed as a hyperscale-ready development in Robinson Township. Listed in preliminary activity/land advertisement stage.</v>
      </c>
      <c r="AH840" s="1" t="str">
        <f>IFERROR(__xludf.DUMMYFUNCTION("""COMPUTED_VALUE"""),"Media Monitoring")</f>
        <v>Media Monitoring</v>
      </c>
      <c r="AI840" s="2" t="str">
        <f>IFERROR(__xludf.DUMMYFUNCTION("""COMPUTED_VALUE"""),"https://www.linkedin.com/posts/brian-patten-land_datacenter-hyperscaleinfrastructure-aiinfrastructure-activity-7437127674243792896-b8tM")</f>
        <v>https://www.linkedin.com/posts/brian-patten-land_datacenter-hyperscaleinfrastructure-aiinfrastructure-activity-7437127674243792896-b8tM</v>
      </c>
      <c r="AJ840" s="2" t="str">
        <f>IFERROR(__xludf.DUMMYFUNCTION("""COMPUTED_VALUE"""),"https://www.instagram.com/p/DVs-cYRDQwE/")</f>
        <v>https://www.instagram.com/p/DVs-cYRDQwE/</v>
      </c>
      <c r="AK840" s="1" t="str">
        <f>IFERROR(__xludf.DUMMYFUNCTION("""COMPUTED_VALUE"""),"")</f>
        <v/>
      </c>
      <c r="AL840" s="1" t="str">
        <f>IFERROR(__xludf.DUMMYFUNCTION("""COMPUTED_VALUE"""),"")</f>
        <v/>
      </c>
      <c r="AM840" s="1" t="str">
        <f>IFERROR(__xludf.DUMMYFUNCTION("""COMPUTED_VALUE"""),"")</f>
        <v/>
      </c>
      <c r="AN840" s="1" t="str">
        <f>IFERROR(__xludf.DUMMYFUNCTION("""COMPUTED_VALUE"""),"")</f>
        <v/>
      </c>
      <c r="AO840" s="1" t="str">
        <f>IFERROR(__xludf.DUMMYFUNCTION("""COMPUTED_VALUE"""),"")</f>
        <v/>
      </c>
      <c r="AP840" s="1" t="str">
        <f>IFERROR(__xludf.DUMMYFUNCTION("""COMPUTED_VALUE"""),"")</f>
        <v/>
      </c>
      <c r="AQ840" s="1" t="str">
        <f>IFERROR(__xludf.DUMMYFUNCTION("""COMPUTED_VALUE"""),"06/30/2026")</f>
        <v>06/30/2026</v>
      </c>
      <c r="AR840" s="1" t="str">
        <f>IFERROR(__xludf.DUMMYFUNCTION("""COMPUTED_VALUE"""),"06/30/2026")</f>
        <v>06/30/2026</v>
      </c>
    </row>
    <row r="841">
      <c r="A841" s="1" t="str">
        <f>IFERROR(__xludf.DUMMYFUNCTION("""COMPUTED_VALUE"""),"Dickson City Development LLC s")</f>
        <v>Dickson City Development LLC s</v>
      </c>
      <c r="B841" s="1" t="str">
        <f>IFERROR(__xludf.DUMMYFUNCTION("""COMPUTED_VALUE"""),"Above Business Rte 6")</f>
        <v>Above Business Rte 6</v>
      </c>
      <c r="C841" s="1" t="str">
        <f>IFERROR(__xludf.DUMMYFUNCTION("""COMPUTED_VALUE"""),"Scranton/ Dickson City")</f>
        <v>Scranton/ Dickson City</v>
      </c>
      <c r="D841" s="1" t="str">
        <f>IFERROR(__xludf.DUMMYFUNCTION("""COMPUTED_VALUE"""),"PA")</f>
        <v>PA</v>
      </c>
      <c r="E841" s="1" t="str">
        <f>IFERROR(__xludf.DUMMYFUNCTION("""COMPUTED_VALUE"""),"18508")</f>
        <v>18508</v>
      </c>
      <c r="F841" s="1" t="str">
        <f>IFERROR(__xludf.DUMMYFUNCTION("""COMPUTED_VALUE"""),"Lackawanna")</f>
        <v>Lackawanna</v>
      </c>
      <c r="G841" s="1" t="str">
        <f>IFERROR(__xludf.DUMMYFUNCTION("""COMPUTED_VALUE"""),"41.47686")</f>
        <v>41.47686</v>
      </c>
      <c r="H841" s="1" t="str">
        <f>IFERROR(__xludf.DUMMYFUNCTION("""COMPUTED_VALUE"""),"-75.638275")</f>
        <v>-75.638275</v>
      </c>
      <c r="I841" s="1" t="str">
        <f>IFERROR(__xludf.DUMMYFUNCTION("""COMPUTED_VALUE"""),"Proposed")</f>
        <v>Proposed</v>
      </c>
      <c r="J841" s="1" t="str">
        <f>IFERROR(__xludf.DUMMYFUNCTION("""COMPUTED_VALUE"""),"Medium")</f>
        <v>Medium</v>
      </c>
      <c r="K841" s="1" t="str">
        <f>IFERROR(__xludf.DUMMYFUNCTION("""COMPUTED_VALUE"""),"")</f>
        <v/>
      </c>
      <c r="L841" s="1" t="str">
        <f>IFERROR(__xludf.DUMMYFUNCTION("""COMPUTED_VALUE"""),"")</f>
        <v/>
      </c>
      <c r="M841" s="1" t="str">
        <f>IFERROR(__xludf.DUMMYFUNCTION("""COMPUTED_VALUE"""),"")</f>
        <v/>
      </c>
      <c r="N841" s="1" t="str">
        <f>IFERROR(__xludf.DUMMYFUNCTION("""COMPUTED_VALUE"""),"")</f>
        <v/>
      </c>
      <c r="O841" s="1" t="str">
        <f>IFERROR(__xludf.DUMMYFUNCTION("""COMPUTED_VALUE"""),"Unknown")</f>
        <v>Unknown</v>
      </c>
      <c r="P841" s="1" t="str">
        <f>IFERROR(__xludf.DUMMYFUNCTION("""COMPUTED_VALUE"""),"")</f>
        <v/>
      </c>
      <c r="Q841" s="1" t="str">
        <f>IFERROR(__xludf.DUMMYFUNCTION("""COMPUTED_VALUE"""),"")</f>
        <v/>
      </c>
      <c r="R841" s="1" t="str">
        <f>IFERROR(__xludf.DUMMYFUNCTION("""COMPUTED_VALUE"""),"")</f>
        <v/>
      </c>
      <c r="S841" s="1" t="str">
        <f>IFERROR(__xludf.DUMMYFUNCTION("""COMPUTED_VALUE"""),"4")</f>
        <v>4</v>
      </c>
      <c r="T841" s="1" t="str">
        <f>IFERROR(__xludf.DUMMYFUNCTION("""COMPUTED_VALUE"""),"")</f>
        <v/>
      </c>
      <c r="U841" s="1" t="str">
        <f>IFERROR(__xludf.DUMMYFUNCTION("""COMPUTED_VALUE"""),"")</f>
        <v/>
      </c>
      <c r="V841" s="1" t="str">
        <f>IFERROR(__xludf.DUMMYFUNCTION("""COMPUTED_VALUE"""),"588,000")</f>
        <v>588,000</v>
      </c>
      <c r="W841" s="1" t="str">
        <f>IFERROR(__xludf.DUMMYFUNCTION("""COMPUTED_VALUE"""),"")</f>
        <v/>
      </c>
      <c r="X841" s="1" t="str">
        <f>IFERROR(__xludf.DUMMYFUNCTION("""COMPUTED_VALUE"""),"")</f>
        <v/>
      </c>
      <c r="Y841" s="1" t="str">
        <f>IFERROR(__xludf.DUMMYFUNCTION("""COMPUTED_VALUE"""),"")</f>
        <v/>
      </c>
      <c r="Z841" s="1" t="str">
        <f>IFERROR(__xludf.DUMMYFUNCTION("""COMPUTED_VALUE"""),"Unknown")</f>
        <v>Unknown</v>
      </c>
      <c r="AA841" s="1" t="str">
        <f>IFERROR(__xludf.DUMMYFUNCTION("""COMPUTED_VALUE"""),"")</f>
        <v/>
      </c>
      <c r="AB841" s="1" t="str">
        <f>IFERROR(__xludf.DUMMYFUNCTION("""COMPUTED_VALUE"""),"")</f>
        <v/>
      </c>
      <c r="AC841" s="1" t="str">
        <f>IFERROR(__xludf.DUMMYFUNCTION("""COMPUTED_VALUE"""),"")</f>
        <v/>
      </c>
      <c r="AD841" s="1" t="str">
        <f>IFERROR(__xludf.DUMMYFUNCTION("""COMPUTED_VALUE"""),"")</f>
        <v/>
      </c>
      <c r="AE841" s="1" t="str">
        <f>IFERROR(__xludf.DUMMYFUNCTION("""COMPUTED_VALUE"""),"")</f>
        <v/>
      </c>
      <c r="AF841" s="1" t="str">
        <f>IFERROR(__xludf.DUMMYFUNCTION("""COMPUTED_VALUE"""),"")</f>
        <v/>
      </c>
      <c r="AG841" s="1" t="str">
        <f>IFERROR(__xludf.DUMMYFUNCTION("""COMPUTED_VALUE"""),"4 buildings spread out above highway over 1.5 miles")</f>
        <v>4 buildings spread out above highway over 1.5 miles</v>
      </c>
      <c r="AH841" s="1" t="str">
        <f>IFERROR(__xludf.DUMMYFUNCTION("""COMPUTED_VALUE"""),"Media Monitoring")</f>
        <v>Media Monitoring</v>
      </c>
      <c r="AI841" s="2" t="str">
        <f>IFERROR(__xludf.DUMMYFUNCTION("""COMPUTED_VALUE"""),"https://web.archive.org/web/20260122015716/https://www.thetimes-tribune.com/2025/12/12/data-center-developer-tied-to-projects-in-archbald-blakely-moves-to-dickson-city/")</f>
        <v>https://web.archive.org/web/20260122015716/https://www.thetimes-tribune.com/2025/12/12/data-center-developer-tied-to-projects-in-archbald-blakely-moves-to-dickson-city/</v>
      </c>
      <c r="AJ841" s="2" t="str">
        <f>IFERROR(__xludf.DUMMYFUNCTION("""COMPUTED_VALUE"""),"https://www.yahoo.com/news/articles/data-center-developer-tied-projects-010500418.html?guccounter=1&amp;guce_referrer=aHR0cHM6Ly93d3cuZ29vZ2xlLmNvbS8&amp;guce_referrer_sig=AQAAAGAfMKpS12TP6ZDloqn1sMuj2eDrOqFfWscZMBNm2rDp5hWip__GoHpNdhSqv5t3ApCn-ybzAaKm1iljvQAp8zH"&amp;"HZuk1aw_ypw6l-33IXEIL6uBs8IThHSEX_54eaWzlhSZ0aMc5p_T9oLqEil8ZpnExPyKQjBeLow6C-3jXK3Vd")</f>
        <v>https://www.yahoo.com/news/articles/data-center-developer-tied-projects-010500418.html?guccounter=1&amp;guce_referrer=aHR0cHM6Ly93d3cuZ29vZ2xlLmNvbS8&amp;guce_referrer_sig=AQAAAGAfMKpS12TP6ZDloqn1sMuj2eDrOqFfWscZMBNm2rDp5hWip__GoHpNdhSqv5t3ApCn-ybzAaKm1iljvQAp8zHHZuk1aw_ypw6l-33IXEIL6uBs8IThHSEX_54eaWzlhSZ0aMc5p_T9oLqEil8ZpnExPyKQjBeLow6C-3jXK3Vd</v>
      </c>
      <c r="AK841" s="2" t="str">
        <f>IFERROR(__xludf.DUMMYFUNCTION("""COMPUTED_VALUE"""),"https://web.archive.org/web/20260522005447/https://www.thetimes-tribune.com/2026/05/21/dickson-city-denies-data-center-developers-zoning-challenge/")</f>
        <v>https://web.archive.org/web/20260522005447/https://www.thetimes-tribune.com/2026/05/21/dickson-city-denies-data-center-developers-zoning-challenge/</v>
      </c>
      <c r="AL841" s="1" t="str">
        <f>IFERROR(__xludf.DUMMYFUNCTION("""COMPUTED_VALUE"""),"")</f>
        <v/>
      </c>
      <c r="AM841" s="1" t="str">
        <f>IFERROR(__xludf.DUMMYFUNCTION("""COMPUTED_VALUE"""),"")</f>
        <v/>
      </c>
      <c r="AN841" s="1" t="str">
        <f>IFERROR(__xludf.DUMMYFUNCTION("""COMPUTED_VALUE"""),"")</f>
        <v/>
      </c>
      <c r="AO841" s="1" t="str">
        <f>IFERROR(__xludf.DUMMYFUNCTION("""COMPUTED_VALUE"""),"")</f>
        <v/>
      </c>
      <c r="AP841" s="1" t="str">
        <f>IFERROR(__xludf.DUMMYFUNCTION("""COMPUTED_VALUE"""),"")</f>
        <v/>
      </c>
      <c r="AQ841" s="1" t="str">
        <f>IFERROR(__xludf.DUMMYFUNCTION("""COMPUTED_VALUE"""),"03/20/2026")</f>
        <v>03/20/2026</v>
      </c>
      <c r="AR841" s="1" t="str">
        <f>IFERROR(__xludf.DUMMYFUNCTION("""COMPUTED_VALUE"""),"05/28/2026")</f>
        <v>05/28/2026</v>
      </c>
    </row>
    <row r="842">
      <c r="A842" s="1" t="str">
        <f>IFERROR(__xludf.DUMMYFUNCTION("""COMPUTED_VALUE"""),"Bitfarm Bitcoin mine")</f>
        <v>Bitfarm Bitcoin mine</v>
      </c>
      <c r="B842" s="1" t="str">
        <f>IFERROR(__xludf.DUMMYFUNCTION("""COMPUTED_VALUE"""),"")</f>
        <v/>
      </c>
      <c r="C842" s="1" t="str">
        <f>IFERROR(__xludf.DUMMYFUNCTION("""COMPUTED_VALUE"""),"Sharon")</f>
        <v>Sharon</v>
      </c>
      <c r="D842" s="1" t="str">
        <f>IFERROR(__xludf.DUMMYFUNCTION("""COMPUTED_VALUE"""),"PA")</f>
        <v>PA</v>
      </c>
      <c r="E842" s="1" t="str">
        <f>IFERROR(__xludf.DUMMYFUNCTION("""COMPUTED_VALUE"""),"16146")</f>
        <v>16146</v>
      </c>
      <c r="F842" s="1" t="str">
        <f>IFERROR(__xludf.DUMMYFUNCTION("""COMPUTED_VALUE"""),"Mercer")</f>
        <v>Mercer</v>
      </c>
      <c r="G842" s="1" t="str">
        <f>IFERROR(__xludf.DUMMYFUNCTION("""COMPUTED_VALUE"""),"41.234673")</f>
        <v>41.234673</v>
      </c>
      <c r="H842" s="1" t="str">
        <f>IFERROR(__xludf.DUMMYFUNCTION("""COMPUTED_VALUE"""),"-80.493576")</f>
        <v>-80.493576</v>
      </c>
      <c r="I842" s="1" t="str">
        <f>IFERROR(__xludf.DUMMYFUNCTION("""COMPUTED_VALUE"""),"Operating")</f>
        <v>Operating</v>
      </c>
      <c r="J842" s="1" t="str">
        <f>IFERROR(__xludf.DUMMYFUNCTION("""COMPUTED_VALUE"""),"Low")</f>
        <v>Low</v>
      </c>
      <c r="K842" s="1" t="str">
        <f>IFERROR(__xludf.DUMMYFUNCTION("""COMPUTED_VALUE"""),"Bitcoin transitioning to AI")</f>
        <v>Bitcoin transitioning to AI</v>
      </c>
      <c r="L842" s="1" t="str">
        <f>IFERROR(__xludf.DUMMYFUNCTION("""COMPUTED_VALUE"""),"")</f>
        <v/>
      </c>
      <c r="M842" s="1" t="str">
        <f>IFERROR(__xludf.DUMMYFUNCTION("""COMPUTED_VALUE"""),"")</f>
        <v/>
      </c>
      <c r="N842" s="1" t="str">
        <f>IFERROR(__xludf.DUMMYFUNCTION("""COMPUTED_VALUE"""),"30-110")</f>
        <v>30-110</v>
      </c>
      <c r="O842" s="1" t="str">
        <f>IFERROR(__xludf.DUMMYFUNCTION("""COMPUTED_VALUE"""),"Medium (11-50 MW)")</f>
        <v>Medium (11-50 MW)</v>
      </c>
      <c r="P842" s="1" t="str">
        <f>IFERROR(__xludf.DUMMYFUNCTION("""COMPUTED_VALUE"""),"")</f>
        <v/>
      </c>
      <c r="Q842" s="1" t="str">
        <f>IFERROR(__xludf.DUMMYFUNCTION("""COMPUTED_VALUE"""),"")</f>
        <v/>
      </c>
      <c r="R842" s="1" t="str">
        <f>IFERROR(__xludf.DUMMYFUNCTION("""COMPUTED_VALUE"""),"")</f>
        <v/>
      </c>
      <c r="S842" s="1" t="str">
        <f>IFERROR(__xludf.DUMMYFUNCTION("""COMPUTED_VALUE"""),"")</f>
        <v/>
      </c>
      <c r="T842" s="1" t="str">
        <f>IFERROR(__xludf.DUMMYFUNCTION("""COMPUTED_VALUE"""),"")</f>
        <v/>
      </c>
      <c r="U842" s="1" t="str">
        <f>IFERROR(__xludf.DUMMYFUNCTION("""COMPUTED_VALUE"""),"")</f>
        <v/>
      </c>
      <c r="V842" s="1" t="str">
        <f>IFERROR(__xludf.DUMMYFUNCTION("""COMPUTED_VALUE"""),"")</f>
        <v/>
      </c>
      <c r="W842" s="1" t="str">
        <f>IFERROR(__xludf.DUMMYFUNCTION("""COMPUTED_VALUE"""),"")</f>
        <v/>
      </c>
      <c r="X842" s="1" t="str">
        <f>IFERROR(__xludf.DUMMYFUNCTION("""COMPUTED_VALUE"""),"")</f>
        <v/>
      </c>
      <c r="Y842" s="1" t="str">
        <f>IFERROR(__xludf.DUMMYFUNCTION("""COMPUTED_VALUE"""),"")</f>
        <v/>
      </c>
      <c r="Z842" s="1" t="str">
        <f>IFERROR(__xludf.DUMMYFUNCTION("""COMPUTED_VALUE"""),"Unknown")</f>
        <v>Unknown</v>
      </c>
      <c r="AA842" s="1" t="str">
        <f>IFERROR(__xludf.DUMMYFUNCTION("""COMPUTED_VALUE"""),"")</f>
        <v/>
      </c>
      <c r="AB842" s="1" t="str">
        <f>IFERROR(__xludf.DUMMYFUNCTION("""COMPUTED_VALUE"""),"")</f>
        <v/>
      </c>
      <c r="AC842" s="1" t="str">
        <f>IFERROR(__xludf.DUMMYFUNCTION("""COMPUTED_VALUE"""),"")</f>
        <v/>
      </c>
      <c r="AD842" s="1" t="str">
        <f>IFERROR(__xludf.DUMMYFUNCTION("""COMPUTED_VALUE"""),"")</f>
        <v/>
      </c>
      <c r="AE842" s="1" t="str">
        <f>IFERROR(__xludf.DUMMYFUNCTION("""COMPUTED_VALUE"""),"")</f>
        <v/>
      </c>
      <c r="AF842" s="1" t="str">
        <f>IFERROR(__xludf.DUMMYFUNCTION("""COMPUTED_VALUE"""),"")</f>
        <v/>
      </c>
      <c r="AG842" s="1" t="str">
        <f>IFERROR(__xludf.DUMMYFUNCTION("""COMPUTED_VALUE"""),"Bitcoin transitioning to AI")</f>
        <v>Bitcoin transitioning to AI</v>
      </c>
      <c r="AH842" s="1" t="str">
        <f>IFERROR(__xludf.DUMMYFUNCTION("""COMPUTED_VALUE"""),"Media Monitoring")</f>
        <v>Media Monitoring</v>
      </c>
      <c r="AI842" s="2" t="str">
        <f>IFERROR(__xludf.DUMMYFUNCTION("""COMPUTED_VALUE"""),"https://www.tomshardware.com/tech-industry/cryptomining/major-bitcoin-mining-firm-pivoting-to-ai-plans-to-fully-abandon-crypto-mining-by-2027-bitfarm-to-leverage-341-megawatt-capacity-for-ai-following-usd46-million-q3-loss")</f>
        <v>https://www.tomshardware.com/tech-industry/cryptomining/major-bitcoin-mining-firm-pivoting-to-ai-plans-to-fully-abandon-crypto-mining-by-2027-bitfarm-to-leverage-341-megawatt-capacity-for-ai-following-usd46-million-q3-loss</v>
      </c>
      <c r="AJ842" s="2" t="str">
        <f>IFERROR(__xludf.DUMMYFUNCTION("""COMPUTED_VALUE"""),"https://bitfarms.com/our-portfolio/data-centers/north-america/")</f>
        <v>https://bitfarms.com/our-portfolio/data-centers/north-america/</v>
      </c>
      <c r="AK842" s="1" t="str">
        <f>IFERROR(__xludf.DUMMYFUNCTION("""COMPUTED_VALUE"""),"")</f>
        <v/>
      </c>
      <c r="AL842" s="1" t="str">
        <f>IFERROR(__xludf.DUMMYFUNCTION("""COMPUTED_VALUE"""),"")</f>
        <v/>
      </c>
      <c r="AM842" s="1" t="str">
        <f>IFERROR(__xludf.DUMMYFUNCTION("""COMPUTED_VALUE"""),"")</f>
        <v/>
      </c>
      <c r="AN842" s="1" t="str">
        <f>IFERROR(__xludf.DUMMYFUNCTION("""COMPUTED_VALUE"""),"")</f>
        <v/>
      </c>
      <c r="AO842" s="1" t="str">
        <f>IFERROR(__xludf.DUMMYFUNCTION("""COMPUTED_VALUE"""),"")</f>
        <v/>
      </c>
      <c r="AP842" s="1" t="str">
        <f>IFERROR(__xludf.DUMMYFUNCTION("""COMPUTED_VALUE"""),"")</f>
        <v/>
      </c>
      <c r="AQ842" s="1" t="str">
        <f>IFERROR(__xludf.DUMMYFUNCTION("""COMPUTED_VALUE"""),"11/17/2025")</f>
        <v>11/17/2025</v>
      </c>
      <c r="AR842" s="1" t="str">
        <f>IFERROR(__xludf.DUMMYFUNCTION("""COMPUTED_VALUE"""),"11/17/2025")</f>
        <v>11/17/2025</v>
      </c>
    </row>
    <row r="843">
      <c r="A843" s="1" t="str">
        <f>IFERROR(__xludf.DUMMYFUNCTION("""COMPUTED_VALUE"""),"Bitfarms")</f>
        <v>Bitfarms</v>
      </c>
      <c r="B843" s="1" t="str">
        <f>IFERROR(__xludf.DUMMYFUNCTION("""COMPUTED_VALUE"""),"201 Clark St")</f>
        <v>201 Clark St</v>
      </c>
      <c r="C843" s="1" t="str">
        <f>IFERROR(__xludf.DUMMYFUNCTION("""COMPUTED_VALUE"""),"Sharon")</f>
        <v>Sharon</v>
      </c>
      <c r="D843" s="1" t="str">
        <f>IFERROR(__xludf.DUMMYFUNCTION("""COMPUTED_VALUE"""),"PA")</f>
        <v>PA</v>
      </c>
      <c r="E843" s="1" t="str">
        <f>IFERROR(__xludf.DUMMYFUNCTION("""COMPUTED_VALUE"""),"16146")</f>
        <v>16146</v>
      </c>
      <c r="F843" s="1" t="str">
        <f>IFERROR(__xludf.DUMMYFUNCTION("""COMPUTED_VALUE"""),"Mercer")</f>
        <v>Mercer</v>
      </c>
      <c r="G843" s="1" t="str">
        <f>IFERROR(__xludf.DUMMYFUNCTION("""COMPUTED_VALUE"""),"41.24472")</f>
        <v>41.24472</v>
      </c>
      <c r="H843" s="1" t="str">
        <f>IFERROR(__xludf.DUMMYFUNCTION("""COMPUTED_VALUE"""),"-80.50655")</f>
        <v>-80.50655</v>
      </c>
      <c r="I843" s="1" t="str">
        <f>IFERROR(__xludf.DUMMYFUNCTION("""COMPUTED_VALUE"""),"Operating")</f>
        <v>Operating</v>
      </c>
      <c r="J843" s="1" t="str">
        <f>IFERROR(__xludf.DUMMYFUNCTION("""COMPUTED_VALUE"""),"High")</f>
        <v>High</v>
      </c>
      <c r="K843" s="1" t="str">
        <f>IFERROR(__xludf.DUMMYFUNCTION("""COMPUTED_VALUE"""),"")</f>
        <v/>
      </c>
      <c r="L843" s="1" t="str">
        <f>IFERROR(__xludf.DUMMYFUNCTION("""COMPUTED_VALUE"""),"")</f>
        <v/>
      </c>
      <c r="M843" s="1" t="str">
        <f>IFERROR(__xludf.DUMMYFUNCTION("""COMPUTED_VALUE"""),"")</f>
        <v/>
      </c>
      <c r="N843" s="1" t="str">
        <f>IFERROR(__xludf.DUMMYFUNCTION("""COMPUTED_VALUE"""),"30")</f>
        <v>30</v>
      </c>
      <c r="O843" s="1" t="str">
        <f>IFERROR(__xludf.DUMMYFUNCTION("""COMPUTED_VALUE"""),"Medium (11-50 MW)")</f>
        <v>Medium (11-50 MW)</v>
      </c>
      <c r="P843" s="1" t="str">
        <f>IFERROR(__xludf.DUMMYFUNCTION("""COMPUTED_VALUE"""),"")</f>
        <v/>
      </c>
      <c r="Q843" s="1" t="str">
        <f>IFERROR(__xludf.DUMMYFUNCTION("""COMPUTED_VALUE"""),"")</f>
        <v/>
      </c>
      <c r="R843" s="1" t="str">
        <f>IFERROR(__xludf.DUMMYFUNCTION("""COMPUTED_VALUE"""),"")</f>
        <v/>
      </c>
      <c r="S843" s="1" t="str">
        <f>IFERROR(__xludf.DUMMYFUNCTION("""COMPUTED_VALUE"""),"")</f>
        <v/>
      </c>
      <c r="T843" s="1" t="str">
        <f>IFERROR(__xludf.DUMMYFUNCTION("""COMPUTED_VALUE"""),"")</f>
        <v/>
      </c>
      <c r="U843" s="1" t="str">
        <f>IFERROR(__xludf.DUMMYFUNCTION("""COMPUTED_VALUE"""),"")</f>
        <v/>
      </c>
      <c r="V843" s="1" t="str">
        <f>IFERROR(__xludf.DUMMYFUNCTION("""COMPUTED_VALUE"""),"")</f>
        <v/>
      </c>
      <c r="W843" s="1" t="str">
        <f>IFERROR(__xludf.DUMMYFUNCTION("""COMPUTED_VALUE"""),"")</f>
        <v/>
      </c>
      <c r="X843" s="1" t="str">
        <f>IFERROR(__xludf.DUMMYFUNCTION("""COMPUTED_VALUE"""),"")</f>
        <v/>
      </c>
      <c r="Y843" s="1" t="str">
        <f>IFERROR(__xludf.DUMMYFUNCTION("""COMPUTED_VALUE"""),"")</f>
        <v/>
      </c>
      <c r="Z843" s="1" t="str">
        <f>IFERROR(__xludf.DUMMYFUNCTION("""COMPUTED_VALUE"""),"Unknown")</f>
        <v>Unknown</v>
      </c>
      <c r="AA843" s="1" t="str">
        <f>IFERROR(__xludf.DUMMYFUNCTION("""COMPUTED_VALUE"""),"")</f>
        <v/>
      </c>
      <c r="AB843" s="1" t="str">
        <f>IFERROR(__xludf.DUMMYFUNCTION("""COMPUTED_VALUE"""),"")</f>
        <v/>
      </c>
      <c r="AC843" s="1" t="str">
        <f>IFERROR(__xludf.DUMMYFUNCTION("""COMPUTED_VALUE"""),"")</f>
        <v/>
      </c>
      <c r="AD843" s="1" t="str">
        <f>IFERROR(__xludf.DUMMYFUNCTION("""COMPUTED_VALUE"""),"")</f>
        <v/>
      </c>
      <c r="AE843" s="1" t="str">
        <f>IFERROR(__xludf.DUMMYFUNCTION("""COMPUTED_VALUE"""),"")</f>
        <v/>
      </c>
      <c r="AF843" s="1" t="str">
        <f>IFERROR(__xludf.DUMMYFUNCTION("""COMPUTED_VALUE"""),"")</f>
        <v/>
      </c>
      <c r="AG843" s="1" t="str">
        <f>IFERROR(__xludf.DUMMYFUNCTION("""COMPUTED_VALUE"""),"Bitcoin facility to be demolished and converted to AI")</f>
        <v>Bitcoin facility to be demolished and converted to AI</v>
      </c>
      <c r="AH843" s="1" t="str">
        <f>IFERROR(__xludf.DUMMYFUNCTION("""COMPUTED_VALUE"""),"Media Monitoring")</f>
        <v>Media Monitoring</v>
      </c>
      <c r="AI843" s="2" t="str">
        <f>IFERROR(__xludf.DUMMYFUNCTION("""COMPUTED_VALUE"""),"https://www.tomshardware.com/tech-industry/cryptomining/major-bitcoin-mining-firm-pivoting-to-ai-plans-to-fully-abandon-crypto-mining-by-2027-bitfarm-to-leverage-341-megawatt-capacity-for-ai-following-usd46-million-q3-loss")</f>
        <v>https://www.tomshardware.com/tech-industry/cryptomining/major-bitcoin-mining-firm-pivoting-to-ai-plans-to-fully-abandon-crypto-mining-by-2027-bitfarm-to-leverage-341-megawatt-capacity-for-ai-following-usd46-million-q3-loss</v>
      </c>
      <c r="AJ843" s="2" t="str">
        <f>IFERROR(__xludf.DUMMYFUNCTION("""COMPUTED_VALUE"""),"https://bitfarms.com/our-portfolio/data-centers/north-america/")</f>
        <v>https://bitfarms.com/our-portfolio/data-centers/north-america/</v>
      </c>
      <c r="AK843" s="2" t="str">
        <f>IFERROR(__xludf.DUMMYFUNCTION("""COMPUTED_VALUE"""),"https://www.datacenterdynamics.com/en/news/bitfarms-to-convert-washington-cryptomine-to-hpcai-hosting/")</f>
        <v>https://www.datacenterdynamics.com/en/news/bitfarms-to-convert-washington-cryptomine-to-hpcai-hosting/</v>
      </c>
      <c r="AL843" s="2" t="str">
        <f>IFERROR(__xludf.DUMMYFUNCTION("""COMPUTED_VALUE"""),"https://www.datacenterdynamics.com/en/news/zoning-board-of-sharon-pa-approves-planned-expansion-of-keel-infrastructures-existing-data-center-development/")</f>
        <v>https://www.datacenterdynamics.com/en/news/zoning-board-of-sharon-pa-approves-planned-expansion-of-keel-infrastructures-existing-data-center-development/</v>
      </c>
      <c r="AM843" s="1" t="str">
        <f>IFERROR(__xludf.DUMMYFUNCTION("""COMPUTED_VALUE"""),"")</f>
        <v/>
      </c>
      <c r="AN843" s="1" t="str">
        <f>IFERROR(__xludf.DUMMYFUNCTION("""COMPUTED_VALUE"""),"")</f>
        <v/>
      </c>
      <c r="AO843" s="1" t="str">
        <f>IFERROR(__xludf.DUMMYFUNCTION("""COMPUTED_VALUE"""),"")</f>
        <v/>
      </c>
      <c r="AP843" s="1" t="str">
        <f>IFERROR(__xludf.DUMMYFUNCTION("""COMPUTED_VALUE"""),"")</f>
        <v/>
      </c>
      <c r="AQ843" s="1" t="str">
        <f>IFERROR(__xludf.DUMMYFUNCTION("""COMPUTED_VALUE"""),"03/04/2026")</f>
        <v>03/04/2026</v>
      </c>
      <c r="AR843" s="1" t="str">
        <f>IFERROR(__xludf.DUMMYFUNCTION("""COMPUTED_VALUE"""),"03/04/2026")</f>
        <v>03/04/2026</v>
      </c>
    </row>
    <row r="844">
      <c r="A844" s="1" t="str">
        <f>IFERROR(__xludf.DUMMYFUNCTION("""COMPUTED_VALUE"""),"Shippingport Bruce Mansfield Data Center/Project Phoenix")</f>
        <v>Shippingport Bruce Mansfield Data Center/Project Phoenix</v>
      </c>
      <c r="B844" s="1" t="str">
        <f>IFERROR(__xludf.DUMMYFUNCTION("""COMPUTED_VALUE"""),"1312 Church St")</f>
        <v>1312 Church St</v>
      </c>
      <c r="C844" s="1" t="str">
        <f>IFERROR(__xludf.DUMMYFUNCTION("""COMPUTED_VALUE"""),"Shippingport")</f>
        <v>Shippingport</v>
      </c>
      <c r="D844" s="1" t="str">
        <f>IFERROR(__xludf.DUMMYFUNCTION("""COMPUTED_VALUE"""),"PA")</f>
        <v>PA</v>
      </c>
      <c r="E844" s="1" t="str">
        <f>IFERROR(__xludf.DUMMYFUNCTION("""COMPUTED_VALUE"""),"15001")</f>
        <v>15001</v>
      </c>
      <c r="F844" s="1" t="str">
        <f>IFERROR(__xludf.DUMMYFUNCTION("""COMPUTED_VALUE"""),"Beaver")</f>
        <v>Beaver</v>
      </c>
      <c r="G844" s="1" t="str">
        <f>IFERROR(__xludf.DUMMYFUNCTION("""COMPUTED_VALUE"""),"40.63213")</f>
        <v>40.63213</v>
      </c>
      <c r="H844" s="1" t="str">
        <f>IFERROR(__xludf.DUMMYFUNCTION("""COMPUTED_VALUE"""),"-80.4145")</f>
        <v>-80.4145</v>
      </c>
      <c r="I844" s="1" t="str">
        <f>IFERROR(__xludf.DUMMYFUNCTION("""COMPUTED_VALUE"""),"Approved/Permitted/Under construction")</f>
        <v>Approved/Permitted/Under construction</v>
      </c>
      <c r="J844" s="1" t="str">
        <f>IFERROR(__xludf.DUMMYFUNCTION("""COMPUTED_VALUE"""),"High")</f>
        <v>High</v>
      </c>
      <c r="K844" s="1" t="str">
        <f>IFERROR(__xludf.DUMMYFUNCTION("""COMPUTED_VALUE"""),"AI")</f>
        <v>AI</v>
      </c>
      <c r="L844" s="1" t="str">
        <f>IFERROR(__xludf.DUMMYFUNCTION("""COMPUTED_VALUE"""),"Aligned Data Centers")</f>
        <v>Aligned Data Centers</v>
      </c>
      <c r="M844" s="1" t="str">
        <f>IFERROR(__xludf.DUMMYFUNCTION("""COMPUTED_VALUE"""),"")</f>
        <v/>
      </c>
      <c r="N844" s="1" t="str">
        <f>IFERROR(__xludf.DUMMYFUNCTION("""COMPUTED_VALUE"""),"3600")</f>
        <v>3600</v>
      </c>
      <c r="O844" s="1" t="str">
        <f>IFERROR(__xludf.DUMMYFUNCTION("""COMPUTED_VALUE"""),"Mega campus (&gt;1,000 MW)")</f>
        <v>Mega campus (&gt;1,000 MW)</v>
      </c>
      <c r="P844" s="1" t="str">
        <f>IFERROR(__xludf.DUMMYFUNCTION("""COMPUTED_VALUE"""),"Natural gas")</f>
        <v>Natural gas</v>
      </c>
      <c r="Q844" s="1" t="str">
        <f>IFERROR(__xludf.DUMMYFUNCTION("""COMPUTED_VALUE"""),"Yes")</f>
        <v>Yes</v>
      </c>
      <c r="R844" s="1" t="str">
        <f>IFERROR(__xludf.DUMMYFUNCTION("""COMPUTED_VALUE"""),"")</f>
        <v/>
      </c>
      <c r="S844" s="1" t="str">
        <f>IFERROR(__xludf.DUMMYFUNCTION("""COMPUTED_VALUE"""),"3")</f>
        <v>3</v>
      </c>
      <c r="T844" s="1" t="str">
        <f>IFERROR(__xludf.DUMMYFUNCTION("""COMPUTED_VALUE"""),"")</f>
        <v/>
      </c>
      <c r="U844" s="1" t="str">
        <f>IFERROR(__xludf.DUMMYFUNCTION("""COMPUTED_VALUE"""),"")</f>
        <v/>
      </c>
      <c r="V844" s="1" t="str">
        <f>IFERROR(__xludf.DUMMYFUNCTION("""COMPUTED_VALUE"""),"")</f>
        <v/>
      </c>
      <c r="W844" s="1" t="str">
        <f>IFERROR(__xludf.DUMMYFUNCTION("""COMPUTED_VALUE"""),"650")</f>
        <v>650</v>
      </c>
      <c r="X844" s="1" t="str">
        <f>IFERROR(__xludf.DUMMYFUNCTION("""COMPUTED_VALUE"""),"$3.2 billion")</f>
        <v>$3.2 billion</v>
      </c>
      <c r="Y844" s="1" t="str">
        <f>IFERROR(__xludf.DUMMYFUNCTION("""COMPUTED_VALUE"""),"")</f>
        <v/>
      </c>
      <c r="Z844" s="1" t="str">
        <f>IFERROR(__xludf.DUMMYFUNCTION("""COMPUTED_VALUE"""),"Yes")</f>
        <v>Yes</v>
      </c>
      <c r="AA844" s="1" t="str">
        <f>IFERROR(__xludf.DUMMYFUNCTION("""COMPUTED_VALUE"""),"Approved at the municipal level. ")</f>
        <v>Approved at the municipal level. </v>
      </c>
      <c r="AB844" s="1" t="str">
        <f>IFERROR(__xludf.DUMMYFUNCTION("""COMPUTED_VALUE"""),"")</f>
        <v/>
      </c>
      <c r="AC844" s="1" t="str">
        <f>IFERROR(__xludf.DUMMYFUNCTION("""COMPUTED_VALUE"""),"")</f>
        <v/>
      </c>
      <c r="AD844" s="2" t="str">
        <f>IFERROR(__xludf.DUMMYFUNCTION("""COMPUTED_VALUE"""),"https://www.marcellusawareness.org/")</f>
        <v>https://www.marcellusawareness.org/</v>
      </c>
      <c r="AE844" s="1" t="str">
        <f>IFERROR(__xludf.DUMMYFUNCTION("""COMPUTED_VALUE"""),"")</f>
        <v/>
      </c>
      <c r="AF844" s="1" t="str">
        <f>IFERROR(__xludf.DUMMYFUNCTION("""COMPUTED_VALUE"""),"")</f>
        <v/>
      </c>
      <c r="AG844" s="1" t="str">
        <f>IFERROR(__xludf.DUMMYFUNCTION("""COMPUTED_VALUE"""),"Former Bruce Mansfield Coal Plant. Will use a new natural gas power plant that has stated it will employ more than 300 people. Land is owned by Frontier Group of Companies. Nvidia, Microsoft, BlackRock, and xAI are part of a consortium of investors own Al"&amp;"igned Data Centers. Plans include three data centers, each larger than 600,000 square feet, as well as a warehouse, natural gas power generation pad, stormwater management facilities and 250 parking spots. Meta signed deal to purchase power from the Beave"&amp;"r Valley Nuclear Plant nearby. The council of the Borough of Shippingport held a public hearing in late February 2026 and approved a conditional use permit request from Aligned")</f>
        <v>Former Bruce Mansfield Coal Plant. Will use a new natural gas power plant that has stated it will employ more than 300 people. Land is owned by Frontier Group of Companies. Nvidia, Microsoft, BlackRock, and xAI are part of a consortium of investors own Aligned Data Centers. Plans include three data centers, each larger than 600,000 square feet, as well as a warehouse, natural gas power generation pad, stormwater management facilities and 250 parking spots. Meta signed deal to purchase power from the Beaver Valley Nuclear Plant nearby. The council of the Borough of Shippingport held a public hearing in late February 2026 and approved a conditional use permit request from Aligned</v>
      </c>
      <c r="AH844" s="1" t="str">
        <f>IFERROR(__xludf.DUMMYFUNCTION("""COMPUTED_VALUE"""),"Media Monitoring")</f>
        <v>Media Monitoring</v>
      </c>
      <c r="AI844" s="2" t="str">
        <f>IFERROR(__xludf.DUMMYFUNCTION("""COMPUTED_VALUE"""),"https://www.post-gazette.com/business/powersource/2025/08/03/shippingport-mansfield-data-center/stories/202508030081")</f>
        <v>https://www.post-gazette.com/business/powersource/2025/08/03/shippingport-mansfield-data-center/stories/202508030081</v>
      </c>
      <c r="AJ844" s="2" t="str">
        <f>IFERROR(__xludf.DUMMYFUNCTION("""COMPUTED_VALUE"""),"https://frontier-companies.com/the-frontier-group-of-companies-to-transform-bruce-mansfield-power-plant-into-state-of-the-art-natural-gas-power-plant-supporting-americas-energy-goals-and-pennsylvanias-economic-gr/")</f>
        <v>https://frontier-companies.com/the-frontier-group-of-companies-to-transform-bruce-mansfield-power-plant-into-state-of-the-art-natural-gas-power-plant-supporting-americas-energy-goals-and-pennsylvanias-economic-gr/</v>
      </c>
      <c r="AK844" s="2" t="str">
        <f>IFERROR(__xludf.DUMMYFUNCTION("""COMPUTED_VALUE"""),"https://www.businesswire.com/news/home/20250715103342/en/The-Frontier-Group-of-Companies-to-Transform-Bruce-Mansfield-Power-Plant-into-State-of-the-Art-Natural-Gas-Power-Plant-Supporting-Americas-Energy-Goals-and-Pennsylvanias-Economic-Growth")</f>
        <v>https://www.businesswire.com/news/home/20250715103342/en/The-Frontier-Group-of-Companies-to-Transform-Bruce-Mansfield-Power-Plant-into-State-of-the-Art-Natural-Gas-Power-Plant-Supporting-Americas-Energy-Goals-and-Pennsylvanias-Economic-Growth</v>
      </c>
      <c r="AL844" s="2" t="str">
        <f>IFERROR(__xludf.DUMMYFUNCTION("""COMPUTED_VALUE"""),"https://pioga.org/bruce-mansfield-plant-in-beaver-county-to-undergo-3-2-billion-transformation-into-natural-gas-power-plant/")</f>
        <v>https://pioga.org/bruce-mansfield-plant-in-beaver-county-to-undergo-3-2-billion-transformation-into-natural-gas-power-plant/</v>
      </c>
      <c r="AM844" s="2" t="str">
        <f>IFERROR(__xludf.DUMMYFUNCTION("""COMPUTED_VALUE"""),"https://www.post-gazette.com/business/tech-news/2026/02/08/beaver-valley-data-centers-shippingport-aligned/stories/202602080033")</f>
        <v>https://www.post-gazette.com/business/tech-news/2026/02/08/beaver-valley-data-centers-shippingport-aligned/stories/202602080033</v>
      </c>
      <c r="AN844" s="2" t="str">
        <f>IFERROR(__xludf.DUMMYFUNCTION("""COMPUTED_VALUE"""),"https://triblive.com/local/regional/sprawling-data-center-campus-proposed-next-to-old-bruce-mansfield-power-plant-in-shippingport/")</f>
        <v>https://triblive.com/local/regional/sprawling-data-center-campus-proposed-next-to-old-bruce-mansfield-power-plant-in-shippingport/</v>
      </c>
      <c r="AO844" s="2" t="str">
        <f>IFERROR(__xludf.DUMMYFUNCTION("""COMPUTED_VALUE"""),"https://www.alleghenyfront.org/meta-beaver-valley-nuclear-power-plant-ai-data-centers/")</f>
        <v>https://www.alleghenyfront.org/meta-beaver-valley-nuclear-power-plant-ai-data-centers/</v>
      </c>
      <c r="AP844" s="2" t="str">
        <f>IFERROR(__xludf.DUMMYFUNCTION("""COMPUTED_VALUE"""),"https://www.datacenterdynamics.com/en/news/shippingport-industrial-park/")</f>
        <v>https://www.datacenterdynamics.com/en/news/shippingport-industrial-park/</v>
      </c>
      <c r="AQ844" s="1" t="str">
        <f>IFERROR(__xludf.DUMMYFUNCTION("""COMPUTED_VALUE"""),"08/11/2025")</f>
        <v>08/11/2025</v>
      </c>
      <c r="AR844" s="1" t="str">
        <f>IFERROR(__xludf.DUMMYFUNCTION("""COMPUTED_VALUE"""),"04/28/2026")</f>
        <v>04/28/2026</v>
      </c>
    </row>
    <row r="845">
      <c r="A845" s="1" t="str">
        <f>IFERROR(__xludf.DUMMYFUNCTION("""COMPUTED_VALUE"""),"South Annville Data Center")</f>
        <v>South Annville Data Center</v>
      </c>
      <c r="B845" s="1" t="str">
        <f>IFERROR(__xludf.DUMMYFUNCTION("""COMPUTED_VALUE"""),"Mt Pleasant Rd")</f>
        <v>Mt Pleasant Rd</v>
      </c>
      <c r="C845" s="1" t="str">
        <f>IFERROR(__xludf.DUMMYFUNCTION("""COMPUTED_VALUE"""),"South Annville Twp")</f>
        <v>South Annville Twp</v>
      </c>
      <c r="D845" s="1" t="str">
        <f>IFERROR(__xludf.DUMMYFUNCTION("""COMPUTED_VALUE"""),"PA")</f>
        <v>PA</v>
      </c>
      <c r="E845" s="1" t="str">
        <f>IFERROR(__xludf.DUMMYFUNCTION("""COMPUTED_VALUE"""),"17003")</f>
        <v>17003</v>
      </c>
      <c r="F845" s="1" t="str">
        <f>IFERROR(__xludf.DUMMYFUNCTION("""COMPUTED_VALUE"""),"Lebanon")</f>
        <v>Lebanon</v>
      </c>
      <c r="G845" s="1" t="str">
        <f>IFERROR(__xludf.DUMMYFUNCTION("""COMPUTED_VALUE"""),"40.32545")</f>
        <v>40.32545</v>
      </c>
      <c r="H845" s="1" t="str">
        <f>IFERROR(__xludf.DUMMYFUNCTION("""COMPUTED_VALUE"""),"-76.526855")</f>
        <v>-76.526855</v>
      </c>
      <c r="I845" s="1" t="str">
        <f>IFERROR(__xludf.DUMMYFUNCTION("""COMPUTED_VALUE"""),"Cancelled")</f>
        <v>Cancelled</v>
      </c>
      <c r="J845" s="1" t="str">
        <f>IFERROR(__xludf.DUMMYFUNCTION("""COMPUTED_VALUE"""),"High")</f>
        <v>High</v>
      </c>
      <c r="K845" s="1" t="str">
        <f>IFERROR(__xludf.DUMMYFUNCTION("""COMPUTED_VALUE"""),"")</f>
        <v/>
      </c>
      <c r="L845" s="1" t="str">
        <f>IFERROR(__xludf.DUMMYFUNCTION("""COMPUTED_VALUE"""),"Inch &amp; Company")</f>
        <v>Inch &amp; Company</v>
      </c>
      <c r="M845" s="1" t="str">
        <f>IFERROR(__xludf.DUMMYFUNCTION("""COMPUTED_VALUE"""),"")</f>
        <v/>
      </c>
      <c r="N845" s="1" t="str">
        <f>IFERROR(__xludf.DUMMYFUNCTION("""COMPUTED_VALUE"""),"")</f>
        <v/>
      </c>
      <c r="O845" s="1" t="str">
        <f>IFERROR(__xludf.DUMMYFUNCTION("""COMPUTED_VALUE"""),"Unknown")</f>
        <v>Unknown</v>
      </c>
      <c r="P845" s="1" t="str">
        <f>IFERROR(__xludf.DUMMYFUNCTION("""COMPUTED_VALUE"""),"")</f>
        <v/>
      </c>
      <c r="Q845" s="1" t="str">
        <f>IFERROR(__xludf.DUMMYFUNCTION("""COMPUTED_VALUE"""),"")</f>
        <v/>
      </c>
      <c r="R845" s="1" t="str">
        <f>IFERROR(__xludf.DUMMYFUNCTION("""COMPUTED_VALUE"""),"")</f>
        <v/>
      </c>
      <c r="S845" s="1" t="str">
        <f>IFERROR(__xludf.DUMMYFUNCTION("""COMPUTED_VALUE"""),"5")</f>
        <v>5</v>
      </c>
      <c r="T845" s="1" t="str">
        <f>IFERROR(__xludf.DUMMYFUNCTION("""COMPUTED_VALUE"""),"")</f>
        <v/>
      </c>
      <c r="U845" s="1" t="str">
        <f>IFERROR(__xludf.DUMMYFUNCTION("""COMPUTED_VALUE"""),"")</f>
        <v/>
      </c>
      <c r="V845" s="1" t="str">
        <f>IFERROR(__xludf.DUMMYFUNCTION("""COMPUTED_VALUE"""),"640,000")</f>
        <v>640,000</v>
      </c>
      <c r="W845" s="1" t="str">
        <f>IFERROR(__xludf.DUMMYFUNCTION("""COMPUTED_VALUE"""),"100")</f>
        <v>100</v>
      </c>
      <c r="X845" s="1" t="str">
        <f>IFERROR(__xludf.DUMMYFUNCTION("""COMPUTED_VALUE"""),"$1.7 billion")</f>
        <v>$1.7 billion</v>
      </c>
      <c r="Y845" s="1" t="str">
        <f>IFERROR(__xludf.DUMMYFUNCTION("""COMPUTED_VALUE"""),"2027")</f>
        <v>2027</v>
      </c>
      <c r="Z845" s="1" t="str">
        <f>IFERROR(__xludf.DUMMYFUNCTION("""COMPUTED_VALUE"""),"Yes")</f>
        <v>Yes</v>
      </c>
      <c r="AA845" s="1" t="str">
        <f>IFERROR(__xludf.DUMMYFUNCTION("""COMPUTED_VALUE"""),"")</f>
        <v/>
      </c>
      <c r="AB845" s="1" t="str">
        <f>IFERROR(__xludf.DUMMYFUNCTION("""COMPUTED_VALUE"""),"Emerging Concern")</f>
        <v>Emerging Concern</v>
      </c>
      <c r="AC845" s="1" t="str">
        <f>IFERROR(__xludf.DUMMYFUNCTION("""COMPUTED_VALUE"""),"")</f>
        <v/>
      </c>
      <c r="AD845" s="1" t="str">
        <f>IFERROR(__xludf.DUMMYFUNCTION("""COMPUTED_VALUE"""),"")</f>
        <v/>
      </c>
      <c r="AE845" s="1" t="str">
        <f>IFERROR(__xludf.DUMMYFUNCTION("""COMPUTED_VALUE"""),"")</f>
        <v/>
      </c>
      <c r="AF845" s="1" t="str">
        <f>IFERROR(__xludf.DUMMYFUNCTION("""COMPUTED_VALUE"""),"")</f>
        <v/>
      </c>
      <c r="AG845" s="1" t="str">
        <f>IFERROR(__xludf.DUMMYFUNCTION("""COMPUTED_VALUE"""),"")</f>
        <v/>
      </c>
      <c r="AH845" s="1" t="str">
        <f>IFERROR(__xludf.DUMMYFUNCTION("""COMPUTED_VALUE"""),"Media Monitoring")</f>
        <v>Media Monitoring</v>
      </c>
      <c r="AI845" s="2" t="str">
        <f>IFERROR(__xludf.DUMMYFUNCTION("""COMPUTED_VALUE"""),"https://www.datacenterdynamics.com/en/news/17bn-data-center-could-be-built-in-lebanon-county-pennsylvania/")</f>
        <v>https://www.datacenterdynamics.com/en/news/17bn-data-center-could-be-built-in-lebanon-county-pennsylvania/</v>
      </c>
      <c r="AJ845" s="2" t="str">
        <f>IFERROR(__xludf.DUMMYFUNCTION("""COMPUTED_VALUE"""),"https://www.datacenterdynamics.com/en/news/plan-for-17bn-data-center-in-lebanon-county-pennsylvania-withdrawn-by-developer/")</f>
        <v>https://www.datacenterdynamics.com/en/news/plan-for-17bn-data-center-in-lebanon-county-pennsylvania-withdrawn-by-developer/</v>
      </c>
      <c r="AK845" s="1" t="str">
        <f>IFERROR(__xludf.DUMMYFUNCTION("""COMPUTED_VALUE"""),"")</f>
        <v/>
      </c>
      <c r="AL845" s="1" t="str">
        <f>IFERROR(__xludf.DUMMYFUNCTION("""COMPUTED_VALUE"""),"")</f>
        <v/>
      </c>
      <c r="AM845" s="1" t="str">
        <f>IFERROR(__xludf.DUMMYFUNCTION("""COMPUTED_VALUE"""),"")</f>
        <v/>
      </c>
      <c r="AN845" s="1" t="str">
        <f>IFERROR(__xludf.DUMMYFUNCTION("""COMPUTED_VALUE"""),"")</f>
        <v/>
      </c>
      <c r="AO845" s="1" t="str">
        <f>IFERROR(__xludf.DUMMYFUNCTION("""COMPUTED_VALUE"""),"")</f>
        <v/>
      </c>
      <c r="AP845" s="1" t="str">
        <f>IFERROR(__xludf.DUMMYFUNCTION("""COMPUTED_VALUE"""),"")</f>
        <v/>
      </c>
      <c r="AQ845" s="1" t="str">
        <f>IFERROR(__xludf.DUMMYFUNCTION("""COMPUTED_VALUE"""),"04/22/2026")</f>
        <v>04/22/2026</v>
      </c>
      <c r="AR845" s="1" t="str">
        <f>IFERROR(__xludf.DUMMYFUNCTION("""COMPUTED_VALUE"""),"05/17/2026")</f>
        <v>05/17/2026</v>
      </c>
    </row>
    <row r="846">
      <c r="A846" s="1" t="str">
        <f>IFERROR(__xludf.DUMMYFUNCTION("""COMPUTED_VALUE"""),"Zediker Station Data Center")</f>
        <v>Zediker Station Data Center</v>
      </c>
      <c r="B846" s="1" t="str">
        <f>IFERROR(__xludf.DUMMYFUNCTION("""COMPUTED_VALUE"""),"off Zediker Station Rd")</f>
        <v>off Zediker Station Rd</v>
      </c>
      <c r="C846" s="1" t="str">
        <f>IFERROR(__xludf.DUMMYFUNCTION("""COMPUTED_VALUE"""),"South Strabane Township")</f>
        <v>South Strabane Township</v>
      </c>
      <c r="D846" s="1" t="str">
        <f>IFERROR(__xludf.DUMMYFUNCTION("""COMPUTED_VALUE"""),"PA")</f>
        <v>PA</v>
      </c>
      <c r="E846" s="1" t="str">
        <f>IFERROR(__xludf.DUMMYFUNCTION("""COMPUTED_VALUE"""),"15330")</f>
        <v>15330</v>
      </c>
      <c r="F846" s="1" t="str">
        <f>IFERROR(__xludf.DUMMYFUNCTION("""COMPUTED_VALUE"""),"Washington")</f>
        <v>Washington</v>
      </c>
      <c r="G846" s="1" t="str">
        <f>IFERROR(__xludf.DUMMYFUNCTION("""COMPUTED_VALUE"""),"40.17106")</f>
        <v>40.17106</v>
      </c>
      <c r="H846" s="1" t="str">
        <f>IFERROR(__xludf.DUMMYFUNCTION("""COMPUTED_VALUE"""),"-80.16807")</f>
        <v>-80.16807</v>
      </c>
      <c r="I846" s="1" t="str">
        <f>IFERROR(__xludf.DUMMYFUNCTION("""COMPUTED_VALUE"""),"Proposed")</f>
        <v>Proposed</v>
      </c>
      <c r="J846" s="1" t="str">
        <f>IFERROR(__xludf.DUMMYFUNCTION("""COMPUTED_VALUE"""),"Medium")</f>
        <v>Medium</v>
      </c>
      <c r="K846" s="1" t="str">
        <f>IFERROR(__xludf.DUMMYFUNCTION("""COMPUTED_VALUE"""),"AI")</f>
        <v>AI</v>
      </c>
      <c r="L846" s="1" t="str">
        <f>IFERROR(__xludf.DUMMYFUNCTION("""COMPUTED_VALUE"""),"CNX Resources/Jones Lang LaSalle (JLL)")</f>
        <v>CNX Resources/Jones Lang LaSalle (JLL)</v>
      </c>
      <c r="M846" s="1" t="str">
        <f>IFERROR(__xludf.DUMMYFUNCTION("""COMPUTED_VALUE"""),"")</f>
        <v/>
      </c>
      <c r="N846" s="1" t="str">
        <f>IFERROR(__xludf.DUMMYFUNCTION("""COMPUTED_VALUE"""),"500-700")</f>
        <v>500-700</v>
      </c>
      <c r="O846" s="1" t="str">
        <f>IFERROR(__xludf.DUMMYFUNCTION("""COMPUTED_VALUE"""),"Hyperscale (100-999 MW)")</f>
        <v>Hyperscale (100-999 MW)</v>
      </c>
      <c r="P846" s="1" t="str">
        <f>IFERROR(__xludf.DUMMYFUNCTION("""COMPUTED_VALUE"""),"Natural gas")</f>
        <v>Natural gas</v>
      </c>
      <c r="Q846" s="1" t="str">
        <f>IFERROR(__xludf.DUMMYFUNCTION("""COMPUTED_VALUE"""),"")</f>
        <v/>
      </c>
      <c r="R846" s="1" t="str">
        <f>IFERROR(__xludf.DUMMYFUNCTION("""COMPUTED_VALUE"""),"")</f>
        <v/>
      </c>
      <c r="S846" s="1" t="str">
        <f>IFERROR(__xludf.DUMMYFUNCTION("""COMPUTED_VALUE"""),"")</f>
        <v/>
      </c>
      <c r="T846" s="1" t="str">
        <f>IFERROR(__xludf.DUMMYFUNCTION("""COMPUTED_VALUE"""),"")</f>
        <v/>
      </c>
      <c r="U846" s="1" t="str">
        <f>IFERROR(__xludf.DUMMYFUNCTION("""COMPUTED_VALUE"""),"")</f>
        <v/>
      </c>
      <c r="V846" s="1" t="str">
        <f>IFERROR(__xludf.DUMMYFUNCTION("""COMPUTED_VALUE"""),"")</f>
        <v/>
      </c>
      <c r="W846" s="1" t="str">
        <f>IFERROR(__xludf.DUMMYFUNCTION("""COMPUTED_VALUE"""),"400")</f>
        <v>400</v>
      </c>
      <c r="X846" s="1" t="str">
        <f>IFERROR(__xludf.DUMMYFUNCTION("""COMPUTED_VALUE"""),"")</f>
        <v/>
      </c>
      <c r="Y846" s="1" t="str">
        <f>IFERROR(__xludf.DUMMYFUNCTION("""COMPUTED_VALUE"""),"")</f>
        <v/>
      </c>
      <c r="Z846" s="1" t="str">
        <f>IFERROR(__xludf.DUMMYFUNCTION("""COMPUTED_VALUE"""),"Yes")</f>
        <v>Yes</v>
      </c>
      <c r="AA846" s="1" t="str">
        <f>IFERROR(__xludf.DUMMYFUNCTION("""COMPUTED_VALUE"""),"")</f>
        <v/>
      </c>
      <c r="AB846" s="1" t="str">
        <f>IFERROR(__xludf.DUMMYFUNCTION("""COMPUTED_VALUE"""),"")</f>
        <v/>
      </c>
      <c r="AC846" s="1" t="str">
        <f>IFERROR(__xludf.DUMMYFUNCTION("""COMPUTED_VALUE"""),"")</f>
        <v/>
      </c>
      <c r="AD846" s="2" t="str">
        <f>IFERROR(__xludf.DUMMYFUNCTION("""COMPUTED_VALUE"""),"https://centerforcoalfieldjustice.org/")</f>
        <v>https://centerforcoalfieldjustice.org/</v>
      </c>
      <c r="AE846" s="1" t="str">
        <f>IFERROR(__xludf.DUMMYFUNCTION("""COMPUTED_VALUE"""),"")</f>
        <v/>
      </c>
      <c r="AF846" s="1" t="str">
        <f>IFERROR(__xludf.DUMMYFUNCTION("""COMPUTED_VALUE"""),"")</f>
        <v/>
      </c>
      <c r="AG846" s="1" t="str">
        <f>IFERROR(__xludf.DUMMYFUNCTION("""COMPUTED_VALUE""")," Remediated Mine Gas")</f>
        <v> Remediated Mine Gas</v>
      </c>
      <c r="AH846" s="1" t="str">
        <f>IFERROR(__xludf.DUMMYFUNCTION("""COMPUTED_VALUE"""),"Media Monitoring")</f>
        <v>Media Monitoring</v>
      </c>
      <c r="AI846" s="2" t="str">
        <f>IFERROR(__xludf.DUMMYFUNCTION("""COMPUTED_VALUE"""),"https://www.wesa.fm/environment-energy/2025-10-21/washington-county-carbon-neutral-data-center-development")</f>
        <v>https://www.wesa.fm/environment-energy/2025-10-21/washington-county-carbon-neutral-data-center-development</v>
      </c>
      <c r="AJ846" s="2" t="str">
        <f>IFERROR(__xludf.DUMMYFUNCTION("""COMPUTED_VALUE"""),"https://www.cbsnews.com/pittsburgh/news/south-strabane-township-zediker-station-data-center/")</f>
        <v>https://www.cbsnews.com/pittsburgh/news/south-strabane-township-zediker-station-data-center/</v>
      </c>
      <c r="AK846" s="2" t="str">
        <f>IFERROR(__xludf.DUMMYFUNCTION("""COMPUTED_VALUE"""),"https://www.observer-reporter.com/news/local-news/2025/dec/18/potential-data-center-dominates-conversation-in-south-strabane/?fbclid=IwY2xjawPp655leHRuA2FlbQIxMQBzcnRjBmFwcF9pZBAyMjIwMzkxNzg4MjAwODkyAAEeq1A8M0BwHyZlR_UBi_EQSCtxI3rupAP_Q32J3uclg7hvRecKWd_f"&amp;"eP_nGMw_aem_fXhl6mY5DVAi72rRjvgz2Q")</f>
        <v>https://www.observer-reporter.com/news/local-news/2025/dec/18/potential-data-center-dominates-conversation-in-south-strabane/?fbclid=IwY2xjawPp655leHRuA2FlbQIxMQBzcnRjBmFwcF9pZBAyMjIwMzkxNzg4MjAwODkyAAEeq1A8M0BwHyZlR_UBi_EQSCtxI3rupAP_Q32J3uclg7hvRecKWd_feP_nGMw_aem_fXhl6mY5DVAi72rRjvgz2Q</v>
      </c>
      <c r="AL846" s="2" t="str">
        <f>IFERROR(__xludf.DUMMYFUNCTION("""COMPUTED_VALUE"""),"https://www.alleghenyfront.org/washington-county-data-center-development/")</f>
        <v>https://www.alleghenyfront.org/washington-county-data-center-development/</v>
      </c>
      <c r="AM846" s="1" t="str">
        <f>IFERROR(__xludf.DUMMYFUNCTION("""COMPUTED_VALUE"""),"")</f>
        <v/>
      </c>
      <c r="AN846" s="1" t="str">
        <f>IFERROR(__xludf.DUMMYFUNCTION("""COMPUTED_VALUE"""),"")</f>
        <v/>
      </c>
      <c r="AO846" s="1" t="str">
        <f>IFERROR(__xludf.DUMMYFUNCTION("""COMPUTED_VALUE"""),"")</f>
        <v/>
      </c>
      <c r="AP846" s="1" t="str">
        <f>IFERROR(__xludf.DUMMYFUNCTION("""COMPUTED_VALUE"""),"")</f>
        <v/>
      </c>
      <c r="AQ846" s="1" t="str">
        <f>IFERROR(__xludf.DUMMYFUNCTION("""COMPUTED_VALUE"""),"11/10/2025")</f>
        <v>11/10/2025</v>
      </c>
      <c r="AR846" s="1" t="str">
        <f>IFERROR(__xludf.DUMMYFUNCTION("""COMPUTED_VALUE"""),"02/10/2026")</f>
        <v>02/10/2026</v>
      </c>
    </row>
    <row r="847">
      <c r="A847" s="1" t="str">
        <f>IFERROR(__xludf.DUMMYFUNCTION("""COMPUTED_VALUE"""),"Pennhurst Data Center")</f>
        <v>Pennhurst Data Center</v>
      </c>
      <c r="B847" s="1" t="str">
        <f>IFERROR(__xludf.DUMMYFUNCTION("""COMPUTED_VALUE"""),"1205 Commonwealth Dr")</f>
        <v>1205 Commonwealth Dr</v>
      </c>
      <c r="C847" s="1" t="str">
        <f>IFERROR(__xludf.DUMMYFUNCTION("""COMPUTED_VALUE"""),"Spring City (East Vincent Township)")</f>
        <v>Spring City (East Vincent Township)</v>
      </c>
      <c r="D847" s="1" t="str">
        <f>IFERROR(__xludf.DUMMYFUNCTION("""COMPUTED_VALUE"""),"PA")</f>
        <v>PA</v>
      </c>
      <c r="E847" s="1" t="str">
        <f>IFERROR(__xludf.DUMMYFUNCTION("""COMPUTED_VALUE"""),"19475")</f>
        <v>19475</v>
      </c>
      <c r="F847" s="1" t="str">
        <f>IFERROR(__xludf.DUMMYFUNCTION("""COMPUTED_VALUE"""),"Chester")</f>
        <v>Chester</v>
      </c>
      <c r="G847" s="1" t="str">
        <f>IFERROR(__xludf.DUMMYFUNCTION("""COMPUTED_VALUE"""),"40.194553")</f>
        <v>40.194553</v>
      </c>
      <c r="H847" s="1" t="str">
        <f>IFERROR(__xludf.DUMMYFUNCTION("""COMPUTED_VALUE"""),"-75.56007")</f>
        <v>-75.56007</v>
      </c>
      <c r="I847" s="1" t="str">
        <f>IFERROR(__xludf.DUMMYFUNCTION("""COMPUTED_VALUE"""),"Proposed")</f>
        <v>Proposed</v>
      </c>
      <c r="J847" s="1" t="str">
        <f>IFERROR(__xludf.DUMMYFUNCTION("""COMPUTED_VALUE"""),"High")</f>
        <v>High</v>
      </c>
      <c r="K847" s="1" t="str">
        <f>IFERROR(__xludf.DUMMYFUNCTION("""COMPUTED_VALUE"""),"")</f>
        <v/>
      </c>
      <c r="L847" s="1" t="str">
        <f>IFERROR(__xludf.DUMMYFUNCTION("""COMPUTED_VALUE"""),"Pennhurst Holdings LLC")</f>
        <v>Pennhurst Holdings LLC</v>
      </c>
      <c r="M847" s="1" t="str">
        <f>IFERROR(__xludf.DUMMYFUNCTION("""COMPUTED_VALUE"""),"")</f>
        <v/>
      </c>
      <c r="N847" s="1" t="str">
        <f>IFERROR(__xludf.DUMMYFUNCTION("""COMPUTED_VALUE"""),"")</f>
        <v/>
      </c>
      <c r="O847" s="1" t="str">
        <f>IFERROR(__xludf.DUMMYFUNCTION("""COMPUTED_VALUE"""),"Hyperscale (100-999 MW)")</f>
        <v>Hyperscale (100-999 MW)</v>
      </c>
      <c r="P847" s="1" t="str">
        <f>IFERROR(__xludf.DUMMYFUNCTION("""COMPUTED_VALUE"""),"")</f>
        <v/>
      </c>
      <c r="Q847" s="1" t="str">
        <f>IFERROR(__xludf.DUMMYFUNCTION("""COMPUTED_VALUE"""),"")</f>
        <v/>
      </c>
      <c r="R847" s="1" t="str">
        <f>IFERROR(__xludf.DUMMYFUNCTION("""COMPUTED_VALUE"""),"")</f>
        <v/>
      </c>
      <c r="S847" s="1" t="str">
        <f>IFERROR(__xludf.DUMMYFUNCTION("""COMPUTED_VALUE"""),"")</f>
        <v/>
      </c>
      <c r="T847" s="1" t="str">
        <f>IFERROR(__xludf.DUMMYFUNCTION("""COMPUTED_VALUE"""),"")</f>
        <v/>
      </c>
      <c r="U847" s="1" t="str">
        <f>IFERROR(__xludf.DUMMYFUNCTION("""COMPUTED_VALUE"""),"")</f>
        <v/>
      </c>
      <c r="V847" s="1" t="str">
        <f>IFERROR(__xludf.DUMMYFUNCTION("""COMPUTED_VALUE"""),"1,300,000")</f>
        <v>1,300,000</v>
      </c>
      <c r="W847" s="1" t="str">
        <f>IFERROR(__xludf.DUMMYFUNCTION("""COMPUTED_VALUE"""),"")</f>
        <v/>
      </c>
      <c r="X847" s="1" t="str">
        <f>IFERROR(__xludf.DUMMYFUNCTION("""COMPUTED_VALUE"""),"")</f>
        <v/>
      </c>
      <c r="Y847" s="1" t="str">
        <f>IFERROR(__xludf.DUMMYFUNCTION("""COMPUTED_VALUE"""),"")</f>
        <v/>
      </c>
      <c r="Z847" s="1" t="str">
        <f>IFERROR(__xludf.DUMMYFUNCTION("""COMPUTED_VALUE"""),"Yes")</f>
        <v>Yes</v>
      </c>
      <c r="AA847" s="1" t="str">
        <f>IFERROR(__xludf.DUMMYFUNCTION("""COMPUTED_VALUE"""),"")</f>
        <v/>
      </c>
      <c r="AB847" s="1" t="str">
        <f>IFERROR(__xludf.DUMMYFUNCTION("""COMPUTED_VALUE"""),"")</f>
        <v/>
      </c>
      <c r="AC847" s="1" t="str">
        <f>IFERROR(__xludf.DUMMYFUNCTION("""COMPUTED_VALUE"""),"")</f>
        <v/>
      </c>
      <c r="AD847" s="1" t="str">
        <f>IFERROR(__xludf.DUMMYFUNCTION("""COMPUTED_VALUE"""),"")</f>
        <v/>
      </c>
      <c r="AE847" s="1" t="str">
        <f>IFERROR(__xludf.DUMMYFUNCTION("""COMPUTED_VALUE"""),"")</f>
        <v/>
      </c>
      <c r="AF847" s="2" t="str">
        <f>IFERROR(__xludf.DUMMYFUNCTION("""COMPUTED_VALUE"""),"https://www.change.org/p/protect-pennhurst-from-data-center-development")</f>
        <v>https://www.change.org/p/protect-pennhurst-from-data-center-development</v>
      </c>
      <c r="AG847" s="1" t="str">
        <f>IFERROR(__xludf.DUMMYFUNCTION("""COMPUTED_VALUE"""),"Site of former psychiatric hospital near Philadelphia")</f>
        <v>Site of former psychiatric hospital near Philadelphia</v>
      </c>
      <c r="AH847" s="1" t="str">
        <f>IFERROR(__xludf.DUMMYFUNCTION("""COMPUTED_VALUE"""),"Media Monitoring")</f>
        <v>Media Monitoring</v>
      </c>
      <c r="AI847" s="2" t="str">
        <f>IFERROR(__xludf.DUMMYFUNCTION("""COMPUTED_VALUE"""),"https://www.datacenterdynamics.com/en/news/new-regulations-could-stall-plan-to-convert-former-psychiatric-hospital-near-philadelphia-into-data-center/")</f>
        <v>https://www.datacenterdynamics.com/en/news/new-regulations-could-stall-plan-to-convert-former-psychiatric-hospital-near-philadelphia-into-data-center/</v>
      </c>
      <c r="AJ847" s="2" t="str">
        <f>IFERROR(__xludf.DUMMYFUNCTION("""COMPUTED_VALUE"""),"https://www.eastvincent.org/vertical/sites/%7B5B8F1E55-6CA8-450E-BB40-12A8385B1313%7D/uploads/Latest_Revised_Version_of_Data_Center_Ordinance_-10.5.25.pdf")</f>
        <v>https://www.eastvincent.org/vertical/sites/%7B5B8F1E55-6CA8-450E-BB40-12A8385B1313%7D/uploads/Latest_Revised_Version_of_Data_Center_Ordinance_-10.5.25.pdf</v>
      </c>
      <c r="AK847" s="2" t="str">
        <f>IFERROR(__xludf.DUMMYFUNCTION("""COMPUTED_VALUE"""),"https://www.eastvincent.org/index.asp?SEC=015E8651-3650-4039-87BA-9B4C74591337&amp;DE=66A36F14-8175-4B3D-8A4D-23727AFD8324")</f>
        <v>https://www.eastvincent.org/index.asp?SEC=015E8651-3650-4039-87BA-9B4C74591337&amp;DE=66A36F14-8175-4B3D-8A4D-23727AFD8324</v>
      </c>
      <c r="AL847" s="2" t="str">
        <f>IFERROR(__xludf.DUMMYFUNCTION("""COMPUTED_VALUE"""),"https://6abc.com/post/east-vincent-township-pa-debates-data-center-ordinance-amid-community-concerns/18149953/")</f>
        <v>https://6abc.com/post/east-vincent-township-pa-debates-data-center-ordinance-amid-community-concerns/18149953/</v>
      </c>
      <c r="AM847" s="1" t="str">
        <f>IFERROR(__xludf.DUMMYFUNCTION("""COMPUTED_VALUE"""),"")</f>
        <v/>
      </c>
      <c r="AN847" s="1" t="str">
        <f>IFERROR(__xludf.DUMMYFUNCTION("""COMPUTED_VALUE"""),"")</f>
        <v/>
      </c>
      <c r="AO847" s="1" t="str">
        <f>IFERROR(__xludf.DUMMYFUNCTION("""COMPUTED_VALUE"""),"")</f>
        <v/>
      </c>
      <c r="AP847" s="1" t="str">
        <f>IFERROR(__xludf.DUMMYFUNCTION("""COMPUTED_VALUE"""),"")</f>
        <v/>
      </c>
      <c r="AQ847" s="1" t="str">
        <f>IFERROR(__xludf.DUMMYFUNCTION("""COMPUTED_VALUE"""),"10/21/2025")</f>
        <v>10/21/2025</v>
      </c>
      <c r="AR847" s="1" t="str">
        <f>IFERROR(__xludf.DUMMYFUNCTION("""COMPUTED_VALUE"""),"03/22/2026")</f>
        <v>03/22/2026</v>
      </c>
    </row>
    <row r="848">
      <c r="A848" s="1" t="str">
        <f>IFERROR(__xludf.DUMMYFUNCTION("""COMPUTED_VALUE"""),"Springdale/ Dynamo Data Center")</f>
        <v>Springdale/ Dynamo Data Center</v>
      </c>
      <c r="B848" s="1" t="str">
        <f>IFERROR(__xludf.DUMMYFUNCTION("""COMPUTED_VALUE"""),"151 Porter St")</f>
        <v>151 Porter St</v>
      </c>
      <c r="C848" s="1" t="str">
        <f>IFERROR(__xludf.DUMMYFUNCTION("""COMPUTED_VALUE"""),"Springdale")</f>
        <v>Springdale</v>
      </c>
      <c r="D848" s="1" t="str">
        <f>IFERROR(__xludf.DUMMYFUNCTION("""COMPUTED_VALUE"""),"PA")</f>
        <v>PA</v>
      </c>
      <c r="E848" s="1" t="str">
        <f>IFERROR(__xludf.DUMMYFUNCTION("""COMPUTED_VALUE"""),"15144")</f>
        <v>15144</v>
      </c>
      <c r="F848" s="1" t="str">
        <f>IFERROR(__xludf.DUMMYFUNCTION("""COMPUTED_VALUE"""),"Allegheny")</f>
        <v>Allegheny</v>
      </c>
      <c r="G848" s="1" t="str">
        <f>IFERROR(__xludf.DUMMYFUNCTION("""COMPUTED_VALUE"""),"40.53866")</f>
        <v>40.53866</v>
      </c>
      <c r="H848" s="1" t="str">
        <f>IFERROR(__xludf.DUMMYFUNCTION("""COMPUTED_VALUE"""),"-79.7906")</f>
        <v>-79.7906</v>
      </c>
      <c r="I848" s="1" t="str">
        <f>IFERROR(__xludf.DUMMYFUNCTION("""COMPUTED_VALUE"""),"Proposed")</f>
        <v>Proposed</v>
      </c>
      <c r="J848" s="1" t="str">
        <f>IFERROR(__xludf.DUMMYFUNCTION("""COMPUTED_VALUE"""),"High")</f>
        <v>High</v>
      </c>
      <c r="K848" s="1" t="str">
        <f>IFERROR(__xludf.DUMMYFUNCTION("""COMPUTED_VALUE"""),"")</f>
        <v/>
      </c>
      <c r="L848" s="1" t="str">
        <f>IFERROR(__xludf.DUMMYFUNCTION("""COMPUTED_VALUE"""),"Allegheny DC Property Co")</f>
        <v>Allegheny DC Property Co</v>
      </c>
      <c r="M848" s="1" t="str">
        <f>IFERROR(__xludf.DUMMYFUNCTION("""COMPUTED_VALUE"""),"")</f>
        <v/>
      </c>
      <c r="N848" s="1" t="str">
        <f>IFERROR(__xludf.DUMMYFUNCTION("""COMPUTED_VALUE"""),"350")</f>
        <v>350</v>
      </c>
      <c r="O848" s="1" t="str">
        <f>IFERROR(__xludf.DUMMYFUNCTION("""COMPUTED_VALUE"""),"Hyperscale (100-999 MW)")</f>
        <v>Hyperscale (100-999 MW)</v>
      </c>
      <c r="P848" s="1" t="str">
        <f>IFERROR(__xludf.DUMMYFUNCTION("""COMPUTED_VALUE"""),"")</f>
        <v/>
      </c>
      <c r="Q848" s="1" t="str">
        <f>IFERROR(__xludf.DUMMYFUNCTION("""COMPUTED_VALUE"""),"")</f>
        <v/>
      </c>
      <c r="R848" s="1" t="str">
        <f>IFERROR(__xludf.DUMMYFUNCTION("""COMPUTED_VALUE"""),"")</f>
        <v/>
      </c>
      <c r="S848" s="1" t="str">
        <f>IFERROR(__xludf.DUMMYFUNCTION("""COMPUTED_VALUE"""),"")</f>
        <v/>
      </c>
      <c r="T848" s="1" t="str">
        <f>IFERROR(__xludf.DUMMYFUNCTION("""COMPUTED_VALUE"""),"")</f>
        <v/>
      </c>
      <c r="U848" s="1" t="str">
        <f>IFERROR(__xludf.DUMMYFUNCTION("""COMPUTED_VALUE"""),"Closed loop")</f>
        <v>Closed loop</v>
      </c>
      <c r="V848" s="1" t="str">
        <f>IFERROR(__xludf.DUMMYFUNCTION("""COMPUTED_VALUE"""),"565,000")</f>
        <v>565,000</v>
      </c>
      <c r="W848" s="1" t="str">
        <f>IFERROR(__xludf.DUMMYFUNCTION("""COMPUTED_VALUE"""),"")</f>
        <v/>
      </c>
      <c r="X848" s="1" t="str">
        <f>IFERROR(__xludf.DUMMYFUNCTION("""COMPUTED_VALUE"""),"")</f>
        <v/>
      </c>
      <c r="Y848" s="1" t="str">
        <f>IFERROR(__xludf.DUMMYFUNCTION("""COMPUTED_VALUE"""),"")</f>
        <v/>
      </c>
      <c r="Z848" s="1" t="str">
        <f>IFERROR(__xludf.DUMMYFUNCTION("""COMPUTED_VALUE"""),"Yes")</f>
        <v>Yes</v>
      </c>
      <c r="AA848" s="1" t="str">
        <f>IFERROR(__xludf.DUMMYFUNCTION("""COMPUTED_VALUE"""),"Still needs Subdivision and Land Development Ordinance (SALDO) approval")</f>
        <v>Still needs Subdivision and Land Development Ordinance (SALDO) approval</v>
      </c>
      <c r="AB848" s="1" t="str">
        <f>IFERROR(__xludf.DUMMYFUNCTION("""COMPUTED_VALUE"""),"")</f>
        <v/>
      </c>
      <c r="AC848" s="1" t="str">
        <f>IFERROR(__xludf.DUMMYFUNCTION("""COMPUTED_VALUE"""),"")</f>
        <v/>
      </c>
      <c r="AD848" s="2" t="str">
        <f>IFERROR(__xludf.DUMMYFUNCTION("""COMPUTED_VALUE"""),"https://www.protectpt.org/data-center")</f>
        <v>https://www.protectpt.org/data-center</v>
      </c>
      <c r="AE848" s="1" t="str">
        <f>IFERROR(__xludf.DUMMYFUNCTION("""COMPUTED_VALUE"""),"")</f>
        <v/>
      </c>
      <c r="AF848" s="1" t="str">
        <f>IFERROR(__xludf.DUMMYFUNCTION("""COMPUTED_VALUE"""),"")</f>
        <v/>
      </c>
      <c r="AG848" s="1" t="str">
        <f>IFERROR(__xludf.DUMMYFUNCTION("""COMPUTED_VALUE"""),"Proposed on the site of the former Cheswick Generating Station, a 565 MW coal-fired power plant.  On 11/17/25 Springdale Planning Commission OKs data center project. On 12/16/25 Springdale borough council voted 5-2 to grant a conditional use permit to All"&amp;"egheny DC Property Company. New design released by developer in June for a two-story, 565,000-square-foot building that will hold the energy and data infrastructure, diesel generators and a closed-loop cooling system.")</f>
        <v>Proposed on the site of the former Cheswick Generating Station, a 565 MW coal-fired power plant.  On 11/17/25 Springdale Planning Commission OKs data center project. On 12/16/25 Springdale borough council voted 5-2 to grant a conditional use permit to Allegheny DC Property Company. New design released by developer in June for a two-story, 565,000-square-foot building that will hold the energy and data infrastructure, diesel generators and a closed-loop cooling system.</v>
      </c>
      <c r="AH848" s="1" t="str">
        <f>IFERROR(__xludf.DUMMYFUNCTION("""COMPUTED_VALUE"""),"Media Monitoring")</f>
        <v>Media Monitoring</v>
      </c>
      <c r="AI848" s="2" t="str">
        <f>IFERROR(__xludf.DUMMYFUNCTION("""COMPUTED_VALUE"""),"https://triblive.com/local/valley-news-dispatch/site-of-former-springdale-power-plant-to-be-sold-to-data-center-developer/")</f>
        <v>https://triblive.com/local/valley-news-dispatch/site-of-former-springdale-power-plant-to-be-sold-to-data-center-developer/</v>
      </c>
      <c r="AJ848" s="2" t="str">
        <f>IFERROR(__xludf.DUMMYFUNCTION("""COMPUTED_VALUE"""),"https://www.post-gazette.com/business/powersource/2025/05/13/nrg-data-center-gas-energy/stories/202505130085")</f>
        <v>https://www.post-gazette.com/business/powersource/2025/05/13/nrg-data-center-gas-energy/stories/202505130085</v>
      </c>
      <c r="AK848" s="2" t="str">
        <f>IFERROR(__xludf.DUMMYFUNCTION("""COMPUTED_VALUE"""),"https://triblive.com/local/valley-news-dispatch/springdale-planning-commission-to-review-plans-for-proposed-massive-data-center/")</f>
        <v>https://triblive.com/local/valley-news-dispatch/springdale-planning-commission-to-review-plans-for-proposed-massive-data-center/</v>
      </c>
      <c r="AL848" s="2" t="str">
        <f>IFERROR(__xludf.DUMMYFUNCTION("""COMPUTED_VALUE"""),"https://www.cbsnews.com/pittsburgh/news/proposed-ai-data-center-springdale/")</f>
        <v>https://www.cbsnews.com/pittsburgh/news/proposed-ai-data-center-springdale/</v>
      </c>
      <c r="AM848" s="2" t="str">
        <f>IFERROR(__xludf.DUMMYFUNCTION("""COMPUTED_VALUE"""),"https://triblive.com/local/valley-news-dispatch/springdale-planning-commission-oks-data-center-project-proposal-moves-to-council/")</f>
        <v>https://triblive.com/local/valley-news-dispatch/springdale-planning-commission-oks-data-center-project-proposal-moves-to-council/</v>
      </c>
      <c r="AN848" s="2" t="str">
        <f>IFERROR(__xludf.DUMMYFUNCTION("""COMPUTED_VALUE"""),"https://www.wesa.fm/environment-energy/2025-12-16/pittsburgh-area-hyperscale-data-center-gets-green-light")</f>
        <v>https://www.wesa.fm/environment-energy/2025-12-16/pittsburgh-area-hyperscale-data-center-gets-green-light</v>
      </c>
      <c r="AO848" s="2" t="str">
        <f>IFERROR(__xludf.DUMMYFUNCTION("""COMPUTED_VALUE"""),"https://www.wpxi.com/news/local/developers-unveil-changes-springdale-data-center-plan/QWE2YJ2H4NAKLGV6MQUDMTOXYE/")</f>
        <v>https://www.wpxi.com/news/local/developers-unveil-changes-springdale-data-center-plan/QWE2YJ2H4NAKLGV6MQUDMTOXYE/</v>
      </c>
      <c r="AP848" s="1" t="str">
        <f>IFERROR(__xludf.DUMMYFUNCTION("""COMPUTED_VALUE"""),"")</f>
        <v/>
      </c>
      <c r="AQ848" s="1" t="str">
        <f>IFERROR(__xludf.DUMMYFUNCTION("""COMPUTED_VALUE"""),"08/04/2025")</f>
        <v>08/04/2025</v>
      </c>
      <c r="AR848" s="1" t="str">
        <f>IFERROR(__xludf.DUMMYFUNCTION("""COMPUTED_VALUE"""),"12/17/2025")</f>
        <v>12/17/2025</v>
      </c>
    </row>
    <row r="849">
      <c r="A849" s="1" t="str">
        <f>IFERROR(__xludf.DUMMYFUNCTION("""COMPUTED_VALUE"""),"Centre WISP SCDC1")</f>
        <v>Centre WISP SCDC1</v>
      </c>
      <c r="B849" s="1" t="str">
        <f>IFERROR(__xludf.DUMMYFUNCTION("""COMPUTED_VALUE"""),"2038 Sandy Dr")</f>
        <v>2038 Sandy Dr</v>
      </c>
      <c r="C849" s="1" t="str">
        <f>IFERROR(__xludf.DUMMYFUNCTION("""COMPUTED_VALUE"""),"State College")</f>
        <v>State College</v>
      </c>
      <c r="D849" s="1" t="str">
        <f>IFERROR(__xludf.DUMMYFUNCTION("""COMPUTED_VALUE"""),"PA")</f>
        <v>PA</v>
      </c>
      <c r="E849" s="1" t="str">
        <f>IFERROR(__xludf.DUMMYFUNCTION("""COMPUTED_VALUE"""),"16803")</f>
        <v>16803</v>
      </c>
      <c r="F849" s="1" t="str">
        <f>IFERROR(__xludf.DUMMYFUNCTION("""COMPUTED_VALUE"""),"Centre")</f>
        <v>Centre</v>
      </c>
      <c r="G849" s="1" t="str">
        <f>IFERROR(__xludf.DUMMYFUNCTION("""COMPUTED_VALUE"""),"40.785908")</f>
        <v>40.785908</v>
      </c>
      <c r="H849" s="1" t="str">
        <f>IFERROR(__xludf.DUMMYFUNCTION("""COMPUTED_VALUE"""),"-77.90064")</f>
        <v>-77.90064</v>
      </c>
      <c r="I849" s="1" t="str">
        <f>IFERROR(__xludf.DUMMYFUNCTION("""COMPUTED_VALUE"""),"Operating")</f>
        <v>Operating</v>
      </c>
      <c r="J849" s="1" t="str">
        <f>IFERROR(__xludf.DUMMYFUNCTION("""COMPUTED_VALUE"""),"High")</f>
        <v>High</v>
      </c>
      <c r="K849" s="1" t="str">
        <f>IFERROR(__xludf.DUMMYFUNCTION("""COMPUTED_VALUE"""),"")</f>
        <v/>
      </c>
      <c r="L849" s="1" t="str">
        <f>IFERROR(__xludf.DUMMYFUNCTION("""COMPUTED_VALUE"""),"Centre WISP Venture Company, LLC")</f>
        <v>Centre WISP Venture Company, LLC</v>
      </c>
      <c r="M849" s="1" t="str">
        <f>IFERROR(__xludf.DUMMYFUNCTION("""COMPUTED_VALUE"""),"")</f>
        <v/>
      </c>
      <c r="N849" s="1" t="str">
        <f>IFERROR(__xludf.DUMMYFUNCTION("""COMPUTED_VALUE"""),"")</f>
        <v/>
      </c>
      <c r="O849" s="1" t="str">
        <f>IFERROR(__xludf.DUMMYFUNCTION("""COMPUTED_VALUE"""),"Unknown")</f>
        <v>Unknown</v>
      </c>
      <c r="P849" s="1" t="str">
        <f>IFERROR(__xludf.DUMMYFUNCTION("""COMPUTED_VALUE"""),"")</f>
        <v/>
      </c>
      <c r="Q849" s="1" t="str">
        <f>IFERROR(__xludf.DUMMYFUNCTION("""COMPUTED_VALUE"""),"")</f>
        <v/>
      </c>
      <c r="R849" s="1" t="str">
        <f>IFERROR(__xludf.DUMMYFUNCTION("""COMPUTED_VALUE"""),"")</f>
        <v/>
      </c>
      <c r="S849" s="1" t="str">
        <f>IFERROR(__xludf.DUMMYFUNCTION("""COMPUTED_VALUE"""),"")</f>
        <v/>
      </c>
      <c r="T849" s="1" t="str">
        <f>IFERROR(__xludf.DUMMYFUNCTION("""COMPUTED_VALUE"""),"")</f>
        <v/>
      </c>
      <c r="U849" s="1" t="str">
        <f>IFERROR(__xludf.DUMMYFUNCTION("""COMPUTED_VALUE"""),"")</f>
        <v/>
      </c>
      <c r="V849" s="1" t="str">
        <f>IFERROR(__xludf.DUMMYFUNCTION("""COMPUTED_VALUE"""),"")</f>
        <v/>
      </c>
      <c r="W849" s="1" t="str">
        <f>IFERROR(__xludf.DUMMYFUNCTION("""COMPUTED_VALUE"""),"")</f>
        <v/>
      </c>
      <c r="X849" s="1" t="str">
        <f>IFERROR(__xludf.DUMMYFUNCTION("""COMPUTED_VALUE"""),"")</f>
        <v/>
      </c>
      <c r="Y849" s="1" t="str">
        <f>IFERROR(__xludf.DUMMYFUNCTION("""COMPUTED_VALUE"""),"")</f>
        <v/>
      </c>
      <c r="Z849" s="1" t="str">
        <f>IFERROR(__xludf.DUMMYFUNCTION("""COMPUTED_VALUE"""),"Unknown")</f>
        <v>Unknown</v>
      </c>
      <c r="AA849" s="1" t="str">
        <f>IFERROR(__xludf.DUMMYFUNCTION("""COMPUTED_VALUE"""),"")</f>
        <v/>
      </c>
      <c r="AB849" s="1" t="str">
        <f>IFERROR(__xludf.DUMMYFUNCTION("""COMPUTED_VALUE"""),"")</f>
        <v/>
      </c>
      <c r="AC849" s="1" t="str">
        <f>IFERROR(__xludf.DUMMYFUNCTION("""COMPUTED_VALUE"""),"")</f>
        <v/>
      </c>
      <c r="AD849" s="1" t="str">
        <f>IFERROR(__xludf.DUMMYFUNCTION("""COMPUTED_VALUE"""),"")</f>
        <v/>
      </c>
      <c r="AE849" s="1" t="str">
        <f>IFERROR(__xludf.DUMMYFUNCTION("""COMPUTED_VALUE"""),"")</f>
        <v/>
      </c>
      <c r="AF849" s="1" t="str">
        <f>IFERROR(__xludf.DUMMYFUNCTION("""COMPUTED_VALUE"""),"")</f>
        <v/>
      </c>
      <c r="AG849" s="1" t="str">
        <f>IFERROR(__xludf.DUMMYFUNCTION("""COMPUTED_VALUE"""),"")</f>
        <v/>
      </c>
      <c r="AH849" s="1" t="str">
        <f>IFERROR(__xludf.DUMMYFUNCTION("""COMPUTED_VALUE"""),"Other")</f>
        <v>Other</v>
      </c>
      <c r="AI849" s="1" t="str">
        <f>IFERROR(__xludf.DUMMYFUNCTION("""COMPUTED_VALUE"""),"")</f>
        <v/>
      </c>
      <c r="AJ849" s="1" t="str">
        <f>IFERROR(__xludf.DUMMYFUNCTION("""COMPUTED_VALUE"""),"")</f>
        <v/>
      </c>
      <c r="AK849" s="1" t="str">
        <f>IFERROR(__xludf.DUMMYFUNCTION("""COMPUTED_VALUE"""),"")</f>
        <v/>
      </c>
      <c r="AL849" s="1" t="str">
        <f>IFERROR(__xludf.DUMMYFUNCTION("""COMPUTED_VALUE"""),"")</f>
        <v/>
      </c>
      <c r="AM849" s="1" t="str">
        <f>IFERROR(__xludf.DUMMYFUNCTION("""COMPUTED_VALUE"""),"")</f>
        <v/>
      </c>
      <c r="AN849" s="1" t="str">
        <f>IFERROR(__xludf.DUMMYFUNCTION("""COMPUTED_VALUE"""),"")</f>
        <v/>
      </c>
      <c r="AO849" s="1" t="str">
        <f>IFERROR(__xludf.DUMMYFUNCTION("""COMPUTED_VALUE"""),"")</f>
        <v/>
      </c>
      <c r="AP849" s="1" t="str">
        <f>IFERROR(__xludf.DUMMYFUNCTION("""COMPUTED_VALUE"""),"")</f>
        <v/>
      </c>
      <c r="AQ849" s="1" t="str">
        <f>IFERROR(__xludf.DUMMYFUNCTION("""COMPUTED_VALUE"""),"11/21/2025")</f>
        <v>11/21/2025</v>
      </c>
      <c r="AR849" s="1" t="str">
        <f>IFERROR(__xludf.DUMMYFUNCTION("""COMPUTED_VALUE"""),"11/21/2025")</f>
        <v>11/21/2025</v>
      </c>
    </row>
    <row r="850">
      <c r="A850" s="1" t="str">
        <f>IFERROR(__xludf.DUMMYFUNCTION("""COMPUTED_VALUE"""),"McKees Rocks Rock Point Industrial Site Data Center")</f>
        <v>McKees Rocks Rock Point Industrial Site Data Center</v>
      </c>
      <c r="B850" s="1" t="str">
        <f>IFERROR(__xludf.DUMMYFUNCTION("""COMPUTED_VALUE"""),"Nichol Avenue")</f>
        <v>Nichol Avenue</v>
      </c>
      <c r="C850" s="1" t="str">
        <f>IFERROR(__xludf.DUMMYFUNCTION("""COMPUTED_VALUE"""),"Stowe Township")</f>
        <v>Stowe Township</v>
      </c>
      <c r="D850" s="1" t="str">
        <f>IFERROR(__xludf.DUMMYFUNCTION("""COMPUTED_VALUE"""),"PA")</f>
        <v>PA</v>
      </c>
      <c r="E850" s="1" t="str">
        <f>IFERROR(__xludf.DUMMYFUNCTION("""COMPUTED_VALUE"""),"15136")</f>
        <v>15136</v>
      </c>
      <c r="F850" s="1" t="str">
        <f>IFERROR(__xludf.DUMMYFUNCTION("""COMPUTED_VALUE"""),"Allegheny")</f>
        <v>Allegheny</v>
      </c>
      <c r="G850" s="1" t="str">
        <f>IFERROR(__xludf.DUMMYFUNCTION("""COMPUTED_VALUE"""),"40.480453")</f>
        <v>40.480453</v>
      </c>
      <c r="H850" s="1" t="str">
        <f>IFERROR(__xludf.DUMMYFUNCTION("""COMPUTED_VALUE"""),"-80.06048")</f>
        <v>-80.06048</v>
      </c>
      <c r="I850" s="1" t="str">
        <f>IFERROR(__xludf.DUMMYFUNCTION("""COMPUTED_VALUE"""),"Proposed")</f>
        <v>Proposed</v>
      </c>
      <c r="J850" s="1" t="str">
        <f>IFERROR(__xludf.DUMMYFUNCTION("""COMPUTED_VALUE"""),"Medium")</f>
        <v>Medium</v>
      </c>
      <c r="K850" s="1" t="str">
        <f>IFERROR(__xludf.DUMMYFUNCTION("""COMPUTED_VALUE"""),"")</f>
        <v/>
      </c>
      <c r="L850" s="1" t="str">
        <f>IFERROR(__xludf.DUMMYFUNCTION("""COMPUTED_VALUE"""),"SunCap Property Group")</f>
        <v>SunCap Property Group</v>
      </c>
      <c r="M850" s="1" t="str">
        <f>IFERROR(__xludf.DUMMYFUNCTION("""COMPUTED_VALUE"""),"")</f>
        <v/>
      </c>
      <c r="N850" s="1" t="str">
        <f>IFERROR(__xludf.DUMMYFUNCTION("""COMPUTED_VALUE"""),"")</f>
        <v/>
      </c>
      <c r="O850" s="1" t="str">
        <f>IFERROR(__xludf.DUMMYFUNCTION("""COMPUTED_VALUE"""),"Unknown")</f>
        <v>Unknown</v>
      </c>
      <c r="P850" s="1" t="str">
        <f>IFERROR(__xludf.DUMMYFUNCTION("""COMPUTED_VALUE"""),"")</f>
        <v/>
      </c>
      <c r="Q850" s="1" t="str">
        <f>IFERROR(__xludf.DUMMYFUNCTION("""COMPUTED_VALUE"""),"")</f>
        <v/>
      </c>
      <c r="R850" s="1" t="str">
        <f>IFERROR(__xludf.DUMMYFUNCTION("""COMPUTED_VALUE"""),"")</f>
        <v/>
      </c>
      <c r="S850" s="1" t="str">
        <f>IFERROR(__xludf.DUMMYFUNCTION("""COMPUTED_VALUE"""),"")</f>
        <v/>
      </c>
      <c r="T850" s="1" t="str">
        <f>IFERROR(__xludf.DUMMYFUNCTION("""COMPUTED_VALUE"""),"")</f>
        <v/>
      </c>
      <c r="U850" s="1" t="str">
        <f>IFERROR(__xludf.DUMMYFUNCTION("""COMPUTED_VALUE"""),"")</f>
        <v/>
      </c>
      <c r="V850" s="1" t="str">
        <f>IFERROR(__xludf.DUMMYFUNCTION("""COMPUTED_VALUE"""),"")</f>
        <v/>
      </c>
      <c r="W850" s="1" t="str">
        <f>IFERROR(__xludf.DUMMYFUNCTION("""COMPUTED_VALUE"""),"")</f>
        <v/>
      </c>
      <c r="X850" s="1" t="str">
        <f>IFERROR(__xludf.DUMMYFUNCTION("""COMPUTED_VALUE"""),"")</f>
        <v/>
      </c>
      <c r="Y850" s="1" t="str">
        <f>IFERROR(__xludf.DUMMYFUNCTION("""COMPUTED_VALUE"""),"")</f>
        <v/>
      </c>
      <c r="Z850" s="1" t="str">
        <f>IFERROR(__xludf.DUMMYFUNCTION("""COMPUTED_VALUE"""),"Unknown")</f>
        <v>Unknown</v>
      </c>
      <c r="AA850" s="1" t="str">
        <f>IFERROR(__xludf.DUMMYFUNCTION("""COMPUTED_VALUE"""),"")</f>
        <v/>
      </c>
      <c r="AB850" s="1" t="str">
        <f>IFERROR(__xludf.DUMMYFUNCTION("""COMPUTED_VALUE"""),"")</f>
        <v/>
      </c>
      <c r="AC850" s="1" t="str">
        <f>IFERROR(__xludf.DUMMYFUNCTION("""COMPUTED_VALUE"""),"")</f>
        <v/>
      </c>
      <c r="AD850" s="1" t="str">
        <f>IFERROR(__xludf.DUMMYFUNCTION("""COMPUTED_VALUE"""),"")</f>
        <v/>
      </c>
      <c r="AE850" s="1" t="str">
        <f>IFERROR(__xludf.DUMMYFUNCTION("""COMPUTED_VALUE"""),"")</f>
        <v/>
      </c>
      <c r="AF850" s="1" t="str">
        <f>IFERROR(__xludf.DUMMYFUNCTION("""COMPUTED_VALUE"""),"")</f>
        <v/>
      </c>
      <c r="AG850" s="1" t="str">
        <f>IFERROR(__xludf.DUMMYFUNCTION("""COMPUTED_VALUE"""),"Proposed at the retired Rock Point Industrial site")</f>
        <v>Proposed at the retired Rock Point Industrial site</v>
      </c>
      <c r="AH850" s="1" t="str">
        <f>IFERROR(__xludf.DUMMYFUNCTION("""COMPUTED_VALUE"""),"Other")</f>
        <v>Other</v>
      </c>
      <c r="AI850" s="2" t="str">
        <f>IFERROR(__xludf.DUMMYFUNCTION("""COMPUTED_VALUE"""),"https://www.cbsnews.com/pittsburgh/news/proposed-data-center-stowe-township/")</f>
        <v>https://www.cbsnews.com/pittsburgh/news/proposed-data-center-stowe-township/</v>
      </c>
      <c r="AJ850" s="1" t="str">
        <f>IFERROR(__xludf.DUMMYFUNCTION("""COMPUTED_VALUE"""),"")</f>
        <v/>
      </c>
      <c r="AK850" s="1" t="str">
        <f>IFERROR(__xludf.DUMMYFUNCTION("""COMPUTED_VALUE"""),"")</f>
        <v/>
      </c>
      <c r="AL850" s="1" t="str">
        <f>IFERROR(__xludf.DUMMYFUNCTION("""COMPUTED_VALUE"""),"")</f>
        <v/>
      </c>
      <c r="AM850" s="1" t="str">
        <f>IFERROR(__xludf.DUMMYFUNCTION("""COMPUTED_VALUE"""),"")</f>
        <v/>
      </c>
      <c r="AN850" s="1" t="str">
        <f>IFERROR(__xludf.DUMMYFUNCTION("""COMPUTED_VALUE"""),"")</f>
        <v/>
      </c>
      <c r="AO850" s="1" t="str">
        <f>IFERROR(__xludf.DUMMYFUNCTION("""COMPUTED_VALUE"""),"")</f>
        <v/>
      </c>
      <c r="AP850" s="1" t="str">
        <f>IFERROR(__xludf.DUMMYFUNCTION("""COMPUTED_VALUE"""),"")</f>
        <v/>
      </c>
      <c r="AQ850" s="1" t="str">
        <f>IFERROR(__xludf.DUMMYFUNCTION("""COMPUTED_VALUE"""),"11/21/2025")</f>
        <v>11/21/2025</v>
      </c>
      <c r="AR850" s="1" t="str">
        <f>IFERROR(__xludf.DUMMYFUNCTION("""COMPUTED_VALUE"""),"11/21/2025")</f>
        <v>11/21/2025</v>
      </c>
    </row>
    <row r="851">
      <c r="A851" s="1" t="str">
        <f>IFERROR(__xludf.DUMMYFUNCTION("""COMPUTED_VALUE"""),"LBT Investment Group LLC Data Center")</f>
        <v>LBT Investment Group LLC Data Center</v>
      </c>
      <c r="B851" s="1" t="str">
        <f>IFERROR(__xludf.DUMMYFUNCTION("""COMPUTED_VALUE"""),"near 42 Tomhicken Rd")</f>
        <v>near 42 Tomhicken Rd</v>
      </c>
      <c r="C851" s="1" t="str">
        <f>IFERROR(__xludf.DUMMYFUNCTION("""COMPUTED_VALUE"""),"Sugarloaf")</f>
        <v>Sugarloaf</v>
      </c>
      <c r="D851" s="1" t="str">
        <f>IFERROR(__xludf.DUMMYFUNCTION("""COMPUTED_VALUE"""),"PA")</f>
        <v>PA</v>
      </c>
      <c r="E851" s="1" t="str">
        <f>IFERROR(__xludf.DUMMYFUNCTION("""COMPUTED_VALUE"""),"18249")</f>
        <v>18249</v>
      </c>
      <c r="F851" s="1" t="str">
        <f>IFERROR(__xludf.DUMMYFUNCTION("""COMPUTED_VALUE"""),"Luzerne")</f>
        <v>Luzerne</v>
      </c>
      <c r="G851" s="1" t="str">
        <f>IFERROR(__xludf.DUMMYFUNCTION("""COMPUTED_VALUE"""),"40.97039")</f>
        <v>40.97039</v>
      </c>
      <c r="H851" s="1" t="str">
        <f>IFERROR(__xludf.DUMMYFUNCTION("""COMPUTED_VALUE"""),"-76.0435")</f>
        <v>-76.0435</v>
      </c>
      <c r="I851" s="1" t="str">
        <f>IFERROR(__xludf.DUMMYFUNCTION("""COMPUTED_VALUE"""),"Proposed")</f>
        <v>Proposed</v>
      </c>
      <c r="J851" s="1" t="str">
        <f>IFERROR(__xludf.DUMMYFUNCTION("""COMPUTED_VALUE"""),"Medium")</f>
        <v>Medium</v>
      </c>
      <c r="K851" s="1" t="str">
        <f>IFERROR(__xludf.DUMMYFUNCTION("""COMPUTED_VALUE"""),"")</f>
        <v/>
      </c>
      <c r="L851" s="1" t="str">
        <f>IFERROR(__xludf.DUMMYFUNCTION("""COMPUTED_VALUE"""),"")</f>
        <v/>
      </c>
      <c r="M851" s="1" t="str">
        <f>IFERROR(__xludf.DUMMYFUNCTION("""COMPUTED_VALUE"""),"")</f>
        <v/>
      </c>
      <c r="N851" s="1" t="str">
        <f>IFERROR(__xludf.DUMMYFUNCTION("""COMPUTED_VALUE"""),"")</f>
        <v/>
      </c>
      <c r="O851" s="1" t="str">
        <f>IFERROR(__xludf.DUMMYFUNCTION("""COMPUTED_VALUE"""),"Unknown")</f>
        <v>Unknown</v>
      </c>
      <c r="P851" s="1" t="str">
        <f>IFERROR(__xludf.DUMMYFUNCTION("""COMPUTED_VALUE"""),"")</f>
        <v/>
      </c>
      <c r="Q851" s="1" t="str">
        <f>IFERROR(__xludf.DUMMYFUNCTION("""COMPUTED_VALUE"""),"")</f>
        <v/>
      </c>
      <c r="R851" s="1" t="str">
        <f>IFERROR(__xludf.DUMMYFUNCTION("""COMPUTED_VALUE"""),"")</f>
        <v/>
      </c>
      <c r="S851" s="1" t="str">
        <f>IFERROR(__xludf.DUMMYFUNCTION("""COMPUTED_VALUE"""),"")</f>
        <v/>
      </c>
      <c r="T851" s="1" t="str">
        <f>IFERROR(__xludf.DUMMYFUNCTION("""COMPUTED_VALUE"""),"")</f>
        <v/>
      </c>
      <c r="U851" s="1" t="str">
        <f>IFERROR(__xludf.DUMMYFUNCTION("""COMPUTED_VALUE"""),"")</f>
        <v/>
      </c>
      <c r="V851" s="1" t="str">
        <f>IFERROR(__xludf.DUMMYFUNCTION("""COMPUTED_VALUE"""),"1,200,000")</f>
        <v>1,200,000</v>
      </c>
      <c r="W851" s="1" t="str">
        <f>IFERROR(__xludf.DUMMYFUNCTION("""COMPUTED_VALUE"""),"185")</f>
        <v>185</v>
      </c>
      <c r="X851" s="1" t="str">
        <f>IFERROR(__xludf.DUMMYFUNCTION("""COMPUTED_VALUE"""),"$4.8 billion")</f>
        <v>$4.8 billion</v>
      </c>
      <c r="Y851" s="1" t="str">
        <f>IFERROR(__xludf.DUMMYFUNCTION("""COMPUTED_VALUE"""),"")</f>
        <v/>
      </c>
      <c r="Z851" s="1" t="str">
        <f>IFERROR(__xludf.DUMMYFUNCTION("""COMPUTED_VALUE"""),"Unknown")</f>
        <v>Unknown</v>
      </c>
      <c r="AA851" s="1" t="str">
        <f>IFERROR(__xludf.DUMMYFUNCTION("""COMPUTED_VALUE"""),"")</f>
        <v/>
      </c>
      <c r="AB851" s="1" t="str">
        <f>IFERROR(__xludf.DUMMYFUNCTION("""COMPUTED_VALUE"""),"")</f>
        <v/>
      </c>
      <c r="AC851" s="1" t="str">
        <f>IFERROR(__xludf.DUMMYFUNCTION("""COMPUTED_VALUE"""),"")</f>
        <v/>
      </c>
      <c r="AD851" s="1" t="str">
        <f>IFERROR(__xludf.DUMMYFUNCTION("""COMPUTED_VALUE"""),"")</f>
        <v/>
      </c>
      <c r="AE851" s="1" t="str">
        <f>IFERROR(__xludf.DUMMYFUNCTION("""COMPUTED_VALUE"""),"")</f>
        <v/>
      </c>
      <c r="AF851" s="1" t="str">
        <f>IFERROR(__xludf.DUMMYFUNCTION("""COMPUTED_VALUE"""),"")</f>
        <v/>
      </c>
      <c r="AG851" s="1" t="str">
        <f>IFERROR(__xludf.DUMMYFUNCTION("""COMPUTED_VALUE"""),"Possibly for Amazon? Plan includes 10 acres for substations")</f>
        <v>Possibly for Amazon? Plan includes 10 acres for substations</v>
      </c>
      <c r="AH851" s="1" t="str">
        <f>IFERROR(__xludf.DUMMYFUNCTION("""COMPUTED_VALUE"""),"Media Monitoring")</f>
        <v>Media Monitoring</v>
      </c>
      <c r="AI851" s="2" t="str">
        <f>IFERROR(__xludf.DUMMYFUNCTION("""COMPUTED_VALUE"""),"https://www.standardspeaker.com/2025/07/16/this-is-a-real-onslaught/")</f>
        <v>https://www.standardspeaker.com/2025/07/16/this-is-a-real-onslaught/</v>
      </c>
      <c r="AJ851" s="1" t="str">
        <f>IFERROR(__xludf.DUMMYFUNCTION("""COMPUTED_VALUE"""),"")</f>
        <v/>
      </c>
      <c r="AK851" s="1" t="str">
        <f>IFERROR(__xludf.DUMMYFUNCTION("""COMPUTED_VALUE"""),"")</f>
        <v/>
      </c>
      <c r="AL851" s="1" t="str">
        <f>IFERROR(__xludf.DUMMYFUNCTION("""COMPUTED_VALUE"""),"")</f>
        <v/>
      </c>
      <c r="AM851" s="1" t="str">
        <f>IFERROR(__xludf.DUMMYFUNCTION("""COMPUTED_VALUE"""),"")</f>
        <v/>
      </c>
      <c r="AN851" s="1" t="str">
        <f>IFERROR(__xludf.DUMMYFUNCTION("""COMPUTED_VALUE"""),"")</f>
        <v/>
      </c>
      <c r="AO851" s="1" t="str">
        <f>IFERROR(__xludf.DUMMYFUNCTION("""COMPUTED_VALUE"""),"")</f>
        <v/>
      </c>
      <c r="AP851" s="1" t="str">
        <f>IFERROR(__xludf.DUMMYFUNCTION("""COMPUTED_VALUE"""),"")</f>
        <v/>
      </c>
      <c r="AQ851" s="1" t="str">
        <f>IFERROR(__xludf.DUMMYFUNCTION("""COMPUTED_VALUE"""),"08/11/2025")</f>
        <v>08/11/2025</v>
      </c>
      <c r="AR851" s="1" t="str">
        <f>IFERROR(__xludf.DUMMYFUNCTION("""COMPUTED_VALUE"""),"08/11/2025")</f>
        <v>08/11/2025</v>
      </c>
    </row>
    <row r="852">
      <c r="A852" s="1" t="str">
        <f>IFERROR(__xludf.DUMMYFUNCTION("""COMPUTED_VALUE"""),"Tarentum (Rockpointe) Data Center")</f>
        <v>Tarentum (Rockpointe) Data Center</v>
      </c>
      <c r="B852" s="1" t="str">
        <f>IFERROR(__xludf.DUMMYFUNCTION("""COMPUTED_VALUE"""),"400 MSA Dr")</f>
        <v>400 MSA Dr</v>
      </c>
      <c r="C852" s="1" t="str">
        <f>IFERROR(__xludf.DUMMYFUNCTION("""COMPUTED_VALUE"""),"Tarentum")</f>
        <v>Tarentum</v>
      </c>
      <c r="D852" s="1" t="str">
        <f>IFERROR(__xludf.DUMMYFUNCTION("""COMPUTED_VALUE"""),"PA")</f>
        <v>PA</v>
      </c>
      <c r="E852" s="1" t="str">
        <f>IFERROR(__xludf.DUMMYFUNCTION("""COMPUTED_VALUE"""),"15084")</f>
        <v>15084</v>
      </c>
      <c r="F852" s="1" t="str">
        <f>IFERROR(__xludf.DUMMYFUNCTION("""COMPUTED_VALUE"""),"Allegheny")</f>
        <v>Allegheny</v>
      </c>
      <c r="G852" s="1" t="str">
        <f>IFERROR(__xludf.DUMMYFUNCTION("""COMPUTED_VALUE"""),"40.60163")</f>
        <v>40.60163</v>
      </c>
      <c r="H852" s="1" t="str">
        <f>IFERROR(__xludf.DUMMYFUNCTION("""COMPUTED_VALUE"""),"-79.8196")</f>
        <v>-79.8196</v>
      </c>
      <c r="I852" s="1" t="str">
        <f>IFERROR(__xludf.DUMMYFUNCTION("""COMPUTED_VALUE"""),"Operating")</f>
        <v>Operating</v>
      </c>
      <c r="J852" s="1" t="str">
        <f>IFERROR(__xludf.DUMMYFUNCTION("""COMPUTED_VALUE"""),"High")</f>
        <v>High</v>
      </c>
      <c r="K852" s="1" t="str">
        <f>IFERROR(__xludf.DUMMYFUNCTION("""COMPUTED_VALUE"""),"")</f>
        <v/>
      </c>
      <c r="L852" s="1" t="str">
        <f>IFERROR(__xludf.DUMMYFUNCTION("""COMPUTED_VALUE"""),"")</f>
        <v/>
      </c>
      <c r="M852" s="1" t="str">
        <f>IFERROR(__xludf.DUMMYFUNCTION("""COMPUTED_VALUE"""),"")</f>
        <v/>
      </c>
      <c r="N852" s="1" t="str">
        <f>IFERROR(__xludf.DUMMYFUNCTION("""COMPUTED_VALUE"""),"")</f>
        <v/>
      </c>
      <c r="O852" s="1" t="str">
        <f>IFERROR(__xludf.DUMMYFUNCTION("""COMPUTED_VALUE"""),"Unknown")</f>
        <v>Unknown</v>
      </c>
      <c r="P852" s="1" t="str">
        <f>IFERROR(__xludf.DUMMYFUNCTION("""COMPUTED_VALUE"""),"")</f>
        <v/>
      </c>
      <c r="Q852" s="1" t="str">
        <f>IFERROR(__xludf.DUMMYFUNCTION("""COMPUTED_VALUE"""),"")</f>
        <v/>
      </c>
      <c r="R852" s="1" t="str">
        <f>IFERROR(__xludf.DUMMYFUNCTION("""COMPUTED_VALUE"""),"")</f>
        <v/>
      </c>
      <c r="S852" s="1" t="str">
        <f>IFERROR(__xludf.DUMMYFUNCTION("""COMPUTED_VALUE"""),"")</f>
        <v/>
      </c>
      <c r="T852" s="1" t="str">
        <f>IFERROR(__xludf.DUMMYFUNCTION("""COMPUTED_VALUE"""),"")</f>
        <v/>
      </c>
      <c r="U852" s="1" t="str">
        <f>IFERROR(__xludf.DUMMYFUNCTION("""COMPUTED_VALUE"""),"")</f>
        <v/>
      </c>
      <c r="V852" s="1" t="str">
        <f>IFERROR(__xludf.DUMMYFUNCTION("""COMPUTED_VALUE"""),"")</f>
        <v/>
      </c>
      <c r="W852" s="1" t="str">
        <f>IFERROR(__xludf.DUMMYFUNCTION("""COMPUTED_VALUE"""),"")</f>
        <v/>
      </c>
      <c r="X852" s="1" t="str">
        <f>IFERROR(__xludf.DUMMYFUNCTION("""COMPUTED_VALUE"""),"")</f>
        <v/>
      </c>
      <c r="Y852" s="1" t="str">
        <f>IFERROR(__xludf.DUMMYFUNCTION("""COMPUTED_VALUE"""),"")</f>
        <v/>
      </c>
      <c r="Z852" s="1" t="str">
        <f>IFERROR(__xludf.DUMMYFUNCTION("""COMPUTED_VALUE"""),"Unknown")</f>
        <v>Unknown</v>
      </c>
      <c r="AA852" s="1" t="str">
        <f>IFERROR(__xludf.DUMMYFUNCTION("""COMPUTED_VALUE"""),"")</f>
        <v/>
      </c>
      <c r="AB852" s="1" t="str">
        <f>IFERROR(__xludf.DUMMYFUNCTION("""COMPUTED_VALUE"""),"")</f>
        <v/>
      </c>
      <c r="AC852" s="1" t="str">
        <f>IFERROR(__xludf.DUMMYFUNCTION("""COMPUTED_VALUE"""),"")</f>
        <v/>
      </c>
      <c r="AD852" s="1" t="str">
        <f>IFERROR(__xludf.DUMMYFUNCTION("""COMPUTED_VALUE"""),"")</f>
        <v/>
      </c>
      <c r="AE852" s="1" t="str">
        <f>IFERROR(__xludf.DUMMYFUNCTION("""COMPUTED_VALUE"""),"")</f>
        <v/>
      </c>
      <c r="AF852" s="1" t="str">
        <f>IFERROR(__xludf.DUMMYFUNCTION("""COMPUTED_VALUE"""),"")</f>
        <v/>
      </c>
      <c r="AG852" s="1" t="str">
        <f>IFERROR(__xludf.DUMMYFUNCTION("""COMPUTED_VALUE"""),"")</f>
        <v/>
      </c>
      <c r="AH852" s="1" t="str">
        <f>IFERROR(__xludf.DUMMYFUNCTION("""COMPUTED_VALUE"""),"Media Monitoring")</f>
        <v>Media Monitoring</v>
      </c>
      <c r="AI852" s="2" t="str">
        <f>IFERROR(__xludf.DUMMYFUNCTION("""COMPUTED_VALUE"""),"https://www.consolidated.com/business/medium-enterprise/data-center-services/locations/pennsylvania")</f>
        <v>https://www.consolidated.com/business/medium-enterprise/data-center-services/locations/pennsylvania</v>
      </c>
      <c r="AJ852" s="1" t="str">
        <f>IFERROR(__xludf.DUMMYFUNCTION("""COMPUTED_VALUE"""),"")</f>
        <v/>
      </c>
      <c r="AK852" s="1" t="str">
        <f>IFERROR(__xludf.DUMMYFUNCTION("""COMPUTED_VALUE"""),"")</f>
        <v/>
      </c>
      <c r="AL852" s="1" t="str">
        <f>IFERROR(__xludf.DUMMYFUNCTION("""COMPUTED_VALUE"""),"")</f>
        <v/>
      </c>
      <c r="AM852" s="1" t="str">
        <f>IFERROR(__xludf.DUMMYFUNCTION("""COMPUTED_VALUE"""),"")</f>
        <v/>
      </c>
      <c r="AN852" s="1" t="str">
        <f>IFERROR(__xludf.DUMMYFUNCTION("""COMPUTED_VALUE"""),"")</f>
        <v/>
      </c>
      <c r="AO852" s="1" t="str">
        <f>IFERROR(__xludf.DUMMYFUNCTION("""COMPUTED_VALUE"""),"")</f>
        <v/>
      </c>
      <c r="AP852" s="1" t="str">
        <f>IFERROR(__xludf.DUMMYFUNCTION("""COMPUTED_VALUE"""),"")</f>
        <v/>
      </c>
      <c r="AQ852" s="1" t="str">
        <f>IFERROR(__xludf.DUMMYFUNCTION("""COMPUTED_VALUE"""),"08/04/2025")</f>
        <v>08/04/2025</v>
      </c>
      <c r="AR852" s="1" t="str">
        <f>IFERROR(__xludf.DUMMYFUNCTION("""COMPUTED_VALUE"""),"08/04/2025")</f>
        <v>08/04/2025</v>
      </c>
    </row>
    <row r="853">
      <c r="A853" s="1" t="str">
        <f>IFERROR(__xludf.DUMMYFUNCTION("""COMPUTED_VALUE"""),"Soltier Cryptomine")</f>
        <v>Soltier Cryptomine</v>
      </c>
      <c r="B853" s="1" t="str">
        <f>IFERROR(__xludf.DUMMYFUNCTION("""COMPUTED_VALUE"""),"133 Sullivan St")</f>
        <v>133 Sullivan St</v>
      </c>
      <c r="C853" s="1" t="str">
        <f>IFERROR(__xludf.DUMMYFUNCTION("""COMPUTED_VALUE"""),"Towanda")</f>
        <v>Towanda</v>
      </c>
      <c r="D853" s="1" t="str">
        <f>IFERROR(__xludf.DUMMYFUNCTION("""COMPUTED_VALUE"""),"PA")</f>
        <v>PA</v>
      </c>
      <c r="E853" s="1" t="str">
        <f>IFERROR(__xludf.DUMMYFUNCTION("""COMPUTED_VALUE"""),"18848")</f>
        <v>18848</v>
      </c>
      <c r="F853" s="1" t="str">
        <f>IFERROR(__xludf.DUMMYFUNCTION("""COMPUTED_VALUE"""),"Bradford")</f>
        <v>Bradford</v>
      </c>
      <c r="G853" s="1" t="str">
        <f>IFERROR(__xludf.DUMMYFUNCTION("""COMPUTED_VALUE"""),"41.76507")</f>
        <v>41.76507</v>
      </c>
      <c r="H853" s="1" t="str">
        <f>IFERROR(__xludf.DUMMYFUNCTION("""COMPUTED_VALUE"""),"-76.42684")</f>
        <v>-76.42684</v>
      </c>
      <c r="I853" s="1" t="str">
        <f>IFERROR(__xludf.DUMMYFUNCTION("""COMPUTED_VALUE"""),"Proposed")</f>
        <v>Proposed</v>
      </c>
      <c r="J853" s="1" t="str">
        <f>IFERROR(__xludf.DUMMYFUNCTION("""COMPUTED_VALUE"""),"High")</f>
        <v>High</v>
      </c>
      <c r="K853" s="1" t="str">
        <f>IFERROR(__xludf.DUMMYFUNCTION("""COMPUTED_VALUE"""),"Crypto")</f>
        <v>Crypto</v>
      </c>
      <c r="L853" s="1" t="str">
        <f>IFERROR(__xludf.DUMMYFUNCTION("""COMPUTED_VALUE"""),"Soltier")</f>
        <v>Soltier</v>
      </c>
      <c r="M853" s="1" t="str">
        <f>IFERROR(__xludf.DUMMYFUNCTION("""COMPUTED_VALUE"""),"")</f>
        <v/>
      </c>
      <c r="N853" s="1" t="str">
        <f>IFERROR(__xludf.DUMMYFUNCTION("""COMPUTED_VALUE"""),"")</f>
        <v/>
      </c>
      <c r="O853" s="1" t="str">
        <f>IFERROR(__xludf.DUMMYFUNCTION("""COMPUTED_VALUE"""),"Unknown")</f>
        <v>Unknown</v>
      </c>
      <c r="P853" s="1" t="str">
        <f>IFERROR(__xludf.DUMMYFUNCTION("""COMPUTED_VALUE"""),"")</f>
        <v/>
      </c>
      <c r="Q853" s="1" t="str">
        <f>IFERROR(__xludf.DUMMYFUNCTION("""COMPUTED_VALUE"""),"")</f>
        <v/>
      </c>
      <c r="R853" s="1" t="str">
        <f>IFERROR(__xludf.DUMMYFUNCTION("""COMPUTED_VALUE"""),"")</f>
        <v/>
      </c>
      <c r="S853" s="1" t="str">
        <f>IFERROR(__xludf.DUMMYFUNCTION("""COMPUTED_VALUE"""),"")</f>
        <v/>
      </c>
      <c r="T853" s="1" t="str">
        <f>IFERROR(__xludf.DUMMYFUNCTION("""COMPUTED_VALUE"""),"")</f>
        <v/>
      </c>
      <c r="U853" s="1" t="str">
        <f>IFERROR(__xludf.DUMMYFUNCTION("""COMPUTED_VALUE"""),"")</f>
        <v/>
      </c>
      <c r="V853" s="1" t="str">
        <f>IFERROR(__xludf.DUMMYFUNCTION("""COMPUTED_VALUE"""),"")</f>
        <v/>
      </c>
      <c r="W853" s="1" t="str">
        <f>IFERROR(__xludf.DUMMYFUNCTION("""COMPUTED_VALUE"""),"3")</f>
        <v>3</v>
      </c>
      <c r="X853" s="1" t="str">
        <f>IFERROR(__xludf.DUMMYFUNCTION("""COMPUTED_VALUE"""),"")</f>
        <v/>
      </c>
      <c r="Y853" s="1" t="str">
        <f>IFERROR(__xludf.DUMMYFUNCTION("""COMPUTED_VALUE"""),"")</f>
        <v/>
      </c>
      <c r="Z853" s="1" t="str">
        <f>IFERROR(__xludf.DUMMYFUNCTION("""COMPUTED_VALUE"""),"Unknown")</f>
        <v>Unknown</v>
      </c>
      <c r="AA853" s="1" t="str">
        <f>IFERROR(__xludf.DUMMYFUNCTION("""COMPUTED_VALUE"""),"")</f>
        <v/>
      </c>
      <c r="AB853" s="1" t="str">
        <f>IFERROR(__xludf.DUMMYFUNCTION("""COMPUTED_VALUE"""),"")</f>
        <v/>
      </c>
      <c r="AC853" s="1" t="str">
        <f>IFERROR(__xludf.DUMMYFUNCTION("""COMPUTED_VALUE"""),"")</f>
        <v/>
      </c>
      <c r="AD853" s="1" t="str">
        <f>IFERROR(__xludf.DUMMYFUNCTION("""COMPUTED_VALUE"""),"")</f>
        <v/>
      </c>
      <c r="AE853" s="1" t="str">
        <f>IFERROR(__xludf.DUMMYFUNCTION("""COMPUTED_VALUE"""),"")</f>
        <v/>
      </c>
      <c r="AF853" s="1" t="str">
        <f>IFERROR(__xludf.DUMMYFUNCTION("""COMPUTED_VALUE"""),"")</f>
        <v/>
      </c>
      <c r="AG853" s="1" t="str">
        <f>IFERROR(__xludf.DUMMYFUNCTION("""COMPUTED_VALUE"""),"")</f>
        <v/>
      </c>
      <c r="AH853" s="1" t="str">
        <f>IFERROR(__xludf.DUMMYFUNCTION("""COMPUTED_VALUE"""),"Media Monitoring")</f>
        <v>Media Monitoring</v>
      </c>
      <c r="AI853" s="2" t="str">
        <f>IFERROR(__xludf.DUMMYFUNCTION("""COMPUTED_VALUE"""),"https://www.datacenterdynamics.com/en/news/soltier-cryptomine-proposal-delayed-in-bradford-county-pennsylvania/")</f>
        <v>https://www.datacenterdynamics.com/en/news/soltier-cryptomine-proposal-delayed-in-bradford-county-pennsylvania/</v>
      </c>
      <c r="AJ853" s="1" t="str">
        <f>IFERROR(__xludf.DUMMYFUNCTION("""COMPUTED_VALUE"""),"")</f>
        <v/>
      </c>
      <c r="AK853" s="1" t="str">
        <f>IFERROR(__xludf.DUMMYFUNCTION("""COMPUTED_VALUE"""),"")</f>
        <v/>
      </c>
      <c r="AL853" s="1" t="str">
        <f>IFERROR(__xludf.DUMMYFUNCTION("""COMPUTED_VALUE"""),"")</f>
        <v/>
      </c>
      <c r="AM853" s="1" t="str">
        <f>IFERROR(__xludf.DUMMYFUNCTION("""COMPUTED_VALUE"""),"")</f>
        <v/>
      </c>
      <c r="AN853" s="1" t="str">
        <f>IFERROR(__xludf.DUMMYFUNCTION("""COMPUTED_VALUE"""),"")</f>
        <v/>
      </c>
      <c r="AO853" s="1" t="str">
        <f>IFERROR(__xludf.DUMMYFUNCTION("""COMPUTED_VALUE"""),"")</f>
        <v/>
      </c>
      <c r="AP853" s="1" t="str">
        <f>IFERROR(__xludf.DUMMYFUNCTION("""COMPUTED_VALUE"""),"")</f>
        <v/>
      </c>
      <c r="AQ853" s="1" t="str">
        <f>IFERROR(__xludf.DUMMYFUNCTION("""COMPUTED_VALUE"""),"06/24/2026")</f>
        <v>06/24/2026</v>
      </c>
      <c r="AR853" s="1" t="str">
        <f>IFERROR(__xludf.DUMMYFUNCTION("""COMPUTED_VALUE"""),"06/24/2026")</f>
        <v>06/24/2026</v>
      </c>
    </row>
    <row r="854">
      <c r="A854" s="1" t="str">
        <f>IFERROR(__xludf.DUMMYFUNCTION("""COMPUTED_VALUE"""),"Upper Macungie Data Center")</f>
        <v>Upper Macungie Data Center</v>
      </c>
      <c r="B854" s="1" t="str">
        <f>IFERROR(__xludf.DUMMYFUNCTION("""COMPUTED_VALUE"""),"7300 Cetronia Road")</f>
        <v>7300 Cetronia Road</v>
      </c>
      <c r="C854" s="1" t="str">
        <f>IFERROR(__xludf.DUMMYFUNCTION("""COMPUTED_VALUE"""),"Upper Macungie")</f>
        <v>Upper Macungie</v>
      </c>
      <c r="D854" s="1" t="str">
        <f>IFERROR(__xludf.DUMMYFUNCTION("""COMPUTED_VALUE"""),"PA")</f>
        <v>PA</v>
      </c>
      <c r="E854" s="1" t="str">
        <f>IFERROR(__xludf.DUMMYFUNCTION("""COMPUTED_VALUE"""),"18106")</f>
        <v>18106</v>
      </c>
      <c r="F854" s="1" t="str">
        <f>IFERROR(__xludf.DUMMYFUNCTION("""COMPUTED_VALUE"""),"Lehigh")</f>
        <v>Lehigh</v>
      </c>
      <c r="G854" s="1" t="str">
        <f>IFERROR(__xludf.DUMMYFUNCTION("""COMPUTED_VALUE"""),"40.55624")</f>
        <v>40.55624</v>
      </c>
      <c r="H854" s="1" t="str">
        <f>IFERROR(__xludf.DUMMYFUNCTION("""COMPUTED_VALUE"""),"-75.59831")</f>
        <v>-75.59831</v>
      </c>
      <c r="I854" s="1" t="str">
        <f>IFERROR(__xludf.DUMMYFUNCTION("""COMPUTED_VALUE"""),"Suspended")</f>
        <v>Suspended</v>
      </c>
      <c r="J854" s="1" t="str">
        <f>IFERROR(__xludf.DUMMYFUNCTION("""COMPUTED_VALUE"""),"High")</f>
        <v>High</v>
      </c>
      <c r="K854" s="1" t="str">
        <f>IFERROR(__xludf.DUMMYFUNCTION("""COMPUTED_VALUE"""),"")</f>
        <v/>
      </c>
      <c r="L854" s="1" t="str">
        <f>IFERROR(__xludf.DUMMYFUNCTION("""COMPUTED_VALUE"""),"")</f>
        <v/>
      </c>
      <c r="M854" s="1" t="str">
        <f>IFERROR(__xludf.DUMMYFUNCTION("""COMPUTED_VALUE"""),"")</f>
        <v/>
      </c>
      <c r="N854" s="1" t="str">
        <f>IFERROR(__xludf.DUMMYFUNCTION("""COMPUTED_VALUE"""),"")</f>
        <v/>
      </c>
      <c r="O854" s="1" t="str">
        <f>IFERROR(__xludf.DUMMYFUNCTION("""COMPUTED_VALUE"""),"Hyperscale (100-999 MW)")</f>
        <v>Hyperscale (100-999 MW)</v>
      </c>
      <c r="P854" s="1" t="str">
        <f>IFERROR(__xludf.DUMMYFUNCTION("""COMPUTED_VALUE"""),"")</f>
        <v/>
      </c>
      <c r="Q854" s="1" t="str">
        <f>IFERROR(__xludf.DUMMYFUNCTION("""COMPUTED_VALUE"""),"")</f>
        <v/>
      </c>
      <c r="R854" s="1" t="str">
        <f>IFERROR(__xludf.DUMMYFUNCTION("""COMPUTED_VALUE"""),"")</f>
        <v/>
      </c>
      <c r="S854" s="1" t="str">
        <f>IFERROR(__xludf.DUMMYFUNCTION("""COMPUTED_VALUE"""),"3")</f>
        <v>3</v>
      </c>
      <c r="T854" s="1" t="str">
        <f>IFERROR(__xludf.DUMMYFUNCTION("""COMPUTED_VALUE"""),"")</f>
        <v/>
      </c>
      <c r="U854" s="1" t="str">
        <f>IFERROR(__xludf.DUMMYFUNCTION("""COMPUTED_VALUE"""),"")</f>
        <v/>
      </c>
      <c r="V854" s="1" t="str">
        <f>IFERROR(__xludf.DUMMYFUNCTION("""COMPUTED_VALUE"""),"2,600,000")</f>
        <v>2,600,000</v>
      </c>
      <c r="W854" s="1" t="str">
        <f>IFERROR(__xludf.DUMMYFUNCTION("""COMPUTED_VALUE"""),"194")</f>
        <v>194</v>
      </c>
      <c r="X854" s="1" t="str">
        <f>IFERROR(__xludf.DUMMYFUNCTION("""COMPUTED_VALUE"""),"")</f>
        <v/>
      </c>
      <c r="Y854" s="1" t="str">
        <f>IFERROR(__xludf.DUMMYFUNCTION("""COMPUTED_VALUE"""),"")</f>
        <v/>
      </c>
      <c r="Z854" s="1" t="str">
        <f>IFERROR(__xludf.DUMMYFUNCTION("""COMPUTED_VALUE"""),"Yes")</f>
        <v>Yes</v>
      </c>
      <c r="AA854" s="1" t="str">
        <f>IFERROR(__xludf.DUMMYFUNCTION("""COMPUTED_VALUE"""),"")</f>
        <v/>
      </c>
      <c r="AB854" s="1" t="str">
        <f>IFERROR(__xludf.DUMMYFUNCTION("""COMPUTED_VALUE"""),"")</f>
        <v/>
      </c>
      <c r="AC854" s="1" t="str">
        <f>IFERROR(__xludf.DUMMYFUNCTION("""COMPUTED_VALUE"""),"")</f>
        <v/>
      </c>
      <c r="AD854" s="1" t="str">
        <f>IFERROR(__xludf.DUMMYFUNCTION("""COMPUTED_VALUE"""),"")</f>
        <v/>
      </c>
      <c r="AE854" s="1" t="str">
        <f>IFERROR(__xludf.DUMMYFUNCTION("""COMPUTED_VALUE"""),"")</f>
        <v/>
      </c>
      <c r="AF854" s="1" t="str">
        <f>IFERROR(__xludf.DUMMYFUNCTION("""COMPUTED_VALUE"""),"")</f>
        <v/>
      </c>
      <c r="AG854" s="1" t="str">
        <f>IFERROR(__xludf.DUMMYFUNCTION("""COMPUTED_VALUE"""),"Deal not finished yet, Air Products still owns land")</f>
        <v>Deal not finished yet, Air Products still owns land</v>
      </c>
      <c r="AH854" s="1" t="str">
        <f>IFERROR(__xludf.DUMMYFUNCTION("""COMPUTED_VALUE"""),"Other")</f>
        <v>Other</v>
      </c>
      <c r="AI854" s="2" t="str">
        <f>IFERROR(__xludf.DUMMYFUNCTION("""COMPUTED_VALUE"""),"https://www.mcall.com/2025/11/12/large-data-center-in-the-works-for-former-air-products-site-in-upper-macungie/")</f>
        <v>https://www.mcall.com/2025/11/12/large-data-center-in-the-works-for-former-air-products-site-in-upper-macungie/</v>
      </c>
      <c r="AJ854" s="2" t="str">
        <f>IFERROR(__xludf.DUMMYFUNCTION("""COMPUTED_VALUE"""),"https://www.mcall.com/2025/11/09/talking-business-with-becky-bradley-the-rise-of-data-centers-crypto-mines-and-smart-manufacturing-and-how-the-lehigh-valley-is-planning-for-it/")</f>
        <v>https://www.mcall.com/2025/11/09/talking-business-with-becky-bradley-the-rise-of-data-centers-crypto-mines-and-smart-manufacturing-and-how-the-lehigh-valley-is-planning-for-it/</v>
      </c>
      <c r="AK854" s="2" t="str">
        <f>IFERROR(__xludf.DUMMYFUNCTION("""COMPUTED_VALUE"""),"https://www.wfmz.com/news/area/lehighvalley/lehigh-county/western-lehigh-county/like-spaghetti-on-the-wall-lvpc-finds-air-products-data-center-plans-lacking/article_6ef5e836-0002-445b-9e52-67f272b8c393.html")</f>
        <v>https://www.wfmz.com/news/area/lehighvalley/lehigh-county/western-lehigh-county/like-spaghetti-on-the-wall-lvpc-finds-air-products-data-center-plans-lacking/article_6ef5e836-0002-445b-9e52-67f272b8c393.html</v>
      </c>
      <c r="AL854" s="2" t="str">
        <f>IFERROR(__xludf.DUMMYFUNCTION("""COMPUTED_VALUE"""),"https://www.msn.com/en-us/money/news/lehigh-valley-planners-get-a-look-at-another-massive-data-center-project/ar-AA1UvwCJ")</f>
        <v>https://www.msn.com/en-us/money/news/lehigh-valley-planners-get-a-look-at-another-massive-data-center-project/ar-AA1UvwCJ</v>
      </c>
      <c r="AM854" s="1" t="str">
        <f>IFERROR(__xludf.DUMMYFUNCTION("""COMPUTED_VALUE"""),"")</f>
        <v/>
      </c>
      <c r="AN854" s="1" t="str">
        <f>IFERROR(__xludf.DUMMYFUNCTION("""COMPUTED_VALUE"""),"")</f>
        <v/>
      </c>
      <c r="AO854" s="1" t="str">
        <f>IFERROR(__xludf.DUMMYFUNCTION("""COMPUTED_VALUE"""),"")</f>
        <v/>
      </c>
      <c r="AP854" s="1" t="str">
        <f>IFERROR(__xludf.DUMMYFUNCTION("""COMPUTED_VALUE"""),"")</f>
        <v/>
      </c>
      <c r="AQ854" s="1" t="str">
        <f>IFERROR(__xludf.DUMMYFUNCTION("""COMPUTED_VALUE"""),"11/24/2025")</f>
        <v>11/24/2025</v>
      </c>
      <c r="AR854" s="1" t="str">
        <f>IFERROR(__xludf.DUMMYFUNCTION("""COMPUTED_VALUE"""),"03/18/2026")</f>
        <v>03/18/2026</v>
      </c>
    </row>
    <row r="855">
      <c r="A855" s="1" t="str">
        <f>IFERROR(__xludf.DUMMYFUNCTION("""COMPUTED_VALUE"""),"Switch Pitt Race Data Center")</f>
        <v>Switch Pitt Race Data Center</v>
      </c>
      <c r="B855" s="1" t="str">
        <f>IFERROR(__xludf.DUMMYFUNCTION("""COMPUTED_VALUE"""),"201 Penndale Road")</f>
        <v>201 Penndale Road</v>
      </c>
      <c r="C855" s="1" t="str">
        <f>IFERROR(__xludf.DUMMYFUNCTION("""COMPUTED_VALUE"""),"Wampum")</f>
        <v>Wampum</v>
      </c>
      <c r="D855" s="1" t="str">
        <f>IFERROR(__xludf.DUMMYFUNCTION("""COMPUTED_VALUE"""),"PA")</f>
        <v>PA</v>
      </c>
      <c r="E855" s="1" t="str">
        <f>IFERROR(__xludf.DUMMYFUNCTION("""COMPUTED_VALUE"""),"16157")</f>
        <v>16157</v>
      </c>
      <c r="F855" s="1" t="str">
        <f>IFERROR(__xludf.DUMMYFUNCTION("""COMPUTED_VALUE"""),"Beaver")</f>
        <v>Beaver</v>
      </c>
      <c r="G855" s="1" t="str">
        <f>IFERROR(__xludf.DUMMYFUNCTION("""COMPUTED_VALUE"""),"40.851284")</f>
        <v>40.851284</v>
      </c>
      <c r="H855" s="1" t="str">
        <f>IFERROR(__xludf.DUMMYFUNCTION("""COMPUTED_VALUE"""),"-80.34748")</f>
        <v>-80.34748</v>
      </c>
      <c r="I855" s="1" t="str">
        <f>IFERROR(__xludf.DUMMYFUNCTION("""COMPUTED_VALUE"""),"Proposed")</f>
        <v>Proposed</v>
      </c>
      <c r="J855" s="1" t="str">
        <f>IFERROR(__xludf.DUMMYFUNCTION("""COMPUTED_VALUE"""),"High")</f>
        <v>High</v>
      </c>
      <c r="K855" s="1" t="str">
        <f>IFERROR(__xludf.DUMMYFUNCTION("""COMPUTED_VALUE"""),"")</f>
        <v/>
      </c>
      <c r="L855" s="1" t="str">
        <f>IFERROR(__xludf.DUMMYFUNCTION("""COMPUTED_VALUE"""),"Switch")</f>
        <v>Switch</v>
      </c>
      <c r="M855" s="1" t="str">
        <f>IFERROR(__xludf.DUMMYFUNCTION("""COMPUTED_VALUE"""),"")</f>
        <v/>
      </c>
      <c r="N855" s="1" t="str">
        <f>IFERROR(__xludf.DUMMYFUNCTION("""COMPUTED_VALUE"""),"")</f>
        <v/>
      </c>
      <c r="O855" s="1" t="str">
        <f>IFERROR(__xludf.DUMMYFUNCTION("""COMPUTED_VALUE"""),"Unknown")</f>
        <v>Unknown</v>
      </c>
      <c r="P855" s="1" t="str">
        <f>IFERROR(__xludf.DUMMYFUNCTION("""COMPUTED_VALUE"""),"")</f>
        <v/>
      </c>
      <c r="Q855" s="1" t="str">
        <f>IFERROR(__xludf.DUMMYFUNCTION("""COMPUTED_VALUE"""),"")</f>
        <v/>
      </c>
      <c r="R855" s="1" t="str">
        <f>IFERROR(__xludf.DUMMYFUNCTION("""COMPUTED_VALUE"""),"")</f>
        <v/>
      </c>
      <c r="S855" s="1" t="str">
        <f>IFERROR(__xludf.DUMMYFUNCTION("""COMPUTED_VALUE"""),"")</f>
        <v/>
      </c>
      <c r="T855" s="1" t="str">
        <f>IFERROR(__xludf.DUMMYFUNCTION("""COMPUTED_VALUE"""),"")</f>
        <v/>
      </c>
      <c r="U855" s="1" t="str">
        <f>IFERROR(__xludf.DUMMYFUNCTION("""COMPUTED_VALUE"""),"Closed loop")</f>
        <v>Closed loop</v>
      </c>
      <c r="V855" s="1" t="str">
        <f>IFERROR(__xludf.DUMMYFUNCTION("""COMPUTED_VALUE"""),"")</f>
        <v/>
      </c>
      <c r="W855" s="1" t="str">
        <f>IFERROR(__xludf.DUMMYFUNCTION("""COMPUTED_VALUE"""),"382")</f>
        <v>382</v>
      </c>
      <c r="X855" s="1" t="str">
        <f>IFERROR(__xludf.DUMMYFUNCTION("""COMPUTED_VALUE"""),"$80-200 million")</f>
        <v>$80-200 million</v>
      </c>
      <c r="Y855" s="1" t="str">
        <f>IFERROR(__xludf.DUMMYFUNCTION("""COMPUTED_VALUE"""),"")</f>
        <v/>
      </c>
      <c r="Z855" s="1" t="str">
        <f>IFERROR(__xludf.DUMMYFUNCTION("""COMPUTED_VALUE"""),"Yes")</f>
        <v>Yes</v>
      </c>
      <c r="AA855" s="1" t="str">
        <f>IFERROR(__xludf.DUMMYFUNCTION("""COMPUTED_VALUE"""),"")</f>
        <v/>
      </c>
      <c r="AB855" s="1" t="str">
        <f>IFERROR(__xludf.DUMMYFUNCTION("""COMPUTED_VALUE"""),"")</f>
        <v/>
      </c>
      <c r="AC855" s="1" t="str">
        <f>IFERROR(__xludf.DUMMYFUNCTION("""COMPUTED_VALUE"""),"")</f>
        <v/>
      </c>
      <c r="AD855" s="1" t="str">
        <f>IFERROR(__xludf.DUMMYFUNCTION("""COMPUTED_VALUE"""),"")</f>
        <v/>
      </c>
      <c r="AE855" s="1" t="str">
        <f>IFERROR(__xludf.DUMMYFUNCTION("""COMPUTED_VALUE"""),"")</f>
        <v/>
      </c>
      <c r="AF855" s="2" t="str">
        <f>IFERROR(__xludf.DUMMYFUNCTION("""COMPUTED_VALUE"""),"https://www.change.org/p/save-pitt-race-from-closure/u/33957563")</f>
        <v>https://www.change.org/p/save-pitt-race-from-closure/u/33957563</v>
      </c>
      <c r="AG855" s="1" t="str">
        <f>IFERROR(__xludf.DUMMYFUNCTION("""COMPUTED_VALUE"""),"Former site of Pitt Race, previous owners confirmed that they sold to a developer and the developer plans to build a gas-fired power plant + data center")</f>
        <v>Former site of Pitt Race, previous owners confirmed that they sold to a developer and the developer plans to build a gas-fired power plant + data center</v>
      </c>
      <c r="AH855" s="1" t="str">
        <f>IFERROR(__xludf.DUMMYFUNCTION("""COMPUTED_VALUE"""),"Crowdsourced")</f>
        <v>Crowdsourced</v>
      </c>
      <c r="AI855" s="2" t="str">
        <f>IFERROR(__xludf.DUMMYFUNCTION("""COMPUTED_VALUE"""),"https://www.theautopian.com/one-of-the-east-coasts-best-race-tracks-is-reportedly-closing-for-good/")</f>
        <v>https://www.theautopian.com/one-of-the-east-coasts-best-race-tracks-is-reportedly-closing-for-good/</v>
      </c>
      <c r="AJ855" s="2" t="str">
        <f>IFERROR(__xludf.DUMMYFUNCTION("""COMPUTED_VALUE"""),"https://www.post-gazette.com/business/tech-news/2026/06/03/data-center-beaver-county-pitt-race/stories/202606030047")</f>
        <v>https://www.post-gazette.com/business/tech-news/2026/06/03/data-center-beaver-county-pitt-race/stories/202606030047</v>
      </c>
      <c r="AK855" s="2" t="str">
        <f>IFERROR(__xludf.DUMMYFUNCTION("""COMPUTED_VALUE"""),"https://www.wtae.com/article/community-pushes-back-proposed-data-center-campus-big-beaver-borough/71477091")</f>
        <v>https://www.wtae.com/article/community-pushes-back-proposed-data-center-campus-big-beaver-borough/71477091</v>
      </c>
      <c r="AL855" s="1" t="str">
        <f>IFERROR(__xludf.DUMMYFUNCTION("""COMPUTED_VALUE"""),"")</f>
        <v/>
      </c>
      <c r="AM855" s="1" t="str">
        <f>IFERROR(__xludf.DUMMYFUNCTION("""COMPUTED_VALUE"""),"")</f>
        <v/>
      </c>
      <c r="AN855" s="1" t="str">
        <f>IFERROR(__xludf.DUMMYFUNCTION("""COMPUTED_VALUE"""),"")</f>
        <v/>
      </c>
      <c r="AO855" s="1" t="str">
        <f>IFERROR(__xludf.DUMMYFUNCTION("""COMPUTED_VALUE"""),"")</f>
        <v/>
      </c>
      <c r="AP855" s="1" t="str">
        <f>IFERROR(__xludf.DUMMYFUNCTION("""COMPUTED_VALUE"""),"")</f>
        <v/>
      </c>
      <c r="AQ855" s="1" t="str">
        <f>IFERROR(__xludf.DUMMYFUNCTION("""COMPUTED_VALUE"""),"12/08/2025")</f>
        <v>12/08/2025</v>
      </c>
      <c r="AR855" s="1" t="str">
        <f>IFERROR(__xludf.DUMMYFUNCTION("""COMPUTED_VALUE"""),"07/06/2026")</f>
        <v>07/06/2026</v>
      </c>
    </row>
    <row r="856">
      <c r="A856" s="1" t="str">
        <f>IFERROR(__xludf.DUMMYFUNCTION("""COMPUTED_VALUE"""),"Salem Township Amazon Data Center ")</f>
        <v>Salem Township Amazon Data Center </v>
      </c>
      <c r="B856" s="1" t="str">
        <f>IFERROR(__xludf.DUMMYFUNCTION("""COMPUTED_VALUE"""),"off US-11")</f>
        <v>off US-11</v>
      </c>
      <c r="C856" s="1" t="str">
        <f>IFERROR(__xludf.DUMMYFUNCTION("""COMPUTED_VALUE"""),"Wapwallopen")</f>
        <v>Wapwallopen</v>
      </c>
      <c r="D856" s="1" t="str">
        <f>IFERROR(__xludf.DUMMYFUNCTION("""COMPUTED_VALUE"""),"PA")</f>
        <v>PA</v>
      </c>
      <c r="E856" s="1" t="str">
        <f>IFERROR(__xludf.DUMMYFUNCTION("""COMPUTED_VALUE"""),"18603")</f>
        <v>18603</v>
      </c>
      <c r="F856" s="1" t="str">
        <f>IFERROR(__xludf.DUMMYFUNCTION("""COMPUTED_VALUE"""),"Luzerne")</f>
        <v>Luzerne</v>
      </c>
      <c r="G856" s="1" t="str">
        <f>IFERROR(__xludf.DUMMYFUNCTION("""COMPUTED_VALUE"""),"41.109283")</f>
        <v>41.109283</v>
      </c>
      <c r="H856" s="1" t="str">
        <f>IFERROR(__xludf.DUMMYFUNCTION("""COMPUTED_VALUE"""),"-76.14361")</f>
        <v>-76.14361</v>
      </c>
      <c r="I856" s="1" t="str">
        <f>IFERROR(__xludf.DUMMYFUNCTION("""COMPUTED_VALUE"""),"Proposed")</f>
        <v>Proposed</v>
      </c>
      <c r="J856" s="1" t="str">
        <f>IFERROR(__xludf.DUMMYFUNCTION("""COMPUTED_VALUE"""),"High")</f>
        <v>High</v>
      </c>
      <c r="K856" s="1" t="str">
        <f>IFERROR(__xludf.DUMMYFUNCTION("""COMPUTED_VALUE"""),"AI")</f>
        <v>AI</v>
      </c>
      <c r="L856" s="1" t="str">
        <f>IFERROR(__xludf.DUMMYFUNCTION("""COMPUTED_VALUE"""),"Amazon")</f>
        <v>Amazon</v>
      </c>
      <c r="M856" s="1" t="str">
        <f>IFERROR(__xludf.DUMMYFUNCTION("""COMPUTED_VALUE"""),"")</f>
        <v/>
      </c>
      <c r="N856" s="1" t="str">
        <f>IFERROR(__xludf.DUMMYFUNCTION("""COMPUTED_VALUE"""),"960")</f>
        <v>960</v>
      </c>
      <c r="O856" s="1" t="str">
        <f>IFERROR(__xludf.DUMMYFUNCTION("""COMPUTED_VALUE"""),"Hyperscale (100-999 MW)")</f>
        <v>Hyperscale (100-999 MW)</v>
      </c>
      <c r="P856" s="1" t="str">
        <f>IFERROR(__xludf.DUMMYFUNCTION("""COMPUTED_VALUE"""),"Nuclear")</f>
        <v>Nuclear</v>
      </c>
      <c r="Q856" s="1" t="str">
        <f>IFERROR(__xludf.DUMMYFUNCTION("""COMPUTED_VALUE"""),"Yes - Susquehanna Nuclear Plant")</f>
        <v>Yes - Susquehanna Nuclear Plant</v>
      </c>
      <c r="R856" s="1" t="str">
        <f>IFERROR(__xludf.DUMMYFUNCTION("""COMPUTED_VALUE"""),"")</f>
        <v/>
      </c>
      <c r="S856" s="1" t="str">
        <f>IFERROR(__xludf.DUMMYFUNCTION("""COMPUTED_VALUE"""),"")</f>
        <v/>
      </c>
      <c r="T856" s="1" t="str">
        <f>IFERROR(__xludf.DUMMYFUNCTION("""COMPUTED_VALUE"""),"")</f>
        <v/>
      </c>
      <c r="U856" s="1" t="str">
        <f>IFERROR(__xludf.DUMMYFUNCTION("""COMPUTED_VALUE"""),"")</f>
        <v/>
      </c>
      <c r="V856" s="1" t="str">
        <f>IFERROR(__xludf.DUMMYFUNCTION("""COMPUTED_VALUE"""),"")</f>
        <v/>
      </c>
      <c r="W856" s="1" t="str">
        <f>IFERROR(__xludf.DUMMYFUNCTION("""COMPUTED_VALUE"""),"1582")</f>
        <v>1582</v>
      </c>
      <c r="X856" s="1" t="str">
        <f>IFERROR(__xludf.DUMMYFUNCTION("""COMPUTED_VALUE"""),"$20 billion")</f>
        <v>$20 billion</v>
      </c>
      <c r="Y856" s="1" t="str">
        <f>IFERROR(__xludf.DUMMYFUNCTION("""COMPUTED_VALUE"""),"")</f>
        <v/>
      </c>
      <c r="Z856" s="1" t="str">
        <f>IFERROR(__xludf.DUMMYFUNCTION("""COMPUTED_VALUE"""),"Yes")</f>
        <v>Yes</v>
      </c>
      <c r="AA856" s="1" t="str">
        <f>IFERROR(__xludf.DUMMYFUNCTION("""COMPUTED_VALUE"""),"")</f>
        <v/>
      </c>
      <c r="AB856" s="1" t="str">
        <f>IFERROR(__xludf.DUMMYFUNCTION("""COMPUTED_VALUE"""),"")</f>
        <v/>
      </c>
      <c r="AC856" s="1" t="str">
        <f>IFERROR(__xludf.DUMMYFUNCTION("""COMPUTED_VALUE"""),"")</f>
        <v/>
      </c>
      <c r="AD856" s="2" t="str">
        <f>IFERROR(__xludf.DUMMYFUNCTION("""COMPUTED_VALUE"""),"https://www.facebook.com/p/Concerned-Citizens-of-Montour-County-100064748140999/")</f>
        <v>https://www.facebook.com/p/Concerned-Citizens-of-Montour-County-100064748140999/</v>
      </c>
      <c r="AE856" s="1" t="str">
        <f>IFERROR(__xludf.DUMMYFUNCTION("""COMPUTED_VALUE"""),"")</f>
        <v/>
      </c>
      <c r="AF856" s="1" t="str">
        <f>IFERROR(__xludf.DUMMYFUNCTION("""COMPUTED_VALUE"""),"")</f>
        <v/>
      </c>
      <c r="AG856" s="1" t="str">
        <f>IFERROR(__xludf.DUMMYFUNCTION("""COMPUTED_VALUE"""),"Next to Susquehanna Nuclear Plant, which it will draw power from. AWS successfully rezoned 1,600 acres in the area to “Special Data Center Overlay District"" in May 2024. It represents one of the largest private investments in Pennsylvania. This project i"&amp;"s being fast tracked by the PA DEP (https://www.pa.gov/agencies/oto/fasttrack/salemtownshipdatacenterdevelopment)")</f>
        <v>Next to Susquehanna Nuclear Plant, which it will draw power from. AWS successfully rezoned 1,600 acres in the area to “Special Data Center Overlay District" in May 2024. It represents one of the largest private investments in Pennsylvania. This project is being fast tracked by the PA DEP (https://www.pa.gov/agencies/oto/fasttrack/salemtownshipdatacenterdevelopment)</v>
      </c>
      <c r="AH856" s="1" t="str">
        <f>IFERROR(__xludf.DUMMYFUNCTION("""COMPUTED_VALUE"""),"Media Monitoring")</f>
        <v>Media Monitoring</v>
      </c>
      <c r="AI856" s="2" t="str">
        <f>IFERROR(__xludf.DUMMYFUNCTION("""COMPUTED_VALUE"""),"https://technical.ly/civics/amazon-20b-pennsylvania-cloud-ai/")</f>
        <v>https://technical.ly/civics/amazon-20b-pennsylvania-cloud-ai/</v>
      </c>
      <c r="AJ856" s="2" t="str">
        <f>IFERROR(__xludf.DUMMYFUNCTION("""COMPUTED_VALUE"""),"https://spectrum.ieee.org/amazon-data-center-nuclear-power")</f>
        <v>https://spectrum.ieee.org/amazon-data-center-nuclear-power</v>
      </c>
      <c r="AK856" s="2" t="str">
        <f>IFERROR(__xludf.DUMMYFUNCTION("""COMPUTED_VALUE"""),"https://www.facebook.com/TheDailyItem/posts/danville-a-group-calling-itself-the-concerned-citizens-of-montour-county-has-for/1369932341805122/")</f>
        <v>https://www.facebook.com/TheDailyItem/posts/danville-a-group-calling-itself-the-concerned-citizens-of-montour-county-has-for/1369932341805122/</v>
      </c>
      <c r="AL856" s="2" t="str">
        <f>IFERROR(__xludf.DUMMYFUNCTION("""COMPUTED_VALUE"""),"https://www.thewellnews.com/energy/amazon-to-spend-20b-on-data-centers-including-one-next-to-a-nuclear-power-plant/")</f>
        <v>https://www.thewellnews.com/energy/amazon-to-spend-20b-on-data-centers-including-one-next-to-a-nuclear-power-plant/</v>
      </c>
      <c r="AM856" s="2" t="str">
        <f>IFERROR(__xludf.DUMMYFUNCTION("""COMPUTED_VALUE"""),"https://www.citizensvoice.com/2024/05/29/salem-twp-rezones-1582-acres-for-multibillion-dollar-amazon-data-center-campus-near-power-plants/")</f>
        <v>https://www.citizensvoice.com/2024/05/29/salem-twp-rezones-1582-acres-for-multibillion-dollar-amazon-data-center-campus-near-power-plants/</v>
      </c>
      <c r="AN856" s="2" t="str">
        <f>IFERROR(__xludf.DUMMYFUNCTION("""COMPUTED_VALUE"""),"https://www.datacenterdynamics.com/en/news/amazon-to-invest-20bn-in-data-centers-in-pennsylvania/")</f>
        <v>https://www.datacenterdynamics.com/en/news/amazon-to-invest-20bn-in-data-centers-in-pennsylvania/</v>
      </c>
      <c r="AO856" s="1" t="str">
        <f>IFERROR(__xludf.DUMMYFUNCTION("""COMPUTED_VALUE"""),"")</f>
        <v/>
      </c>
      <c r="AP856" s="1" t="str">
        <f>IFERROR(__xludf.DUMMYFUNCTION("""COMPUTED_VALUE"""),"")</f>
        <v/>
      </c>
      <c r="AQ856" s="1" t="str">
        <f>IFERROR(__xludf.DUMMYFUNCTION("""COMPUTED_VALUE"""),"07/24/2025")</f>
        <v>07/24/2025</v>
      </c>
      <c r="AR856" s="1" t="str">
        <f>IFERROR(__xludf.DUMMYFUNCTION("""COMPUTED_VALUE"""),"03/18/2026")</f>
        <v>03/18/2026</v>
      </c>
    </row>
    <row r="857">
      <c r="A857" s="1" t="str">
        <f>IFERROR(__xludf.DUMMYFUNCTION("""COMPUTED_VALUE"""),"Montour County Amazon Data Center")</f>
        <v>Montour County Amazon Data Center</v>
      </c>
      <c r="B857" s="1" t="str">
        <f>IFERROR(__xludf.DUMMYFUNCTION("""COMPUTED_VALUE"""),"18 McMicheal Rd")</f>
        <v>18 McMicheal Rd</v>
      </c>
      <c r="C857" s="1" t="str">
        <f>IFERROR(__xludf.DUMMYFUNCTION("""COMPUTED_VALUE"""),"Washingtonville")</f>
        <v>Washingtonville</v>
      </c>
      <c r="D857" s="1" t="str">
        <f>IFERROR(__xludf.DUMMYFUNCTION("""COMPUTED_VALUE"""),"PA")</f>
        <v>PA</v>
      </c>
      <c r="E857" s="1" t="str">
        <f>IFERROR(__xludf.DUMMYFUNCTION("""COMPUTED_VALUE"""),"17884")</f>
        <v>17884</v>
      </c>
      <c r="F857" s="1" t="str">
        <f>IFERROR(__xludf.DUMMYFUNCTION("""COMPUTED_VALUE"""),"Montour")</f>
        <v>Montour</v>
      </c>
      <c r="G857" s="1" t="str">
        <f>IFERROR(__xludf.DUMMYFUNCTION("""COMPUTED_VALUE"""),"41.071083")</f>
        <v>41.071083</v>
      </c>
      <c r="H857" s="1" t="str">
        <f>IFERROR(__xludf.DUMMYFUNCTION("""COMPUTED_VALUE"""),"-76.67566")</f>
        <v>-76.67566</v>
      </c>
      <c r="I857" s="1" t="str">
        <f>IFERROR(__xludf.DUMMYFUNCTION("""COMPUTED_VALUE"""),"Suspended")</f>
        <v>Suspended</v>
      </c>
      <c r="J857" s="1" t="str">
        <f>IFERROR(__xludf.DUMMYFUNCTION("""COMPUTED_VALUE"""),"High")</f>
        <v>High</v>
      </c>
      <c r="K857" s="1" t="str">
        <f>IFERROR(__xludf.DUMMYFUNCTION("""COMPUTED_VALUE"""),"")</f>
        <v/>
      </c>
      <c r="L857" s="1" t="str">
        <f>IFERROR(__xludf.DUMMYFUNCTION("""COMPUTED_VALUE"""),"Talen Energy/Amazon")</f>
        <v>Talen Energy/Amazon</v>
      </c>
      <c r="M857" s="1" t="str">
        <f>IFERROR(__xludf.DUMMYFUNCTION("""COMPUTED_VALUE"""),"")</f>
        <v/>
      </c>
      <c r="N857" s="1" t="str">
        <f>IFERROR(__xludf.DUMMYFUNCTION("""COMPUTED_VALUE"""),"")</f>
        <v/>
      </c>
      <c r="O857" s="1" t="str">
        <f>IFERROR(__xludf.DUMMYFUNCTION("""COMPUTED_VALUE"""),"Unknown")</f>
        <v>Unknown</v>
      </c>
      <c r="P857" s="1" t="str">
        <f>IFERROR(__xludf.DUMMYFUNCTION("""COMPUTED_VALUE"""),"")</f>
        <v/>
      </c>
      <c r="Q857" s="1" t="str">
        <f>IFERROR(__xludf.DUMMYFUNCTION("""COMPUTED_VALUE"""),"")</f>
        <v/>
      </c>
      <c r="R857" s="1" t="str">
        <f>IFERROR(__xludf.DUMMYFUNCTION("""COMPUTED_VALUE"""),"")</f>
        <v/>
      </c>
      <c r="S857" s="1" t="str">
        <f>IFERROR(__xludf.DUMMYFUNCTION("""COMPUTED_VALUE"""),"")</f>
        <v/>
      </c>
      <c r="T857" s="1" t="str">
        <f>IFERROR(__xludf.DUMMYFUNCTION("""COMPUTED_VALUE"""),"")</f>
        <v/>
      </c>
      <c r="U857" s="1" t="str">
        <f>IFERROR(__xludf.DUMMYFUNCTION("""COMPUTED_VALUE"""),"")</f>
        <v/>
      </c>
      <c r="V857" s="1" t="str">
        <f>IFERROR(__xludf.DUMMYFUNCTION("""COMPUTED_VALUE"""),"")</f>
        <v/>
      </c>
      <c r="W857" s="1" t="str">
        <f>IFERROR(__xludf.DUMMYFUNCTION("""COMPUTED_VALUE"""),"800")</f>
        <v>800</v>
      </c>
      <c r="X857" s="1" t="str">
        <f>IFERROR(__xludf.DUMMYFUNCTION("""COMPUTED_VALUE"""),"")</f>
        <v/>
      </c>
      <c r="Y857" s="1" t="str">
        <f>IFERROR(__xludf.DUMMYFUNCTION("""COMPUTED_VALUE"""),"")</f>
        <v/>
      </c>
      <c r="Z857" s="1" t="str">
        <f>IFERROR(__xludf.DUMMYFUNCTION("""COMPUTED_VALUE"""),"Yes")</f>
        <v>Yes</v>
      </c>
      <c r="AA857" s="2" t="str">
        <f>IFERROR(__xludf.DUMMYFUNCTION("""COMPUTED_VALUE"""),"https://paenvironmentdaily.blogspot.com/2026/02/montour-county-commissioners-vote-to.html?utm_source=chatgpt.com")</f>
        <v>https://paenvironmentdaily.blogspot.com/2026/02/montour-county-commissioners-vote-to.html?utm_source=chatgpt.com</v>
      </c>
      <c r="AB857" s="1" t="str">
        <f>IFERROR(__xludf.DUMMYFUNCTION("""COMPUTED_VALUE"""),"")</f>
        <v/>
      </c>
      <c r="AC857" s="1" t="str">
        <f>IFERROR(__xludf.DUMMYFUNCTION("""COMPUTED_VALUE"""),"")</f>
        <v/>
      </c>
      <c r="AD857" s="2" t="str">
        <f>IFERROR(__xludf.DUMMYFUNCTION("""COMPUTED_VALUE"""),"https://www.facebook.com/p/Concerned-Citizens-of-Montour-County-100064748140999/")</f>
        <v>https://www.facebook.com/p/Concerned-Citizens-of-Montour-County-100064748140999/</v>
      </c>
      <c r="AE857" s="1" t="str">
        <f>IFERROR(__xludf.DUMMYFUNCTION("""COMPUTED_VALUE"""),"")</f>
        <v/>
      </c>
      <c r="AF857" s="1" t="str">
        <f>IFERROR(__xludf.DUMMYFUNCTION("""COMPUTED_VALUE"""),"")</f>
        <v/>
      </c>
      <c r="AG857" s="1" t="str">
        <f>IFERROR(__xludf.DUMMYFUNCTION("""COMPUTED_VALUE"""),"")</f>
        <v/>
      </c>
      <c r="AH857" s="1" t="str">
        <f>IFERROR(__xludf.DUMMYFUNCTION("""COMPUTED_VALUE"""),"Media Monitoring")</f>
        <v>Media Monitoring</v>
      </c>
      <c r="AI857" s="2" t="str">
        <f>IFERROR(__xludf.DUMMYFUNCTION("""COMPUTED_VALUE"""),"https://www.datacenterdynamics.com/en/news/proposal-for-800-acre-data-center-in-central-pennsylvania-has-been-denied/?utm_source=chatgpt.com")</f>
        <v>https://www.datacenterdynamics.com/en/news/proposal-for-800-acre-data-center-in-central-pennsylvania-has-been-denied/?utm_source=chatgpt.com</v>
      </c>
      <c r="AJ857" s="2" t="str">
        <f>IFERROR(__xludf.DUMMYFUNCTION("""COMPUTED_VALUE"""),"https://www.reuters.com/sustainability/boards-policy-regulation/local-regulators-deny-rezoning-request-pennsylvania-data-center-development-2026-02-10/")</f>
        <v>https://www.reuters.com/sustainability/boards-policy-regulation/local-regulators-deny-rezoning-request-pennsylvania-data-center-development-2026-02-10/</v>
      </c>
      <c r="AK857" s="1" t="str">
        <f>IFERROR(__xludf.DUMMYFUNCTION("""COMPUTED_VALUE"""),"")</f>
        <v/>
      </c>
      <c r="AL857" s="1" t="str">
        <f>IFERROR(__xludf.DUMMYFUNCTION("""COMPUTED_VALUE"""),"")</f>
        <v/>
      </c>
      <c r="AM857" s="1" t="str">
        <f>IFERROR(__xludf.DUMMYFUNCTION("""COMPUTED_VALUE"""),"")</f>
        <v/>
      </c>
      <c r="AN857" s="1" t="str">
        <f>IFERROR(__xludf.DUMMYFUNCTION("""COMPUTED_VALUE"""),"")</f>
        <v/>
      </c>
      <c r="AO857" s="1" t="str">
        <f>IFERROR(__xludf.DUMMYFUNCTION("""COMPUTED_VALUE"""),"")</f>
        <v/>
      </c>
      <c r="AP857" s="1" t="str">
        <f>IFERROR(__xludf.DUMMYFUNCTION("""COMPUTED_VALUE"""),"")</f>
        <v/>
      </c>
      <c r="AQ857" s="1" t="str">
        <f>IFERROR(__xludf.DUMMYFUNCTION("""COMPUTED_VALUE"""),"")</f>
        <v/>
      </c>
      <c r="AR857" s="1" t="str">
        <f>IFERROR(__xludf.DUMMYFUNCTION("""COMPUTED_VALUE"""),"03/18/2026")</f>
        <v>03/18/2026</v>
      </c>
    </row>
    <row r="858">
      <c r="A858" s="1" t="str">
        <f>IFERROR(__xludf.DUMMYFUNCTION("""COMPUTED_VALUE"""),"Comcast West Chester Data Center")</f>
        <v>Comcast West Chester Data Center</v>
      </c>
      <c r="B858" s="1" t="str">
        <f>IFERROR(__xludf.DUMMYFUNCTION("""COMPUTED_VALUE"""),"1354 Boot Rd")</f>
        <v>1354 Boot Rd</v>
      </c>
      <c r="C858" s="1" t="str">
        <f>IFERROR(__xludf.DUMMYFUNCTION("""COMPUTED_VALUE"""),"West Chester")</f>
        <v>West Chester</v>
      </c>
      <c r="D858" s="1" t="str">
        <f>IFERROR(__xludf.DUMMYFUNCTION("""COMPUTED_VALUE"""),"PA")</f>
        <v>PA</v>
      </c>
      <c r="E858" s="1" t="str">
        <f>IFERROR(__xludf.DUMMYFUNCTION("""COMPUTED_VALUE"""),"19380")</f>
        <v>19380</v>
      </c>
      <c r="F858" s="1" t="str">
        <f>IFERROR(__xludf.DUMMYFUNCTION("""COMPUTED_VALUE"""),"Chester")</f>
        <v>Chester</v>
      </c>
      <c r="G858" s="1" t="str">
        <f>IFERROR(__xludf.DUMMYFUNCTION("""COMPUTED_VALUE"""),"39.9987")</f>
        <v>39.9987</v>
      </c>
      <c r="H858" s="1" t="str">
        <f>IFERROR(__xludf.DUMMYFUNCTION("""COMPUTED_VALUE"""),"-75.5737")</f>
        <v>-75.5737</v>
      </c>
      <c r="I858" s="1" t="str">
        <f>IFERROR(__xludf.DUMMYFUNCTION("""COMPUTED_VALUE"""),"Operating")</f>
        <v>Operating</v>
      </c>
      <c r="J858" s="1" t="str">
        <f>IFERROR(__xludf.DUMMYFUNCTION("""COMPUTED_VALUE"""),"High")</f>
        <v>High</v>
      </c>
      <c r="K858" s="1" t="str">
        <f>IFERROR(__xludf.DUMMYFUNCTION("""COMPUTED_VALUE"""),"")</f>
        <v/>
      </c>
      <c r="L858" s="1" t="str">
        <f>IFERROR(__xludf.DUMMYFUNCTION("""COMPUTED_VALUE"""),"Comcast")</f>
        <v>Comcast</v>
      </c>
      <c r="M858" s="1" t="str">
        <f>IFERROR(__xludf.DUMMYFUNCTION("""COMPUTED_VALUE"""),"")</f>
        <v/>
      </c>
      <c r="N858" s="1" t="str">
        <f>IFERROR(__xludf.DUMMYFUNCTION("""COMPUTED_VALUE"""),"")</f>
        <v/>
      </c>
      <c r="O858" s="1" t="str">
        <f>IFERROR(__xludf.DUMMYFUNCTION("""COMPUTED_VALUE"""),"Unknown")</f>
        <v>Unknown</v>
      </c>
      <c r="P858" s="1" t="str">
        <f>IFERROR(__xludf.DUMMYFUNCTION("""COMPUTED_VALUE"""),"")</f>
        <v/>
      </c>
      <c r="Q858" s="1" t="str">
        <f>IFERROR(__xludf.DUMMYFUNCTION("""COMPUTED_VALUE"""),"")</f>
        <v/>
      </c>
      <c r="R858" s="1" t="str">
        <f>IFERROR(__xludf.DUMMYFUNCTION("""COMPUTED_VALUE"""),"")</f>
        <v/>
      </c>
      <c r="S858" s="1" t="str">
        <f>IFERROR(__xludf.DUMMYFUNCTION("""COMPUTED_VALUE"""),"")</f>
        <v/>
      </c>
      <c r="T858" s="1" t="str">
        <f>IFERROR(__xludf.DUMMYFUNCTION("""COMPUTED_VALUE"""),"")</f>
        <v/>
      </c>
      <c r="U858" s="1" t="str">
        <f>IFERROR(__xludf.DUMMYFUNCTION("""COMPUTED_VALUE"""),"")</f>
        <v/>
      </c>
      <c r="V858" s="1" t="str">
        <f>IFERROR(__xludf.DUMMYFUNCTION("""COMPUTED_VALUE"""),"")</f>
        <v/>
      </c>
      <c r="W858" s="1" t="str">
        <f>IFERROR(__xludf.DUMMYFUNCTION("""COMPUTED_VALUE"""),"")</f>
        <v/>
      </c>
      <c r="X858" s="1" t="str">
        <f>IFERROR(__xludf.DUMMYFUNCTION("""COMPUTED_VALUE"""),"")</f>
        <v/>
      </c>
      <c r="Y858" s="1" t="str">
        <f>IFERROR(__xludf.DUMMYFUNCTION("""COMPUTED_VALUE"""),"")</f>
        <v/>
      </c>
      <c r="Z858" s="1" t="str">
        <f>IFERROR(__xludf.DUMMYFUNCTION("""COMPUTED_VALUE"""),"Unknown")</f>
        <v>Unknown</v>
      </c>
      <c r="AA858" s="1" t="str">
        <f>IFERROR(__xludf.DUMMYFUNCTION("""COMPUTED_VALUE"""),"")</f>
        <v/>
      </c>
      <c r="AB858" s="1" t="str">
        <f>IFERROR(__xludf.DUMMYFUNCTION("""COMPUTED_VALUE"""),"")</f>
        <v/>
      </c>
      <c r="AC858" s="1" t="str">
        <f>IFERROR(__xludf.DUMMYFUNCTION("""COMPUTED_VALUE"""),"")</f>
        <v/>
      </c>
      <c r="AD858" s="1" t="str">
        <f>IFERROR(__xludf.DUMMYFUNCTION("""COMPUTED_VALUE"""),"")</f>
        <v/>
      </c>
      <c r="AE858" s="1" t="str">
        <f>IFERROR(__xludf.DUMMYFUNCTION("""COMPUTED_VALUE"""),"")</f>
        <v/>
      </c>
      <c r="AF858" s="1" t="str">
        <f>IFERROR(__xludf.DUMMYFUNCTION("""COMPUTED_VALUE"""),"")</f>
        <v/>
      </c>
      <c r="AG858" s="1" t="str">
        <f>IFERROR(__xludf.DUMMYFUNCTION("""COMPUTED_VALUE"""),"")</f>
        <v/>
      </c>
      <c r="AH858" s="1" t="str">
        <f>IFERROR(__xludf.DUMMYFUNCTION("""COMPUTED_VALUE"""),"Media Monitoring")</f>
        <v>Media Monitoring</v>
      </c>
      <c r="AI858" s="2" t="str">
        <f>IFERROR(__xludf.DUMMYFUNCTION("""COMPUTED_VALUE"""),"https://www.datacenterdynamics.com/en/news/comcast-to-convert-former-bank-into-data-center-in-new-jersey/")</f>
        <v>https://www.datacenterdynamics.com/en/news/comcast-to-convert-former-bank-into-data-center-in-new-jersey/</v>
      </c>
      <c r="AJ858" s="1" t="str">
        <f>IFERROR(__xludf.DUMMYFUNCTION("""COMPUTED_VALUE"""),"")</f>
        <v/>
      </c>
      <c r="AK858" s="1" t="str">
        <f>IFERROR(__xludf.DUMMYFUNCTION("""COMPUTED_VALUE"""),"")</f>
        <v/>
      </c>
      <c r="AL858" s="1" t="str">
        <f>IFERROR(__xludf.DUMMYFUNCTION("""COMPUTED_VALUE"""),"")</f>
        <v/>
      </c>
      <c r="AM858" s="1" t="str">
        <f>IFERROR(__xludf.DUMMYFUNCTION("""COMPUTED_VALUE"""),"")</f>
        <v/>
      </c>
      <c r="AN858" s="1" t="str">
        <f>IFERROR(__xludf.DUMMYFUNCTION("""COMPUTED_VALUE"""),"")</f>
        <v/>
      </c>
      <c r="AO858" s="1" t="str">
        <f>IFERROR(__xludf.DUMMYFUNCTION("""COMPUTED_VALUE"""),"")</f>
        <v/>
      </c>
      <c r="AP858" s="1" t="str">
        <f>IFERROR(__xludf.DUMMYFUNCTION("""COMPUTED_VALUE"""),"")</f>
        <v/>
      </c>
      <c r="AQ858" s="1" t="str">
        <f>IFERROR(__xludf.DUMMYFUNCTION("""COMPUTED_VALUE"""),"08/12/2025")</f>
        <v>08/12/2025</v>
      </c>
      <c r="AR858" s="1" t="str">
        <f>IFERROR(__xludf.DUMMYFUNCTION("""COMPUTED_VALUE"""),"12/04/2025")</f>
        <v>12/04/2025</v>
      </c>
    </row>
    <row r="859">
      <c r="A859" s="1" t="str">
        <f>IFERROR(__xludf.DUMMYFUNCTION("""COMPUTED_VALUE"""),"Wyalusing Data Center")</f>
        <v>Wyalusing Data Center</v>
      </c>
      <c r="B859" s="1" t="str">
        <f>IFERROR(__xludf.DUMMYFUNCTION("""COMPUTED_VALUE"""),"near 44170 US-6")</f>
        <v>near 44170 US-6</v>
      </c>
      <c r="C859" s="1" t="str">
        <f>IFERROR(__xludf.DUMMYFUNCTION("""COMPUTED_VALUE"""),"Wyalusing")</f>
        <v>Wyalusing</v>
      </c>
      <c r="D859" s="1" t="str">
        <f>IFERROR(__xludf.DUMMYFUNCTION("""COMPUTED_VALUE"""),"PA")</f>
        <v>PA</v>
      </c>
      <c r="E859" s="1" t="str">
        <f>IFERROR(__xludf.DUMMYFUNCTION("""COMPUTED_VALUE"""),"18853")</f>
        <v>18853</v>
      </c>
      <c r="F859" s="1" t="str">
        <f>IFERROR(__xludf.DUMMYFUNCTION("""COMPUTED_VALUE"""),"Bradford")</f>
        <v>Bradford</v>
      </c>
      <c r="G859" s="1" t="str">
        <f>IFERROR(__xludf.DUMMYFUNCTION("""COMPUTED_VALUE"""),"41.653572")</f>
        <v>41.653572</v>
      </c>
      <c r="H859" s="1" t="str">
        <f>IFERROR(__xludf.DUMMYFUNCTION("""COMPUTED_VALUE"""),"-76.23531")</f>
        <v>-76.23531</v>
      </c>
      <c r="I859" s="1" t="str">
        <f>IFERROR(__xludf.DUMMYFUNCTION("""COMPUTED_VALUE"""),"Proposed")</f>
        <v>Proposed</v>
      </c>
      <c r="J859" s="1" t="str">
        <f>IFERROR(__xludf.DUMMYFUNCTION("""COMPUTED_VALUE"""),"High")</f>
        <v>High</v>
      </c>
      <c r="K859" s="1" t="str">
        <f>IFERROR(__xludf.DUMMYFUNCTION("""COMPUTED_VALUE"""),"AI")</f>
        <v>AI</v>
      </c>
      <c r="L859" s="1" t="str">
        <f>IFERROR(__xludf.DUMMYFUNCTION("""COMPUTED_VALUE"""),"New Fortress Energy")</f>
        <v>New Fortress Energy</v>
      </c>
      <c r="M859" s="1" t="str">
        <f>IFERROR(__xludf.DUMMYFUNCTION("""COMPUTED_VALUE"""),"")</f>
        <v/>
      </c>
      <c r="N859" s="1" t="str">
        <f>IFERROR(__xludf.DUMMYFUNCTION("""COMPUTED_VALUE"""),"248")</f>
        <v>248</v>
      </c>
      <c r="O859" s="1" t="str">
        <f>IFERROR(__xludf.DUMMYFUNCTION("""COMPUTED_VALUE"""),"Hyperscale (100-999 MW)")</f>
        <v>Hyperscale (100-999 MW)</v>
      </c>
      <c r="P859" s="1" t="str">
        <f>IFERROR(__xludf.DUMMYFUNCTION("""COMPUTED_VALUE"""),"Natural gas")</f>
        <v>Natural gas</v>
      </c>
      <c r="Q859" s="1" t="str">
        <f>IFERROR(__xludf.DUMMYFUNCTION("""COMPUTED_VALUE"""),"Yes - Klondike Energy Center (New Fortress Energy)")</f>
        <v>Yes - Klondike Energy Center (New Fortress Energy)</v>
      </c>
      <c r="R859" s="1" t="str">
        <f>IFERROR(__xludf.DUMMYFUNCTION("""COMPUTED_VALUE"""),"")</f>
        <v/>
      </c>
      <c r="S859" s="1" t="str">
        <f>IFERROR(__xludf.DUMMYFUNCTION("""COMPUTED_VALUE"""),"")</f>
        <v/>
      </c>
      <c r="T859" s="1" t="str">
        <f>IFERROR(__xludf.DUMMYFUNCTION("""COMPUTED_VALUE"""),"")</f>
        <v/>
      </c>
      <c r="U859" s="1" t="str">
        <f>IFERROR(__xludf.DUMMYFUNCTION("""COMPUTED_VALUE"""),"")</f>
        <v/>
      </c>
      <c r="V859" s="1" t="str">
        <f>IFERROR(__xludf.DUMMYFUNCTION("""COMPUTED_VALUE"""),"")</f>
        <v/>
      </c>
      <c r="W859" s="1" t="str">
        <f>IFERROR(__xludf.DUMMYFUNCTION("""COMPUTED_VALUE"""),"")</f>
        <v/>
      </c>
      <c r="X859" s="1" t="str">
        <f>IFERROR(__xludf.DUMMYFUNCTION("""COMPUTED_VALUE"""),"")</f>
        <v/>
      </c>
      <c r="Y859" s="1" t="str">
        <f>IFERROR(__xludf.DUMMYFUNCTION("""COMPUTED_VALUE"""),"")</f>
        <v/>
      </c>
      <c r="Z859" s="1" t="str">
        <f>IFERROR(__xludf.DUMMYFUNCTION("""COMPUTED_VALUE"""),"Yes")</f>
        <v>Yes</v>
      </c>
      <c r="AA859" s="1" t="str">
        <f>IFERROR(__xludf.DUMMYFUNCTION("""COMPUTED_VALUE"""),"")</f>
        <v/>
      </c>
      <c r="AB859" s="1" t="str">
        <f>IFERROR(__xludf.DUMMYFUNCTION("""COMPUTED_VALUE"""),"")</f>
        <v/>
      </c>
      <c r="AC859" s="1" t="str">
        <f>IFERROR(__xludf.DUMMYFUNCTION("""COMPUTED_VALUE"""),"")</f>
        <v/>
      </c>
      <c r="AD859" s="1" t="str">
        <f>IFERROR(__xludf.DUMMYFUNCTION("""COMPUTED_VALUE"""),"")</f>
        <v/>
      </c>
      <c r="AE859" s="1" t="str">
        <f>IFERROR(__xludf.DUMMYFUNCTION("""COMPUTED_VALUE"""),"")</f>
        <v/>
      </c>
      <c r="AF859" s="1" t="str">
        <f>IFERROR(__xludf.DUMMYFUNCTION("""COMPUTED_VALUE"""),"")</f>
        <v/>
      </c>
      <c r="AG859" s="1" t="str">
        <f>IFERROR(__xludf.DUMMYFUNCTION("""COMPUTED_VALUE"""),"Previous New Fortress Energy plan for LNG plant, failed.")</f>
        <v>Previous New Fortress Energy plan for LNG plant, failed.</v>
      </c>
      <c r="AH859" s="1" t="str">
        <f>IFERROR(__xludf.DUMMYFUNCTION("""COMPUTED_VALUE"""),"Media Monitoring")</f>
        <v>Media Monitoring</v>
      </c>
      <c r="AI859" s="2" t="str">
        <f>IFERROR(__xludf.DUMMYFUNCTION("""COMPUTED_VALUE"""),"https://www.newfortressenergy.com/klondike")</f>
        <v>https://www.newfortressenergy.com/klondike</v>
      </c>
      <c r="AJ859" s="2" t="str">
        <f>IFERROR(__xludf.DUMMYFUNCTION("""COMPUTED_VALUE"""),"https://paenvironmentdaily.blogspot.com/2025/10/dep-issues-air-quality-permit-for-248.html")</f>
        <v>https://paenvironmentdaily.blogspot.com/2025/10/dep-issues-air-quality-permit-for-248.html</v>
      </c>
      <c r="AK859" s="1" t="str">
        <f>IFERROR(__xludf.DUMMYFUNCTION("""COMPUTED_VALUE"""),"")</f>
        <v/>
      </c>
      <c r="AL859" s="1" t="str">
        <f>IFERROR(__xludf.DUMMYFUNCTION("""COMPUTED_VALUE"""),"")</f>
        <v/>
      </c>
      <c r="AM859" s="1" t="str">
        <f>IFERROR(__xludf.DUMMYFUNCTION("""COMPUTED_VALUE"""),"")</f>
        <v/>
      </c>
      <c r="AN859" s="1" t="str">
        <f>IFERROR(__xludf.DUMMYFUNCTION("""COMPUTED_VALUE"""),"")</f>
        <v/>
      </c>
      <c r="AO859" s="1" t="str">
        <f>IFERROR(__xludf.DUMMYFUNCTION("""COMPUTED_VALUE"""),"")</f>
        <v/>
      </c>
      <c r="AP859" s="1" t="str">
        <f>IFERROR(__xludf.DUMMYFUNCTION("""COMPUTED_VALUE"""),"")</f>
        <v/>
      </c>
      <c r="AQ859" s="1" t="str">
        <f>IFERROR(__xludf.DUMMYFUNCTION("""COMPUTED_VALUE"""),"11/12/2025")</f>
        <v>11/12/2025</v>
      </c>
      <c r="AR859" s="1" t="str">
        <f>IFERROR(__xludf.DUMMYFUNCTION("""COMPUTED_VALUE"""),"03/18/2026")</f>
        <v>03/18/2026</v>
      </c>
    </row>
    <row r="860">
      <c r="A860" s="1" t="str">
        <f>IFERROR(__xludf.DUMMYFUNCTION("""COMPUTED_VALUE"""),"Contegix Wyomissing Data Center")</f>
        <v>Contegix Wyomissing Data Center</v>
      </c>
      <c r="B860" s="1" t="str">
        <f>IFERROR(__xludf.DUMMYFUNCTION("""COMPUTED_VALUE"""),"One Meridian Blvd")</f>
        <v>One Meridian Blvd</v>
      </c>
      <c r="C860" s="1" t="str">
        <f>IFERROR(__xludf.DUMMYFUNCTION("""COMPUTED_VALUE"""),"Wyomissing")</f>
        <v>Wyomissing</v>
      </c>
      <c r="D860" s="1" t="str">
        <f>IFERROR(__xludf.DUMMYFUNCTION("""COMPUTED_VALUE"""),"PA")</f>
        <v>PA</v>
      </c>
      <c r="E860" s="1" t="str">
        <f>IFERROR(__xludf.DUMMYFUNCTION("""COMPUTED_VALUE"""),"19610")</f>
        <v>19610</v>
      </c>
      <c r="F860" s="1" t="str">
        <f>IFERROR(__xludf.DUMMYFUNCTION("""COMPUTED_VALUE"""),"Berks")</f>
        <v>Berks</v>
      </c>
      <c r="G860" s="1" t="str">
        <f>IFERROR(__xludf.DUMMYFUNCTION("""COMPUTED_VALUE"""),"40.354046")</f>
        <v>40.354046</v>
      </c>
      <c r="H860" s="1" t="str">
        <f>IFERROR(__xludf.DUMMYFUNCTION("""COMPUTED_VALUE"""),"-75.98731")</f>
        <v>-75.98731</v>
      </c>
      <c r="I860" s="1" t="str">
        <f>IFERROR(__xludf.DUMMYFUNCTION("""COMPUTED_VALUE"""),"Operating")</f>
        <v>Operating</v>
      </c>
      <c r="J860" s="1" t="str">
        <f>IFERROR(__xludf.DUMMYFUNCTION("""COMPUTED_VALUE"""),"High")</f>
        <v>High</v>
      </c>
      <c r="K860" s="1" t="str">
        <f>IFERROR(__xludf.DUMMYFUNCTION("""COMPUTED_VALUE"""),"")</f>
        <v/>
      </c>
      <c r="L860" s="1" t="str">
        <f>IFERROR(__xludf.DUMMYFUNCTION("""COMPUTED_VALUE"""),"Contegix")</f>
        <v>Contegix</v>
      </c>
      <c r="M860" s="1" t="str">
        <f>IFERROR(__xludf.DUMMYFUNCTION("""COMPUTED_VALUE"""),"")</f>
        <v/>
      </c>
      <c r="N860" s="1" t="str">
        <f>IFERROR(__xludf.DUMMYFUNCTION("""COMPUTED_VALUE"""),"2")</f>
        <v>2</v>
      </c>
      <c r="O860" s="1" t="str">
        <f>IFERROR(__xludf.DUMMYFUNCTION("""COMPUTED_VALUE"""),"Small (0-10 MW)")</f>
        <v>Small (0-10 MW)</v>
      </c>
      <c r="P860" s="1" t="str">
        <f>IFERROR(__xludf.DUMMYFUNCTION("""COMPUTED_VALUE"""),"")</f>
        <v/>
      </c>
      <c r="Q860" s="1" t="str">
        <f>IFERROR(__xludf.DUMMYFUNCTION("""COMPUTED_VALUE"""),"")</f>
        <v/>
      </c>
      <c r="R860" s="1" t="str">
        <f>IFERROR(__xludf.DUMMYFUNCTION("""COMPUTED_VALUE"""),"")</f>
        <v/>
      </c>
      <c r="S860" s="1" t="str">
        <f>IFERROR(__xludf.DUMMYFUNCTION("""COMPUTED_VALUE"""),"")</f>
        <v/>
      </c>
      <c r="T860" s="1" t="str">
        <f>IFERROR(__xludf.DUMMYFUNCTION("""COMPUTED_VALUE"""),"")</f>
        <v/>
      </c>
      <c r="U860" s="1" t="str">
        <f>IFERROR(__xludf.DUMMYFUNCTION("""COMPUTED_VALUE"""),"")</f>
        <v/>
      </c>
      <c r="V860" s="1" t="str">
        <f>IFERROR(__xludf.DUMMYFUNCTION("""COMPUTED_VALUE"""),"14,780")</f>
        <v>14,780</v>
      </c>
      <c r="W860" s="1" t="str">
        <f>IFERROR(__xludf.DUMMYFUNCTION("""COMPUTED_VALUE"""),"")</f>
        <v/>
      </c>
      <c r="X860" s="1" t="str">
        <f>IFERROR(__xludf.DUMMYFUNCTION("""COMPUTED_VALUE"""),"")</f>
        <v/>
      </c>
      <c r="Y860" s="1" t="str">
        <f>IFERROR(__xludf.DUMMYFUNCTION("""COMPUTED_VALUE"""),"")</f>
        <v/>
      </c>
      <c r="Z860" s="1" t="str">
        <f>IFERROR(__xludf.DUMMYFUNCTION("""COMPUTED_VALUE"""),"Unknown")</f>
        <v>Unknown</v>
      </c>
      <c r="AA860" s="1" t="str">
        <f>IFERROR(__xludf.DUMMYFUNCTION("""COMPUTED_VALUE"""),"")</f>
        <v/>
      </c>
      <c r="AB860" s="1" t="str">
        <f>IFERROR(__xludf.DUMMYFUNCTION("""COMPUTED_VALUE"""),"")</f>
        <v/>
      </c>
      <c r="AC860" s="1" t="str">
        <f>IFERROR(__xludf.DUMMYFUNCTION("""COMPUTED_VALUE"""),"")</f>
        <v/>
      </c>
      <c r="AD860" s="1" t="str">
        <f>IFERROR(__xludf.DUMMYFUNCTION("""COMPUTED_VALUE"""),"")</f>
        <v/>
      </c>
      <c r="AE860" s="1" t="str">
        <f>IFERROR(__xludf.DUMMYFUNCTION("""COMPUTED_VALUE"""),"")</f>
        <v/>
      </c>
      <c r="AF860" s="1" t="str">
        <f>IFERROR(__xludf.DUMMYFUNCTION("""COMPUTED_VALUE"""),"")</f>
        <v/>
      </c>
      <c r="AG860" s="1" t="str">
        <f>IFERROR(__xludf.DUMMYFUNCTION("""COMPUTED_VALUE"""),"")</f>
        <v/>
      </c>
      <c r="AH860" s="1" t="str">
        <f>IFERROR(__xludf.DUMMYFUNCTION("""COMPUTED_VALUE"""),"Other")</f>
        <v>Other</v>
      </c>
      <c r="AI860" s="1" t="str">
        <f>IFERROR(__xludf.DUMMYFUNCTION("""COMPUTED_VALUE"""),"")</f>
        <v/>
      </c>
      <c r="AJ860" s="1" t="str">
        <f>IFERROR(__xludf.DUMMYFUNCTION("""COMPUTED_VALUE"""),"")</f>
        <v/>
      </c>
      <c r="AK860" s="1" t="str">
        <f>IFERROR(__xludf.DUMMYFUNCTION("""COMPUTED_VALUE"""),"")</f>
        <v/>
      </c>
      <c r="AL860" s="1" t="str">
        <f>IFERROR(__xludf.DUMMYFUNCTION("""COMPUTED_VALUE"""),"")</f>
        <v/>
      </c>
      <c r="AM860" s="1" t="str">
        <f>IFERROR(__xludf.DUMMYFUNCTION("""COMPUTED_VALUE"""),"")</f>
        <v/>
      </c>
      <c r="AN860" s="1" t="str">
        <f>IFERROR(__xludf.DUMMYFUNCTION("""COMPUTED_VALUE"""),"")</f>
        <v/>
      </c>
      <c r="AO860" s="1" t="str">
        <f>IFERROR(__xludf.DUMMYFUNCTION("""COMPUTED_VALUE"""),"")</f>
        <v/>
      </c>
      <c r="AP860" s="1" t="str">
        <f>IFERROR(__xludf.DUMMYFUNCTION("""COMPUTED_VALUE"""),"")</f>
        <v/>
      </c>
      <c r="AQ860" s="1" t="str">
        <f>IFERROR(__xludf.DUMMYFUNCTION("""COMPUTED_VALUE"""),"11/24/2025")</f>
        <v>11/24/2025</v>
      </c>
      <c r="AR860" s="1" t="str">
        <f>IFERROR(__xludf.DUMMYFUNCTION("""COMPUTED_VALUE"""),"11/24/2025")</f>
        <v>11/24/2025</v>
      </c>
    </row>
    <row r="861">
      <c r="A861" s="1" t="str">
        <f>IFERROR(__xludf.DUMMYFUNCTION("""COMPUTED_VALUE"""),"Fairview Crossroads LLC Data Center")</f>
        <v>Fairview Crossroads LLC Data Center</v>
      </c>
      <c r="B861" s="1" t="str">
        <f>IFERROR(__xludf.DUMMYFUNCTION("""COMPUTED_VALUE"""),"Intersection I-83 and Lewisberry Rd")</f>
        <v>Intersection I-83 and Lewisberry Rd</v>
      </c>
      <c r="C861" s="1" t="str">
        <f>IFERROR(__xludf.DUMMYFUNCTION("""COMPUTED_VALUE"""),"York")</f>
        <v>York</v>
      </c>
      <c r="D861" s="1" t="str">
        <f>IFERROR(__xludf.DUMMYFUNCTION("""COMPUTED_VALUE"""),"PA")</f>
        <v>PA</v>
      </c>
      <c r="E861" s="1" t="str">
        <f>IFERROR(__xludf.DUMMYFUNCTION("""COMPUTED_VALUE"""),"17404")</f>
        <v>17404</v>
      </c>
      <c r="F861" s="1" t="str">
        <f>IFERROR(__xludf.DUMMYFUNCTION("""COMPUTED_VALUE"""),"York")</f>
        <v>York</v>
      </c>
      <c r="G861" s="1" t="str">
        <f>IFERROR(__xludf.DUMMYFUNCTION("""COMPUTED_VALUE"""),"40.00698")</f>
        <v>40.00698</v>
      </c>
      <c r="H861" s="1" t="str">
        <f>IFERROR(__xludf.DUMMYFUNCTION("""COMPUTED_VALUE"""),"-76.7439")</f>
        <v>-76.7439</v>
      </c>
      <c r="I861" s="1" t="str">
        <f>IFERROR(__xludf.DUMMYFUNCTION("""COMPUTED_VALUE"""),"Proposed")</f>
        <v>Proposed</v>
      </c>
      <c r="J861" s="1" t="str">
        <f>IFERROR(__xludf.DUMMYFUNCTION("""COMPUTED_VALUE"""),"Medium")</f>
        <v>Medium</v>
      </c>
      <c r="K861" s="1" t="str">
        <f>IFERROR(__xludf.DUMMYFUNCTION("""COMPUTED_VALUE"""),"")</f>
        <v/>
      </c>
      <c r="L861" s="1" t="str">
        <f>IFERROR(__xludf.DUMMYFUNCTION("""COMPUTED_VALUE"""),"")</f>
        <v/>
      </c>
      <c r="M861" s="1" t="str">
        <f>IFERROR(__xludf.DUMMYFUNCTION("""COMPUTED_VALUE"""),"")</f>
        <v/>
      </c>
      <c r="N861" s="1" t="str">
        <f>IFERROR(__xludf.DUMMYFUNCTION("""COMPUTED_VALUE"""),"")</f>
        <v/>
      </c>
      <c r="O861" s="1" t="str">
        <f>IFERROR(__xludf.DUMMYFUNCTION("""COMPUTED_VALUE"""),"Unknown")</f>
        <v>Unknown</v>
      </c>
      <c r="P861" s="1" t="str">
        <f>IFERROR(__xludf.DUMMYFUNCTION("""COMPUTED_VALUE"""),"")</f>
        <v/>
      </c>
      <c r="Q861" s="1" t="str">
        <f>IFERROR(__xludf.DUMMYFUNCTION("""COMPUTED_VALUE"""),"")</f>
        <v/>
      </c>
      <c r="R861" s="1" t="str">
        <f>IFERROR(__xludf.DUMMYFUNCTION("""COMPUTED_VALUE"""),"")</f>
        <v/>
      </c>
      <c r="S861" s="1" t="str">
        <f>IFERROR(__xludf.DUMMYFUNCTION("""COMPUTED_VALUE"""),"")</f>
        <v/>
      </c>
      <c r="T861" s="1" t="str">
        <f>IFERROR(__xludf.DUMMYFUNCTION("""COMPUTED_VALUE"""),"")</f>
        <v/>
      </c>
      <c r="U861" s="1" t="str">
        <f>IFERROR(__xludf.DUMMYFUNCTION("""COMPUTED_VALUE"""),"")</f>
        <v/>
      </c>
      <c r="V861" s="1" t="str">
        <f>IFERROR(__xludf.DUMMYFUNCTION("""COMPUTED_VALUE"""),"750,000")</f>
        <v>750,000</v>
      </c>
      <c r="W861" s="1" t="str">
        <f>IFERROR(__xludf.DUMMYFUNCTION("""COMPUTED_VALUE"""),"")</f>
        <v/>
      </c>
      <c r="X861" s="1" t="str">
        <f>IFERROR(__xludf.DUMMYFUNCTION("""COMPUTED_VALUE"""),"$500 million")</f>
        <v>$500 million</v>
      </c>
      <c r="Y861" s="1" t="str">
        <f>IFERROR(__xludf.DUMMYFUNCTION("""COMPUTED_VALUE"""),"")</f>
        <v/>
      </c>
      <c r="Z861" s="1" t="str">
        <f>IFERROR(__xludf.DUMMYFUNCTION("""COMPUTED_VALUE"""),"Unknown")</f>
        <v>Unknown</v>
      </c>
      <c r="AA861" s="1" t="str">
        <f>IFERROR(__xludf.DUMMYFUNCTION("""COMPUTED_VALUE"""),"")</f>
        <v/>
      </c>
      <c r="AB861" s="1" t="str">
        <f>IFERROR(__xludf.DUMMYFUNCTION("""COMPUTED_VALUE"""),"")</f>
        <v/>
      </c>
      <c r="AC861" s="1" t="str">
        <f>IFERROR(__xludf.DUMMYFUNCTION("""COMPUTED_VALUE"""),"")</f>
        <v/>
      </c>
      <c r="AD861" s="1" t="str">
        <f>IFERROR(__xludf.DUMMYFUNCTION("""COMPUTED_VALUE"""),"")</f>
        <v/>
      </c>
      <c r="AE861" s="1" t="str">
        <f>IFERROR(__xludf.DUMMYFUNCTION("""COMPUTED_VALUE"""),"")</f>
        <v/>
      </c>
      <c r="AF861" s="1" t="str">
        <f>IFERROR(__xludf.DUMMYFUNCTION("""COMPUTED_VALUE"""),"")</f>
        <v/>
      </c>
      <c r="AG861" s="1" t="str">
        <f>IFERROR(__xludf.DUMMYFUNCTION("""COMPUTED_VALUE"""),"")</f>
        <v/>
      </c>
      <c r="AH861" s="1" t="str">
        <f>IFERROR(__xludf.DUMMYFUNCTION("""COMPUTED_VALUE"""),"Media Monitoring")</f>
        <v>Media Monitoring</v>
      </c>
      <c r="AI861" s="2" t="str">
        <f>IFERROR(__xludf.DUMMYFUNCTION("""COMPUTED_VALUE"""),"https://www.datacenterdynamics.com/en/news/750000-sq-ft-data-center-could-be-built-in-fairview-township-pennsylvania/")</f>
        <v>https://www.datacenterdynamics.com/en/news/750000-sq-ft-data-center-could-be-built-in-fairview-township-pennsylvania/</v>
      </c>
      <c r="AJ861" s="2" t="str">
        <f>IFERROR(__xludf.DUMMYFUNCTION("""COMPUTED_VALUE"""),"https://www.pennlive.com/business/2025/07/750000-square-foot-data-center-planned-along-interstate-83.html")</f>
        <v>https://www.pennlive.com/business/2025/07/750000-square-foot-data-center-planned-along-interstate-83.html</v>
      </c>
      <c r="AK861" s="2" t="str">
        <f>IFERROR(__xludf.DUMMYFUNCTION("""COMPUTED_VALUE"""),"https://www.fox43.com/article/news/local/york-county/500-million-data-center-fairview-township-york-county/521-81526e0c-e19d-4211-adaf-d2cee8ecda8f")</f>
        <v>https://www.fox43.com/article/news/local/york-county/500-million-data-center-fairview-township-york-county/521-81526e0c-e19d-4211-adaf-d2cee8ecda8f</v>
      </c>
      <c r="AL861" s="1" t="str">
        <f>IFERROR(__xludf.DUMMYFUNCTION("""COMPUTED_VALUE"""),"")</f>
        <v/>
      </c>
      <c r="AM861" s="1" t="str">
        <f>IFERROR(__xludf.DUMMYFUNCTION("""COMPUTED_VALUE"""),"")</f>
        <v/>
      </c>
      <c r="AN861" s="1" t="str">
        <f>IFERROR(__xludf.DUMMYFUNCTION("""COMPUTED_VALUE"""),"")</f>
        <v/>
      </c>
      <c r="AO861" s="1" t="str">
        <f>IFERROR(__xludf.DUMMYFUNCTION("""COMPUTED_VALUE"""),"")</f>
        <v/>
      </c>
      <c r="AP861" s="1" t="str">
        <f>IFERROR(__xludf.DUMMYFUNCTION("""COMPUTED_VALUE"""),"")</f>
        <v/>
      </c>
      <c r="AQ861" s="1" t="str">
        <f>IFERROR(__xludf.DUMMYFUNCTION("""COMPUTED_VALUE"""),"08/14/2025")</f>
        <v>08/14/2025</v>
      </c>
      <c r="AR861" s="1" t="str">
        <f>IFERROR(__xludf.DUMMYFUNCTION("""COMPUTED_VALUE"""),"08/14/2025")</f>
        <v>08/14/2025</v>
      </c>
    </row>
    <row r="862">
      <c r="A862" s="1" t="str">
        <f>IFERROR(__xludf.DUMMYFUNCTION("""COMPUTED_VALUE"""),"Terra Nexus Ventures Data Center")</f>
        <v>Terra Nexus Ventures Data Center</v>
      </c>
      <c r="B862" s="1" t="str">
        <f>IFERROR(__xludf.DUMMYFUNCTION("""COMPUTED_VALUE"""),"771 State Rd S-28-331")</f>
        <v>771 State Rd S-28-331</v>
      </c>
      <c r="C862" s="1" t="str">
        <f>IFERROR(__xludf.DUMMYFUNCTION("""COMPUTED_VALUE"""),"Camden")</f>
        <v>Camden</v>
      </c>
      <c r="D862" s="1" t="str">
        <f>IFERROR(__xludf.DUMMYFUNCTION("""COMPUTED_VALUE"""),"SC")</f>
        <v>SC</v>
      </c>
      <c r="E862" s="1" t="str">
        <f>IFERROR(__xludf.DUMMYFUNCTION("""COMPUTED_VALUE"""),"29020")</f>
        <v>29020</v>
      </c>
      <c r="F862" s="1" t="str">
        <f>IFERROR(__xludf.DUMMYFUNCTION("""COMPUTED_VALUE"""),"Kershaw")</f>
        <v>Kershaw</v>
      </c>
      <c r="G862" s="1" t="str">
        <f>IFERROR(__xludf.DUMMYFUNCTION("""COMPUTED_VALUE"""),"34.29839")</f>
        <v>34.29839</v>
      </c>
      <c r="H862" s="1" t="str">
        <f>IFERROR(__xludf.DUMMYFUNCTION("""COMPUTED_VALUE"""),"-80.534")</f>
        <v>-80.534</v>
      </c>
      <c r="I862" s="1" t="str">
        <f>IFERROR(__xludf.DUMMYFUNCTION("""COMPUTED_VALUE"""),"Proposed")</f>
        <v>Proposed</v>
      </c>
      <c r="J862" s="1" t="str">
        <f>IFERROR(__xludf.DUMMYFUNCTION("""COMPUTED_VALUE"""),"High")</f>
        <v>High</v>
      </c>
      <c r="K862" s="1" t="str">
        <f>IFERROR(__xludf.DUMMYFUNCTION("""COMPUTED_VALUE"""),"")</f>
        <v/>
      </c>
      <c r="L862" s="1" t="str">
        <f>IFERROR(__xludf.DUMMYFUNCTION("""COMPUTED_VALUE"""),"")</f>
        <v/>
      </c>
      <c r="M862" s="1" t="str">
        <f>IFERROR(__xludf.DUMMYFUNCTION("""COMPUTED_VALUE"""),"")</f>
        <v/>
      </c>
      <c r="N862" s="1" t="str">
        <f>IFERROR(__xludf.DUMMYFUNCTION("""COMPUTED_VALUE"""),"")</f>
        <v/>
      </c>
      <c r="O862" s="1" t="str">
        <f>IFERROR(__xludf.DUMMYFUNCTION("""COMPUTED_VALUE"""),"Unknown")</f>
        <v>Unknown</v>
      </c>
      <c r="P862" s="1" t="str">
        <f>IFERROR(__xludf.DUMMYFUNCTION("""COMPUTED_VALUE"""),"")</f>
        <v/>
      </c>
      <c r="Q862" s="1" t="str">
        <f>IFERROR(__xludf.DUMMYFUNCTION("""COMPUTED_VALUE"""),"")</f>
        <v/>
      </c>
      <c r="R862" s="1" t="str">
        <f>IFERROR(__xludf.DUMMYFUNCTION("""COMPUTED_VALUE"""),"")</f>
        <v/>
      </c>
      <c r="S862" s="1" t="str">
        <f>IFERROR(__xludf.DUMMYFUNCTION("""COMPUTED_VALUE"""),"")</f>
        <v/>
      </c>
      <c r="T862" s="1" t="str">
        <f>IFERROR(__xludf.DUMMYFUNCTION("""COMPUTED_VALUE"""),"")</f>
        <v/>
      </c>
      <c r="U862" s="1" t="str">
        <f>IFERROR(__xludf.DUMMYFUNCTION("""COMPUTED_VALUE"""),"")</f>
        <v/>
      </c>
      <c r="V862" s="1" t="str">
        <f>IFERROR(__xludf.DUMMYFUNCTION("""COMPUTED_VALUE"""),"")</f>
        <v/>
      </c>
      <c r="W862" s="1" t="str">
        <f>IFERROR(__xludf.DUMMYFUNCTION("""COMPUTED_VALUE"""),"162")</f>
        <v>162</v>
      </c>
      <c r="X862" s="1" t="str">
        <f>IFERROR(__xludf.DUMMYFUNCTION("""COMPUTED_VALUE"""),"")</f>
        <v/>
      </c>
      <c r="Y862" s="1" t="str">
        <f>IFERROR(__xludf.DUMMYFUNCTION("""COMPUTED_VALUE"""),"")</f>
        <v/>
      </c>
      <c r="Z862" s="1" t="str">
        <f>IFERROR(__xludf.DUMMYFUNCTION("""COMPUTED_VALUE"""),"Unknown")</f>
        <v>Unknown</v>
      </c>
      <c r="AA862" s="1" t="str">
        <f>IFERROR(__xludf.DUMMYFUNCTION("""COMPUTED_VALUE"""),"")</f>
        <v/>
      </c>
      <c r="AB862" s="1" t="str">
        <f>IFERROR(__xludf.DUMMYFUNCTION("""COMPUTED_VALUE"""),"")</f>
        <v/>
      </c>
      <c r="AC862" s="1" t="str">
        <f>IFERROR(__xludf.DUMMYFUNCTION("""COMPUTED_VALUE"""),"")</f>
        <v/>
      </c>
      <c r="AD862" s="1" t="str">
        <f>IFERROR(__xludf.DUMMYFUNCTION("""COMPUTED_VALUE"""),"")</f>
        <v/>
      </c>
      <c r="AE862" s="1" t="str">
        <f>IFERROR(__xludf.DUMMYFUNCTION("""COMPUTED_VALUE"""),"")</f>
        <v/>
      </c>
      <c r="AF862" s="1" t="str">
        <f>IFERROR(__xludf.DUMMYFUNCTION("""COMPUTED_VALUE"""),"")</f>
        <v/>
      </c>
      <c r="AG862" s="1" t="str">
        <f>IFERROR(__xludf.DUMMYFUNCTION("""COMPUTED_VALUE"""),"")</f>
        <v/>
      </c>
      <c r="AH862" s="1" t="str">
        <f>IFERROR(__xludf.DUMMYFUNCTION("""COMPUTED_VALUE"""),"Media Monitoring")</f>
        <v>Media Monitoring</v>
      </c>
      <c r="AI862" s="2" t="str">
        <f>IFERROR(__xludf.DUMMYFUNCTION("""COMPUTED_VALUE"""),"https://www.datacenterdynamics.com/en/news/plans-filed-for-data-center-site-outside-columbia-south-carolina/")</f>
        <v>https://www.datacenterdynamics.com/en/news/plans-filed-for-data-center-site-outside-columbia-south-carolina/</v>
      </c>
      <c r="AJ862" s="1" t="str">
        <f>IFERROR(__xludf.DUMMYFUNCTION("""COMPUTED_VALUE"""),"")</f>
        <v/>
      </c>
      <c r="AK862" s="1" t="str">
        <f>IFERROR(__xludf.DUMMYFUNCTION("""COMPUTED_VALUE"""),"")</f>
        <v/>
      </c>
      <c r="AL862" s="1" t="str">
        <f>IFERROR(__xludf.DUMMYFUNCTION("""COMPUTED_VALUE"""),"")</f>
        <v/>
      </c>
      <c r="AM862" s="1" t="str">
        <f>IFERROR(__xludf.DUMMYFUNCTION("""COMPUTED_VALUE"""),"")</f>
        <v/>
      </c>
      <c r="AN862" s="1" t="str">
        <f>IFERROR(__xludf.DUMMYFUNCTION("""COMPUTED_VALUE"""),"")</f>
        <v/>
      </c>
      <c r="AO862" s="1" t="str">
        <f>IFERROR(__xludf.DUMMYFUNCTION("""COMPUTED_VALUE"""),"")</f>
        <v/>
      </c>
      <c r="AP862" s="1" t="str">
        <f>IFERROR(__xludf.DUMMYFUNCTION("""COMPUTED_VALUE"""),"")</f>
        <v/>
      </c>
      <c r="AQ862" s="1" t="str">
        <f>IFERROR(__xludf.DUMMYFUNCTION("""COMPUTED_VALUE"""),"09/18/2025")</f>
        <v>09/18/2025</v>
      </c>
      <c r="AR862" s="1" t="str">
        <f>IFERROR(__xludf.DUMMYFUNCTION("""COMPUTED_VALUE"""),"09/18/2025")</f>
        <v>09/18/2025</v>
      </c>
    </row>
    <row r="863">
      <c r="A863" s="1" t="str">
        <f>IFERROR(__xludf.DUMMYFUNCTION("""COMPUTED_VALUE"""),"Cielo Digital Infrastructure")</f>
        <v>Cielo Digital Infrastructure</v>
      </c>
      <c r="B863" s="1" t="str">
        <f>IFERROR(__xludf.DUMMYFUNCTION("""COMPUTED_VALUE"""),"000 Ford Rd")</f>
        <v>000 Ford Rd</v>
      </c>
      <c r="C863" s="1" t="str">
        <f>IFERROR(__xludf.DUMMYFUNCTION("""COMPUTED_VALUE"""),"Gaffney")</f>
        <v>Gaffney</v>
      </c>
      <c r="D863" s="1" t="str">
        <f>IFERROR(__xludf.DUMMYFUNCTION("""COMPUTED_VALUE"""),"SC")</f>
        <v>SC</v>
      </c>
      <c r="E863" s="1" t="str">
        <f>IFERROR(__xludf.DUMMYFUNCTION("""COMPUTED_VALUE"""),"29340")</f>
        <v>29340</v>
      </c>
      <c r="F863" s="1" t="str">
        <f>IFERROR(__xludf.DUMMYFUNCTION("""COMPUTED_VALUE"""),"Cherokee")</f>
        <v>Cherokee</v>
      </c>
      <c r="G863" s="1" t="str">
        <f>IFERROR(__xludf.DUMMYFUNCTION("""COMPUTED_VALUE"""),"35.07913")</f>
        <v>35.07913</v>
      </c>
      <c r="H863" s="1" t="str">
        <f>IFERROR(__xludf.DUMMYFUNCTION("""COMPUTED_VALUE"""),"-81.5961")</f>
        <v>-81.5961</v>
      </c>
      <c r="I863" s="1" t="str">
        <f>IFERROR(__xludf.DUMMYFUNCTION("""COMPUTED_VALUE"""),"Proposed")</f>
        <v>Proposed</v>
      </c>
      <c r="J863" s="1" t="str">
        <f>IFERROR(__xludf.DUMMYFUNCTION("""COMPUTED_VALUE"""),"Medium")</f>
        <v>Medium</v>
      </c>
      <c r="K863" s="1" t="str">
        <f>IFERROR(__xludf.DUMMYFUNCTION("""COMPUTED_VALUE"""),"")</f>
        <v/>
      </c>
      <c r="L863" s="1" t="str">
        <f>IFERROR(__xludf.DUMMYFUNCTION("""COMPUTED_VALUE"""),"")</f>
        <v/>
      </c>
      <c r="M863" s="1" t="str">
        <f>IFERROR(__xludf.DUMMYFUNCTION("""COMPUTED_VALUE"""),"")</f>
        <v/>
      </c>
      <c r="N863" s="1" t="str">
        <f>IFERROR(__xludf.DUMMYFUNCTION("""COMPUTED_VALUE"""),"300")</f>
        <v>300</v>
      </c>
      <c r="O863" s="1" t="str">
        <f>IFERROR(__xludf.DUMMYFUNCTION("""COMPUTED_VALUE"""),"Hyperscale (100-999 MW)")</f>
        <v>Hyperscale (100-999 MW)</v>
      </c>
      <c r="P863" s="1" t="str">
        <f>IFERROR(__xludf.DUMMYFUNCTION("""COMPUTED_VALUE"""),"")</f>
        <v/>
      </c>
      <c r="Q863" s="1" t="str">
        <f>IFERROR(__xludf.DUMMYFUNCTION("""COMPUTED_VALUE"""),"")</f>
        <v/>
      </c>
      <c r="R863" s="1" t="str">
        <f>IFERROR(__xludf.DUMMYFUNCTION("""COMPUTED_VALUE"""),"")</f>
        <v/>
      </c>
      <c r="S863" s="1" t="str">
        <f>IFERROR(__xludf.DUMMYFUNCTION("""COMPUTED_VALUE"""),"")</f>
        <v/>
      </c>
      <c r="T863" s="1" t="str">
        <f>IFERROR(__xludf.DUMMYFUNCTION("""COMPUTED_VALUE"""),"")</f>
        <v/>
      </c>
      <c r="U863" s="1" t="str">
        <f>IFERROR(__xludf.DUMMYFUNCTION("""COMPUTED_VALUE"""),"")</f>
        <v/>
      </c>
      <c r="V863" s="1" t="str">
        <f>IFERROR(__xludf.DUMMYFUNCTION("""COMPUTED_VALUE"""),"1,600,000")</f>
        <v>1,600,000</v>
      </c>
      <c r="W863" s="1" t="str">
        <f>IFERROR(__xludf.DUMMYFUNCTION("""COMPUTED_VALUE"""),"")</f>
        <v/>
      </c>
      <c r="X863" s="1" t="str">
        <f>IFERROR(__xludf.DUMMYFUNCTION("""COMPUTED_VALUE"""),"$2.1 billion")</f>
        <v>$2.1 billion</v>
      </c>
      <c r="Y863" s="1" t="str">
        <f>IFERROR(__xludf.DUMMYFUNCTION("""COMPUTED_VALUE"""),"")</f>
        <v/>
      </c>
      <c r="Z863" s="1" t="str">
        <f>IFERROR(__xludf.DUMMYFUNCTION("""COMPUTED_VALUE"""),"Unknown")</f>
        <v>Unknown</v>
      </c>
      <c r="AA863" s="1" t="str">
        <f>IFERROR(__xludf.DUMMYFUNCTION("""COMPUTED_VALUE"""),"")</f>
        <v/>
      </c>
      <c r="AB863" s="1" t="str">
        <f>IFERROR(__xludf.DUMMYFUNCTION("""COMPUTED_VALUE"""),"")</f>
        <v/>
      </c>
      <c r="AC863" s="1" t="str">
        <f>IFERROR(__xludf.DUMMYFUNCTION("""COMPUTED_VALUE"""),"")</f>
        <v/>
      </c>
      <c r="AD863" s="1" t="str">
        <f>IFERROR(__xludf.DUMMYFUNCTION("""COMPUTED_VALUE"""),"")</f>
        <v/>
      </c>
      <c r="AE863" s="1" t="str">
        <f>IFERROR(__xludf.DUMMYFUNCTION("""COMPUTED_VALUE"""),"")</f>
        <v/>
      </c>
      <c r="AF863" s="1" t="str">
        <f>IFERROR(__xludf.DUMMYFUNCTION("""COMPUTED_VALUE"""),"")</f>
        <v/>
      </c>
      <c r="AG863" s="1" t="str">
        <f>IFERROR(__xludf.DUMMYFUNCTION("""COMPUTED_VALUE"""),"")</f>
        <v/>
      </c>
      <c r="AH863" s="1" t="str">
        <f>IFERROR(__xludf.DUMMYFUNCTION("""COMPUTED_VALUE"""),"Media Monitoring")</f>
        <v>Media Monitoring</v>
      </c>
      <c r="AI863" s="2" t="str">
        <f>IFERROR(__xludf.DUMMYFUNCTION("""COMPUTED_VALUE"""),"https://www.datacenterdynamics.com/en/news/cielo-digital-infrastructure-plans-300mw-data-center-campus-in-south-carolina/")</f>
        <v>https://www.datacenterdynamics.com/en/news/cielo-digital-infrastructure-plans-300mw-data-center-campus-in-south-carolina/</v>
      </c>
      <c r="AJ863" s="1" t="str">
        <f>IFERROR(__xludf.DUMMYFUNCTION("""COMPUTED_VALUE"""),"")</f>
        <v/>
      </c>
      <c r="AK863" s="1" t="str">
        <f>IFERROR(__xludf.DUMMYFUNCTION("""COMPUTED_VALUE"""),"")</f>
        <v/>
      </c>
      <c r="AL863" s="1" t="str">
        <f>IFERROR(__xludf.DUMMYFUNCTION("""COMPUTED_VALUE"""),"")</f>
        <v/>
      </c>
      <c r="AM863" s="1" t="str">
        <f>IFERROR(__xludf.DUMMYFUNCTION("""COMPUTED_VALUE"""),"")</f>
        <v/>
      </c>
      <c r="AN863" s="1" t="str">
        <f>IFERROR(__xludf.DUMMYFUNCTION("""COMPUTED_VALUE"""),"")</f>
        <v/>
      </c>
      <c r="AO863" s="1" t="str">
        <f>IFERROR(__xludf.DUMMYFUNCTION("""COMPUTED_VALUE"""),"")</f>
        <v/>
      </c>
      <c r="AP863" s="1" t="str">
        <f>IFERROR(__xludf.DUMMYFUNCTION("""COMPUTED_VALUE"""),"")</f>
        <v/>
      </c>
      <c r="AQ863" s="1" t="str">
        <f>IFERROR(__xludf.DUMMYFUNCTION("""COMPUTED_VALUE"""),"06/24/2025")</f>
        <v>06/24/2025</v>
      </c>
      <c r="AR863" s="1" t="str">
        <f>IFERROR(__xludf.DUMMYFUNCTION("""COMPUTED_VALUE"""),"06/24/2025")</f>
        <v>06/24/2025</v>
      </c>
    </row>
    <row r="864">
      <c r="A864" s="1" t="str">
        <f>IFERROR(__xludf.DUMMYFUNCTION("""COMPUTED_VALUE"""),"Meta Data Center")</f>
        <v>Meta Data Center</v>
      </c>
      <c r="B864" s="1" t="str">
        <f>IFERROR(__xludf.DUMMYFUNCTION("""COMPUTED_VALUE"""),"Sage Mill Industrial Park")</f>
        <v>Sage Mill Industrial Park</v>
      </c>
      <c r="C864" s="1" t="str">
        <f>IFERROR(__xludf.DUMMYFUNCTION("""COMPUTED_VALUE"""),"Graniteville")</f>
        <v>Graniteville</v>
      </c>
      <c r="D864" s="1" t="str">
        <f>IFERROR(__xludf.DUMMYFUNCTION("""COMPUTED_VALUE"""),"SC")</f>
        <v>SC</v>
      </c>
      <c r="E864" s="1" t="str">
        <f>IFERROR(__xludf.DUMMYFUNCTION("""COMPUTED_VALUE"""),"29829")</f>
        <v>29829</v>
      </c>
      <c r="F864" s="1" t="str">
        <f>IFERROR(__xludf.DUMMYFUNCTION("""COMPUTED_VALUE"""),"Aiken")</f>
        <v>Aiken</v>
      </c>
      <c r="G864" s="1" t="str">
        <f>IFERROR(__xludf.DUMMYFUNCTION("""COMPUTED_VALUE"""),"33.62525")</f>
        <v>33.62525</v>
      </c>
      <c r="H864" s="1" t="str">
        <f>IFERROR(__xludf.DUMMYFUNCTION("""COMPUTED_VALUE"""),"-81.83863")</f>
        <v>-81.83863</v>
      </c>
      <c r="I864" s="1" t="str">
        <f>IFERROR(__xludf.DUMMYFUNCTION("""COMPUTED_VALUE"""),"Approved/Permitted/Under construction")</f>
        <v>Approved/Permitted/Under construction</v>
      </c>
      <c r="J864" s="1" t="str">
        <f>IFERROR(__xludf.DUMMYFUNCTION("""COMPUTED_VALUE"""),"Medium")</f>
        <v>Medium</v>
      </c>
      <c r="K864" s="1" t="str">
        <f>IFERROR(__xludf.DUMMYFUNCTION("""COMPUTED_VALUE"""),"")</f>
        <v/>
      </c>
      <c r="L864" s="1" t="str">
        <f>IFERROR(__xludf.DUMMYFUNCTION("""COMPUTED_VALUE"""),"Meta")</f>
        <v>Meta</v>
      </c>
      <c r="M864" s="1" t="str">
        <f>IFERROR(__xludf.DUMMYFUNCTION("""COMPUTED_VALUE"""),"")</f>
        <v/>
      </c>
      <c r="N864" s="1" t="str">
        <f>IFERROR(__xludf.DUMMYFUNCTION("""COMPUTED_VALUE"""),"100")</f>
        <v>100</v>
      </c>
      <c r="O864" s="1" t="str">
        <f>IFERROR(__xludf.DUMMYFUNCTION("""COMPUTED_VALUE"""),"Hyperscale (100-999 MW)")</f>
        <v>Hyperscale (100-999 MW)</v>
      </c>
      <c r="P864" s="1" t="str">
        <f>IFERROR(__xludf.DUMMYFUNCTION("""COMPUTED_VALUE"""),"")</f>
        <v/>
      </c>
      <c r="Q864" s="1" t="str">
        <f>IFERROR(__xludf.DUMMYFUNCTION("""COMPUTED_VALUE"""),"")</f>
        <v/>
      </c>
      <c r="R864" s="1" t="str">
        <f>IFERROR(__xludf.DUMMYFUNCTION("""COMPUTED_VALUE"""),"")</f>
        <v/>
      </c>
      <c r="S864" s="1" t="str">
        <f>IFERROR(__xludf.DUMMYFUNCTION("""COMPUTED_VALUE"""),"")</f>
        <v/>
      </c>
      <c r="T864" s="1" t="str">
        <f>IFERROR(__xludf.DUMMYFUNCTION("""COMPUTED_VALUE"""),"")</f>
        <v/>
      </c>
      <c r="U864" s="1" t="str">
        <f>IFERROR(__xludf.DUMMYFUNCTION("""COMPUTED_VALUE"""),"")</f>
        <v/>
      </c>
      <c r="V864" s="1" t="str">
        <f>IFERROR(__xludf.DUMMYFUNCTION("""COMPUTED_VALUE"""),"715,000")</f>
        <v>715,000</v>
      </c>
      <c r="W864" s="1" t="str">
        <f>IFERROR(__xludf.DUMMYFUNCTION("""COMPUTED_VALUE"""),"2400")</f>
        <v>2400</v>
      </c>
      <c r="X864" s="1" t="str">
        <f>IFERROR(__xludf.DUMMYFUNCTION("""COMPUTED_VALUE"""),"$800 million")</f>
        <v>$800 million</v>
      </c>
      <c r="Y864" s="1" t="str">
        <f>IFERROR(__xludf.DUMMYFUNCTION("""COMPUTED_VALUE"""),"")</f>
        <v/>
      </c>
      <c r="Z864" s="1" t="str">
        <f>IFERROR(__xludf.DUMMYFUNCTION("""COMPUTED_VALUE"""),"Unknown")</f>
        <v>Unknown</v>
      </c>
      <c r="AA864" s="1" t="str">
        <f>IFERROR(__xludf.DUMMYFUNCTION("""COMPUTED_VALUE"""),"")</f>
        <v/>
      </c>
      <c r="AB864" s="1" t="str">
        <f>IFERROR(__xludf.DUMMYFUNCTION("""COMPUTED_VALUE"""),"")</f>
        <v/>
      </c>
      <c r="AC864" s="1" t="str">
        <f>IFERROR(__xludf.DUMMYFUNCTION("""COMPUTED_VALUE"""),"")</f>
        <v/>
      </c>
      <c r="AD864" s="1" t="str">
        <f>IFERROR(__xludf.DUMMYFUNCTION("""COMPUTED_VALUE"""),"")</f>
        <v/>
      </c>
      <c r="AE864" s="1" t="str">
        <f>IFERROR(__xludf.DUMMYFUNCTION("""COMPUTED_VALUE"""),"")</f>
        <v/>
      </c>
      <c r="AF864" s="1" t="str">
        <f>IFERROR(__xludf.DUMMYFUNCTION("""COMPUTED_VALUE"""),"")</f>
        <v/>
      </c>
      <c r="AG864" s="1" t="str">
        <f>IFERROR(__xludf.DUMMYFUNCTION("""COMPUTED_VALUE"""),"Industrial park")</f>
        <v>Industrial park</v>
      </c>
      <c r="AH864" s="1" t="str">
        <f>IFERROR(__xludf.DUMMYFUNCTION("""COMPUTED_VALUE"""),"Media Monitoring")</f>
        <v>Media Monitoring</v>
      </c>
      <c r="AI864" s="2" t="str">
        <f>IFERROR(__xludf.DUMMYFUNCTION("""COMPUTED_VALUE"""),"https://www.datacenterdynamics.com/en/news/meta-plans-800m-data-center-campus-in-aiken-county-south-carolina/")</f>
        <v>https://www.datacenterdynamics.com/en/news/meta-plans-800m-data-center-campus-in-aiken-county-south-carolina/</v>
      </c>
      <c r="AJ864" s="2" t="str">
        <f>IFERROR(__xludf.DUMMYFUNCTION("""COMPUTED_VALUE"""),"https://rbnenergy.com/i-know-places-tech-giants-may-be-the-surest-bets-for-data-center-power-demand")</f>
        <v>https://rbnenergy.com/i-know-places-tech-giants-may-be-the-surest-bets-for-data-center-power-demand</v>
      </c>
      <c r="AK864" s="2" t="str">
        <f>IFERROR(__xludf.DUMMYFUNCTION("""COMPUTED_VALUE"""),"https://www.datacenterdynamics.com/en/news/meta-signs-100mw-solar-supply-deal-with-silicon-ranch-to-power-first-data-center-in-south-carolina/")</f>
        <v>https://www.datacenterdynamics.com/en/news/meta-signs-100mw-solar-supply-deal-with-silicon-ranch-to-power-first-data-center-in-south-carolina/</v>
      </c>
      <c r="AL864" s="1" t="str">
        <f>IFERROR(__xludf.DUMMYFUNCTION("""COMPUTED_VALUE"""),"")</f>
        <v/>
      </c>
      <c r="AM864" s="1" t="str">
        <f>IFERROR(__xludf.DUMMYFUNCTION("""COMPUTED_VALUE"""),"")</f>
        <v/>
      </c>
      <c r="AN864" s="1" t="str">
        <f>IFERROR(__xludf.DUMMYFUNCTION("""COMPUTED_VALUE"""),"")</f>
        <v/>
      </c>
      <c r="AO864" s="1" t="str">
        <f>IFERROR(__xludf.DUMMYFUNCTION("""COMPUTED_VALUE"""),"")</f>
        <v/>
      </c>
      <c r="AP864" s="1" t="str">
        <f>IFERROR(__xludf.DUMMYFUNCTION("""COMPUTED_VALUE"""),"")</f>
        <v/>
      </c>
      <c r="AQ864" s="1" t="str">
        <f>IFERROR(__xludf.DUMMYFUNCTION("""COMPUTED_VALUE"""),"07/22/2025")</f>
        <v>07/22/2025</v>
      </c>
      <c r="AR864" s="1" t="str">
        <f>IFERROR(__xludf.DUMMYFUNCTION("""COMPUTED_VALUE"""),"07/22/2025")</f>
        <v>07/22/2025</v>
      </c>
    </row>
    <row r="865">
      <c r="A865" s="1" t="str">
        <f>IFERROR(__xludf.DUMMYFUNCTION("""COMPUTED_VALUE"""),"DC Blox")</f>
        <v>DC Blox</v>
      </c>
      <c r="B865" s="1" t="str">
        <f>IFERROR(__xludf.DUMMYFUNCTION("""COMPUTED_VALUE"""),"33 Global Dr")</f>
        <v>33 Global Dr</v>
      </c>
      <c r="C865" s="1" t="str">
        <f>IFERROR(__xludf.DUMMYFUNCTION("""COMPUTED_VALUE"""),"Greenville")</f>
        <v>Greenville</v>
      </c>
      <c r="D865" s="1" t="str">
        <f>IFERROR(__xludf.DUMMYFUNCTION("""COMPUTED_VALUE"""),"SC")</f>
        <v>SC</v>
      </c>
      <c r="E865" s="1" t="str">
        <f>IFERROR(__xludf.DUMMYFUNCTION("""COMPUTED_VALUE"""),"29607")</f>
        <v>29607</v>
      </c>
      <c r="F865" s="1" t="str">
        <f>IFERROR(__xludf.DUMMYFUNCTION("""COMPUTED_VALUE"""),"Greenville")</f>
        <v>Greenville</v>
      </c>
      <c r="G865" s="1" t="str">
        <f>IFERROR(__xludf.DUMMYFUNCTION("""COMPUTED_VALUE"""),"34.8071")</f>
        <v>34.8071</v>
      </c>
      <c r="H865" s="1" t="str">
        <f>IFERROR(__xludf.DUMMYFUNCTION("""COMPUTED_VALUE"""),"-82.3455")</f>
        <v>-82.3455</v>
      </c>
      <c r="I865" s="1" t="str">
        <f>IFERROR(__xludf.DUMMYFUNCTION("""COMPUTED_VALUE"""),"Operating")</f>
        <v>Operating</v>
      </c>
      <c r="J865" s="1" t="str">
        <f>IFERROR(__xludf.DUMMYFUNCTION("""COMPUTED_VALUE"""),"High")</f>
        <v>High</v>
      </c>
      <c r="K865" s="1" t="str">
        <f>IFERROR(__xludf.DUMMYFUNCTION("""COMPUTED_VALUE"""),"")</f>
        <v/>
      </c>
      <c r="L865" s="1" t="str">
        <f>IFERROR(__xludf.DUMMYFUNCTION("""COMPUTED_VALUE"""),"")</f>
        <v/>
      </c>
      <c r="M865" s="1" t="str">
        <f>IFERROR(__xludf.DUMMYFUNCTION("""COMPUTED_VALUE"""),"")</f>
        <v/>
      </c>
      <c r="N865" s="1" t="str">
        <f>IFERROR(__xludf.DUMMYFUNCTION("""COMPUTED_VALUE"""),"")</f>
        <v/>
      </c>
      <c r="O865" s="1" t="str">
        <f>IFERROR(__xludf.DUMMYFUNCTION("""COMPUTED_VALUE"""),"Unknown")</f>
        <v>Unknown</v>
      </c>
      <c r="P865" s="1" t="str">
        <f>IFERROR(__xludf.DUMMYFUNCTION("""COMPUTED_VALUE"""),"")</f>
        <v/>
      </c>
      <c r="Q865" s="1" t="str">
        <f>IFERROR(__xludf.DUMMYFUNCTION("""COMPUTED_VALUE"""),"")</f>
        <v/>
      </c>
      <c r="R865" s="1" t="str">
        <f>IFERROR(__xludf.DUMMYFUNCTION("""COMPUTED_VALUE"""),"")</f>
        <v/>
      </c>
      <c r="S865" s="1" t="str">
        <f>IFERROR(__xludf.DUMMYFUNCTION("""COMPUTED_VALUE"""),"")</f>
        <v/>
      </c>
      <c r="T865" s="1" t="str">
        <f>IFERROR(__xludf.DUMMYFUNCTION("""COMPUTED_VALUE"""),"")</f>
        <v/>
      </c>
      <c r="U865" s="1" t="str">
        <f>IFERROR(__xludf.DUMMYFUNCTION("""COMPUTED_VALUE"""),"")</f>
        <v/>
      </c>
      <c r="V865" s="1" t="str">
        <f>IFERROR(__xludf.DUMMYFUNCTION("""COMPUTED_VALUE"""),"")</f>
        <v/>
      </c>
      <c r="W865" s="1" t="str">
        <f>IFERROR(__xludf.DUMMYFUNCTION("""COMPUTED_VALUE"""),"")</f>
        <v/>
      </c>
      <c r="X865" s="1" t="str">
        <f>IFERROR(__xludf.DUMMYFUNCTION("""COMPUTED_VALUE"""),"")</f>
        <v/>
      </c>
      <c r="Y865" s="1" t="str">
        <f>IFERROR(__xludf.DUMMYFUNCTION("""COMPUTED_VALUE"""),"")</f>
        <v/>
      </c>
      <c r="Z865" s="1" t="str">
        <f>IFERROR(__xludf.DUMMYFUNCTION("""COMPUTED_VALUE"""),"Yes")</f>
        <v>Yes</v>
      </c>
      <c r="AA865" s="1" t="str">
        <f>IFERROR(__xludf.DUMMYFUNCTION("""COMPUTED_VALUE"""),"")</f>
        <v/>
      </c>
      <c r="AB865" s="1" t="str">
        <f>IFERROR(__xludf.DUMMYFUNCTION("""COMPUTED_VALUE"""),"Emerging Concern")</f>
        <v>Emerging Concern</v>
      </c>
      <c r="AC865" s="1" t="str">
        <f>IFERROR(__xludf.DUMMYFUNCTION("""COMPUTED_VALUE"""),"")</f>
        <v/>
      </c>
      <c r="AD865" s="2" t="str">
        <f>IFERROR(__xludf.DUMMYFUNCTION("""COMPUTED_VALUE"""),"https://www.facebook.com/share/g/1MmD3egK9Z/")</f>
        <v>https://www.facebook.com/share/g/1MmD3egK9Z/</v>
      </c>
      <c r="AE865" s="1" t="str">
        <f>IFERROR(__xludf.DUMMYFUNCTION("""COMPUTED_VALUE"""),"")</f>
        <v/>
      </c>
      <c r="AF865" s="1" t="str">
        <f>IFERROR(__xludf.DUMMYFUNCTION("""COMPUTED_VALUE"""),"")</f>
        <v/>
      </c>
      <c r="AG865" s="1" t="str">
        <f>IFERROR(__xludf.DUMMYFUNCTION("""COMPUTED_VALUE"""),"")</f>
        <v/>
      </c>
      <c r="AH865" s="1" t="str">
        <f>IFERROR(__xludf.DUMMYFUNCTION("""COMPUTED_VALUE"""),"Media Monitoring")</f>
        <v>Media Monitoring</v>
      </c>
      <c r="AI865" s="1" t="str">
        <f>IFERROR(__xludf.DUMMYFUNCTION("""COMPUTED_VALUE"""),"")</f>
        <v/>
      </c>
      <c r="AJ865" s="1" t="str">
        <f>IFERROR(__xludf.DUMMYFUNCTION("""COMPUTED_VALUE"""),"")</f>
        <v/>
      </c>
      <c r="AK865" s="1" t="str">
        <f>IFERROR(__xludf.DUMMYFUNCTION("""COMPUTED_VALUE"""),"")</f>
        <v/>
      </c>
      <c r="AL865" s="1" t="str">
        <f>IFERROR(__xludf.DUMMYFUNCTION("""COMPUTED_VALUE"""),"")</f>
        <v/>
      </c>
      <c r="AM865" s="1" t="str">
        <f>IFERROR(__xludf.DUMMYFUNCTION("""COMPUTED_VALUE"""),"")</f>
        <v/>
      </c>
      <c r="AN865" s="1" t="str">
        <f>IFERROR(__xludf.DUMMYFUNCTION("""COMPUTED_VALUE"""),"")</f>
        <v/>
      </c>
      <c r="AO865" s="1" t="str">
        <f>IFERROR(__xludf.DUMMYFUNCTION("""COMPUTED_VALUE"""),"")</f>
        <v/>
      </c>
      <c r="AP865" s="1" t="str">
        <f>IFERROR(__xludf.DUMMYFUNCTION("""COMPUTED_VALUE"""),"")</f>
        <v/>
      </c>
      <c r="AQ865" s="1" t="str">
        <f>IFERROR(__xludf.DUMMYFUNCTION("""COMPUTED_VALUE"""),"08/25/2025")</f>
        <v>08/25/2025</v>
      </c>
      <c r="AR865" s="1" t="str">
        <f>IFERROR(__xludf.DUMMYFUNCTION("""COMPUTED_VALUE"""),"08/25/2025")</f>
        <v>08/25/2025</v>
      </c>
    </row>
    <row r="866">
      <c r="A866" s="1" t="str">
        <f>IFERROR(__xludf.DUMMYFUNCTION("""COMPUTED_VALUE"""),"Project Liberty")</f>
        <v>Project Liberty</v>
      </c>
      <c r="B866" s="1" t="str">
        <f>IFERROR(__xludf.DUMMYFUNCTION("""COMPUTED_VALUE"""),"Industrial Park Rd")</f>
        <v>Industrial Park Rd</v>
      </c>
      <c r="C866" s="1" t="str">
        <f>IFERROR(__xludf.DUMMYFUNCTION("""COMPUTED_VALUE"""),"Marion")</f>
        <v>Marion</v>
      </c>
      <c r="D866" s="1" t="str">
        <f>IFERROR(__xludf.DUMMYFUNCTION("""COMPUTED_VALUE"""),"SC")</f>
        <v>SC</v>
      </c>
      <c r="E866" s="1" t="str">
        <f>IFERROR(__xludf.DUMMYFUNCTION("""COMPUTED_VALUE"""),"29571")</f>
        <v>29571</v>
      </c>
      <c r="F866" s="1" t="str">
        <f>IFERROR(__xludf.DUMMYFUNCTION("""COMPUTED_VALUE"""),"Marion")</f>
        <v>Marion</v>
      </c>
      <c r="G866" s="1" t="str">
        <f>IFERROR(__xludf.DUMMYFUNCTION("""COMPUTED_VALUE"""),"34.197998")</f>
        <v>34.197998</v>
      </c>
      <c r="H866" s="1" t="str">
        <f>IFERROR(__xludf.DUMMYFUNCTION("""COMPUTED_VALUE"""),"-79.352036")</f>
        <v>-79.352036</v>
      </c>
      <c r="I866" s="1" t="str">
        <f>IFERROR(__xludf.DUMMYFUNCTION("""COMPUTED_VALUE"""),"Cancelled")</f>
        <v>Cancelled</v>
      </c>
      <c r="J866" s="1" t="str">
        <f>IFERROR(__xludf.DUMMYFUNCTION("""COMPUTED_VALUE"""),"High")</f>
        <v>High</v>
      </c>
      <c r="K866" s="1" t="str">
        <f>IFERROR(__xludf.DUMMYFUNCTION("""COMPUTED_VALUE"""),"")</f>
        <v/>
      </c>
      <c r="L866" s="1" t="str">
        <f>IFERROR(__xludf.DUMMYFUNCTION("""COMPUTED_VALUE"""),"Stream")</f>
        <v>Stream</v>
      </c>
      <c r="M866" s="1" t="str">
        <f>IFERROR(__xludf.DUMMYFUNCTION("""COMPUTED_VALUE"""),"")</f>
        <v/>
      </c>
      <c r="N866" s="1" t="str">
        <f>IFERROR(__xludf.DUMMYFUNCTION("""COMPUTED_VALUE"""),"")</f>
        <v/>
      </c>
      <c r="O866" s="1" t="str">
        <f>IFERROR(__xludf.DUMMYFUNCTION("""COMPUTED_VALUE"""),"Hyperscale (100-999 MW)")</f>
        <v>Hyperscale (100-999 MW)</v>
      </c>
      <c r="P866" s="1" t="str">
        <f>IFERROR(__xludf.DUMMYFUNCTION("""COMPUTED_VALUE"""),"Grid (unspecified mix)")</f>
        <v>Grid (unspecified mix)</v>
      </c>
      <c r="Q866" s="1" t="str">
        <f>IFERROR(__xludf.DUMMYFUNCTION("""COMPUTED_VALUE"""),"")</f>
        <v/>
      </c>
      <c r="R866" s="1" t="str">
        <f>IFERROR(__xludf.DUMMYFUNCTION("""COMPUTED_VALUE"""),"")</f>
        <v/>
      </c>
      <c r="S866" s="1" t="str">
        <f>IFERROR(__xludf.DUMMYFUNCTION("""COMPUTED_VALUE"""),"6")</f>
        <v>6</v>
      </c>
      <c r="T866" s="1" t="str">
        <f>IFERROR(__xludf.DUMMYFUNCTION("""COMPUTED_VALUE"""),"")</f>
        <v/>
      </c>
      <c r="U866" s="1" t="str">
        <f>IFERROR(__xludf.DUMMYFUNCTION("""COMPUTED_VALUE"""),"Closed loop")</f>
        <v>Closed loop</v>
      </c>
      <c r="V866" s="1" t="str">
        <f>IFERROR(__xludf.DUMMYFUNCTION("""COMPUTED_VALUE"""),"2,000,000")</f>
        <v>2,000,000</v>
      </c>
      <c r="W866" s="1" t="str">
        <f>IFERROR(__xludf.DUMMYFUNCTION("""COMPUTED_VALUE"""),"400")</f>
        <v>400</v>
      </c>
      <c r="X866" s="1" t="str">
        <f>IFERROR(__xludf.DUMMYFUNCTION("""COMPUTED_VALUE"""),"$2.4 billion")</f>
        <v>$2.4 billion</v>
      </c>
      <c r="Y866" s="1" t="str">
        <f>IFERROR(__xludf.DUMMYFUNCTION("""COMPUTED_VALUE"""),"2027")</f>
        <v>2027</v>
      </c>
      <c r="Z866" s="1" t="str">
        <f>IFERROR(__xludf.DUMMYFUNCTION("""COMPUTED_VALUE"""),"Yes")</f>
        <v>Yes</v>
      </c>
      <c r="AA866" s="1" t="str">
        <f>IFERROR(__xludf.DUMMYFUNCTION("""COMPUTED_VALUE"""),"")</f>
        <v/>
      </c>
      <c r="AB866" s="1" t="str">
        <f>IFERROR(__xludf.DUMMYFUNCTION("""COMPUTED_VALUE"""),"Organized Advocacy")</f>
        <v>Organized Advocacy</v>
      </c>
      <c r="AC866" s="1" t="str">
        <f>IFERROR(__xludf.DUMMYFUNCTION("""COMPUTED_VALUE"""),"Marion County officials confirmed that the council signed a nondisclosure agreement")</f>
        <v>Marion County officials confirmed that the council signed a nondisclosure agreement</v>
      </c>
      <c r="AD866" s="2" t="str">
        <f>IFERROR(__xludf.DUMMYFUNCTION("""COMPUTED_VALUE"""),"www.Theunitedpeopleproject.com")</f>
        <v>www.Theunitedpeopleproject.com</v>
      </c>
      <c r="AE866" s="1" t="str">
        <f>IFERROR(__xludf.DUMMYFUNCTION("""COMPUTED_VALUE"""),"")</f>
        <v/>
      </c>
      <c r="AF866" s="1" t="str">
        <f>IFERROR(__xludf.DUMMYFUNCTION("""COMPUTED_VALUE"""),"")</f>
        <v/>
      </c>
      <c r="AG866" s="1" t="str">
        <f>IFERROR(__xludf.DUMMYFUNCTION("""COMPUTED_VALUE"""),"Two phases of constrution planned, after phase two build is planned to total six buildings and around four million square feet. Would use 7,175 gallons of water a day")</f>
        <v>Two phases of constrution planned, after phase two build is planned to total six buildings and around four million square feet. Would use 7,175 gallons of water a day</v>
      </c>
      <c r="AH866" s="1" t="str">
        <f>IFERROR(__xludf.DUMMYFUNCTION("""COMPUTED_VALUE"""),"Crowdsourced")</f>
        <v>Crowdsourced</v>
      </c>
      <c r="AI866" s="2" t="str">
        <f>IFERROR(__xludf.DUMMYFUNCTION("""COMPUTED_VALUE"""),"https://www.streamdatacenters.com/project-liberty/")</f>
        <v>https://www.streamdatacenters.com/project-liberty/</v>
      </c>
      <c r="AJ866" s="2" t="str">
        <f>IFERROR(__xludf.DUMMYFUNCTION("""COMPUTED_VALUE"""),"https://www.postandcourier.com/pee-dee/news/marion-county-stream-data-center/article_fce64b6c-7e65-4d99-ba9a-4d1dc70d28e5.html")</f>
        <v>https://www.postandcourier.com/pee-dee/news/marion-county-stream-data-center/article_fce64b6c-7e65-4d99-ba9a-4d1dc70d28e5.html</v>
      </c>
      <c r="AK866" s="2" t="str">
        <f>IFERROR(__xludf.DUMMYFUNCTION("""COMPUTED_VALUE"""),"https://www.wmbfnews.com/2026/02/25/marion-county-data-center-qa-draws-concerns-over-energy-costs-local-hiring/")</f>
        <v>https://www.wmbfnews.com/2026/02/25/marion-county-data-center-qa-draws-concerns-over-energy-costs-local-hiring/</v>
      </c>
      <c r="AL866" s="2" t="str">
        <f>IFERROR(__xludf.DUMMYFUNCTION("""COMPUTED_VALUE"""),"https://capitalbnews.org/secret-data-center-deal-marion-county-south-carolina/")</f>
        <v>https://capitalbnews.org/secret-data-center-deal-marion-county-south-carolina/</v>
      </c>
      <c r="AM866" s="2" t="str">
        <f>IFERROR(__xludf.DUMMYFUNCTION("""COMPUTED_VALUE"""),"https://www.datacenterdynamics.com/en/news/stream-data-centers-pulls-out-of-800m-south-carolina-data-center-says-utility-power-would-take-too-long/")</f>
        <v>https://www.datacenterdynamics.com/en/news/stream-data-centers-pulls-out-of-800m-south-carolina-data-center-says-utility-power-would-take-too-long/</v>
      </c>
      <c r="AN866" s="1" t="str">
        <f>IFERROR(__xludf.DUMMYFUNCTION("""COMPUTED_VALUE"""),"")</f>
        <v/>
      </c>
      <c r="AO866" s="1" t="str">
        <f>IFERROR(__xludf.DUMMYFUNCTION("""COMPUTED_VALUE"""),"")</f>
        <v/>
      </c>
      <c r="AP866" s="1" t="str">
        <f>IFERROR(__xludf.DUMMYFUNCTION("""COMPUTED_VALUE"""),"")</f>
        <v/>
      </c>
      <c r="AQ866" s="1" t="str">
        <f>IFERROR(__xludf.DUMMYFUNCTION("""COMPUTED_VALUE"""),"04/07/2026")</f>
        <v>04/07/2026</v>
      </c>
      <c r="AR866" s="1" t="str">
        <f>IFERROR(__xludf.DUMMYFUNCTION("""COMPUTED_VALUE"""),"06/22/2026")</f>
        <v>06/22/2026</v>
      </c>
    </row>
    <row r="867">
      <c r="A867" s="1" t="str">
        <f>IFERROR(__xludf.DUMMYFUNCTION("""COMPUTED_VALUE"""),"Project Spero")</f>
        <v>Project Spero</v>
      </c>
      <c r="B867" s="1" t="str">
        <f>IFERROR(__xludf.DUMMYFUNCTION("""COMPUTED_VALUE"""),"389 Tyger River Industrial Dr/ Tyger River Industrial Park-North")</f>
        <v>389 Tyger River Industrial Dr/ Tyger River Industrial Park-North</v>
      </c>
      <c r="C867" s="1" t="str">
        <f>IFERROR(__xludf.DUMMYFUNCTION("""COMPUTED_VALUE"""),"Moore")</f>
        <v>Moore</v>
      </c>
      <c r="D867" s="1" t="str">
        <f>IFERROR(__xludf.DUMMYFUNCTION("""COMPUTED_VALUE"""),"SC")</f>
        <v>SC</v>
      </c>
      <c r="E867" s="1" t="str">
        <f>IFERROR(__xludf.DUMMYFUNCTION("""COMPUTED_VALUE"""),"29369")</f>
        <v>29369</v>
      </c>
      <c r="F867" s="1" t="str">
        <f>IFERROR(__xludf.DUMMYFUNCTION("""COMPUTED_VALUE"""),"Spartanburg")</f>
        <v>Spartanburg</v>
      </c>
      <c r="G867" s="1" t="str">
        <f>IFERROR(__xludf.DUMMYFUNCTION("""COMPUTED_VALUE"""),"34.85631")</f>
        <v>34.85631</v>
      </c>
      <c r="H867" s="1" t="str">
        <f>IFERROR(__xludf.DUMMYFUNCTION("""COMPUTED_VALUE"""),"-82.00952")</f>
        <v>-82.00952</v>
      </c>
      <c r="I867" s="1" t="str">
        <f>IFERROR(__xludf.DUMMYFUNCTION("""COMPUTED_VALUE"""),"Cancelled")</f>
        <v>Cancelled</v>
      </c>
      <c r="J867" s="1" t="str">
        <f>IFERROR(__xludf.DUMMYFUNCTION("""COMPUTED_VALUE"""),"Medium")</f>
        <v>Medium</v>
      </c>
      <c r="K867" s="1" t="str">
        <f>IFERROR(__xludf.DUMMYFUNCTION("""COMPUTED_VALUE"""),"AI")</f>
        <v>AI</v>
      </c>
      <c r="L867" s="1" t="str">
        <f>IFERROR(__xludf.DUMMYFUNCTION("""COMPUTED_VALUE"""),"TigerDC")</f>
        <v>TigerDC</v>
      </c>
      <c r="M867" s="1" t="str">
        <f>IFERROR(__xludf.DUMMYFUNCTION("""COMPUTED_VALUE"""),"")</f>
        <v/>
      </c>
      <c r="N867" s="1" t="str">
        <f>IFERROR(__xludf.DUMMYFUNCTION("""COMPUTED_VALUE"""),"100-500")</f>
        <v>100-500</v>
      </c>
      <c r="O867" s="1" t="str">
        <f>IFERROR(__xludf.DUMMYFUNCTION("""COMPUTED_VALUE"""),"Hyperscale (100-999 MW)")</f>
        <v>Hyperscale (100-999 MW)</v>
      </c>
      <c r="P867" s="1" t="str">
        <f>IFERROR(__xludf.DUMMYFUNCTION("""COMPUTED_VALUE"""),"")</f>
        <v/>
      </c>
      <c r="Q867" s="1" t="str">
        <f>IFERROR(__xludf.DUMMYFUNCTION("""COMPUTED_VALUE"""),"")</f>
        <v/>
      </c>
      <c r="R867" s="1" t="str">
        <f>IFERROR(__xludf.DUMMYFUNCTION("""COMPUTED_VALUE"""),"")</f>
        <v/>
      </c>
      <c r="S867" s="1" t="str">
        <f>IFERROR(__xludf.DUMMYFUNCTION("""COMPUTED_VALUE"""),"")</f>
        <v/>
      </c>
      <c r="T867" s="1" t="str">
        <f>IFERROR(__xludf.DUMMYFUNCTION("""COMPUTED_VALUE"""),"")</f>
        <v/>
      </c>
      <c r="U867" s="1" t="str">
        <f>IFERROR(__xludf.DUMMYFUNCTION("""COMPUTED_VALUE"""),"Closed loop")</f>
        <v>Closed loop</v>
      </c>
      <c r="V867" s="1" t="str">
        <f>IFERROR(__xludf.DUMMYFUNCTION("""COMPUTED_VALUE"""),"")</f>
        <v/>
      </c>
      <c r="W867" s="1" t="str">
        <f>IFERROR(__xludf.DUMMYFUNCTION("""COMPUTED_VALUE"""),"")</f>
        <v/>
      </c>
      <c r="X867" s="1" t="str">
        <f>IFERROR(__xludf.DUMMYFUNCTION("""COMPUTED_VALUE"""),"$3 billion")</f>
        <v>$3 billion</v>
      </c>
      <c r="Y867" s="1" t="str">
        <f>IFERROR(__xludf.DUMMYFUNCTION("""COMPUTED_VALUE"""),"2027")</f>
        <v>2027</v>
      </c>
      <c r="Z867" s="1" t="str">
        <f>IFERROR(__xludf.DUMMYFUNCTION("""COMPUTED_VALUE"""),"Yes")</f>
        <v>Yes</v>
      </c>
      <c r="AA867" s="1" t="str">
        <f>IFERROR(__xludf.DUMMYFUNCTION("""COMPUTED_VALUE"""),"")</f>
        <v/>
      </c>
      <c r="AB867" s="1" t="str">
        <f>IFERROR(__xludf.DUMMYFUNCTION("""COMPUTED_VALUE"""),"")</f>
        <v/>
      </c>
      <c r="AC867" s="1" t="str">
        <f>IFERROR(__xludf.DUMMYFUNCTION("""COMPUTED_VALUE"""),"")</f>
        <v/>
      </c>
      <c r="AD867" s="2" t="str">
        <f>IFERROR(__xludf.DUMMYFUNCTION("""COMPUTED_VALUE"""),"https://www.facebook.com/groups/1354334266189772/")</f>
        <v>https://www.facebook.com/groups/1354334266189772/</v>
      </c>
      <c r="AE867" s="1" t="str">
        <f>IFERROR(__xludf.DUMMYFUNCTION("""COMPUTED_VALUE"""),"")</f>
        <v/>
      </c>
      <c r="AF867" s="2" t="str">
        <f>IFERROR(__xludf.DUMMYFUNCTION("""COMPUTED_VALUE"""),"https://www.change.org/p/stop-data-centers-coming-to-upstate-sc")</f>
        <v>https://www.change.org/p/stop-data-centers-coming-to-upstate-sc</v>
      </c>
      <c r="AG867" s="1" t="str">
        <f>IFERROR(__xludf.DUMMYFUNCTION("""COMPUTED_VALUE"""),"")</f>
        <v/>
      </c>
      <c r="AH867" s="1" t="str">
        <f>IFERROR(__xludf.DUMMYFUNCTION("""COMPUTED_VALUE"""),"Media Monitoring")</f>
        <v>Media Monitoring</v>
      </c>
      <c r="AI867" s="2" t="str">
        <f>IFERROR(__xludf.DUMMYFUNCTION("""COMPUTED_VALUE"""),"https://www.wyff4.com/article/ai-data-center-to-be-built-in-spartanburg-county/70180127")</f>
        <v>https://www.wyff4.com/article/ai-data-center-to-be-built-in-spartanburg-county/70180127</v>
      </c>
      <c r="AJ867" s="2" t="str">
        <f>IFERROR(__xludf.DUMMYFUNCTION("""COMPUTED_VALUE"""),"https://www.postandcourier.com/spartanburg/business/tigerdc-data-center-spartanburg-county-project-spero/article_08f63d91-4108-4439-92c9-51b51c081232.html")</f>
        <v>https://www.postandcourier.com/spartanburg/business/tigerdc-data-center-spartanburg-county-project-spero/article_08f63d91-4108-4439-92c9-51b51c081232.html</v>
      </c>
      <c r="AK867" s="2" t="str">
        <f>IFERROR(__xludf.DUMMYFUNCTION("""COMPUTED_VALUE"""),"https://www.datacenterdynamics.com/en/news/proposal-for-3bn-data-center-faces-opposition-in-spartanburg-county-south-carolina/")</f>
        <v>https://www.datacenterdynamics.com/en/news/proposal-for-3bn-data-center-faces-opposition-in-spartanburg-county-south-carolina/</v>
      </c>
      <c r="AL867" s="2" t="str">
        <f>IFERROR(__xludf.DUMMYFUNCTION("""COMPUTED_VALUE"""),"https://www.wyff4.com/article/data-center-project-proposal-advances-spartanburg-county/70386777")</f>
        <v>https://www.wyff4.com/article/data-center-project-proposal-advances-spartanburg-county/70386777</v>
      </c>
      <c r="AM867" s="2" t="str">
        <f>IFERROR(__xludf.DUMMYFUNCTION("""COMPUTED_VALUE"""),"https://www.datacenterdynamics.com/en/news/tigerdc-pulls-planned-data-center-project-from-south-carolina-county-after-officials-deny-tax-deal/")</f>
        <v>https://www.datacenterdynamics.com/en/news/tigerdc-pulls-planned-data-center-project-from-south-carolina-county-after-officials-deny-tax-deal/</v>
      </c>
      <c r="AN867" s="1" t="str">
        <f>IFERROR(__xludf.DUMMYFUNCTION("""COMPUTED_VALUE"""),"")</f>
        <v/>
      </c>
      <c r="AO867" s="1" t="str">
        <f>IFERROR(__xludf.DUMMYFUNCTION("""COMPUTED_VALUE"""),"")</f>
        <v/>
      </c>
      <c r="AP867" s="1" t="str">
        <f>IFERROR(__xludf.DUMMYFUNCTION("""COMPUTED_VALUE"""),"")</f>
        <v/>
      </c>
      <c r="AQ867" s="1" t="str">
        <f>IFERROR(__xludf.DUMMYFUNCTION("""COMPUTED_VALUE"""),"01/29/2026")</f>
        <v>01/29/2026</v>
      </c>
      <c r="AR867" s="1" t="str">
        <f>IFERROR(__xludf.DUMMYFUNCTION("""COMPUTED_VALUE"""),"06/22/2026")</f>
        <v>06/22/2026</v>
      </c>
    </row>
    <row r="868">
      <c r="A868" s="1" t="str">
        <f>IFERROR(__xludf.DUMMYFUNCTION("""COMPUTED_VALUE"""),"DC Blox: Camp Hall")</f>
        <v>DC Blox: Camp Hall</v>
      </c>
      <c r="B868" s="1" t="str">
        <f>IFERROR(__xludf.DUMMYFUNCTION("""COMPUTED_VALUE"""),"114 Three Point Dr")</f>
        <v>114 Three Point Dr</v>
      </c>
      <c r="C868" s="1" t="str">
        <f>IFERROR(__xludf.DUMMYFUNCTION("""COMPUTED_VALUE"""),"Ridgeville")</f>
        <v>Ridgeville</v>
      </c>
      <c r="D868" s="1" t="str">
        <f>IFERROR(__xludf.DUMMYFUNCTION("""COMPUTED_VALUE"""),"SC")</f>
        <v>SC</v>
      </c>
      <c r="E868" s="1" t="str">
        <f>IFERROR(__xludf.DUMMYFUNCTION("""COMPUTED_VALUE"""),"29472")</f>
        <v>29472</v>
      </c>
      <c r="F868" s="1" t="str">
        <f>IFERROR(__xludf.DUMMYFUNCTION("""COMPUTED_VALUE"""),"Berkeley")</f>
        <v>Berkeley</v>
      </c>
      <c r="G868" s="1" t="str">
        <f>IFERROR(__xludf.DUMMYFUNCTION("""COMPUTED_VALUE"""),"33.13228")</f>
        <v>33.13228</v>
      </c>
      <c r="H868" s="1" t="str">
        <f>IFERROR(__xludf.DUMMYFUNCTION("""COMPUTED_VALUE"""),"-80.2672")</f>
        <v>-80.2672</v>
      </c>
      <c r="I868" s="1" t="str">
        <f>IFERROR(__xludf.DUMMYFUNCTION("""COMPUTED_VALUE"""),"Proposed")</f>
        <v>Proposed</v>
      </c>
      <c r="J868" s="1" t="str">
        <f>IFERROR(__xludf.DUMMYFUNCTION("""COMPUTED_VALUE"""),"Medium")</f>
        <v>Medium</v>
      </c>
      <c r="K868" s="1" t="str">
        <f>IFERROR(__xludf.DUMMYFUNCTION("""COMPUTED_VALUE"""),"")</f>
        <v/>
      </c>
      <c r="L868" s="1" t="str">
        <f>IFERROR(__xludf.DUMMYFUNCTION("""COMPUTED_VALUE"""),"")</f>
        <v/>
      </c>
      <c r="M868" s="1" t="str">
        <f>IFERROR(__xludf.DUMMYFUNCTION("""COMPUTED_VALUE"""),"")</f>
        <v/>
      </c>
      <c r="N868" s="1" t="str">
        <f>IFERROR(__xludf.DUMMYFUNCTION("""COMPUTED_VALUE"""),"45")</f>
        <v>45</v>
      </c>
      <c r="O868" s="1" t="str">
        <f>IFERROR(__xludf.DUMMYFUNCTION("""COMPUTED_VALUE"""),"Medium (11-50 MW)")</f>
        <v>Medium (11-50 MW)</v>
      </c>
      <c r="P868" s="1" t="str">
        <f>IFERROR(__xludf.DUMMYFUNCTION("""COMPUTED_VALUE"""),"")</f>
        <v/>
      </c>
      <c r="Q868" s="1" t="str">
        <f>IFERROR(__xludf.DUMMYFUNCTION("""COMPUTED_VALUE"""),"")</f>
        <v/>
      </c>
      <c r="R868" s="1" t="str">
        <f>IFERROR(__xludf.DUMMYFUNCTION("""COMPUTED_VALUE"""),"")</f>
        <v/>
      </c>
      <c r="S868" s="1" t="str">
        <f>IFERROR(__xludf.DUMMYFUNCTION("""COMPUTED_VALUE"""),"")</f>
        <v/>
      </c>
      <c r="T868" s="1" t="str">
        <f>IFERROR(__xludf.DUMMYFUNCTION("""COMPUTED_VALUE"""),"")</f>
        <v/>
      </c>
      <c r="U868" s="1" t="str">
        <f>IFERROR(__xludf.DUMMYFUNCTION("""COMPUTED_VALUE"""),"")</f>
        <v/>
      </c>
      <c r="V868" s="1" t="str">
        <f>IFERROR(__xludf.DUMMYFUNCTION("""COMPUTED_VALUE"""),"200,000")</f>
        <v>200,000</v>
      </c>
      <c r="W868" s="1" t="str">
        <f>IFERROR(__xludf.DUMMYFUNCTION("""COMPUTED_VALUE"""),"28")</f>
        <v>28</v>
      </c>
      <c r="X868" s="1" t="str">
        <f>IFERROR(__xludf.DUMMYFUNCTION("""COMPUTED_VALUE"""),"")</f>
        <v/>
      </c>
      <c r="Y868" s="1" t="str">
        <f>IFERROR(__xludf.DUMMYFUNCTION("""COMPUTED_VALUE"""),"")</f>
        <v/>
      </c>
      <c r="Z868" s="1" t="str">
        <f>IFERROR(__xludf.DUMMYFUNCTION("""COMPUTED_VALUE"""),"Unknown")</f>
        <v>Unknown</v>
      </c>
      <c r="AA868" s="1" t="str">
        <f>IFERROR(__xludf.DUMMYFUNCTION("""COMPUTED_VALUE"""),"")</f>
        <v/>
      </c>
      <c r="AB868" s="1" t="str">
        <f>IFERROR(__xludf.DUMMYFUNCTION("""COMPUTED_VALUE"""),"")</f>
        <v/>
      </c>
      <c r="AC868" s="1" t="str">
        <f>IFERROR(__xludf.DUMMYFUNCTION("""COMPUTED_VALUE"""),"")</f>
        <v/>
      </c>
      <c r="AD868" s="1" t="str">
        <f>IFERROR(__xludf.DUMMYFUNCTION("""COMPUTED_VALUE"""),"")</f>
        <v/>
      </c>
      <c r="AE868" s="1" t="str">
        <f>IFERROR(__xludf.DUMMYFUNCTION("""COMPUTED_VALUE"""),"")</f>
        <v/>
      </c>
      <c r="AF868" s="1" t="str">
        <f>IFERROR(__xludf.DUMMYFUNCTION("""COMPUTED_VALUE"""),"")</f>
        <v/>
      </c>
      <c r="AG868" s="1" t="str">
        <f>IFERROR(__xludf.DUMMYFUNCTION("""COMPUTED_VALUE"""),"Industrial park")</f>
        <v>Industrial park</v>
      </c>
      <c r="AH868" s="1" t="str">
        <f>IFERROR(__xludf.DUMMYFUNCTION("""COMPUTED_VALUE"""),"Media Monitoring")</f>
        <v>Media Monitoring</v>
      </c>
      <c r="AI868" s="2" t="str">
        <f>IFERROR(__xludf.DUMMYFUNCTION("""COMPUTED_VALUE"""),"https://www.datacenterdynamics.com/en/news/dc-blox-acquires-27-acres-in-south-carolina-for-45mw-data-center-campus/")</f>
        <v>https://www.datacenterdynamics.com/en/news/dc-blox-acquires-27-acres-in-south-carolina-for-45mw-data-center-campus/</v>
      </c>
      <c r="AJ868" s="1" t="str">
        <f>IFERROR(__xludf.DUMMYFUNCTION("""COMPUTED_VALUE"""),"")</f>
        <v/>
      </c>
      <c r="AK868" s="1" t="str">
        <f>IFERROR(__xludf.DUMMYFUNCTION("""COMPUTED_VALUE"""),"")</f>
        <v/>
      </c>
      <c r="AL868" s="1" t="str">
        <f>IFERROR(__xludf.DUMMYFUNCTION("""COMPUTED_VALUE"""),"")</f>
        <v/>
      </c>
      <c r="AM868" s="1" t="str">
        <f>IFERROR(__xludf.DUMMYFUNCTION("""COMPUTED_VALUE"""),"")</f>
        <v/>
      </c>
      <c r="AN868" s="1" t="str">
        <f>IFERROR(__xludf.DUMMYFUNCTION("""COMPUTED_VALUE"""),"")</f>
        <v/>
      </c>
      <c r="AO868" s="1" t="str">
        <f>IFERROR(__xludf.DUMMYFUNCTION("""COMPUTED_VALUE"""),"")</f>
        <v/>
      </c>
      <c r="AP868" s="1" t="str">
        <f>IFERROR(__xludf.DUMMYFUNCTION("""COMPUTED_VALUE"""),"")</f>
        <v/>
      </c>
      <c r="AQ868" s="1" t="str">
        <f>IFERROR(__xludf.DUMMYFUNCTION("""COMPUTED_VALUE"""),"08/25/2025")</f>
        <v>08/25/2025</v>
      </c>
      <c r="AR868" s="1" t="str">
        <f>IFERROR(__xludf.DUMMYFUNCTION("""COMPUTED_VALUE"""),"08/25/2025")</f>
        <v>08/25/2025</v>
      </c>
    </row>
    <row r="869">
      <c r="A869" s="1" t="str">
        <f>IFERROR(__xludf.DUMMYFUNCTION("""COMPUTED_VALUE"""),"York 1 Data Center")</f>
        <v>York 1 Data Center</v>
      </c>
      <c r="B869" s="1" t="str">
        <f>IFERROR(__xludf.DUMMYFUNCTION("""COMPUTED_VALUE"""),"2107 Hands Mill Hwy")</f>
        <v>2107 Hands Mill Hwy</v>
      </c>
      <c r="C869" s="1" t="str">
        <f>IFERROR(__xludf.DUMMYFUNCTION("""COMPUTED_VALUE"""),"Rock Hill")</f>
        <v>Rock Hill</v>
      </c>
      <c r="D869" s="1" t="str">
        <f>IFERROR(__xludf.DUMMYFUNCTION("""COMPUTED_VALUE"""),"SC")</f>
        <v>SC</v>
      </c>
      <c r="E869" s="1" t="str">
        <f>IFERROR(__xludf.DUMMYFUNCTION("""COMPUTED_VALUE"""),"29732")</f>
        <v>29732</v>
      </c>
      <c r="F869" s="1" t="str">
        <f>IFERROR(__xludf.DUMMYFUNCTION("""COMPUTED_VALUE"""),"York")</f>
        <v>York</v>
      </c>
      <c r="G869" s="1" t="str">
        <f>IFERROR(__xludf.DUMMYFUNCTION("""COMPUTED_VALUE"""),"35.03438")</f>
        <v>35.03438</v>
      </c>
      <c r="H869" s="1" t="str">
        <f>IFERROR(__xludf.DUMMYFUNCTION("""COMPUTED_VALUE"""),"-81.1071")</f>
        <v>-81.1071</v>
      </c>
      <c r="I869" s="1" t="str">
        <f>IFERROR(__xludf.DUMMYFUNCTION("""COMPUTED_VALUE"""),"Operating")</f>
        <v>Operating</v>
      </c>
      <c r="J869" s="1" t="str">
        <f>IFERROR(__xludf.DUMMYFUNCTION("""COMPUTED_VALUE"""),"High")</f>
        <v>High</v>
      </c>
      <c r="K869" s="1" t="str">
        <f>IFERROR(__xludf.DUMMYFUNCTION("""COMPUTED_VALUE"""),"")</f>
        <v/>
      </c>
      <c r="L869" s="1" t="str">
        <f>IFERROR(__xludf.DUMMYFUNCTION("""COMPUTED_VALUE"""),"")</f>
        <v/>
      </c>
      <c r="M869" s="1" t="str">
        <f>IFERROR(__xludf.DUMMYFUNCTION("""COMPUTED_VALUE"""),"")</f>
        <v/>
      </c>
      <c r="N869" s="1" t="str">
        <f>IFERROR(__xludf.DUMMYFUNCTION("""COMPUTED_VALUE"""),"")</f>
        <v/>
      </c>
      <c r="O869" s="1" t="str">
        <f>IFERROR(__xludf.DUMMYFUNCTION("""COMPUTED_VALUE"""),"Unknown")</f>
        <v>Unknown</v>
      </c>
      <c r="P869" s="1" t="str">
        <f>IFERROR(__xludf.DUMMYFUNCTION("""COMPUTED_VALUE"""),"")</f>
        <v/>
      </c>
      <c r="Q869" s="1" t="str">
        <f>IFERROR(__xludf.DUMMYFUNCTION("""COMPUTED_VALUE"""),"")</f>
        <v/>
      </c>
      <c r="R869" s="1" t="str">
        <f>IFERROR(__xludf.DUMMYFUNCTION("""COMPUTED_VALUE"""),"")</f>
        <v/>
      </c>
      <c r="S869" s="1" t="str">
        <f>IFERROR(__xludf.DUMMYFUNCTION("""COMPUTED_VALUE"""),"")</f>
        <v/>
      </c>
      <c r="T869" s="1" t="str">
        <f>IFERROR(__xludf.DUMMYFUNCTION("""COMPUTED_VALUE"""),"")</f>
        <v/>
      </c>
      <c r="U869" s="1" t="str">
        <f>IFERROR(__xludf.DUMMYFUNCTION("""COMPUTED_VALUE"""),"")</f>
        <v/>
      </c>
      <c r="V869" s="1" t="str">
        <f>IFERROR(__xludf.DUMMYFUNCTION("""COMPUTED_VALUE"""),"")</f>
        <v/>
      </c>
      <c r="W869" s="1" t="str">
        <f>IFERROR(__xludf.DUMMYFUNCTION("""COMPUTED_VALUE"""),"")</f>
        <v/>
      </c>
      <c r="X869" s="1" t="str">
        <f>IFERROR(__xludf.DUMMYFUNCTION("""COMPUTED_VALUE"""),"$1 billion")</f>
        <v>$1 billion</v>
      </c>
      <c r="Y869" s="1" t="str">
        <f>IFERROR(__xludf.DUMMYFUNCTION("""COMPUTED_VALUE"""),"")</f>
        <v/>
      </c>
      <c r="Z869" s="1" t="str">
        <f>IFERROR(__xludf.DUMMYFUNCTION("""COMPUTED_VALUE"""),"Unknown")</f>
        <v>Unknown</v>
      </c>
      <c r="AA869" s="1" t="str">
        <f>IFERROR(__xludf.DUMMYFUNCTION("""COMPUTED_VALUE"""),"")</f>
        <v/>
      </c>
      <c r="AB869" s="1" t="str">
        <f>IFERROR(__xludf.DUMMYFUNCTION("""COMPUTED_VALUE"""),"")</f>
        <v/>
      </c>
      <c r="AC869" s="1" t="str">
        <f>IFERROR(__xludf.DUMMYFUNCTION("""COMPUTED_VALUE"""),"")</f>
        <v/>
      </c>
      <c r="AD869" s="1" t="str">
        <f>IFERROR(__xludf.DUMMYFUNCTION("""COMPUTED_VALUE"""),"")</f>
        <v/>
      </c>
      <c r="AE869" s="1" t="str">
        <f>IFERROR(__xludf.DUMMYFUNCTION("""COMPUTED_VALUE"""),"")</f>
        <v/>
      </c>
      <c r="AF869" s="1" t="str">
        <f>IFERROR(__xludf.DUMMYFUNCTION("""COMPUTED_VALUE"""),"")</f>
        <v/>
      </c>
      <c r="AG869" s="1" t="str">
        <f>IFERROR(__xludf.DUMMYFUNCTION("""COMPUTED_VALUE"""),"")</f>
        <v/>
      </c>
      <c r="AH869" s="1" t="str">
        <f>IFERROR(__xludf.DUMMYFUNCTION("""COMPUTED_VALUE"""),"Media Monitoring")</f>
        <v>Media Monitoring</v>
      </c>
      <c r="AI869" s="1" t="str">
        <f>IFERROR(__xludf.DUMMYFUNCTION("""COMPUTED_VALUE"""),"")</f>
        <v/>
      </c>
      <c r="AJ869" s="1" t="str">
        <f>IFERROR(__xludf.DUMMYFUNCTION("""COMPUTED_VALUE"""),"")</f>
        <v/>
      </c>
      <c r="AK869" s="1" t="str">
        <f>IFERROR(__xludf.DUMMYFUNCTION("""COMPUTED_VALUE"""),"")</f>
        <v/>
      </c>
      <c r="AL869" s="1" t="str">
        <f>IFERROR(__xludf.DUMMYFUNCTION("""COMPUTED_VALUE"""),"")</f>
        <v/>
      </c>
      <c r="AM869" s="1" t="str">
        <f>IFERROR(__xludf.DUMMYFUNCTION("""COMPUTED_VALUE"""),"")</f>
        <v/>
      </c>
      <c r="AN869" s="1" t="str">
        <f>IFERROR(__xludf.DUMMYFUNCTION("""COMPUTED_VALUE"""),"")</f>
        <v/>
      </c>
      <c r="AO869" s="1" t="str">
        <f>IFERROR(__xludf.DUMMYFUNCTION("""COMPUTED_VALUE"""),"")</f>
        <v/>
      </c>
      <c r="AP869" s="1" t="str">
        <f>IFERROR(__xludf.DUMMYFUNCTION("""COMPUTED_VALUE"""),"")</f>
        <v/>
      </c>
      <c r="AQ869" s="1" t="str">
        <f>IFERROR(__xludf.DUMMYFUNCTION("""COMPUTED_VALUE"""),"05/24/2025")</f>
        <v>05/24/2025</v>
      </c>
      <c r="AR869" s="1" t="str">
        <f>IFERROR(__xludf.DUMMYFUNCTION("""COMPUTED_VALUE"""),"05/24/2025")</f>
        <v>05/24/2025</v>
      </c>
    </row>
    <row r="870">
      <c r="A870" s="1" t="str">
        <f>IFERROR(__xludf.DUMMYFUNCTION("""COMPUTED_VALUE"""),"Project Alpaca")</f>
        <v>Project Alpaca</v>
      </c>
      <c r="B870" s="1" t="str">
        <f>IFERROR(__xludf.DUMMYFUNCTION("""COMPUTED_VALUE"""),"Midway Green Industrial Park, 265 Midway Drive")</f>
        <v>Midway Green Industrial Park, 265 Midway Drive</v>
      </c>
      <c r="C870" s="1" t="str">
        <f>IFERROR(__xludf.DUMMYFUNCTION("""COMPUTED_VALUE"""),"Union")</f>
        <v>Union</v>
      </c>
      <c r="D870" s="1" t="str">
        <f>IFERROR(__xludf.DUMMYFUNCTION("""COMPUTED_VALUE"""),"SC")</f>
        <v>SC</v>
      </c>
      <c r="E870" s="1" t="str">
        <f>IFERROR(__xludf.DUMMYFUNCTION("""COMPUTED_VALUE"""),"29379")</f>
        <v>29379</v>
      </c>
      <c r="F870" s="1" t="str">
        <f>IFERROR(__xludf.DUMMYFUNCTION("""COMPUTED_VALUE"""),"Union")</f>
        <v>Union</v>
      </c>
      <c r="G870" s="1" t="str">
        <f>IFERROR(__xludf.DUMMYFUNCTION("""COMPUTED_VALUE"""),"34.709877")</f>
        <v>34.709877</v>
      </c>
      <c r="H870" s="1" t="str">
        <f>IFERROR(__xludf.DUMMYFUNCTION("""COMPUTED_VALUE"""),"-81.664665")</f>
        <v>-81.664665</v>
      </c>
      <c r="I870" s="1" t="str">
        <f>IFERROR(__xludf.DUMMYFUNCTION("""COMPUTED_VALUE"""),"Proposed")</f>
        <v>Proposed</v>
      </c>
      <c r="J870" s="1" t="str">
        <f>IFERROR(__xludf.DUMMYFUNCTION("""COMPUTED_VALUE"""),"High")</f>
        <v>High</v>
      </c>
      <c r="K870" s="1" t="str">
        <f>IFERROR(__xludf.DUMMYFUNCTION("""COMPUTED_VALUE"""),"")</f>
        <v/>
      </c>
      <c r="L870" s="1" t="str">
        <f>IFERROR(__xludf.DUMMYFUNCTION("""COMPUTED_VALUE"""),"Volt Edge Energy")</f>
        <v>Volt Edge Energy</v>
      </c>
      <c r="M870" s="1" t="str">
        <f>IFERROR(__xludf.DUMMYFUNCTION("""COMPUTED_VALUE"""),"")</f>
        <v/>
      </c>
      <c r="N870" s="1" t="str">
        <f>IFERROR(__xludf.DUMMYFUNCTION("""COMPUTED_VALUE"""),"49")</f>
        <v>49</v>
      </c>
      <c r="O870" s="1" t="str">
        <f>IFERROR(__xludf.DUMMYFUNCTION("""COMPUTED_VALUE"""),"Medium (11-50 MW)")</f>
        <v>Medium (11-50 MW)</v>
      </c>
      <c r="P870" s="1" t="str">
        <f>IFERROR(__xludf.DUMMYFUNCTION("""COMPUTED_VALUE"""),"")</f>
        <v/>
      </c>
      <c r="Q870" s="1" t="str">
        <f>IFERROR(__xludf.DUMMYFUNCTION("""COMPUTED_VALUE"""),"")</f>
        <v/>
      </c>
      <c r="R870" s="1" t="str">
        <f>IFERROR(__xludf.DUMMYFUNCTION("""COMPUTED_VALUE"""),"")</f>
        <v/>
      </c>
      <c r="S870" s="1" t="str">
        <f>IFERROR(__xludf.DUMMYFUNCTION("""COMPUTED_VALUE"""),"")</f>
        <v/>
      </c>
      <c r="T870" s="1" t="str">
        <f>IFERROR(__xludf.DUMMYFUNCTION("""COMPUTED_VALUE"""),"")</f>
        <v/>
      </c>
      <c r="U870" s="1" t="str">
        <f>IFERROR(__xludf.DUMMYFUNCTION("""COMPUTED_VALUE"""),"")</f>
        <v/>
      </c>
      <c r="V870" s="1" t="str">
        <f>IFERROR(__xludf.DUMMYFUNCTION("""COMPUTED_VALUE"""),"")</f>
        <v/>
      </c>
      <c r="W870" s="1" t="str">
        <f>IFERROR(__xludf.DUMMYFUNCTION("""COMPUTED_VALUE"""),"")</f>
        <v/>
      </c>
      <c r="X870" s="1" t="str">
        <f>IFERROR(__xludf.DUMMYFUNCTION("""COMPUTED_VALUE"""),"$410 million")</f>
        <v>$410 million</v>
      </c>
      <c r="Y870" s="1" t="str">
        <f>IFERROR(__xludf.DUMMYFUNCTION("""COMPUTED_VALUE"""),"2027")</f>
        <v>2027</v>
      </c>
      <c r="Z870" s="1" t="str">
        <f>IFERROR(__xludf.DUMMYFUNCTION("""COMPUTED_VALUE"""),"Yes")</f>
        <v>Yes</v>
      </c>
      <c r="AA870" s="1" t="str">
        <f>IFERROR(__xludf.DUMMYFUNCTION("""COMPUTED_VALUE"""),"")</f>
        <v/>
      </c>
      <c r="AB870" s="1" t="str">
        <f>IFERROR(__xludf.DUMMYFUNCTION("""COMPUTED_VALUE"""),"")</f>
        <v/>
      </c>
      <c r="AC870" s="1" t="str">
        <f>IFERROR(__xludf.DUMMYFUNCTION("""COMPUTED_VALUE"""),"")</f>
        <v/>
      </c>
      <c r="AD870" s="1" t="str">
        <f>IFERROR(__xludf.DUMMYFUNCTION("""COMPUTED_VALUE"""),"")</f>
        <v/>
      </c>
      <c r="AE870" s="1" t="str">
        <f>IFERROR(__xludf.DUMMYFUNCTION("""COMPUTED_VALUE"""),"")</f>
        <v/>
      </c>
      <c r="AF870" s="2" t="str">
        <f>IFERROR(__xludf.DUMMYFUNCTION("""COMPUTED_VALUE"""),"https://www.change.org/p/halt-new-data-center-approvals-in-union-sc")</f>
        <v>https://www.change.org/p/halt-new-data-center-approvals-in-union-sc</v>
      </c>
      <c r="AG870" s="1" t="str">
        <f>IFERROR(__xludf.DUMMYFUNCTION("""COMPUTED_VALUE"""),"")</f>
        <v/>
      </c>
      <c r="AH870" s="1" t="str">
        <f>IFERROR(__xludf.DUMMYFUNCTION("""COMPUTED_VALUE"""),"Crowdsourced")</f>
        <v>Crowdsourced</v>
      </c>
      <c r="AI870" s="2" t="str">
        <f>IFERROR(__xludf.DUMMYFUNCTION("""COMPUTED_VALUE"""),"https://cleanview.co/news/data-centers/volt-edge-energy-announces-49-mw-volt-edge-energy-project-alpaca-in-sc-20260417")</f>
        <v>https://cleanview.co/news/data-centers/volt-edge-energy-announces-49-mw-volt-edge-energy-project-alpaca-in-sc-20260417</v>
      </c>
      <c r="AJ870" s="2" t="str">
        <f>IFERROR(__xludf.DUMMYFUNCTION("""COMPUTED_VALUE"""),"https://www.wspa.com/news/residents-officials-react-to-proposed-data-center-in-union-county/")</f>
        <v>https://www.wspa.com/news/residents-officials-react-to-proposed-data-center-in-union-county/</v>
      </c>
      <c r="AK870" s="2" t="str">
        <f>IFERROR(__xludf.DUMMYFUNCTION("""COMPUTED_VALUE"""),"https://uniondevelopmentboard.com/union-midway-industrial-park/")</f>
        <v>https://uniondevelopmentboard.com/union-midway-industrial-park/</v>
      </c>
      <c r="AL870" s="1" t="str">
        <f>IFERROR(__xludf.DUMMYFUNCTION("""COMPUTED_VALUE"""),"")</f>
        <v/>
      </c>
      <c r="AM870" s="1" t="str">
        <f>IFERROR(__xludf.DUMMYFUNCTION("""COMPUTED_VALUE"""),"")</f>
        <v/>
      </c>
      <c r="AN870" s="1" t="str">
        <f>IFERROR(__xludf.DUMMYFUNCTION("""COMPUTED_VALUE"""),"")</f>
        <v/>
      </c>
      <c r="AO870" s="1" t="str">
        <f>IFERROR(__xludf.DUMMYFUNCTION("""COMPUTED_VALUE"""),"")</f>
        <v/>
      </c>
      <c r="AP870" s="1" t="str">
        <f>IFERROR(__xludf.DUMMYFUNCTION("""COMPUTED_VALUE"""),"")</f>
        <v/>
      </c>
      <c r="AQ870" s="1" t="str">
        <f>IFERROR(__xludf.DUMMYFUNCTION("""COMPUTED_VALUE"""),"04/20/2026")</f>
        <v>04/20/2026</v>
      </c>
      <c r="AR870" s="1" t="str">
        <f>IFERROR(__xludf.DUMMYFUNCTION("""COMPUTED_VALUE"""),"04/20/2026")</f>
        <v>04/20/2026</v>
      </c>
    </row>
    <row r="871">
      <c r="A871" s="1" t="str">
        <f>IFERROR(__xludf.DUMMYFUNCTION("""COMPUTED_VALUE"""),"Walterboro Data Center")</f>
        <v>Walterboro Data Center</v>
      </c>
      <c r="B871" s="1" t="str">
        <f>IFERROR(__xludf.DUMMYFUNCTION("""COMPUTED_VALUE"""),"Near Cooks Hill Rd")</f>
        <v>Near Cooks Hill Rd</v>
      </c>
      <c r="C871" s="1" t="str">
        <f>IFERROR(__xludf.DUMMYFUNCTION("""COMPUTED_VALUE"""),"Walterboro")</f>
        <v>Walterboro</v>
      </c>
      <c r="D871" s="1" t="str">
        <f>IFERROR(__xludf.DUMMYFUNCTION("""COMPUTED_VALUE"""),"SC")</f>
        <v>SC</v>
      </c>
      <c r="E871" s="1" t="str">
        <f>IFERROR(__xludf.DUMMYFUNCTION("""COMPUTED_VALUE"""),"29488")</f>
        <v>29488</v>
      </c>
      <c r="F871" s="1" t="str">
        <f>IFERROR(__xludf.DUMMYFUNCTION("""COMPUTED_VALUE"""),"Colleton")</f>
        <v>Colleton</v>
      </c>
      <c r="G871" s="1" t="str">
        <f>IFERROR(__xludf.DUMMYFUNCTION("""COMPUTED_VALUE"""),"32.84068")</f>
        <v>32.84068</v>
      </c>
      <c r="H871" s="1" t="str">
        <f>IFERROR(__xludf.DUMMYFUNCTION("""COMPUTED_VALUE"""),"-80.60291")</f>
        <v>-80.60291</v>
      </c>
      <c r="I871" s="1" t="str">
        <f>IFERROR(__xludf.DUMMYFUNCTION("""COMPUTED_VALUE"""),"Proposed")</f>
        <v>Proposed</v>
      </c>
      <c r="J871" s="1" t="str">
        <f>IFERROR(__xludf.DUMMYFUNCTION("""COMPUTED_VALUE"""),"High")</f>
        <v>High</v>
      </c>
      <c r="K871" s="1" t="str">
        <f>IFERROR(__xludf.DUMMYFUNCTION("""COMPUTED_VALUE"""),"AI")</f>
        <v>AI</v>
      </c>
      <c r="L871" s="1" t="str">
        <f>IFERROR(__xludf.DUMMYFUNCTION("""COMPUTED_VALUE"""),"Eagle Rock Partners")</f>
        <v>Eagle Rock Partners</v>
      </c>
      <c r="M871" s="1" t="str">
        <f>IFERROR(__xludf.DUMMYFUNCTION("""COMPUTED_VALUE"""),"")</f>
        <v/>
      </c>
      <c r="N871" s="1" t="str">
        <f>IFERROR(__xludf.DUMMYFUNCTION("""COMPUTED_VALUE"""),"1,000")</f>
        <v>1,000</v>
      </c>
      <c r="O871" s="1" t="str">
        <f>IFERROR(__xludf.DUMMYFUNCTION("""COMPUTED_VALUE"""),"Mega campus (&gt;1,000 MW)")</f>
        <v>Mega campus (&gt;1,000 MW)</v>
      </c>
      <c r="P871" s="1" t="str">
        <f>IFERROR(__xludf.DUMMYFUNCTION("""COMPUTED_VALUE"""),"Grid (unspecified mix)")</f>
        <v>Grid (unspecified mix)</v>
      </c>
      <c r="Q871" s="1" t="str">
        <f>IFERROR(__xludf.DUMMYFUNCTION("""COMPUTED_VALUE"""),"")</f>
        <v/>
      </c>
      <c r="R871" s="1" t="str">
        <f>IFERROR(__xludf.DUMMYFUNCTION("""COMPUTED_VALUE"""),"")</f>
        <v/>
      </c>
      <c r="S871" s="1" t="str">
        <f>IFERROR(__xludf.DUMMYFUNCTION("""COMPUTED_VALUE"""),"9")</f>
        <v>9</v>
      </c>
      <c r="T871" s="1" t="str">
        <f>IFERROR(__xludf.DUMMYFUNCTION("""COMPUTED_VALUE"""),"")</f>
        <v/>
      </c>
      <c r="U871" s="1" t="str">
        <f>IFERROR(__xludf.DUMMYFUNCTION("""COMPUTED_VALUE"""),"")</f>
        <v/>
      </c>
      <c r="V871" s="1" t="str">
        <f>IFERROR(__xludf.DUMMYFUNCTION("""COMPUTED_VALUE"""),"")</f>
        <v/>
      </c>
      <c r="W871" s="1" t="str">
        <f>IFERROR(__xludf.DUMMYFUNCTION("""COMPUTED_VALUE"""),"859")</f>
        <v>859</v>
      </c>
      <c r="X871" s="1" t="str">
        <f>IFERROR(__xludf.DUMMYFUNCTION("""COMPUTED_VALUE"""),"$6 billion")</f>
        <v>$6 billion</v>
      </c>
      <c r="Y871" s="1" t="str">
        <f>IFERROR(__xludf.DUMMYFUNCTION("""COMPUTED_VALUE"""),"")</f>
        <v/>
      </c>
      <c r="Z871" s="1" t="str">
        <f>IFERROR(__xludf.DUMMYFUNCTION("""COMPUTED_VALUE"""),"Yes")</f>
        <v>Yes</v>
      </c>
      <c r="AA871" s="1" t="str">
        <f>IFERROR(__xludf.DUMMYFUNCTION("""COMPUTED_VALUE"""),"https://scdailygazette.com/2025/12/19/gigawatt-data-center-proposal-draws-opposition-from-sc-lowcountry-residents-politicians/
https://abcnews4.com/news/local/proposed-data-center-in-colleton-county-faces-environmental-pushback
https://www.live5news.com"&amp;"/2025/12/15/9-new-data-centers-proposed-colleton-county/
")</f>
        <v>https://scdailygazette.com/2025/12/19/gigawatt-data-center-proposal-draws-opposition-from-sc-lowcountry-residents-politicians/
https://abcnews4.com/news/local/proposed-data-center-in-colleton-county-faces-environmental-pushback
https://www.live5news.com/2025/12/15/9-new-data-centers-proposed-colleton-county/
</v>
      </c>
      <c r="AB871" s="1" t="str">
        <f>IFERROR(__xludf.DUMMYFUNCTION("""COMPUTED_VALUE"""),"")</f>
        <v/>
      </c>
      <c r="AC871" s="1" t="str">
        <f>IFERROR(__xludf.DUMMYFUNCTION("""COMPUTED_VALUE"""),"")</f>
        <v/>
      </c>
      <c r="AD871" s="1" t="str">
        <f>IFERROR(__xludf.DUMMYFUNCTION("""COMPUTED_VALUE"""),"")</f>
        <v/>
      </c>
      <c r="AE871" s="1" t="str">
        <f>IFERROR(__xludf.DUMMYFUNCTION("""COMPUTED_VALUE"""),"")</f>
        <v/>
      </c>
      <c r="AF871" s="2" t="str">
        <f>IFERROR(__xludf.DUMMYFUNCTION("""COMPUTED_VALUE"""),"https://www.change.org/p/stop-the-data-center-from-coming-to-walterboro-sc")</f>
        <v>https://www.change.org/p/stop-the-data-center-from-coming-to-walterboro-sc</v>
      </c>
      <c r="AG871" s="1" t="str">
        <f>IFERROR(__xludf.DUMMYFUNCTION("""COMPUTED_VALUE"""),"Location is within the ecologically important ACE Basin watershed. Application for rezoning pending. Part of parcel 209-00-00-001")</f>
        <v>Location is within the ecologically important ACE Basin watershed. Application for rezoning pending. Part of parcel 209-00-00-001</v>
      </c>
      <c r="AH871" s="1" t="str">
        <f>IFERROR(__xludf.DUMMYFUNCTION("""COMPUTED_VALUE"""),"Media Monitoring")</f>
        <v>Media Monitoring</v>
      </c>
      <c r="AI871" s="2" t="str">
        <f>IFERROR(__xludf.DUMMYFUNCTION("""COMPUTED_VALUE"""),"https://www.live5news.com/2025/12/15/9-new-data-centers-proposed-colleton-county/")</f>
        <v>https://www.live5news.com/2025/12/15/9-new-data-centers-proposed-colleton-county/</v>
      </c>
      <c r="AJ871" s="2" t="str">
        <f>IFERROR(__xludf.DUMMYFUNCTION("""COMPUTED_VALUE"""),"https://scdailygazette.com/2025/12/19/gigawatt-data-center-proposal-draws-opposition-from-sc-lowcountry-residents-politicians/")</f>
        <v>https://scdailygazette.com/2025/12/19/gigawatt-data-center-proposal-draws-opposition-from-sc-lowcountry-residents-politicians/</v>
      </c>
      <c r="AK871" s="2" t="str">
        <f>IFERROR(__xludf.DUMMYFUNCTION("""COMPUTED_VALUE"""),"https://colletoncounty.maps.arcgis.com/apps/webappviewer/index.html?id=dcd2d7443dc9448ea910b9788a2c6b05")</f>
        <v>https://colletoncounty.maps.arcgis.com/apps/webappviewer/index.html?id=dcd2d7443dc9448ea910b9788a2c6b05</v>
      </c>
      <c r="AL871" s="2" t="str">
        <f>IFERROR(__xludf.DUMMYFUNCTION("""COMPUTED_VALUE"""),"https://abcnews4.com/news/local/proposed-data-center-in-colleton-county-faces-environmental-pushback")</f>
        <v>https://abcnews4.com/news/local/proposed-data-center-in-colleton-county-faces-environmental-pushback</v>
      </c>
      <c r="AM871" s="1" t="str">
        <f>IFERROR(__xludf.DUMMYFUNCTION("""COMPUTED_VALUE"""),"")</f>
        <v/>
      </c>
      <c r="AN871" s="1" t="str">
        <f>IFERROR(__xludf.DUMMYFUNCTION("""COMPUTED_VALUE"""),"")</f>
        <v/>
      </c>
      <c r="AO871" s="1" t="str">
        <f>IFERROR(__xludf.DUMMYFUNCTION("""COMPUTED_VALUE"""),"")</f>
        <v/>
      </c>
      <c r="AP871" s="1" t="str">
        <f>IFERROR(__xludf.DUMMYFUNCTION("""COMPUTED_VALUE"""),"")</f>
        <v/>
      </c>
      <c r="AQ871" s="1" t="str">
        <f>IFERROR(__xludf.DUMMYFUNCTION("""COMPUTED_VALUE"""),"01/04/2026")</f>
        <v>01/04/2026</v>
      </c>
      <c r="AR871" s="1" t="str">
        <f>IFERROR(__xludf.DUMMYFUNCTION("""COMPUTED_VALUE"""),"03/17/2026")</f>
        <v>03/17/2026</v>
      </c>
    </row>
    <row r="872">
      <c r="A872" s="1" t="str">
        <f>IFERROR(__xludf.DUMMYFUNCTION("""COMPUTED_VALUE"""),"Sequitor Edge Data Center")</f>
        <v>Sequitor Edge Data Center</v>
      </c>
      <c r="B872" s="1" t="str">
        <f>IFERROR(__xludf.DUMMYFUNCTION("""COMPUTED_VALUE"""),"South of Hwy 16")</f>
        <v>South of Hwy 16</v>
      </c>
      <c r="C872" s="1" t="str">
        <f>IFERROR(__xludf.DUMMYFUNCTION("""COMPUTED_VALUE"""),"Rapid City")</f>
        <v>Rapid City</v>
      </c>
      <c r="D872" s="1" t="str">
        <f>IFERROR(__xludf.DUMMYFUNCTION("""COMPUTED_VALUE"""),"SD")</f>
        <v>SD</v>
      </c>
      <c r="E872" s="1" t="str">
        <f>IFERROR(__xludf.DUMMYFUNCTION("""COMPUTED_VALUE"""),"57702")</f>
        <v>57702</v>
      </c>
      <c r="F872" s="1" t="str">
        <f>IFERROR(__xludf.DUMMYFUNCTION("""COMPUTED_VALUE"""),"Pennington")</f>
        <v>Pennington</v>
      </c>
      <c r="G872" s="1" t="str">
        <f>IFERROR(__xludf.DUMMYFUNCTION("""COMPUTED_VALUE"""),"44.03367")</f>
        <v>44.03367</v>
      </c>
      <c r="H872" s="1" t="str">
        <f>IFERROR(__xludf.DUMMYFUNCTION("""COMPUTED_VALUE"""),"-103.18849")</f>
        <v>-103.18849</v>
      </c>
      <c r="I872" s="1" t="str">
        <f>IFERROR(__xludf.DUMMYFUNCTION("""COMPUTED_VALUE"""),"Proposed")</f>
        <v>Proposed</v>
      </c>
      <c r="J872" s="1" t="str">
        <f>IFERROR(__xludf.DUMMYFUNCTION("""COMPUTED_VALUE"""),"Medium")</f>
        <v>Medium</v>
      </c>
      <c r="K872" s="1" t="str">
        <f>IFERROR(__xludf.DUMMYFUNCTION("""COMPUTED_VALUE"""),"")</f>
        <v/>
      </c>
      <c r="L872" s="1" t="str">
        <f>IFERROR(__xludf.DUMMYFUNCTION("""COMPUTED_VALUE"""),"")</f>
        <v/>
      </c>
      <c r="M872" s="1" t="str">
        <f>IFERROR(__xludf.DUMMYFUNCTION("""COMPUTED_VALUE"""),"")</f>
        <v/>
      </c>
      <c r="N872" s="1" t="str">
        <f>IFERROR(__xludf.DUMMYFUNCTION("""COMPUTED_VALUE"""),"2")</f>
        <v>2</v>
      </c>
      <c r="O872" s="1" t="str">
        <f>IFERROR(__xludf.DUMMYFUNCTION("""COMPUTED_VALUE"""),"Small (0-10 MW)")</f>
        <v>Small (0-10 MW)</v>
      </c>
      <c r="P872" s="1" t="str">
        <f>IFERROR(__xludf.DUMMYFUNCTION("""COMPUTED_VALUE"""),"")</f>
        <v/>
      </c>
      <c r="Q872" s="1" t="str">
        <f>IFERROR(__xludf.DUMMYFUNCTION("""COMPUTED_VALUE"""),"")</f>
        <v/>
      </c>
      <c r="R872" s="1" t="str">
        <f>IFERROR(__xludf.DUMMYFUNCTION("""COMPUTED_VALUE"""),"")</f>
        <v/>
      </c>
      <c r="S872" s="1" t="str">
        <f>IFERROR(__xludf.DUMMYFUNCTION("""COMPUTED_VALUE"""),"")</f>
        <v/>
      </c>
      <c r="T872" s="1" t="str">
        <f>IFERROR(__xludf.DUMMYFUNCTION("""COMPUTED_VALUE"""),"")</f>
        <v/>
      </c>
      <c r="U872" s="1" t="str">
        <f>IFERROR(__xludf.DUMMYFUNCTION("""COMPUTED_VALUE"""),"")</f>
        <v/>
      </c>
      <c r="V872" s="1" t="str">
        <f>IFERROR(__xludf.DUMMYFUNCTION("""COMPUTED_VALUE"""),"30,000")</f>
        <v>30,000</v>
      </c>
      <c r="W872" s="1" t="str">
        <f>IFERROR(__xludf.DUMMYFUNCTION("""COMPUTED_VALUE"""),"10")</f>
        <v>10</v>
      </c>
      <c r="X872" s="1" t="str">
        <f>IFERROR(__xludf.DUMMYFUNCTION("""COMPUTED_VALUE"""),"")</f>
        <v/>
      </c>
      <c r="Y872" s="1" t="str">
        <f>IFERROR(__xludf.DUMMYFUNCTION("""COMPUTED_VALUE"""),"")</f>
        <v/>
      </c>
      <c r="Z872" s="1" t="str">
        <f>IFERROR(__xludf.DUMMYFUNCTION("""COMPUTED_VALUE"""),"Unknown")</f>
        <v>Unknown</v>
      </c>
      <c r="AA872" s="1" t="str">
        <f>IFERROR(__xludf.DUMMYFUNCTION("""COMPUTED_VALUE"""),"")</f>
        <v/>
      </c>
      <c r="AB872" s="1" t="str">
        <f>IFERROR(__xludf.DUMMYFUNCTION("""COMPUTED_VALUE"""),"")</f>
        <v/>
      </c>
      <c r="AC872" s="1" t="str">
        <f>IFERROR(__xludf.DUMMYFUNCTION("""COMPUTED_VALUE"""),"")</f>
        <v/>
      </c>
      <c r="AD872" s="1" t="str">
        <f>IFERROR(__xludf.DUMMYFUNCTION("""COMPUTED_VALUE"""),"")</f>
        <v/>
      </c>
      <c r="AE872" s="1" t="str">
        <f>IFERROR(__xludf.DUMMYFUNCTION("""COMPUTED_VALUE"""),"")</f>
        <v/>
      </c>
      <c r="AF872" s="1" t="str">
        <f>IFERROR(__xludf.DUMMYFUNCTION("""COMPUTED_VALUE"""),"")</f>
        <v/>
      </c>
      <c r="AG872" s="1" t="str">
        <f>IFERROR(__xludf.DUMMYFUNCTION("""COMPUTED_VALUE"""),"")</f>
        <v/>
      </c>
      <c r="AH872" s="1" t="str">
        <f>IFERROR(__xludf.DUMMYFUNCTION("""COMPUTED_VALUE"""),"Media Monitoring")</f>
        <v>Media Monitoring</v>
      </c>
      <c r="AI872" s="2" t="str">
        <f>IFERROR(__xludf.DUMMYFUNCTION("""COMPUTED_VALUE"""),"https://www.datacenterdynamics.com/en/news/sequitor-edge-targets-2mw-facility-in-rapid-city-south-dakota/")</f>
        <v>https://www.datacenterdynamics.com/en/news/sequitor-edge-targets-2mw-facility-in-rapid-city-south-dakota/</v>
      </c>
      <c r="AJ872" s="1" t="str">
        <f>IFERROR(__xludf.DUMMYFUNCTION("""COMPUTED_VALUE"""),"")</f>
        <v/>
      </c>
      <c r="AK872" s="1" t="str">
        <f>IFERROR(__xludf.DUMMYFUNCTION("""COMPUTED_VALUE"""),"")</f>
        <v/>
      </c>
      <c r="AL872" s="1" t="str">
        <f>IFERROR(__xludf.DUMMYFUNCTION("""COMPUTED_VALUE"""),"")</f>
        <v/>
      </c>
      <c r="AM872" s="1" t="str">
        <f>IFERROR(__xludf.DUMMYFUNCTION("""COMPUTED_VALUE"""),"")</f>
        <v/>
      </c>
      <c r="AN872" s="1" t="str">
        <f>IFERROR(__xludf.DUMMYFUNCTION("""COMPUTED_VALUE"""),"")</f>
        <v/>
      </c>
      <c r="AO872" s="1" t="str">
        <f>IFERROR(__xludf.DUMMYFUNCTION("""COMPUTED_VALUE"""),"")</f>
        <v/>
      </c>
      <c r="AP872" s="1" t="str">
        <f>IFERROR(__xludf.DUMMYFUNCTION("""COMPUTED_VALUE"""),"")</f>
        <v/>
      </c>
      <c r="AQ872" s="1" t="str">
        <f>IFERROR(__xludf.DUMMYFUNCTION("""COMPUTED_VALUE"""),"03/04/2026")</f>
        <v>03/04/2026</v>
      </c>
      <c r="AR872" s="1" t="str">
        <f>IFERROR(__xludf.DUMMYFUNCTION("""COMPUTED_VALUE"""),"03/04/2026")</f>
        <v>03/04/2026</v>
      </c>
    </row>
    <row r="873">
      <c r="A873" s="1" t="str">
        <f>IFERROR(__xludf.DUMMYFUNCTION("""COMPUTED_VALUE"""),"Gemini Data Center SD LLC")</f>
        <v>Gemini Data Center SD LLC</v>
      </c>
      <c r="B873" s="1" t="str">
        <f>IFERROR(__xludf.DUMMYFUNCTION("""COMPUTED_VALUE"""),"south of E Rice St, east of Veteran's Parkway")</f>
        <v>south of E Rice St, east of Veteran's Parkway</v>
      </c>
      <c r="C873" s="1" t="str">
        <f>IFERROR(__xludf.DUMMYFUNCTION("""COMPUTED_VALUE"""),"Sioux Falls")</f>
        <v>Sioux Falls</v>
      </c>
      <c r="D873" s="1" t="str">
        <f>IFERROR(__xludf.DUMMYFUNCTION("""COMPUTED_VALUE"""),"SD")</f>
        <v>SD</v>
      </c>
      <c r="E873" s="1" t="str">
        <f>IFERROR(__xludf.DUMMYFUNCTION("""COMPUTED_VALUE"""),"57110")</f>
        <v>57110</v>
      </c>
      <c r="F873" s="1" t="str">
        <f>IFERROR(__xludf.DUMMYFUNCTION("""COMPUTED_VALUE"""),"Minnehaha")</f>
        <v>Minnehaha</v>
      </c>
      <c r="G873" s="1" t="str">
        <f>IFERROR(__xludf.DUMMYFUNCTION("""COMPUTED_VALUE"""),"43.59399")</f>
        <v>43.59399</v>
      </c>
      <c r="H873" s="1" t="str">
        <f>IFERROR(__xludf.DUMMYFUNCTION("""COMPUTED_VALUE"""),"-96.64092")</f>
        <v>-96.64092</v>
      </c>
      <c r="I873" s="1" t="str">
        <f>IFERROR(__xludf.DUMMYFUNCTION("""COMPUTED_VALUE"""),"Proposed")</f>
        <v>Proposed</v>
      </c>
      <c r="J873" s="1" t="str">
        <f>IFERROR(__xludf.DUMMYFUNCTION("""COMPUTED_VALUE"""),"High")</f>
        <v>High</v>
      </c>
      <c r="K873" s="1" t="str">
        <f>IFERROR(__xludf.DUMMYFUNCTION("""COMPUTED_VALUE"""),"")</f>
        <v/>
      </c>
      <c r="L873" s="1" t="str">
        <f>IFERROR(__xludf.DUMMYFUNCTION("""COMPUTED_VALUE"""),"")</f>
        <v/>
      </c>
      <c r="M873" s="1" t="str">
        <f>IFERROR(__xludf.DUMMYFUNCTION("""COMPUTED_VALUE"""),"")</f>
        <v/>
      </c>
      <c r="N873" s="1" t="str">
        <f>IFERROR(__xludf.DUMMYFUNCTION("""COMPUTED_VALUE"""),"500")</f>
        <v>500</v>
      </c>
      <c r="O873" s="1" t="str">
        <f>IFERROR(__xludf.DUMMYFUNCTION("""COMPUTED_VALUE"""),"Hyperscale (100-999 MW)")</f>
        <v>Hyperscale (100-999 MW)</v>
      </c>
      <c r="P873" s="1" t="str">
        <f>IFERROR(__xludf.DUMMYFUNCTION("""COMPUTED_VALUE"""),"")</f>
        <v/>
      </c>
      <c r="Q873" s="1" t="str">
        <f>IFERROR(__xludf.DUMMYFUNCTION("""COMPUTED_VALUE"""),"")</f>
        <v/>
      </c>
      <c r="R873" s="1" t="str">
        <f>IFERROR(__xludf.DUMMYFUNCTION("""COMPUTED_VALUE"""),"")</f>
        <v/>
      </c>
      <c r="S873" s="1" t="str">
        <f>IFERROR(__xludf.DUMMYFUNCTION("""COMPUTED_VALUE"""),"")</f>
        <v/>
      </c>
      <c r="T873" s="1" t="str">
        <f>IFERROR(__xludf.DUMMYFUNCTION("""COMPUTED_VALUE"""),"")</f>
        <v/>
      </c>
      <c r="U873" s="1" t="str">
        <f>IFERROR(__xludf.DUMMYFUNCTION("""COMPUTED_VALUE"""),"")</f>
        <v/>
      </c>
      <c r="V873" s="1" t="str">
        <f>IFERROR(__xludf.DUMMYFUNCTION("""COMPUTED_VALUE"""),"")</f>
        <v/>
      </c>
      <c r="W873" s="1" t="str">
        <f>IFERROR(__xludf.DUMMYFUNCTION("""COMPUTED_VALUE"""),"160")</f>
        <v>160</v>
      </c>
      <c r="X873" s="1" t="str">
        <f>IFERROR(__xludf.DUMMYFUNCTION("""COMPUTED_VALUE"""),"")</f>
        <v/>
      </c>
      <c r="Y873" s="1" t="str">
        <f>IFERROR(__xludf.DUMMYFUNCTION("""COMPUTED_VALUE"""),"")</f>
        <v/>
      </c>
      <c r="Z873" s="1" t="str">
        <f>IFERROR(__xludf.DUMMYFUNCTION("""COMPUTED_VALUE"""),"Unknown")</f>
        <v>Unknown</v>
      </c>
      <c r="AA873" s="1" t="str">
        <f>IFERROR(__xludf.DUMMYFUNCTION("""COMPUTED_VALUE"""),"")</f>
        <v/>
      </c>
      <c r="AB873" s="1" t="str">
        <f>IFERROR(__xludf.DUMMYFUNCTION("""COMPUTED_VALUE"""),"")</f>
        <v/>
      </c>
      <c r="AC873" s="1" t="str">
        <f>IFERROR(__xludf.DUMMYFUNCTION("""COMPUTED_VALUE"""),"")</f>
        <v/>
      </c>
      <c r="AD873" s="1" t="str">
        <f>IFERROR(__xludf.DUMMYFUNCTION("""COMPUTED_VALUE"""),"")</f>
        <v/>
      </c>
      <c r="AE873" s="1" t="str">
        <f>IFERROR(__xludf.DUMMYFUNCTION("""COMPUTED_VALUE"""),"")</f>
        <v/>
      </c>
      <c r="AF873" s="1" t="str">
        <f>IFERROR(__xludf.DUMMYFUNCTION("""COMPUTED_VALUE"""),"")</f>
        <v/>
      </c>
      <c r="AG873" s="1" t="str">
        <f>IFERROR(__xludf.DUMMYFUNCTION("""COMPUTED_VALUE"""),"")</f>
        <v/>
      </c>
      <c r="AH873" s="1" t="str">
        <f>IFERROR(__xludf.DUMMYFUNCTION("""COMPUTED_VALUE"""),"Media Monitoring")</f>
        <v>Media Monitoring</v>
      </c>
      <c r="AI873" s="2" t="str">
        <f>IFERROR(__xludf.DUMMYFUNCTION("""COMPUTED_VALUE"""),"https://siouxfalls.business/hyperscale-data-center-seeking-city-approvals-to-build-northeast-of-sioux-falls/")</f>
        <v>https://siouxfalls.business/hyperscale-data-center-seeking-city-approvals-to-build-northeast-of-sioux-falls/</v>
      </c>
      <c r="AJ873" s="2" t="str">
        <f>IFERROR(__xludf.DUMMYFUNCTION("""COMPUTED_VALUE"""),"https://www.siouxfallslive.com/news/sioux-falls/planned-hyperscale-data-center-moving-into-sioux-falls")</f>
        <v>https://www.siouxfallslive.com/news/sioux-falls/planned-hyperscale-data-center-moving-into-sioux-falls</v>
      </c>
      <c r="AK873" s="2" t="str">
        <f>IFERROR(__xludf.DUMMYFUNCTION("""COMPUTED_VALUE"""),"https://www.datacenterdynamics.com/en/news/164-acre-data-center-could-come-to-sioux-falls-south-dakota/")</f>
        <v>https://www.datacenterdynamics.com/en/news/164-acre-data-center-could-come-to-sioux-falls-south-dakota/</v>
      </c>
      <c r="AL873" s="1" t="str">
        <f>IFERROR(__xludf.DUMMYFUNCTION("""COMPUTED_VALUE"""),"")</f>
        <v/>
      </c>
      <c r="AM873" s="1" t="str">
        <f>IFERROR(__xludf.DUMMYFUNCTION("""COMPUTED_VALUE"""),"")</f>
        <v/>
      </c>
      <c r="AN873" s="1" t="str">
        <f>IFERROR(__xludf.DUMMYFUNCTION("""COMPUTED_VALUE"""),"")</f>
        <v/>
      </c>
      <c r="AO873" s="1" t="str">
        <f>IFERROR(__xludf.DUMMYFUNCTION("""COMPUTED_VALUE"""),"")</f>
        <v/>
      </c>
      <c r="AP873" s="1" t="str">
        <f>IFERROR(__xludf.DUMMYFUNCTION("""COMPUTED_VALUE"""),"")</f>
        <v/>
      </c>
      <c r="AQ873" s="1" t="str">
        <f>IFERROR(__xludf.DUMMYFUNCTION("""COMPUTED_VALUE"""),"08/09/2025")</f>
        <v>08/09/2025</v>
      </c>
      <c r="AR873" s="1" t="str">
        <f>IFERROR(__xludf.DUMMYFUNCTION("""COMPUTED_VALUE"""),"03/20/2026")</f>
        <v>03/20/2026</v>
      </c>
    </row>
    <row r="874">
      <c r="A874" s="1" t="str">
        <f>IFERROR(__xludf.DUMMYFUNCTION("""COMPUTED_VALUE"""),"Applied Digital Data Center")</f>
        <v>Applied Digital Data Center</v>
      </c>
      <c r="B874" s="1" t="str">
        <f>IFERROR(__xludf.DUMMYFUNCTION("""COMPUTED_VALUE"""),"East of Toronto (Scandanavia Twp) near gas turbine tower")</f>
        <v>East of Toronto (Scandanavia Twp) near gas turbine tower</v>
      </c>
      <c r="C874" s="1" t="str">
        <f>IFERROR(__xludf.DUMMYFUNCTION("""COMPUTED_VALUE"""),"Toronto")</f>
        <v>Toronto</v>
      </c>
      <c r="D874" s="1" t="str">
        <f>IFERROR(__xludf.DUMMYFUNCTION("""COMPUTED_VALUE"""),"SD")</f>
        <v>SD</v>
      </c>
      <c r="E874" s="1" t="str">
        <f>IFERROR(__xludf.DUMMYFUNCTION("""COMPUTED_VALUE"""),"57268")</f>
        <v>57268</v>
      </c>
      <c r="F874" s="1" t="str">
        <f>IFERROR(__xludf.DUMMYFUNCTION("""COMPUTED_VALUE"""),"Deuel")</f>
        <v>Deuel</v>
      </c>
      <c r="G874" s="1" t="str">
        <f>IFERROR(__xludf.DUMMYFUNCTION("""COMPUTED_VALUE"""),"44.583656")</f>
        <v>44.583656</v>
      </c>
      <c r="H874" s="1" t="str">
        <f>IFERROR(__xludf.DUMMYFUNCTION("""COMPUTED_VALUE"""),"-96.56283")</f>
        <v>-96.56283</v>
      </c>
      <c r="I874" s="1" t="str">
        <f>IFERROR(__xludf.DUMMYFUNCTION("""COMPUTED_VALUE"""),"Suspended")</f>
        <v>Suspended</v>
      </c>
      <c r="J874" s="1" t="str">
        <f>IFERROR(__xludf.DUMMYFUNCTION("""COMPUTED_VALUE"""),"Medium")</f>
        <v>Medium</v>
      </c>
      <c r="K874" s="1" t="str">
        <f>IFERROR(__xludf.DUMMYFUNCTION("""COMPUTED_VALUE"""),"")</f>
        <v/>
      </c>
      <c r="L874" s="1" t="str">
        <f>IFERROR(__xludf.DUMMYFUNCTION("""COMPUTED_VALUE"""),"Applied Digital")</f>
        <v>Applied Digital</v>
      </c>
      <c r="M874" s="1" t="str">
        <f>IFERROR(__xludf.DUMMYFUNCTION("""COMPUTED_VALUE"""),"")</f>
        <v/>
      </c>
      <c r="N874" s="1" t="str">
        <f>IFERROR(__xludf.DUMMYFUNCTION("""COMPUTED_VALUE"""),"430")</f>
        <v>430</v>
      </c>
      <c r="O874" s="1" t="str">
        <f>IFERROR(__xludf.DUMMYFUNCTION("""COMPUTED_VALUE"""),"Hyperscale (100-999 MW)")</f>
        <v>Hyperscale (100-999 MW)</v>
      </c>
      <c r="P874" s="1" t="str">
        <f>IFERROR(__xludf.DUMMYFUNCTION("""COMPUTED_VALUE"""),"")</f>
        <v/>
      </c>
      <c r="Q874" s="1" t="str">
        <f>IFERROR(__xludf.DUMMYFUNCTION("""COMPUTED_VALUE"""),"")</f>
        <v/>
      </c>
      <c r="R874" s="1" t="str">
        <f>IFERROR(__xludf.DUMMYFUNCTION("""COMPUTED_VALUE"""),"")</f>
        <v/>
      </c>
      <c r="S874" s="1" t="str">
        <f>IFERROR(__xludf.DUMMYFUNCTION("""COMPUTED_VALUE"""),"2")</f>
        <v>2</v>
      </c>
      <c r="T874" s="1" t="str">
        <f>IFERROR(__xludf.DUMMYFUNCTION("""COMPUTED_VALUE"""),"")</f>
        <v/>
      </c>
      <c r="U874" s="1" t="str">
        <f>IFERROR(__xludf.DUMMYFUNCTION("""COMPUTED_VALUE"""),"")</f>
        <v/>
      </c>
      <c r="V874" s="1" t="str">
        <f>IFERROR(__xludf.DUMMYFUNCTION("""COMPUTED_VALUE"""),"1,800,000")</f>
        <v>1,800,000</v>
      </c>
      <c r="W874" s="1" t="str">
        <f>IFERROR(__xludf.DUMMYFUNCTION("""COMPUTED_VALUE"""),"150")</f>
        <v>150</v>
      </c>
      <c r="X874" s="1" t="str">
        <f>IFERROR(__xludf.DUMMYFUNCTION("""COMPUTED_VALUE"""),"$16 billion")</f>
        <v>$16 billion</v>
      </c>
      <c r="Y874" s="1" t="str">
        <f>IFERROR(__xludf.DUMMYFUNCTION("""COMPUTED_VALUE"""),"")</f>
        <v/>
      </c>
      <c r="Z874" s="1" t="str">
        <f>IFERROR(__xludf.DUMMYFUNCTION("""COMPUTED_VALUE"""),"Yes")</f>
        <v>Yes</v>
      </c>
      <c r="AA874" s="1" t="str">
        <f>IFERROR(__xludf.DUMMYFUNCTION("""COMPUTED_VALUE"""),"Project has raised concerns among lawmakers and residents regarding energy use, water demand, and tax incentives, but no organized petition or formal community opposition campaign has been documented.")</f>
        <v>Project has raised concerns among lawmakers and residents regarding energy use, water demand, and tax incentives, but no organized petition or formal community opposition campaign has been documented.</v>
      </c>
      <c r="AB874" s="1" t="str">
        <f>IFERROR(__xludf.DUMMYFUNCTION("""COMPUTED_VALUE"""),"")</f>
        <v/>
      </c>
      <c r="AC874" s="1" t="str">
        <f>IFERROR(__xludf.DUMMYFUNCTION("""COMPUTED_VALUE"""),"")</f>
        <v/>
      </c>
      <c r="AD874" s="2" t="str">
        <f>IFERROR(__xludf.DUMMYFUNCTION("""COMPUTED_VALUE"""),"https://curemn.org/")</f>
        <v>https://curemn.org/</v>
      </c>
      <c r="AE874" s="1" t="str">
        <f>IFERROR(__xludf.DUMMYFUNCTION("""COMPUTED_VALUE"""),"")</f>
        <v/>
      </c>
      <c r="AF874" s="1" t="str">
        <f>IFERROR(__xludf.DUMMYFUNCTION("""COMPUTED_VALUE"""),"")</f>
        <v/>
      </c>
      <c r="AG874" s="1" t="str">
        <f>IFERROR(__xludf.DUMMYFUNCTION("""COMPUTED_VALUE"""),"pplied Digital proposed a large hyperscale data center campus in Deuel County east of Toronto, South Dakota. The project includes a potential 430 MW build-out across multiple buildings, but development has stalled and the project is currently suspended.")</f>
        <v>pplied Digital proposed a large hyperscale data center campus in Deuel County east of Toronto, South Dakota. The project includes a potential 430 MW build-out across multiple buildings, but development has stalled and the project is currently suspended.</v>
      </c>
      <c r="AH874" s="1" t="str">
        <f>IFERROR(__xludf.DUMMYFUNCTION("""COMPUTED_VALUE"""),"Media Monitoring")</f>
        <v>Media Monitoring</v>
      </c>
      <c r="AI874" s="2" t="str">
        <f>IFERROR(__xludf.DUMMYFUNCTION("""COMPUTED_VALUE"""),"https://www.datacenterdynamics.com/en/news/applied-digital-proposes-multi-billion-dollar-data-center-in-south-dakota/")</f>
        <v>https://www.datacenterdynamics.com/en/news/applied-digital-proposes-multi-billion-dollar-data-center-in-south-dakota/</v>
      </c>
      <c r="AJ874" s="2" t="str">
        <f>IFERROR(__xludf.DUMMYFUNCTION("""COMPUTED_VALUE"""),"https://www.mykxlg.com/news/local/potential-14-billion-data-center-could-transform-deuel-countys-economy/article_2a031739-b2ae-4932-95f5-57e4f280b7c7.html")</f>
        <v>https://www.mykxlg.com/news/local/potential-14-billion-data-center-could-transform-deuel-countys-economy/article_2a031739-b2ae-4932-95f5-57e4f280b7c7.html</v>
      </c>
      <c r="AK874" s="1" t="str">
        <f>IFERROR(__xludf.DUMMYFUNCTION("""COMPUTED_VALUE"""),"")</f>
        <v/>
      </c>
      <c r="AL874" s="1" t="str">
        <f>IFERROR(__xludf.DUMMYFUNCTION("""COMPUTED_VALUE"""),"")</f>
        <v/>
      </c>
      <c r="AM874" s="1" t="str">
        <f>IFERROR(__xludf.DUMMYFUNCTION("""COMPUTED_VALUE"""),"")</f>
        <v/>
      </c>
      <c r="AN874" s="1" t="str">
        <f>IFERROR(__xludf.DUMMYFUNCTION("""COMPUTED_VALUE"""),"")</f>
        <v/>
      </c>
      <c r="AO874" s="1" t="str">
        <f>IFERROR(__xludf.DUMMYFUNCTION("""COMPUTED_VALUE"""),"")</f>
        <v/>
      </c>
      <c r="AP874" s="1" t="str">
        <f>IFERROR(__xludf.DUMMYFUNCTION("""COMPUTED_VALUE"""),"")</f>
        <v/>
      </c>
      <c r="AQ874" s="1" t="str">
        <f>IFERROR(__xludf.DUMMYFUNCTION("""COMPUTED_VALUE"""),"11/19/2025")</f>
        <v>11/19/2025</v>
      </c>
      <c r="AR874" s="1" t="str">
        <f>IFERROR(__xludf.DUMMYFUNCTION("""COMPUTED_VALUE"""),"03/16/2026")</f>
        <v>03/16/2026</v>
      </c>
    </row>
    <row r="875">
      <c r="A875" s="1" t="str">
        <f>IFERROR(__xludf.DUMMYFUNCTION("""COMPUTED_VALUE"""),"DC Blox")</f>
        <v>DC Blox</v>
      </c>
      <c r="B875" s="1" t="str">
        <f>IFERROR(__xludf.DUMMYFUNCTION("""COMPUTED_VALUE"""),"807 E 16th St")</f>
        <v>807 E 16th St</v>
      </c>
      <c r="C875" s="1" t="str">
        <f>IFERROR(__xludf.DUMMYFUNCTION("""COMPUTED_VALUE"""),"Chattanooga")</f>
        <v>Chattanooga</v>
      </c>
      <c r="D875" s="1" t="str">
        <f>IFERROR(__xludf.DUMMYFUNCTION("""COMPUTED_VALUE"""),"TN")</f>
        <v>TN</v>
      </c>
      <c r="E875" s="1" t="str">
        <f>IFERROR(__xludf.DUMMYFUNCTION("""COMPUTED_VALUE"""),"37408")</f>
        <v>37408</v>
      </c>
      <c r="F875" s="1" t="str">
        <f>IFERROR(__xludf.DUMMYFUNCTION("""COMPUTED_VALUE"""),"Hamilton")</f>
        <v>Hamilton</v>
      </c>
      <c r="G875" s="1" t="str">
        <f>IFERROR(__xludf.DUMMYFUNCTION("""COMPUTED_VALUE"""),"35.03158")</f>
        <v>35.03158</v>
      </c>
      <c r="H875" s="1" t="str">
        <f>IFERROR(__xludf.DUMMYFUNCTION("""COMPUTED_VALUE"""),"-85.2973")</f>
        <v>-85.2973</v>
      </c>
      <c r="I875" s="1" t="str">
        <f>IFERROR(__xludf.DUMMYFUNCTION("""COMPUTED_VALUE"""),"Operating")</f>
        <v>Operating</v>
      </c>
      <c r="J875" s="1" t="str">
        <f>IFERROR(__xludf.DUMMYFUNCTION("""COMPUTED_VALUE"""),"High")</f>
        <v>High</v>
      </c>
      <c r="K875" s="1" t="str">
        <f>IFERROR(__xludf.DUMMYFUNCTION("""COMPUTED_VALUE"""),"")</f>
        <v/>
      </c>
      <c r="L875" s="1" t="str">
        <f>IFERROR(__xludf.DUMMYFUNCTION("""COMPUTED_VALUE"""),"")</f>
        <v/>
      </c>
      <c r="M875" s="1" t="str">
        <f>IFERROR(__xludf.DUMMYFUNCTION("""COMPUTED_VALUE"""),"")</f>
        <v/>
      </c>
      <c r="N875" s="1" t="str">
        <f>IFERROR(__xludf.DUMMYFUNCTION("""COMPUTED_VALUE"""),"")</f>
        <v/>
      </c>
      <c r="O875" s="1" t="str">
        <f>IFERROR(__xludf.DUMMYFUNCTION("""COMPUTED_VALUE"""),"Unknown")</f>
        <v>Unknown</v>
      </c>
      <c r="P875" s="1" t="str">
        <f>IFERROR(__xludf.DUMMYFUNCTION("""COMPUTED_VALUE"""),"")</f>
        <v/>
      </c>
      <c r="Q875" s="1" t="str">
        <f>IFERROR(__xludf.DUMMYFUNCTION("""COMPUTED_VALUE"""),"")</f>
        <v/>
      </c>
      <c r="R875" s="1" t="str">
        <f>IFERROR(__xludf.DUMMYFUNCTION("""COMPUTED_VALUE"""),"")</f>
        <v/>
      </c>
      <c r="S875" s="1" t="str">
        <f>IFERROR(__xludf.DUMMYFUNCTION("""COMPUTED_VALUE"""),"")</f>
        <v/>
      </c>
      <c r="T875" s="1" t="str">
        <f>IFERROR(__xludf.DUMMYFUNCTION("""COMPUTED_VALUE"""),"")</f>
        <v/>
      </c>
      <c r="U875" s="1" t="str">
        <f>IFERROR(__xludf.DUMMYFUNCTION("""COMPUTED_VALUE"""),"")</f>
        <v/>
      </c>
      <c r="V875" s="1" t="str">
        <f>IFERROR(__xludf.DUMMYFUNCTION("""COMPUTED_VALUE"""),"")</f>
        <v/>
      </c>
      <c r="W875" s="1" t="str">
        <f>IFERROR(__xludf.DUMMYFUNCTION("""COMPUTED_VALUE"""),"")</f>
        <v/>
      </c>
      <c r="X875" s="1" t="str">
        <f>IFERROR(__xludf.DUMMYFUNCTION("""COMPUTED_VALUE"""),"")</f>
        <v/>
      </c>
      <c r="Y875" s="1" t="str">
        <f>IFERROR(__xludf.DUMMYFUNCTION("""COMPUTED_VALUE"""),"")</f>
        <v/>
      </c>
      <c r="Z875" s="1" t="str">
        <f>IFERROR(__xludf.DUMMYFUNCTION("""COMPUTED_VALUE"""),"Unknown")</f>
        <v>Unknown</v>
      </c>
      <c r="AA875" s="1" t="str">
        <f>IFERROR(__xludf.DUMMYFUNCTION("""COMPUTED_VALUE"""),"")</f>
        <v/>
      </c>
      <c r="AB875" s="1" t="str">
        <f>IFERROR(__xludf.DUMMYFUNCTION("""COMPUTED_VALUE"""),"")</f>
        <v/>
      </c>
      <c r="AC875" s="1" t="str">
        <f>IFERROR(__xludf.DUMMYFUNCTION("""COMPUTED_VALUE"""),"")</f>
        <v/>
      </c>
      <c r="AD875" s="1" t="str">
        <f>IFERROR(__xludf.DUMMYFUNCTION("""COMPUTED_VALUE"""),"")</f>
        <v/>
      </c>
      <c r="AE875" s="1" t="str">
        <f>IFERROR(__xludf.DUMMYFUNCTION("""COMPUTED_VALUE"""),"")</f>
        <v/>
      </c>
      <c r="AF875" s="1" t="str">
        <f>IFERROR(__xludf.DUMMYFUNCTION("""COMPUTED_VALUE"""),"")</f>
        <v/>
      </c>
      <c r="AG875" s="1" t="str">
        <f>IFERROR(__xludf.DUMMYFUNCTION("""COMPUTED_VALUE"""),"")</f>
        <v/>
      </c>
      <c r="AH875" s="1" t="str">
        <f>IFERROR(__xludf.DUMMYFUNCTION("""COMPUTED_VALUE"""),"Media Monitoring")</f>
        <v>Media Monitoring</v>
      </c>
      <c r="AI875" s="1" t="str">
        <f>IFERROR(__xludf.DUMMYFUNCTION("""COMPUTED_VALUE"""),"")</f>
        <v/>
      </c>
      <c r="AJ875" s="1" t="str">
        <f>IFERROR(__xludf.DUMMYFUNCTION("""COMPUTED_VALUE"""),"")</f>
        <v/>
      </c>
      <c r="AK875" s="1" t="str">
        <f>IFERROR(__xludf.DUMMYFUNCTION("""COMPUTED_VALUE"""),"")</f>
        <v/>
      </c>
      <c r="AL875" s="1" t="str">
        <f>IFERROR(__xludf.DUMMYFUNCTION("""COMPUTED_VALUE"""),"")</f>
        <v/>
      </c>
      <c r="AM875" s="1" t="str">
        <f>IFERROR(__xludf.DUMMYFUNCTION("""COMPUTED_VALUE"""),"")</f>
        <v/>
      </c>
      <c r="AN875" s="1" t="str">
        <f>IFERROR(__xludf.DUMMYFUNCTION("""COMPUTED_VALUE"""),"")</f>
        <v/>
      </c>
      <c r="AO875" s="1" t="str">
        <f>IFERROR(__xludf.DUMMYFUNCTION("""COMPUTED_VALUE"""),"")</f>
        <v/>
      </c>
      <c r="AP875" s="1" t="str">
        <f>IFERROR(__xludf.DUMMYFUNCTION("""COMPUTED_VALUE"""),"")</f>
        <v/>
      </c>
      <c r="AQ875" s="1" t="str">
        <f>IFERROR(__xludf.DUMMYFUNCTION("""COMPUTED_VALUE"""),"08/25/2025")</f>
        <v>08/25/2025</v>
      </c>
      <c r="AR875" s="1" t="str">
        <f>IFERROR(__xludf.DUMMYFUNCTION("""COMPUTED_VALUE"""),"08/25/2025")</f>
        <v>08/25/2025</v>
      </c>
    </row>
    <row r="876">
      <c r="A876" s="1" t="str">
        <f>IFERROR(__xludf.DUMMYFUNCTION("""COMPUTED_VALUE"""),"Jailhouse Studios Data Center")</f>
        <v>Jailhouse Studios Data Center</v>
      </c>
      <c r="B876" s="1" t="str">
        <f>IFERROR(__xludf.DUMMYFUNCTION("""COMPUTED_VALUE"""),"601 Walnut St")</f>
        <v>601 Walnut St</v>
      </c>
      <c r="C876" s="1" t="str">
        <f>IFERROR(__xludf.DUMMYFUNCTION("""COMPUTED_VALUE"""),"Chattanooga")</f>
        <v>Chattanooga</v>
      </c>
      <c r="D876" s="1" t="str">
        <f>IFERROR(__xludf.DUMMYFUNCTION("""COMPUTED_VALUE"""),"TN")</f>
        <v>TN</v>
      </c>
      <c r="E876" s="1" t="str">
        <f>IFERROR(__xludf.DUMMYFUNCTION("""COMPUTED_VALUE"""),"37402")</f>
        <v>37402</v>
      </c>
      <c r="F876" s="1" t="str">
        <f>IFERROR(__xludf.DUMMYFUNCTION("""COMPUTED_VALUE"""),"Hamilton")</f>
        <v>Hamilton</v>
      </c>
      <c r="G876" s="1" t="str">
        <f>IFERROR(__xludf.DUMMYFUNCTION("""COMPUTED_VALUE"""),"35.049557")</f>
        <v>35.049557</v>
      </c>
      <c r="H876" s="1" t="str">
        <f>IFERROR(__xludf.DUMMYFUNCTION("""COMPUTED_VALUE"""),"-85.30803")</f>
        <v>-85.30803</v>
      </c>
      <c r="I876" s="1" t="str">
        <f>IFERROR(__xludf.DUMMYFUNCTION("""COMPUTED_VALUE"""),"Approved/Permitted/Under construction")</f>
        <v>Approved/Permitted/Under construction</v>
      </c>
      <c r="J876" s="1" t="str">
        <f>IFERROR(__xludf.DUMMYFUNCTION("""COMPUTED_VALUE"""),"High")</f>
        <v>High</v>
      </c>
      <c r="K876" s="1" t="str">
        <f>IFERROR(__xludf.DUMMYFUNCTION("""COMPUTED_VALUE"""),"")</f>
        <v/>
      </c>
      <c r="L876" s="1" t="str">
        <f>IFERROR(__xludf.DUMMYFUNCTION("""COMPUTED_VALUE"""),"")</f>
        <v/>
      </c>
      <c r="M876" s="1" t="str">
        <f>IFERROR(__xludf.DUMMYFUNCTION("""COMPUTED_VALUE"""),"")</f>
        <v/>
      </c>
      <c r="N876" s="1" t="str">
        <f>IFERROR(__xludf.DUMMYFUNCTION("""COMPUTED_VALUE"""),"")</f>
        <v/>
      </c>
      <c r="O876" s="1" t="str">
        <f>IFERROR(__xludf.DUMMYFUNCTION("""COMPUTED_VALUE"""),"Small (0-10 MW)")</f>
        <v>Small (0-10 MW)</v>
      </c>
      <c r="P876" s="1" t="str">
        <f>IFERROR(__xludf.DUMMYFUNCTION("""COMPUTED_VALUE"""),"")</f>
        <v/>
      </c>
      <c r="Q876" s="1" t="str">
        <f>IFERROR(__xludf.DUMMYFUNCTION("""COMPUTED_VALUE"""),"")</f>
        <v/>
      </c>
      <c r="R876" s="1" t="str">
        <f>IFERROR(__xludf.DUMMYFUNCTION("""COMPUTED_VALUE"""),"")</f>
        <v/>
      </c>
      <c r="S876" s="1" t="str">
        <f>IFERROR(__xludf.DUMMYFUNCTION("""COMPUTED_VALUE"""),"")</f>
        <v/>
      </c>
      <c r="T876" s="1" t="str">
        <f>IFERROR(__xludf.DUMMYFUNCTION("""COMPUTED_VALUE"""),"")</f>
        <v/>
      </c>
      <c r="U876" s="1" t="str">
        <f>IFERROR(__xludf.DUMMYFUNCTION("""COMPUTED_VALUE"""),"")</f>
        <v/>
      </c>
      <c r="V876" s="1" t="str">
        <f>IFERROR(__xludf.DUMMYFUNCTION("""COMPUTED_VALUE"""),"")</f>
        <v/>
      </c>
      <c r="W876" s="1" t="str">
        <f>IFERROR(__xludf.DUMMYFUNCTION("""COMPUTED_VALUE"""),"")</f>
        <v/>
      </c>
      <c r="X876" s="1" t="str">
        <f>IFERROR(__xludf.DUMMYFUNCTION("""COMPUTED_VALUE"""),"")</f>
        <v/>
      </c>
      <c r="Y876" s="1" t="str">
        <f>IFERROR(__xludf.DUMMYFUNCTION("""COMPUTED_VALUE"""),"")</f>
        <v/>
      </c>
      <c r="Z876" s="1" t="str">
        <f>IFERROR(__xludf.DUMMYFUNCTION("""COMPUTED_VALUE"""),"Yes")</f>
        <v>Yes</v>
      </c>
      <c r="AA876" s="1" t="str">
        <f>IFERROR(__xludf.DUMMYFUNCTION("""COMPUTED_VALUE"""),"")</f>
        <v/>
      </c>
      <c r="AB876" s="1" t="str">
        <f>IFERROR(__xludf.DUMMYFUNCTION("""COMPUTED_VALUE"""),"")</f>
        <v/>
      </c>
      <c r="AC876" s="1" t="str">
        <f>IFERROR(__xludf.DUMMYFUNCTION("""COMPUTED_VALUE"""),"")</f>
        <v/>
      </c>
      <c r="AD876" s="1" t="str">
        <f>IFERROR(__xludf.DUMMYFUNCTION("""COMPUTED_VALUE"""),"")</f>
        <v/>
      </c>
      <c r="AE876" s="1" t="str">
        <f>IFERROR(__xludf.DUMMYFUNCTION("""COMPUTED_VALUE"""),"")</f>
        <v/>
      </c>
      <c r="AF876" s="2" t="str">
        <f>IFERROR(__xludf.DUMMYFUNCTION("""COMPUTED_VALUE"""),"https://www.change.org/p/demand-public-input-opportunity-for-new-data-center-venture-in-downtown-chattanooga?recruiter=986853875")</f>
        <v>https://www.change.org/p/demand-public-input-opportunity-for-new-data-center-venture-in-downtown-chattanooga?recruiter=986853875</v>
      </c>
      <c r="AG876" s="1" t="str">
        <f>IFERROR(__xludf.DUMMYFUNCTION("""COMPUTED_VALUE"""),"Tiny data center, only 10 racks of servers")</f>
        <v>Tiny data center, only 10 racks of servers</v>
      </c>
      <c r="AH876" s="1" t="str">
        <f>IFERROR(__xludf.DUMMYFUNCTION("""COMPUTED_VALUE"""),"Media Monitoring")</f>
        <v>Media Monitoring</v>
      </c>
      <c r="AI876" s="2" t="str">
        <f>IFERROR(__xludf.DUMMYFUNCTION("""COMPUTED_VALUE"""),"https://www.datacenterdynamics.com/en/news/former-jail-in-chattanooga-tennessee-targeted-for-production-space-and-data-center/")</f>
        <v>https://www.datacenterdynamics.com/en/news/former-jail-in-chattanooga-tennessee-targeted-for-production-space-and-data-center/</v>
      </c>
      <c r="AJ876" s="2" t="str">
        <f>IFERROR(__xludf.DUMMYFUNCTION("""COMPUTED_VALUE"""),"https://foxchattanooga.com/news/local/hamilton-county-advances-plan-to-convert-old-jail-into-ai-data-center-and-music-studio")</f>
        <v>https://foxchattanooga.com/news/local/hamilton-county-advances-plan-to-convert-old-jail-into-ai-data-center-and-music-studio</v>
      </c>
      <c r="AK876" s="2" t="str">
        <f>IFERROR(__xludf.DUMMYFUNCTION("""COMPUTED_VALUE"""),"https://www.chattanoogan.com/2026/3/18/516194/County-Commission-Approves-Lease-For.aspx")</f>
        <v>https://www.chattanoogan.com/2026/3/18/516194/County-Commission-Approves-Lease-For.aspx</v>
      </c>
      <c r="AL876" s="1" t="str">
        <f>IFERROR(__xludf.DUMMYFUNCTION("""COMPUTED_VALUE"""),"")</f>
        <v/>
      </c>
      <c r="AM876" s="1" t="str">
        <f>IFERROR(__xludf.DUMMYFUNCTION("""COMPUTED_VALUE"""),"")</f>
        <v/>
      </c>
      <c r="AN876" s="1" t="str">
        <f>IFERROR(__xludf.DUMMYFUNCTION("""COMPUTED_VALUE"""),"")</f>
        <v/>
      </c>
      <c r="AO876" s="1" t="str">
        <f>IFERROR(__xludf.DUMMYFUNCTION("""COMPUTED_VALUE"""),"")</f>
        <v/>
      </c>
      <c r="AP876" s="1" t="str">
        <f>IFERROR(__xludf.DUMMYFUNCTION("""COMPUTED_VALUE"""),"")</f>
        <v/>
      </c>
      <c r="AQ876" s="1" t="str">
        <f>IFERROR(__xludf.DUMMYFUNCTION("""COMPUTED_VALUE"""),"01/19/2026")</f>
        <v>01/19/2026</v>
      </c>
      <c r="AR876" s="1" t="str">
        <f>IFERROR(__xludf.DUMMYFUNCTION("""COMPUTED_VALUE"""),"01/19/2026")</f>
        <v>01/19/2026</v>
      </c>
    </row>
    <row r="877">
      <c r="A877" s="1" t="str">
        <f>IFERROR(__xludf.DUMMYFUNCTION("""COMPUTED_VALUE"""),"Cielo Digital Infrastructure")</f>
        <v>Cielo Digital Infrastructure</v>
      </c>
      <c r="B877" s="1" t="str">
        <f>IFERROR(__xludf.DUMMYFUNCTION("""COMPUTED_VALUE"""),"")</f>
        <v/>
      </c>
      <c r="C877" s="1" t="str">
        <f>IFERROR(__xludf.DUMMYFUNCTION("""COMPUTED_VALUE"""),"Clarksville")</f>
        <v>Clarksville</v>
      </c>
      <c r="D877" s="1" t="str">
        <f>IFERROR(__xludf.DUMMYFUNCTION("""COMPUTED_VALUE"""),"TN")</f>
        <v>TN</v>
      </c>
      <c r="E877" s="1" t="str">
        <f>IFERROR(__xludf.DUMMYFUNCTION("""COMPUTED_VALUE"""),"37040")</f>
        <v>37040</v>
      </c>
      <c r="F877" s="1" t="str">
        <f>IFERROR(__xludf.DUMMYFUNCTION("""COMPUTED_VALUE"""),"Montgomery")</f>
        <v>Montgomery</v>
      </c>
      <c r="G877" s="1" t="str">
        <f>IFERROR(__xludf.DUMMYFUNCTION("""COMPUTED_VALUE"""),"36.57269")</f>
        <v>36.57269</v>
      </c>
      <c r="H877" s="1" t="str">
        <f>IFERROR(__xludf.DUMMYFUNCTION("""COMPUTED_VALUE"""),"-87.3423")</f>
        <v>-87.3423</v>
      </c>
      <c r="I877" s="1" t="str">
        <f>IFERROR(__xludf.DUMMYFUNCTION("""COMPUTED_VALUE"""),"Proposed")</f>
        <v>Proposed</v>
      </c>
      <c r="J877" s="1" t="str">
        <f>IFERROR(__xludf.DUMMYFUNCTION("""COMPUTED_VALUE"""),"Low")</f>
        <v>Low</v>
      </c>
      <c r="K877" s="1" t="str">
        <f>IFERROR(__xludf.DUMMYFUNCTION("""COMPUTED_VALUE"""),"")</f>
        <v/>
      </c>
      <c r="L877" s="1" t="str">
        <f>IFERROR(__xludf.DUMMYFUNCTION("""COMPUTED_VALUE"""),"")</f>
        <v/>
      </c>
      <c r="M877" s="1" t="str">
        <f>IFERROR(__xludf.DUMMYFUNCTION("""COMPUTED_VALUE"""),"")</f>
        <v/>
      </c>
      <c r="N877" s="1" t="str">
        <f>IFERROR(__xludf.DUMMYFUNCTION("""COMPUTED_VALUE"""),"350")</f>
        <v>350</v>
      </c>
      <c r="O877" s="1" t="str">
        <f>IFERROR(__xludf.DUMMYFUNCTION("""COMPUTED_VALUE"""),"Hyperscale (100-999 MW)")</f>
        <v>Hyperscale (100-999 MW)</v>
      </c>
      <c r="P877" s="1" t="str">
        <f>IFERROR(__xludf.DUMMYFUNCTION("""COMPUTED_VALUE"""),"")</f>
        <v/>
      </c>
      <c r="Q877" s="1" t="str">
        <f>IFERROR(__xludf.DUMMYFUNCTION("""COMPUTED_VALUE"""),"")</f>
        <v/>
      </c>
      <c r="R877" s="1" t="str">
        <f>IFERROR(__xludf.DUMMYFUNCTION("""COMPUTED_VALUE"""),"")</f>
        <v/>
      </c>
      <c r="S877" s="1" t="str">
        <f>IFERROR(__xludf.DUMMYFUNCTION("""COMPUTED_VALUE"""),"")</f>
        <v/>
      </c>
      <c r="T877" s="1" t="str">
        <f>IFERROR(__xludf.DUMMYFUNCTION("""COMPUTED_VALUE"""),"")</f>
        <v/>
      </c>
      <c r="U877" s="1" t="str">
        <f>IFERROR(__xludf.DUMMYFUNCTION("""COMPUTED_VALUE"""),"")</f>
        <v/>
      </c>
      <c r="V877" s="1" t="str">
        <f>IFERROR(__xludf.DUMMYFUNCTION("""COMPUTED_VALUE"""),"")</f>
        <v/>
      </c>
      <c r="W877" s="1" t="str">
        <f>IFERROR(__xludf.DUMMYFUNCTION("""COMPUTED_VALUE"""),"107")</f>
        <v>107</v>
      </c>
      <c r="X877" s="1" t="str">
        <f>IFERROR(__xludf.DUMMYFUNCTION("""COMPUTED_VALUE"""),"")</f>
        <v/>
      </c>
      <c r="Y877" s="1" t="str">
        <f>IFERROR(__xludf.DUMMYFUNCTION("""COMPUTED_VALUE"""),"")</f>
        <v/>
      </c>
      <c r="Z877" s="1" t="str">
        <f>IFERROR(__xludf.DUMMYFUNCTION("""COMPUTED_VALUE"""),"Unknown")</f>
        <v>Unknown</v>
      </c>
      <c r="AA877" s="1" t="str">
        <f>IFERROR(__xludf.DUMMYFUNCTION("""COMPUTED_VALUE"""),"")</f>
        <v/>
      </c>
      <c r="AB877" s="1" t="str">
        <f>IFERROR(__xludf.DUMMYFUNCTION("""COMPUTED_VALUE"""),"")</f>
        <v/>
      </c>
      <c r="AC877" s="1" t="str">
        <f>IFERROR(__xludf.DUMMYFUNCTION("""COMPUTED_VALUE"""),"")</f>
        <v/>
      </c>
      <c r="AD877" s="1" t="str">
        <f>IFERROR(__xludf.DUMMYFUNCTION("""COMPUTED_VALUE"""),"")</f>
        <v/>
      </c>
      <c r="AE877" s="1" t="str">
        <f>IFERROR(__xludf.DUMMYFUNCTION("""COMPUTED_VALUE"""),"")</f>
        <v/>
      </c>
      <c r="AF877" s="1" t="str">
        <f>IFERROR(__xludf.DUMMYFUNCTION("""COMPUTED_VALUE"""),"")</f>
        <v/>
      </c>
      <c r="AG877" s="1" t="str">
        <f>IFERROR(__xludf.DUMMYFUNCTION("""COMPUTED_VALUE"""),"")</f>
        <v/>
      </c>
      <c r="AH877" s="1" t="str">
        <f>IFERROR(__xludf.DUMMYFUNCTION("""COMPUTED_VALUE"""),"Media Monitoring")</f>
        <v>Media Monitoring</v>
      </c>
      <c r="AI877" s="2" t="str">
        <f>IFERROR(__xludf.DUMMYFUNCTION("""COMPUTED_VALUE"""),"https://www.datacenterdynamics.com/en/news/cielo-digital-infrastructure-plans-300mw-data-center-campus-in-south-carolina/")</f>
        <v>https://www.datacenterdynamics.com/en/news/cielo-digital-infrastructure-plans-300mw-data-center-campus-in-south-carolina/</v>
      </c>
      <c r="AJ877" s="1" t="str">
        <f>IFERROR(__xludf.DUMMYFUNCTION("""COMPUTED_VALUE"""),"")</f>
        <v/>
      </c>
      <c r="AK877" s="1" t="str">
        <f>IFERROR(__xludf.DUMMYFUNCTION("""COMPUTED_VALUE"""),"")</f>
        <v/>
      </c>
      <c r="AL877" s="1" t="str">
        <f>IFERROR(__xludf.DUMMYFUNCTION("""COMPUTED_VALUE"""),"")</f>
        <v/>
      </c>
      <c r="AM877" s="1" t="str">
        <f>IFERROR(__xludf.DUMMYFUNCTION("""COMPUTED_VALUE"""),"")</f>
        <v/>
      </c>
      <c r="AN877" s="1" t="str">
        <f>IFERROR(__xludf.DUMMYFUNCTION("""COMPUTED_VALUE"""),"")</f>
        <v/>
      </c>
      <c r="AO877" s="1" t="str">
        <f>IFERROR(__xludf.DUMMYFUNCTION("""COMPUTED_VALUE"""),"")</f>
        <v/>
      </c>
      <c r="AP877" s="1" t="str">
        <f>IFERROR(__xludf.DUMMYFUNCTION("""COMPUTED_VALUE"""),"")</f>
        <v/>
      </c>
      <c r="AQ877" s="1" t="str">
        <f>IFERROR(__xludf.DUMMYFUNCTION("""COMPUTED_VALUE"""),"06/24/2025")</f>
        <v>06/24/2025</v>
      </c>
      <c r="AR877" s="1" t="str">
        <f>IFERROR(__xludf.DUMMYFUNCTION("""COMPUTED_VALUE"""),"06/24/2025")</f>
        <v>06/24/2025</v>
      </c>
    </row>
    <row r="878">
      <c r="A878" s="1" t="str">
        <f>IFERROR(__xludf.DUMMYFUNCTION("""COMPUTED_VALUE"""),"Google Clarksville Data Center")</f>
        <v>Google Clarksville Data Center</v>
      </c>
      <c r="B878" s="1" t="str">
        <f>IFERROR(__xludf.DUMMYFUNCTION("""COMPUTED_VALUE"""),"1000 Boolean Dr")</f>
        <v>1000 Boolean Dr</v>
      </c>
      <c r="C878" s="1" t="str">
        <f>IFERROR(__xludf.DUMMYFUNCTION("""COMPUTED_VALUE"""),"Clarksville")</f>
        <v>Clarksville</v>
      </c>
      <c r="D878" s="1" t="str">
        <f>IFERROR(__xludf.DUMMYFUNCTION("""COMPUTED_VALUE"""),"TN")</f>
        <v>TN</v>
      </c>
      <c r="E878" s="1" t="str">
        <f>IFERROR(__xludf.DUMMYFUNCTION("""COMPUTED_VALUE"""),"37040")</f>
        <v>37040</v>
      </c>
      <c r="F878" s="1" t="str">
        <f>IFERROR(__xludf.DUMMYFUNCTION("""COMPUTED_VALUE"""),"Montgomery")</f>
        <v>Montgomery</v>
      </c>
      <c r="G878" s="1" t="str">
        <f>IFERROR(__xludf.DUMMYFUNCTION("""COMPUTED_VALUE"""),"36.62078")</f>
        <v>36.62078</v>
      </c>
      <c r="H878" s="1" t="str">
        <f>IFERROR(__xludf.DUMMYFUNCTION("""COMPUTED_VALUE"""),"-87.2622")</f>
        <v>-87.2622</v>
      </c>
      <c r="I878" s="1" t="str">
        <f>IFERROR(__xludf.DUMMYFUNCTION("""COMPUTED_VALUE"""),"Operating")</f>
        <v>Operating</v>
      </c>
      <c r="J878" s="1" t="str">
        <f>IFERROR(__xludf.DUMMYFUNCTION("""COMPUTED_VALUE"""),"High")</f>
        <v>High</v>
      </c>
      <c r="K878" s="1" t="str">
        <f>IFERROR(__xludf.DUMMYFUNCTION("""COMPUTED_VALUE"""),"")</f>
        <v/>
      </c>
      <c r="L878" s="1" t="str">
        <f>IFERROR(__xludf.DUMMYFUNCTION("""COMPUTED_VALUE"""),"Google")</f>
        <v>Google</v>
      </c>
      <c r="M878" s="1" t="str">
        <f>IFERROR(__xludf.DUMMYFUNCTION("""COMPUTED_VALUE"""),"")</f>
        <v/>
      </c>
      <c r="N878" s="1" t="str">
        <f>IFERROR(__xludf.DUMMYFUNCTION("""COMPUTED_VALUE"""),"")</f>
        <v/>
      </c>
      <c r="O878" s="1" t="str">
        <f>IFERROR(__xludf.DUMMYFUNCTION("""COMPUTED_VALUE"""),"Unknown")</f>
        <v>Unknown</v>
      </c>
      <c r="P878" s="1" t="str">
        <f>IFERROR(__xludf.DUMMYFUNCTION("""COMPUTED_VALUE"""),"")</f>
        <v/>
      </c>
      <c r="Q878" s="1" t="str">
        <f>IFERROR(__xludf.DUMMYFUNCTION("""COMPUTED_VALUE"""),"")</f>
        <v/>
      </c>
      <c r="R878" s="1" t="str">
        <f>IFERROR(__xludf.DUMMYFUNCTION("""COMPUTED_VALUE"""),"")</f>
        <v/>
      </c>
      <c r="S878" s="1" t="str">
        <f>IFERROR(__xludf.DUMMYFUNCTION("""COMPUTED_VALUE"""),"")</f>
        <v/>
      </c>
      <c r="T878" s="1" t="str">
        <f>IFERROR(__xludf.DUMMYFUNCTION("""COMPUTED_VALUE"""),"")</f>
        <v/>
      </c>
      <c r="U878" s="1" t="str">
        <f>IFERROR(__xludf.DUMMYFUNCTION("""COMPUTED_VALUE"""),"")</f>
        <v/>
      </c>
      <c r="V878" s="1" t="str">
        <f>IFERROR(__xludf.DUMMYFUNCTION("""COMPUTED_VALUE"""),"")</f>
        <v/>
      </c>
      <c r="W878" s="1" t="str">
        <f>IFERROR(__xludf.DUMMYFUNCTION("""COMPUTED_VALUE"""),"")</f>
        <v/>
      </c>
      <c r="X878" s="1" t="str">
        <f>IFERROR(__xludf.DUMMYFUNCTION("""COMPUTED_VALUE"""),"$600 million")</f>
        <v>$600 million</v>
      </c>
      <c r="Y878" s="1" t="str">
        <f>IFERROR(__xludf.DUMMYFUNCTION("""COMPUTED_VALUE"""),"")</f>
        <v/>
      </c>
      <c r="Z878" s="1" t="str">
        <f>IFERROR(__xludf.DUMMYFUNCTION("""COMPUTED_VALUE"""),"Unknown")</f>
        <v>Unknown</v>
      </c>
      <c r="AA878" s="1" t="str">
        <f>IFERROR(__xludf.DUMMYFUNCTION("""COMPUTED_VALUE"""),"")</f>
        <v/>
      </c>
      <c r="AB878" s="1" t="str">
        <f>IFERROR(__xludf.DUMMYFUNCTION("""COMPUTED_VALUE"""),"")</f>
        <v/>
      </c>
      <c r="AC878" s="1" t="str">
        <f>IFERROR(__xludf.DUMMYFUNCTION("""COMPUTED_VALUE"""),"")</f>
        <v/>
      </c>
      <c r="AD878" s="1" t="str">
        <f>IFERROR(__xludf.DUMMYFUNCTION("""COMPUTED_VALUE"""),"")</f>
        <v/>
      </c>
      <c r="AE878" s="1" t="str">
        <f>IFERROR(__xludf.DUMMYFUNCTION("""COMPUTED_VALUE"""),"")</f>
        <v/>
      </c>
      <c r="AF878" s="1" t="str">
        <f>IFERROR(__xludf.DUMMYFUNCTION("""COMPUTED_VALUE"""),"")</f>
        <v/>
      </c>
      <c r="AG878" s="1" t="str">
        <f>IFERROR(__xludf.DUMMYFUNCTION("""COMPUTED_VALUE"""),"")</f>
        <v/>
      </c>
      <c r="AH878" s="1" t="str">
        <f>IFERROR(__xludf.DUMMYFUNCTION("""COMPUTED_VALUE"""),"Media Monitoring")</f>
        <v>Media Monitoring</v>
      </c>
      <c r="AI878" s="1" t="str">
        <f>IFERROR(__xludf.DUMMYFUNCTION("""COMPUTED_VALUE"""),"")</f>
        <v/>
      </c>
      <c r="AJ878" s="1" t="str">
        <f>IFERROR(__xludf.DUMMYFUNCTION("""COMPUTED_VALUE"""),"")</f>
        <v/>
      </c>
      <c r="AK878" s="1" t="str">
        <f>IFERROR(__xludf.DUMMYFUNCTION("""COMPUTED_VALUE"""),"")</f>
        <v/>
      </c>
      <c r="AL878" s="1" t="str">
        <f>IFERROR(__xludf.DUMMYFUNCTION("""COMPUTED_VALUE"""),"")</f>
        <v/>
      </c>
      <c r="AM878" s="1" t="str">
        <f>IFERROR(__xludf.DUMMYFUNCTION("""COMPUTED_VALUE"""),"")</f>
        <v/>
      </c>
      <c r="AN878" s="1" t="str">
        <f>IFERROR(__xludf.DUMMYFUNCTION("""COMPUTED_VALUE"""),"")</f>
        <v/>
      </c>
      <c r="AO878" s="1" t="str">
        <f>IFERROR(__xludf.DUMMYFUNCTION("""COMPUTED_VALUE"""),"")</f>
        <v/>
      </c>
      <c r="AP878" s="1" t="str">
        <f>IFERROR(__xludf.DUMMYFUNCTION("""COMPUTED_VALUE"""),"")</f>
        <v/>
      </c>
      <c r="AQ878" s="1" t="str">
        <f>IFERROR(__xludf.DUMMYFUNCTION("""COMPUTED_VALUE"""),"05/27/2025")</f>
        <v>05/27/2025</v>
      </c>
      <c r="AR878" s="1" t="str">
        <f>IFERROR(__xludf.DUMMYFUNCTION("""COMPUTED_VALUE"""),"05/27/2025")</f>
        <v>05/27/2025</v>
      </c>
    </row>
    <row r="879">
      <c r="A879" s="1" t="str">
        <f>IFERROR(__xludf.DUMMYFUNCTION("""COMPUTED_VALUE"""),"Gallatin Data Center")</f>
        <v>Gallatin Data Center</v>
      </c>
      <c r="B879" s="1" t="str">
        <f>IFERROR(__xludf.DUMMYFUNCTION("""COMPUTED_VALUE"""),"One Meta Lp")</f>
        <v>One Meta Lp</v>
      </c>
      <c r="C879" s="1" t="str">
        <f>IFERROR(__xludf.DUMMYFUNCTION("""COMPUTED_VALUE"""),"Gallatin")</f>
        <v>Gallatin</v>
      </c>
      <c r="D879" s="1" t="str">
        <f>IFERROR(__xludf.DUMMYFUNCTION("""COMPUTED_VALUE"""),"TN")</f>
        <v>TN</v>
      </c>
      <c r="E879" s="1" t="str">
        <f>IFERROR(__xludf.DUMMYFUNCTION("""COMPUTED_VALUE"""),"37066")</f>
        <v>37066</v>
      </c>
      <c r="F879" s="1" t="str">
        <f>IFERROR(__xludf.DUMMYFUNCTION("""COMPUTED_VALUE"""),"Sumner")</f>
        <v>Sumner</v>
      </c>
      <c r="G879" s="1" t="str">
        <f>IFERROR(__xludf.DUMMYFUNCTION("""COMPUTED_VALUE"""),"36.41011")</f>
        <v>36.41011</v>
      </c>
      <c r="H879" s="1" t="str">
        <f>IFERROR(__xludf.DUMMYFUNCTION("""COMPUTED_VALUE"""),"-86.3724")</f>
        <v>-86.3724</v>
      </c>
      <c r="I879" s="1" t="str">
        <f>IFERROR(__xludf.DUMMYFUNCTION("""COMPUTED_VALUE"""),"Operating")</f>
        <v>Operating</v>
      </c>
      <c r="J879" s="1" t="str">
        <f>IFERROR(__xludf.DUMMYFUNCTION("""COMPUTED_VALUE"""),"High")</f>
        <v>High</v>
      </c>
      <c r="K879" s="1" t="str">
        <f>IFERROR(__xludf.DUMMYFUNCTION("""COMPUTED_VALUE"""),"")</f>
        <v/>
      </c>
      <c r="L879" s="1" t="str">
        <f>IFERROR(__xludf.DUMMYFUNCTION("""COMPUTED_VALUE"""),"Meta")</f>
        <v>Meta</v>
      </c>
      <c r="M879" s="1" t="str">
        <f>IFERROR(__xludf.DUMMYFUNCTION("""COMPUTED_VALUE"""),"")</f>
        <v/>
      </c>
      <c r="N879" s="1" t="str">
        <f>IFERROR(__xludf.DUMMYFUNCTION("""COMPUTED_VALUE"""),"")</f>
        <v/>
      </c>
      <c r="O879" s="1" t="str">
        <f>IFERROR(__xludf.DUMMYFUNCTION("""COMPUTED_VALUE"""),"Unknown")</f>
        <v>Unknown</v>
      </c>
      <c r="P879" s="1" t="str">
        <f>IFERROR(__xludf.DUMMYFUNCTION("""COMPUTED_VALUE"""),"")</f>
        <v/>
      </c>
      <c r="Q879" s="1" t="str">
        <f>IFERROR(__xludf.DUMMYFUNCTION("""COMPUTED_VALUE"""),"")</f>
        <v/>
      </c>
      <c r="R879" s="1" t="str">
        <f>IFERROR(__xludf.DUMMYFUNCTION("""COMPUTED_VALUE"""),"")</f>
        <v/>
      </c>
      <c r="S879" s="1" t="str">
        <f>IFERROR(__xludf.DUMMYFUNCTION("""COMPUTED_VALUE"""),"")</f>
        <v/>
      </c>
      <c r="T879" s="1" t="str">
        <f>IFERROR(__xludf.DUMMYFUNCTION("""COMPUTED_VALUE"""),"")</f>
        <v/>
      </c>
      <c r="U879" s="1" t="str">
        <f>IFERROR(__xludf.DUMMYFUNCTION("""COMPUTED_VALUE"""),"")</f>
        <v/>
      </c>
      <c r="V879" s="1" t="str">
        <f>IFERROR(__xludf.DUMMYFUNCTION("""COMPUTED_VALUE"""),"1,900,000")</f>
        <v>1,900,000</v>
      </c>
      <c r="W879" s="1" t="str">
        <f>IFERROR(__xludf.DUMMYFUNCTION("""COMPUTED_VALUE"""),"")</f>
        <v/>
      </c>
      <c r="X879" s="1" t="str">
        <f>IFERROR(__xludf.DUMMYFUNCTION("""COMPUTED_VALUE"""),"")</f>
        <v/>
      </c>
      <c r="Y879" s="1" t="str">
        <f>IFERROR(__xludf.DUMMYFUNCTION("""COMPUTED_VALUE"""),"")</f>
        <v/>
      </c>
      <c r="Z879" s="1" t="str">
        <f>IFERROR(__xludf.DUMMYFUNCTION("""COMPUTED_VALUE"""),"Unknown")</f>
        <v>Unknown</v>
      </c>
      <c r="AA879" s="1" t="str">
        <f>IFERROR(__xludf.DUMMYFUNCTION("""COMPUTED_VALUE"""),"")</f>
        <v/>
      </c>
      <c r="AB879" s="1" t="str">
        <f>IFERROR(__xludf.DUMMYFUNCTION("""COMPUTED_VALUE"""),"")</f>
        <v/>
      </c>
      <c r="AC879" s="1" t="str">
        <f>IFERROR(__xludf.DUMMYFUNCTION("""COMPUTED_VALUE"""),"")</f>
        <v/>
      </c>
      <c r="AD879" s="1" t="str">
        <f>IFERROR(__xludf.DUMMYFUNCTION("""COMPUTED_VALUE"""),"")</f>
        <v/>
      </c>
      <c r="AE879" s="1" t="str">
        <f>IFERROR(__xludf.DUMMYFUNCTION("""COMPUTED_VALUE"""),"")</f>
        <v/>
      </c>
      <c r="AF879" s="1" t="str">
        <f>IFERROR(__xludf.DUMMYFUNCTION("""COMPUTED_VALUE"""),"")</f>
        <v/>
      </c>
      <c r="AG879" s="1" t="str">
        <f>IFERROR(__xludf.DUMMYFUNCTION("""COMPUTED_VALUE"""),"")</f>
        <v/>
      </c>
      <c r="AH879" s="1" t="str">
        <f>IFERROR(__xludf.DUMMYFUNCTION("""COMPUTED_VALUE"""),"Media Monitoring")</f>
        <v>Media Monitoring</v>
      </c>
      <c r="AI879" s="2" t="str">
        <f>IFERROR(__xludf.DUMMYFUNCTION("""COMPUTED_VALUE"""),"https://www.datacenterdynamics.com/en/news/meta-to-expand-tennessee-data-center-campus/")</f>
        <v>https://www.datacenterdynamics.com/en/news/meta-to-expand-tennessee-data-center-campus/</v>
      </c>
      <c r="AJ879" s="1" t="str">
        <f>IFERROR(__xludf.DUMMYFUNCTION("""COMPUTED_VALUE"""),"")</f>
        <v/>
      </c>
      <c r="AK879" s="1" t="str">
        <f>IFERROR(__xludf.DUMMYFUNCTION("""COMPUTED_VALUE"""),"")</f>
        <v/>
      </c>
      <c r="AL879" s="1" t="str">
        <f>IFERROR(__xludf.DUMMYFUNCTION("""COMPUTED_VALUE"""),"")</f>
        <v/>
      </c>
      <c r="AM879" s="1" t="str">
        <f>IFERROR(__xludf.DUMMYFUNCTION("""COMPUTED_VALUE"""),"")</f>
        <v/>
      </c>
      <c r="AN879" s="1" t="str">
        <f>IFERROR(__xludf.DUMMYFUNCTION("""COMPUTED_VALUE"""),"")</f>
        <v/>
      </c>
      <c r="AO879" s="1" t="str">
        <f>IFERROR(__xludf.DUMMYFUNCTION("""COMPUTED_VALUE"""),"")</f>
        <v/>
      </c>
      <c r="AP879" s="1" t="str">
        <f>IFERROR(__xludf.DUMMYFUNCTION("""COMPUTED_VALUE"""),"")</f>
        <v/>
      </c>
      <c r="AQ879" s="1" t="str">
        <f>IFERROR(__xludf.DUMMYFUNCTION("""COMPUTED_VALUE"""),"08/11/2025")</f>
        <v>08/11/2025</v>
      </c>
      <c r="AR879" s="1" t="str">
        <f>IFERROR(__xludf.DUMMYFUNCTION("""COMPUTED_VALUE"""),"08/11/2025")</f>
        <v>08/11/2025</v>
      </c>
    </row>
    <row r="880">
      <c r="A880" s="1" t="str">
        <f>IFERROR(__xludf.DUMMYFUNCTION("""COMPUTED_VALUE"""),"Arnold Air Force Base Data Center")</f>
        <v>Arnold Air Force Base Data Center</v>
      </c>
      <c r="B880" s="1" t="str">
        <f>IFERROR(__xludf.DUMMYFUNCTION("""COMPUTED_VALUE"""),"")</f>
        <v/>
      </c>
      <c r="C880" s="1" t="str">
        <f>IFERROR(__xludf.DUMMYFUNCTION("""COMPUTED_VALUE"""),"Manchester")</f>
        <v>Manchester</v>
      </c>
      <c r="D880" s="1" t="str">
        <f>IFERROR(__xludf.DUMMYFUNCTION("""COMPUTED_VALUE"""),"TN")</f>
        <v>TN</v>
      </c>
      <c r="E880" s="1" t="str">
        <f>IFERROR(__xludf.DUMMYFUNCTION("""COMPUTED_VALUE"""),"37355")</f>
        <v>37355</v>
      </c>
      <c r="F880" s="1" t="str">
        <f>IFERROR(__xludf.DUMMYFUNCTION("""COMPUTED_VALUE"""),"Coffee")</f>
        <v>Coffee</v>
      </c>
      <c r="G880" s="1" t="str">
        <f>IFERROR(__xludf.DUMMYFUNCTION("""COMPUTED_VALUE"""),"35.37539")</f>
        <v>35.37539</v>
      </c>
      <c r="H880" s="1" t="str">
        <f>IFERROR(__xludf.DUMMYFUNCTION("""COMPUTED_VALUE"""),"-86.07293")</f>
        <v>-86.07293</v>
      </c>
      <c r="I880" s="1" t="str">
        <f>IFERROR(__xludf.DUMMYFUNCTION("""COMPUTED_VALUE"""),"Proposed")</f>
        <v>Proposed</v>
      </c>
      <c r="J880" s="1" t="str">
        <f>IFERROR(__xludf.DUMMYFUNCTION("""COMPUTED_VALUE"""),"Medium")</f>
        <v>Medium</v>
      </c>
      <c r="K880" s="1" t="str">
        <f>IFERROR(__xludf.DUMMYFUNCTION("""COMPUTED_VALUE"""),"")</f>
        <v/>
      </c>
      <c r="L880" s="1" t="str">
        <f>IFERROR(__xludf.DUMMYFUNCTION("""COMPUTED_VALUE"""),"")</f>
        <v/>
      </c>
      <c r="M880" s="1" t="str">
        <f>IFERROR(__xludf.DUMMYFUNCTION("""COMPUTED_VALUE"""),"")</f>
        <v/>
      </c>
      <c r="N880" s="1" t="str">
        <f>IFERROR(__xludf.DUMMYFUNCTION("""COMPUTED_VALUE"""),"")</f>
        <v/>
      </c>
      <c r="O880" s="1" t="str">
        <f>IFERROR(__xludf.DUMMYFUNCTION("""COMPUTED_VALUE"""),"Unknown")</f>
        <v>Unknown</v>
      </c>
      <c r="P880" s="1" t="str">
        <f>IFERROR(__xludf.DUMMYFUNCTION("""COMPUTED_VALUE"""),"")</f>
        <v/>
      </c>
      <c r="Q880" s="1" t="str">
        <f>IFERROR(__xludf.DUMMYFUNCTION("""COMPUTED_VALUE"""),"")</f>
        <v/>
      </c>
      <c r="R880" s="1" t="str">
        <f>IFERROR(__xludf.DUMMYFUNCTION("""COMPUTED_VALUE"""),"")</f>
        <v/>
      </c>
      <c r="S880" s="1" t="str">
        <f>IFERROR(__xludf.DUMMYFUNCTION("""COMPUTED_VALUE"""),"")</f>
        <v/>
      </c>
      <c r="T880" s="1" t="str">
        <f>IFERROR(__xludf.DUMMYFUNCTION("""COMPUTED_VALUE"""),"")</f>
        <v/>
      </c>
      <c r="U880" s="1" t="str">
        <f>IFERROR(__xludf.DUMMYFUNCTION("""COMPUTED_VALUE"""),"")</f>
        <v/>
      </c>
      <c r="V880" s="1" t="str">
        <f>IFERROR(__xludf.DUMMYFUNCTION("""COMPUTED_VALUE"""),"")</f>
        <v/>
      </c>
      <c r="W880" s="1" t="str">
        <f>IFERROR(__xludf.DUMMYFUNCTION("""COMPUTED_VALUE"""),"274")</f>
        <v>274</v>
      </c>
      <c r="X880" s="1" t="str">
        <f>IFERROR(__xludf.DUMMYFUNCTION("""COMPUTED_VALUE"""),"")</f>
        <v/>
      </c>
      <c r="Y880" s="1" t="str">
        <f>IFERROR(__xludf.DUMMYFUNCTION("""COMPUTED_VALUE"""),"")</f>
        <v/>
      </c>
      <c r="Z880" s="1" t="str">
        <f>IFERROR(__xludf.DUMMYFUNCTION("""COMPUTED_VALUE"""),"Unknown")</f>
        <v>Unknown</v>
      </c>
      <c r="AA880" s="1" t="str">
        <f>IFERROR(__xludf.DUMMYFUNCTION("""COMPUTED_VALUE"""),"")</f>
        <v/>
      </c>
      <c r="AB880" s="1" t="str">
        <f>IFERROR(__xludf.DUMMYFUNCTION("""COMPUTED_VALUE"""),"")</f>
        <v/>
      </c>
      <c r="AC880" s="1" t="str">
        <f>IFERROR(__xludf.DUMMYFUNCTION("""COMPUTED_VALUE"""),"")</f>
        <v/>
      </c>
      <c r="AD880" s="1" t="str">
        <f>IFERROR(__xludf.DUMMYFUNCTION("""COMPUTED_VALUE"""),"")</f>
        <v/>
      </c>
      <c r="AE880" s="1" t="str">
        <f>IFERROR(__xludf.DUMMYFUNCTION("""COMPUTED_VALUE"""),"")</f>
        <v/>
      </c>
      <c r="AF880" s="1" t="str">
        <f>IFERROR(__xludf.DUMMYFUNCTION("""COMPUTED_VALUE"""),"")</f>
        <v/>
      </c>
      <c r="AG880" s="1" t="str">
        <f>IFERROR(__xludf.DUMMYFUNCTION("""COMPUTED_VALUE"""),"")</f>
        <v/>
      </c>
      <c r="AH880" s="1" t="str">
        <f>IFERROR(__xludf.DUMMYFUNCTION("""COMPUTED_VALUE"""),"Media Monitoring")</f>
        <v>Media Monitoring</v>
      </c>
      <c r="AI880" s="2" t="str">
        <f>IFERROR(__xludf.DUMMYFUNCTION("""COMPUTED_VALUE"""),"https://www.datacenterdynamics.com/en/news/us-department-of-the-air-force-accepting-proposals-for-ai-data-centers-in-military-bases/")</f>
        <v>https://www.datacenterdynamics.com/en/news/us-department-of-the-air-force-accepting-proposals-for-ai-data-centers-in-military-bases/</v>
      </c>
      <c r="AJ880" s="1" t="str">
        <f>IFERROR(__xludf.DUMMYFUNCTION("""COMPUTED_VALUE"""),"")</f>
        <v/>
      </c>
      <c r="AK880" s="1" t="str">
        <f>IFERROR(__xludf.DUMMYFUNCTION("""COMPUTED_VALUE"""),"")</f>
        <v/>
      </c>
      <c r="AL880" s="1" t="str">
        <f>IFERROR(__xludf.DUMMYFUNCTION("""COMPUTED_VALUE"""),"")</f>
        <v/>
      </c>
      <c r="AM880" s="1" t="str">
        <f>IFERROR(__xludf.DUMMYFUNCTION("""COMPUTED_VALUE"""),"")</f>
        <v/>
      </c>
      <c r="AN880" s="1" t="str">
        <f>IFERROR(__xludf.DUMMYFUNCTION("""COMPUTED_VALUE"""),"")</f>
        <v/>
      </c>
      <c r="AO880" s="1" t="str">
        <f>IFERROR(__xludf.DUMMYFUNCTION("""COMPUTED_VALUE"""),"")</f>
        <v/>
      </c>
      <c r="AP880" s="1" t="str">
        <f>IFERROR(__xludf.DUMMYFUNCTION("""COMPUTED_VALUE"""),"")</f>
        <v/>
      </c>
      <c r="AQ880" s="1" t="str">
        <f>IFERROR(__xludf.DUMMYFUNCTION("""COMPUTED_VALUE"""),"10/21/2025")</f>
        <v>10/21/2025</v>
      </c>
      <c r="AR880" s="1" t="str">
        <f>IFERROR(__xludf.DUMMYFUNCTION("""COMPUTED_VALUE"""),"10/21/2025")</f>
        <v>10/21/2025</v>
      </c>
    </row>
    <row r="881">
      <c r="A881" s="1" t="str">
        <f>IFERROR(__xludf.DUMMYFUNCTION("""COMPUTED_VALUE"""),"Hixson Data Center")</f>
        <v>Hixson Data Center</v>
      </c>
      <c r="B881" s="1" t="str">
        <f>IFERROR(__xludf.DUMMYFUNCTION("""COMPUTED_VALUE"""),"possibly Bybee Branch Rd")</f>
        <v>possibly Bybee Branch Rd</v>
      </c>
      <c r="C881" s="1" t="str">
        <f>IFERROR(__xludf.DUMMYFUNCTION("""COMPUTED_VALUE"""),"McMinnville")</f>
        <v>McMinnville</v>
      </c>
      <c r="D881" s="1" t="str">
        <f>IFERROR(__xludf.DUMMYFUNCTION("""COMPUTED_VALUE"""),"TN")</f>
        <v>TN</v>
      </c>
      <c r="E881" s="1" t="str">
        <f>IFERROR(__xludf.DUMMYFUNCTION("""COMPUTED_VALUE"""),"37110")</f>
        <v>37110</v>
      </c>
      <c r="F881" s="1" t="str">
        <f>IFERROR(__xludf.DUMMYFUNCTION("""COMPUTED_VALUE"""),"Warren")</f>
        <v>Warren</v>
      </c>
      <c r="G881" s="1" t="str">
        <f>IFERROR(__xludf.DUMMYFUNCTION("""COMPUTED_VALUE"""),"35.718937")</f>
        <v>35.718937</v>
      </c>
      <c r="H881" s="1" t="str">
        <f>IFERROR(__xludf.DUMMYFUNCTION("""COMPUTED_VALUE"""),"-85.83887")</f>
        <v>-85.83887</v>
      </c>
      <c r="I881" s="1" t="str">
        <f>IFERROR(__xludf.DUMMYFUNCTION("""COMPUTED_VALUE"""),"Proposed")</f>
        <v>Proposed</v>
      </c>
      <c r="J881" s="1" t="str">
        <f>IFERROR(__xludf.DUMMYFUNCTION("""COMPUTED_VALUE"""),"Low")</f>
        <v>Low</v>
      </c>
      <c r="K881" s="1" t="str">
        <f>IFERROR(__xludf.DUMMYFUNCTION("""COMPUTED_VALUE"""),"")</f>
        <v/>
      </c>
      <c r="L881" s="1" t="str">
        <f>IFERROR(__xludf.DUMMYFUNCTION("""COMPUTED_VALUE"""),"")</f>
        <v/>
      </c>
      <c r="M881" s="1" t="str">
        <f>IFERROR(__xludf.DUMMYFUNCTION("""COMPUTED_VALUE"""),"")</f>
        <v/>
      </c>
      <c r="N881" s="1" t="str">
        <f>IFERROR(__xludf.DUMMYFUNCTION("""COMPUTED_VALUE"""),"25")</f>
        <v>25</v>
      </c>
      <c r="O881" s="1" t="str">
        <f>IFERROR(__xludf.DUMMYFUNCTION("""COMPUTED_VALUE"""),"Medium (11-50 MW)")</f>
        <v>Medium (11-50 MW)</v>
      </c>
      <c r="P881" s="1" t="str">
        <f>IFERROR(__xludf.DUMMYFUNCTION("""COMPUTED_VALUE"""),"Fuel Cells")</f>
        <v>Fuel Cells</v>
      </c>
      <c r="Q881" s="1" t="str">
        <f>IFERROR(__xludf.DUMMYFUNCTION("""COMPUTED_VALUE"""),"")</f>
        <v/>
      </c>
      <c r="R881" s="1" t="str">
        <f>IFERROR(__xludf.DUMMYFUNCTION("""COMPUTED_VALUE"""),"")</f>
        <v/>
      </c>
      <c r="S881" s="1" t="str">
        <f>IFERROR(__xludf.DUMMYFUNCTION("""COMPUTED_VALUE"""),"")</f>
        <v/>
      </c>
      <c r="T881" s="1" t="str">
        <f>IFERROR(__xludf.DUMMYFUNCTION("""COMPUTED_VALUE"""),"")</f>
        <v/>
      </c>
      <c r="U881" s="1" t="str">
        <f>IFERROR(__xludf.DUMMYFUNCTION("""COMPUTED_VALUE"""),"")</f>
        <v/>
      </c>
      <c r="V881" s="1" t="str">
        <f>IFERROR(__xludf.DUMMYFUNCTION("""COMPUTED_VALUE"""),"96,065")</f>
        <v>96,065</v>
      </c>
      <c r="W881" s="1" t="str">
        <f>IFERROR(__xludf.DUMMYFUNCTION("""COMPUTED_VALUE"""),"")</f>
        <v/>
      </c>
      <c r="X881" s="1" t="str">
        <f>IFERROR(__xludf.DUMMYFUNCTION("""COMPUTED_VALUE"""),"")</f>
        <v/>
      </c>
      <c r="Y881" s="1" t="str">
        <f>IFERROR(__xludf.DUMMYFUNCTION("""COMPUTED_VALUE"""),"")</f>
        <v/>
      </c>
      <c r="Z881" s="1" t="str">
        <f>IFERROR(__xludf.DUMMYFUNCTION("""COMPUTED_VALUE"""),"Unknown")</f>
        <v>Unknown</v>
      </c>
      <c r="AA881" s="1" t="str">
        <f>IFERROR(__xludf.DUMMYFUNCTION("""COMPUTED_VALUE"""),"")</f>
        <v/>
      </c>
      <c r="AB881" s="1" t="str">
        <f>IFERROR(__xludf.DUMMYFUNCTION("""COMPUTED_VALUE"""),"")</f>
        <v/>
      </c>
      <c r="AC881" s="1" t="str">
        <f>IFERROR(__xludf.DUMMYFUNCTION("""COMPUTED_VALUE"""),"")</f>
        <v/>
      </c>
      <c r="AD881" s="1" t="str">
        <f>IFERROR(__xludf.DUMMYFUNCTION("""COMPUTED_VALUE"""),"")</f>
        <v/>
      </c>
      <c r="AE881" s="1" t="str">
        <f>IFERROR(__xludf.DUMMYFUNCTION("""COMPUTED_VALUE"""),"")</f>
        <v/>
      </c>
      <c r="AF881" s="1" t="str">
        <f>IFERROR(__xludf.DUMMYFUNCTION("""COMPUTED_VALUE"""),"")</f>
        <v/>
      </c>
      <c r="AG881" s="1" t="str">
        <f>IFERROR(__xludf.DUMMYFUNCTION("""COMPUTED_VALUE"""),"25MW batteries on site")</f>
        <v>25MW batteries on site</v>
      </c>
      <c r="AH881" s="1" t="str">
        <f>IFERROR(__xludf.DUMMYFUNCTION("""COMPUTED_VALUE"""),"Media Monitoring")</f>
        <v>Media Monitoring</v>
      </c>
      <c r="AI881" s="2" t="str">
        <f>IFERROR(__xludf.DUMMYFUNCTION("""COMPUTED_VALUE"""),"https://www.datacenterdynamics.com/en/news/25mw-ai-data-center-to-be-built-in-mcminnville-tennessee/")</f>
        <v>https://www.datacenterdynamics.com/en/news/25mw-ai-data-center-to-be-built-in-mcminnville-tennessee/</v>
      </c>
      <c r="AJ881" s="2" t="str">
        <f>IFERROR(__xludf.DUMMYFUNCTION("""COMPUTED_VALUE"""),"https://hixsondc.com/")</f>
        <v>https://hixsondc.com/</v>
      </c>
      <c r="AK881" s="2" t="str">
        <f>IFERROR(__xludf.DUMMYFUNCTION("""COMPUTED_VALUE"""),"https://warrencountyecd.com/site/mcminnville-warren-digital-site/")</f>
        <v>https://warrencountyecd.com/site/mcminnville-warren-digital-site/</v>
      </c>
      <c r="AL881" s="1" t="str">
        <f>IFERROR(__xludf.DUMMYFUNCTION("""COMPUTED_VALUE"""),"")</f>
        <v/>
      </c>
      <c r="AM881" s="1" t="str">
        <f>IFERROR(__xludf.DUMMYFUNCTION("""COMPUTED_VALUE"""),"")</f>
        <v/>
      </c>
      <c r="AN881" s="1" t="str">
        <f>IFERROR(__xludf.DUMMYFUNCTION("""COMPUTED_VALUE"""),"")</f>
        <v/>
      </c>
      <c r="AO881" s="1" t="str">
        <f>IFERROR(__xludf.DUMMYFUNCTION("""COMPUTED_VALUE"""),"")</f>
        <v/>
      </c>
      <c r="AP881" s="1" t="str">
        <f>IFERROR(__xludf.DUMMYFUNCTION("""COMPUTED_VALUE"""),"")</f>
        <v/>
      </c>
      <c r="AQ881" s="1" t="str">
        <f>IFERROR(__xludf.DUMMYFUNCTION("""COMPUTED_VALUE"""),"05/28/2026")</f>
        <v>05/28/2026</v>
      </c>
      <c r="AR881" s="1" t="str">
        <f>IFERROR(__xludf.DUMMYFUNCTION("""COMPUTED_VALUE"""),"05/28/2026")</f>
        <v>05/28/2026</v>
      </c>
    </row>
    <row r="882">
      <c r="A882" s="1" t="str">
        <f>IFERROR(__xludf.DUMMYFUNCTION("""COMPUTED_VALUE"""),"xAI Colossus 1")</f>
        <v>xAI Colossus 1</v>
      </c>
      <c r="B882" s="1" t="str">
        <f>IFERROR(__xludf.DUMMYFUNCTION("""COMPUTED_VALUE"""),"3231 Riverport Rd/ Paul Lowry Rd")</f>
        <v>3231 Riverport Rd/ Paul Lowry Rd</v>
      </c>
      <c r="C882" s="1" t="str">
        <f>IFERROR(__xludf.DUMMYFUNCTION("""COMPUTED_VALUE"""),"Memphis")</f>
        <v>Memphis</v>
      </c>
      <c r="D882" s="1" t="str">
        <f>IFERROR(__xludf.DUMMYFUNCTION("""COMPUTED_VALUE"""),"TN")</f>
        <v>TN</v>
      </c>
      <c r="E882" s="1" t="str">
        <f>IFERROR(__xludf.DUMMYFUNCTION("""COMPUTED_VALUE"""),"38109")</f>
        <v>38109</v>
      </c>
      <c r="F882" s="1" t="str">
        <f>IFERROR(__xludf.DUMMYFUNCTION("""COMPUTED_VALUE"""),"Shelby")</f>
        <v>Shelby</v>
      </c>
      <c r="G882" s="1" t="str">
        <f>IFERROR(__xludf.DUMMYFUNCTION("""COMPUTED_VALUE"""),"35.05983")</f>
        <v>35.05983</v>
      </c>
      <c r="H882" s="1" t="str">
        <f>IFERROR(__xludf.DUMMYFUNCTION("""COMPUTED_VALUE"""),"-90.1562")</f>
        <v>-90.1562</v>
      </c>
      <c r="I882" s="1" t="str">
        <f>IFERROR(__xludf.DUMMYFUNCTION("""COMPUTED_VALUE"""),"Operating")</f>
        <v>Operating</v>
      </c>
      <c r="J882" s="1" t="str">
        <f>IFERROR(__xludf.DUMMYFUNCTION("""COMPUTED_VALUE"""),"High")</f>
        <v>High</v>
      </c>
      <c r="K882" s="1" t="str">
        <f>IFERROR(__xludf.DUMMYFUNCTION("""COMPUTED_VALUE"""),"")</f>
        <v/>
      </c>
      <c r="L882" s="1" t="str">
        <f>IFERROR(__xludf.DUMMYFUNCTION("""COMPUTED_VALUE"""),"xAI")</f>
        <v>xAI</v>
      </c>
      <c r="M882" s="1" t="str">
        <f>IFERROR(__xludf.DUMMYFUNCTION("""COMPUTED_VALUE"""),"")</f>
        <v/>
      </c>
      <c r="N882" s="1" t="str">
        <f>IFERROR(__xludf.DUMMYFUNCTION("""COMPUTED_VALUE"""),"498")</f>
        <v>498</v>
      </c>
      <c r="O882" s="1" t="str">
        <f>IFERROR(__xludf.DUMMYFUNCTION("""COMPUTED_VALUE"""),"Hyperscale (100-999 MW)")</f>
        <v>Hyperscale (100-999 MW)</v>
      </c>
      <c r="P882" s="1" t="str">
        <f>IFERROR(__xludf.DUMMYFUNCTION("""COMPUTED_VALUE"""),"")</f>
        <v/>
      </c>
      <c r="Q882" s="1" t="str">
        <f>IFERROR(__xludf.DUMMYFUNCTION("""COMPUTED_VALUE"""),"")</f>
        <v/>
      </c>
      <c r="R882" s="1" t="str">
        <f>IFERROR(__xludf.DUMMYFUNCTION("""COMPUTED_VALUE"""),"")</f>
        <v/>
      </c>
      <c r="S882" s="1" t="str">
        <f>IFERROR(__xludf.DUMMYFUNCTION("""COMPUTED_VALUE"""),"")</f>
        <v/>
      </c>
      <c r="T882" s="1" t="str">
        <f>IFERROR(__xludf.DUMMYFUNCTION("""COMPUTED_VALUE"""),"")</f>
        <v/>
      </c>
      <c r="U882" s="1" t="str">
        <f>IFERROR(__xludf.DUMMYFUNCTION("""COMPUTED_VALUE"""),"")</f>
        <v/>
      </c>
      <c r="V882" s="1" t="str">
        <f>IFERROR(__xludf.DUMMYFUNCTION("""COMPUTED_VALUE"""),"")</f>
        <v/>
      </c>
      <c r="W882" s="1" t="str">
        <f>IFERROR(__xludf.DUMMYFUNCTION("""COMPUTED_VALUE"""),"")</f>
        <v/>
      </c>
      <c r="X882" s="1" t="str">
        <f>IFERROR(__xludf.DUMMYFUNCTION("""COMPUTED_VALUE"""),"")</f>
        <v/>
      </c>
      <c r="Y882" s="1" t="str">
        <f>IFERROR(__xludf.DUMMYFUNCTION("""COMPUTED_VALUE"""),"")</f>
        <v/>
      </c>
      <c r="Z882" s="1" t="str">
        <f>IFERROR(__xludf.DUMMYFUNCTION("""COMPUTED_VALUE"""),"Yes")</f>
        <v>Yes</v>
      </c>
      <c r="AA882" s="1" t="str">
        <f>IFERROR(__xludf.DUMMYFUNCTION("""COMPUTED_VALUE"""),"")</f>
        <v/>
      </c>
      <c r="AB882" s="1" t="str">
        <f>IFERROR(__xludf.DUMMYFUNCTION("""COMPUTED_VALUE"""),"")</f>
        <v/>
      </c>
      <c r="AC882" s="1" t="str">
        <f>IFERROR(__xludf.DUMMYFUNCTION("""COMPUTED_VALUE"""),"")</f>
        <v/>
      </c>
      <c r="AD882" s="1" t="str">
        <f>IFERROR(__xludf.DUMMYFUNCTION("""COMPUTED_VALUE"""),"")</f>
        <v/>
      </c>
      <c r="AE882" s="1" t="str">
        <f>IFERROR(__xludf.DUMMYFUNCTION("""COMPUTED_VALUE"""),"")</f>
        <v/>
      </c>
      <c r="AF882" s="1" t="str">
        <f>IFERROR(__xludf.DUMMYFUNCTION("""COMPUTED_VALUE"""),"")</f>
        <v/>
      </c>
      <c r="AG882" s="1" t="str">
        <f>IFERROR(__xludf.DUMMYFUNCTION("""COMPUTED_VALUE"""),"Powered by unpermitted gas turbines")</f>
        <v>Powered by unpermitted gas turbines</v>
      </c>
      <c r="AH882" s="1" t="str">
        <f>IFERROR(__xludf.DUMMYFUNCTION("""COMPUTED_VALUE"""),"Media Monitoring")</f>
        <v>Media Monitoring</v>
      </c>
      <c r="AI882" s="2" t="str">
        <f>IFERROR(__xludf.DUMMYFUNCTION("""COMPUTED_VALUE"""),"https://www.datacenterdynamics.com/en/news/xai-removes-some-of-controversial-gas-turbines-from-memphis-data-center/")</f>
        <v>https://www.datacenterdynamics.com/en/news/xai-removes-some-of-controversial-gas-turbines-from-memphis-data-center/</v>
      </c>
      <c r="AJ882" s="2" t="str">
        <f>IFERROR(__xludf.DUMMYFUNCTION("""COMPUTED_VALUE"""),"https://epoch.ai/data/data-centers/satellite-explorer/xAIColossus1MemphisTennessee?ref=404media.co")</f>
        <v>https://epoch.ai/data/data-centers/satellite-explorer/xAIColossus1MemphisTennessee?ref=404media.co</v>
      </c>
      <c r="AK882" s="2" t="str">
        <f>IFERROR(__xludf.DUMMYFUNCTION("""COMPUTED_VALUE"""),"https://www.selc.org/news/xai-built-an-illegal-power-plant-to-power-its-data-center/")</f>
        <v>https://www.selc.org/news/xai-built-an-illegal-power-plant-to-power-its-data-center/</v>
      </c>
      <c r="AL882" s="1" t="str">
        <f>IFERROR(__xludf.DUMMYFUNCTION("""COMPUTED_VALUE"""),"")</f>
        <v/>
      </c>
      <c r="AM882" s="1" t="str">
        <f>IFERROR(__xludf.DUMMYFUNCTION("""COMPUTED_VALUE"""),"")</f>
        <v/>
      </c>
      <c r="AN882" s="1" t="str">
        <f>IFERROR(__xludf.DUMMYFUNCTION("""COMPUTED_VALUE"""),"")</f>
        <v/>
      </c>
      <c r="AO882" s="1" t="str">
        <f>IFERROR(__xludf.DUMMYFUNCTION("""COMPUTED_VALUE"""),"")</f>
        <v/>
      </c>
      <c r="AP882" s="1" t="str">
        <f>IFERROR(__xludf.DUMMYFUNCTION("""COMPUTED_VALUE"""),"")</f>
        <v/>
      </c>
      <c r="AQ882" s="1" t="str">
        <f>IFERROR(__xludf.DUMMYFUNCTION("""COMPUTED_VALUE"""),"07/05/2025")</f>
        <v>07/05/2025</v>
      </c>
      <c r="AR882" s="1" t="str">
        <f>IFERROR(__xludf.DUMMYFUNCTION("""COMPUTED_VALUE"""),"01/05/2026")</f>
        <v>01/05/2026</v>
      </c>
    </row>
    <row r="883">
      <c r="A883" s="1" t="str">
        <f>IFERROR(__xludf.DUMMYFUNCTION("""COMPUTED_VALUE"""),"xAI Colossus 2")</f>
        <v>xAI Colossus 2</v>
      </c>
      <c r="B883" s="1" t="str">
        <f>IFERROR(__xludf.DUMMYFUNCTION("""COMPUTED_VALUE"""),"5420 Tulane Rd")</f>
        <v>5420 Tulane Rd</v>
      </c>
      <c r="C883" s="1" t="str">
        <f>IFERROR(__xludf.DUMMYFUNCTION("""COMPUTED_VALUE"""),"Memphis")</f>
        <v>Memphis</v>
      </c>
      <c r="D883" s="1" t="str">
        <f>IFERROR(__xludf.DUMMYFUNCTION("""COMPUTED_VALUE"""),"TN")</f>
        <v>TN</v>
      </c>
      <c r="E883" s="1" t="str">
        <f>IFERROR(__xludf.DUMMYFUNCTION("""COMPUTED_VALUE"""),"38109")</f>
        <v>38109</v>
      </c>
      <c r="F883" s="1" t="str">
        <f>IFERROR(__xludf.DUMMYFUNCTION("""COMPUTED_VALUE"""),"Shelby")</f>
        <v>Shelby</v>
      </c>
      <c r="G883" s="1" t="str">
        <f>IFERROR(__xludf.DUMMYFUNCTION("""COMPUTED_VALUE"""),"34.998074")</f>
        <v>34.998074</v>
      </c>
      <c r="H883" s="1" t="str">
        <f>IFERROR(__xludf.DUMMYFUNCTION("""COMPUTED_VALUE"""),"-90.03507")</f>
        <v>-90.03507</v>
      </c>
      <c r="I883" s="1" t="str">
        <f>IFERROR(__xludf.DUMMYFUNCTION("""COMPUTED_VALUE"""),"Expanding")</f>
        <v>Expanding</v>
      </c>
      <c r="J883" s="1" t="str">
        <f>IFERROR(__xludf.DUMMYFUNCTION("""COMPUTED_VALUE"""),"High")</f>
        <v>High</v>
      </c>
      <c r="K883" s="1" t="str">
        <f>IFERROR(__xludf.DUMMYFUNCTION("""COMPUTED_VALUE"""),"")</f>
        <v/>
      </c>
      <c r="L883" s="1" t="str">
        <f>IFERROR(__xludf.DUMMYFUNCTION("""COMPUTED_VALUE"""),"xAI")</f>
        <v>xAI</v>
      </c>
      <c r="M883" s="1" t="str">
        <f>IFERROR(__xludf.DUMMYFUNCTION("""COMPUTED_VALUE"""),"")</f>
        <v/>
      </c>
      <c r="N883" s="1" t="str">
        <f>IFERROR(__xludf.DUMMYFUNCTION("""COMPUTED_VALUE"""),"1400")</f>
        <v>1400</v>
      </c>
      <c r="O883" s="1" t="str">
        <f>IFERROR(__xludf.DUMMYFUNCTION("""COMPUTED_VALUE"""),"Hyperscale (100-999 MW)")</f>
        <v>Hyperscale (100-999 MW)</v>
      </c>
      <c r="P883" s="1" t="str">
        <f>IFERROR(__xludf.DUMMYFUNCTION("""COMPUTED_VALUE"""),"")</f>
        <v/>
      </c>
      <c r="Q883" s="1" t="str">
        <f>IFERROR(__xludf.DUMMYFUNCTION("""COMPUTED_VALUE"""),"")</f>
        <v/>
      </c>
      <c r="R883" s="1" t="str">
        <f>IFERROR(__xludf.DUMMYFUNCTION("""COMPUTED_VALUE"""),"")</f>
        <v/>
      </c>
      <c r="S883" s="1" t="str">
        <f>IFERROR(__xludf.DUMMYFUNCTION("""COMPUTED_VALUE"""),"")</f>
        <v/>
      </c>
      <c r="T883" s="1" t="str">
        <f>IFERROR(__xludf.DUMMYFUNCTION("""COMPUTED_VALUE"""),"")</f>
        <v/>
      </c>
      <c r="U883" s="1" t="str">
        <f>IFERROR(__xludf.DUMMYFUNCTION("""COMPUTED_VALUE"""),"")</f>
        <v/>
      </c>
      <c r="V883" s="1" t="str">
        <f>IFERROR(__xludf.DUMMYFUNCTION("""COMPUTED_VALUE"""),"1,000,000")</f>
        <v>1,000,000</v>
      </c>
      <c r="W883" s="1" t="str">
        <f>IFERROR(__xludf.DUMMYFUNCTION("""COMPUTED_VALUE"""),"")</f>
        <v/>
      </c>
      <c r="X883" s="1" t="str">
        <f>IFERROR(__xludf.DUMMYFUNCTION("""COMPUTED_VALUE"""),"")</f>
        <v/>
      </c>
      <c r="Y883" s="1" t="str">
        <f>IFERROR(__xludf.DUMMYFUNCTION("""COMPUTED_VALUE"""),"")</f>
        <v/>
      </c>
      <c r="Z883" s="1" t="str">
        <f>IFERROR(__xludf.DUMMYFUNCTION("""COMPUTED_VALUE"""),"Yes")</f>
        <v>Yes</v>
      </c>
      <c r="AA883" s="1" t="str">
        <f>IFERROR(__xludf.DUMMYFUNCTION("""COMPUTED_VALUE"""),"Community advocacy surrounding the xAI project at 5420 Tulane Rd is led by a coalition of environmental justice and civil rights groups. These organizations are primarily concerned with the impact of massive energy and water demands on South Memphis, a re"&amp;"gion they describe as already overburdened by decades of industrial pollution.")</f>
        <v>Community advocacy surrounding the xAI project at 5420 Tulane Rd is led by a coalition of environmental justice and civil rights groups. These organizations are primarily concerned with the impact of massive energy and water demands on South Memphis, a region they describe as already overburdened by decades of industrial pollution.</v>
      </c>
      <c r="AB883" s="1" t="str">
        <f>IFERROR(__xludf.DUMMYFUNCTION("""COMPUTED_VALUE"""),"Organized Advocacy")</f>
        <v>Organized Advocacy</v>
      </c>
      <c r="AC883" s="1" t="str">
        <f>IFERROR(__xludf.DUMMYFUNCTION("""COMPUTED_VALUE"""),"")</f>
        <v/>
      </c>
      <c r="AD883" s="2" t="str">
        <f>IFERROR(__xludf.DUMMYFUNCTION("""COMPUTED_VALUE"""),"https://www.memphiscap.org/mcapcampaigns/blog-post-title-three-4frah")</f>
        <v>https://www.memphiscap.org/mcapcampaigns/blog-post-title-three-4frah</v>
      </c>
      <c r="AE883" s="2" t="str">
        <f>IFERROR(__xludf.DUMMYFUNCTION("""COMPUTED_VALUE"""),"https://www.protectouraquifer.org/issues/xai-supercomputer")</f>
        <v>https://www.protectouraquifer.org/issues/xai-supercomputer</v>
      </c>
      <c r="AF883" s="2" t="str">
        <f>IFERROR(__xludf.DUMMYFUNCTION("""COMPUTED_VALUE"""),"https://actionnetwork.org/petitions/shut-down-the-unpermitted-xai-power-plant-in-southaven")</f>
        <v>https://actionnetwork.org/petitions/shut-down-the-unpermitted-xai-power-plant-in-southaven</v>
      </c>
      <c r="AG883" s="1" t="str">
        <f>IFERROR(__xludf.DUMMYFUNCTION("""COMPUTED_VALUE"""),"Powered by unpermitted gas turbines")</f>
        <v>Powered by unpermitted gas turbines</v>
      </c>
      <c r="AH883" s="1" t="str">
        <f>IFERROR(__xludf.DUMMYFUNCTION("""COMPUTED_VALUE"""),"Media Monitoring")</f>
        <v>Media Monitoring</v>
      </c>
      <c r="AI883" s="2" t="str">
        <f>IFERROR(__xludf.DUMMYFUNCTION("""COMPUTED_VALUE"""),"https://www.datacenterdynamics.com/en/news/elon-musks-xai-buys-one-million-sq-ft-site-for-second-memphis-data-center/")</f>
        <v>https://www.datacenterdynamics.com/en/news/elon-musks-xai-buys-one-million-sq-ft-site-for-second-memphis-data-center/</v>
      </c>
      <c r="AJ883" s="2" t="str">
        <f>IFERROR(__xludf.DUMMYFUNCTION("""COMPUTED_VALUE"""),"https://www.tomshardware.com/tech-industry/artificial-intelligence/elon-musk-xai-power-plant-overseas-to-power-1-million-gpus")</f>
        <v>https://www.tomshardware.com/tech-industry/artificial-intelligence/elon-musk-xai-power-plant-overseas-to-power-1-million-gpus</v>
      </c>
      <c r="AK883" s="2" t="str">
        <f>IFERROR(__xludf.DUMMYFUNCTION("""COMPUTED_VALUE"""),"https://epoch.ai/data/data-centers/satellite-explorer/xAIColossus2MemphisTennessee?ref=404media.co")</f>
        <v>https://epoch.ai/data/data-centers/satellite-explorer/xAIColossus2MemphisTennessee?ref=404media.co</v>
      </c>
      <c r="AL883" s="2" t="str">
        <f>IFERROR(__xludf.DUMMYFUNCTION("""COMPUTED_VALUE"""),"https://www.datacenterdynamics.com/en/news/elon-musks-xai-to-spend-659m-on-new-building-for-memphis-data-center-cluster/")</f>
        <v>https://www.datacenterdynamics.com/en/news/elon-musks-xai-to-spend-659m-on-new-building-for-memphis-data-center-cluster/</v>
      </c>
      <c r="AM883" s="2" t="str">
        <f>IFERROR(__xludf.DUMMYFUNCTION("""COMPUTED_VALUE"""),"https://www.selc.org/news/xai-built-an-illegal-power-plant-to-power-its-data-center/")</f>
        <v>https://www.selc.org/news/xai-built-an-illegal-power-plant-to-power-its-data-center/</v>
      </c>
      <c r="AN883" s="1" t="str">
        <f>IFERROR(__xludf.DUMMYFUNCTION("""COMPUTED_VALUE"""),"")</f>
        <v/>
      </c>
      <c r="AO883" s="1" t="str">
        <f>IFERROR(__xludf.DUMMYFUNCTION("""COMPUTED_VALUE"""),"")</f>
        <v/>
      </c>
      <c r="AP883" s="1" t="str">
        <f>IFERROR(__xludf.DUMMYFUNCTION("""COMPUTED_VALUE"""),"")</f>
        <v/>
      </c>
      <c r="AQ883" s="1" t="str">
        <f>IFERROR(__xludf.DUMMYFUNCTION("""COMPUTED_VALUE"""),"07/05/2025")</f>
        <v>07/05/2025</v>
      </c>
      <c r="AR883" s="1" t="str">
        <f>IFERROR(__xludf.DUMMYFUNCTION("""COMPUTED_VALUE"""),"03/05/2026")</f>
        <v>03/05/2026</v>
      </c>
    </row>
    <row r="884">
      <c r="A884" s="1" t="str">
        <f>IFERROR(__xludf.DUMMYFUNCTION("""COMPUTED_VALUE""")," DC Blox Data Center")</f>
        <v> DC Blox Data Center</v>
      </c>
      <c r="B884" s="1" t="str">
        <f>IFERROR(__xludf.DUMMYFUNCTION("""COMPUTED_VALUE"""),"648 Grassmere Park")</f>
        <v>648 Grassmere Park</v>
      </c>
      <c r="C884" s="1" t="str">
        <f>IFERROR(__xludf.DUMMYFUNCTION("""COMPUTED_VALUE"""),"Nashville")</f>
        <v>Nashville</v>
      </c>
      <c r="D884" s="1" t="str">
        <f>IFERROR(__xludf.DUMMYFUNCTION("""COMPUTED_VALUE"""),"TN")</f>
        <v>TN</v>
      </c>
      <c r="E884" s="1" t="str">
        <f>IFERROR(__xludf.DUMMYFUNCTION("""COMPUTED_VALUE"""),"37211")</f>
        <v>37211</v>
      </c>
      <c r="F884" s="1" t="str">
        <f>IFERROR(__xludf.DUMMYFUNCTION("""COMPUTED_VALUE"""),"Davidson")</f>
        <v>Davidson</v>
      </c>
      <c r="G884" s="1" t="str">
        <f>IFERROR(__xludf.DUMMYFUNCTION("""COMPUTED_VALUE"""),"36.090492")</f>
        <v>36.090492</v>
      </c>
      <c r="H884" s="1" t="str">
        <f>IFERROR(__xludf.DUMMYFUNCTION("""COMPUTED_VALUE"""),"-86.74721")</f>
        <v>-86.74721</v>
      </c>
      <c r="I884" s="1" t="str">
        <f>IFERROR(__xludf.DUMMYFUNCTION("""COMPUTED_VALUE"""),"Proposed")</f>
        <v>Proposed</v>
      </c>
      <c r="J884" s="1" t="str">
        <f>IFERROR(__xludf.DUMMYFUNCTION("""COMPUTED_VALUE"""),"High")</f>
        <v>High</v>
      </c>
      <c r="K884" s="1" t="str">
        <f>IFERROR(__xludf.DUMMYFUNCTION("""COMPUTED_VALUE"""),"")</f>
        <v/>
      </c>
      <c r="L884" s="1" t="str">
        <f>IFERROR(__xludf.DUMMYFUNCTION("""COMPUTED_VALUE"""),"")</f>
        <v/>
      </c>
      <c r="M884" s="1" t="str">
        <f>IFERROR(__xludf.DUMMYFUNCTION("""COMPUTED_VALUE"""),"")</f>
        <v/>
      </c>
      <c r="N884" s="1" t="str">
        <f>IFERROR(__xludf.DUMMYFUNCTION("""COMPUTED_VALUE"""),"")</f>
        <v/>
      </c>
      <c r="O884" s="1" t="str">
        <f>IFERROR(__xludf.DUMMYFUNCTION("""COMPUTED_VALUE"""),"Unknown")</f>
        <v>Unknown</v>
      </c>
      <c r="P884" s="1" t="str">
        <f>IFERROR(__xludf.DUMMYFUNCTION("""COMPUTED_VALUE"""),"Grid (unspecified mix)")</f>
        <v>Grid (unspecified mix)</v>
      </c>
      <c r="Q884" s="1" t="str">
        <f>IFERROR(__xludf.DUMMYFUNCTION("""COMPUTED_VALUE"""),"")</f>
        <v/>
      </c>
      <c r="R884" s="1" t="str">
        <f>IFERROR(__xludf.DUMMYFUNCTION("""COMPUTED_VALUE"""),"")</f>
        <v/>
      </c>
      <c r="S884" s="1" t="str">
        <f>IFERROR(__xludf.DUMMYFUNCTION("""COMPUTED_VALUE"""),"")</f>
        <v/>
      </c>
      <c r="T884" s="1" t="str">
        <f>IFERROR(__xludf.DUMMYFUNCTION("""COMPUTED_VALUE"""),"")</f>
        <v/>
      </c>
      <c r="U884" s="1" t="str">
        <f>IFERROR(__xludf.DUMMYFUNCTION("""COMPUTED_VALUE"""),"")</f>
        <v/>
      </c>
      <c r="V884" s="1" t="str">
        <f>IFERROR(__xludf.DUMMYFUNCTION("""COMPUTED_VALUE"""),"69,220")</f>
        <v>69,220</v>
      </c>
      <c r="W884" s="1" t="str">
        <f>IFERROR(__xludf.DUMMYFUNCTION("""COMPUTED_VALUE"""),"")</f>
        <v/>
      </c>
      <c r="X884" s="1" t="str">
        <f>IFERROR(__xludf.DUMMYFUNCTION("""COMPUTED_VALUE"""),"")</f>
        <v/>
      </c>
      <c r="Y884" s="1" t="str">
        <f>IFERROR(__xludf.DUMMYFUNCTION("""COMPUTED_VALUE"""),"")</f>
        <v/>
      </c>
      <c r="Z884" s="1" t="str">
        <f>IFERROR(__xludf.DUMMYFUNCTION("""COMPUTED_VALUE"""),"Yes")</f>
        <v>Yes</v>
      </c>
      <c r="AA884" s="1" t="str">
        <f>IFERROR(__xludf.DUMMYFUNCTION("""COMPUTED_VALUE"""),"")</f>
        <v/>
      </c>
      <c r="AB884" s="1" t="str">
        <f>IFERROR(__xludf.DUMMYFUNCTION("""COMPUTED_VALUE"""),"Organized Advocacy")</f>
        <v>Organized Advocacy</v>
      </c>
      <c r="AC884" s="1" t="str">
        <f>IFERROR(__xludf.DUMMYFUNCTION("""COMPUTED_VALUE"""),"")</f>
        <v/>
      </c>
      <c r="AD884" s="1" t="str">
        <f>IFERROR(__xludf.DUMMYFUNCTION("""COMPUTED_VALUE"""),"Glencliff Neighbors of South Nashville")</f>
        <v>Glencliff Neighbors of South Nashville</v>
      </c>
      <c r="AE884" s="1" t="str">
        <f>IFERROR(__xludf.DUMMYFUNCTION("""COMPUTED_VALUE"""),"")</f>
        <v/>
      </c>
      <c r="AF884" s="2" t="str">
        <f>IFERROR(__xludf.DUMMYFUNCTION("""COMPUTED_VALUE"""),"https://www.change.org/p/nashville-zoo-says-no-to-proposed-data-center")</f>
        <v>https://www.change.org/p/nashville-zoo-says-no-to-proposed-data-center</v>
      </c>
      <c r="AG884" s="1" t="str">
        <f>IFERROR(__xludf.DUMMYFUNCTION("""COMPUTED_VALUE"""),"160,000 signatures")</f>
        <v>160,000 signatures</v>
      </c>
      <c r="AH884" s="1" t="str">
        <f>IFERROR(__xludf.DUMMYFUNCTION("""COMPUTED_VALUE"""),"Media Monitoring")</f>
        <v>Media Monitoring</v>
      </c>
      <c r="AI884" s="2" t="str">
        <f>IFERROR(__xludf.DUMMYFUNCTION("""COMPUTED_VALUE"""),"https://www.wkrn.com/news/local-news/nashville/160k-sign-petition-opposing-data-center-next-nashville-zoo/")</f>
        <v>https://www.wkrn.com/news/local-news/nashville/160k-sign-petition-opposing-data-center-next-nashville-zoo/</v>
      </c>
      <c r="AJ884" s="2" t="str">
        <f>IFERROR(__xludf.DUMMYFUNCTION("""COMPUTED_VALUE"""),"https://www.wsmv.com/2026/06/04/what-know-about-potential-data-center-next-nashville-zoo-facility-launches-petition-against-its-construction-feet-away-one-most-fragile-rare-collections-animals/")</f>
        <v>https://www.wsmv.com/2026/06/04/what-know-about-potential-data-center-next-nashville-zoo-facility-launches-petition-against-its-construction-feet-away-one-most-fragile-rare-collections-animals/</v>
      </c>
      <c r="AK884" s="2" t="str">
        <f>IFERROR(__xludf.DUMMYFUNCTION("""COMPUTED_VALUE"""),"https://www.datacenterdynamics.com/en/news/dc-bloxs-proposed-24-acre-data-center-near-nashville-zoo-could-be-blocked-by-moratorium/")</f>
        <v>https://www.datacenterdynamics.com/en/news/dc-bloxs-proposed-24-acre-data-center-near-nashville-zoo-could-be-blocked-by-moratorium/</v>
      </c>
      <c r="AL884" s="1" t="str">
        <f>IFERROR(__xludf.DUMMYFUNCTION("""COMPUTED_VALUE"""),"")</f>
        <v/>
      </c>
      <c r="AM884" s="1" t="str">
        <f>IFERROR(__xludf.DUMMYFUNCTION("""COMPUTED_VALUE"""),"")</f>
        <v/>
      </c>
      <c r="AN884" s="1" t="str">
        <f>IFERROR(__xludf.DUMMYFUNCTION("""COMPUTED_VALUE"""),"")</f>
        <v/>
      </c>
      <c r="AO884" s="1" t="str">
        <f>IFERROR(__xludf.DUMMYFUNCTION("""COMPUTED_VALUE"""),"")</f>
        <v/>
      </c>
      <c r="AP884" s="1" t="str">
        <f>IFERROR(__xludf.DUMMYFUNCTION("""COMPUTED_VALUE"""),"")</f>
        <v/>
      </c>
      <c r="AQ884" s="1" t="str">
        <f>IFERROR(__xludf.DUMMYFUNCTION("""COMPUTED_VALUE"""),"06/07/2026")</f>
        <v>06/07/2026</v>
      </c>
      <c r="AR884" s="1" t="str">
        <f>IFERROR(__xludf.DUMMYFUNCTION("""COMPUTED_VALUE"""),"06/12/2026")</f>
        <v>06/12/2026</v>
      </c>
    </row>
    <row r="885">
      <c r="A885" s="1" t="str">
        <f>IFERROR(__xludf.DUMMYFUNCTION("""COMPUTED_VALUE"""),"H5 Data Center")</f>
        <v>H5 Data Center</v>
      </c>
      <c r="B885" s="1" t="str">
        <f>IFERROR(__xludf.DUMMYFUNCTION("""COMPUTED_VALUE"""),"147 Fourth Ave")</f>
        <v>147 Fourth Ave</v>
      </c>
      <c r="C885" s="1" t="str">
        <f>IFERROR(__xludf.DUMMYFUNCTION("""COMPUTED_VALUE"""),"Nashville")</f>
        <v>Nashville</v>
      </c>
      <c r="D885" s="1" t="str">
        <f>IFERROR(__xludf.DUMMYFUNCTION("""COMPUTED_VALUE"""),"TN")</f>
        <v>TN</v>
      </c>
      <c r="E885" s="1" t="str">
        <f>IFERROR(__xludf.DUMMYFUNCTION("""COMPUTED_VALUE"""),"37219")</f>
        <v>37219</v>
      </c>
      <c r="F885" s="1" t="str">
        <f>IFERROR(__xludf.DUMMYFUNCTION("""COMPUTED_VALUE"""),"Davidson")</f>
        <v>Davidson</v>
      </c>
      <c r="G885" s="1" t="str">
        <f>IFERROR(__xludf.DUMMYFUNCTION("""COMPUTED_VALUE"""),"36.1628")</f>
        <v>36.1628</v>
      </c>
      <c r="H885" s="1" t="str">
        <f>IFERROR(__xludf.DUMMYFUNCTION("""COMPUTED_VALUE"""),"-86.77863")</f>
        <v>-86.77863</v>
      </c>
      <c r="I885" s="1" t="str">
        <f>IFERROR(__xludf.DUMMYFUNCTION("""COMPUTED_VALUE"""),"Proposed")</f>
        <v>Proposed</v>
      </c>
      <c r="J885" s="1" t="str">
        <f>IFERROR(__xludf.DUMMYFUNCTION("""COMPUTED_VALUE"""),"High")</f>
        <v>High</v>
      </c>
      <c r="K885" s="1" t="str">
        <f>IFERROR(__xludf.DUMMYFUNCTION("""COMPUTED_VALUE"""),"")</f>
        <v/>
      </c>
      <c r="L885" s="1" t="str">
        <f>IFERROR(__xludf.DUMMYFUNCTION("""COMPUTED_VALUE"""),"")</f>
        <v/>
      </c>
      <c r="M885" s="1" t="str">
        <f>IFERROR(__xludf.DUMMYFUNCTION("""COMPUTED_VALUE"""),"")</f>
        <v/>
      </c>
      <c r="N885" s="1" t="str">
        <f>IFERROR(__xludf.DUMMYFUNCTION("""COMPUTED_VALUE"""),"")</f>
        <v/>
      </c>
      <c r="O885" s="1" t="str">
        <f>IFERROR(__xludf.DUMMYFUNCTION("""COMPUTED_VALUE"""),"Unknown")</f>
        <v>Unknown</v>
      </c>
      <c r="P885" s="1" t="str">
        <f>IFERROR(__xludf.DUMMYFUNCTION("""COMPUTED_VALUE"""),"")</f>
        <v/>
      </c>
      <c r="Q885" s="1" t="str">
        <f>IFERROR(__xludf.DUMMYFUNCTION("""COMPUTED_VALUE"""),"")</f>
        <v/>
      </c>
      <c r="R885" s="1" t="str">
        <f>IFERROR(__xludf.DUMMYFUNCTION("""COMPUTED_VALUE"""),"")</f>
        <v/>
      </c>
      <c r="S885" s="1" t="str">
        <f>IFERROR(__xludf.DUMMYFUNCTION("""COMPUTED_VALUE"""),"")</f>
        <v/>
      </c>
      <c r="T885" s="1" t="str">
        <f>IFERROR(__xludf.DUMMYFUNCTION("""COMPUTED_VALUE"""),"")</f>
        <v/>
      </c>
      <c r="U885" s="1" t="str">
        <f>IFERROR(__xludf.DUMMYFUNCTION("""COMPUTED_VALUE"""),"")</f>
        <v/>
      </c>
      <c r="V885" s="1" t="str">
        <f>IFERROR(__xludf.DUMMYFUNCTION("""COMPUTED_VALUE"""),"19,700")</f>
        <v>19,700</v>
      </c>
      <c r="W885" s="1" t="str">
        <f>IFERROR(__xludf.DUMMYFUNCTION("""COMPUTED_VALUE"""),"")</f>
        <v/>
      </c>
      <c r="X885" s="1" t="str">
        <f>IFERROR(__xludf.DUMMYFUNCTION("""COMPUTED_VALUE"""),"")</f>
        <v/>
      </c>
      <c r="Y885" s="1" t="str">
        <f>IFERROR(__xludf.DUMMYFUNCTION("""COMPUTED_VALUE"""),"")</f>
        <v/>
      </c>
      <c r="Z885" s="1" t="str">
        <f>IFERROR(__xludf.DUMMYFUNCTION("""COMPUTED_VALUE"""),"Unknown")</f>
        <v>Unknown</v>
      </c>
      <c r="AA885" s="1" t="str">
        <f>IFERROR(__xludf.DUMMYFUNCTION("""COMPUTED_VALUE"""),"")</f>
        <v/>
      </c>
      <c r="AB885" s="1" t="str">
        <f>IFERROR(__xludf.DUMMYFUNCTION("""COMPUTED_VALUE"""),"")</f>
        <v/>
      </c>
      <c r="AC885" s="1" t="str">
        <f>IFERROR(__xludf.DUMMYFUNCTION("""COMPUTED_VALUE"""),"")</f>
        <v/>
      </c>
      <c r="AD885" s="1" t="str">
        <f>IFERROR(__xludf.DUMMYFUNCTION("""COMPUTED_VALUE"""),"")</f>
        <v/>
      </c>
      <c r="AE885" s="1" t="str">
        <f>IFERROR(__xludf.DUMMYFUNCTION("""COMPUTED_VALUE"""),"")</f>
        <v/>
      </c>
      <c r="AF885" s="1" t="str">
        <f>IFERROR(__xludf.DUMMYFUNCTION("""COMPUTED_VALUE"""),"")</f>
        <v/>
      </c>
      <c r="AG885" s="1" t="str">
        <f>IFERROR(__xludf.DUMMYFUNCTION("""COMPUTED_VALUE"""),"")</f>
        <v/>
      </c>
      <c r="AH885" s="1" t="str">
        <f>IFERROR(__xludf.DUMMYFUNCTION("""COMPUTED_VALUE"""),"Media Monitoring")</f>
        <v>Media Monitoring</v>
      </c>
      <c r="AI885" s="2" t="str">
        <f>IFERROR(__xludf.DUMMYFUNCTION("""COMPUTED_VALUE"""),"https://www.datacenterdynamics.com/en/news/h5-and-novacap-launch-new-data-center-platform-acquire-three-carrier-hotels-from-365/")</f>
        <v>https://www.datacenterdynamics.com/en/news/h5-and-novacap-launch-new-data-center-platform-acquire-three-carrier-hotels-from-365/</v>
      </c>
      <c r="AJ885" s="1" t="str">
        <f>IFERROR(__xludf.DUMMYFUNCTION("""COMPUTED_VALUE"""),"")</f>
        <v/>
      </c>
      <c r="AK885" s="1" t="str">
        <f>IFERROR(__xludf.DUMMYFUNCTION("""COMPUTED_VALUE"""),"")</f>
        <v/>
      </c>
      <c r="AL885" s="1" t="str">
        <f>IFERROR(__xludf.DUMMYFUNCTION("""COMPUTED_VALUE"""),"")</f>
        <v/>
      </c>
      <c r="AM885" s="1" t="str">
        <f>IFERROR(__xludf.DUMMYFUNCTION("""COMPUTED_VALUE"""),"")</f>
        <v/>
      </c>
      <c r="AN885" s="1" t="str">
        <f>IFERROR(__xludf.DUMMYFUNCTION("""COMPUTED_VALUE"""),"")</f>
        <v/>
      </c>
      <c r="AO885" s="1" t="str">
        <f>IFERROR(__xludf.DUMMYFUNCTION("""COMPUTED_VALUE"""),"")</f>
        <v/>
      </c>
      <c r="AP885" s="1" t="str">
        <f>IFERROR(__xludf.DUMMYFUNCTION("""COMPUTED_VALUE"""),"")</f>
        <v/>
      </c>
      <c r="AQ885" s="1" t="str">
        <f>IFERROR(__xludf.DUMMYFUNCTION("""COMPUTED_VALUE"""),"03/04/2026")</f>
        <v>03/04/2026</v>
      </c>
      <c r="AR885" s="1" t="str">
        <f>IFERROR(__xludf.DUMMYFUNCTION("""COMPUTED_VALUE"""),"03/04/2026")</f>
        <v>03/04/2026</v>
      </c>
    </row>
    <row r="886">
      <c r="A886" s="1" t="str">
        <f>IFERROR(__xludf.DUMMYFUNCTION("""COMPUTED_VALUE"""),"Quantum Leap Data Center/ Fisk University")</f>
        <v>Quantum Leap Data Center/ Fisk University</v>
      </c>
      <c r="B886" s="1" t="str">
        <f>IFERROR(__xludf.DUMMYFUNCTION("""COMPUTED_VALUE"""),"")</f>
        <v/>
      </c>
      <c r="C886" s="1" t="str">
        <f>IFERROR(__xludf.DUMMYFUNCTION("""COMPUTED_VALUE"""),"Nashville")</f>
        <v>Nashville</v>
      </c>
      <c r="D886" s="1" t="str">
        <f>IFERROR(__xludf.DUMMYFUNCTION("""COMPUTED_VALUE"""),"TN")</f>
        <v>TN</v>
      </c>
      <c r="E886" s="1" t="str">
        <f>IFERROR(__xludf.DUMMYFUNCTION("""COMPUTED_VALUE"""),"37208")</f>
        <v>37208</v>
      </c>
      <c r="F886" s="1" t="str">
        <f>IFERROR(__xludf.DUMMYFUNCTION("""COMPUTED_VALUE"""),"Davidson")</f>
        <v>Davidson</v>
      </c>
      <c r="G886" s="1" t="str">
        <f>IFERROR(__xludf.DUMMYFUNCTION("""COMPUTED_VALUE"""),"36.168316")</f>
        <v>36.168316</v>
      </c>
      <c r="H886" s="1" t="str">
        <f>IFERROR(__xludf.DUMMYFUNCTION("""COMPUTED_VALUE"""),"-86.805565")</f>
        <v>-86.805565</v>
      </c>
      <c r="I886" s="1" t="str">
        <f>IFERROR(__xludf.DUMMYFUNCTION("""COMPUTED_VALUE"""),"Proposed")</f>
        <v>Proposed</v>
      </c>
      <c r="J886" s="1" t="str">
        <f>IFERROR(__xludf.DUMMYFUNCTION("""COMPUTED_VALUE"""),"Medium")</f>
        <v>Medium</v>
      </c>
      <c r="K886" s="1" t="str">
        <f>IFERROR(__xludf.DUMMYFUNCTION("""COMPUTED_VALUE"""),"")</f>
        <v/>
      </c>
      <c r="L886" s="1" t="str">
        <f>IFERROR(__xludf.DUMMYFUNCTION("""COMPUTED_VALUE"""),"")</f>
        <v/>
      </c>
      <c r="M886" s="1" t="str">
        <f>IFERROR(__xludf.DUMMYFUNCTION("""COMPUTED_VALUE"""),"")</f>
        <v/>
      </c>
      <c r="N886" s="1" t="str">
        <f>IFERROR(__xludf.DUMMYFUNCTION("""COMPUTED_VALUE"""),"30")</f>
        <v>30</v>
      </c>
      <c r="O886" s="1" t="str">
        <f>IFERROR(__xludf.DUMMYFUNCTION("""COMPUTED_VALUE"""),"Medium (11-50 MW)")</f>
        <v>Medium (11-50 MW)</v>
      </c>
      <c r="P886" s="1" t="str">
        <f>IFERROR(__xludf.DUMMYFUNCTION("""COMPUTED_VALUE"""),"Grid (unspecified mix)")</f>
        <v>Grid (unspecified mix)</v>
      </c>
      <c r="Q886" s="1" t="str">
        <f>IFERROR(__xludf.DUMMYFUNCTION("""COMPUTED_VALUE"""),"")</f>
        <v/>
      </c>
      <c r="R886" s="1" t="str">
        <f>IFERROR(__xludf.DUMMYFUNCTION("""COMPUTED_VALUE"""),"")</f>
        <v/>
      </c>
      <c r="S886" s="1" t="str">
        <f>IFERROR(__xludf.DUMMYFUNCTION("""COMPUTED_VALUE"""),"")</f>
        <v/>
      </c>
      <c r="T886" s="1" t="str">
        <f>IFERROR(__xludf.DUMMYFUNCTION("""COMPUTED_VALUE"""),"")</f>
        <v/>
      </c>
      <c r="U886" s="1" t="str">
        <f>IFERROR(__xludf.DUMMYFUNCTION("""COMPUTED_VALUE"""),"")</f>
        <v/>
      </c>
      <c r="V886" s="1" t="str">
        <f>IFERROR(__xludf.DUMMYFUNCTION("""COMPUTED_VALUE"""),"70000")</f>
        <v>70000</v>
      </c>
      <c r="W886" s="1" t="str">
        <f>IFERROR(__xludf.DUMMYFUNCTION("""COMPUTED_VALUE"""),"")</f>
        <v/>
      </c>
      <c r="X886" s="1" t="str">
        <f>IFERROR(__xludf.DUMMYFUNCTION("""COMPUTED_VALUE"""),"$400 million")</f>
        <v>$400 million</v>
      </c>
      <c r="Y886" s="1" t="str">
        <f>IFERROR(__xludf.DUMMYFUNCTION("""COMPUTED_VALUE"""),"")</f>
        <v/>
      </c>
      <c r="Z886" s="1" t="str">
        <f>IFERROR(__xludf.DUMMYFUNCTION("""COMPUTED_VALUE"""),"Unknown")</f>
        <v>Unknown</v>
      </c>
      <c r="AA886" s="1" t="str">
        <f>IFERROR(__xludf.DUMMYFUNCTION("""COMPUTED_VALUE"""),"")</f>
        <v/>
      </c>
      <c r="AB886" s="1" t="str">
        <f>IFERROR(__xludf.DUMMYFUNCTION("""COMPUTED_VALUE"""),"")</f>
        <v/>
      </c>
      <c r="AC886" s="1" t="str">
        <f>IFERROR(__xludf.DUMMYFUNCTION("""COMPUTED_VALUE"""),"")</f>
        <v/>
      </c>
      <c r="AD886" s="1" t="str">
        <f>IFERROR(__xludf.DUMMYFUNCTION("""COMPUTED_VALUE"""),"")</f>
        <v/>
      </c>
      <c r="AE886" s="1" t="str">
        <f>IFERROR(__xludf.DUMMYFUNCTION("""COMPUTED_VALUE"""),"")</f>
        <v/>
      </c>
      <c r="AF886" s="1" t="str">
        <f>IFERROR(__xludf.DUMMYFUNCTION("""COMPUTED_VALUE"""),"")</f>
        <v/>
      </c>
      <c r="AG886" s="1" t="str">
        <f>IFERROR(__xludf.DUMMYFUNCTION("""COMPUTED_VALUE"""),"")</f>
        <v/>
      </c>
      <c r="AH886" s="1" t="str">
        <f>IFERROR(__xludf.DUMMYFUNCTION("""COMPUTED_VALUE"""),"Media Monitoring")</f>
        <v>Media Monitoring</v>
      </c>
      <c r="AI886" s="2" t="str">
        <f>IFERROR(__xludf.DUMMYFUNCTION("""COMPUTED_VALUE"""),"https://www.datacenterdynamics.com/en/news/fisk-university-looks-to-build-data-center-in-nashville-tennessee/")</f>
        <v>https://www.datacenterdynamics.com/en/news/fisk-university-looks-to-build-data-center-in-nashville-tennessee/</v>
      </c>
      <c r="AJ886" s="1" t="str">
        <f>IFERROR(__xludf.DUMMYFUNCTION("""COMPUTED_VALUE"""),"")</f>
        <v/>
      </c>
      <c r="AK886" s="1" t="str">
        <f>IFERROR(__xludf.DUMMYFUNCTION("""COMPUTED_VALUE"""),"")</f>
        <v/>
      </c>
      <c r="AL886" s="1" t="str">
        <f>IFERROR(__xludf.DUMMYFUNCTION("""COMPUTED_VALUE"""),"")</f>
        <v/>
      </c>
      <c r="AM886" s="1" t="str">
        <f>IFERROR(__xludf.DUMMYFUNCTION("""COMPUTED_VALUE"""),"")</f>
        <v/>
      </c>
      <c r="AN886" s="1" t="str">
        <f>IFERROR(__xludf.DUMMYFUNCTION("""COMPUTED_VALUE"""),"")</f>
        <v/>
      </c>
      <c r="AO886" s="1" t="str">
        <f>IFERROR(__xludf.DUMMYFUNCTION("""COMPUTED_VALUE"""),"")</f>
        <v/>
      </c>
      <c r="AP886" s="1" t="str">
        <f>IFERROR(__xludf.DUMMYFUNCTION("""COMPUTED_VALUE"""),"")</f>
        <v/>
      </c>
      <c r="AQ886" s="1" t="str">
        <f>IFERROR(__xludf.DUMMYFUNCTION("""COMPUTED_VALUE"""),"05/20/2026")</f>
        <v>05/20/2026</v>
      </c>
      <c r="AR886" s="1" t="str">
        <f>IFERROR(__xludf.DUMMYFUNCTION("""COMPUTED_VALUE"""),"05/20/2026")</f>
        <v>05/20/2026</v>
      </c>
    </row>
    <row r="887">
      <c r="A887" s="1" t="str">
        <f>IFERROR(__xludf.DUMMYFUNCTION("""COMPUTED_VALUE"""),"Google Abernathy Data Center")</f>
        <v>Google Abernathy Data Center</v>
      </c>
      <c r="B887" s="1" t="str">
        <f>IFERROR(__xludf.DUMMYFUNCTION("""COMPUTED_VALUE"""),"")</f>
        <v/>
      </c>
      <c r="C887" s="1" t="str">
        <f>IFERROR(__xludf.DUMMYFUNCTION("""COMPUTED_VALUE"""),"Abernathy")</f>
        <v>Abernathy</v>
      </c>
      <c r="D887" s="1" t="str">
        <f>IFERROR(__xludf.DUMMYFUNCTION("""COMPUTED_VALUE"""),"TX")</f>
        <v>TX</v>
      </c>
      <c r="E887" s="1" t="str">
        <f>IFERROR(__xludf.DUMMYFUNCTION("""COMPUTED_VALUE"""),"79311")</f>
        <v>79311</v>
      </c>
      <c r="F887" s="1" t="str">
        <f>IFERROR(__xludf.DUMMYFUNCTION("""COMPUTED_VALUE"""),"Hale")</f>
        <v>Hale</v>
      </c>
      <c r="G887" s="1" t="str">
        <f>IFERROR(__xludf.DUMMYFUNCTION("""COMPUTED_VALUE"""),"33.8333")</f>
        <v>33.8333</v>
      </c>
      <c r="H887" s="1" t="str">
        <f>IFERROR(__xludf.DUMMYFUNCTION("""COMPUTED_VALUE"""),"-101.85482")</f>
        <v>-101.85482</v>
      </c>
      <c r="I887" s="1" t="str">
        <f>IFERROR(__xludf.DUMMYFUNCTION("""COMPUTED_VALUE"""),"Proposed")</f>
        <v>Proposed</v>
      </c>
      <c r="J887" s="1" t="str">
        <f>IFERROR(__xludf.DUMMYFUNCTION("""COMPUTED_VALUE"""),"Low")</f>
        <v>Low</v>
      </c>
      <c r="K887" s="1" t="str">
        <f>IFERROR(__xludf.DUMMYFUNCTION("""COMPUTED_VALUE"""),"")</f>
        <v/>
      </c>
      <c r="L887" s="1" t="str">
        <f>IFERROR(__xludf.DUMMYFUNCTION("""COMPUTED_VALUE"""),"Fluidstack/TeraWulf/Google")</f>
        <v>Fluidstack/TeraWulf/Google</v>
      </c>
      <c r="M887" s="1" t="str">
        <f>IFERROR(__xludf.DUMMYFUNCTION("""COMPUTED_VALUE"""),"")</f>
        <v/>
      </c>
      <c r="N887" s="1" t="str">
        <f>IFERROR(__xludf.DUMMYFUNCTION("""COMPUTED_VALUE"""),"168-240+")</f>
        <v>168-240+</v>
      </c>
      <c r="O887" s="1" t="str">
        <f>IFERROR(__xludf.DUMMYFUNCTION("""COMPUTED_VALUE"""),"Hyperscale (100-999 MW)")</f>
        <v>Hyperscale (100-999 MW)</v>
      </c>
      <c r="P887" s="1" t="str">
        <f>IFERROR(__xludf.DUMMYFUNCTION("""COMPUTED_VALUE"""),"")</f>
        <v/>
      </c>
      <c r="Q887" s="1" t="str">
        <f>IFERROR(__xludf.DUMMYFUNCTION("""COMPUTED_VALUE"""),"")</f>
        <v/>
      </c>
      <c r="R887" s="1" t="str">
        <f>IFERROR(__xludf.DUMMYFUNCTION("""COMPUTED_VALUE"""),"")</f>
        <v/>
      </c>
      <c r="S887" s="1" t="str">
        <f>IFERROR(__xludf.DUMMYFUNCTION("""COMPUTED_VALUE"""),"")</f>
        <v/>
      </c>
      <c r="T887" s="1" t="str">
        <f>IFERROR(__xludf.DUMMYFUNCTION("""COMPUTED_VALUE"""),"")</f>
        <v/>
      </c>
      <c r="U887" s="1" t="str">
        <f>IFERROR(__xludf.DUMMYFUNCTION("""COMPUTED_VALUE"""),"")</f>
        <v/>
      </c>
      <c r="V887" s="1" t="str">
        <f>IFERROR(__xludf.DUMMYFUNCTION("""COMPUTED_VALUE"""),"")</f>
        <v/>
      </c>
      <c r="W887" s="1" t="str">
        <f>IFERROR(__xludf.DUMMYFUNCTION("""COMPUTED_VALUE"""),"120")</f>
        <v>120</v>
      </c>
      <c r="X887" s="1" t="str">
        <f>IFERROR(__xludf.DUMMYFUNCTION("""COMPUTED_VALUE"""),"$9.5 billion")</f>
        <v>$9.5 billion</v>
      </c>
      <c r="Y887" s="1" t="str">
        <f>IFERROR(__xludf.DUMMYFUNCTION("""COMPUTED_VALUE"""),"2026")</f>
        <v>2026</v>
      </c>
      <c r="Z887" s="1" t="str">
        <f>IFERROR(__xludf.DUMMYFUNCTION("""COMPUTED_VALUE"""),"Unknown")</f>
        <v>Unknown</v>
      </c>
      <c r="AA887" s="1" t="str">
        <f>IFERROR(__xludf.DUMMYFUNCTION("""COMPUTED_VALUE"""),"")</f>
        <v/>
      </c>
      <c r="AB887" s="1" t="str">
        <f>IFERROR(__xludf.DUMMYFUNCTION("""COMPUTED_VALUE"""),"")</f>
        <v/>
      </c>
      <c r="AC887" s="1" t="str">
        <f>IFERROR(__xludf.DUMMYFUNCTION("""COMPUTED_VALUE"""),"")</f>
        <v/>
      </c>
      <c r="AD887" s="1" t="str">
        <f>IFERROR(__xludf.DUMMYFUNCTION("""COMPUTED_VALUE"""),"")</f>
        <v/>
      </c>
      <c r="AE887" s="1" t="str">
        <f>IFERROR(__xludf.DUMMYFUNCTION("""COMPUTED_VALUE"""),"")</f>
        <v/>
      </c>
      <c r="AF887" s="1" t="str">
        <f>IFERROR(__xludf.DUMMYFUNCTION("""COMPUTED_VALUE"""),"")</f>
        <v/>
      </c>
      <c r="AG887" s="1" t="str">
        <f>IFERROR(__xludf.DUMMYFUNCTION("""COMPUTED_VALUE"""),"")</f>
        <v/>
      </c>
      <c r="AH887" s="1" t="str">
        <f>IFERROR(__xludf.DUMMYFUNCTION("""COMPUTED_VALUE"""),"Media Monitoring")</f>
        <v>Media Monitoring</v>
      </c>
      <c r="AI887" s="2" t="str">
        <f>IFERROR(__xludf.DUMMYFUNCTION("""COMPUTED_VALUE"""),"https://www.datacenterdynamics.com/en/news/terawulf-and-fluidstack-to-develop-texas-data-center-in-google-backed-deal/")</f>
        <v>https://www.datacenterdynamics.com/en/news/terawulf-and-fluidstack-to-develop-texas-data-center-in-google-backed-deal/</v>
      </c>
      <c r="AJ887" s="2" t="str">
        <f>IFERROR(__xludf.DUMMYFUNCTION("""COMPUTED_VALUE"""),"https://marketchameleon.com/articles/b/2025/12/19/terawulf-fluidstack-secure-168mw-hpc-project-financing-ai-data-center-growth")</f>
        <v>https://marketchameleon.com/articles/b/2025/12/19/terawulf-fluidstack-secure-168mw-hpc-project-financing-ai-data-center-growth</v>
      </c>
      <c r="AK887" s="1" t="str">
        <f>IFERROR(__xludf.DUMMYFUNCTION("""COMPUTED_VALUE"""),"")</f>
        <v/>
      </c>
      <c r="AL887" s="1" t="str">
        <f>IFERROR(__xludf.DUMMYFUNCTION("""COMPUTED_VALUE"""),"")</f>
        <v/>
      </c>
      <c r="AM887" s="1" t="str">
        <f>IFERROR(__xludf.DUMMYFUNCTION("""COMPUTED_VALUE"""),"")</f>
        <v/>
      </c>
      <c r="AN887" s="1" t="str">
        <f>IFERROR(__xludf.DUMMYFUNCTION("""COMPUTED_VALUE"""),"")</f>
        <v/>
      </c>
      <c r="AO887" s="1" t="str">
        <f>IFERROR(__xludf.DUMMYFUNCTION("""COMPUTED_VALUE"""),"")</f>
        <v/>
      </c>
      <c r="AP887" s="1" t="str">
        <f>IFERROR(__xludf.DUMMYFUNCTION("""COMPUTED_VALUE"""),"")</f>
        <v/>
      </c>
      <c r="AQ887" s="1" t="str">
        <f>IFERROR(__xludf.DUMMYFUNCTION("""COMPUTED_VALUE"""),"01/05/2026")</f>
        <v>01/05/2026</v>
      </c>
      <c r="AR887" s="1" t="str">
        <f>IFERROR(__xludf.DUMMYFUNCTION("""COMPUTED_VALUE"""),"01/05/2026")</f>
        <v>01/05/2026</v>
      </c>
    </row>
    <row r="888">
      <c r="A888" s="1" t="str">
        <f>IFERROR(__xludf.DUMMYFUNCTION("""COMPUTED_VALUE"""),"Project Caprock Data Center")</f>
        <v>Project Caprock Data Center</v>
      </c>
      <c r="B888" s="1" t="str">
        <f>IFERROR(__xludf.DUMMYFUNCTION("""COMPUTED_VALUE"""),"1498 County Road 315")</f>
        <v>1498 County Road 315</v>
      </c>
      <c r="C888" s="1" t="str">
        <f>IFERROR(__xludf.DUMMYFUNCTION("""COMPUTED_VALUE"""),"Abernathy")</f>
        <v>Abernathy</v>
      </c>
      <c r="D888" s="1" t="str">
        <f>IFERROR(__xludf.DUMMYFUNCTION("""COMPUTED_VALUE"""),"TX")</f>
        <v>TX</v>
      </c>
      <c r="E888" s="1" t="str">
        <f>IFERROR(__xludf.DUMMYFUNCTION("""COMPUTED_VALUE"""),"79311")</f>
        <v>79311</v>
      </c>
      <c r="F888" s="1" t="str">
        <f>IFERROR(__xludf.DUMMYFUNCTION("""COMPUTED_VALUE"""),"Hale")</f>
        <v>Hale</v>
      </c>
      <c r="G888" s="1" t="str">
        <f>IFERROR(__xludf.DUMMYFUNCTION("""COMPUTED_VALUE"""),"33.86355")</f>
        <v>33.86355</v>
      </c>
      <c r="H888" s="1" t="str">
        <f>IFERROR(__xludf.DUMMYFUNCTION("""COMPUTED_VALUE"""),"-101.85285")</f>
        <v>-101.85285</v>
      </c>
      <c r="I888" s="1" t="str">
        <f>IFERROR(__xludf.DUMMYFUNCTION("""COMPUTED_VALUE"""),"Approved/Permitted/Under construction")</f>
        <v>Approved/Permitted/Under construction</v>
      </c>
      <c r="J888" s="1" t="str">
        <f>IFERROR(__xludf.DUMMYFUNCTION("""COMPUTED_VALUE"""),"High")</f>
        <v>High</v>
      </c>
      <c r="K888" s="1" t="str">
        <f>IFERROR(__xludf.DUMMYFUNCTION("""COMPUTED_VALUE"""),"")</f>
        <v/>
      </c>
      <c r="L888" s="1" t="str">
        <f>IFERROR(__xludf.DUMMYFUNCTION("""COMPUTED_VALUE"""),"Aligned")</f>
        <v>Aligned</v>
      </c>
      <c r="M888" s="1" t="str">
        <f>IFERROR(__xludf.DUMMYFUNCTION("""COMPUTED_VALUE"""),"")</f>
        <v/>
      </c>
      <c r="N888" s="1" t="str">
        <f>IFERROR(__xludf.DUMMYFUNCTION("""COMPUTED_VALUE"""),"540")</f>
        <v>540</v>
      </c>
      <c r="O888" s="1" t="str">
        <f>IFERROR(__xludf.DUMMYFUNCTION("""COMPUTED_VALUE"""),"Hyperscale (100-999 MW)")</f>
        <v>Hyperscale (100-999 MW)</v>
      </c>
      <c r="P888" s="1" t="str">
        <f>IFERROR(__xludf.DUMMYFUNCTION("""COMPUTED_VALUE"""),"")</f>
        <v/>
      </c>
      <c r="Q888" s="1" t="str">
        <f>IFERROR(__xludf.DUMMYFUNCTION("""COMPUTED_VALUE"""),"")</f>
        <v/>
      </c>
      <c r="R888" s="1" t="str">
        <f>IFERROR(__xludf.DUMMYFUNCTION("""COMPUTED_VALUE"""),"")</f>
        <v/>
      </c>
      <c r="S888" s="1" t="str">
        <f>IFERROR(__xludf.DUMMYFUNCTION("""COMPUTED_VALUE"""),"")</f>
        <v/>
      </c>
      <c r="T888" s="1" t="str">
        <f>IFERROR(__xludf.DUMMYFUNCTION("""COMPUTED_VALUE"""),"")</f>
        <v/>
      </c>
      <c r="U888" s="1" t="str">
        <f>IFERROR(__xludf.DUMMYFUNCTION("""COMPUTED_VALUE"""),"")</f>
        <v/>
      </c>
      <c r="V888" s="1" t="str">
        <f>IFERROR(__xludf.DUMMYFUNCTION("""COMPUTED_VALUE"""),"1,650,000")</f>
        <v>1,650,000</v>
      </c>
      <c r="W888" s="1" t="str">
        <f>IFERROR(__xludf.DUMMYFUNCTION("""COMPUTED_VALUE"""),"313")</f>
        <v>313</v>
      </c>
      <c r="X888" s="1" t="str">
        <f>IFERROR(__xludf.DUMMYFUNCTION("""COMPUTED_VALUE"""),"")</f>
        <v/>
      </c>
      <c r="Y888" s="1" t="str">
        <f>IFERROR(__xludf.DUMMYFUNCTION("""COMPUTED_VALUE"""),"2027")</f>
        <v>2027</v>
      </c>
      <c r="Z888" s="1" t="str">
        <f>IFERROR(__xludf.DUMMYFUNCTION("""COMPUTED_VALUE"""),"Unknown")</f>
        <v>Unknown</v>
      </c>
      <c r="AA888" s="1" t="str">
        <f>IFERROR(__xludf.DUMMYFUNCTION("""COMPUTED_VALUE"""),"")</f>
        <v/>
      </c>
      <c r="AB888" s="1" t="str">
        <f>IFERROR(__xludf.DUMMYFUNCTION("""COMPUTED_VALUE"""),"")</f>
        <v/>
      </c>
      <c r="AC888" s="1" t="str">
        <f>IFERROR(__xludf.DUMMYFUNCTION("""COMPUTED_VALUE"""),"")</f>
        <v/>
      </c>
      <c r="AD888" s="1" t="str">
        <f>IFERROR(__xludf.DUMMYFUNCTION("""COMPUTED_VALUE"""),"")</f>
        <v/>
      </c>
      <c r="AE888" s="1" t="str">
        <f>IFERROR(__xludf.DUMMYFUNCTION("""COMPUTED_VALUE"""),"")</f>
        <v/>
      </c>
      <c r="AF888" s="1" t="str">
        <f>IFERROR(__xludf.DUMMYFUNCTION("""COMPUTED_VALUE"""),"")</f>
        <v/>
      </c>
      <c r="AG888" s="1" t="str">
        <f>IFERROR(__xludf.DUMMYFUNCTION("""COMPUTED_VALUE"""),"")</f>
        <v/>
      </c>
      <c r="AH888" s="1" t="str">
        <f>IFERROR(__xludf.DUMMYFUNCTION("""COMPUTED_VALUE"""),"Media Monitoring")</f>
        <v>Media Monitoring</v>
      </c>
      <c r="AI888" s="2" t="str">
        <f>IFERROR(__xludf.DUMMYFUNCTION("""COMPUTED_VALUE"""),"https://www.datacenterdynamics.com/en/news/aligned-breaks-ground-on-540mw-data-center-campus-in-texas/")</f>
        <v>https://www.datacenterdynamics.com/en/news/aligned-breaks-ground-on-540mw-data-center-campus-in-texas/</v>
      </c>
      <c r="AJ888" s="2" t="str">
        <f>IFERROR(__xludf.DUMMYFUNCTION("""COMPUTED_VALUE"""),"https://aligneddc.com/locations/")</f>
        <v>https://aligneddc.com/locations/</v>
      </c>
      <c r="AK888" s="1" t="str">
        <f>IFERROR(__xludf.DUMMYFUNCTION("""COMPUTED_VALUE"""),"")</f>
        <v/>
      </c>
      <c r="AL888" s="1" t="str">
        <f>IFERROR(__xludf.DUMMYFUNCTION("""COMPUTED_VALUE"""),"")</f>
        <v/>
      </c>
      <c r="AM888" s="1" t="str">
        <f>IFERROR(__xludf.DUMMYFUNCTION("""COMPUTED_VALUE"""),"")</f>
        <v/>
      </c>
      <c r="AN888" s="1" t="str">
        <f>IFERROR(__xludf.DUMMYFUNCTION("""COMPUTED_VALUE"""),"")</f>
        <v/>
      </c>
      <c r="AO888" s="1" t="str">
        <f>IFERROR(__xludf.DUMMYFUNCTION("""COMPUTED_VALUE"""),"")</f>
        <v/>
      </c>
      <c r="AP888" s="1" t="str">
        <f>IFERROR(__xludf.DUMMYFUNCTION("""COMPUTED_VALUE"""),"")</f>
        <v/>
      </c>
      <c r="AQ888" s="1" t="str">
        <f>IFERROR(__xludf.DUMMYFUNCTION("""COMPUTED_VALUE"""),"04/15/2026")</f>
        <v>04/15/2026</v>
      </c>
      <c r="AR888" s="1" t="str">
        <f>IFERROR(__xludf.DUMMYFUNCTION("""COMPUTED_VALUE"""),"04/15/2026")</f>
        <v>04/15/2026</v>
      </c>
    </row>
    <row r="889">
      <c r="A889" s="1" t="str">
        <f>IFERROR(__xludf.DUMMYFUNCTION("""COMPUTED_VALUE"""),"Frontier Vantage Data Center")</f>
        <v>Frontier Vantage Data Center</v>
      </c>
      <c r="B889" s="1" t="str">
        <f>IFERROR(__xludf.DUMMYFUNCTION("""COMPUTED_VALUE"""),"Intersection Hwy 351 and Hwy 604")</f>
        <v>Intersection Hwy 351 and Hwy 604</v>
      </c>
      <c r="C889" s="1" t="str">
        <f>IFERROR(__xludf.DUMMYFUNCTION("""COMPUTED_VALUE"""),"Abilene")</f>
        <v>Abilene</v>
      </c>
      <c r="D889" s="1" t="str">
        <f>IFERROR(__xludf.DUMMYFUNCTION("""COMPUTED_VALUE"""),"TX")</f>
        <v>TX</v>
      </c>
      <c r="E889" s="1" t="str">
        <f>IFERROR(__xludf.DUMMYFUNCTION("""COMPUTED_VALUE"""),"79601")</f>
        <v>79601</v>
      </c>
      <c r="F889" s="1" t="str">
        <f>IFERROR(__xludf.DUMMYFUNCTION("""COMPUTED_VALUE"""),"Shackelford")</f>
        <v>Shackelford</v>
      </c>
      <c r="G889" s="1" t="str">
        <f>IFERROR(__xludf.DUMMYFUNCTION("""COMPUTED_VALUE"""),"32.55212")</f>
        <v>32.55212</v>
      </c>
      <c r="H889" s="1" t="str">
        <f>IFERROR(__xludf.DUMMYFUNCTION("""COMPUTED_VALUE"""),"-99.5651")</f>
        <v>-99.5651</v>
      </c>
      <c r="I889" s="1" t="str">
        <f>IFERROR(__xludf.DUMMYFUNCTION("""COMPUTED_VALUE"""),"Approved/Permitted/Under construction")</f>
        <v>Approved/Permitted/Under construction</v>
      </c>
      <c r="J889" s="1" t="str">
        <f>IFERROR(__xludf.DUMMYFUNCTION("""COMPUTED_VALUE"""),"High")</f>
        <v>High</v>
      </c>
      <c r="K889" s="1" t="str">
        <f>IFERROR(__xludf.DUMMYFUNCTION("""COMPUTED_VALUE"""),"")</f>
        <v/>
      </c>
      <c r="L889" s="1" t="str">
        <f>IFERROR(__xludf.DUMMYFUNCTION("""COMPUTED_VALUE"""),"")</f>
        <v/>
      </c>
      <c r="M889" s="1" t="str">
        <f>IFERROR(__xludf.DUMMYFUNCTION("""COMPUTED_VALUE"""),"")</f>
        <v/>
      </c>
      <c r="N889" s="1" t="str">
        <f>IFERROR(__xludf.DUMMYFUNCTION("""COMPUTED_VALUE"""),"1400")</f>
        <v>1400</v>
      </c>
      <c r="O889" s="1" t="str">
        <f>IFERROR(__xludf.DUMMYFUNCTION("""COMPUTED_VALUE"""),"Mega campus (&gt;1,000 MW)")</f>
        <v>Mega campus (&gt;1,000 MW)</v>
      </c>
      <c r="P889" s="1" t="str">
        <f>IFERROR(__xludf.DUMMYFUNCTION("""COMPUTED_VALUE"""),"")</f>
        <v/>
      </c>
      <c r="Q889" s="1" t="str">
        <f>IFERROR(__xludf.DUMMYFUNCTION("""COMPUTED_VALUE"""),"")</f>
        <v/>
      </c>
      <c r="R889" s="1" t="str">
        <f>IFERROR(__xludf.DUMMYFUNCTION("""COMPUTED_VALUE"""),"")</f>
        <v/>
      </c>
      <c r="S889" s="1" t="str">
        <f>IFERROR(__xludf.DUMMYFUNCTION("""COMPUTED_VALUE"""),"")</f>
        <v/>
      </c>
      <c r="T889" s="1" t="str">
        <f>IFERROR(__xludf.DUMMYFUNCTION("""COMPUTED_VALUE"""),"")</f>
        <v/>
      </c>
      <c r="U889" s="1" t="str">
        <f>IFERROR(__xludf.DUMMYFUNCTION("""COMPUTED_VALUE"""),"")</f>
        <v/>
      </c>
      <c r="V889" s="1" t="str">
        <f>IFERROR(__xludf.DUMMYFUNCTION("""COMPUTED_VALUE"""),"3,700,000")</f>
        <v>3,700,000</v>
      </c>
      <c r="W889" s="1" t="str">
        <f>IFERROR(__xludf.DUMMYFUNCTION("""COMPUTED_VALUE"""),"1200")</f>
        <v>1200</v>
      </c>
      <c r="X889" s="1" t="str">
        <f>IFERROR(__xludf.DUMMYFUNCTION("""COMPUTED_VALUE"""),"$25 billion")</f>
        <v>$25 billion</v>
      </c>
      <c r="Y889" s="1" t="str">
        <f>IFERROR(__xludf.DUMMYFUNCTION("""COMPUTED_VALUE"""),"")</f>
        <v/>
      </c>
      <c r="Z889" s="1" t="str">
        <f>IFERROR(__xludf.DUMMYFUNCTION("""COMPUTED_VALUE"""),"Unknown")</f>
        <v>Unknown</v>
      </c>
      <c r="AA889" s="1" t="str">
        <f>IFERROR(__xludf.DUMMYFUNCTION("""COMPUTED_VALUE"""),"")</f>
        <v/>
      </c>
      <c r="AB889" s="1" t="str">
        <f>IFERROR(__xludf.DUMMYFUNCTION("""COMPUTED_VALUE"""),"")</f>
        <v/>
      </c>
      <c r="AC889" s="1" t="str">
        <f>IFERROR(__xludf.DUMMYFUNCTION("""COMPUTED_VALUE"""),"")</f>
        <v/>
      </c>
      <c r="AD889" s="1" t="str">
        <f>IFERROR(__xludf.DUMMYFUNCTION("""COMPUTED_VALUE"""),"")</f>
        <v/>
      </c>
      <c r="AE889" s="1" t="str">
        <f>IFERROR(__xludf.DUMMYFUNCTION("""COMPUTED_VALUE"""),"")</f>
        <v/>
      </c>
      <c r="AF889" s="1" t="str">
        <f>IFERROR(__xludf.DUMMYFUNCTION("""COMPUTED_VALUE"""),"")</f>
        <v/>
      </c>
      <c r="AG889" s="1" t="str">
        <f>IFERROR(__xludf.DUMMYFUNCTION("""COMPUTED_VALUE"""),"To employ 6500 workers for construction, 10 data center on site")</f>
        <v>To employ 6500 workers for construction, 10 data center on site</v>
      </c>
      <c r="AH889" s="1" t="str">
        <f>IFERROR(__xludf.DUMMYFUNCTION("""COMPUTED_VALUE"""),"Media Monitoring")</f>
        <v>Media Monitoring</v>
      </c>
      <c r="AI889" s="2" t="str">
        <f>IFERROR(__xludf.DUMMYFUNCTION("""COMPUTED_VALUE"""),"https://www.thealbanynews.net/news/data-center-plans-move-forward-shackelford-county")</f>
        <v>https://www.thealbanynews.net/news/data-center-plans-move-forward-shackelford-county</v>
      </c>
      <c r="AJ889" s="2" t="str">
        <f>IFERROR(__xludf.DUMMYFUNCTION("""COMPUTED_VALUE"""),"https://www.datacenterdynamics.com/en/news/vantage-plots-14gw-data-center-campus-in-texas/")</f>
        <v>https://www.datacenterdynamics.com/en/news/vantage-plots-14gw-data-center-campus-in-texas/</v>
      </c>
      <c r="AK889" s="2" t="str">
        <f>IFERROR(__xludf.DUMMYFUNCTION("""COMPUTED_VALUE"""),"https://vantage-dc.com/news/vantage-data-centers-unveils-plans-for-frontier-a-25b-mega-campus-in-texas-to-meet-unprecedented-ai-demand/")</f>
        <v>https://vantage-dc.com/news/vantage-data-centers-unveils-plans-for-frontier-a-25b-mega-campus-in-texas-to-meet-unprecedented-ai-demand/</v>
      </c>
      <c r="AL889" s="2" t="str">
        <f>IFERROR(__xludf.DUMMYFUNCTION("""COMPUTED_VALUE"""),"https://datacentremagazine.com/news/inside-vantages-us-25bn-ai-data-centre-mega-campus-in-texas")</f>
        <v>https://datacentremagazine.com/news/inside-vantages-us-25bn-ai-data-centre-mega-campus-in-texas</v>
      </c>
      <c r="AM889" s="2" t="str">
        <f>IFERROR(__xludf.DUMMYFUNCTION("""COMPUTED_VALUE"""),"https://www.datacenterdynamics.com/en/news/vantage-breaks-ground-on-texas-gigawatt-data-center-campus-for-openai/")</f>
        <v>https://www.datacenterdynamics.com/en/news/vantage-breaks-ground-on-texas-gigawatt-data-center-campus-for-openai/</v>
      </c>
      <c r="AN889" s="1" t="str">
        <f>IFERROR(__xludf.DUMMYFUNCTION("""COMPUTED_VALUE"""),"")</f>
        <v/>
      </c>
      <c r="AO889" s="1" t="str">
        <f>IFERROR(__xludf.DUMMYFUNCTION("""COMPUTED_VALUE"""),"")</f>
        <v/>
      </c>
      <c r="AP889" s="1" t="str">
        <f>IFERROR(__xludf.DUMMYFUNCTION("""COMPUTED_VALUE"""),"")</f>
        <v/>
      </c>
      <c r="AQ889" s="1" t="str">
        <f>IFERROR(__xludf.DUMMYFUNCTION("""COMPUTED_VALUE"""),"09/16/2025")</f>
        <v>09/16/2025</v>
      </c>
      <c r="AR889" s="1" t="str">
        <f>IFERROR(__xludf.DUMMYFUNCTION("""COMPUTED_VALUE"""),"12/15/2025")</f>
        <v>12/15/2025</v>
      </c>
    </row>
    <row r="890">
      <c r="A890" s="1" t="str">
        <f>IFERROR(__xludf.DUMMYFUNCTION("""COMPUTED_VALUE"""),"Open AI/ SoftBank Stargate Data Center (Lancium Clean Campus)")</f>
        <v>Open AI/ SoftBank Stargate Data Center (Lancium Clean Campus)</v>
      </c>
      <c r="B890" s="1" t="str">
        <f>IFERROR(__xludf.DUMMYFUNCTION("""COMPUTED_VALUE"""),"5502 Spinks Rd")</f>
        <v>5502 Spinks Rd</v>
      </c>
      <c r="C890" s="1" t="str">
        <f>IFERROR(__xludf.DUMMYFUNCTION("""COMPUTED_VALUE"""),"Abilene")</f>
        <v>Abilene</v>
      </c>
      <c r="D890" s="1" t="str">
        <f>IFERROR(__xludf.DUMMYFUNCTION("""COMPUTED_VALUE"""),"TX")</f>
        <v>TX</v>
      </c>
      <c r="E890" s="1" t="str">
        <f>IFERROR(__xludf.DUMMYFUNCTION("""COMPUTED_VALUE"""),"79601")</f>
        <v>79601</v>
      </c>
      <c r="F890" s="1" t="str">
        <f>IFERROR(__xludf.DUMMYFUNCTION("""COMPUTED_VALUE"""),"Taylor")</f>
        <v>Taylor</v>
      </c>
      <c r="G890" s="1" t="str">
        <f>IFERROR(__xludf.DUMMYFUNCTION("""COMPUTED_VALUE"""),"32.50204")</f>
        <v>32.50204</v>
      </c>
      <c r="H890" s="1" t="str">
        <f>IFERROR(__xludf.DUMMYFUNCTION("""COMPUTED_VALUE"""),"-99.7907")</f>
        <v>-99.7907</v>
      </c>
      <c r="I890" s="1" t="str">
        <f>IFERROR(__xludf.DUMMYFUNCTION("""COMPUTED_VALUE"""),"Operating")</f>
        <v>Operating</v>
      </c>
      <c r="J890" s="1" t="str">
        <f>IFERROR(__xludf.DUMMYFUNCTION("""COMPUTED_VALUE"""),"High")</f>
        <v>High</v>
      </c>
      <c r="K890" s="1" t="str">
        <f>IFERROR(__xludf.DUMMYFUNCTION("""COMPUTED_VALUE"""),"")</f>
        <v/>
      </c>
      <c r="L890" s="1" t="str">
        <f>IFERROR(__xludf.DUMMYFUNCTION("""COMPUTED_VALUE"""),"Microsoft (previously Open AI/Oracle)")</f>
        <v>Microsoft (previously Open AI/Oracle)</v>
      </c>
      <c r="M890" s="1" t="str">
        <f>IFERROR(__xludf.DUMMYFUNCTION("""COMPUTED_VALUE"""),"")</f>
        <v/>
      </c>
      <c r="N890" s="1" t="str">
        <f>IFERROR(__xludf.DUMMYFUNCTION("""COMPUTED_VALUE"""),"1200")</f>
        <v>1200</v>
      </c>
      <c r="O890" s="1" t="str">
        <f>IFERROR(__xludf.DUMMYFUNCTION("""COMPUTED_VALUE"""),"Mega campus (&gt;1,000 MW)")</f>
        <v>Mega campus (&gt;1,000 MW)</v>
      </c>
      <c r="P890" s="1" t="str">
        <f>IFERROR(__xludf.DUMMYFUNCTION("""COMPUTED_VALUE"""),"")</f>
        <v/>
      </c>
      <c r="Q890" s="1" t="str">
        <f>IFERROR(__xludf.DUMMYFUNCTION("""COMPUTED_VALUE"""),"")</f>
        <v/>
      </c>
      <c r="R890" s="1" t="str">
        <f>IFERROR(__xludf.DUMMYFUNCTION("""COMPUTED_VALUE"""),"")</f>
        <v/>
      </c>
      <c r="S890" s="1" t="str">
        <f>IFERROR(__xludf.DUMMYFUNCTION("""COMPUTED_VALUE"""),"")</f>
        <v/>
      </c>
      <c r="T890" s="1" t="str">
        <f>IFERROR(__xludf.DUMMYFUNCTION("""COMPUTED_VALUE"""),"")</f>
        <v/>
      </c>
      <c r="U890" s="1" t="str">
        <f>IFERROR(__xludf.DUMMYFUNCTION("""COMPUTED_VALUE"""),"")</f>
        <v/>
      </c>
      <c r="V890" s="1" t="str">
        <f>IFERROR(__xludf.DUMMYFUNCTION("""COMPUTED_VALUE"""),"4,000,000")</f>
        <v>4,000,000</v>
      </c>
      <c r="W890" s="1" t="str">
        <f>IFERROR(__xludf.DUMMYFUNCTION("""COMPUTED_VALUE"""),"")</f>
        <v/>
      </c>
      <c r="X890" s="1" t="str">
        <f>IFERROR(__xludf.DUMMYFUNCTION("""COMPUTED_VALUE"""),"")</f>
        <v/>
      </c>
      <c r="Y890" s="1" t="str">
        <f>IFERROR(__xludf.DUMMYFUNCTION("""COMPUTED_VALUE"""),"2025")</f>
        <v>2025</v>
      </c>
      <c r="Z890" s="1" t="str">
        <f>IFERROR(__xludf.DUMMYFUNCTION("""COMPUTED_VALUE"""),"Unknown")</f>
        <v>Unknown</v>
      </c>
      <c r="AA890" s="1" t="str">
        <f>IFERROR(__xludf.DUMMYFUNCTION("""COMPUTED_VALUE"""),"")</f>
        <v/>
      </c>
      <c r="AB890" s="1" t="str">
        <f>IFERROR(__xludf.DUMMYFUNCTION("""COMPUTED_VALUE"""),"")</f>
        <v/>
      </c>
      <c r="AC890" s="1" t="str">
        <f>IFERROR(__xludf.DUMMYFUNCTION("""COMPUTED_VALUE"""),"")</f>
        <v/>
      </c>
      <c r="AD890" s="1" t="str">
        <f>IFERROR(__xludf.DUMMYFUNCTION("""COMPUTED_VALUE"""),"")</f>
        <v/>
      </c>
      <c r="AE890" s="1" t="str">
        <f>IFERROR(__xludf.DUMMYFUNCTION("""COMPUTED_VALUE"""),"")</f>
        <v/>
      </c>
      <c r="AF890" s="1" t="str">
        <f>IFERROR(__xludf.DUMMYFUNCTION("""COMPUTED_VALUE"""),"")</f>
        <v/>
      </c>
      <c r="AG890" s="1" t="str">
        <f>IFERROR(__xludf.DUMMYFUNCTION("""COMPUTED_VALUE"""),"expansion plans cancelled March 2026")</f>
        <v>expansion plans cancelled March 2026</v>
      </c>
      <c r="AH890" s="1" t="str">
        <f>IFERROR(__xludf.DUMMYFUNCTION("""COMPUTED_VALUE"""),"Media Monitoring")</f>
        <v>Media Monitoring</v>
      </c>
      <c r="AI890" s="2" t="str">
        <f>IFERROR(__xludf.DUMMYFUNCTION("""COMPUTED_VALUE"""),"https://techcratic.com/index.php/2025/05/23/oracle-reported-to-buy-400000-nvidia-chips-for-first-stargate-data-center/siliconangle/siliconangle/")</f>
        <v>https://techcratic.com/index.php/2025/05/23/oracle-reported-to-buy-400000-nvidia-chips-for-first-stargate-data-center/siliconangle/siliconangle/</v>
      </c>
      <c r="AJ890" s="2" t="str">
        <f>IFERROR(__xludf.DUMMYFUNCTION("""COMPUTED_VALUE"""),"https://www.bigcountryhomepage.com/news/stargate-abilene/abilenes-data-center-advances-swiftly-with-5000-workers/")</f>
        <v>https://www.bigcountryhomepage.com/news/stargate-abilene/abilenes-data-center-advances-swiftly-with-5000-workers/</v>
      </c>
      <c r="AK890" s="2" t="str">
        <f>IFERROR(__xludf.DUMMYFUNCTION("""COMPUTED_VALUE"""),"https://www.chron.com/business/article/openai-texas-stargate-ai-hub-21065041.php")</f>
        <v>https://www.chron.com/business/article/openai-texas-stargate-ai-hub-21065041.php</v>
      </c>
      <c r="AL890" s="2" t="str">
        <f>IFERROR(__xludf.DUMMYFUNCTION("""COMPUTED_VALUE"""),"https://www.crusoe.ai/resources/newsroom/crusoe-expands-ai-data-center-campus-in-abilene-to-1-2-gigawatts")</f>
        <v>https://www.crusoe.ai/resources/newsroom/crusoe-expands-ai-data-center-campus-in-abilene-to-1-2-gigawatts</v>
      </c>
      <c r="AM890" s="2" t="str">
        <f>IFERROR(__xludf.DUMMYFUNCTION("""COMPUTED_VALUE"""),"https://epoch.ai/data/data-centers/satellite-explorer/OpenAIOracleStargateAbileneTexas?ref=404media.co")</f>
        <v>https://epoch.ai/data/data-centers/satellite-explorer/OpenAIOracleStargateAbileneTexas?ref=404media.co</v>
      </c>
      <c r="AN890" s="2" t="str">
        <f>IFERROR(__xludf.DUMMYFUNCTION("""COMPUTED_VALUE"""),"https://www.datacenterdynamics.com/en/news/crusoe-confirms-microsoft-as-customer-at-campus-in-abilene-texas/")</f>
        <v>https://www.datacenterdynamics.com/en/news/crusoe-confirms-microsoft-as-customer-at-campus-in-abilene-texas/</v>
      </c>
      <c r="AO890" s="2" t="str">
        <f>IFERROR(__xludf.DUMMYFUNCTION("""COMPUTED_VALUE"""),"https://www.datacenterdynamics.com/en/news/oracleopenai-drop-plans-to-expand-flagship-abilene-stargate-site-meta-in-talks-to-pick-up-crusoe-capacity-with-nvidias-help/")</f>
        <v>https://www.datacenterdynamics.com/en/news/oracleopenai-drop-plans-to-expand-flagship-abilene-stargate-site-meta-in-talks-to-pick-up-crusoe-capacity-with-nvidias-help/</v>
      </c>
      <c r="AP890" s="1" t="str">
        <f>IFERROR(__xludf.DUMMYFUNCTION("""COMPUTED_VALUE"""),"")</f>
        <v/>
      </c>
      <c r="AQ890" s="1" t="str">
        <f>IFERROR(__xludf.DUMMYFUNCTION("""COMPUTED_VALUE"""),"09/26/2025")</f>
        <v>09/26/2025</v>
      </c>
      <c r="AR890" s="1" t="str">
        <f>IFERROR(__xludf.DUMMYFUNCTION("""COMPUTED_VALUE"""),"04/22/2026")</f>
        <v>04/22/2026</v>
      </c>
    </row>
    <row r="891">
      <c r="A891" s="1" t="str">
        <f>IFERROR(__xludf.DUMMYFUNCTION("""COMPUTED_VALUE"""),"Helios Data Center")</f>
        <v>Helios Data Center</v>
      </c>
      <c r="B891" s="1" t="str">
        <f>IFERROR(__xludf.DUMMYFUNCTION("""COMPUTED_VALUE"""),"984 Co Rd 112")</f>
        <v>984 Co Rd 112</v>
      </c>
      <c r="C891" s="1" t="str">
        <f>IFERROR(__xludf.DUMMYFUNCTION("""COMPUTED_VALUE"""),"Afton")</f>
        <v>Afton</v>
      </c>
      <c r="D891" s="1" t="str">
        <f>IFERROR(__xludf.DUMMYFUNCTION("""COMPUTED_VALUE"""),"TX")</f>
        <v>TX</v>
      </c>
      <c r="E891" s="1" t="str">
        <f>IFERROR(__xludf.DUMMYFUNCTION("""COMPUTED_VALUE"""),"79220")</f>
        <v>79220</v>
      </c>
      <c r="F891" s="1" t="str">
        <f>IFERROR(__xludf.DUMMYFUNCTION("""COMPUTED_VALUE"""),"Dickens")</f>
        <v>Dickens</v>
      </c>
      <c r="G891" s="1" t="str">
        <f>IFERROR(__xludf.DUMMYFUNCTION("""COMPUTED_VALUE"""),"33.77858")</f>
        <v>33.77858</v>
      </c>
      <c r="H891" s="1" t="str">
        <f>IFERROR(__xludf.DUMMYFUNCTION("""COMPUTED_VALUE"""),"-100.86909")</f>
        <v>-100.86909</v>
      </c>
      <c r="I891" s="1" t="str">
        <f>IFERROR(__xludf.DUMMYFUNCTION("""COMPUTED_VALUE"""),"Expanding")</f>
        <v>Expanding</v>
      </c>
      <c r="J891" s="1" t="str">
        <f>IFERROR(__xludf.DUMMYFUNCTION("""COMPUTED_VALUE"""),"High")</f>
        <v>High</v>
      </c>
      <c r="K891" s="1" t="str">
        <f>IFERROR(__xludf.DUMMYFUNCTION("""COMPUTED_VALUE"""),"pivoting from crypto to IA")</f>
        <v>pivoting from crypto to IA</v>
      </c>
      <c r="L891" s="1" t="str">
        <f>IFERROR(__xludf.DUMMYFUNCTION("""COMPUTED_VALUE"""),"Galaxy Digital")</f>
        <v>Galaxy Digital</v>
      </c>
      <c r="M891" s="1" t="str">
        <f>IFERROR(__xludf.DUMMYFUNCTION("""COMPUTED_VALUE"""),"")</f>
        <v/>
      </c>
      <c r="N891" s="1" t="str">
        <f>IFERROR(__xludf.DUMMYFUNCTION("""COMPUTED_VALUE"""),"800")</f>
        <v>800</v>
      </c>
      <c r="O891" s="1" t="str">
        <f>IFERROR(__xludf.DUMMYFUNCTION("""COMPUTED_VALUE"""),"Hyperscale (100-999 MW)")</f>
        <v>Hyperscale (100-999 MW)</v>
      </c>
      <c r="P891" s="1" t="str">
        <f>IFERROR(__xludf.DUMMYFUNCTION("""COMPUTED_VALUE"""),"")</f>
        <v/>
      </c>
      <c r="Q891" s="1" t="str">
        <f>IFERROR(__xludf.DUMMYFUNCTION("""COMPUTED_VALUE"""),"")</f>
        <v/>
      </c>
      <c r="R891" s="1" t="str">
        <f>IFERROR(__xludf.DUMMYFUNCTION("""COMPUTED_VALUE"""),"")</f>
        <v/>
      </c>
      <c r="S891" s="1" t="str">
        <f>IFERROR(__xludf.DUMMYFUNCTION("""COMPUTED_VALUE"""),"")</f>
        <v/>
      </c>
      <c r="T891" s="1" t="str">
        <f>IFERROR(__xludf.DUMMYFUNCTION("""COMPUTED_VALUE"""),"")</f>
        <v/>
      </c>
      <c r="U891" s="1" t="str">
        <f>IFERROR(__xludf.DUMMYFUNCTION("""COMPUTED_VALUE"""),"")</f>
        <v/>
      </c>
      <c r="V891" s="1" t="str">
        <f>IFERROR(__xludf.DUMMYFUNCTION("""COMPUTED_VALUE"""),"")</f>
        <v/>
      </c>
      <c r="W891" s="1" t="str">
        <f>IFERROR(__xludf.DUMMYFUNCTION("""COMPUTED_VALUE"""),"")</f>
        <v/>
      </c>
      <c r="X891" s="1" t="str">
        <f>IFERROR(__xludf.DUMMYFUNCTION("""COMPUTED_VALUE"""),"")</f>
        <v/>
      </c>
      <c r="Y891" s="1" t="str">
        <f>IFERROR(__xludf.DUMMYFUNCTION("""COMPUTED_VALUE"""),"")</f>
        <v/>
      </c>
      <c r="Z891" s="1" t="str">
        <f>IFERROR(__xludf.DUMMYFUNCTION("""COMPUTED_VALUE"""),"Unknown")</f>
        <v>Unknown</v>
      </c>
      <c r="AA891" s="1" t="str">
        <f>IFERROR(__xludf.DUMMYFUNCTION("""COMPUTED_VALUE"""),"")</f>
        <v/>
      </c>
      <c r="AB891" s="1" t="str">
        <f>IFERROR(__xludf.DUMMYFUNCTION("""COMPUTED_VALUE"""),"")</f>
        <v/>
      </c>
      <c r="AC891" s="1" t="str">
        <f>IFERROR(__xludf.DUMMYFUNCTION("""COMPUTED_VALUE"""),"")</f>
        <v/>
      </c>
      <c r="AD891" s="1" t="str">
        <f>IFERROR(__xludf.DUMMYFUNCTION("""COMPUTED_VALUE"""),"")</f>
        <v/>
      </c>
      <c r="AE891" s="1" t="str">
        <f>IFERROR(__xludf.DUMMYFUNCTION("""COMPUTED_VALUE"""),"")</f>
        <v/>
      </c>
      <c r="AF891" s="1" t="str">
        <f>IFERROR(__xludf.DUMMYFUNCTION("""COMPUTED_VALUE"""),"")</f>
        <v/>
      </c>
      <c r="AG891" s="1" t="str">
        <f>IFERROR(__xludf.DUMMYFUNCTION("""COMPUTED_VALUE"""),"Transitioning from crypto to AI 2025")</f>
        <v>Transitioning from crypto to AI 2025</v>
      </c>
      <c r="AH891" s="1" t="str">
        <f>IFERROR(__xludf.DUMMYFUNCTION("""COMPUTED_VALUE"""),"Media Monitoring")</f>
        <v>Media Monitoring</v>
      </c>
      <c r="AI891" s="2" t="str">
        <f>IFERROR(__xludf.DUMMYFUNCTION("""COMPUTED_VALUE"""),"https://news.bitcoin.com/solunas-project-kati-1-to-reach-83-mw-with-galaxy-bitcoin-miner-deployment/")</f>
        <v>https://news.bitcoin.com/solunas-project-kati-1-to-reach-83-mw-with-galaxy-bitcoin-miner-deployment/</v>
      </c>
      <c r="AJ891" s="2" t="str">
        <f>IFERROR(__xludf.DUMMYFUNCTION("""COMPUTED_VALUE"""),"https://www.everythinglubbock.com/news/local-news/galaxy-acquires-bitcoin-mining-facility-in-dickens-from-argo/")</f>
        <v>https://www.everythinglubbock.com/news/local-news/galaxy-acquires-bitcoin-mining-facility-in-dickens-from-argo/</v>
      </c>
      <c r="AK891" s="2" t="str">
        <f>IFERROR(__xludf.DUMMYFUNCTION("""COMPUTED_VALUE"""),"https://www.fox34.com/2022/05/06/new-bitcoin-mining-facility-boosting-economy-dickens-county/")</f>
        <v>https://www.fox34.com/2022/05/06/new-bitcoin-mining-facility-boosting-economy-dickens-county/</v>
      </c>
      <c r="AL891" s="2" t="str">
        <f>IFERROR(__xludf.DUMMYFUNCTION("""COMPUTED_VALUE"""),"https://www.everythinglubbock.com/news/local-news/crypto-cowboys-inside-the-new-300m-bitcoin-mining-facility-in-dickens-county/")</f>
        <v>https://www.everythinglubbock.com/news/local-news/crypto-cowboys-inside-the-new-300m-bitcoin-mining-facility-in-dickens-county/</v>
      </c>
      <c r="AM891" s="2" t="str">
        <f>IFERROR(__xludf.DUMMYFUNCTION("""COMPUTED_VALUE"""),"https://epoch.ai/data/data-centers/satellite-explorer/CoreweaveHeliosAftonTexas?ref=404media.co")</f>
        <v>https://epoch.ai/data/data-centers/satellite-explorer/CoreweaveHeliosAftonTexas?ref=404media.co</v>
      </c>
      <c r="AN891" s="2" t="str">
        <f>IFERROR(__xludf.DUMMYFUNCTION("""COMPUTED_VALUE"""),"https://www.datacenterdynamics.com/en/news/galaxy-digital-completes-first-phase-of-pivoting-cryptomine-to-ai-hosting/")</f>
        <v>https://www.datacenterdynamics.com/en/news/galaxy-digital-completes-first-phase-of-pivoting-cryptomine-to-ai-hosting/</v>
      </c>
      <c r="AO891" s="1" t="str">
        <f>IFERROR(__xludf.DUMMYFUNCTION("""COMPUTED_VALUE"""),"")</f>
        <v/>
      </c>
      <c r="AP891" s="1" t="str">
        <f>IFERROR(__xludf.DUMMYFUNCTION("""COMPUTED_VALUE"""),"")</f>
        <v/>
      </c>
      <c r="AQ891" s="1" t="str">
        <f>IFERROR(__xludf.DUMMYFUNCTION("""COMPUTED_VALUE"""),"08/16/2025")</f>
        <v>08/16/2025</v>
      </c>
      <c r="AR891" s="1" t="str">
        <f>IFERROR(__xludf.DUMMYFUNCTION("""COMPUTED_VALUE"""),"07/11/2026")</f>
        <v>07/11/2026</v>
      </c>
    </row>
    <row r="892">
      <c r="A892" s="1" t="str">
        <f>IFERROR(__xludf.DUMMYFUNCTION("""COMPUTED_VALUE"""),"ALLEN DATA CENTER ZX026E")</f>
        <v>ALLEN DATA CENTER ZX026E</v>
      </c>
      <c r="B892" s="1" t="str">
        <f>IFERROR(__xludf.DUMMYFUNCTION("""COMPUTED_VALUE"""),"800 GUARDIANS WAY")</f>
        <v>800 GUARDIANS WAY</v>
      </c>
      <c r="C892" s="1" t="str">
        <f>IFERROR(__xludf.DUMMYFUNCTION("""COMPUTED_VALUE"""),"Allen")</f>
        <v>Allen</v>
      </c>
      <c r="D892" s="1" t="str">
        <f>IFERROR(__xludf.DUMMYFUNCTION("""COMPUTED_VALUE"""),"TX")</f>
        <v>TX</v>
      </c>
      <c r="E892" s="1" t="str">
        <f>IFERROR(__xludf.DUMMYFUNCTION("""COMPUTED_VALUE"""),"75013")</f>
        <v>75013</v>
      </c>
      <c r="F892" s="1" t="str">
        <f>IFERROR(__xludf.DUMMYFUNCTION("""COMPUTED_VALUE"""),"Collin")</f>
        <v>Collin</v>
      </c>
      <c r="G892" s="1" t="str">
        <f>IFERROR(__xludf.DUMMYFUNCTION("""COMPUTED_VALUE"""),"33.09598")</f>
        <v>33.09598</v>
      </c>
      <c r="H892" s="1" t="str">
        <f>IFERROR(__xludf.DUMMYFUNCTION("""COMPUTED_VALUE"""),"-96.6816")</f>
        <v>-96.6816</v>
      </c>
      <c r="I892" s="1" t="str">
        <f>IFERROR(__xludf.DUMMYFUNCTION("""COMPUTED_VALUE"""),"Operating")</f>
        <v>Operating</v>
      </c>
      <c r="J892" s="1" t="str">
        <f>IFERROR(__xludf.DUMMYFUNCTION("""COMPUTED_VALUE"""),"High")</f>
        <v>High</v>
      </c>
      <c r="K892" s="1" t="str">
        <f>IFERROR(__xludf.DUMMYFUNCTION("""COMPUTED_VALUE"""),"")</f>
        <v/>
      </c>
      <c r="L892" s="1" t="str">
        <f>IFERROR(__xludf.DUMMYFUNCTION("""COMPUTED_VALUE"""),"")</f>
        <v/>
      </c>
      <c r="M892" s="1" t="str">
        <f>IFERROR(__xludf.DUMMYFUNCTION("""COMPUTED_VALUE"""),"")</f>
        <v/>
      </c>
      <c r="N892" s="1" t="str">
        <f>IFERROR(__xludf.DUMMYFUNCTION("""COMPUTED_VALUE"""),"")</f>
        <v/>
      </c>
      <c r="O892" s="1" t="str">
        <f>IFERROR(__xludf.DUMMYFUNCTION("""COMPUTED_VALUE"""),"Unknown")</f>
        <v>Unknown</v>
      </c>
      <c r="P892" s="1" t="str">
        <f>IFERROR(__xludf.DUMMYFUNCTION("""COMPUTED_VALUE"""),"")</f>
        <v/>
      </c>
      <c r="Q892" s="1" t="str">
        <f>IFERROR(__xludf.DUMMYFUNCTION("""COMPUTED_VALUE"""),"")</f>
        <v/>
      </c>
      <c r="R892" s="1" t="str">
        <f>IFERROR(__xludf.DUMMYFUNCTION("""COMPUTED_VALUE"""),"")</f>
        <v/>
      </c>
      <c r="S892" s="1" t="str">
        <f>IFERROR(__xludf.DUMMYFUNCTION("""COMPUTED_VALUE"""),"")</f>
        <v/>
      </c>
      <c r="T892" s="1" t="str">
        <f>IFERROR(__xludf.DUMMYFUNCTION("""COMPUTED_VALUE"""),"")</f>
        <v/>
      </c>
      <c r="U892" s="1" t="str">
        <f>IFERROR(__xludf.DUMMYFUNCTION("""COMPUTED_VALUE"""),"")</f>
        <v/>
      </c>
      <c r="V892" s="1" t="str">
        <f>IFERROR(__xludf.DUMMYFUNCTION("""COMPUTED_VALUE"""),"")</f>
        <v/>
      </c>
      <c r="W892" s="1" t="str">
        <f>IFERROR(__xludf.DUMMYFUNCTION("""COMPUTED_VALUE"""),"")</f>
        <v/>
      </c>
      <c r="X892" s="1" t="str">
        <f>IFERROR(__xludf.DUMMYFUNCTION("""COMPUTED_VALUE"""),"")</f>
        <v/>
      </c>
      <c r="Y892" s="1" t="str">
        <f>IFERROR(__xludf.DUMMYFUNCTION("""COMPUTED_VALUE"""),"")</f>
        <v/>
      </c>
      <c r="Z892" s="1" t="str">
        <f>IFERROR(__xludf.DUMMYFUNCTION("""COMPUTED_VALUE"""),"Unknown")</f>
        <v>Unknown</v>
      </c>
      <c r="AA892" s="1" t="str">
        <f>IFERROR(__xludf.DUMMYFUNCTION("""COMPUTED_VALUE"""),"")</f>
        <v/>
      </c>
      <c r="AB892" s="1" t="str">
        <f>IFERROR(__xludf.DUMMYFUNCTION("""COMPUTED_VALUE"""),"")</f>
        <v/>
      </c>
      <c r="AC892" s="1" t="str">
        <f>IFERROR(__xludf.DUMMYFUNCTION("""COMPUTED_VALUE"""),"")</f>
        <v/>
      </c>
      <c r="AD892" s="1" t="str">
        <f>IFERROR(__xludf.DUMMYFUNCTION("""COMPUTED_VALUE"""),"")</f>
        <v/>
      </c>
      <c r="AE892" s="1" t="str">
        <f>IFERROR(__xludf.DUMMYFUNCTION("""COMPUTED_VALUE"""),"")</f>
        <v/>
      </c>
      <c r="AF892" s="1" t="str">
        <f>IFERROR(__xludf.DUMMYFUNCTION("""COMPUTED_VALUE"""),"")</f>
        <v/>
      </c>
      <c r="AG892" s="1" t="str">
        <f>IFERROR(__xludf.DUMMYFUNCTION("""COMPUTED_VALUE"""),"FULLY REGULATED")</f>
        <v>FULLY REGULATED</v>
      </c>
      <c r="AH892" s="1" t="str">
        <f>IFERROR(__xludf.DUMMYFUNCTION("""COMPUTED_VALUE"""),"Media Monitoring")</f>
        <v>Media Monitoring</v>
      </c>
      <c r="AI892" s="2" t="str">
        <f>IFERROR(__xludf.DUMMYFUNCTION("""COMPUTED_VALUE"""),"https://gis-tceq.opendata.arcgis.com/datasets/daece6e3181140f69093ab69cf9ae0ba/explore?layer=0&amp;showTable=true")</f>
        <v>https://gis-tceq.opendata.arcgis.com/datasets/daece6e3181140f69093ab69cf9ae0ba/explore?layer=0&amp;showTable=true</v>
      </c>
      <c r="AJ892" s="1" t="str">
        <f>IFERROR(__xludf.DUMMYFUNCTION("""COMPUTED_VALUE"""),"")</f>
        <v/>
      </c>
      <c r="AK892" s="1" t="str">
        <f>IFERROR(__xludf.DUMMYFUNCTION("""COMPUTED_VALUE"""),"")</f>
        <v/>
      </c>
      <c r="AL892" s="1" t="str">
        <f>IFERROR(__xludf.DUMMYFUNCTION("""COMPUTED_VALUE"""),"")</f>
        <v/>
      </c>
      <c r="AM892" s="1" t="str">
        <f>IFERROR(__xludf.DUMMYFUNCTION("""COMPUTED_VALUE"""),"")</f>
        <v/>
      </c>
      <c r="AN892" s="1" t="str">
        <f>IFERROR(__xludf.DUMMYFUNCTION("""COMPUTED_VALUE"""),"")</f>
        <v/>
      </c>
      <c r="AO892" s="1" t="str">
        <f>IFERROR(__xludf.DUMMYFUNCTION("""COMPUTED_VALUE"""),"")</f>
        <v/>
      </c>
      <c r="AP892" s="1" t="str">
        <f>IFERROR(__xludf.DUMMYFUNCTION("""COMPUTED_VALUE"""),"")</f>
        <v/>
      </c>
      <c r="AQ892" s="1" t="str">
        <f>IFERROR(__xludf.DUMMYFUNCTION("""COMPUTED_VALUE"""),"08/05/2025")</f>
        <v>08/05/2025</v>
      </c>
      <c r="AR892" s="1" t="str">
        <f>IFERROR(__xludf.DUMMYFUNCTION("""COMPUTED_VALUE"""),"08/05/2025")</f>
        <v>08/05/2025</v>
      </c>
    </row>
    <row r="893">
      <c r="A893" s="1" t="str">
        <f>IFERROR(__xludf.DUMMYFUNCTION("""COMPUTED_VALUE"""),"EXPERIAN DATA CENTER ALLEN")</f>
        <v>EXPERIAN DATA CENTER ALLEN</v>
      </c>
      <c r="B893" s="1" t="str">
        <f>IFERROR(__xludf.DUMMYFUNCTION("""COMPUTED_VALUE"""),"601 EXPERIAN PKWY")</f>
        <v>601 EXPERIAN PKWY</v>
      </c>
      <c r="C893" s="1" t="str">
        <f>IFERROR(__xludf.DUMMYFUNCTION("""COMPUTED_VALUE"""),"Allen")</f>
        <v>Allen</v>
      </c>
      <c r="D893" s="1" t="str">
        <f>IFERROR(__xludf.DUMMYFUNCTION("""COMPUTED_VALUE"""),"TX")</f>
        <v>TX</v>
      </c>
      <c r="E893" s="1" t="str">
        <f>IFERROR(__xludf.DUMMYFUNCTION("""COMPUTED_VALUE"""),"75013")</f>
        <v>75013</v>
      </c>
      <c r="F893" s="1" t="str">
        <f>IFERROR(__xludf.DUMMYFUNCTION("""COMPUTED_VALUE"""),"Collin")</f>
        <v>Collin</v>
      </c>
      <c r="G893" s="1" t="str">
        <f>IFERROR(__xludf.DUMMYFUNCTION("""COMPUTED_VALUE"""),"33.08641")</f>
        <v>33.08641</v>
      </c>
      <c r="H893" s="1" t="str">
        <f>IFERROR(__xludf.DUMMYFUNCTION("""COMPUTED_VALUE"""),"-96.6802")</f>
        <v>-96.6802</v>
      </c>
      <c r="I893" s="1" t="str">
        <f>IFERROR(__xludf.DUMMYFUNCTION("""COMPUTED_VALUE"""),"Operating")</f>
        <v>Operating</v>
      </c>
      <c r="J893" s="1" t="str">
        <f>IFERROR(__xludf.DUMMYFUNCTION("""COMPUTED_VALUE"""),"High")</f>
        <v>High</v>
      </c>
      <c r="K893" s="1" t="str">
        <f>IFERROR(__xludf.DUMMYFUNCTION("""COMPUTED_VALUE"""),"")</f>
        <v/>
      </c>
      <c r="L893" s="1" t="str">
        <f>IFERROR(__xludf.DUMMYFUNCTION("""COMPUTED_VALUE"""),"")</f>
        <v/>
      </c>
      <c r="M893" s="1" t="str">
        <f>IFERROR(__xludf.DUMMYFUNCTION("""COMPUTED_VALUE"""),"")</f>
        <v/>
      </c>
      <c r="N893" s="1" t="str">
        <f>IFERROR(__xludf.DUMMYFUNCTION("""COMPUTED_VALUE"""),"")</f>
        <v/>
      </c>
      <c r="O893" s="1" t="str">
        <f>IFERROR(__xludf.DUMMYFUNCTION("""COMPUTED_VALUE"""),"Unknown")</f>
        <v>Unknown</v>
      </c>
      <c r="P893" s="1" t="str">
        <f>IFERROR(__xludf.DUMMYFUNCTION("""COMPUTED_VALUE"""),"")</f>
        <v/>
      </c>
      <c r="Q893" s="1" t="str">
        <f>IFERROR(__xludf.DUMMYFUNCTION("""COMPUTED_VALUE"""),"")</f>
        <v/>
      </c>
      <c r="R893" s="1" t="str">
        <f>IFERROR(__xludf.DUMMYFUNCTION("""COMPUTED_VALUE"""),"")</f>
        <v/>
      </c>
      <c r="S893" s="1" t="str">
        <f>IFERROR(__xludf.DUMMYFUNCTION("""COMPUTED_VALUE"""),"")</f>
        <v/>
      </c>
      <c r="T893" s="1" t="str">
        <f>IFERROR(__xludf.DUMMYFUNCTION("""COMPUTED_VALUE"""),"")</f>
        <v/>
      </c>
      <c r="U893" s="1" t="str">
        <f>IFERROR(__xludf.DUMMYFUNCTION("""COMPUTED_VALUE"""),"")</f>
        <v/>
      </c>
      <c r="V893" s="1" t="str">
        <f>IFERROR(__xludf.DUMMYFUNCTION("""COMPUTED_VALUE"""),"")</f>
        <v/>
      </c>
      <c r="W893" s="1" t="str">
        <f>IFERROR(__xludf.DUMMYFUNCTION("""COMPUTED_VALUE"""),"")</f>
        <v/>
      </c>
      <c r="X893" s="1" t="str">
        <f>IFERROR(__xludf.DUMMYFUNCTION("""COMPUTED_VALUE"""),"")</f>
        <v/>
      </c>
      <c r="Y893" s="1" t="str">
        <f>IFERROR(__xludf.DUMMYFUNCTION("""COMPUTED_VALUE"""),"")</f>
        <v/>
      </c>
      <c r="Z893" s="1" t="str">
        <f>IFERROR(__xludf.DUMMYFUNCTION("""COMPUTED_VALUE"""),"Unknown")</f>
        <v>Unknown</v>
      </c>
      <c r="AA893" s="1" t="str">
        <f>IFERROR(__xludf.DUMMYFUNCTION("""COMPUTED_VALUE"""),"")</f>
        <v/>
      </c>
      <c r="AB893" s="1" t="str">
        <f>IFERROR(__xludf.DUMMYFUNCTION("""COMPUTED_VALUE"""),"")</f>
        <v/>
      </c>
      <c r="AC893" s="1" t="str">
        <f>IFERROR(__xludf.DUMMYFUNCTION("""COMPUTED_VALUE"""),"")</f>
        <v/>
      </c>
      <c r="AD893" s="1" t="str">
        <f>IFERROR(__xludf.DUMMYFUNCTION("""COMPUTED_VALUE"""),"")</f>
        <v/>
      </c>
      <c r="AE893" s="1" t="str">
        <f>IFERROR(__xludf.DUMMYFUNCTION("""COMPUTED_VALUE"""),"")</f>
        <v/>
      </c>
      <c r="AF893" s="1" t="str">
        <f>IFERROR(__xludf.DUMMYFUNCTION("""COMPUTED_VALUE"""),"")</f>
        <v/>
      </c>
      <c r="AG893" s="1" t="str">
        <f>IFERROR(__xludf.DUMMYFUNCTION("""COMPUTED_VALUE"""),"FULLY REGULATED")</f>
        <v>FULLY REGULATED</v>
      </c>
      <c r="AH893" s="1" t="str">
        <f>IFERROR(__xludf.DUMMYFUNCTION("""COMPUTED_VALUE"""),"Media Monitoring")</f>
        <v>Media Monitoring</v>
      </c>
      <c r="AI893" s="2" t="str">
        <f>IFERROR(__xludf.DUMMYFUNCTION("""COMPUTED_VALUE"""),"https://gis-tceq.opendata.arcgis.com/datasets/daece6e3181140f69093ab69cf9ae0ba/explore?layer=0&amp;showTable=true")</f>
        <v>https://gis-tceq.opendata.arcgis.com/datasets/daece6e3181140f69093ab69cf9ae0ba/explore?layer=0&amp;showTable=true</v>
      </c>
      <c r="AJ893" s="1" t="str">
        <f>IFERROR(__xludf.DUMMYFUNCTION("""COMPUTED_VALUE"""),"")</f>
        <v/>
      </c>
      <c r="AK893" s="1" t="str">
        <f>IFERROR(__xludf.DUMMYFUNCTION("""COMPUTED_VALUE"""),"")</f>
        <v/>
      </c>
      <c r="AL893" s="1" t="str">
        <f>IFERROR(__xludf.DUMMYFUNCTION("""COMPUTED_VALUE"""),"")</f>
        <v/>
      </c>
      <c r="AM893" s="1" t="str">
        <f>IFERROR(__xludf.DUMMYFUNCTION("""COMPUTED_VALUE"""),"")</f>
        <v/>
      </c>
      <c r="AN893" s="1" t="str">
        <f>IFERROR(__xludf.DUMMYFUNCTION("""COMPUTED_VALUE"""),"")</f>
        <v/>
      </c>
      <c r="AO893" s="1" t="str">
        <f>IFERROR(__xludf.DUMMYFUNCTION("""COMPUTED_VALUE"""),"")</f>
        <v/>
      </c>
      <c r="AP893" s="1" t="str">
        <f>IFERROR(__xludf.DUMMYFUNCTION("""COMPUTED_VALUE"""),"")</f>
        <v/>
      </c>
      <c r="AQ893" s="1" t="str">
        <f>IFERROR(__xludf.DUMMYFUNCTION("""COMPUTED_VALUE"""),"08/05/2025")</f>
        <v>08/05/2025</v>
      </c>
      <c r="AR893" s="1" t="str">
        <f>IFERROR(__xludf.DUMMYFUNCTION("""COMPUTED_VALUE"""),"08/05/2025")</f>
        <v>08/05/2025</v>
      </c>
    </row>
    <row r="894">
      <c r="A894" s="1" t="str">
        <f>IFERROR(__xludf.DUMMYFUNCTION("""COMPUTED_VALUE"""),"Fermi America HyperGrid/ Project Matador")</f>
        <v>Fermi America HyperGrid/ Project Matador</v>
      </c>
      <c r="B894" s="1" t="str">
        <f>IFERROR(__xludf.DUMMYFUNCTION("""COMPUTED_VALUE"""),"near Pantex Plant, and Hwy 60")</f>
        <v>near Pantex Plant, and Hwy 60</v>
      </c>
      <c r="C894" s="1" t="str">
        <f>IFERROR(__xludf.DUMMYFUNCTION("""COMPUTED_VALUE"""),"Amarillo")</f>
        <v>Amarillo</v>
      </c>
      <c r="D894" s="1" t="str">
        <f>IFERROR(__xludf.DUMMYFUNCTION("""COMPUTED_VALUE"""),"TX")</f>
        <v>TX</v>
      </c>
      <c r="E894" s="1" t="str">
        <f>IFERROR(__xludf.DUMMYFUNCTION("""COMPUTED_VALUE"""),"79068")</f>
        <v>79068</v>
      </c>
      <c r="F894" s="1" t="str">
        <f>IFERROR(__xludf.DUMMYFUNCTION("""COMPUTED_VALUE"""),"Carson")</f>
        <v>Carson</v>
      </c>
      <c r="G894" s="1" t="str">
        <f>IFERROR(__xludf.DUMMYFUNCTION("""COMPUTED_VALUE"""),"35.28762")</f>
        <v>35.28762</v>
      </c>
      <c r="H894" s="1" t="str">
        <f>IFERROR(__xludf.DUMMYFUNCTION("""COMPUTED_VALUE"""),"-101.554")</f>
        <v>-101.554</v>
      </c>
      <c r="I894" s="1" t="str">
        <f>IFERROR(__xludf.DUMMYFUNCTION("""COMPUTED_VALUE"""),"Approved/Permitted/Under construction")</f>
        <v>Approved/Permitted/Under construction</v>
      </c>
      <c r="J894" s="1" t="str">
        <f>IFERROR(__xludf.DUMMYFUNCTION("""COMPUTED_VALUE"""),"Medium")</f>
        <v>Medium</v>
      </c>
      <c r="K894" s="1" t="str">
        <f>IFERROR(__xludf.DUMMYFUNCTION("""COMPUTED_VALUE"""),"AI")</f>
        <v>AI</v>
      </c>
      <c r="L894" s="1" t="str">
        <f>IFERROR(__xludf.DUMMYFUNCTION("""COMPUTED_VALUE"""),"Fermi America and Texas Tech")</f>
        <v>Fermi America and Texas Tech</v>
      </c>
      <c r="M894" s="1" t="str">
        <f>IFERROR(__xludf.DUMMYFUNCTION("""COMPUTED_VALUE"""),"")</f>
        <v/>
      </c>
      <c r="N894" s="1" t="str">
        <f>IFERROR(__xludf.DUMMYFUNCTION("""COMPUTED_VALUE"""),"11,000-17,000")</f>
        <v>11,000-17,000</v>
      </c>
      <c r="O894" s="1" t="str">
        <f>IFERROR(__xludf.DUMMYFUNCTION("""COMPUTED_VALUE"""),"Mega campus (&gt;1,000 MW)")</f>
        <v>Mega campus (&gt;1,000 MW)</v>
      </c>
      <c r="P894" s="1" t="str">
        <f>IFERROR(__xludf.DUMMYFUNCTION("""COMPUTED_VALUE"""),"Natural gas, Nuclear, Solar")</f>
        <v>Natural gas, Nuclear, Solar</v>
      </c>
      <c r="Q894" s="1" t="str">
        <f>IFERROR(__xludf.DUMMYFUNCTION("""COMPUTED_VALUE"""),"")</f>
        <v/>
      </c>
      <c r="R894" s="1" t="str">
        <f>IFERROR(__xludf.DUMMYFUNCTION("""COMPUTED_VALUE"""),"")</f>
        <v/>
      </c>
      <c r="S894" s="1" t="str">
        <f>IFERROR(__xludf.DUMMYFUNCTION("""COMPUTED_VALUE"""),"")</f>
        <v/>
      </c>
      <c r="T894" s="1" t="str">
        <f>IFERROR(__xludf.DUMMYFUNCTION("""COMPUTED_VALUE"""),"Water")</f>
        <v>Water</v>
      </c>
      <c r="U894" s="1" t="str">
        <f>IFERROR(__xludf.DUMMYFUNCTION("""COMPUTED_VALUE"""),"Closed loop")</f>
        <v>Closed loop</v>
      </c>
      <c r="V894" s="1" t="str">
        <f>IFERROR(__xludf.DUMMYFUNCTION("""COMPUTED_VALUE"""),"18,000,000")</f>
        <v>18,000,000</v>
      </c>
      <c r="W894" s="1" t="str">
        <f>IFERROR(__xludf.DUMMYFUNCTION("""COMPUTED_VALUE"""),"5769")</f>
        <v>5769</v>
      </c>
      <c r="X894" s="1" t="str">
        <f>IFERROR(__xludf.DUMMYFUNCTION("""COMPUTED_VALUE"""),"")</f>
        <v/>
      </c>
      <c r="Y894" s="1" t="str">
        <f>IFERROR(__xludf.DUMMYFUNCTION("""COMPUTED_VALUE"""),"2026")</f>
        <v>2026</v>
      </c>
      <c r="Z894" s="1" t="str">
        <f>IFERROR(__xludf.DUMMYFUNCTION("""COMPUTED_VALUE"""),"Yes")</f>
        <v>Yes</v>
      </c>
      <c r="AA894" s="1" t="str">
        <f>IFERROR(__xludf.DUMMYFUNCTION("""COMPUTED_VALUE"""),"Opposition groups have raised concerns about large groundwater withdrawals from the Ogallala Aquifer, nuclear reactor licensing, and the scale of the proposed AI campus.")</f>
        <v>Opposition groups have raised concerns about large groundwater withdrawals from the Ogallala Aquifer, nuclear reactor licensing, and the scale of the proposed AI campus.</v>
      </c>
      <c r="AB894" s="1" t="str">
        <f>IFERROR(__xludf.DUMMYFUNCTION("""COMPUTED_VALUE"""),"")</f>
        <v/>
      </c>
      <c r="AC894" s="1" t="str">
        <f>IFERROR(__xludf.DUMMYFUNCTION("""COMPUTED_VALUE"""),"")</f>
        <v/>
      </c>
      <c r="AD894" s="1" t="str">
        <f>IFERROR(__xludf.DUMMYFUNCTION("""COMPUTED_VALUE"""),"")</f>
        <v/>
      </c>
      <c r="AE894" s="1" t="str">
        <f>IFERROR(__xludf.DUMMYFUNCTION("""COMPUTED_VALUE"""),"")</f>
        <v/>
      </c>
      <c r="AF894" s="2" t="str">
        <f>IFERROR(__xludf.DUMMYFUNCTION("""COMPUTED_VALUE"""),"https://actionnetwork.org/petitions/our-water-is-not-for-sale-protect-ogallalla-aquifer")</f>
        <v>https://actionnetwork.org/petitions/our-water-is-not-for-sale-protect-ogallalla-aquifer</v>
      </c>
      <c r="AG894" s="1" t="str">
        <f>IFERROR(__xludf.DUMMYFUNCTION("""COMPUTED_VALUE"""),"Plans to be nuclear powered. Major tenant funding source collapsed 12/12/2025. The project is co-founded by former U.S. Energy Secretary and Texas Governor Rick Perry and his son Griffin, in partnership with Texas Tech University. 6 GW are already permitt"&amp;"ed on 7,570 acres in the Texas Panhandle, with ~2 GW of generation assets secured and the first phase of construction completed. Developers have proposed up to 17 GW at full build")</f>
        <v>Plans to be nuclear powered. Major tenant funding source collapsed 12/12/2025. The project is co-founded by former U.S. Energy Secretary and Texas Governor Rick Perry and his son Griffin, in partnership with Texas Tech University. 6 GW are already permitted on 7,570 acres in the Texas Panhandle, with ~2 GW of generation assets secured and the first phase of construction completed. Developers have proposed up to 17 GW at full build</v>
      </c>
      <c r="AH894" s="1" t="str">
        <f>IFERROR(__xludf.DUMMYFUNCTION("""COMPUTED_VALUE"""),"Media Monitoring")</f>
        <v>Media Monitoring</v>
      </c>
      <c r="AI894" s="2" t="str">
        <f>IFERROR(__xludf.DUMMYFUNCTION("""COMPUTED_VALUE"""),"https://www.datacenterdynamics.com/en/news/fermi-america-acquires-600mw-of-gas-turbines-for-11gw-ai-mega-campus-in-amarillo-texas/")</f>
        <v>https://www.datacenterdynamics.com/en/news/fermi-america-acquires-600mw-of-gas-turbines-for-11gw-ai-mega-campus-in-amarillo-texas/</v>
      </c>
      <c r="AJ894" s="2" t="str">
        <f>IFERROR(__xludf.DUMMYFUNCTION("""COMPUTED_VALUE"""),"https://www.datacenterdynamics.com/en/news/former-texas-governor-and-us-energy-sec-plans-11gw-data-center-campus-outside-amarillo-texas/")</f>
        <v>https://www.datacenterdynamics.com/en/news/former-texas-governor-and-us-energy-sec-plans-11gw-data-center-campus-outside-amarillo-texas/</v>
      </c>
      <c r="AK894" s="2" t="str">
        <f>IFERROR(__xludf.DUMMYFUNCTION("""COMPUTED_VALUE"""),"https://www.datacenterdynamics.com/en/news/fermi-westinghouse-to-finalize-licensing-application-for-nuclear-reactors-at-11gw-ai-campus-in-amarillo-texas/")</f>
        <v>https://www.datacenterdynamics.com/en/news/fermi-westinghouse-to-finalize-licensing-application-for-nuclear-reactors-at-11gw-ai-campus-in-amarillo-texas/</v>
      </c>
      <c r="AL894" s="2" t="str">
        <f>IFERROR(__xludf.DUMMYFUNCTION("""COMPUTED_VALUE"""),"https://mynews13.com/fl/orlando/news/2025/11/21/fermi-data-center")</f>
        <v>https://mynews13.com/fl/orlando/news/2025/11/21/fermi-data-center</v>
      </c>
      <c r="AM894" s="2" t="str">
        <f>IFERROR(__xludf.DUMMYFUNCTION("""COMPUTED_VALUE"""),"https://finance.yahoo.com/news/ai-power-darling-fermi-implodes-185100893.html")</f>
        <v>https://finance.yahoo.com/news/ai-power-darling-fermi-implodes-185100893.html</v>
      </c>
      <c r="AN894" s="2" t="str">
        <f>IFERROR(__xludf.DUMMYFUNCTION("""COMPUTED_VALUE"""),"https://fermiamerica.com/")</f>
        <v>https://fermiamerica.com/</v>
      </c>
      <c r="AO894" s="1" t="str">
        <f>IFERROR(__xludf.DUMMYFUNCTION("""COMPUTED_VALUE"""),"")</f>
        <v/>
      </c>
      <c r="AP894" s="1" t="str">
        <f>IFERROR(__xludf.DUMMYFUNCTION("""COMPUTED_VALUE"""),"")</f>
        <v/>
      </c>
      <c r="AQ894" s="1" t="str">
        <f>IFERROR(__xludf.DUMMYFUNCTION("""COMPUTED_VALUE"""),"07/06/2025")</f>
        <v>07/06/2025</v>
      </c>
      <c r="AR894" s="1" t="str">
        <f>IFERROR(__xludf.DUMMYFUNCTION("""COMPUTED_VALUE"""),"03/17/2026")</f>
        <v>03/17/2026</v>
      </c>
    </row>
    <row r="895">
      <c r="A895" s="1" t="str">
        <f>IFERROR(__xludf.DUMMYFUNCTION("""COMPUTED_VALUE"""),"AIG DATA CENTER")</f>
        <v>AIG DATA CENTER</v>
      </c>
      <c r="B895" s="1" t="str">
        <f>IFERROR(__xludf.DUMMYFUNCTION("""COMPUTED_VALUE"""),"2401 S OSAGE ST")</f>
        <v>2401 S OSAGE ST</v>
      </c>
      <c r="C895" s="1" t="str">
        <f>IFERROR(__xludf.DUMMYFUNCTION("""COMPUTED_VALUE"""),"AMARILLO")</f>
        <v>AMARILLO</v>
      </c>
      <c r="D895" s="1" t="str">
        <f>IFERROR(__xludf.DUMMYFUNCTION("""COMPUTED_VALUE"""),"TX")</f>
        <v>TX</v>
      </c>
      <c r="E895" s="1" t="str">
        <f>IFERROR(__xludf.DUMMYFUNCTION("""COMPUTED_VALUE"""),"79103")</f>
        <v>79103</v>
      </c>
      <c r="F895" s="1" t="str">
        <f>IFERROR(__xludf.DUMMYFUNCTION("""COMPUTED_VALUE"""),"Potter")</f>
        <v>Potter</v>
      </c>
      <c r="G895" s="1" t="str">
        <f>IFERROR(__xludf.DUMMYFUNCTION("""COMPUTED_VALUE"""),"35.18739")</f>
        <v>35.18739</v>
      </c>
      <c r="H895" s="1" t="str">
        <f>IFERROR(__xludf.DUMMYFUNCTION("""COMPUTED_VALUE"""),"-101.812")</f>
        <v>-101.812</v>
      </c>
      <c r="I895" s="1" t="str">
        <f>IFERROR(__xludf.DUMMYFUNCTION("""COMPUTED_VALUE"""),"Operating")</f>
        <v>Operating</v>
      </c>
      <c r="J895" s="1" t="str">
        <f>IFERROR(__xludf.DUMMYFUNCTION("""COMPUTED_VALUE"""),"High")</f>
        <v>High</v>
      </c>
      <c r="K895" s="1" t="str">
        <f>IFERROR(__xludf.DUMMYFUNCTION("""COMPUTED_VALUE"""),"")</f>
        <v/>
      </c>
      <c r="L895" s="1" t="str">
        <f>IFERROR(__xludf.DUMMYFUNCTION("""COMPUTED_VALUE"""),"")</f>
        <v/>
      </c>
      <c r="M895" s="1" t="str">
        <f>IFERROR(__xludf.DUMMYFUNCTION("""COMPUTED_VALUE"""),"")</f>
        <v/>
      </c>
      <c r="N895" s="1" t="str">
        <f>IFERROR(__xludf.DUMMYFUNCTION("""COMPUTED_VALUE"""),"")</f>
        <v/>
      </c>
      <c r="O895" s="1" t="str">
        <f>IFERROR(__xludf.DUMMYFUNCTION("""COMPUTED_VALUE"""),"Unknown")</f>
        <v>Unknown</v>
      </c>
      <c r="P895" s="1" t="str">
        <f>IFERROR(__xludf.DUMMYFUNCTION("""COMPUTED_VALUE"""),"")</f>
        <v/>
      </c>
      <c r="Q895" s="1" t="str">
        <f>IFERROR(__xludf.DUMMYFUNCTION("""COMPUTED_VALUE"""),"")</f>
        <v/>
      </c>
      <c r="R895" s="1" t="str">
        <f>IFERROR(__xludf.DUMMYFUNCTION("""COMPUTED_VALUE"""),"")</f>
        <v/>
      </c>
      <c r="S895" s="1" t="str">
        <f>IFERROR(__xludf.DUMMYFUNCTION("""COMPUTED_VALUE"""),"")</f>
        <v/>
      </c>
      <c r="T895" s="1" t="str">
        <f>IFERROR(__xludf.DUMMYFUNCTION("""COMPUTED_VALUE"""),"")</f>
        <v/>
      </c>
      <c r="U895" s="1" t="str">
        <f>IFERROR(__xludf.DUMMYFUNCTION("""COMPUTED_VALUE"""),"")</f>
        <v/>
      </c>
      <c r="V895" s="1" t="str">
        <f>IFERROR(__xludf.DUMMYFUNCTION("""COMPUTED_VALUE"""),"")</f>
        <v/>
      </c>
      <c r="W895" s="1" t="str">
        <f>IFERROR(__xludf.DUMMYFUNCTION("""COMPUTED_VALUE"""),"")</f>
        <v/>
      </c>
      <c r="X895" s="1" t="str">
        <f>IFERROR(__xludf.DUMMYFUNCTION("""COMPUTED_VALUE"""),"")</f>
        <v/>
      </c>
      <c r="Y895" s="1" t="str">
        <f>IFERROR(__xludf.DUMMYFUNCTION("""COMPUTED_VALUE"""),"")</f>
        <v/>
      </c>
      <c r="Z895" s="1" t="str">
        <f>IFERROR(__xludf.DUMMYFUNCTION("""COMPUTED_VALUE"""),"Unknown")</f>
        <v>Unknown</v>
      </c>
      <c r="AA895" s="1" t="str">
        <f>IFERROR(__xludf.DUMMYFUNCTION("""COMPUTED_VALUE"""),"")</f>
        <v/>
      </c>
      <c r="AB895" s="1" t="str">
        <f>IFERROR(__xludf.DUMMYFUNCTION("""COMPUTED_VALUE"""),"")</f>
        <v/>
      </c>
      <c r="AC895" s="1" t="str">
        <f>IFERROR(__xludf.DUMMYFUNCTION("""COMPUTED_VALUE"""),"")</f>
        <v/>
      </c>
      <c r="AD895" s="1" t="str">
        <f>IFERROR(__xludf.DUMMYFUNCTION("""COMPUTED_VALUE"""),"")</f>
        <v/>
      </c>
      <c r="AE895" s="1" t="str">
        <f>IFERROR(__xludf.DUMMYFUNCTION("""COMPUTED_VALUE"""),"")</f>
        <v/>
      </c>
      <c r="AF895" s="1" t="str">
        <f>IFERROR(__xludf.DUMMYFUNCTION("""COMPUTED_VALUE"""),"")</f>
        <v/>
      </c>
      <c r="AG895" s="1" t="str">
        <f>IFERROR(__xludf.DUMMYFUNCTION("""COMPUTED_VALUE"""),"EMERG POWER GENERATOR")</f>
        <v>EMERG POWER GENERATOR</v>
      </c>
      <c r="AH895" s="1" t="str">
        <f>IFERROR(__xludf.DUMMYFUNCTION("""COMPUTED_VALUE"""),"Media Monitoring")</f>
        <v>Media Monitoring</v>
      </c>
      <c r="AI895" s="2" t="str">
        <f>IFERROR(__xludf.DUMMYFUNCTION("""COMPUTED_VALUE"""),"https://gis-tceq.opendata.arcgis.com/datasets/daece6e3181140f69093ab69cf9ae0ba/explore?layer=0&amp;showTable=true")</f>
        <v>https://gis-tceq.opendata.arcgis.com/datasets/daece6e3181140f69093ab69cf9ae0ba/explore?layer=0&amp;showTable=true</v>
      </c>
      <c r="AJ895" s="1" t="str">
        <f>IFERROR(__xludf.DUMMYFUNCTION("""COMPUTED_VALUE"""),"")</f>
        <v/>
      </c>
      <c r="AK895" s="1" t="str">
        <f>IFERROR(__xludf.DUMMYFUNCTION("""COMPUTED_VALUE"""),"")</f>
        <v/>
      </c>
      <c r="AL895" s="1" t="str">
        <f>IFERROR(__xludf.DUMMYFUNCTION("""COMPUTED_VALUE"""),"")</f>
        <v/>
      </c>
      <c r="AM895" s="1" t="str">
        <f>IFERROR(__xludf.DUMMYFUNCTION("""COMPUTED_VALUE"""),"")</f>
        <v/>
      </c>
      <c r="AN895" s="1" t="str">
        <f>IFERROR(__xludf.DUMMYFUNCTION("""COMPUTED_VALUE"""),"")</f>
        <v/>
      </c>
      <c r="AO895" s="1" t="str">
        <f>IFERROR(__xludf.DUMMYFUNCTION("""COMPUTED_VALUE"""),"")</f>
        <v/>
      </c>
      <c r="AP895" s="1" t="str">
        <f>IFERROR(__xludf.DUMMYFUNCTION("""COMPUTED_VALUE"""),"")</f>
        <v/>
      </c>
      <c r="AQ895" s="1" t="str">
        <f>IFERROR(__xludf.DUMMYFUNCTION("""COMPUTED_VALUE"""),"08/05/2025")</f>
        <v>08/05/2025</v>
      </c>
      <c r="AR895" s="1" t="str">
        <f>IFERROR(__xludf.DUMMYFUNCTION("""COMPUTED_VALUE"""),"08/05/2025")</f>
        <v>08/05/2025</v>
      </c>
    </row>
    <row r="896">
      <c r="A896" s="1" t="str">
        <f>IFERROR(__xludf.DUMMYFUNCTION("""COMPUTED_VALUE"""),"AUSTIN DATA CENTER AUS-02")</f>
        <v>AUSTIN DATA CENTER AUS-02</v>
      </c>
      <c r="B896" s="1" t="str">
        <f>IFERROR(__xludf.DUMMYFUNCTION("""COMPUTED_VALUE"""),"4100 SMITH SCHOOL RD")</f>
        <v>4100 SMITH SCHOOL RD</v>
      </c>
      <c r="C896" s="1" t="str">
        <f>IFERROR(__xludf.DUMMYFUNCTION("""COMPUTED_VALUE"""),"Austin")</f>
        <v>Austin</v>
      </c>
      <c r="D896" s="1" t="str">
        <f>IFERROR(__xludf.DUMMYFUNCTION("""COMPUTED_VALUE"""),"TX")</f>
        <v>TX</v>
      </c>
      <c r="E896" s="1" t="str">
        <f>IFERROR(__xludf.DUMMYFUNCTION("""COMPUTED_VALUE"""),"78744")</f>
        <v>78744</v>
      </c>
      <c r="F896" s="1" t="str">
        <f>IFERROR(__xludf.DUMMYFUNCTION("""COMPUTED_VALUE"""),"Travis")</f>
        <v>Travis</v>
      </c>
      <c r="G896" s="1" t="str">
        <f>IFERROR(__xludf.DUMMYFUNCTION("""COMPUTED_VALUE"""),"30.1991")</f>
        <v>30.1991</v>
      </c>
      <c r="H896" s="1" t="str">
        <f>IFERROR(__xludf.DUMMYFUNCTION("""COMPUTED_VALUE"""),"-97.7134")</f>
        <v>-97.7134</v>
      </c>
      <c r="I896" s="1" t="str">
        <f>IFERROR(__xludf.DUMMYFUNCTION("""COMPUTED_VALUE"""),"Operating")</f>
        <v>Operating</v>
      </c>
      <c r="J896" s="1" t="str">
        <f>IFERROR(__xludf.DUMMYFUNCTION("""COMPUTED_VALUE"""),"High")</f>
        <v>High</v>
      </c>
      <c r="K896" s="1" t="str">
        <f>IFERROR(__xludf.DUMMYFUNCTION("""COMPUTED_VALUE"""),"")</f>
        <v/>
      </c>
      <c r="L896" s="1" t="str">
        <f>IFERROR(__xludf.DUMMYFUNCTION("""COMPUTED_VALUE"""),"")</f>
        <v/>
      </c>
      <c r="M896" s="1" t="str">
        <f>IFERROR(__xludf.DUMMYFUNCTION("""COMPUTED_VALUE"""),"")</f>
        <v/>
      </c>
      <c r="N896" s="1" t="str">
        <f>IFERROR(__xludf.DUMMYFUNCTION("""COMPUTED_VALUE"""),"")</f>
        <v/>
      </c>
      <c r="O896" s="1" t="str">
        <f>IFERROR(__xludf.DUMMYFUNCTION("""COMPUTED_VALUE"""),"Unknown")</f>
        <v>Unknown</v>
      </c>
      <c r="P896" s="1" t="str">
        <f>IFERROR(__xludf.DUMMYFUNCTION("""COMPUTED_VALUE"""),"")</f>
        <v/>
      </c>
      <c r="Q896" s="1" t="str">
        <f>IFERROR(__xludf.DUMMYFUNCTION("""COMPUTED_VALUE"""),"")</f>
        <v/>
      </c>
      <c r="R896" s="1" t="str">
        <f>IFERROR(__xludf.DUMMYFUNCTION("""COMPUTED_VALUE"""),"")</f>
        <v/>
      </c>
      <c r="S896" s="1" t="str">
        <f>IFERROR(__xludf.DUMMYFUNCTION("""COMPUTED_VALUE"""),"")</f>
        <v/>
      </c>
      <c r="T896" s="1" t="str">
        <f>IFERROR(__xludf.DUMMYFUNCTION("""COMPUTED_VALUE"""),"")</f>
        <v/>
      </c>
      <c r="U896" s="1" t="str">
        <f>IFERROR(__xludf.DUMMYFUNCTION("""COMPUTED_VALUE"""),"")</f>
        <v/>
      </c>
      <c r="V896" s="1" t="str">
        <f>IFERROR(__xludf.DUMMYFUNCTION("""COMPUTED_VALUE"""),"")</f>
        <v/>
      </c>
      <c r="W896" s="1" t="str">
        <f>IFERROR(__xludf.DUMMYFUNCTION("""COMPUTED_VALUE"""),"")</f>
        <v/>
      </c>
      <c r="X896" s="1" t="str">
        <f>IFERROR(__xludf.DUMMYFUNCTION("""COMPUTED_VALUE"""),"")</f>
        <v/>
      </c>
      <c r="Y896" s="1" t="str">
        <f>IFERROR(__xludf.DUMMYFUNCTION("""COMPUTED_VALUE"""),"")</f>
        <v/>
      </c>
      <c r="Z896" s="1" t="str">
        <f>IFERROR(__xludf.DUMMYFUNCTION("""COMPUTED_VALUE"""),"Unknown")</f>
        <v>Unknown</v>
      </c>
      <c r="AA896" s="1" t="str">
        <f>IFERROR(__xludf.DUMMYFUNCTION("""COMPUTED_VALUE"""),"")</f>
        <v/>
      </c>
      <c r="AB896" s="1" t="str">
        <f>IFERROR(__xludf.DUMMYFUNCTION("""COMPUTED_VALUE"""),"")</f>
        <v/>
      </c>
      <c r="AC896" s="1" t="str">
        <f>IFERROR(__xludf.DUMMYFUNCTION("""COMPUTED_VALUE"""),"")</f>
        <v/>
      </c>
      <c r="AD896" s="1" t="str">
        <f>IFERROR(__xludf.DUMMYFUNCTION("""COMPUTED_VALUE"""),"")</f>
        <v/>
      </c>
      <c r="AE896" s="1" t="str">
        <f>IFERROR(__xludf.DUMMYFUNCTION("""COMPUTED_VALUE"""),"")</f>
        <v/>
      </c>
      <c r="AF896" s="1" t="str">
        <f>IFERROR(__xludf.DUMMYFUNCTION("""COMPUTED_VALUE"""),"")</f>
        <v/>
      </c>
      <c r="AG896" s="1" t="str">
        <f>IFERROR(__xludf.DUMMYFUNCTION("""COMPUTED_VALUE"""),"FULLY REGULATED")</f>
        <v>FULLY REGULATED</v>
      </c>
      <c r="AH896" s="1" t="str">
        <f>IFERROR(__xludf.DUMMYFUNCTION("""COMPUTED_VALUE"""),"Media Monitoring")</f>
        <v>Media Monitoring</v>
      </c>
      <c r="AI896" s="2" t="str">
        <f>IFERROR(__xludf.DUMMYFUNCTION("""COMPUTED_VALUE"""),"https://gis-tceq.opendata.arcgis.com/datasets/daece6e3181140f69093ab69cf9ae0ba/explore?layer=0&amp;showTable=true")</f>
        <v>https://gis-tceq.opendata.arcgis.com/datasets/daece6e3181140f69093ab69cf9ae0ba/explore?layer=0&amp;showTable=true</v>
      </c>
      <c r="AJ896" s="1" t="str">
        <f>IFERROR(__xludf.DUMMYFUNCTION("""COMPUTED_VALUE"""),"")</f>
        <v/>
      </c>
      <c r="AK896" s="1" t="str">
        <f>IFERROR(__xludf.DUMMYFUNCTION("""COMPUTED_VALUE"""),"")</f>
        <v/>
      </c>
      <c r="AL896" s="1" t="str">
        <f>IFERROR(__xludf.DUMMYFUNCTION("""COMPUTED_VALUE"""),"")</f>
        <v/>
      </c>
      <c r="AM896" s="1" t="str">
        <f>IFERROR(__xludf.DUMMYFUNCTION("""COMPUTED_VALUE"""),"")</f>
        <v/>
      </c>
      <c r="AN896" s="1" t="str">
        <f>IFERROR(__xludf.DUMMYFUNCTION("""COMPUTED_VALUE"""),"")</f>
        <v/>
      </c>
      <c r="AO896" s="1" t="str">
        <f>IFERROR(__xludf.DUMMYFUNCTION("""COMPUTED_VALUE"""),"")</f>
        <v/>
      </c>
      <c r="AP896" s="1" t="str">
        <f>IFERROR(__xludf.DUMMYFUNCTION("""COMPUTED_VALUE"""),"")</f>
        <v/>
      </c>
      <c r="AQ896" s="1" t="str">
        <f>IFERROR(__xludf.DUMMYFUNCTION("""COMPUTED_VALUE"""),"08/05/2025")</f>
        <v>08/05/2025</v>
      </c>
      <c r="AR896" s="1" t="str">
        <f>IFERROR(__xludf.DUMMYFUNCTION("""COMPUTED_VALUE"""),"08/05/2025")</f>
        <v>08/05/2025</v>
      </c>
    </row>
    <row r="897">
      <c r="A897" s="1" t="str">
        <f>IFERROR(__xludf.DUMMYFUNCTION("""COMPUTED_VALUE"""),"Giga Texas Datacenter")</f>
        <v>Giga Texas Datacenter</v>
      </c>
      <c r="B897" s="1" t="str">
        <f>IFERROR(__xludf.DUMMYFUNCTION("""COMPUTED_VALUE"""),"1 Tesla Rd")</f>
        <v>1 Tesla Rd</v>
      </c>
      <c r="C897" s="1" t="str">
        <f>IFERROR(__xludf.DUMMYFUNCTION("""COMPUTED_VALUE"""),"Austin")</f>
        <v>Austin</v>
      </c>
      <c r="D897" s="1" t="str">
        <f>IFERROR(__xludf.DUMMYFUNCTION("""COMPUTED_VALUE"""),"TX")</f>
        <v>TX</v>
      </c>
      <c r="E897" s="1" t="str">
        <f>IFERROR(__xludf.DUMMYFUNCTION("""COMPUTED_VALUE"""),"78725")</f>
        <v>78725</v>
      </c>
      <c r="F897" s="1" t="str">
        <f>IFERROR(__xludf.DUMMYFUNCTION("""COMPUTED_VALUE"""),"Travis")</f>
        <v>Travis</v>
      </c>
      <c r="G897" s="1" t="str">
        <f>IFERROR(__xludf.DUMMYFUNCTION("""COMPUTED_VALUE"""),"30.22492")</f>
        <v>30.22492</v>
      </c>
      <c r="H897" s="1" t="str">
        <f>IFERROR(__xludf.DUMMYFUNCTION("""COMPUTED_VALUE"""),"-97.6196")</f>
        <v>-97.6196</v>
      </c>
      <c r="I897" s="1" t="str">
        <f>IFERROR(__xludf.DUMMYFUNCTION("""COMPUTED_VALUE"""),"Operating")</f>
        <v>Operating</v>
      </c>
      <c r="J897" s="1" t="str">
        <f>IFERROR(__xludf.DUMMYFUNCTION("""COMPUTED_VALUE"""),"High")</f>
        <v>High</v>
      </c>
      <c r="K897" s="1" t="str">
        <f>IFERROR(__xludf.DUMMYFUNCTION("""COMPUTED_VALUE"""),"")</f>
        <v/>
      </c>
      <c r="L897" s="1" t="str">
        <f>IFERROR(__xludf.DUMMYFUNCTION("""COMPUTED_VALUE"""),"")</f>
        <v/>
      </c>
      <c r="M897" s="1" t="str">
        <f>IFERROR(__xludf.DUMMYFUNCTION("""COMPUTED_VALUE"""),"")</f>
        <v/>
      </c>
      <c r="N897" s="1" t="str">
        <f>IFERROR(__xludf.DUMMYFUNCTION("""COMPUTED_VALUE"""),"")</f>
        <v/>
      </c>
      <c r="O897" s="1" t="str">
        <f>IFERROR(__xludf.DUMMYFUNCTION("""COMPUTED_VALUE"""),"Unknown")</f>
        <v>Unknown</v>
      </c>
      <c r="P897" s="1" t="str">
        <f>IFERROR(__xludf.DUMMYFUNCTION("""COMPUTED_VALUE"""),"")</f>
        <v/>
      </c>
      <c r="Q897" s="1" t="str">
        <f>IFERROR(__xludf.DUMMYFUNCTION("""COMPUTED_VALUE"""),"")</f>
        <v/>
      </c>
      <c r="R897" s="1" t="str">
        <f>IFERROR(__xludf.DUMMYFUNCTION("""COMPUTED_VALUE"""),"")</f>
        <v/>
      </c>
      <c r="S897" s="1" t="str">
        <f>IFERROR(__xludf.DUMMYFUNCTION("""COMPUTED_VALUE"""),"")</f>
        <v/>
      </c>
      <c r="T897" s="1" t="str">
        <f>IFERROR(__xludf.DUMMYFUNCTION("""COMPUTED_VALUE"""),"")</f>
        <v/>
      </c>
      <c r="U897" s="1" t="str">
        <f>IFERROR(__xludf.DUMMYFUNCTION("""COMPUTED_VALUE"""),"")</f>
        <v/>
      </c>
      <c r="V897" s="1" t="str">
        <f>IFERROR(__xludf.DUMMYFUNCTION("""COMPUTED_VALUE"""),"")</f>
        <v/>
      </c>
      <c r="W897" s="1" t="str">
        <f>IFERROR(__xludf.DUMMYFUNCTION("""COMPUTED_VALUE"""),"")</f>
        <v/>
      </c>
      <c r="X897" s="1" t="str">
        <f>IFERROR(__xludf.DUMMYFUNCTION("""COMPUTED_VALUE"""),"")</f>
        <v/>
      </c>
      <c r="Y897" s="1" t="str">
        <f>IFERROR(__xludf.DUMMYFUNCTION("""COMPUTED_VALUE"""),"")</f>
        <v/>
      </c>
      <c r="Z897" s="1" t="str">
        <f>IFERROR(__xludf.DUMMYFUNCTION("""COMPUTED_VALUE"""),"Unknown")</f>
        <v>Unknown</v>
      </c>
      <c r="AA897" s="1" t="str">
        <f>IFERROR(__xludf.DUMMYFUNCTION("""COMPUTED_VALUE"""),"")</f>
        <v/>
      </c>
      <c r="AB897" s="1" t="str">
        <f>IFERROR(__xludf.DUMMYFUNCTION("""COMPUTED_VALUE"""),"")</f>
        <v/>
      </c>
      <c r="AC897" s="1" t="str">
        <f>IFERROR(__xludf.DUMMYFUNCTION("""COMPUTED_VALUE"""),"")</f>
        <v/>
      </c>
      <c r="AD897" s="1" t="str">
        <f>IFERROR(__xludf.DUMMYFUNCTION("""COMPUTED_VALUE"""),"")</f>
        <v/>
      </c>
      <c r="AE897" s="1" t="str">
        <f>IFERROR(__xludf.DUMMYFUNCTION("""COMPUTED_VALUE"""),"")</f>
        <v/>
      </c>
      <c r="AF897" s="1" t="str">
        <f>IFERROR(__xludf.DUMMYFUNCTION("""COMPUTED_VALUE"""),"")</f>
        <v/>
      </c>
      <c r="AG897" s="1" t="str">
        <f>IFERROR(__xludf.DUMMYFUNCTION("""COMPUTED_VALUE"""),"")</f>
        <v/>
      </c>
      <c r="AH897" s="1" t="str">
        <f>IFERROR(__xludf.DUMMYFUNCTION("""COMPUTED_VALUE"""),"Media Monitoring")</f>
        <v>Media Monitoring</v>
      </c>
      <c r="AI897" s="1" t="str">
        <f>IFERROR(__xludf.DUMMYFUNCTION("""COMPUTED_VALUE"""),"")</f>
        <v/>
      </c>
      <c r="AJ897" s="1" t="str">
        <f>IFERROR(__xludf.DUMMYFUNCTION("""COMPUTED_VALUE"""),"")</f>
        <v/>
      </c>
      <c r="AK897" s="1" t="str">
        <f>IFERROR(__xludf.DUMMYFUNCTION("""COMPUTED_VALUE"""),"")</f>
        <v/>
      </c>
      <c r="AL897" s="1" t="str">
        <f>IFERROR(__xludf.DUMMYFUNCTION("""COMPUTED_VALUE"""),"")</f>
        <v/>
      </c>
      <c r="AM897" s="1" t="str">
        <f>IFERROR(__xludf.DUMMYFUNCTION("""COMPUTED_VALUE"""),"")</f>
        <v/>
      </c>
      <c r="AN897" s="1" t="str">
        <f>IFERROR(__xludf.DUMMYFUNCTION("""COMPUTED_VALUE"""),"")</f>
        <v/>
      </c>
      <c r="AO897" s="1" t="str">
        <f>IFERROR(__xludf.DUMMYFUNCTION("""COMPUTED_VALUE"""),"")</f>
        <v/>
      </c>
      <c r="AP897" s="1" t="str">
        <f>IFERROR(__xludf.DUMMYFUNCTION("""COMPUTED_VALUE"""),"")</f>
        <v/>
      </c>
      <c r="AQ897" s="1" t="str">
        <f>IFERROR(__xludf.DUMMYFUNCTION("""COMPUTED_VALUE"""),"08/05/2025")</f>
        <v>08/05/2025</v>
      </c>
      <c r="AR897" s="1" t="str">
        <f>IFERROR(__xludf.DUMMYFUNCTION("""COMPUTED_VALUE"""),"08/05/2025")</f>
        <v>08/05/2025</v>
      </c>
    </row>
    <row r="898">
      <c r="A898" s="1" t="str">
        <f>IFERROR(__xludf.DUMMYFUNCTION("""COMPUTED_VALUE"""),"ORACLE-AUSTIN DATA CENTER")</f>
        <v>ORACLE-AUSTIN DATA CENTER</v>
      </c>
      <c r="B898" s="1" t="str">
        <f>IFERROR(__xludf.DUMMYFUNCTION("""COMPUTED_VALUE"""),"11400 N LAMAR BLVD")</f>
        <v>11400 N LAMAR BLVD</v>
      </c>
      <c r="C898" s="1" t="str">
        <f>IFERROR(__xludf.DUMMYFUNCTION("""COMPUTED_VALUE"""),"Austin")</f>
        <v>Austin</v>
      </c>
      <c r="D898" s="1" t="str">
        <f>IFERROR(__xludf.DUMMYFUNCTION("""COMPUTED_VALUE"""),"TX")</f>
        <v>TX</v>
      </c>
      <c r="E898" s="1" t="str">
        <f>IFERROR(__xludf.DUMMYFUNCTION("""COMPUTED_VALUE"""),"78753")</f>
        <v>78753</v>
      </c>
      <c r="F898" s="1" t="str">
        <f>IFERROR(__xludf.DUMMYFUNCTION("""COMPUTED_VALUE"""),"Travis")</f>
        <v>Travis</v>
      </c>
      <c r="G898" s="1" t="str">
        <f>IFERROR(__xludf.DUMMYFUNCTION("""COMPUTED_VALUE"""),"30.38364")</f>
        <v>30.38364</v>
      </c>
      <c r="H898" s="1" t="str">
        <f>IFERROR(__xludf.DUMMYFUNCTION("""COMPUTED_VALUE"""),"-97.6863")</f>
        <v>-97.6863</v>
      </c>
      <c r="I898" s="1" t="str">
        <f>IFERROR(__xludf.DUMMYFUNCTION("""COMPUTED_VALUE"""),"Operating")</f>
        <v>Operating</v>
      </c>
      <c r="J898" s="1" t="str">
        <f>IFERROR(__xludf.DUMMYFUNCTION("""COMPUTED_VALUE"""),"High")</f>
        <v>High</v>
      </c>
      <c r="K898" s="1" t="str">
        <f>IFERROR(__xludf.DUMMYFUNCTION("""COMPUTED_VALUE"""),"")</f>
        <v/>
      </c>
      <c r="L898" s="1" t="str">
        <f>IFERROR(__xludf.DUMMYFUNCTION("""COMPUTED_VALUE"""),"Oracle")</f>
        <v>Oracle</v>
      </c>
      <c r="M898" s="1" t="str">
        <f>IFERROR(__xludf.DUMMYFUNCTION("""COMPUTED_VALUE"""),"")</f>
        <v/>
      </c>
      <c r="N898" s="1" t="str">
        <f>IFERROR(__xludf.DUMMYFUNCTION("""COMPUTED_VALUE"""),"")</f>
        <v/>
      </c>
      <c r="O898" s="1" t="str">
        <f>IFERROR(__xludf.DUMMYFUNCTION("""COMPUTED_VALUE"""),"Unknown")</f>
        <v>Unknown</v>
      </c>
      <c r="P898" s="1" t="str">
        <f>IFERROR(__xludf.DUMMYFUNCTION("""COMPUTED_VALUE"""),"")</f>
        <v/>
      </c>
      <c r="Q898" s="1" t="str">
        <f>IFERROR(__xludf.DUMMYFUNCTION("""COMPUTED_VALUE"""),"")</f>
        <v/>
      </c>
      <c r="R898" s="1" t="str">
        <f>IFERROR(__xludf.DUMMYFUNCTION("""COMPUTED_VALUE"""),"")</f>
        <v/>
      </c>
      <c r="S898" s="1" t="str">
        <f>IFERROR(__xludf.DUMMYFUNCTION("""COMPUTED_VALUE"""),"")</f>
        <v/>
      </c>
      <c r="T898" s="1" t="str">
        <f>IFERROR(__xludf.DUMMYFUNCTION("""COMPUTED_VALUE"""),"")</f>
        <v/>
      </c>
      <c r="U898" s="1" t="str">
        <f>IFERROR(__xludf.DUMMYFUNCTION("""COMPUTED_VALUE"""),"")</f>
        <v/>
      </c>
      <c r="V898" s="1" t="str">
        <f>IFERROR(__xludf.DUMMYFUNCTION("""COMPUTED_VALUE"""),"")</f>
        <v/>
      </c>
      <c r="W898" s="1" t="str">
        <f>IFERROR(__xludf.DUMMYFUNCTION("""COMPUTED_VALUE"""),"")</f>
        <v/>
      </c>
      <c r="X898" s="1" t="str">
        <f>IFERROR(__xludf.DUMMYFUNCTION("""COMPUTED_VALUE"""),"")</f>
        <v/>
      </c>
      <c r="Y898" s="1" t="str">
        <f>IFERROR(__xludf.DUMMYFUNCTION("""COMPUTED_VALUE"""),"")</f>
        <v/>
      </c>
      <c r="Z898" s="1" t="str">
        <f>IFERROR(__xludf.DUMMYFUNCTION("""COMPUTED_VALUE"""),"Unknown")</f>
        <v>Unknown</v>
      </c>
      <c r="AA898" s="1" t="str">
        <f>IFERROR(__xludf.DUMMYFUNCTION("""COMPUTED_VALUE"""),"")</f>
        <v/>
      </c>
      <c r="AB898" s="1" t="str">
        <f>IFERROR(__xludf.DUMMYFUNCTION("""COMPUTED_VALUE"""),"")</f>
        <v/>
      </c>
      <c r="AC898" s="1" t="str">
        <f>IFERROR(__xludf.DUMMYFUNCTION("""COMPUTED_VALUE"""),"")</f>
        <v/>
      </c>
      <c r="AD898" s="1" t="str">
        <f>IFERROR(__xludf.DUMMYFUNCTION("""COMPUTED_VALUE"""),"")</f>
        <v/>
      </c>
      <c r="AE898" s="1" t="str">
        <f>IFERROR(__xludf.DUMMYFUNCTION("""COMPUTED_VALUE"""),"")</f>
        <v/>
      </c>
      <c r="AF898" s="1" t="str">
        <f>IFERROR(__xludf.DUMMYFUNCTION("""COMPUTED_VALUE"""),"")</f>
        <v/>
      </c>
      <c r="AG898" s="1" t="str">
        <f>IFERROR(__xludf.DUMMYFUNCTION("""COMPUTED_VALUE"""),"FULLY REGULATED")</f>
        <v>FULLY REGULATED</v>
      </c>
      <c r="AH898" s="1" t="str">
        <f>IFERROR(__xludf.DUMMYFUNCTION("""COMPUTED_VALUE"""),"Media Monitoring")</f>
        <v>Media Monitoring</v>
      </c>
      <c r="AI898" s="2" t="str">
        <f>IFERROR(__xludf.DUMMYFUNCTION("""COMPUTED_VALUE"""),"https://gis-tceq.opendata.arcgis.com/datasets/daece6e3181140f69093ab69cf9ae0ba/explore?layer=0&amp;showTable=true")</f>
        <v>https://gis-tceq.opendata.arcgis.com/datasets/daece6e3181140f69093ab69cf9ae0ba/explore?layer=0&amp;showTable=true</v>
      </c>
      <c r="AJ898" s="1" t="str">
        <f>IFERROR(__xludf.DUMMYFUNCTION("""COMPUTED_VALUE"""),"")</f>
        <v/>
      </c>
      <c r="AK898" s="1" t="str">
        <f>IFERROR(__xludf.DUMMYFUNCTION("""COMPUTED_VALUE"""),"")</f>
        <v/>
      </c>
      <c r="AL898" s="1" t="str">
        <f>IFERROR(__xludf.DUMMYFUNCTION("""COMPUTED_VALUE"""),"")</f>
        <v/>
      </c>
      <c r="AM898" s="1" t="str">
        <f>IFERROR(__xludf.DUMMYFUNCTION("""COMPUTED_VALUE"""),"")</f>
        <v/>
      </c>
      <c r="AN898" s="1" t="str">
        <f>IFERROR(__xludf.DUMMYFUNCTION("""COMPUTED_VALUE"""),"")</f>
        <v/>
      </c>
      <c r="AO898" s="1" t="str">
        <f>IFERROR(__xludf.DUMMYFUNCTION("""COMPUTED_VALUE"""),"")</f>
        <v/>
      </c>
      <c r="AP898" s="1" t="str">
        <f>IFERROR(__xludf.DUMMYFUNCTION("""COMPUTED_VALUE"""),"")</f>
        <v/>
      </c>
      <c r="AQ898" s="1" t="str">
        <f>IFERROR(__xludf.DUMMYFUNCTION("""COMPUTED_VALUE"""),"08/05/2025")</f>
        <v>08/05/2025</v>
      </c>
      <c r="AR898" s="1" t="str">
        <f>IFERROR(__xludf.DUMMYFUNCTION("""COMPUTED_VALUE"""),"08/05/2025")</f>
        <v>08/05/2025</v>
      </c>
    </row>
    <row r="899">
      <c r="A899" s="1" t="str">
        <f>IFERROR(__xludf.DUMMYFUNCTION("""COMPUTED_VALUE"""),"CleanSpark Data Center")</f>
        <v>CleanSpark Data Center</v>
      </c>
      <c r="B899" s="1" t="str">
        <f>IFERROR(__xludf.DUMMYFUNCTION("""COMPUTED_VALUE"""),"Unknown")</f>
        <v>Unknown</v>
      </c>
      <c r="C899" s="1" t="str">
        <f>IFERROR(__xludf.DUMMYFUNCTION("""COMPUTED_VALUE"""),"Austin County")</f>
        <v>Austin County</v>
      </c>
      <c r="D899" s="1" t="str">
        <f>IFERROR(__xludf.DUMMYFUNCTION("""COMPUTED_VALUE"""),"TX")</f>
        <v>TX</v>
      </c>
      <c r="E899" s="1" t="str">
        <f>IFERROR(__xludf.DUMMYFUNCTION("""COMPUTED_VALUE"""),"")</f>
        <v/>
      </c>
      <c r="F899" s="1" t="str">
        <f>IFERROR(__xludf.DUMMYFUNCTION("""COMPUTED_VALUE"""),"Austin")</f>
        <v>Austin</v>
      </c>
      <c r="G899" s="1" t="str">
        <f>IFERROR(__xludf.DUMMYFUNCTION("""COMPUTED_VALUE"""),"29.884085")</f>
        <v>29.884085</v>
      </c>
      <c r="H899" s="1" t="str">
        <f>IFERROR(__xludf.DUMMYFUNCTION("""COMPUTED_VALUE"""),"-96.219376")</f>
        <v>-96.219376</v>
      </c>
      <c r="I899" s="1" t="str">
        <f>IFERROR(__xludf.DUMMYFUNCTION("""COMPUTED_VALUE"""),"Proposed")</f>
        <v>Proposed</v>
      </c>
      <c r="J899" s="1" t="str">
        <f>IFERROR(__xludf.DUMMYFUNCTION("""COMPUTED_VALUE"""),"Low")</f>
        <v>Low</v>
      </c>
      <c r="K899" s="1" t="str">
        <f>IFERROR(__xludf.DUMMYFUNCTION("""COMPUTED_VALUE"""),"")</f>
        <v/>
      </c>
      <c r="L899" s="1" t="str">
        <f>IFERROR(__xludf.DUMMYFUNCTION("""COMPUTED_VALUE"""),"CleanSpark")</f>
        <v>CleanSpark</v>
      </c>
      <c r="M899" s="1" t="str">
        <f>IFERROR(__xludf.DUMMYFUNCTION("""COMPUTED_VALUE"""),"")</f>
        <v/>
      </c>
      <c r="N899" s="1" t="str">
        <f>IFERROR(__xludf.DUMMYFUNCTION("""COMPUTED_VALUE"""),"285")</f>
        <v>285</v>
      </c>
      <c r="O899" s="1" t="str">
        <f>IFERROR(__xludf.DUMMYFUNCTION("""COMPUTED_VALUE"""),"Hyperscale (100-999 MW)")</f>
        <v>Hyperscale (100-999 MW)</v>
      </c>
      <c r="P899" s="1" t="str">
        <f>IFERROR(__xludf.DUMMYFUNCTION("""COMPUTED_VALUE"""),"")</f>
        <v/>
      </c>
      <c r="Q899" s="1" t="str">
        <f>IFERROR(__xludf.DUMMYFUNCTION("""COMPUTED_VALUE"""),"")</f>
        <v/>
      </c>
      <c r="R899" s="1" t="str">
        <f>IFERROR(__xludf.DUMMYFUNCTION("""COMPUTED_VALUE"""),"")</f>
        <v/>
      </c>
      <c r="S899" s="1" t="str">
        <f>IFERROR(__xludf.DUMMYFUNCTION("""COMPUTED_VALUE"""),"")</f>
        <v/>
      </c>
      <c r="T899" s="1" t="str">
        <f>IFERROR(__xludf.DUMMYFUNCTION("""COMPUTED_VALUE"""),"")</f>
        <v/>
      </c>
      <c r="U899" s="1" t="str">
        <f>IFERROR(__xludf.DUMMYFUNCTION("""COMPUTED_VALUE"""),"")</f>
        <v/>
      </c>
      <c r="V899" s="1" t="str">
        <f>IFERROR(__xludf.DUMMYFUNCTION("""COMPUTED_VALUE"""),"")</f>
        <v/>
      </c>
      <c r="W899" s="1" t="str">
        <f>IFERROR(__xludf.DUMMYFUNCTION("""COMPUTED_VALUE"""),"271")</f>
        <v>271</v>
      </c>
      <c r="X899" s="1" t="str">
        <f>IFERROR(__xludf.DUMMYFUNCTION("""COMPUTED_VALUE"""),"")</f>
        <v/>
      </c>
      <c r="Y899" s="1" t="str">
        <f>IFERROR(__xludf.DUMMYFUNCTION("""COMPUTED_VALUE"""),"2027")</f>
        <v>2027</v>
      </c>
      <c r="Z899" s="1" t="str">
        <f>IFERROR(__xludf.DUMMYFUNCTION("""COMPUTED_VALUE"""),"Unknown")</f>
        <v>Unknown</v>
      </c>
      <c r="AA899" s="1" t="str">
        <f>IFERROR(__xludf.DUMMYFUNCTION("""COMPUTED_VALUE"""),"")</f>
        <v/>
      </c>
      <c r="AB899" s="1" t="str">
        <f>IFERROR(__xludf.DUMMYFUNCTION("""COMPUTED_VALUE"""),"")</f>
        <v/>
      </c>
      <c r="AC899" s="1" t="str">
        <f>IFERROR(__xludf.DUMMYFUNCTION("""COMPUTED_VALUE"""),"")</f>
        <v/>
      </c>
      <c r="AD899" s="1" t="str">
        <f>IFERROR(__xludf.DUMMYFUNCTION("""COMPUTED_VALUE"""),"")</f>
        <v/>
      </c>
      <c r="AE899" s="1" t="str">
        <f>IFERROR(__xludf.DUMMYFUNCTION("""COMPUTED_VALUE"""),"")</f>
        <v/>
      </c>
      <c r="AF899" s="1" t="str">
        <f>IFERROR(__xludf.DUMMYFUNCTION("""COMPUTED_VALUE"""),"")</f>
        <v/>
      </c>
      <c r="AG899" s="1" t="str">
        <f>IFERROR(__xludf.DUMMYFUNCTION("""COMPUTED_VALUE"""),"")</f>
        <v/>
      </c>
      <c r="AH899" s="1" t="str">
        <f>IFERROR(__xludf.DUMMYFUNCTION("""COMPUTED_VALUE"""),"Media Monitoring")</f>
        <v>Media Monitoring</v>
      </c>
      <c r="AI899" s="2" t="str">
        <f>IFERROR(__xludf.DUMMYFUNCTION("""COMPUTED_VALUE"""),"https://www.datacenterdynamics.com/en/news/cleanspark-expands-into-ai-data-center-development-with-270-acre-acquisition-outside-houston-texas/")</f>
        <v>https://www.datacenterdynamics.com/en/news/cleanspark-expands-into-ai-data-center-development-with-270-acre-acquisition-outside-houston-texas/</v>
      </c>
      <c r="AJ899" s="2" t="str">
        <f>IFERROR(__xludf.DUMMYFUNCTION("""COMPUTED_VALUE"""),"https://www.linkedin.com/posts/garyveselka_ai-datacenters-gpu-activity-7389360383670587392-KElb/")</f>
        <v>https://www.linkedin.com/posts/garyveselka_ai-datacenters-gpu-activity-7389360383670587392-KElb/</v>
      </c>
      <c r="AK899" s="1" t="str">
        <f>IFERROR(__xludf.DUMMYFUNCTION("""COMPUTED_VALUE"""),"")</f>
        <v/>
      </c>
      <c r="AL899" s="1" t="str">
        <f>IFERROR(__xludf.DUMMYFUNCTION("""COMPUTED_VALUE"""),"")</f>
        <v/>
      </c>
      <c r="AM899" s="1" t="str">
        <f>IFERROR(__xludf.DUMMYFUNCTION("""COMPUTED_VALUE"""),"")</f>
        <v/>
      </c>
      <c r="AN899" s="1" t="str">
        <f>IFERROR(__xludf.DUMMYFUNCTION("""COMPUTED_VALUE"""),"")</f>
        <v/>
      </c>
      <c r="AO899" s="1" t="str">
        <f>IFERROR(__xludf.DUMMYFUNCTION("""COMPUTED_VALUE"""),"")</f>
        <v/>
      </c>
      <c r="AP899" s="1" t="str">
        <f>IFERROR(__xludf.DUMMYFUNCTION("""COMPUTED_VALUE"""),"")</f>
        <v/>
      </c>
      <c r="AQ899" s="1" t="str">
        <f>IFERROR(__xludf.DUMMYFUNCTION("""COMPUTED_VALUE"""),"01/15/2026")</f>
        <v>01/15/2026</v>
      </c>
      <c r="AR899" s="1" t="str">
        <f>IFERROR(__xludf.DUMMYFUNCTION("""COMPUTED_VALUE"""),"01/15/2026")</f>
        <v>01/15/2026</v>
      </c>
    </row>
    <row r="900">
      <c r="A900" s="1" t="str">
        <f>IFERROR(__xludf.DUMMYFUNCTION("""COMPUTED_VALUE"""),"EdgeConneX  AUS02")</f>
        <v>EdgeConneX  AUS02</v>
      </c>
      <c r="B900" s="1" t="str">
        <f>IFERROR(__xludf.DUMMYFUNCTION("""COMPUTED_VALUE"""),"8001 Wolf Ln")</f>
        <v>8001 Wolf Ln</v>
      </c>
      <c r="C900" s="1" t="str">
        <f>IFERROR(__xludf.DUMMYFUNCTION("""COMPUTED_VALUE"""),"Bastrop")</f>
        <v>Bastrop</v>
      </c>
      <c r="D900" s="1" t="str">
        <f>IFERROR(__xludf.DUMMYFUNCTION("""COMPUTED_VALUE"""),"TX")</f>
        <v>TX</v>
      </c>
      <c r="E900" s="1" t="str">
        <f>IFERROR(__xludf.DUMMYFUNCTION("""COMPUTED_VALUE"""),"78612")</f>
        <v>78612</v>
      </c>
      <c r="F900" s="1" t="str">
        <f>IFERROR(__xludf.DUMMYFUNCTION("""COMPUTED_VALUE"""),"Bastrop")</f>
        <v>Bastrop</v>
      </c>
      <c r="G900" s="1" t="str">
        <f>IFERROR(__xludf.DUMMYFUNCTION("""COMPUTED_VALUE"""),"30.141737")</f>
        <v>30.141737</v>
      </c>
      <c r="H900" s="1" t="str">
        <f>IFERROR(__xludf.DUMMYFUNCTION("""COMPUTED_VALUE"""),"-97.56553")</f>
        <v>-97.56553</v>
      </c>
      <c r="I900" s="1" t="str">
        <f>IFERROR(__xludf.DUMMYFUNCTION("""COMPUTED_VALUE"""),"Proposed")</f>
        <v>Proposed</v>
      </c>
      <c r="J900" s="1" t="str">
        <f>IFERROR(__xludf.DUMMYFUNCTION("""COMPUTED_VALUE"""),"High")</f>
        <v>High</v>
      </c>
      <c r="K900" s="1" t="str">
        <f>IFERROR(__xludf.DUMMYFUNCTION("""COMPUTED_VALUE"""),"")</f>
        <v/>
      </c>
      <c r="L900" s="1" t="str">
        <f>IFERROR(__xludf.DUMMYFUNCTION("""COMPUTED_VALUE"""),"")</f>
        <v/>
      </c>
      <c r="M900" s="1" t="str">
        <f>IFERROR(__xludf.DUMMYFUNCTION("""COMPUTED_VALUE"""),"")</f>
        <v/>
      </c>
      <c r="N900" s="1" t="str">
        <f>IFERROR(__xludf.DUMMYFUNCTION("""COMPUTED_VALUE"""),"")</f>
        <v/>
      </c>
      <c r="O900" s="1" t="str">
        <f>IFERROR(__xludf.DUMMYFUNCTION("""COMPUTED_VALUE"""),"Unknown")</f>
        <v>Unknown</v>
      </c>
      <c r="P900" s="1" t="str">
        <f>IFERROR(__xludf.DUMMYFUNCTION("""COMPUTED_VALUE"""),"")</f>
        <v/>
      </c>
      <c r="Q900" s="1" t="str">
        <f>IFERROR(__xludf.DUMMYFUNCTION("""COMPUTED_VALUE"""),"")</f>
        <v/>
      </c>
      <c r="R900" s="1" t="str">
        <f>IFERROR(__xludf.DUMMYFUNCTION("""COMPUTED_VALUE"""),"")</f>
        <v/>
      </c>
      <c r="S900" s="1" t="str">
        <f>IFERROR(__xludf.DUMMYFUNCTION("""COMPUTED_VALUE"""),"")</f>
        <v/>
      </c>
      <c r="T900" s="1" t="str">
        <f>IFERROR(__xludf.DUMMYFUNCTION("""COMPUTED_VALUE"""),"")</f>
        <v/>
      </c>
      <c r="U900" s="1" t="str">
        <f>IFERROR(__xludf.DUMMYFUNCTION("""COMPUTED_VALUE"""),"")</f>
        <v/>
      </c>
      <c r="V900" s="1" t="str">
        <f>IFERROR(__xludf.DUMMYFUNCTION("""COMPUTED_VALUE"""),"578,000")</f>
        <v>578,000</v>
      </c>
      <c r="W900" s="1" t="str">
        <f>IFERROR(__xludf.DUMMYFUNCTION("""COMPUTED_VALUE"""),"")</f>
        <v/>
      </c>
      <c r="X900" s="1" t="str">
        <f>IFERROR(__xludf.DUMMYFUNCTION("""COMPUTED_VALUE"""),"")</f>
        <v/>
      </c>
      <c r="Y900" s="1" t="str">
        <f>IFERROR(__xludf.DUMMYFUNCTION("""COMPUTED_VALUE"""),"2026")</f>
        <v>2026</v>
      </c>
      <c r="Z900" s="1" t="str">
        <f>IFERROR(__xludf.DUMMYFUNCTION("""COMPUTED_VALUE"""),"Unknown")</f>
        <v>Unknown</v>
      </c>
      <c r="AA900" s="1" t="str">
        <f>IFERROR(__xludf.DUMMYFUNCTION("""COMPUTED_VALUE"""),"")</f>
        <v/>
      </c>
      <c r="AB900" s="1" t="str">
        <f>IFERROR(__xludf.DUMMYFUNCTION("""COMPUTED_VALUE"""),"")</f>
        <v/>
      </c>
      <c r="AC900" s="1" t="str">
        <f>IFERROR(__xludf.DUMMYFUNCTION("""COMPUTED_VALUE"""),"")</f>
        <v/>
      </c>
      <c r="AD900" s="1" t="str">
        <f>IFERROR(__xludf.DUMMYFUNCTION("""COMPUTED_VALUE"""),"")</f>
        <v/>
      </c>
      <c r="AE900" s="1" t="str">
        <f>IFERROR(__xludf.DUMMYFUNCTION("""COMPUTED_VALUE"""),"")</f>
        <v/>
      </c>
      <c r="AF900" s="1" t="str">
        <f>IFERROR(__xludf.DUMMYFUNCTION("""COMPUTED_VALUE"""),"")</f>
        <v/>
      </c>
      <c r="AG900" s="1" t="str">
        <f>IFERROR(__xludf.DUMMYFUNCTION("""COMPUTED_VALUE"""),"")</f>
        <v/>
      </c>
      <c r="AH900" s="1" t="str">
        <f>IFERROR(__xludf.DUMMYFUNCTION("""COMPUTED_VALUE"""),"Media Monitoring")</f>
        <v>Media Monitoring</v>
      </c>
      <c r="AI900" s="2" t="str">
        <f>IFERROR(__xludf.DUMMYFUNCTION("""COMPUTED_VALUE"""),"https://www.datacenterdynamics.com/en/news/edgeconnex-acquires-180-acre-parcel-near-its-own-data-center-project-in-bastrop-texas/")</f>
        <v>https://www.datacenterdynamics.com/en/news/edgeconnex-acquires-180-acre-parcel-near-its-own-data-center-project-in-bastrop-texas/</v>
      </c>
      <c r="AJ900" s="1" t="str">
        <f>IFERROR(__xludf.DUMMYFUNCTION("""COMPUTED_VALUE"""),"")</f>
        <v/>
      </c>
      <c r="AK900" s="1" t="str">
        <f>IFERROR(__xludf.DUMMYFUNCTION("""COMPUTED_VALUE"""),"")</f>
        <v/>
      </c>
      <c r="AL900" s="1" t="str">
        <f>IFERROR(__xludf.DUMMYFUNCTION("""COMPUTED_VALUE"""),"")</f>
        <v/>
      </c>
      <c r="AM900" s="1" t="str">
        <f>IFERROR(__xludf.DUMMYFUNCTION("""COMPUTED_VALUE"""),"")</f>
        <v/>
      </c>
      <c r="AN900" s="1" t="str">
        <f>IFERROR(__xludf.DUMMYFUNCTION("""COMPUTED_VALUE"""),"")</f>
        <v/>
      </c>
      <c r="AO900" s="1" t="str">
        <f>IFERROR(__xludf.DUMMYFUNCTION("""COMPUTED_VALUE"""),"")</f>
        <v/>
      </c>
      <c r="AP900" s="1" t="str">
        <f>IFERROR(__xludf.DUMMYFUNCTION("""COMPUTED_VALUE"""),"")</f>
        <v/>
      </c>
      <c r="AQ900" s="1" t="str">
        <f>IFERROR(__xludf.DUMMYFUNCTION("""COMPUTED_VALUE"""),"01/19/2026")</f>
        <v>01/19/2026</v>
      </c>
      <c r="AR900" s="1" t="str">
        <f>IFERROR(__xludf.DUMMYFUNCTION("""COMPUTED_VALUE"""),"01/19/2026")</f>
        <v>01/19/2026</v>
      </c>
    </row>
    <row r="901">
      <c r="A901" s="1" t="str">
        <f>IFERROR(__xludf.DUMMYFUNCTION("""COMPUTED_VALUE"""),"EdgeConneX Data Center")</f>
        <v>EdgeConneX Data Center</v>
      </c>
      <c r="B901" s="1" t="str">
        <f>IFERROR(__xludf.DUMMYFUNCTION("""COMPUTED_VALUE""")," 6682 FM 535 Cedar Creek")</f>
        <v> 6682 FM 535 Cedar Creek</v>
      </c>
      <c r="C901" s="1" t="str">
        <f>IFERROR(__xludf.DUMMYFUNCTION("""COMPUTED_VALUE"""),"Bastrop")</f>
        <v>Bastrop</v>
      </c>
      <c r="D901" s="1" t="str">
        <f>IFERROR(__xludf.DUMMYFUNCTION("""COMPUTED_VALUE"""),"TX")</f>
        <v>TX</v>
      </c>
      <c r="E901" s="1" t="str">
        <f>IFERROR(__xludf.DUMMYFUNCTION("""COMPUTED_VALUE"""),"78602")</f>
        <v>78602</v>
      </c>
      <c r="F901" s="1" t="str">
        <f>IFERROR(__xludf.DUMMYFUNCTION("""COMPUTED_VALUE"""),"Bastrop")</f>
        <v>Bastrop</v>
      </c>
      <c r="G901" s="1" t="str">
        <f>IFERROR(__xludf.DUMMYFUNCTION("""COMPUTED_VALUE"""),"30.003628")</f>
        <v>30.003628</v>
      </c>
      <c r="H901" s="1" t="str">
        <f>IFERROR(__xludf.DUMMYFUNCTION("""COMPUTED_VALUE"""),"-97.432915")</f>
        <v>-97.432915</v>
      </c>
      <c r="I901" s="1" t="str">
        <f>IFERROR(__xludf.DUMMYFUNCTION("""COMPUTED_VALUE"""),"Proposed")</f>
        <v>Proposed</v>
      </c>
      <c r="J901" s="1" t="str">
        <f>IFERROR(__xludf.DUMMYFUNCTION("""COMPUTED_VALUE"""),"High")</f>
        <v>High</v>
      </c>
      <c r="K901" s="1" t="str">
        <f>IFERROR(__xludf.DUMMYFUNCTION("""COMPUTED_VALUE"""),"")</f>
        <v/>
      </c>
      <c r="L901" s="1" t="str">
        <f>IFERROR(__xludf.DUMMYFUNCTION("""COMPUTED_VALUE"""),"EdgeConneX")</f>
        <v>EdgeConneX</v>
      </c>
      <c r="M901" s="1" t="str">
        <f>IFERROR(__xludf.DUMMYFUNCTION("""COMPUTED_VALUE"""),"")</f>
        <v/>
      </c>
      <c r="N901" s="1" t="str">
        <f>IFERROR(__xludf.DUMMYFUNCTION("""COMPUTED_VALUE"""),"")</f>
        <v/>
      </c>
      <c r="O901" s="1" t="str">
        <f>IFERROR(__xludf.DUMMYFUNCTION("""COMPUTED_VALUE"""),"Unknown")</f>
        <v>Unknown</v>
      </c>
      <c r="P901" s="1" t="str">
        <f>IFERROR(__xludf.DUMMYFUNCTION("""COMPUTED_VALUE"""),"")</f>
        <v/>
      </c>
      <c r="Q901" s="1" t="str">
        <f>IFERROR(__xludf.DUMMYFUNCTION("""COMPUTED_VALUE"""),"")</f>
        <v/>
      </c>
      <c r="R901" s="1" t="str">
        <f>IFERROR(__xludf.DUMMYFUNCTION("""COMPUTED_VALUE"""),"")</f>
        <v/>
      </c>
      <c r="S901" s="1" t="str">
        <f>IFERROR(__xludf.DUMMYFUNCTION("""COMPUTED_VALUE"""),"")</f>
        <v/>
      </c>
      <c r="T901" s="1" t="str">
        <f>IFERROR(__xludf.DUMMYFUNCTION("""COMPUTED_VALUE"""),"")</f>
        <v/>
      </c>
      <c r="U901" s="1" t="str">
        <f>IFERROR(__xludf.DUMMYFUNCTION("""COMPUTED_VALUE"""),"")</f>
        <v/>
      </c>
      <c r="V901" s="1" t="str">
        <f>IFERROR(__xludf.DUMMYFUNCTION("""COMPUTED_VALUE"""),"")</f>
        <v/>
      </c>
      <c r="W901" s="1" t="str">
        <f>IFERROR(__xludf.DUMMYFUNCTION("""COMPUTED_VALUE"""),"180")</f>
        <v>180</v>
      </c>
      <c r="X901" s="1" t="str">
        <f>IFERROR(__xludf.DUMMYFUNCTION("""COMPUTED_VALUE"""),"")</f>
        <v/>
      </c>
      <c r="Y901" s="1" t="str">
        <f>IFERROR(__xludf.DUMMYFUNCTION("""COMPUTED_VALUE"""),"")</f>
        <v/>
      </c>
      <c r="Z901" s="1" t="str">
        <f>IFERROR(__xludf.DUMMYFUNCTION("""COMPUTED_VALUE"""),"Unknown")</f>
        <v>Unknown</v>
      </c>
      <c r="AA901" s="1" t="str">
        <f>IFERROR(__xludf.DUMMYFUNCTION("""COMPUTED_VALUE"""),"")</f>
        <v/>
      </c>
      <c r="AB901" s="1" t="str">
        <f>IFERROR(__xludf.DUMMYFUNCTION("""COMPUTED_VALUE"""),"")</f>
        <v/>
      </c>
      <c r="AC901" s="1" t="str">
        <f>IFERROR(__xludf.DUMMYFUNCTION("""COMPUTED_VALUE"""),"")</f>
        <v/>
      </c>
      <c r="AD901" s="1" t="str">
        <f>IFERROR(__xludf.DUMMYFUNCTION("""COMPUTED_VALUE"""),"")</f>
        <v/>
      </c>
      <c r="AE901" s="1" t="str">
        <f>IFERROR(__xludf.DUMMYFUNCTION("""COMPUTED_VALUE"""),"")</f>
        <v/>
      </c>
      <c r="AF901" s="1" t="str">
        <f>IFERROR(__xludf.DUMMYFUNCTION("""COMPUTED_VALUE"""),"")</f>
        <v/>
      </c>
      <c r="AG901" s="1" t="str">
        <f>IFERROR(__xludf.DUMMYFUNCTION("""COMPUTED_VALUE"""),"")</f>
        <v/>
      </c>
      <c r="AH901" s="1" t="str">
        <f>IFERROR(__xludf.DUMMYFUNCTION("""COMPUTED_VALUE"""),"Media Monitoring")</f>
        <v>Media Monitoring</v>
      </c>
      <c r="AI901" s="2" t="str">
        <f>IFERROR(__xludf.DUMMYFUNCTION("""COMPUTED_VALUE"""),"https://www.datacenterdynamics.com/en/news/edgeconnex-acquires-180-acre-parcel-near-its-own-data-center-project-in-bastrop-texas/")</f>
        <v>https://www.datacenterdynamics.com/en/news/edgeconnex-acquires-180-acre-parcel-near-its-own-data-center-project-in-bastrop-texas/</v>
      </c>
      <c r="AJ901" s="1" t="str">
        <f>IFERROR(__xludf.DUMMYFUNCTION("""COMPUTED_VALUE"""),"")</f>
        <v/>
      </c>
      <c r="AK901" s="1" t="str">
        <f>IFERROR(__xludf.DUMMYFUNCTION("""COMPUTED_VALUE"""),"")</f>
        <v/>
      </c>
      <c r="AL901" s="1" t="str">
        <f>IFERROR(__xludf.DUMMYFUNCTION("""COMPUTED_VALUE"""),"")</f>
        <v/>
      </c>
      <c r="AM901" s="1" t="str">
        <f>IFERROR(__xludf.DUMMYFUNCTION("""COMPUTED_VALUE"""),"")</f>
        <v/>
      </c>
      <c r="AN901" s="1" t="str">
        <f>IFERROR(__xludf.DUMMYFUNCTION("""COMPUTED_VALUE"""),"")</f>
        <v/>
      </c>
      <c r="AO901" s="1" t="str">
        <f>IFERROR(__xludf.DUMMYFUNCTION("""COMPUTED_VALUE"""),"")</f>
        <v/>
      </c>
      <c r="AP901" s="1" t="str">
        <f>IFERROR(__xludf.DUMMYFUNCTION("""COMPUTED_VALUE"""),"")</f>
        <v/>
      </c>
      <c r="AQ901" s="1" t="str">
        <f>IFERROR(__xludf.DUMMYFUNCTION("""COMPUTED_VALUE"""),"01/19/2026")</f>
        <v>01/19/2026</v>
      </c>
      <c r="AR901" s="1" t="str">
        <f>IFERROR(__xludf.DUMMYFUNCTION("""COMPUTED_VALUE"""),"01/19/2026")</f>
        <v>01/19/2026</v>
      </c>
    </row>
    <row r="902">
      <c r="A902" s="1" t="str">
        <f>IFERROR(__xludf.DUMMYFUNCTION("""COMPUTED_VALUE"""),"PowerBridge/LandBridge")</f>
        <v>PowerBridge/LandBridge</v>
      </c>
      <c r="B902" s="1" t="str">
        <f>IFERROR(__xludf.DUMMYFUNCTION("""COMPUTED_VALUE"""),"Close to Waha Gas Hub")</f>
        <v>Close to Waha Gas Hub</v>
      </c>
      <c r="C902" s="1" t="str">
        <f>IFERROR(__xludf.DUMMYFUNCTION("""COMPUTED_VALUE"""),"Between Odessa and Pecos")</f>
        <v>Between Odessa and Pecos</v>
      </c>
      <c r="D902" s="1" t="str">
        <f>IFERROR(__xludf.DUMMYFUNCTION("""COMPUTED_VALUE"""),"TX")</f>
        <v>TX</v>
      </c>
      <c r="E902" s="1" t="str">
        <f>IFERROR(__xludf.DUMMYFUNCTION("""COMPUTED_VALUE"""),"")</f>
        <v/>
      </c>
      <c r="F902" s="1" t="str">
        <f>IFERROR(__xludf.DUMMYFUNCTION("""COMPUTED_VALUE"""),"Reeves")</f>
        <v>Reeves</v>
      </c>
      <c r="G902" s="1" t="str">
        <f>IFERROR(__xludf.DUMMYFUNCTION("""COMPUTED_VALUE"""),"31.316566")</f>
        <v>31.316566</v>
      </c>
      <c r="H902" s="1" t="str">
        <f>IFERROR(__xludf.DUMMYFUNCTION("""COMPUTED_VALUE"""),"-103.10906")</f>
        <v>-103.10906</v>
      </c>
      <c r="I902" s="1" t="str">
        <f>IFERROR(__xludf.DUMMYFUNCTION("""COMPUTED_VALUE"""),"Proposed")</f>
        <v>Proposed</v>
      </c>
      <c r="J902" s="1" t="str">
        <f>IFERROR(__xludf.DUMMYFUNCTION("""COMPUTED_VALUE"""),"Low")</f>
        <v>Low</v>
      </c>
      <c r="K902" s="1" t="str">
        <f>IFERROR(__xludf.DUMMYFUNCTION("""COMPUTED_VALUE"""),"")</f>
        <v/>
      </c>
      <c r="L902" s="1" t="str">
        <f>IFERROR(__xludf.DUMMYFUNCTION("""COMPUTED_VALUE"""),"")</f>
        <v/>
      </c>
      <c r="M902" s="1" t="str">
        <f>IFERROR(__xludf.DUMMYFUNCTION("""COMPUTED_VALUE"""),"")</f>
        <v/>
      </c>
      <c r="N902" s="1" t="str">
        <f>IFERROR(__xludf.DUMMYFUNCTION("""COMPUTED_VALUE"""),"2000")</f>
        <v>2000</v>
      </c>
      <c r="O902" s="1" t="str">
        <f>IFERROR(__xludf.DUMMYFUNCTION("""COMPUTED_VALUE"""),"Mega campus (&gt;1,000 MW)")</f>
        <v>Mega campus (&gt;1,000 MW)</v>
      </c>
      <c r="P902" s="1" t="str">
        <f>IFERROR(__xludf.DUMMYFUNCTION("""COMPUTED_VALUE"""),"")</f>
        <v/>
      </c>
      <c r="Q902" s="1" t="str">
        <f>IFERROR(__xludf.DUMMYFUNCTION("""COMPUTED_VALUE"""),"")</f>
        <v/>
      </c>
      <c r="R902" s="1" t="str">
        <f>IFERROR(__xludf.DUMMYFUNCTION("""COMPUTED_VALUE"""),"")</f>
        <v/>
      </c>
      <c r="S902" s="1" t="str">
        <f>IFERROR(__xludf.DUMMYFUNCTION("""COMPUTED_VALUE"""),"")</f>
        <v/>
      </c>
      <c r="T902" s="1" t="str">
        <f>IFERROR(__xludf.DUMMYFUNCTION("""COMPUTED_VALUE"""),"")</f>
        <v/>
      </c>
      <c r="U902" s="1" t="str">
        <f>IFERROR(__xludf.DUMMYFUNCTION("""COMPUTED_VALUE"""),"")</f>
        <v/>
      </c>
      <c r="V902" s="1" t="str">
        <f>IFERROR(__xludf.DUMMYFUNCTION("""COMPUTED_VALUE"""),"")</f>
        <v/>
      </c>
      <c r="W902" s="1" t="str">
        <f>IFERROR(__xludf.DUMMYFUNCTION("""COMPUTED_VALUE"""),"3400")</f>
        <v>3400</v>
      </c>
      <c r="X902" s="1" t="str">
        <f>IFERROR(__xludf.DUMMYFUNCTION("""COMPUTED_VALUE"""),"")</f>
        <v/>
      </c>
      <c r="Y902" s="1" t="str">
        <f>IFERROR(__xludf.DUMMYFUNCTION("""COMPUTED_VALUE"""),"")</f>
        <v/>
      </c>
      <c r="Z902" s="1" t="str">
        <f>IFERROR(__xludf.DUMMYFUNCTION("""COMPUTED_VALUE"""),"Unknown")</f>
        <v>Unknown</v>
      </c>
      <c r="AA902" s="1" t="str">
        <f>IFERROR(__xludf.DUMMYFUNCTION("""COMPUTED_VALUE"""),"")</f>
        <v/>
      </c>
      <c r="AB902" s="1" t="str">
        <f>IFERROR(__xludf.DUMMYFUNCTION("""COMPUTED_VALUE"""),"")</f>
        <v/>
      </c>
      <c r="AC902" s="1" t="str">
        <f>IFERROR(__xludf.DUMMYFUNCTION("""COMPUTED_VALUE"""),"")</f>
        <v/>
      </c>
      <c r="AD902" s="1" t="str">
        <f>IFERROR(__xludf.DUMMYFUNCTION("""COMPUTED_VALUE"""),"")</f>
        <v/>
      </c>
      <c r="AE902" s="1" t="str">
        <f>IFERROR(__xludf.DUMMYFUNCTION("""COMPUTED_VALUE"""),"")</f>
        <v/>
      </c>
      <c r="AF902" s="1" t="str">
        <f>IFERROR(__xludf.DUMMYFUNCTION("""COMPUTED_VALUE"""),"")</f>
        <v/>
      </c>
      <c r="AG902" s="1" t="str">
        <f>IFERROR(__xludf.DUMMYFUNCTION("""COMPUTED_VALUE"""),"Power from Alpha Digital Campus")</f>
        <v>Power from Alpha Digital Campus</v>
      </c>
      <c r="AH902" s="1" t="str">
        <f>IFERROR(__xludf.DUMMYFUNCTION("""COMPUTED_VALUE"""),"Media Monitoring")</f>
        <v>Media Monitoring</v>
      </c>
      <c r="AI902" s="2" t="str">
        <f>IFERROR(__xludf.DUMMYFUNCTION("""COMPUTED_VALUE"""),"https://www.datacenterdynamics.com/en/news/landbridge-powerbridge-partner-for-2gw-data-center-campus-in-west-texas/")</f>
        <v>https://www.datacenterdynamics.com/en/news/landbridge-powerbridge-partner-for-2gw-data-center-campus-in-west-texas/</v>
      </c>
      <c r="AJ902" s="1" t="str">
        <f>IFERROR(__xludf.DUMMYFUNCTION("""COMPUTED_VALUE"""),"")</f>
        <v/>
      </c>
      <c r="AK902" s="1" t="str">
        <f>IFERROR(__xludf.DUMMYFUNCTION("""COMPUTED_VALUE"""),"")</f>
        <v/>
      </c>
      <c r="AL902" s="1" t="str">
        <f>IFERROR(__xludf.DUMMYFUNCTION("""COMPUTED_VALUE"""),"")</f>
        <v/>
      </c>
      <c r="AM902" s="1" t="str">
        <f>IFERROR(__xludf.DUMMYFUNCTION("""COMPUTED_VALUE"""),"")</f>
        <v/>
      </c>
      <c r="AN902" s="1" t="str">
        <f>IFERROR(__xludf.DUMMYFUNCTION("""COMPUTED_VALUE"""),"")</f>
        <v/>
      </c>
      <c r="AO902" s="1" t="str">
        <f>IFERROR(__xludf.DUMMYFUNCTION("""COMPUTED_VALUE"""),"")</f>
        <v/>
      </c>
      <c r="AP902" s="1" t="str">
        <f>IFERROR(__xludf.DUMMYFUNCTION("""COMPUTED_VALUE"""),"")</f>
        <v/>
      </c>
      <c r="AQ902" s="1" t="str">
        <f>IFERROR(__xludf.DUMMYFUNCTION("""COMPUTED_VALUE"""),"04/09/2026")</f>
        <v>04/09/2026</v>
      </c>
      <c r="AR902" s="1" t="str">
        <f>IFERROR(__xludf.DUMMYFUNCTION("""COMPUTED_VALUE"""),"04/09/2026")</f>
        <v>04/09/2026</v>
      </c>
    </row>
    <row r="903">
      <c r="A903" s="1" t="str">
        <f>IFERROR(__xludf.DUMMYFUNCTION("""COMPUTED_VALUE"""),"AWS Data Center")</f>
        <v>AWS Data Center</v>
      </c>
      <c r="B903" s="1" t="str">
        <f>IFERROR(__xludf.DUMMYFUNCTION("""COMPUTED_VALUE"""),"$400 million")</f>
        <v>$400 million</v>
      </c>
      <c r="C903" s="1" t="str">
        <f>IFERROR(__xludf.DUMMYFUNCTION("""COMPUTED_VALUE"""),"Boling")</f>
        <v>Boling</v>
      </c>
      <c r="D903" s="1" t="str">
        <f>IFERROR(__xludf.DUMMYFUNCTION("""COMPUTED_VALUE"""),"TX")</f>
        <v>TX</v>
      </c>
      <c r="E903" s="1" t="str">
        <f>IFERROR(__xludf.DUMMYFUNCTION("""COMPUTED_VALUE"""),"77420")</f>
        <v>77420</v>
      </c>
      <c r="F903" s="1" t="str">
        <f>IFERROR(__xludf.DUMMYFUNCTION("""COMPUTED_VALUE"""),"Wharton")</f>
        <v>Wharton</v>
      </c>
      <c r="G903" s="1" t="str">
        <f>IFERROR(__xludf.DUMMYFUNCTION("""COMPUTED_VALUE"""),"29.264883")</f>
        <v>29.264883</v>
      </c>
      <c r="H903" s="1" t="str">
        <f>IFERROR(__xludf.DUMMYFUNCTION("""COMPUTED_VALUE"""),"-95.951324")</f>
        <v>-95.951324</v>
      </c>
      <c r="I903" s="1" t="str">
        <f>IFERROR(__xludf.DUMMYFUNCTION("""COMPUTED_VALUE"""),"Proposed")</f>
        <v>Proposed</v>
      </c>
      <c r="J903" s="1" t="str">
        <f>IFERROR(__xludf.DUMMYFUNCTION("""COMPUTED_VALUE"""),"Medium")</f>
        <v>Medium</v>
      </c>
      <c r="K903" s="1" t="str">
        <f>IFERROR(__xludf.DUMMYFUNCTION("""COMPUTED_VALUE"""),"")</f>
        <v/>
      </c>
      <c r="L903" s="1" t="str">
        <f>IFERROR(__xludf.DUMMYFUNCTION("""COMPUTED_VALUE"""),"Amazon")</f>
        <v>Amazon</v>
      </c>
      <c r="M903" s="1" t="str">
        <f>IFERROR(__xludf.DUMMYFUNCTION("""COMPUTED_VALUE"""),"")</f>
        <v/>
      </c>
      <c r="N903" s="1" t="str">
        <f>IFERROR(__xludf.DUMMYFUNCTION("""COMPUTED_VALUE"""),"")</f>
        <v/>
      </c>
      <c r="O903" s="1" t="str">
        <f>IFERROR(__xludf.DUMMYFUNCTION("""COMPUTED_VALUE"""),"Unknown")</f>
        <v>Unknown</v>
      </c>
      <c r="P903" s="1" t="str">
        <f>IFERROR(__xludf.DUMMYFUNCTION("""COMPUTED_VALUE"""),"")</f>
        <v/>
      </c>
      <c r="Q903" s="1" t="str">
        <f>IFERROR(__xludf.DUMMYFUNCTION("""COMPUTED_VALUE"""),"")</f>
        <v/>
      </c>
      <c r="R903" s="1" t="str">
        <f>IFERROR(__xludf.DUMMYFUNCTION("""COMPUTED_VALUE"""),"")</f>
        <v/>
      </c>
      <c r="S903" s="1" t="str">
        <f>IFERROR(__xludf.DUMMYFUNCTION("""COMPUTED_VALUE"""),"4")</f>
        <v>4</v>
      </c>
      <c r="T903" s="1" t="str">
        <f>IFERROR(__xludf.DUMMYFUNCTION("""COMPUTED_VALUE"""),"")</f>
        <v/>
      </c>
      <c r="U903" s="1" t="str">
        <f>IFERROR(__xludf.DUMMYFUNCTION("""COMPUTED_VALUE"""),"")</f>
        <v/>
      </c>
      <c r="V903" s="1" t="str">
        <f>IFERROR(__xludf.DUMMYFUNCTION("""COMPUTED_VALUE"""),"756,000")</f>
        <v>756,000</v>
      </c>
      <c r="W903" s="1" t="str">
        <f>IFERROR(__xludf.DUMMYFUNCTION("""COMPUTED_VALUE"""),"2700")</f>
        <v>2700</v>
      </c>
      <c r="X903" s="1" t="str">
        <f>IFERROR(__xludf.DUMMYFUNCTION("""COMPUTED_VALUE"""),"$1.2 billion")</f>
        <v>$1.2 billion</v>
      </c>
      <c r="Y903" s="1" t="str">
        <f>IFERROR(__xludf.DUMMYFUNCTION("""COMPUTED_VALUE"""),"2027")</f>
        <v>2027</v>
      </c>
      <c r="Z903" s="1" t="str">
        <f>IFERROR(__xludf.DUMMYFUNCTION("""COMPUTED_VALUE"""),"")</f>
        <v/>
      </c>
      <c r="AA903" s="1" t="str">
        <f>IFERROR(__xludf.DUMMYFUNCTION("""COMPUTED_VALUE"""),"")</f>
        <v/>
      </c>
      <c r="AB903" s="1" t="str">
        <f>IFERROR(__xludf.DUMMYFUNCTION("""COMPUTED_VALUE"""),"")</f>
        <v/>
      </c>
      <c r="AC903" s="1" t="str">
        <f>IFERROR(__xludf.DUMMYFUNCTION("""COMPUTED_VALUE"""),"")</f>
        <v/>
      </c>
      <c r="AD903" s="1" t="str">
        <f>IFERROR(__xludf.DUMMYFUNCTION("""COMPUTED_VALUE"""),"")</f>
        <v/>
      </c>
      <c r="AE903" s="1" t="str">
        <f>IFERROR(__xludf.DUMMYFUNCTION("""COMPUTED_VALUE"""),"")</f>
        <v/>
      </c>
      <c r="AF903" s="1" t="str">
        <f>IFERROR(__xludf.DUMMYFUNCTION("""COMPUTED_VALUE"""),"")</f>
        <v/>
      </c>
      <c r="AG903" s="1" t="str">
        <f>IFERROR(__xludf.DUMMYFUNCTION("""COMPUTED_VALUE"""),"")</f>
        <v/>
      </c>
      <c r="AH903" s="1" t="str">
        <f>IFERROR(__xludf.DUMMYFUNCTION("""COMPUTED_VALUE"""),"Media Monitoring")</f>
        <v>Media Monitoring</v>
      </c>
      <c r="AI903" s="2" t="str">
        <f>IFERROR(__xludf.DUMMYFUNCTION("""COMPUTED_VALUE"""),"https://www.datacenterdynamics.com/en/news/aws-files-for-12bn-data-center-campus-outside-houston-texas/")</f>
        <v>https://www.datacenterdynamics.com/en/news/aws-files-for-12bn-data-center-campus-outside-houston-texas/</v>
      </c>
      <c r="AJ903" s="1" t="str">
        <f>IFERROR(__xludf.DUMMYFUNCTION("""COMPUTED_VALUE"""),"")</f>
        <v/>
      </c>
      <c r="AK903" s="1" t="str">
        <f>IFERROR(__xludf.DUMMYFUNCTION("""COMPUTED_VALUE"""),"")</f>
        <v/>
      </c>
      <c r="AL903" s="1" t="str">
        <f>IFERROR(__xludf.DUMMYFUNCTION("""COMPUTED_VALUE"""),"")</f>
        <v/>
      </c>
      <c r="AM903" s="1" t="str">
        <f>IFERROR(__xludf.DUMMYFUNCTION("""COMPUTED_VALUE"""),"")</f>
        <v/>
      </c>
      <c r="AN903" s="1" t="str">
        <f>IFERROR(__xludf.DUMMYFUNCTION("""COMPUTED_VALUE"""),"")</f>
        <v/>
      </c>
      <c r="AO903" s="1" t="str">
        <f>IFERROR(__xludf.DUMMYFUNCTION("""COMPUTED_VALUE"""),"")</f>
        <v/>
      </c>
      <c r="AP903" s="1" t="str">
        <f>IFERROR(__xludf.DUMMYFUNCTION("""COMPUTED_VALUE"""),"")</f>
        <v/>
      </c>
      <c r="AQ903" s="1" t="str">
        <f>IFERROR(__xludf.DUMMYFUNCTION("""COMPUTED_VALUE"""),"07/14/2026")</f>
        <v>07/14/2026</v>
      </c>
      <c r="AR903" s="1" t="str">
        <f>IFERROR(__xludf.DUMMYFUNCTION("""COMPUTED_VALUE"""),"07/14/2026")</f>
        <v>07/14/2026</v>
      </c>
    </row>
    <row r="904">
      <c r="A904" s="1" t="str">
        <f>IFERROR(__xludf.DUMMYFUNCTION("""COMPUTED_VALUE"""),"CleanSpark Data Center")</f>
        <v>CleanSpark Data Center</v>
      </c>
      <c r="B904" s="1" t="str">
        <f>IFERROR(__xludf.DUMMYFUNCTION("""COMPUTED_VALUE"""),"Unknown")</f>
        <v>Unknown</v>
      </c>
      <c r="C904" s="1" t="str">
        <f>IFERROR(__xludf.DUMMYFUNCTION("""COMPUTED_VALUE"""),"Brazoria County")</f>
        <v>Brazoria County</v>
      </c>
      <c r="D904" s="1" t="str">
        <f>IFERROR(__xludf.DUMMYFUNCTION("""COMPUTED_VALUE"""),"TX")</f>
        <v>TX</v>
      </c>
      <c r="E904" s="1" t="str">
        <f>IFERROR(__xludf.DUMMYFUNCTION("""COMPUTED_VALUE"""),"")</f>
        <v/>
      </c>
      <c r="F904" s="1" t="str">
        <f>IFERROR(__xludf.DUMMYFUNCTION("""COMPUTED_VALUE"""),"Brazoria")</f>
        <v>Brazoria</v>
      </c>
      <c r="G904" s="1" t="str">
        <f>IFERROR(__xludf.DUMMYFUNCTION("""COMPUTED_VALUE"""),"29.182318")</f>
        <v>29.182318</v>
      </c>
      <c r="H904" s="1" t="str">
        <f>IFERROR(__xludf.DUMMYFUNCTION("""COMPUTED_VALUE"""),"-95.47511")</f>
        <v>-95.47511</v>
      </c>
      <c r="I904" s="1" t="str">
        <f>IFERROR(__xludf.DUMMYFUNCTION("""COMPUTED_VALUE"""),"Proposed")</f>
        <v>Proposed</v>
      </c>
      <c r="J904" s="1" t="str">
        <f>IFERROR(__xludf.DUMMYFUNCTION("""COMPUTED_VALUE"""),"Low")</f>
        <v>Low</v>
      </c>
      <c r="K904" s="1" t="str">
        <f>IFERROR(__xludf.DUMMYFUNCTION("""COMPUTED_VALUE"""),"")</f>
        <v/>
      </c>
      <c r="L904" s="1" t="str">
        <f>IFERROR(__xludf.DUMMYFUNCTION("""COMPUTED_VALUE"""),"CleanSpark")</f>
        <v>CleanSpark</v>
      </c>
      <c r="M904" s="1" t="str">
        <f>IFERROR(__xludf.DUMMYFUNCTION("""COMPUTED_VALUE"""),"")</f>
        <v/>
      </c>
      <c r="N904" s="1" t="str">
        <f>IFERROR(__xludf.DUMMYFUNCTION("""COMPUTED_VALUE"""),"300-600")</f>
        <v>300-600</v>
      </c>
      <c r="O904" s="1" t="str">
        <f>IFERROR(__xludf.DUMMYFUNCTION("""COMPUTED_VALUE"""),"Hyperscale (100-999 MW)")</f>
        <v>Hyperscale (100-999 MW)</v>
      </c>
      <c r="P904" s="1" t="str">
        <f>IFERROR(__xludf.DUMMYFUNCTION("""COMPUTED_VALUE"""),"")</f>
        <v/>
      </c>
      <c r="Q904" s="1" t="str">
        <f>IFERROR(__xludf.DUMMYFUNCTION("""COMPUTED_VALUE"""),"")</f>
        <v/>
      </c>
      <c r="R904" s="1" t="str">
        <f>IFERROR(__xludf.DUMMYFUNCTION("""COMPUTED_VALUE"""),"")</f>
        <v/>
      </c>
      <c r="S904" s="1" t="str">
        <f>IFERROR(__xludf.DUMMYFUNCTION("""COMPUTED_VALUE"""),"")</f>
        <v/>
      </c>
      <c r="T904" s="1" t="str">
        <f>IFERROR(__xludf.DUMMYFUNCTION("""COMPUTED_VALUE"""),"")</f>
        <v/>
      </c>
      <c r="U904" s="1" t="str">
        <f>IFERROR(__xludf.DUMMYFUNCTION("""COMPUTED_VALUE"""),"")</f>
        <v/>
      </c>
      <c r="V904" s="1" t="str">
        <f>IFERROR(__xludf.DUMMYFUNCTION("""COMPUTED_VALUE"""),"")</f>
        <v/>
      </c>
      <c r="W904" s="1" t="str">
        <f>IFERROR(__xludf.DUMMYFUNCTION("""COMPUTED_VALUE"""),"44")</f>
        <v>44</v>
      </c>
      <c r="X904" s="1" t="str">
        <f>IFERROR(__xludf.DUMMYFUNCTION("""COMPUTED_VALUE"""),"")</f>
        <v/>
      </c>
      <c r="Y904" s="1" t="str">
        <f>IFERROR(__xludf.DUMMYFUNCTION("""COMPUTED_VALUE"""),"")</f>
        <v/>
      </c>
      <c r="Z904" s="1" t="str">
        <f>IFERROR(__xludf.DUMMYFUNCTION("""COMPUTED_VALUE"""),"Unknown")</f>
        <v>Unknown</v>
      </c>
      <c r="AA904" s="1" t="str">
        <f>IFERROR(__xludf.DUMMYFUNCTION("""COMPUTED_VALUE"""),"")</f>
        <v/>
      </c>
      <c r="AB904" s="1" t="str">
        <f>IFERROR(__xludf.DUMMYFUNCTION("""COMPUTED_VALUE"""),"")</f>
        <v/>
      </c>
      <c r="AC904" s="1" t="str">
        <f>IFERROR(__xludf.DUMMYFUNCTION("""COMPUTED_VALUE"""),"")</f>
        <v/>
      </c>
      <c r="AD904" s="1" t="str">
        <f>IFERROR(__xludf.DUMMYFUNCTION("""COMPUTED_VALUE"""),"")</f>
        <v/>
      </c>
      <c r="AE904" s="1" t="str">
        <f>IFERROR(__xludf.DUMMYFUNCTION("""COMPUTED_VALUE"""),"")</f>
        <v/>
      </c>
      <c r="AF904" s="1" t="str">
        <f>IFERROR(__xludf.DUMMYFUNCTION("""COMPUTED_VALUE"""),"")</f>
        <v/>
      </c>
      <c r="AG904" s="1" t="str">
        <f>IFERROR(__xludf.DUMMYFUNCTION("""COMPUTED_VALUE"""),"")</f>
        <v/>
      </c>
      <c r="AH904" s="1" t="str">
        <f>IFERROR(__xludf.DUMMYFUNCTION("""COMPUTED_VALUE"""),"Media Monitoring")</f>
        <v>Media Monitoring</v>
      </c>
      <c r="AI904" s="2" t="str">
        <f>IFERROR(__xludf.DUMMYFUNCTION("""COMPUTED_VALUE"""),"https://www.datacenterdynamics.com/en/news/cleanspark-acquires-447-acres-for-second-texas-ai-data-center-site/")</f>
        <v>https://www.datacenterdynamics.com/en/news/cleanspark-acquires-447-acres-for-second-texas-ai-data-center-site/</v>
      </c>
      <c r="AJ904" s="1" t="str">
        <f>IFERROR(__xludf.DUMMYFUNCTION("""COMPUTED_VALUE"""),"")</f>
        <v/>
      </c>
      <c r="AK904" s="1" t="str">
        <f>IFERROR(__xludf.DUMMYFUNCTION("""COMPUTED_VALUE"""),"")</f>
        <v/>
      </c>
      <c r="AL904" s="1" t="str">
        <f>IFERROR(__xludf.DUMMYFUNCTION("""COMPUTED_VALUE"""),"")</f>
        <v/>
      </c>
      <c r="AM904" s="1" t="str">
        <f>IFERROR(__xludf.DUMMYFUNCTION("""COMPUTED_VALUE"""),"")</f>
        <v/>
      </c>
      <c r="AN904" s="1" t="str">
        <f>IFERROR(__xludf.DUMMYFUNCTION("""COMPUTED_VALUE"""),"")</f>
        <v/>
      </c>
      <c r="AO904" s="1" t="str">
        <f>IFERROR(__xludf.DUMMYFUNCTION("""COMPUTED_VALUE"""),"")</f>
        <v/>
      </c>
      <c r="AP904" s="1" t="str">
        <f>IFERROR(__xludf.DUMMYFUNCTION("""COMPUTED_VALUE"""),"")</f>
        <v/>
      </c>
      <c r="AQ904" s="1" t="str">
        <f>IFERROR(__xludf.DUMMYFUNCTION("""COMPUTED_VALUE"""),"01/15/2026")</f>
        <v>01/15/2026</v>
      </c>
      <c r="AR904" s="1" t="str">
        <f>IFERROR(__xludf.DUMMYFUNCTION("""COMPUTED_VALUE"""),"01/15/2026")</f>
        <v>01/15/2026</v>
      </c>
    </row>
    <row r="905">
      <c r="A905" s="1" t="str">
        <f>IFERROR(__xludf.DUMMYFUNCTION("""COMPUTED_VALUE"""),"Viridien Data Center")</f>
        <v>Viridien Data Center</v>
      </c>
      <c r="B905" s="1" t="str">
        <f>IFERROR(__xludf.DUMMYFUNCTION("""COMPUTED_VALUE"""),"2602 Longwood Drive")</f>
        <v>2602 Longwood Drive</v>
      </c>
      <c r="C905" s="1" t="str">
        <f>IFERROR(__xludf.DUMMYFUNCTION("""COMPUTED_VALUE"""),"Brenham")</f>
        <v>Brenham</v>
      </c>
      <c r="D905" s="1" t="str">
        <f>IFERROR(__xludf.DUMMYFUNCTION("""COMPUTED_VALUE"""),"TX")</f>
        <v>TX</v>
      </c>
      <c r="E905" s="1" t="str">
        <f>IFERROR(__xludf.DUMMYFUNCTION("""COMPUTED_VALUE"""),"77833")</f>
        <v>77833</v>
      </c>
      <c r="F905" s="1" t="str">
        <f>IFERROR(__xludf.DUMMYFUNCTION("""COMPUTED_VALUE"""),"Washington")</f>
        <v>Washington</v>
      </c>
      <c r="G905" s="1" t="str">
        <f>IFERROR(__xludf.DUMMYFUNCTION("""COMPUTED_VALUE"""),"30.140465")</f>
        <v>30.140465</v>
      </c>
      <c r="H905" s="1" t="str">
        <f>IFERROR(__xludf.DUMMYFUNCTION("""COMPUTED_VALUE"""),"-96.40983")</f>
        <v>-96.40983</v>
      </c>
      <c r="I905" s="1" t="str">
        <f>IFERROR(__xludf.DUMMYFUNCTION("""COMPUTED_VALUE"""),"Proposed")</f>
        <v>Proposed</v>
      </c>
      <c r="J905" s="1" t="str">
        <f>IFERROR(__xludf.DUMMYFUNCTION("""COMPUTED_VALUE"""),"high ")</f>
        <v>high </v>
      </c>
      <c r="K905" s="1" t="str">
        <f>IFERROR(__xludf.DUMMYFUNCTION("""COMPUTED_VALUE"""),"")</f>
        <v/>
      </c>
      <c r="L905" s="1" t="str">
        <f>IFERROR(__xludf.DUMMYFUNCTION("""COMPUTED_VALUE"""),"Viridien")</f>
        <v>Viridien</v>
      </c>
      <c r="M905" s="1" t="str">
        <f>IFERROR(__xludf.DUMMYFUNCTION("""COMPUTED_VALUE"""),"")</f>
        <v/>
      </c>
      <c r="N905" s="1" t="str">
        <f>IFERROR(__xludf.DUMMYFUNCTION("""COMPUTED_VALUE"""),"45")</f>
        <v>45</v>
      </c>
      <c r="O905" s="1" t="str">
        <f>IFERROR(__xludf.DUMMYFUNCTION("""COMPUTED_VALUE"""),"Medium (11-50 MW)")</f>
        <v>Medium (11-50 MW)</v>
      </c>
      <c r="P905" s="1" t="str">
        <f>IFERROR(__xludf.DUMMYFUNCTION("""COMPUTED_VALUE"""),"Grid (unspecified mix), Solar")</f>
        <v>Grid (unspecified mix), Solar</v>
      </c>
      <c r="Q905" s="1" t="str">
        <f>IFERROR(__xludf.DUMMYFUNCTION("""COMPUTED_VALUE"""),"Bluebonnet Electric Cooperative")</f>
        <v>Bluebonnet Electric Cooperative</v>
      </c>
      <c r="R905" s="1" t="str">
        <f>IFERROR(__xludf.DUMMYFUNCTION("""COMPUTED_VALUE"""),"")</f>
        <v/>
      </c>
      <c r="S905" s="1" t="str">
        <f>IFERROR(__xludf.DUMMYFUNCTION("""COMPUTED_VALUE"""),"3")</f>
        <v>3</v>
      </c>
      <c r="T905" s="1" t="str">
        <f>IFERROR(__xludf.DUMMYFUNCTION("""COMPUTED_VALUE"""),"Water")</f>
        <v>Water</v>
      </c>
      <c r="U905" s="1" t="str">
        <f>IFERROR(__xludf.DUMMYFUNCTION("""COMPUTED_VALUE"""),"Closed loop")</f>
        <v>Closed loop</v>
      </c>
      <c r="V905" s="1" t="str">
        <f>IFERROR(__xludf.DUMMYFUNCTION("""COMPUTED_VALUE"""),"40,000")</f>
        <v>40,000</v>
      </c>
      <c r="W905" s="1" t="str">
        <f>IFERROR(__xludf.DUMMYFUNCTION("""COMPUTED_VALUE"""),"21")</f>
        <v>21</v>
      </c>
      <c r="X905" s="1" t="str">
        <f>IFERROR(__xludf.DUMMYFUNCTION("""COMPUTED_VALUE"""),"100 million")</f>
        <v>100 million</v>
      </c>
      <c r="Y905" s="1" t="str">
        <f>IFERROR(__xludf.DUMMYFUNCTION("""COMPUTED_VALUE"""),"")</f>
        <v/>
      </c>
      <c r="Z905" s="1" t="str">
        <f>IFERROR(__xludf.DUMMYFUNCTION("""COMPUTED_VALUE"""),"Yes")</f>
        <v>Yes</v>
      </c>
      <c r="AA905" s="1" t="str">
        <f>IFERROR(__xludf.DUMMYFUNCTION("""COMPUTED_VALUE"""),"")</f>
        <v/>
      </c>
      <c r="AB905" s="1" t="str">
        <f>IFERROR(__xludf.DUMMYFUNCTION("""COMPUTED_VALUE"""),"")</f>
        <v/>
      </c>
      <c r="AC905" s="1" t="str">
        <f>IFERROR(__xludf.DUMMYFUNCTION("""COMPUTED_VALUE"""),"")</f>
        <v/>
      </c>
      <c r="AD905" s="1" t="str">
        <f>IFERROR(__xludf.DUMMYFUNCTION("""COMPUTED_VALUE"""),"")</f>
        <v/>
      </c>
      <c r="AE905" s="1" t="str">
        <f>IFERROR(__xludf.DUMMYFUNCTION("""COMPUTED_VALUE"""),"")</f>
        <v/>
      </c>
      <c r="AF905" s="2" t="str">
        <f>IFERROR(__xludf.DUMMYFUNCTION("""COMPUTED_VALUE"""),"https://www.change.org/p/protect-brenham-stop-the-industrial-data-center-from-being-built-in-our-community")</f>
        <v>https://www.change.org/p/protect-brenham-stop-the-industrial-data-center-from-being-built-in-our-community</v>
      </c>
      <c r="AG905" s="1" t="str">
        <f>IFERROR(__xludf.DUMMYFUNCTION("""COMPUTED_VALUE"""),"")</f>
        <v/>
      </c>
      <c r="AH905" s="1" t="str">
        <f>IFERROR(__xludf.DUMMYFUNCTION("""COMPUTED_VALUE"""),"Media Monitoring")</f>
        <v>Media Monitoring</v>
      </c>
      <c r="AI905" s="2" t="str">
        <f>IFERROR(__xludf.DUMMYFUNCTION("""COMPUTED_VALUE"""),"https://www.datacenterdynamics.com/en/news/officials-in-brenham-texas-reject-tax-abatement-for-data-center-project/")</f>
        <v>https://www.datacenterdynamics.com/en/news/officials-in-brenham-texas-reject-tax-abatement-for-data-center-project/</v>
      </c>
      <c r="AJ905" s="1" t="str">
        <f>IFERROR(__xludf.DUMMYFUNCTION("""COMPUTED_VALUE"""),"")</f>
        <v/>
      </c>
      <c r="AK905" s="1" t="str">
        <f>IFERROR(__xludf.DUMMYFUNCTION("""COMPUTED_VALUE"""),"")</f>
        <v/>
      </c>
      <c r="AL905" s="1" t="str">
        <f>IFERROR(__xludf.DUMMYFUNCTION("""COMPUTED_VALUE"""),"")</f>
        <v/>
      </c>
      <c r="AM905" s="1" t="str">
        <f>IFERROR(__xludf.DUMMYFUNCTION("""COMPUTED_VALUE"""),"")</f>
        <v/>
      </c>
      <c r="AN905" s="1" t="str">
        <f>IFERROR(__xludf.DUMMYFUNCTION("""COMPUTED_VALUE"""),"")</f>
        <v/>
      </c>
      <c r="AO905" s="1" t="str">
        <f>IFERROR(__xludf.DUMMYFUNCTION("""COMPUTED_VALUE"""),"")</f>
        <v/>
      </c>
      <c r="AP905" s="1" t="str">
        <f>IFERROR(__xludf.DUMMYFUNCTION("""COMPUTED_VALUE"""),"")</f>
        <v/>
      </c>
      <c r="AQ905" s="1" t="str">
        <f>IFERROR(__xludf.DUMMYFUNCTION("""COMPUTED_VALUE"""),"02/26/2026")</f>
        <v>02/26/2026</v>
      </c>
      <c r="AR905" s="1" t="str">
        <f>IFERROR(__xludf.DUMMYFUNCTION("""COMPUTED_VALUE"""),"02/26/2026")</f>
        <v>02/26/2026</v>
      </c>
    </row>
    <row r="906">
      <c r="A906" s="1" t="str">
        <f>IFERROR(__xludf.DUMMYFUNCTION("""COMPUTED_VALUE"""),"Open AI/ SoftBank ""Freebird""")</f>
        <v>Open AI/ SoftBank "Freebird"</v>
      </c>
      <c r="B906" s="1" t="str">
        <f>IFERROR(__xludf.DUMMYFUNCTION("""COMPUTED_VALUE"""),"1899 County Rd 133")</f>
        <v>1899 County Rd 133</v>
      </c>
      <c r="C906" s="1" t="str">
        <f>IFERROR(__xludf.DUMMYFUNCTION("""COMPUTED_VALUE"""),"Burlington")</f>
        <v>Burlington</v>
      </c>
      <c r="D906" s="1" t="str">
        <f>IFERROR(__xludf.DUMMYFUNCTION("""COMPUTED_VALUE"""),"TX")</f>
        <v>TX</v>
      </c>
      <c r="E906" s="1" t="str">
        <f>IFERROR(__xludf.DUMMYFUNCTION("""COMPUTED_VALUE"""),"76519")</f>
        <v>76519</v>
      </c>
      <c r="F906" s="1" t="str">
        <f>IFERROR(__xludf.DUMMYFUNCTION("""COMPUTED_VALUE"""),"Milam")</f>
        <v>Milam</v>
      </c>
      <c r="G906" s="1" t="str">
        <f>IFERROR(__xludf.DUMMYFUNCTION("""COMPUTED_VALUE"""),"31.00507")</f>
        <v>31.00507</v>
      </c>
      <c r="H906" s="1" t="str">
        <f>IFERROR(__xludf.DUMMYFUNCTION("""COMPUTED_VALUE"""),"-97.0179")</f>
        <v>-97.0179</v>
      </c>
      <c r="I906" s="1" t="str">
        <f>IFERROR(__xludf.DUMMYFUNCTION("""COMPUTED_VALUE"""),"Proposed")</f>
        <v>Proposed</v>
      </c>
      <c r="J906" s="1" t="str">
        <f>IFERROR(__xludf.DUMMYFUNCTION("""COMPUTED_VALUE"""),"High")</f>
        <v>High</v>
      </c>
      <c r="K906" s="1" t="str">
        <f>IFERROR(__xludf.DUMMYFUNCTION("""COMPUTED_VALUE"""),"")</f>
        <v/>
      </c>
      <c r="L906" s="1" t="str">
        <f>IFERROR(__xludf.DUMMYFUNCTION("""COMPUTED_VALUE"""),"")</f>
        <v/>
      </c>
      <c r="M906" s="1" t="str">
        <f>IFERROR(__xludf.DUMMYFUNCTION("""COMPUTED_VALUE"""),"")</f>
        <v/>
      </c>
      <c r="N906" s="1" t="str">
        <f>IFERROR(__xludf.DUMMYFUNCTION("""COMPUTED_VALUE"""),"1500")</f>
        <v>1500</v>
      </c>
      <c r="O906" s="1" t="str">
        <f>IFERROR(__xludf.DUMMYFUNCTION("""COMPUTED_VALUE"""),"Mega campus (&gt;1,000 MW)")</f>
        <v>Mega campus (&gt;1,000 MW)</v>
      </c>
      <c r="P906" s="1" t="str">
        <f>IFERROR(__xludf.DUMMYFUNCTION("""COMPUTED_VALUE"""),"")</f>
        <v/>
      </c>
      <c r="Q906" s="1" t="str">
        <f>IFERROR(__xludf.DUMMYFUNCTION("""COMPUTED_VALUE"""),"")</f>
        <v/>
      </c>
      <c r="R906" s="1" t="str">
        <f>IFERROR(__xludf.DUMMYFUNCTION("""COMPUTED_VALUE"""),"")</f>
        <v/>
      </c>
      <c r="S906" s="1" t="str">
        <f>IFERROR(__xludf.DUMMYFUNCTION("""COMPUTED_VALUE"""),"")</f>
        <v/>
      </c>
      <c r="T906" s="1" t="str">
        <f>IFERROR(__xludf.DUMMYFUNCTION("""COMPUTED_VALUE"""),"")</f>
        <v/>
      </c>
      <c r="U906" s="1" t="str">
        <f>IFERROR(__xludf.DUMMYFUNCTION("""COMPUTED_VALUE"""),"")</f>
        <v/>
      </c>
      <c r="V906" s="1" t="str">
        <f>IFERROR(__xludf.DUMMYFUNCTION("""COMPUTED_VALUE"""),"548,950")</f>
        <v>548,950</v>
      </c>
      <c r="W906" s="1" t="str">
        <f>IFERROR(__xludf.DUMMYFUNCTION("""COMPUTED_VALUE"""),"595")</f>
        <v>595</v>
      </c>
      <c r="X906" s="1" t="str">
        <f>IFERROR(__xludf.DUMMYFUNCTION("""COMPUTED_VALUE"""),"$3 billion")</f>
        <v>$3 billion</v>
      </c>
      <c r="Y906" s="1" t="str">
        <f>IFERROR(__xludf.DUMMYFUNCTION("""COMPUTED_VALUE"""),"")</f>
        <v/>
      </c>
      <c r="Z906" s="1" t="str">
        <f>IFERROR(__xludf.DUMMYFUNCTION("""COMPUTED_VALUE"""),"Unknown")</f>
        <v>Unknown</v>
      </c>
      <c r="AA906" s="1" t="str">
        <f>IFERROR(__xludf.DUMMYFUNCTION("""COMPUTED_VALUE"""),"")</f>
        <v/>
      </c>
      <c r="AB906" s="1" t="str">
        <f>IFERROR(__xludf.DUMMYFUNCTION("""COMPUTED_VALUE"""),"")</f>
        <v/>
      </c>
      <c r="AC906" s="1" t="str">
        <f>IFERROR(__xludf.DUMMYFUNCTION("""COMPUTED_VALUE"""),"")</f>
        <v/>
      </c>
      <c r="AD906" s="1" t="str">
        <f>IFERROR(__xludf.DUMMYFUNCTION("""COMPUTED_VALUE"""),"")</f>
        <v/>
      </c>
      <c r="AE906" s="1" t="str">
        <f>IFERROR(__xludf.DUMMYFUNCTION("""COMPUTED_VALUE"""),"")</f>
        <v/>
      </c>
      <c r="AF906" s="1" t="str">
        <f>IFERROR(__xludf.DUMMYFUNCTION("""COMPUTED_VALUE"""),"")</f>
        <v/>
      </c>
      <c r="AG906" s="1" t="str">
        <f>IFERROR(__xludf.DUMMYFUNCTION("""COMPUTED_VALUE"""),"")</f>
        <v/>
      </c>
      <c r="AH906" s="1" t="str">
        <f>IFERROR(__xludf.DUMMYFUNCTION("""COMPUTED_VALUE"""),"Media Monitoring")</f>
        <v>Media Monitoring</v>
      </c>
      <c r="AI906" s="2" t="str">
        <f>IFERROR(__xludf.DUMMYFUNCTION("""COMPUTED_VALUE"""),"https://www.bizjournals.com/austin/news/2025/09/25/open-ai-milam-county-data-center-sb-energy-softban.html")</f>
        <v>https://www.bizjournals.com/austin/news/2025/09/25/open-ai-milam-county-data-center-sb-energy-softban.html</v>
      </c>
      <c r="AJ906" s="2" t="str">
        <f>IFERROR(__xludf.DUMMYFUNCTION("""COMPUTED_VALUE"""),"https://www.wfmj.com/story/53109325/lordstown-part-of-mammoth-dollar500-billion-artificial-intelligence-data-center-project")</f>
        <v>https://www.wfmj.com/story/53109325/lordstown-part-of-mammoth-dollar500-billion-artificial-intelligence-data-center-project</v>
      </c>
      <c r="AK906" s="2" t="str">
        <f>IFERROR(__xludf.DUMMYFUNCTION("""COMPUTED_VALUE"""),"https://www.datacenterdynamics.com/en/news/openai-stargates-milam-texas-freebird-data-center-to-span-548950-sq-ft-in-first-phase/")</f>
        <v>https://www.datacenterdynamics.com/en/news/openai-stargates-milam-texas-freebird-data-center-to-span-548950-sq-ft-in-first-phase/</v>
      </c>
      <c r="AL906" s="1" t="str">
        <f>IFERROR(__xludf.DUMMYFUNCTION("""COMPUTED_VALUE"""),"")</f>
        <v/>
      </c>
      <c r="AM906" s="1" t="str">
        <f>IFERROR(__xludf.DUMMYFUNCTION("""COMPUTED_VALUE"""),"")</f>
        <v/>
      </c>
      <c r="AN906" s="1" t="str">
        <f>IFERROR(__xludf.DUMMYFUNCTION("""COMPUTED_VALUE"""),"")</f>
        <v/>
      </c>
      <c r="AO906" s="1" t="str">
        <f>IFERROR(__xludf.DUMMYFUNCTION("""COMPUTED_VALUE"""),"")</f>
        <v/>
      </c>
      <c r="AP906" s="1" t="str">
        <f>IFERROR(__xludf.DUMMYFUNCTION("""COMPUTED_VALUE"""),"")</f>
        <v/>
      </c>
      <c r="AQ906" s="1" t="str">
        <f>IFERROR(__xludf.DUMMYFUNCTION("""COMPUTED_VALUE"""),"09/26/2025")</f>
        <v>09/26/2025</v>
      </c>
      <c r="AR906" s="1" t="str">
        <f>IFERROR(__xludf.DUMMYFUNCTION("""COMPUTED_VALUE"""),"04/22/2026")</f>
        <v>04/22/2026</v>
      </c>
    </row>
    <row r="907">
      <c r="A907" s="1" t="str">
        <f>IFERROR(__xludf.DUMMYFUNCTION("""COMPUTED_VALUE"""),"")</f>
        <v/>
      </c>
      <c r="B907" s="1" t="str">
        <f>IFERROR(__xludf.DUMMYFUNCTION("""COMPUTED_VALUE"""),"2995 US-90")</f>
        <v>2995 US-90</v>
      </c>
      <c r="C907" s="1" t="str">
        <f>IFERROR(__xludf.DUMMYFUNCTION("""COMPUTED_VALUE"""),"Castroville")</f>
        <v>Castroville</v>
      </c>
      <c r="D907" s="1" t="str">
        <f>IFERROR(__xludf.DUMMYFUNCTION("""COMPUTED_VALUE"""),"TX")</f>
        <v>TX</v>
      </c>
      <c r="E907" s="1" t="str">
        <f>IFERROR(__xludf.DUMMYFUNCTION("""COMPUTED_VALUE"""),"78009")</f>
        <v>78009</v>
      </c>
      <c r="F907" s="1" t="str">
        <f>IFERROR(__xludf.DUMMYFUNCTION("""COMPUTED_VALUE"""),"Medina")</f>
        <v>Medina</v>
      </c>
      <c r="G907" s="1" t="str">
        <f>IFERROR(__xludf.DUMMYFUNCTION("""COMPUTED_VALUE"""),"29.35138")</f>
        <v>29.35138</v>
      </c>
      <c r="H907" s="1" t="str">
        <f>IFERROR(__xludf.DUMMYFUNCTION("""COMPUTED_VALUE"""),"-98.9406")</f>
        <v>-98.9406</v>
      </c>
      <c r="I907" s="1" t="str">
        <f>IFERROR(__xludf.DUMMYFUNCTION("""COMPUTED_VALUE"""),"Proposed")</f>
        <v>Proposed</v>
      </c>
      <c r="J907" s="1" t="str">
        <f>IFERROR(__xludf.DUMMYFUNCTION("""COMPUTED_VALUE"""),"High")</f>
        <v>High</v>
      </c>
      <c r="K907" s="1" t="str">
        <f>IFERROR(__xludf.DUMMYFUNCTION("""COMPUTED_VALUE"""),"")</f>
        <v/>
      </c>
      <c r="L907" s="1" t="str">
        <f>IFERROR(__xludf.DUMMYFUNCTION("""COMPUTED_VALUE"""),"Microsoft")</f>
        <v>Microsoft</v>
      </c>
      <c r="M907" s="1" t="str">
        <f>IFERROR(__xludf.DUMMYFUNCTION("""COMPUTED_VALUE"""),"")</f>
        <v/>
      </c>
      <c r="N907" s="1" t="str">
        <f>IFERROR(__xludf.DUMMYFUNCTION("""COMPUTED_VALUE"""),"")</f>
        <v/>
      </c>
      <c r="O907" s="1" t="str">
        <f>IFERROR(__xludf.DUMMYFUNCTION("""COMPUTED_VALUE"""),"Unknown")</f>
        <v>Unknown</v>
      </c>
      <c r="P907" s="1" t="str">
        <f>IFERROR(__xludf.DUMMYFUNCTION("""COMPUTED_VALUE"""),"")</f>
        <v/>
      </c>
      <c r="Q907" s="1" t="str">
        <f>IFERROR(__xludf.DUMMYFUNCTION("""COMPUTED_VALUE"""),"")</f>
        <v/>
      </c>
      <c r="R907" s="1" t="str">
        <f>IFERROR(__xludf.DUMMYFUNCTION("""COMPUTED_VALUE"""),"")</f>
        <v/>
      </c>
      <c r="S907" s="1" t="str">
        <f>IFERROR(__xludf.DUMMYFUNCTION("""COMPUTED_VALUE"""),"")</f>
        <v/>
      </c>
      <c r="T907" s="1" t="str">
        <f>IFERROR(__xludf.DUMMYFUNCTION("""COMPUTED_VALUE"""),"")</f>
        <v/>
      </c>
      <c r="U907" s="1" t="str">
        <f>IFERROR(__xludf.DUMMYFUNCTION("""COMPUTED_VALUE"""),"")</f>
        <v/>
      </c>
      <c r="V907" s="1" t="str">
        <f>IFERROR(__xludf.DUMMYFUNCTION("""COMPUTED_VALUE"""),"489,400")</f>
        <v>489,400</v>
      </c>
      <c r="W907" s="1" t="str">
        <f>IFERROR(__xludf.DUMMYFUNCTION("""COMPUTED_VALUE"""),"")</f>
        <v/>
      </c>
      <c r="X907" s="1" t="str">
        <f>IFERROR(__xludf.DUMMYFUNCTION("""COMPUTED_VALUE"""),"")</f>
        <v/>
      </c>
      <c r="Y907" s="1" t="str">
        <f>IFERROR(__xludf.DUMMYFUNCTION("""COMPUTED_VALUE"""),"2028")</f>
        <v>2028</v>
      </c>
      <c r="Z907" s="1" t="str">
        <f>IFERROR(__xludf.DUMMYFUNCTION("""COMPUTED_VALUE"""),"Unknown")</f>
        <v>Unknown</v>
      </c>
      <c r="AA907" s="1" t="str">
        <f>IFERROR(__xludf.DUMMYFUNCTION("""COMPUTED_VALUE"""),"")</f>
        <v/>
      </c>
      <c r="AB907" s="1" t="str">
        <f>IFERROR(__xludf.DUMMYFUNCTION("""COMPUTED_VALUE"""),"")</f>
        <v/>
      </c>
      <c r="AC907" s="1" t="str">
        <f>IFERROR(__xludf.DUMMYFUNCTION("""COMPUTED_VALUE"""),"")</f>
        <v/>
      </c>
      <c r="AD907" s="1" t="str">
        <f>IFERROR(__xludf.DUMMYFUNCTION("""COMPUTED_VALUE"""),"")</f>
        <v/>
      </c>
      <c r="AE907" s="1" t="str">
        <f>IFERROR(__xludf.DUMMYFUNCTION("""COMPUTED_VALUE"""),"")</f>
        <v/>
      </c>
      <c r="AF907" s="1" t="str">
        <f>IFERROR(__xludf.DUMMYFUNCTION("""COMPUTED_VALUE"""),"")</f>
        <v/>
      </c>
      <c r="AG907" s="1" t="str">
        <f>IFERROR(__xludf.DUMMYFUNCTION("""COMPUTED_VALUE"""),"")</f>
        <v/>
      </c>
      <c r="AH907" s="1" t="str">
        <f>IFERROR(__xludf.DUMMYFUNCTION("""COMPUTED_VALUE"""),"Media Monitoring")</f>
        <v>Media Monitoring</v>
      </c>
      <c r="AI907" s="2" t="str">
        <f>IFERROR(__xludf.DUMMYFUNCTION("""COMPUTED_VALUE"""),"https://www.datacenterdynamics.com/en/news/microsoft-files-for-data-center-campus-outside-san-antonio/")</f>
        <v>https://www.datacenterdynamics.com/en/news/microsoft-files-for-data-center-campus-outside-san-antonio/</v>
      </c>
      <c r="AJ907" s="1" t="str">
        <f>IFERROR(__xludf.DUMMYFUNCTION("""COMPUTED_VALUE"""),"")</f>
        <v/>
      </c>
      <c r="AK907" s="1" t="str">
        <f>IFERROR(__xludf.DUMMYFUNCTION("""COMPUTED_VALUE"""),"")</f>
        <v/>
      </c>
      <c r="AL907" s="1" t="str">
        <f>IFERROR(__xludf.DUMMYFUNCTION("""COMPUTED_VALUE"""),"")</f>
        <v/>
      </c>
      <c r="AM907" s="1" t="str">
        <f>IFERROR(__xludf.DUMMYFUNCTION("""COMPUTED_VALUE"""),"")</f>
        <v/>
      </c>
      <c r="AN907" s="1" t="str">
        <f>IFERROR(__xludf.DUMMYFUNCTION("""COMPUTED_VALUE"""),"")</f>
        <v/>
      </c>
      <c r="AO907" s="1" t="str">
        <f>IFERROR(__xludf.DUMMYFUNCTION("""COMPUTED_VALUE"""),"")</f>
        <v/>
      </c>
      <c r="AP907" s="1" t="str">
        <f>IFERROR(__xludf.DUMMYFUNCTION("""COMPUTED_VALUE"""),"")</f>
        <v/>
      </c>
      <c r="AQ907" s="1" t="str">
        <f>IFERROR(__xludf.DUMMYFUNCTION("""COMPUTED_VALUE"""),"08/05/2025")</f>
        <v>08/05/2025</v>
      </c>
      <c r="AR907" s="1" t="str">
        <f>IFERROR(__xludf.DUMMYFUNCTION("""COMPUTED_VALUE"""),"08/05/2025")</f>
        <v>08/05/2025</v>
      </c>
    </row>
    <row r="908">
      <c r="A908" s="1" t="str">
        <f>IFERROR(__xludf.DUMMYFUNCTION("""COMPUTED_VALUE"""),"Microsoft Castroville Data Center")</f>
        <v>Microsoft Castroville Data Center</v>
      </c>
      <c r="B908" s="1" t="str">
        <f>IFERROR(__xludf.DUMMYFUNCTION("""COMPUTED_VALUE"""),"2995 US-90")</f>
        <v>2995 US-90</v>
      </c>
      <c r="C908" s="1" t="str">
        <f>IFERROR(__xludf.DUMMYFUNCTION("""COMPUTED_VALUE"""),"Castroville")</f>
        <v>Castroville</v>
      </c>
      <c r="D908" s="1" t="str">
        <f>IFERROR(__xludf.DUMMYFUNCTION("""COMPUTED_VALUE"""),"TX")</f>
        <v>TX</v>
      </c>
      <c r="E908" s="1" t="str">
        <f>IFERROR(__xludf.DUMMYFUNCTION("""COMPUTED_VALUE"""),"78009")</f>
        <v>78009</v>
      </c>
      <c r="F908" s="1" t="str">
        <f>IFERROR(__xludf.DUMMYFUNCTION("""COMPUTED_VALUE"""),"Medina")</f>
        <v>Medina</v>
      </c>
      <c r="G908" s="1" t="str">
        <f>IFERROR(__xludf.DUMMYFUNCTION("""COMPUTED_VALUE"""),"29.35138")</f>
        <v>29.35138</v>
      </c>
      <c r="H908" s="1" t="str">
        <f>IFERROR(__xludf.DUMMYFUNCTION("""COMPUTED_VALUE"""),"-98.9406")</f>
        <v>-98.9406</v>
      </c>
      <c r="I908" s="1" t="str">
        <f>IFERROR(__xludf.DUMMYFUNCTION("""COMPUTED_VALUE"""),"Proposed")</f>
        <v>Proposed</v>
      </c>
      <c r="J908" s="1" t="str">
        <f>IFERROR(__xludf.DUMMYFUNCTION("""COMPUTED_VALUE"""),"High")</f>
        <v>High</v>
      </c>
      <c r="K908" s="1" t="str">
        <f>IFERROR(__xludf.DUMMYFUNCTION("""COMPUTED_VALUE"""),"")</f>
        <v/>
      </c>
      <c r="L908" s="1" t="str">
        <f>IFERROR(__xludf.DUMMYFUNCTION("""COMPUTED_VALUE"""),"Microsoft")</f>
        <v>Microsoft</v>
      </c>
      <c r="M908" s="1" t="str">
        <f>IFERROR(__xludf.DUMMYFUNCTION("""COMPUTED_VALUE"""),"")</f>
        <v/>
      </c>
      <c r="N908" s="1" t="str">
        <f>IFERROR(__xludf.DUMMYFUNCTION("""COMPUTED_VALUE"""),"")</f>
        <v/>
      </c>
      <c r="O908" s="1" t="str">
        <f>IFERROR(__xludf.DUMMYFUNCTION("""COMPUTED_VALUE"""),"Unknown")</f>
        <v>Unknown</v>
      </c>
      <c r="P908" s="1" t="str">
        <f>IFERROR(__xludf.DUMMYFUNCTION("""COMPUTED_VALUE"""),"")</f>
        <v/>
      </c>
      <c r="Q908" s="1" t="str">
        <f>IFERROR(__xludf.DUMMYFUNCTION("""COMPUTED_VALUE"""),"")</f>
        <v/>
      </c>
      <c r="R908" s="1" t="str">
        <f>IFERROR(__xludf.DUMMYFUNCTION("""COMPUTED_VALUE"""),"")</f>
        <v/>
      </c>
      <c r="S908" s="1" t="str">
        <f>IFERROR(__xludf.DUMMYFUNCTION("""COMPUTED_VALUE"""),"")</f>
        <v/>
      </c>
      <c r="T908" s="1" t="str">
        <f>IFERROR(__xludf.DUMMYFUNCTION("""COMPUTED_VALUE"""),"")</f>
        <v/>
      </c>
      <c r="U908" s="1" t="str">
        <f>IFERROR(__xludf.DUMMYFUNCTION("""COMPUTED_VALUE"""),"")</f>
        <v/>
      </c>
      <c r="V908" s="1" t="str">
        <f>IFERROR(__xludf.DUMMYFUNCTION("""COMPUTED_VALUE"""),"489,400")</f>
        <v>489,400</v>
      </c>
      <c r="W908" s="1" t="str">
        <f>IFERROR(__xludf.DUMMYFUNCTION("""COMPUTED_VALUE"""),"")</f>
        <v/>
      </c>
      <c r="X908" s="1" t="str">
        <f>IFERROR(__xludf.DUMMYFUNCTION("""COMPUTED_VALUE"""),"")</f>
        <v/>
      </c>
      <c r="Y908" s="1" t="str">
        <f>IFERROR(__xludf.DUMMYFUNCTION("""COMPUTED_VALUE"""),"2028")</f>
        <v>2028</v>
      </c>
      <c r="Z908" s="1" t="str">
        <f>IFERROR(__xludf.DUMMYFUNCTION("""COMPUTED_VALUE"""),"Unknown")</f>
        <v>Unknown</v>
      </c>
      <c r="AA908" s="1" t="str">
        <f>IFERROR(__xludf.DUMMYFUNCTION("""COMPUTED_VALUE"""),"")</f>
        <v/>
      </c>
      <c r="AB908" s="1" t="str">
        <f>IFERROR(__xludf.DUMMYFUNCTION("""COMPUTED_VALUE"""),"")</f>
        <v/>
      </c>
      <c r="AC908" s="1" t="str">
        <f>IFERROR(__xludf.DUMMYFUNCTION("""COMPUTED_VALUE"""),"")</f>
        <v/>
      </c>
      <c r="AD908" s="1" t="str">
        <f>IFERROR(__xludf.DUMMYFUNCTION("""COMPUTED_VALUE"""),"")</f>
        <v/>
      </c>
      <c r="AE908" s="1" t="str">
        <f>IFERROR(__xludf.DUMMYFUNCTION("""COMPUTED_VALUE"""),"")</f>
        <v/>
      </c>
      <c r="AF908" s="1" t="str">
        <f>IFERROR(__xludf.DUMMYFUNCTION("""COMPUTED_VALUE"""),"")</f>
        <v/>
      </c>
      <c r="AG908" s="1" t="str">
        <f>IFERROR(__xludf.DUMMYFUNCTION("""COMPUTED_VALUE"""),"")</f>
        <v/>
      </c>
      <c r="AH908" s="1" t="str">
        <f>IFERROR(__xludf.DUMMYFUNCTION("""COMPUTED_VALUE"""),"Media Monitoring")</f>
        <v>Media Monitoring</v>
      </c>
      <c r="AI908" s="2" t="str">
        <f>IFERROR(__xludf.DUMMYFUNCTION("""COMPUTED_VALUE"""),"https://www.datacenterdynamics.com/en/news/microsoft-files-for-data-center-campus-outside-san-antonio/")</f>
        <v>https://www.datacenterdynamics.com/en/news/microsoft-files-for-data-center-campus-outside-san-antonio/</v>
      </c>
      <c r="AJ908" s="1" t="str">
        <f>IFERROR(__xludf.DUMMYFUNCTION("""COMPUTED_VALUE"""),"")</f>
        <v/>
      </c>
      <c r="AK908" s="1" t="str">
        <f>IFERROR(__xludf.DUMMYFUNCTION("""COMPUTED_VALUE"""),"")</f>
        <v/>
      </c>
      <c r="AL908" s="1" t="str">
        <f>IFERROR(__xludf.DUMMYFUNCTION("""COMPUTED_VALUE"""),"")</f>
        <v/>
      </c>
      <c r="AM908" s="1" t="str">
        <f>IFERROR(__xludf.DUMMYFUNCTION("""COMPUTED_VALUE"""),"")</f>
        <v/>
      </c>
      <c r="AN908" s="1" t="str">
        <f>IFERROR(__xludf.DUMMYFUNCTION("""COMPUTED_VALUE"""),"")</f>
        <v/>
      </c>
      <c r="AO908" s="1" t="str">
        <f>IFERROR(__xludf.DUMMYFUNCTION("""COMPUTED_VALUE"""),"")</f>
        <v/>
      </c>
      <c r="AP908" s="1" t="str">
        <f>IFERROR(__xludf.DUMMYFUNCTION("""COMPUTED_VALUE"""),"")</f>
        <v/>
      </c>
      <c r="AQ908" s="1" t="str">
        <f>IFERROR(__xludf.DUMMYFUNCTION("""COMPUTED_VALUE"""),"08/05/2025")</f>
        <v>08/05/2025</v>
      </c>
      <c r="AR908" s="1" t="str">
        <f>IFERROR(__xludf.DUMMYFUNCTION("""COMPUTED_VALUE"""),"08/05/2025")</f>
        <v>08/05/2025</v>
      </c>
    </row>
    <row r="909">
      <c r="A909" s="1" t="str">
        <f>IFERROR(__xludf.DUMMYFUNCTION("""COMPUTED_VALUE"""),"EDCAUS11 and EDCAUS12")</f>
        <v>EDCAUS11 and EDCAUS12</v>
      </c>
      <c r="B909" s="1" t="str">
        <f>IFERROR(__xludf.DUMMYFUNCTION("""COMPUTED_VALUE"""),"6682 FM 535")</f>
        <v>6682 FM 535</v>
      </c>
      <c r="C909" s="1" t="str">
        <f>IFERROR(__xludf.DUMMYFUNCTION("""COMPUTED_VALUE"""),"Cedar Creek")</f>
        <v>Cedar Creek</v>
      </c>
      <c r="D909" s="1" t="str">
        <f>IFERROR(__xludf.DUMMYFUNCTION("""COMPUTED_VALUE"""),"TX")</f>
        <v>TX</v>
      </c>
      <c r="E909" s="1" t="str">
        <f>IFERROR(__xludf.DUMMYFUNCTION("""COMPUTED_VALUE"""),"78612")</f>
        <v>78612</v>
      </c>
      <c r="F909" s="1" t="str">
        <f>IFERROR(__xludf.DUMMYFUNCTION("""COMPUTED_VALUE"""),"Bastrop")</f>
        <v>Bastrop</v>
      </c>
      <c r="G909" s="1" t="str">
        <f>IFERROR(__xludf.DUMMYFUNCTION("""COMPUTED_VALUE"""),"30.003656")</f>
        <v>30.003656</v>
      </c>
      <c r="H909" s="1" t="str">
        <f>IFERROR(__xludf.DUMMYFUNCTION("""COMPUTED_VALUE"""),"-97.432945")</f>
        <v>-97.432945</v>
      </c>
      <c r="I909" s="1" t="str">
        <f>IFERROR(__xludf.DUMMYFUNCTION("""COMPUTED_VALUE"""),"Proposed")</f>
        <v>Proposed</v>
      </c>
      <c r="J909" s="1" t="str">
        <f>IFERROR(__xludf.DUMMYFUNCTION("""COMPUTED_VALUE"""),"High")</f>
        <v>High</v>
      </c>
      <c r="K909" s="1" t="str">
        <f>IFERROR(__xludf.DUMMYFUNCTION("""COMPUTED_VALUE"""),"")</f>
        <v/>
      </c>
      <c r="L909" s="1" t="str">
        <f>IFERROR(__xludf.DUMMYFUNCTION("""COMPUTED_VALUE"""),"EdgeConneX")</f>
        <v>EdgeConneX</v>
      </c>
      <c r="M909" s="1" t="str">
        <f>IFERROR(__xludf.DUMMYFUNCTION("""COMPUTED_VALUE"""),"")</f>
        <v/>
      </c>
      <c r="N909" s="1" t="str">
        <f>IFERROR(__xludf.DUMMYFUNCTION("""COMPUTED_VALUE"""),"")</f>
        <v/>
      </c>
      <c r="O909" s="1" t="str">
        <f>IFERROR(__xludf.DUMMYFUNCTION("""COMPUTED_VALUE"""),"Hyperscale (100-999 MW)")</f>
        <v>Hyperscale (100-999 MW)</v>
      </c>
      <c r="P909" s="1" t="str">
        <f>IFERROR(__xludf.DUMMYFUNCTION("""COMPUTED_VALUE"""),"")</f>
        <v/>
      </c>
      <c r="Q909" s="1" t="str">
        <f>IFERROR(__xludf.DUMMYFUNCTION("""COMPUTED_VALUE"""),"")</f>
        <v/>
      </c>
      <c r="R909" s="1" t="str">
        <f>IFERROR(__xludf.DUMMYFUNCTION("""COMPUTED_VALUE"""),"")</f>
        <v/>
      </c>
      <c r="S909" s="1" t="str">
        <f>IFERROR(__xludf.DUMMYFUNCTION("""COMPUTED_VALUE"""),"2")</f>
        <v>2</v>
      </c>
      <c r="T909" s="1" t="str">
        <f>IFERROR(__xludf.DUMMYFUNCTION("""COMPUTED_VALUE"""),"")</f>
        <v/>
      </c>
      <c r="U909" s="1" t="str">
        <f>IFERROR(__xludf.DUMMYFUNCTION("""COMPUTED_VALUE"""),"")</f>
        <v/>
      </c>
      <c r="V909" s="1" t="str">
        <f>IFERROR(__xludf.DUMMYFUNCTION("""COMPUTED_VALUE"""),"1,156,000")</f>
        <v>1,156,000</v>
      </c>
      <c r="W909" s="1" t="str">
        <f>IFERROR(__xludf.DUMMYFUNCTION("""COMPUTED_VALUE"""),"180")</f>
        <v>180</v>
      </c>
      <c r="X909" s="1" t="str">
        <f>IFERROR(__xludf.DUMMYFUNCTION("""COMPUTED_VALUE"""),"$1.4 billion")</f>
        <v>$1.4 billion</v>
      </c>
      <c r="Y909" s="1" t="str">
        <f>IFERROR(__xludf.DUMMYFUNCTION("""COMPUTED_VALUE"""),"")</f>
        <v/>
      </c>
      <c r="Z909" s="1" t="str">
        <f>IFERROR(__xludf.DUMMYFUNCTION("""COMPUTED_VALUE"""),"Unknown")</f>
        <v>Unknown</v>
      </c>
      <c r="AA909" s="1" t="str">
        <f>IFERROR(__xludf.DUMMYFUNCTION("""COMPUTED_VALUE"""),"")</f>
        <v/>
      </c>
      <c r="AB909" s="1" t="str">
        <f>IFERROR(__xludf.DUMMYFUNCTION("""COMPUTED_VALUE"""),"")</f>
        <v/>
      </c>
      <c r="AC909" s="1" t="str">
        <f>IFERROR(__xludf.DUMMYFUNCTION("""COMPUTED_VALUE"""),"")</f>
        <v/>
      </c>
      <c r="AD909" s="1" t="str">
        <f>IFERROR(__xludf.DUMMYFUNCTION("""COMPUTED_VALUE"""),"")</f>
        <v/>
      </c>
      <c r="AE909" s="1" t="str">
        <f>IFERROR(__xludf.DUMMYFUNCTION("""COMPUTED_VALUE"""),"")</f>
        <v/>
      </c>
      <c r="AF909" s="1" t="str">
        <f>IFERROR(__xludf.DUMMYFUNCTION("""COMPUTED_VALUE"""),"")</f>
        <v/>
      </c>
      <c r="AG909" s="1" t="str">
        <f>IFERROR(__xludf.DUMMYFUNCTION("""COMPUTED_VALUE"""),"")</f>
        <v/>
      </c>
      <c r="AH909" s="1" t="str">
        <f>IFERROR(__xludf.DUMMYFUNCTION("""COMPUTED_VALUE"""),"Media Monitoring")</f>
        <v>Media Monitoring</v>
      </c>
      <c r="AI909" s="2" t="str">
        <f>IFERROR(__xludf.DUMMYFUNCTION("""COMPUTED_VALUE"""),"https://www.datacenterdynamics.com/en/news/edgeconnex-files-to-build-two-730000-sq-ft-data-centers-in-bastrop-county-texas/")</f>
        <v>https://www.datacenterdynamics.com/en/news/edgeconnex-files-to-build-two-730000-sq-ft-data-centers-in-bastrop-county-texas/</v>
      </c>
      <c r="AJ909" s="1" t="str">
        <f>IFERROR(__xludf.DUMMYFUNCTION("""COMPUTED_VALUE"""),"")</f>
        <v/>
      </c>
      <c r="AK909" s="1" t="str">
        <f>IFERROR(__xludf.DUMMYFUNCTION("""COMPUTED_VALUE"""),"")</f>
        <v/>
      </c>
      <c r="AL909" s="1" t="str">
        <f>IFERROR(__xludf.DUMMYFUNCTION("""COMPUTED_VALUE"""),"")</f>
        <v/>
      </c>
      <c r="AM909" s="1" t="str">
        <f>IFERROR(__xludf.DUMMYFUNCTION("""COMPUTED_VALUE"""),"")</f>
        <v/>
      </c>
      <c r="AN909" s="1" t="str">
        <f>IFERROR(__xludf.DUMMYFUNCTION("""COMPUTED_VALUE"""),"")</f>
        <v/>
      </c>
      <c r="AO909" s="1" t="str">
        <f>IFERROR(__xludf.DUMMYFUNCTION("""COMPUTED_VALUE"""),"")</f>
        <v/>
      </c>
      <c r="AP909" s="1" t="str">
        <f>IFERROR(__xludf.DUMMYFUNCTION("""COMPUTED_VALUE"""),"")</f>
        <v/>
      </c>
      <c r="AQ909" s="1" t="str">
        <f>IFERROR(__xludf.DUMMYFUNCTION("""COMPUTED_VALUE"""),"06/11/2026")</f>
        <v>06/11/2026</v>
      </c>
      <c r="AR909" s="1" t="str">
        <f>IFERROR(__xludf.DUMMYFUNCTION("""COMPUTED_VALUE"""),"06/11/2026")</f>
        <v>06/11/2026</v>
      </c>
    </row>
    <row r="910">
      <c r="A910" s="1" t="str">
        <f>IFERROR(__xludf.DUMMYFUNCTION("""COMPUTED_VALUE"""),"EdgeConnex")</f>
        <v>EdgeConnex</v>
      </c>
      <c r="B910" s="1" t="str">
        <f>IFERROR(__xludf.DUMMYFUNCTION("""COMPUTED_VALUE"""),"Wolf Ln and FM 535")</f>
        <v>Wolf Ln and FM 535</v>
      </c>
      <c r="C910" s="1" t="str">
        <f>IFERROR(__xludf.DUMMYFUNCTION("""COMPUTED_VALUE"""),"Cedar Creek")</f>
        <v>Cedar Creek</v>
      </c>
      <c r="D910" s="1" t="str">
        <f>IFERROR(__xludf.DUMMYFUNCTION("""COMPUTED_VALUE"""),"TX")</f>
        <v>TX</v>
      </c>
      <c r="E910" s="1" t="str">
        <f>IFERROR(__xludf.DUMMYFUNCTION("""COMPUTED_VALUE"""),"78612")</f>
        <v>78612</v>
      </c>
      <c r="F910" s="1" t="str">
        <f>IFERROR(__xludf.DUMMYFUNCTION("""COMPUTED_VALUE"""),"Bastrop")</f>
        <v>Bastrop</v>
      </c>
      <c r="G910" s="1" t="str">
        <f>IFERROR(__xludf.DUMMYFUNCTION("""COMPUTED_VALUE"""),"30.14096")</f>
        <v>30.14096</v>
      </c>
      <c r="H910" s="1" t="str">
        <f>IFERROR(__xludf.DUMMYFUNCTION("""COMPUTED_VALUE"""),"-97.5668")</f>
        <v>-97.5668</v>
      </c>
      <c r="I910" s="1" t="str">
        <f>IFERROR(__xludf.DUMMYFUNCTION("""COMPUTED_VALUE"""),"Proposed")</f>
        <v>Proposed</v>
      </c>
      <c r="J910" s="1" t="str">
        <f>IFERROR(__xludf.DUMMYFUNCTION("""COMPUTED_VALUE"""),"High")</f>
        <v>High</v>
      </c>
      <c r="K910" s="1" t="str">
        <f>IFERROR(__xludf.DUMMYFUNCTION("""COMPUTED_VALUE"""),"")</f>
        <v/>
      </c>
      <c r="L910" s="1" t="str">
        <f>IFERROR(__xludf.DUMMYFUNCTION("""COMPUTED_VALUE"""),"")</f>
        <v/>
      </c>
      <c r="M910" s="1" t="str">
        <f>IFERROR(__xludf.DUMMYFUNCTION("""COMPUTED_VALUE"""),"")</f>
        <v/>
      </c>
      <c r="N910" s="1" t="str">
        <f>IFERROR(__xludf.DUMMYFUNCTION("""COMPUTED_VALUE"""),"")</f>
        <v/>
      </c>
      <c r="O910" s="1" t="str">
        <f>IFERROR(__xludf.DUMMYFUNCTION("""COMPUTED_VALUE"""),"Unknown")</f>
        <v>Unknown</v>
      </c>
      <c r="P910" s="1" t="str">
        <f>IFERROR(__xludf.DUMMYFUNCTION("""COMPUTED_VALUE"""),"")</f>
        <v/>
      </c>
      <c r="Q910" s="1" t="str">
        <f>IFERROR(__xludf.DUMMYFUNCTION("""COMPUTED_VALUE"""),"")</f>
        <v/>
      </c>
      <c r="R910" s="1" t="str">
        <f>IFERROR(__xludf.DUMMYFUNCTION("""COMPUTED_VALUE"""),"")</f>
        <v/>
      </c>
      <c r="S910" s="1" t="str">
        <f>IFERROR(__xludf.DUMMYFUNCTION("""COMPUTED_VALUE"""),"")</f>
        <v/>
      </c>
      <c r="T910" s="1" t="str">
        <f>IFERROR(__xludf.DUMMYFUNCTION("""COMPUTED_VALUE"""),"")</f>
        <v/>
      </c>
      <c r="U910" s="1" t="str">
        <f>IFERROR(__xludf.DUMMYFUNCTION("""COMPUTED_VALUE"""),"")</f>
        <v/>
      </c>
      <c r="V910" s="1" t="str">
        <f>IFERROR(__xludf.DUMMYFUNCTION("""COMPUTED_VALUE"""),"578,000")</f>
        <v>578,000</v>
      </c>
      <c r="W910" s="1" t="str">
        <f>IFERROR(__xludf.DUMMYFUNCTION("""COMPUTED_VALUE"""),"")</f>
        <v/>
      </c>
      <c r="X910" s="1" t="str">
        <f>IFERROR(__xludf.DUMMYFUNCTION("""COMPUTED_VALUE"""),"$440 million")</f>
        <v>$440 million</v>
      </c>
      <c r="Y910" s="1" t="str">
        <f>IFERROR(__xludf.DUMMYFUNCTION("""COMPUTED_VALUE"""),"")</f>
        <v/>
      </c>
      <c r="Z910" s="1" t="str">
        <f>IFERROR(__xludf.DUMMYFUNCTION("""COMPUTED_VALUE"""),"Unknown")</f>
        <v>Unknown</v>
      </c>
      <c r="AA910" s="1" t="str">
        <f>IFERROR(__xludf.DUMMYFUNCTION("""COMPUTED_VALUE"""),"")</f>
        <v/>
      </c>
      <c r="AB910" s="1" t="str">
        <f>IFERROR(__xludf.DUMMYFUNCTION("""COMPUTED_VALUE"""),"")</f>
        <v/>
      </c>
      <c r="AC910" s="1" t="str">
        <f>IFERROR(__xludf.DUMMYFUNCTION("""COMPUTED_VALUE"""),"")</f>
        <v/>
      </c>
      <c r="AD910" s="1" t="str">
        <f>IFERROR(__xludf.DUMMYFUNCTION("""COMPUTED_VALUE"""),"")</f>
        <v/>
      </c>
      <c r="AE910" s="1" t="str">
        <f>IFERROR(__xludf.DUMMYFUNCTION("""COMPUTED_VALUE"""),"")</f>
        <v/>
      </c>
      <c r="AF910" s="1" t="str">
        <f>IFERROR(__xludf.DUMMYFUNCTION("""COMPUTED_VALUE"""),"")</f>
        <v/>
      </c>
      <c r="AG910" s="1" t="str">
        <f>IFERROR(__xludf.DUMMYFUNCTION("""COMPUTED_VALUE"""),"")</f>
        <v/>
      </c>
      <c r="AH910" s="1" t="str">
        <f>IFERROR(__xludf.DUMMYFUNCTION("""COMPUTED_VALUE"""),"Media Monitoring")</f>
        <v>Media Monitoring</v>
      </c>
      <c r="AI910" s="2" t="str">
        <f>IFERROR(__xludf.DUMMYFUNCTION("""COMPUTED_VALUE"""),"https://www.mysanantonio.com/business/article/bastrop-county-edgeconnex-data-center-20770421.php")</f>
        <v>https://www.mysanantonio.com/business/article/bastrop-county-edgeconnex-data-center-20770421.php</v>
      </c>
      <c r="AJ910" s="1" t="str">
        <f>IFERROR(__xludf.DUMMYFUNCTION("""COMPUTED_VALUE"""),"")</f>
        <v/>
      </c>
      <c r="AK910" s="1" t="str">
        <f>IFERROR(__xludf.DUMMYFUNCTION("""COMPUTED_VALUE"""),"")</f>
        <v/>
      </c>
      <c r="AL910" s="1" t="str">
        <f>IFERROR(__xludf.DUMMYFUNCTION("""COMPUTED_VALUE"""),"")</f>
        <v/>
      </c>
      <c r="AM910" s="1" t="str">
        <f>IFERROR(__xludf.DUMMYFUNCTION("""COMPUTED_VALUE"""),"")</f>
        <v/>
      </c>
      <c r="AN910" s="1" t="str">
        <f>IFERROR(__xludf.DUMMYFUNCTION("""COMPUTED_VALUE"""),"")</f>
        <v/>
      </c>
      <c r="AO910" s="1" t="str">
        <f>IFERROR(__xludf.DUMMYFUNCTION("""COMPUTED_VALUE"""),"")</f>
        <v/>
      </c>
      <c r="AP910" s="1" t="str">
        <f>IFERROR(__xludf.DUMMYFUNCTION("""COMPUTED_VALUE"""),"")</f>
        <v/>
      </c>
      <c r="AQ910" s="1" t="str">
        <f>IFERROR(__xludf.DUMMYFUNCTION("""COMPUTED_VALUE"""),"07/17/2025")</f>
        <v>07/17/2025</v>
      </c>
      <c r="AR910" s="1" t="str">
        <f>IFERROR(__xludf.DUMMYFUNCTION("""COMPUTED_VALUE"""),"07/17/2025")</f>
        <v>07/17/2025</v>
      </c>
    </row>
    <row r="911">
      <c r="A911" s="1" t="str">
        <f>IFERROR(__xludf.DUMMYFUNCTION("""COMPUTED_VALUE"""),"EdgeConneX AUS02")</f>
        <v>EdgeConneX AUS02</v>
      </c>
      <c r="B911" s="1" t="str">
        <f>IFERROR(__xludf.DUMMYFUNCTION("""COMPUTED_VALUE"""),"8001 Wolf Ln")</f>
        <v>8001 Wolf Ln</v>
      </c>
      <c r="C911" s="1" t="str">
        <f>IFERROR(__xludf.DUMMYFUNCTION("""COMPUTED_VALUE"""),"Cedar Creek")</f>
        <v>Cedar Creek</v>
      </c>
      <c r="D911" s="1" t="str">
        <f>IFERROR(__xludf.DUMMYFUNCTION("""COMPUTED_VALUE"""),"TX")</f>
        <v>TX</v>
      </c>
      <c r="E911" s="1" t="str">
        <f>IFERROR(__xludf.DUMMYFUNCTION("""COMPUTED_VALUE"""),"78612")</f>
        <v>78612</v>
      </c>
      <c r="F911" s="1" t="str">
        <f>IFERROR(__xludf.DUMMYFUNCTION("""COMPUTED_VALUE"""),"Bastrop")</f>
        <v>Bastrop</v>
      </c>
      <c r="G911" s="1" t="str">
        <f>IFERROR(__xludf.DUMMYFUNCTION("""COMPUTED_VALUE"""),"30.141766")</f>
        <v>30.141766</v>
      </c>
      <c r="H911" s="1" t="str">
        <f>IFERROR(__xludf.DUMMYFUNCTION("""COMPUTED_VALUE"""),"-97.565605")</f>
        <v>-97.565605</v>
      </c>
      <c r="I911" s="1" t="str">
        <f>IFERROR(__xludf.DUMMYFUNCTION("""COMPUTED_VALUE"""),"Approved/Permitted/Under construction")</f>
        <v>Approved/Permitted/Under construction</v>
      </c>
      <c r="J911" s="1" t="str">
        <f>IFERROR(__xludf.DUMMYFUNCTION("""COMPUTED_VALUE"""),"High")</f>
        <v>High</v>
      </c>
      <c r="K911" s="1" t="str">
        <f>IFERROR(__xludf.DUMMYFUNCTION("""COMPUTED_VALUE"""),"")</f>
        <v/>
      </c>
      <c r="L911" s="1" t="str">
        <f>IFERROR(__xludf.DUMMYFUNCTION("""COMPUTED_VALUE"""),"EdgeConneX")</f>
        <v>EdgeConneX</v>
      </c>
      <c r="M911" s="1" t="str">
        <f>IFERROR(__xludf.DUMMYFUNCTION("""COMPUTED_VALUE"""),"")</f>
        <v/>
      </c>
      <c r="N911" s="1" t="str">
        <f>IFERROR(__xludf.DUMMYFUNCTION("""COMPUTED_VALUE"""),"")</f>
        <v/>
      </c>
      <c r="O911" s="1" t="str">
        <f>IFERROR(__xludf.DUMMYFUNCTION("""COMPUTED_VALUE"""),"Hyperscale (100-999 MW)")</f>
        <v>Hyperscale (100-999 MW)</v>
      </c>
      <c r="P911" s="1" t="str">
        <f>IFERROR(__xludf.DUMMYFUNCTION("""COMPUTED_VALUE"""),"")</f>
        <v/>
      </c>
      <c r="Q911" s="1" t="str">
        <f>IFERROR(__xludf.DUMMYFUNCTION("""COMPUTED_VALUE"""),"")</f>
        <v/>
      </c>
      <c r="R911" s="1" t="str">
        <f>IFERROR(__xludf.DUMMYFUNCTION("""COMPUTED_VALUE"""),"")</f>
        <v/>
      </c>
      <c r="S911" s="1" t="str">
        <f>IFERROR(__xludf.DUMMYFUNCTION("""COMPUTED_VALUE"""),"")</f>
        <v/>
      </c>
      <c r="T911" s="1" t="str">
        <f>IFERROR(__xludf.DUMMYFUNCTION("""COMPUTED_VALUE"""),"")</f>
        <v/>
      </c>
      <c r="U911" s="1" t="str">
        <f>IFERROR(__xludf.DUMMYFUNCTION("""COMPUTED_VALUE"""),"")</f>
        <v/>
      </c>
      <c r="V911" s="1" t="str">
        <f>IFERROR(__xludf.DUMMYFUNCTION("""COMPUTED_VALUE"""),"578,000")</f>
        <v>578,000</v>
      </c>
      <c r="W911" s="1" t="str">
        <f>IFERROR(__xludf.DUMMYFUNCTION("""COMPUTED_VALUE"""),"")</f>
        <v/>
      </c>
      <c r="X911" s="1" t="str">
        <f>IFERROR(__xludf.DUMMYFUNCTION("""COMPUTED_VALUE"""),"")</f>
        <v/>
      </c>
      <c r="Y911" s="1" t="str">
        <f>IFERROR(__xludf.DUMMYFUNCTION("""COMPUTED_VALUE"""),"2026")</f>
        <v>2026</v>
      </c>
      <c r="Z911" s="1" t="str">
        <f>IFERROR(__xludf.DUMMYFUNCTION("""COMPUTED_VALUE"""),"Unknown")</f>
        <v>Unknown</v>
      </c>
      <c r="AA911" s="1" t="str">
        <f>IFERROR(__xludf.DUMMYFUNCTION("""COMPUTED_VALUE"""),"")</f>
        <v/>
      </c>
      <c r="AB911" s="1" t="str">
        <f>IFERROR(__xludf.DUMMYFUNCTION("""COMPUTED_VALUE"""),"")</f>
        <v/>
      </c>
      <c r="AC911" s="1" t="str">
        <f>IFERROR(__xludf.DUMMYFUNCTION("""COMPUTED_VALUE"""),"")</f>
        <v/>
      </c>
      <c r="AD911" s="1" t="str">
        <f>IFERROR(__xludf.DUMMYFUNCTION("""COMPUTED_VALUE"""),"")</f>
        <v/>
      </c>
      <c r="AE911" s="1" t="str">
        <f>IFERROR(__xludf.DUMMYFUNCTION("""COMPUTED_VALUE"""),"")</f>
        <v/>
      </c>
      <c r="AF911" s="1" t="str">
        <f>IFERROR(__xludf.DUMMYFUNCTION("""COMPUTED_VALUE"""),"")</f>
        <v/>
      </c>
      <c r="AG911" s="1" t="str">
        <f>IFERROR(__xludf.DUMMYFUNCTION("""COMPUTED_VALUE"""),"")</f>
        <v/>
      </c>
      <c r="AH911" s="1" t="str">
        <f>IFERROR(__xludf.DUMMYFUNCTION("""COMPUTED_VALUE"""),"Media Monitoring")</f>
        <v>Media Monitoring</v>
      </c>
      <c r="AI911" s="2" t="str">
        <f>IFERROR(__xludf.DUMMYFUNCTION("""COMPUTED_VALUE"""),"https://www.datacenterdynamics.com/en/news/edgeconnex-files-to-build-two-730000-sq-ft-data-centers-in-bastrop-county-texas/")</f>
        <v>https://www.datacenterdynamics.com/en/news/edgeconnex-files-to-build-two-730000-sq-ft-data-centers-in-bastrop-county-texas/</v>
      </c>
      <c r="AJ911" s="1" t="str">
        <f>IFERROR(__xludf.DUMMYFUNCTION("""COMPUTED_VALUE"""),"")</f>
        <v/>
      </c>
      <c r="AK911" s="1" t="str">
        <f>IFERROR(__xludf.DUMMYFUNCTION("""COMPUTED_VALUE"""),"")</f>
        <v/>
      </c>
      <c r="AL911" s="1" t="str">
        <f>IFERROR(__xludf.DUMMYFUNCTION("""COMPUTED_VALUE"""),"")</f>
        <v/>
      </c>
      <c r="AM911" s="1" t="str">
        <f>IFERROR(__xludf.DUMMYFUNCTION("""COMPUTED_VALUE"""),"")</f>
        <v/>
      </c>
      <c r="AN911" s="1" t="str">
        <f>IFERROR(__xludf.DUMMYFUNCTION("""COMPUTED_VALUE"""),"")</f>
        <v/>
      </c>
      <c r="AO911" s="1" t="str">
        <f>IFERROR(__xludf.DUMMYFUNCTION("""COMPUTED_VALUE"""),"")</f>
        <v/>
      </c>
      <c r="AP911" s="1" t="str">
        <f>IFERROR(__xludf.DUMMYFUNCTION("""COMPUTED_VALUE"""),"")</f>
        <v/>
      </c>
      <c r="AQ911" s="1" t="str">
        <f>IFERROR(__xludf.DUMMYFUNCTION("""COMPUTED_VALUE"""),"06/12/2026")</f>
        <v>06/12/2026</v>
      </c>
      <c r="AR911" s="1" t="str">
        <f>IFERROR(__xludf.DUMMYFUNCTION("""COMPUTED_VALUE"""),"06/12/2026")</f>
        <v>06/12/2026</v>
      </c>
    </row>
    <row r="912">
      <c r="A912" s="1" t="str">
        <f>IFERROR(__xludf.DUMMYFUNCTION("""COMPUTED_VALUE"""),"Childress Data Center ")</f>
        <v>Childress Data Center </v>
      </c>
      <c r="B912" s="1" t="str">
        <f>IFERROR(__xludf.DUMMYFUNCTION("""COMPUTED_VALUE"""),"620 FM1033")</f>
        <v>620 FM1033</v>
      </c>
      <c r="C912" s="1" t="str">
        <f>IFERROR(__xludf.DUMMYFUNCTION("""COMPUTED_VALUE"""),"Childress")</f>
        <v>Childress</v>
      </c>
      <c r="D912" s="1" t="str">
        <f>IFERROR(__xludf.DUMMYFUNCTION("""COMPUTED_VALUE"""),"TX")</f>
        <v>TX</v>
      </c>
      <c r="E912" s="1" t="str">
        <f>IFERROR(__xludf.DUMMYFUNCTION("""COMPUTED_VALUE"""),"79201")</f>
        <v>79201</v>
      </c>
      <c r="F912" s="1" t="str">
        <f>IFERROR(__xludf.DUMMYFUNCTION("""COMPUTED_VALUE"""),"Childress")</f>
        <v>Childress</v>
      </c>
      <c r="G912" s="1" t="str">
        <f>IFERROR(__xludf.DUMMYFUNCTION("""COMPUTED_VALUE"""),"34.383278")</f>
        <v>34.383278</v>
      </c>
      <c r="H912" s="1" t="str">
        <f>IFERROR(__xludf.DUMMYFUNCTION("""COMPUTED_VALUE"""),"-100.056885")</f>
        <v>-100.056885</v>
      </c>
      <c r="I912" s="1" t="str">
        <f>IFERROR(__xludf.DUMMYFUNCTION("""COMPUTED_VALUE"""),"Operating")</f>
        <v>Operating</v>
      </c>
      <c r="J912" s="1" t="str">
        <f>IFERROR(__xludf.DUMMYFUNCTION("""COMPUTED_VALUE"""),"High")</f>
        <v>High</v>
      </c>
      <c r="K912" s="1" t="str">
        <f>IFERROR(__xludf.DUMMYFUNCTION("""COMPUTED_VALUE"""),"")</f>
        <v/>
      </c>
      <c r="L912" s="1" t="str">
        <f>IFERROR(__xludf.DUMMYFUNCTION("""COMPUTED_VALUE"""),"IREN")</f>
        <v>IREN</v>
      </c>
      <c r="M912" s="1" t="str">
        <f>IFERROR(__xludf.DUMMYFUNCTION("""COMPUTED_VALUE"""),"")</f>
        <v/>
      </c>
      <c r="N912" s="1" t="str">
        <f>IFERROR(__xludf.DUMMYFUNCTION("""COMPUTED_VALUE"""),"750")</f>
        <v>750</v>
      </c>
      <c r="O912" s="1" t="str">
        <f>IFERROR(__xludf.DUMMYFUNCTION("""COMPUTED_VALUE"""),"Hyperscale (100-999 MW)")</f>
        <v>Hyperscale (100-999 MW)</v>
      </c>
      <c r="P912" s="1" t="str">
        <f>IFERROR(__xludf.DUMMYFUNCTION("""COMPUTED_VALUE"""),"")</f>
        <v/>
      </c>
      <c r="Q912" s="1" t="str">
        <f>IFERROR(__xludf.DUMMYFUNCTION("""COMPUTED_VALUE"""),"")</f>
        <v/>
      </c>
      <c r="R912" s="1" t="str">
        <f>IFERROR(__xludf.DUMMYFUNCTION("""COMPUTED_VALUE"""),"")</f>
        <v/>
      </c>
      <c r="S912" s="1" t="str">
        <f>IFERROR(__xludf.DUMMYFUNCTION("""COMPUTED_VALUE"""),"")</f>
        <v/>
      </c>
      <c r="T912" s="1" t="str">
        <f>IFERROR(__xludf.DUMMYFUNCTION("""COMPUTED_VALUE"""),"Water")</f>
        <v>Water</v>
      </c>
      <c r="U912" s="1" t="str">
        <f>IFERROR(__xludf.DUMMYFUNCTION("""COMPUTED_VALUE"""),"")</f>
        <v/>
      </c>
      <c r="V912" s="1" t="str">
        <f>IFERROR(__xludf.DUMMYFUNCTION("""COMPUTED_VALUE"""),"")</f>
        <v/>
      </c>
      <c r="W912" s="1" t="str">
        <f>IFERROR(__xludf.DUMMYFUNCTION("""COMPUTED_VALUE"""),"576")</f>
        <v>576</v>
      </c>
      <c r="X912" s="1" t="str">
        <f>IFERROR(__xludf.DUMMYFUNCTION("""COMPUTED_VALUE"""),"")</f>
        <v/>
      </c>
      <c r="Y912" s="1" t="str">
        <f>IFERROR(__xludf.DUMMYFUNCTION("""COMPUTED_VALUE"""),"")</f>
        <v/>
      </c>
      <c r="Z912" s="1" t="str">
        <f>IFERROR(__xludf.DUMMYFUNCTION("""COMPUTED_VALUE"""),"Unknown")</f>
        <v>Unknown</v>
      </c>
      <c r="AA912" s="1" t="str">
        <f>IFERROR(__xludf.DUMMYFUNCTION("""COMPUTED_VALUE"""),"")</f>
        <v/>
      </c>
      <c r="AB912" s="1" t="str">
        <f>IFERROR(__xludf.DUMMYFUNCTION("""COMPUTED_VALUE"""),"")</f>
        <v/>
      </c>
      <c r="AC912" s="1" t="str">
        <f>IFERROR(__xludf.DUMMYFUNCTION("""COMPUTED_VALUE"""),"")</f>
        <v/>
      </c>
      <c r="AD912" s="1" t="str">
        <f>IFERROR(__xludf.DUMMYFUNCTION("""COMPUTED_VALUE"""),"")</f>
        <v/>
      </c>
      <c r="AE912" s="1" t="str">
        <f>IFERROR(__xludf.DUMMYFUNCTION("""COMPUTED_VALUE"""),"")</f>
        <v/>
      </c>
      <c r="AF912" s="1" t="str">
        <f>IFERROR(__xludf.DUMMYFUNCTION("""COMPUTED_VALUE"""),"")</f>
        <v/>
      </c>
      <c r="AG912" s="1" t="str">
        <f>IFERROR(__xludf.DUMMYFUNCTION("""COMPUTED_VALUE"""),"""Renewable"" energy. Bitcoin and AI")</f>
        <v>"Renewable" energy. Bitcoin and AI</v>
      </c>
      <c r="AH912" s="1" t="str">
        <f>IFERROR(__xludf.DUMMYFUNCTION("""COMPUTED_VALUE"""),"Media Monitoring")</f>
        <v>Media Monitoring</v>
      </c>
      <c r="AI912" s="2" t="str">
        <f>IFERROR(__xludf.DUMMYFUNCTION("""COMPUTED_VALUE"""),"https://comptroller.texas.gov/taxes/data-centers/data-center-lists.php")</f>
        <v>https://comptroller.texas.gov/taxes/data-centers/data-center-lists.php</v>
      </c>
      <c r="AJ912" s="2" t="str">
        <f>IFERROR(__xludf.DUMMYFUNCTION("""COMPUTED_VALUE"""),"https://www.datacenterdynamics.com/en/news/iren-plans-75mw-liquid-cooled-ai-data-center-in-texas/")</f>
        <v>https://www.datacenterdynamics.com/en/news/iren-plans-75mw-liquid-cooled-ai-data-center-in-texas/</v>
      </c>
      <c r="AK912" s="2" t="str">
        <f>IFERROR(__xludf.DUMMYFUNCTION("""COMPUTED_VALUE"""),"https://iren.com/data-centers/childress")</f>
        <v>https://iren.com/data-centers/childress</v>
      </c>
      <c r="AL912" s="1" t="str">
        <f>IFERROR(__xludf.DUMMYFUNCTION("""COMPUTED_VALUE"""),"")</f>
        <v/>
      </c>
      <c r="AM912" s="1" t="str">
        <f>IFERROR(__xludf.DUMMYFUNCTION("""COMPUTED_VALUE"""),"")</f>
        <v/>
      </c>
      <c r="AN912" s="1" t="str">
        <f>IFERROR(__xludf.DUMMYFUNCTION("""COMPUTED_VALUE"""),"")</f>
        <v/>
      </c>
      <c r="AO912" s="1" t="str">
        <f>IFERROR(__xludf.DUMMYFUNCTION("""COMPUTED_VALUE"""),"")</f>
        <v/>
      </c>
      <c r="AP912" s="1" t="str">
        <f>IFERROR(__xludf.DUMMYFUNCTION("""COMPUTED_VALUE"""),"")</f>
        <v/>
      </c>
      <c r="AQ912" s="1" t="str">
        <f>IFERROR(__xludf.DUMMYFUNCTION("""COMPUTED_VALUE"""),"08/05/2025")</f>
        <v>08/05/2025</v>
      </c>
      <c r="AR912" s="1" t="str">
        <f>IFERROR(__xludf.DUMMYFUNCTION("""COMPUTED_VALUE"""),"11/24/2025")</f>
        <v>11/24/2025</v>
      </c>
    </row>
    <row r="913">
      <c r="A913" s="1" t="str">
        <f>IFERROR(__xludf.DUMMYFUNCTION("""COMPUTED_VALUE"""),"Lancium Childress")</f>
        <v>Lancium Childress</v>
      </c>
      <c r="B913" s="1" t="str">
        <f>IFERROR(__xludf.DUMMYFUNCTION("""COMPUTED_VALUE"""),"Co Rd AA")</f>
        <v>Co Rd AA</v>
      </c>
      <c r="C913" s="1" t="str">
        <f>IFERROR(__xludf.DUMMYFUNCTION("""COMPUTED_VALUE"""),"Childress")</f>
        <v>Childress</v>
      </c>
      <c r="D913" s="1" t="str">
        <f>IFERROR(__xludf.DUMMYFUNCTION("""COMPUTED_VALUE"""),"TX")</f>
        <v>TX</v>
      </c>
      <c r="E913" s="1" t="str">
        <f>IFERROR(__xludf.DUMMYFUNCTION("""COMPUTED_VALUE"""),"79201")</f>
        <v>79201</v>
      </c>
      <c r="F913" s="1" t="str">
        <f>IFERROR(__xludf.DUMMYFUNCTION("""COMPUTED_VALUE"""),"Childress")</f>
        <v>Childress</v>
      </c>
      <c r="G913" s="1" t="str">
        <f>IFERROR(__xludf.DUMMYFUNCTION("""COMPUTED_VALUE"""),"34.37564")</f>
        <v>34.37564</v>
      </c>
      <c r="H913" s="1" t="str">
        <f>IFERROR(__xludf.DUMMYFUNCTION("""COMPUTED_VALUE"""),"-100.053")</f>
        <v>-100.053</v>
      </c>
      <c r="I913" s="1" t="str">
        <f>IFERROR(__xludf.DUMMYFUNCTION("""COMPUTED_VALUE"""),"Proposed")</f>
        <v>Proposed</v>
      </c>
      <c r="J913" s="1" t="str">
        <f>IFERROR(__xludf.DUMMYFUNCTION("""COMPUTED_VALUE"""),"High")</f>
        <v>High</v>
      </c>
      <c r="K913" s="1" t="str">
        <f>IFERROR(__xludf.DUMMYFUNCTION("""COMPUTED_VALUE"""),"")</f>
        <v/>
      </c>
      <c r="L913" s="1" t="str">
        <f>IFERROR(__xludf.DUMMYFUNCTION("""COMPUTED_VALUE"""),"")</f>
        <v/>
      </c>
      <c r="M913" s="1" t="str">
        <f>IFERROR(__xludf.DUMMYFUNCTION("""COMPUTED_VALUE"""),"")</f>
        <v/>
      </c>
      <c r="N913" s="1" t="str">
        <f>IFERROR(__xludf.DUMMYFUNCTION("""COMPUTED_VALUE"""),"")</f>
        <v/>
      </c>
      <c r="O913" s="1" t="str">
        <f>IFERROR(__xludf.DUMMYFUNCTION("""COMPUTED_VALUE"""),"Unknown")</f>
        <v>Unknown</v>
      </c>
      <c r="P913" s="1" t="str">
        <f>IFERROR(__xludf.DUMMYFUNCTION("""COMPUTED_VALUE"""),"")</f>
        <v/>
      </c>
      <c r="Q913" s="1" t="str">
        <f>IFERROR(__xludf.DUMMYFUNCTION("""COMPUTED_VALUE"""),"")</f>
        <v/>
      </c>
      <c r="R913" s="1" t="str">
        <f>IFERROR(__xludf.DUMMYFUNCTION("""COMPUTED_VALUE"""),"")</f>
        <v/>
      </c>
      <c r="S913" s="1" t="str">
        <f>IFERROR(__xludf.DUMMYFUNCTION("""COMPUTED_VALUE"""),"")</f>
        <v/>
      </c>
      <c r="T913" s="1" t="str">
        <f>IFERROR(__xludf.DUMMYFUNCTION("""COMPUTED_VALUE"""),"")</f>
        <v/>
      </c>
      <c r="U913" s="1" t="str">
        <f>IFERROR(__xludf.DUMMYFUNCTION("""COMPUTED_VALUE"""),"")</f>
        <v/>
      </c>
      <c r="V913" s="1" t="str">
        <f>IFERROR(__xludf.DUMMYFUNCTION("""COMPUTED_VALUE"""),"")</f>
        <v/>
      </c>
      <c r="W913" s="1" t="str">
        <f>IFERROR(__xludf.DUMMYFUNCTION("""COMPUTED_VALUE"""),"3720")</f>
        <v>3720</v>
      </c>
      <c r="X913" s="1" t="str">
        <f>IFERROR(__xludf.DUMMYFUNCTION("""COMPUTED_VALUE"""),"")</f>
        <v/>
      </c>
      <c r="Y913" s="1" t="str">
        <f>IFERROR(__xludf.DUMMYFUNCTION("""COMPUTED_VALUE"""),"")</f>
        <v/>
      </c>
      <c r="Z913" s="1" t="str">
        <f>IFERROR(__xludf.DUMMYFUNCTION("""COMPUTED_VALUE"""),"Unknown")</f>
        <v>Unknown</v>
      </c>
      <c r="AA913" s="1" t="str">
        <f>IFERROR(__xludf.DUMMYFUNCTION("""COMPUTED_VALUE"""),"")</f>
        <v/>
      </c>
      <c r="AB913" s="1" t="str">
        <f>IFERROR(__xludf.DUMMYFUNCTION("""COMPUTED_VALUE"""),"")</f>
        <v/>
      </c>
      <c r="AC913" s="1" t="str">
        <f>IFERROR(__xludf.DUMMYFUNCTION("""COMPUTED_VALUE"""),"")</f>
        <v/>
      </c>
      <c r="AD913" s="1" t="str">
        <f>IFERROR(__xludf.DUMMYFUNCTION("""COMPUTED_VALUE"""),"")</f>
        <v/>
      </c>
      <c r="AE913" s="1" t="str">
        <f>IFERROR(__xludf.DUMMYFUNCTION("""COMPUTED_VALUE"""),"")</f>
        <v/>
      </c>
      <c r="AF913" s="1" t="str">
        <f>IFERROR(__xludf.DUMMYFUNCTION("""COMPUTED_VALUE"""),"")</f>
        <v/>
      </c>
      <c r="AG913" s="1" t="str">
        <f>IFERROR(__xludf.DUMMYFUNCTION("""COMPUTED_VALUE"""),"")</f>
        <v/>
      </c>
      <c r="AH913" s="1" t="str">
        <f>IFERROR(__xludf.DUMMYFUNCTION("""COMPUTED_VALUE"""),"Media Monitoring")</f>
        <v>Media Monitoring</v>
      </c>
      <c r="AI913" s="2" t="str">
        <f>IFERROR(__xludf.DUMMYFUNCTION("""COMPUTED_VALUE"""),"https://x.com/FransBakker9812/status/1897519569646051482")</f>
        <v>https://x.com/FransBakker9812/status/1897519569646051482</v>
      </c>
      <c r="AJ913" s="2" t="str">
        <f>IFERROR(__xludf.DUMMYFUNCTION("""COMPUTED_VALUE"""),"https://comptroller.texas.gov/taxes/data-centers/data-center-lists.php")</f>
        <v>https://comptroller.texas.gov/taxes/data-centers/data-center-lists.php</v>
      </c>
      <c r="AK913" s="2" t="str">
        <f>IFERROR(__xludf.DUMMYFUNCTION("""COMPUTED_VALUE"""),"https://baxtel.com/data-center/lancium-childress-campus")</f>
        <v>https://baxtel.com/data-center/lancium-childress-campus</v>
      </c>
      <c r="AL913" s="1" t="str">
        <f>IFERROR(__xludf.DUMMYFUNCTION("""COMPUTED_VALUE"""),"")</f>
        <v/>
      </c>
      <c r="AM913" s="1" t="str">
        <f>IFERROR(__xludf.DUMMYFUNCTION("""COMPUTED_VALUE"""),"")</f>
        <v/>
      </c>
      <c r="AN913" s="1" t="str">
        <f>IFERROR(__xludf.DUMMYFUNCTION("""COMPUTED_VALUE"""),"")</f>
        <v/>
      </c>
      <c r="AO913" s="1" t="str">
        <f>IFERROR(__xludf.DUMMYFUNCTION("""COMPUTED_VALUE"""),"")</f>
        <v/>
      </c>
      <c r="AP913" s="1" t="str">
        <f>IFERROR(__xludf.DUMMYFUNCTION("""COMPUTED_VALUE"""),"")</f>
        <v/>
      </c>
      <c r="AQ913" s="1" t="str">
        <f>IFERROR(__xludf.DUMMYFUNCTION("""COMPUTED_VALUE"""),"08/05/2025")</f>
        <v>08/05/2025</v>
      </c>
      <c r="AR913" s="1" t="str">
        <f>IFERROR(__xludf.DUMMYFUNCTION("""COMPUTED_VALUE"""),"08/05/2025")</f>
        <v>08/05/2025</v>
      </c>
    </row>
    <row r="914">
      <c r="A914" s="1" t="str">
        <f>IFERROR(__xludf.DUMMYFUNCTION("""COMPUTED_VALUE"""),"Goodnight Campus")</f>
        <v>Goodnight Campus</v>
      </c>
      <c r="B914" s="1" t="str">
        <f>IFERROR(__xludf.DUMMYFUNCTION("""COMPUTED_VALUE"""),"10001 Lima Rd")</f>
        <v>10001 Lima Rd</v>
      </c>
      <c r="C914" s="1" t="str">
        <f>IFERROR(__xludf.DUMMYFUNCTION("""COMPUTED_VALUE"""),"Claude")</f>
        <v>Claude</v>
      </c>
      <c r="D914" s="1" t="str">
        <f>IFERROR(__xludf.DUMMYFUNCTION("""COMPUTED_VALUE"""),"TX")</f>
        <v>TX</v>
      </c>
      <c r="E914" s="1" t="str">
        <f>IFERROR(__xludf.DUMMYFUNCTION("""COMPUTED_VALUE"""),"79019")</f>
        <v>79019</v>
      </c>
      <c r="F914" s="1" t="str">
        <f>IFERROR(__xludf.DUMMYFUNCTION("""COMPUTED_VALUE"""),"Armstrong")</f>
        <v>Armstrong</v>
      </c>
      <c r="G914" s="1" t="str">
        <f>IFERROR(__xludf.DUMMYFUNCTION("""COMPUTED_VALUE"""),"35.018444")</f>
        <v>35.018444</v>
      </c>
      <c r="H914" s="1" t="str">
        <f>IFERROR(__xludf.DUMMYFUNCTION("""COMPUTED_VALUE"""),"-101.311516")</f>
        <v>-101.311516</v>
      </c>
      <c r="I914" s="1" t="str">
        <f>IFERROR(__xludf.DUMMYFUNCTION("""COMPUTED_VALUE"""),"Approved/Permitted/Under construction")</f>
        <v>Approved/Permitted/Under construction</v>
      </c>
      <c r="J914" s="1" t="str">
        <f>IFERROR(__xludf.DUMMYFUNCTION("""COMPUTED_VALUE"""),"High")</f>
        <v>High</v>
      </c>
      <c r="K914" s="1" t="str">
        <f>IFERROR(__xludf.DUMMYFUNCTION("""COMPUTED_VALUE"""),"AI")</f>
        <v>AI</v>
      </c>
      <c r="L914" s="1" t="str">
        <f>IFERROR(__xludf.DUMMYFUNCTION("""COMPUTED_VALUE"""),"Crusoe")</f>
        <v>Crusoe</v>
      </c>
      <c r="M914" s="1" t="str">
        <f>IFERROR(__xludf.DUMMYFUNCTION("""COMPUTED_VALUE"""),"")</f>
        <v/>
      </c>
      <c r="N914" s="1" t="str">
        <f>IFERROR(__xludf.DUMMYFUNCTION("""COMPUTED_VALUE"""),"1030")</f>
        <v>1030</v>
      </c>
      <c r="O914" s="1" t="str">
        <f>IFERROR(__xludf.DUMMYFUNCTION("""COMPUTED_VALUE"""),"Mega campus (&gt;1,000 MW)")</f>
        <v>Mega campus (&gt;1,000 MW)</v>
      </c>
      <c r="P914" s="1" t="str">
        <f>IFERROR(__xludf.DUMMYFUNCTION("""COMPUTED_VALUE"""),"")</f>
        <v/>
      </c>
      <c r="Q914" s="1" t="str">
        <f>IFERROR(__xludf.DUMMYFUNCTION("""COMPUTED_VALUE"""),"")</f>
        <v/>
      </c>
      <c r="R914" s="1" t="str">
        <f>IFERROR(__xludf.DUMMYFUNCTION("""COMPUTED_VALUE"""),"")</f>
        <v/>
      </c>
      <c r="S914" s="1" t="str">
        <f>IFERROR(__xludf.DUMMYFUNCTION("""COMPUTED_VALUE"""),"7")</f>
        <v>7</v>
      </c>
      <c r="T914" s="1" t="str">
        <f>IFERROR(__xludf.DUMMYFUNCTION("""COMPUTED_VALUE"""),"")</f>
        <v/>
      </c>
      <c r="U914" s="1" t="str">
        <f>IFERROR(__xludf.DUMMYFUNCTION("""COMPUTED_VALUE"""),"")</f>
        <v/>
      </c>
      <c r="V914" s="1" t="str">
        <f>IFERROR(__xludf.DUMMYFUNCTION("""COMPUTED_VALUE"""),"3,400,000")</f>
        <v>3,400,000</v>
      </c>
      <c r="W914" s="1" t="str">
        <f>IFERROR(__xludf.DUMMYFUNCTION("""COMPUTED_VALUE"""),"")</f>
        <v/>
      </c>
      <c r="X914" s="1" t="str">
        <f>IFERROR(__xludf.DUMMYFUNCTION("""COMPUTED_VALUE"""),"$29.2 billion")</f>
        <v>$29.2 billion</v>
      </c>
      <c r="Y914" s="1" t="str">
        <f>IFERROR(__xludf.DUMMYFUNCTION("""COMPUTED_VALUE"""),"")</f>
        <v/>
      </c>
      <c r="Z914" s="1" t="str">
        <f>IFERROR(__xludf.DUMMYFUNCTION("""COMPUTED_VALUE"""),"Unknown")</f>
        <v>Unknown</v>
      </c>
      <c r="AA914" s="1" t="str">
        <f>IFERROR(__xludf.DUMMYFUNCTION("""COMPUTED_VALUE"""),"")</f>
        <v/>
      </c>
      <c r="AB914" s="1" t="str">
        <f>IFERROR(__xludf.DUMMYFUNCTION("""COMPUTED_VALUE"""),"")</f>
        <v/>
      </c>
      <c r="AC914" s="1" t="str">
        <f>IFERROR(__xludf.DUMMYFUNCTION("""COMPUTED_VALUE"""),"")</f>
        <v/>
      </c>
      <c r="AD914" s="1" t="str">
        <f>IFERROR(__xludf.DUMMYFUNCTION("""COMPUTED_VALUE"""),"")</f>
        <v/>
      </c>
      <c r="AE914" s="1" t="str">
        <f>IFERROR(__xludf.DUMMYFUNCTION("""COMPUTED_VALUE"""),"")</f>
        <v/>
      </c>
      <c r="AF914" s="1" t="str">
        <f>IFERROR(__xludf.DUMMYFUNCTION("""COMPUTED_VALUE"""),"")</f>
        <v/>
      </c>
      <c r="AG914" s="1" t="str">
        <f>IFERROR(__xludf.DUMMYFUNCTION("""COMPUTED_VALUE"""),"4.5 million tons of greenhouse gases emitted by facility turbines/year, more than ten times higher the yearly emissions of an average natural gas plant")</f>
        <v>4.5 million tons of greenhouse gases emitted by facility turbines/year, more than ten times higher the yearly emissions of an average natural gas plant</v>
      </c>
      <c r="AH914" s="1" t="str">
        <f>IFERROR(__xludf.DUMMYFUNCTION("""COMPUTED_VALUE"""),"Media Monitoring")</f>
        <v>Media Monitoring</v>
      </c>
      <c r="AI914" s="2" t="str">
        <f>IFERROR(__xludf.DUMMYFUNCTION("""COMPUTED_VALUE"""),"https://www.aterio.io/blog/crusoe-launches-usd29b-goodnight-campus-in-claude-mirroring-openai-s-stargate")</f>
        <v>https://www.aterio.io/blog/crusoe-launches-usd29b-goodnight-campus-in-claude-mirroring-openai-s-stargate</v>
      </c>
      <c r="AJ914" s="2" t="str">
        <f>IFERROR(__xludf.DUMMYFUNCTION("""COMPUTED_VALUE"""),"https://www.wired.com/story/a-new-google-funded-data-center-will-be-powered-by-a-massive-gas-plant/")</f>
        <v>https://www.wired.com/story/a-new-google-funded-data-center-will-be-powered-by-a-massive-gas-plant/</v>
      </c>
      <c r="AK914" s="1" t="str">
        <f>IFERROR(__xludf.DUMMYFUNCTION("""COMPUTED_VALUE"""),"")</f>
        <v/>
      </c>
      <c r="AL914" s="1" t="str">
        <f>IFERROR(__xludf.DUMMYFUNCTION("""COMPUTED_VALUE"""),"")</f>
        <v/>
      </c>
      <c r="AM914" s="1" t="str">
        <f>IFERROR(__xludf.DUMMYFUNCTION("""COMPUTED_VALUE"""),"")</f>
        <v/>
      </c>
      <c r="AN914" s="1" t="str">
        <f>IFERROR(__xludf.DUMMYFUNCTION("""COMPUTED_VALUE"""),"")</f>
        <v/>
      </c>
      <c r="AO914" s="1" t="str">
        <f>IFERROR(__xludf.DUMMYFUNCTION("""COMPUTED_VALUE"""),"")</f>
        <v/>
      </c>
      <c r="AP914" s="1" t="str">
        <f>IFERROR(__xludf.DUMMYFUNCTION("""COMPUTED_VALUE"""),"")</f>
        <v/>
      </c>
      <c r="AQ914" s="1" t="str">
        <f>IFERROR(__xludf.DUMMYFUNCTION("""COMPUTED_VALUE"""),"12/01/2025")</f>
        <v>12/01/2025</v>
      </c>
      <c r="AR914" s="1" t="str">
        <f>IFERROR(__xludf.DUMMYFUNCTION("""COMPUTED_VALUE"""),"04/04/2026")</f>
        <v>04/04/2026</v>
      </c>
    </row>
    <row r="915">
      <c r="A915" s="1" t="str">
        <f>IFERROR(__xludf.DUMMYFUNCTION("""COMPUTED_VALUE"""),"Project Aggie ")</f>
        <v>Project Aggie </v>
      </c>
      <c r="B915" s="1" t="str">
        <f>IFERROR(__xludf.DUMMYFUNCTION("""COMPUTED_VALUE"""),"")</f>
        <v/>
      </c>
      <c r="C915" s="1" t="str">
        <f>IFERROR(__xludf.DUMMYFUNCTION("""COMPUTED_VALUE"""),"College Station City")</f>
        <v>College Station City</v>
      </c>
      <c r="D915" s="1" t="str">
        <f>IFERROR(__xludf.DUMMYFUNCTION("""COMPUTED_VALUE"""),"TX")</f>
        <v>TX</v>
      </c>
      <c r="E915" s="1" t="str">
        <f>IFERROR(__xludf.DUMMYFUNCTION("""COMPUTED_VALUE"""),"")</f>
        <v/>
      </c>
      <c r="F915" s="1" t="str">
        <f>IFERROR(__xludf.DUMMYFUNCTION("""COMPUTED_VALUE"""),"Brazos")</f>
        <v>Brazos</v>
      </c>
      <c r="G915" s="1" t="str">
        <f>IFERROR(__xludf.DUMMYFUNCTION("""COMPUTED_VALUE"""),"30.56981")</f>
        <v>30.56981</v>
      </c>
      <c r="H915" s="1" t="str">
        <f>IFERROR(__xludf.DUMMYFUNCTION("""COMPUTED_VALUE"""),"-96.2592")</f>
        <v>-96.2592</v>
      </c>
      <c r="I915" s="1" t="str">
        <f>IFERROR(__xludf.DUMMYFUNCTION("""COMPUTED_VALUE"""),"Suspended")</f>
        <v>Suspended</v>
      </c>
      <c r="J915" s="1" t="str">
        <f>IFERROR(__xludf.DUMMYFUNCTION("""COMPUTED_VALUE"""),"Medium")</f>
        <v>Medium</v>
      </c>
      <c r="K915" s="1" t="str">
        <f>IFERROR(__xludf.DUMMYFUNCTION("""COMPUTED_VALUE"""),"")</f>
        <v/>
      </c>
      <c r="L915" s="1" t="str">
        <f>IFERROR(__xludf.DUMMYFUNCTION("""COMPUTED_VALUE"""),"")</f>
        <v/>
      </c>
      <c r="M915" s="1" t="str">
        <f>IFERROR(__xludf.DUMMYFUNCTION("""COMPUTED_VALUE"""),"")</f>
        <v/>
      </c>
      <c r="N915" s="1" t="str">
        <f>IFERROR(__xludf.DUMMYFUNCTION("""COMPUTED_VALUE"""),"600")</f>
        <v>600</v>
      </c>
      <c r="O915" s="1" t="str">
        <f>IFERROR(__xludf.DUMMYFUNCTION("""COMPUTED_VALUE"""),"Hyperscale (100-999 MW)")</f>
        <v>Hyperscale (100-999 MW)</v>
      </c>
      <c r="P915" s="1" t="str">
        <f>IFERROR(__xludf.DUMMYFUNCTION("""COMPUTED_VALUE"""),"")</f>
        <v/>
      </c>
      <c r="Q915" s="1" t="str">
        <f>IFERROR(__xludf.DUMMYFUNCTION("""COMPUTED_VALUE"""),"")</f>
        <v/>
      </c>
      <c r="R915" s="1" t="str">
        <f>IFERROR(__xludf.DUMMYFUNCTION("""COMPUTED_VALUE"""),"")</f>
        <v/>
      </c>
      <c r="S915" s="1" t="str">
        <f>IFERROR(__xludf.DUMMYFUNCTION("""COMPUTED_VALUE"""),"")</f>
        <v/>
      </c>
      <c r="T915" s="1" t="str">
        <f>IFERROR(__xludf.DUMMYFUNCTION("""COMPUTED_VALUE"""),"")</f>
        <v/>
      </c>
      <c r="U915" s="1" t="str">
        <f>IFERROR(__xludf.DUMMYFUNCTION("""COMPUTED_VALUE"""),"")</f>
        <v/>
      </c>
      <c r="V915" s="1" t="str">
        <f>IFERROR(__xludf.DUMMYFUNCTION("""COMPUTED_VALUE"""),"")</f>
        <v/>
      </c>
      <c r="W915" s="1" t="str">
        <f>IFERROR(__xludf.DUMMYFUNCTION("""COMPUTED_VALUE"""),"200")</f>
        <v>200</v>
      </c>
      <c r="X915" s="1" t="str">
        <f>IFERROR(__xludf.DUMMYFUNCTION("""COMPUTED_VALUE"""),"$300 million")</f>
        <v>$300 million</v>
      </c>
      <c r="Y915" s="1" t="str">
        <f>IFERROR(__xludf.DUMMYFUNCTION("""COMPUTED_VALUE"""),"")</f>
        <v/>
      </c>
      <c r="Z915" s="1" t="str">
        <f>IFERROR(__xludf.DUMMYFUNCTION("""COMPUTED_VALUE"""),"Unknown")</f>
        <v>Unknown</v>
      </c>
      <c r="AA915" s="1" t="str">
        <f>IFERROR(__xludf.DUMMYFUNCTION("""COMPUTED_VALUE"""),"")</f>
        <v/>
      </c>
      <c r="AB915" s="1" t="str">
        <f>IFERROR(__xludf.DUMMYFUNCTION("""COMPUTED_VALUE"""),"")</f>
        <v/>
      </c>
      <c r="AC915" s="1" t="str">
        <f>IFERROR(__xludf.DUMMYFUNCTION("""COMPUTED_VALUE"""),"")</f>
        <v/>
      </c>
      <c r="AD915" s="1" t="str">
        <f>IFERROR(__xludf.DUMMYFUNCTION("""COMPUTED_VALUE"""),"")</f>
        <v/>
      </c>
      <c r="AE915" s="1" t="str">
        <f>IFERROR(__xludf.DUMMYFUNCTION("""COMPUTED_VALUE"""),"")</f>
        <v/>
      </c>
      <c r="AF915" s="1" t="str">
        <f>IFERROR(__xludf.DUMMYFUNCTION("""COMPUTED_VALUE"""),"")</f>
        <v/>
      </c>
      <c r="AG915" s="1" t="str">
        <f>IFERROR(__xludf.DUMMYFUNCTION("""COMPUTED_VALUE"""),"City council unanimous rejection")</f>
        <v>City council unanimous rejection</v>
      </c>
      <c r="AH915" s="1" t="str">
        <f>IFERROR(__xludf.DUMMYFUNCTION("""COMPUTED_VALUE"""),"Media Monitoring")</f>
        <v>Media Monitoring</v>
      </c>
      <c r="AI915" s="2" t="str">
        <f>IFERROR(__xludf.DUMMYFUNCTION("""COMPUTED_VALUE"""),"https://www.datacenterdynamics.com/en/news/600mw-data-center-campus-proposed-in-texas/")</f>
        <v>https://www.datacenterdynamics.com/en/news/600mw-data-center-campus-proposed-in-texas/</v>
      </c>
      <c r="AJ915" s="2" t="str">
        <f>IFERROR(__xludf.DUMMYFUNCTION("""COMPUTED_VALUE"""),"https://www.kbtx.com/video/2025/09/12/college-station-city-council-unanimously-rejects-land-sale-ai-data-center/")</f>
        <v>https://www.kbtx.com/video/2025/09/12/college-station-city-council-unanimously-rejects-land-sale-ai-data-center/</v>
      </c>
      <c r="AK915" s="1" t="str">
        <f>IFERROR(__xludf.DUMMYFUNCTION("""COMPUTED_VALUE"""),"")</f>
        <v/>
      </c>
      <c r="AL915" s="1" t="str">
        <f>IFERROR(__xludf.DUMMYFUNCTION("""COMPUTED_VALUE"""),"")</f>
        <v/>
      </c>
      <c r="AM915" s="1" t="str">
        <f>IFERROR(__xludf.DUMMYFUNCTION("""COMPUTED_VALUE"""),"")</f>
        <v/>
      </c>
      <c r="AN915" s="1" t="str">
        <f>IFERROR(__xludf.DUMMYFUNCTION("""COMPUTED_VALUE"""),"")</f>
        <v/>
      </c>
      <c r="AO915" s="1" t="str">
        <f>IFERROR(__xludf.DUMMYFUNCTION("""COMPUTED_VALUE"""),"")</f>
        <v/>
      </c>
      <c r="AP915" s="1" t="str">
        <f>IFERROR(__xludf.DUMMYFUNCTION("""COMPUTED_VALUE"""),"")</f>
        <v/>
      </c>
      <c r="AQ915" s="1" t="str">
        <f>IFERROR(__xludf.DUMMYFUNCTION("""COMPUTED_VALUE"""),"09/15/2025")</f>
        <v>09/15/2025</v>
      </c>
      <c r="AR915" s="1" t="str">
        <f>IFERROR(__xludf.DUMMYFUNCTION("""COMPUTED_VALUE"""),"09/15/2025")</f>
        <v>09/15/2025</v>
      </c>
    </row>
    <row r="916">
      <c r="A916" s="1" t="str">
        <f>IFERROR(__xludf.DUMMYFUNCTION("""COMPUTED_VALUE"""),"Fluidstack")</f>
        <v>Fluidstack</v>
      </c>
      <c r="B916" s="1" t="str">
        <f>IFERROR(__xludf.DUMMYFUNCTION("""COMPUTED_VALUE"""),"951 Co Rd 204")</f>
        <v>951 Co Rd 204</v>
      </c>
      <c r="C916" s="1" t="str">
        <f>IFERROR(__xludf.DUMMYFUNCTION("""COMPUTED_VALUE"""),"Colorado City")</f>
        <v>Colorado City</v>
      </c>
      <c r="D916" s="1" t="str">
        <f>IFERROR(__xludf.DUMMYFUNCTION("""COMPUTED_VALUE"""),"TX")</f>
        <v>TX</v>
      </c>
      <c r="E916" s="1" t="str">
        <f>IFERROR(__xludf.DUMMYFUNCTION("""COMPUTED_VALUE"""),"79512")</f>
        <v>79512</v>
      </c>
      <c r="F916" s="1" t="str">
        <f>IFERROR(__xludf.DUMMYFUNCTION("""COMPUTED_VALUE"""),"Mitchell")</f>
        <v>Mitchell</v>
      </c>
      <c r="G916" s="1" t="str">
        <f>IFERROR(__xludf.DUMMYFUNCTION("""COMPUTED_VALUE"""),"32.396473")</f>
        <v>32.396473</v>
      </c>
      <c r="H916" s="1" t="str">
        <f>IFERROR(__xludf.DUMMYFUNCTION("""COMPUTED_VALUE"""),"-100.91535")</f>
        <v>-100.91535</v>
      </c>
      <c r="I916" s="1" t="str">
        <f>IFERROR(__xludf.DUMMYFUNCTION("""COMPUTED_VALUE"""),"Operating")</f>
        <v>Operating</v>
      </c>
      <c r="J916" s="1" t="str">
        <f>IFERROR(__xludf.DUMMYFUNCTION("""COMPUTED_VALUE"""),"High")</f>
        <v>High</v>
      </c>
      <c r="K916" s="1" t="str">
        <f>IFERROR(__xludf.DUMMYFUNCTION("""COMPUTED_VALUE"""),"")</f>
        <v/>
      </c>
      <c r="L916" s="1" t="str">
        <f>IFERROR(__xludf.DUMMYFUNCTION("""COMPUTED_VALUE"""),"")</f>
        <v/>
      </c>
      <c r="M916" s="1" t="str">
        <f>IFERROR(__xludf.DUMMYFUNCTION("""COMPUTED_VALUE"""),"")</f>
        <v/>
      </c>
      <c r="N916" s="1" t="str">
        <f>IFERROR(__xludf.DUMMYFUNCTION("""COMPUTED_VALUE"""),"300")</f>
        <v>300</v>
      </c>
      <c r="O916" s="1" t="str">
        <f>IFERROR(__xludf.DUMMYFUNCTION("""COMPUTED_VALUE"""),"Hyperscale (100-999 MW)")</f>
        <v>Hyperscale (100-999 MW)</v>
      </c>
      <c r="P916" s="1" t="str">
        <f>IFERROR(__xludf.DUMMYFUNCTION("""COMPUTED_VALUE"""),"")</f>
        <v/>
      </c>
      <c r="Q916" s="1" t="str">
        <f>IFERROR(__xludf.DUMMYFUNCTION("""COMPUTED_VALUE"""),"")</f>
        <v/>
      </c>
      <c r="R916" s="1" t="str">
        <f>IFERROR(__xludf.DUMMYFUNCTION("""COMPUTED_VALUE"""),"")</f>
        <v/>
      </c>
      <c r="S916" s="1" t="str">
        <f>IFERROR(__xludf.DUMMYFUNCTION("""COMPUTED_VALUE"""),"")</f>
        <v/>
      </c>
      <c r="T916" s="1" t="str">
        <f>IFERROR(__xludf.DUMMYFUNCTION("""COMPUTED_VALUE"""),"")</f>
        <v/>
      </c>
      <c r="U916" s="1" t="str">
        <f>IFERROR(__xludf.DUMMYFUNCTION("""COMPUTED_VALUE"""),"")</f>
        <v/>
      </c>
      <c r="V916" s="1" t="str">
        <f>IFERROR(__xludf.DUMMYFUNCTION("""COMPUTED_VALUE"""),"")</f>
        <v/>
      </c>
      <c r="W916" s="1" t="str">
        <f>IFERROR(__xludf.DUMMYFUNCTION("""COMPUTED_VALUE"""),"")</f>
        <v/>
      </c>
      <c r="X916" s="1" t="str">
        <f>IFERROR(__xludf.DUMMYFUNCTION("""COMPUTED_VALUE"""),"")</f>
        <v/>
      </c>
      <c r="Y916" s="1" t="str">
        <f>IFERROR(__xludf.DUMMYFUNCTION("""COMPUTED_VALUE"""),"")</f>
        <v/>
      </c>
      <c r="Z916" s="1" t="str">
        <f>IFERROR(__xludf.DUMMYFUNCTION("""COMPUTED_VALUE"""),"Unknown")</f>
        <v>Unknown</v>
      </c>
      <c r="AA916" s="1" t="str">
        <f>IFERROR(__xludf.DUMMYFUNCTION("""COMPUTED_VALUE"""),"")</f>
        <v/>
      </c>
      <c r="AB916" s="1" t="str">
        <f>IFERROR(__xludf.DUMMYFUNCTION("""COMPUTED_VALUE"""),"")</f>
        <v/>
      </c>
      <c r="AC916" s="1" t="str">
        <f>IFERROR(__xludf.DUMMYFUNCTION("""COMPUTED_VALUE"""),"")</f>
        <v/>
      </c>
      <c r="AD916" s="1" t="str">
        <f>IFERROR(__xludf.DUMMYFUNCTION("""COMPUTED_VALUE"""),"")</f>
        <v/>
      </c>
      <c r="AE916" s="1" t="str">
        <f>IFERROR(__xludf.DUMMYFUNCTION("""COMPUTED_VALUE"""),"")</f>
        <v/>
      </c>
      <c r="AF916" s="1" t="str">
        <f>IFERROR(__xludf.DUMMYFUNCTION("""COMPUTED_VALUE"""),"")</f>
        <v/>
      </c>
      <c r="AG916" s="1" t="str">
        <f>IFERROR(__xludf.DUMMYFUNCTION("""COMPUTED_VALUE"""),"")</f>
        <v/>
      </c>
      <c r="AH916" s="1" t="str">
        <f>IFERROR(__xludf.DUMMYFUNCTION("""COMPUTED_VALUE"""),"Media Monitoring")</f>
        <v>Media Monitoring</v>
      </c>
      <c r="AI916" s="2" t="str">
        <f>IFERROR(__xludf.DUMMYFUNCTION("""COMPUTED_VALUE"""),"https://www.datacenterdynamics.com/en/news/fluidstack-signs-additional-39mw-lease-with-cipher-mining-in-texas-backed-by-google/")</f>
        <v>https://www.datacenterdynamics.com/en/news/fluidstack-signs-additional-39mw-lease-with-cipher-mining-in-texas-backed-by-google/</v>
      </c>
      <c r="AJ916" s="1" t="str">
        <f>IFERROR(__xludf.DUMMYFUNCTION("""COMPUTED_VALUE"""),"")</f>
        <v/>
      </c>
      <c r="AK916" s="1" t="str">
        <f>IFERROR(__xludf.DUMMYFUNCTION("""COMPUTED_VALUE"""),"")</f>
        <v/>
      </c>
      <c r="AL916" s="1" t="str">
        <f>IFERROR(__xludf.DUMMYFUNCTION("""COMPUTED_VALUE"""),"")</f>
        <v/>
      </c>
      <c r="AM916" s="1" t="str">
        <f>IFERROR(__xludf.DUMMYFUNCTION("""COMPUTED_VALUE"""),"")</f>
        <v/>
      </c>
      <c r="AN916" s="1" t="str">
        <f>IFERROR(__xludf.DUMMYFUNCTION("""COMPUTED_VALUE"""),"")</f>
        <v/>
      </c>
      <c r="AO916" s="1" t="str">
        <f>IFERROR(__xludf.DUMMYFUNCTION("""COMPUTED_VALUE"""),"")</f>
        <v/>
      </c>
      <c r="AP916" s="1" t="str">
        <f>IFERROR(__xludf.DUMMYFUNCTION("""COMPUTED_VALUE"""),"")</f>
        <v/>
      </c>
      <c r="AQ916" s="1" t="str">
        <f>IFERROR(__xludf.DUMMYFUNCTION("""COMPUTED_VALUE"""),"11/28/2025")</f>
        <v>11/28/2025</v>
      </c>
      <c r="AR916" s="1" t="str">
        <f>IFERROR(__xludf.DUMMYFUNCTION("""COMPUTED_VALUE"""),"11/28/2025")</f>
        <v>11/28/2025</v>
      </c>
    </row>
    <row r="917">
      <c r="A917" s="1" t="str">
        <f>IFERROR(__xludf.DUMMYFUNCTION("""COMPUTED_VALUE"""),"Hut 8 Beacon Point Data Center")</f>
        <v>Hut 8 Beacon Point Data Center</v>
      </c>
      <c r="B917" s="1" t="str">
        <f>IFERROR(__xludf.DUMMYFUNCTION("""COMPUTED_VALUE"""),"near Callicoatte Rd")</f>
        <v>near Callicoatte Rd</v>
      </c>
      <c r="C917" s="1" t="str">
        <f>IFERROR(__xludf.DUMMYFUNCTION("""COMPUTED_VALUE"""),"Corpus Christi")</f>
        <v>Corpus Christi</v>
      </c>
      <c r="D917" s="1" t="str">
        <f>IFERROR(__xludf.DUMMYFUNCTION("""COMPUTED_VALUE"""),"TX")</f>
        <v>TX</v>
      </c>
      <c r="E917" s="1" t="str">
        <f>IFERROR(__xludf.DUMMYFUNCTION("""COMPUTED_VALUE"""),"78410")</f>
        <v>78410</v>
      </c>
      <c r="F917" s="1" t="str">
        <f>IFERROR(__xludf.DUMMYFUNCTION("""COMPUTED_VALUE"""),"Nueces")</f>
        <v>Nueces</v>
      </c>
      <c r="G917" s="1" t="str">
        <f>IFERROR(__xludf.DUMMYFUNCTION("""COMPUTED_VALUE"""),"27.844814")</f>
        <v>27.844814</v>
      </c>
      <c r="H917" s="1" t="str">
        <f>IFERROR(__xludf.DUMMYFUNCTION("""COMPUTED_VALUE"""),"-97.6115")</f>
        <v>-97.6115</v>
      </c>
      <c r="I917" s="1" t="str">
        <f>IFERROR(__xludf.DUMMYFUNCTION("""COMPUTED_VALUE"""),"Expanding")</f>
        <v>Expanding</v>
      </c>
      <c r="J917" s="1" t="str">
        <f>IFERROR(__xludf.DUMMYFUNCTION("""COMPUTED_VALUE"""),"Medium")</f>
        <v>Medium</v>
      </c>
      <c r="K917" s="1" t="str">
        <f>IFERROR(__xludf.DUMMYFUNCTION("""COMPUTED_VALUE"""),"")</f>
        <v/>
      </c>
      <c r="L917" s="1" t="str">
        <f>IFERROR(__xludf.DUMMYFUNCTION("""COMPUTED_VALUE"""),"Hut 8")</f>
        <v>Hut 8</v>
      </c>
      <c r="M917" s="1" t="str">
        <f>IFERROR(__xludf.DUMMYFUNCTION("""COMPUTED_VALUE"""),"")</f>
        <v/>
      </c>
      <c r="N917" s="1" t="str">
        <f>IFERROR(__xludf.DUMMYFUNCTION("""COMPUTED_VALUE"""),"597")</f>
        <v>597</v>
      </c>
      <c r="O917" s="1" t="str">
        <f>IFERROR(__xludf.DUMMYFUNCTION("""COMPUTED_VALUE"""),"Hyperscale (100-999 MW)")</f>
        <v>Hyperscale (100-999 MW)</v>
      </c>
      <c r="P917" s="1" t="str">
        <f>IFERROR(__xludf.DUMMYFUNCTION("""COMPUTED_VALUE"""),"Grid (unspecified mix)")</f>
        <v>Grid (unspecified mix)</v>
      </c>
      <c r="Q917" s="1" t="str">
        <f>IFERROR(__xludf.DUMMYFUNCTION("""COMPUTED_VALUE"""),"")</f>
        <v/>
      </c>
      <c r="R917" s="1" t="str">
        <f>IFERROR(__xludf.DUMMYFUNCTION("""COMPUTED_VALUE"""),"")</f>
        <v/>
      </c>
      <c r="S917" s="1" t="str">
        <f>IFERROR(__xludf.DUMMYFUNCTION("""COMPUTED_VALUE"""),"")</f>
        <v/>
      </c>
      <c r="T917" s="1" t="str">
        <f>IFERROR(__xludf.DUMMYFUNCTION("""COMPUTED_VALUE"""),"")</f>
        <v/>
      </c>
      <c r="U917" s="1" t="str">
        <f>IFERROR(__xludf.DUMMYFUNCTION("""COMPUTED_VALUE"""),"")</f>
        <v/>
      </c>
      <c r="V917" s="1" t="str">
        <f>IFERROR(__xludf.DUMMYFUNCTION("""COMPUTED_VALUE"""),"")</f>
        <v/>
      </c>
      <c r="W917" s="1" t="str">
        <f>IFERROR(__xludf.DUMMYFUNCTION("""COMPUTED_VALUE"""),"525")</f>
        <v>525</v>
      </c>
      <c r="X917" s="1" t="str">
        <f>IFERROR(__xludf.DUMMYFUNCTION("""COMPUTED_VALUE"""),"")</f>
        <v/>
      </c>
      <c r="Y917" s="1" t="str">
        <f>IFERROR(__xludf.DUMMYFUNCTION("""COMPUTED_VALUE"""),"")</f>
        <v/>
      </c>
      <c r="Z917" s="1" t="str">
        <f>IFERROR(__xludf.DUMMYFUNCTION("""COMPUTED_VALUE"""),"Unknown")</f>
        <v>Unknown</v>
      </c>
      <c r="AA917" s="1" t="str">
        <f>IFERROR(__xludf.DUMMYFUNCTION("""COMPUTED_VALUE"""),"")</f>
        <v/>
      </c>
      <c r="AB917" s="1" t="str">
        <f>IFERROR(__xludf.DUMMYFUNCTION("""COMPUTED_VALUE"""),"")</f>
        <v/>
      </c>
      <c r="AC917" s="1" t="str">
        <f>IFERROR(__xludf.DUMMYFUNCTION("""COMPUTED_VALUE"""),"")</f>
        <v/>
      </c>
      <c r="AD917" s="1" t="str">
        <f>IFERROR(__xludf.DUMMYFUNCTION("""COMPUTED_VALUE"""),"")</f>
        <v/>
      </c>
      <c r="AE917" s="1" t="str">
        <f>IFERROR(__xludf.DUMMYFUNCTION("""COMPUTED_VALUE"""),"")</f>
        <v/>
      </c>
      <c r="AF917" s="1" t="str">
        <f>IFERROR(__xludf.DUMMYFUNCTION("""COMPUTED_VALUE"""),"")</f>
        <v/>
      </c>
      <c r="AG917" s="1" t="str">
        <f>IFERROR(__xludf.DUMMYFUNCTION("""COMPUTED_VALUE"""),"")</f>
        <v/>
      </c>
      <c r="AH917" s="1" t="str">
        <f>IFERROR(__xludf.DUMMYFUNCTION("""COMPUTED_VALUE"""),"Media Monitoring")</f>
        <v>Media Monitoring</v>
      </c>
      <c r="AI917" s="2" t="str">
        <f>IFERROR(__xludf.DUMMYFUNCTION("""COMPUTED_VALUE"""),"https://www.hut8.com/news-insights/press-releases/hut-8-commercializes-first-phase-of-1-gw-beacon-point-ai-data-center-campus-with-15-year-352-mw")</f>
        <v>https://www.hut8.com/news-insights/press-releases/hut-8-commercializes-first-phase-of-1-gw-beacon-point-ai-data-center-campus-with-15-year-352-mw</v>
      </c>
      <c r="AJ917" s="2" t="str">
        <f>IFERROR(__xludf.DUMMYFUNCTION("""COMPUTED_VALUE"""),"https://www.datacenterdynamics.com/en/news/hut-8-signs-352mw-data-center-lease-in-texas-with-investment-grade-tenant/")</f>
        <v>https://www.datacenterdynamics.com/en/news/hut-8-signs-352mw-data-center-lease-in-texas-with-investment-grade-tenant/</v>
      </c>
      <c r="AK917" s="1" t="str">
        <f>IFERROR(__xludf.DUMMYFUNCTION("""COMPUTED_VALUE"""),"")</f>
        <v/>
      </c>
      <c r="AL917" s="1" t="str">
        <f>IFERROR(__xludf.DUMMYFUNCTION("""COMPUTED_VALUE"""),"")</f>
        <v/>
      </c>
      <c r="AM917" s="1" t="str">
        <f>IFERROR(__xludf.DUMMYFUNCTION("""COMPUTED_VALUE"""),"")</f>
        <v/>
      </c>
      <c r="AN917" s="1" t="str">
        <f>IFERROR(__xludf.DUMMYFUNCTION("""COMPUTED_VALUE"""),"")</f>
        <v/>
      </c>
      <c r="AO917" s="1" t="str">
        <f>IFERROR(__xludf.DUMMYFUNCTION("""COMPUTED_VALUE"""),"")</f>
        <v/>
      </c>
      <c r="AP917" s="1" t="str">
        <f>IFERROR(__xludf.DUMMYFUNCTION("""COMPUTED_VALUE"""),"")</f>
        <v/>
      </c>
      <c r="AQ917" s="1" t="str">
        <f>IFERROR(__xludf.DUMMYFUNCTION("""COMPUTED_VALUE"""),"05/12/2026")</f>
        <v>05/12/2026</v>
      </c>
      <c r="AR917" s="1" t="str">
        <f>IFERROR(__xludf.DUMMYFUNCTION("""COMPUTED_VALUE"""),"05/12/2026")</f>
        <v>05/12/2026</v>
      </c>
    </row>
    <row r="918">
      <c r="A918" s="1" t="str">
        <f>IFERROR(__xludf.DUMMYFUNCTION("""COMPUTED_VALUE"""),"Riot Platforms")</f>
        <v>Riot Platforms</v>
      </c>
      <c r="B918" s="1" t="str">
        <f>IFERROR(__xludf.DUMMYFUNCTION("""COMPUTED_VALUE"""),"6980 Farm to Market Rd 709")</f>
        <v>6980 Farm to Market Rd 709</v>
      </c>
      <c r="C918" s="1" t="str">
        <f>IFERROR(__xludf.DUMMYFUNCTION("""COMPUTED_VALUE"""),"Corsicana")</f>
        <v>Corsicana</v>
      </c>
      <c r="D918" s="1" t="str">
        <f>IFERROR(__xludf.DUMMYFUNCTION("""COMPUTED_VALUE"""),"TX")</f>
        <v>TX</v>
      </c>
      <c r="E918" s="1" t="str">
        <f>IFERROR(__xludf.DUMMYFUNCTION("""COMPUTED_VALUE"""),"75110")</f>
        <v>75110</v>
      </c>
      <c r="F918" s="1" t="str">
        <f>IFERROR(__xludf.DUMMYFUNCTION("""COMPUTED_VALUE"""),"Navarro")</f>
        <v>Navarro</v>
      </c>
      <c r="G918" s="1" t="str">
        <f>IFERROR(__xludf.DUMMYFUNCTION("""COMPUTED_VALUE"""),"31.963621")</f>
        <v>31.963621</v>
      </c>
      <c r="H918" s="1" t="str">
        <f>IFERROR(__xludf.DUMMYFUNCTION("""COMPUTED_VALUE"""),"-96.521034")</f>
        <v>-96.521034</v>
      </c>
      <c r="I918" s="1" t="str">
        <f>IFERROR(__xludf.DUMMYFUNCTION("""COMPUTED_VALUE"""),"Expanding")</f>
        <v>Expanding</v>
      </c>
      <c r="J918" s="1" t="str">
        <f>IFERROR(__xludf.DUMMYFUNCTION("""COMPUTED_VALUE"""),"High")</f>
        <v>High</v>
      </c>
      <c r="K918" s="1" t="str">
        <f>IFERROR(__xludf.DUMMYFUNCTION("""COMPUTED_VALUE"""),"")</f>
        <v/>
      </c>
      <c r="L918" s="1" t="str">
        <f>IFERROR(__xludf.DUMMYFUNCTION("""COMPUTED_VALUE"""),"")</f>
        <v/>
      </c>
      <c r="M918" s="1" t="str">
        <f>IFERROR(__xludf.DUMMYFUNCTION("""COMPUTED_VALUE"""),"")</f>
        <v/>
      </c>
      <c r="N918" s="1" t="str">
        <f>IFERROR(__xludf.DUMMYFUNCTION("""COMPUTED_VALUE"""),"400-1000")</f>
        <v>400-1000</v>
      </c>
      <c r="O918" s="1" t="str">
        <f>IFERROR(__xludf.DUMMYFUNCTION("""COMPUTED_VALUE"""),"Mega campus (&gt;1,000 MW)")</f>
        <v>Mega campus (&gt;1,000 MW)</v>
      </c>
      <c r="P918" s="1" t="str">
        <f>IFERROR(__xludf.DUMMYFUNCTION("""COMPUTED_VALUE"""),"Grid (unspecified mix)")</f>
        <v>Grid (unspecified mix)</v>
      </c>
      <c r="Q918" s="1" t="str">
        <f>IFERROR(__xludf.DUMMYFUNCTION("""COMPUTED_VALUE"""),"")</f>
        <v/>
      </c>
      <c r="R918" s="1" t="str">
        <f>IFERROR(__xludf.DUMMYFUNCTION("""COMPUTED_VALUE"""),"")</f>
        <v/>
      </c>
      <c r="S918" s="1" t="str">
        <f>IFERROR(__xludf.DUMMYFUNCTION("""COMPUTED_VALUE"""),"2-11")</f>
        <v>2-11</v>
      </c>
      <c r="T918" s="1" t="str">
        <f>IFERROR(__xludf.DUMMYFUNCTION("""COMPUTED_VALUE"""),"")</f>
        <v/>
      </c>
      <c r="U918" s="1" t="str">
        <f>IFERROR(__xludf.DUMMYFUNCTION("""COMPUTED_VALUE"""),"")</f>
        <v/>
      </c>
      <c r="V918" s="1" t="str">
        <f>IFERROR(__xludf.DUMMYFUNCTION("""COMPUTED_VALUE"""),"")</f>
        <v/>
      </c>
      <c r="W918" s="1" t="str">
        <f>IFERROR(__xludf.DUMMYFUNCTION("""COMPUTED_VALUE"""),"890")</f>
        <v>890</v>
      </c>
      <c r="X918" s="1" t="str">
        <f>IFERROR(__xludf.DUMMYFUNCTION("""COMPUTED_VALUE"""),"")</f>
        <v/>
      </c>
      <c r="Y918" s="1" t="str">
        <f>IFERROR(__xludf.DUMMYFUNCTION("""COMPUTED_VALUE"""),"")</f>
        <v/>
      </c>
      <c r="Z918" s="1" t="str">
        <f>IFERROR(__xludf.DUMMYFUNCTION("""COMPUTED_VALUE"""),"Unknown")</f>
        <v>Unknown</v>
      </c>
      <c r="AA918" s="1" t="str">
        <f>IFERROR(__xludf.DUMMYFUNCTION("""COMPUTED_VALUE"""),"")</f>
        <v/>
      </c>
      <c r="AB918" s="1" t="str">
        <f>IFERROR(__xludf.DUMMYFUNCTION("""COMPUTED_VALUE"""),"")</f>
        <v/>
      </c>
      <c r="AC918" s="1" t="str">
        <f>IFERROR(__xludf.DUMMYFUNCTION("""COMPUTED_VALUE"""),"")</f>
        <v/>
      </c>
      <c r="AD918" s="1" t="str">
        <f>IFERROR(__xludf.DUMMYFUNCTION("""COMPUTED_VALUE"""),"")</f>
        <v/>
      </c>
      <c r="AE918" s="1" t="str">
        <f>IFERROR(__xludf.DUMMYFUNCTION("""COMPUTED_VALUE"""),"")</f>
        <v/>
      </c>
      <c r="AF918" s="1" t="str">
        <f>IFERROR(__xludf.DUMMYFUNCTION("""COMPUTED_VALUE"""),"")</f>
        <v/>
      </c>
      <c r="AG918" s="1" t="str">
        <f>IFERROR(__xludf.DUMMYFUNCTION("""COMPUTED_VALUE"""),"Converting from Bitcoin to AI")</f>
        <v>Converting from Bitcoin to AI</v>
      </c>
      <c r="AH918" s="1" t="str">
        <f>IFERROR(__xludf.DUMMYFUNCTION("""COMPUTED_VALUE"""),"Media Monitoring")</f>
        <v>Media Monitoring</v>
      </c>
      <c r="AI918" s="2" t="str">
        <f>IFERROR(__xludf.DUMMYFUNCTION("""COMPUTED_VALUE"""),"https://www.wired.com/story/bitcoin-miners-pivot-ai-data-centers/")</f>
        <v>https://www.wired.com/story/bitcoin-miners-pivot-ai-data-centers/</v>
      </c>
      <c r="AJ918" s="2" t="str">
        <f>IFERROR(__xludf.DUMMYFUNCTION("""COMPUTED_VALUE"""),"https://www.nbcdfw.com/news/business/corsicana-bitcoin-mining-operation-could-consume-enough-power-to-light-200000-homes/2953134/")</f>
        <v>https://www.nbcdfw.com/news/business/corsicana-bitcoin-mining-operation-could-consume-enough-power-to-light-200000-homes/2953134/</v>
      </c>
      <c r="AK918" s="2" t="str">
        <f>IFERROR(__xludf.DUMMYFUNCTION("""COMPUTED_VALUE"""),"https://www.riotplatforms.com/riot-energizes-new-corsicana-facility-in-navarro-county-texas/")</f>
        <v>https://www.riotplatforms.com/riot-energizes-new-corsicana-facility-in-navarro-county-texas/</v>
      </c>
      <c r="AL918" s="2" t="str">
        <f>IFERROR(__xludf.DUMMYFUNCTION("""COMPUTED_VALUE"""),"https://whatsnew2day.com/small-texas-town-seeks-billion-dollar-bitcoin-miner-to-pave-potholes-and-chase-away-dogs/")</f>
        <v>https://whatsnew2day.com/small-texas-town-seeks-billion-dollar-bitcoin-miner-to-pave-potholes-and-chase-away-dogs/</v>
      </c>
      <c r="AM918" s="2" t="str">
        <f>IFERROR(__xludf.DUMMYFUNCTION("""COMPUTED_VALUE"""),"https://www.greensourcedfw.org/articles/coalition-warns-against-massive-bitcoin-facility-underway-navarro-county")</f>
        <v>https://www.greensourcedfw.org/articles/coalition-warns-against-massive-bitcoin-facility-underway-navarro-county</v>
      </c>
      <c r="AN918" s="2" t="str">
        <f>IFERROR(__xludf.DUMMYFUNCTION("""COMPUTED_VALUE"""),"https://www.riotblockchain.com/news-media/press-releases/detail/127/riot-blockchain-announces-1-gw-development-in-navarro")</f>
        <v>https://www.riotblockchain.com/news-media/press-releases/detail/127/riot-blockchain-announces-1-gw-development-in-navarro</v>
      </c>
      <c r="AO918" s="2" t="str">
        <f>IFERROR(__xludf.DUMMYFUNCTION("""COMPUTED_VALUE"""),"https://www.datacenterdynamics.com/en/news/riot-to-convert-cryptomine-site-in-texas-to-hpc-signs-25mw-lease-with-amd/")</f>
        <v>https://www.datacenterdynamics.com/en/news/riot-to-convert-cryptomine-site-in-texas-to-hpc-signs-25mw-lease-with-amd/</v>
      </c>
      <c r="AP918" s="2" t="str">
        <f>IFERROR(__xludf.DUMMYFUNCTION("""COMPUTED_VALUE"""),"https://www.datacenterdynamics.com/en/news/riot-platforms-files-to-add-building-to-cryptomine-and-data-center-campus-in-corsicana-texas/")</f>
        <v>https://www.datacenterdynamics.com/en/news/riot-platforms-files-to-add-building-to-cryptomine-and-data-center-campus-in-corsicana-texas/</v>
      </c>
      <c r="AQ918" s="1" t="str">
        <f>IFERROR(__xludf.DUMMYFUNCTION("""COMPUTED_VALUE"""),"12/10/2025")</f>
        <v>12/10/2025</v>
      </c>
      <c r="AR918" s="1" t="str">
        <f>IFERROR(__xludf.DUMMYFUNCTION("""COMPUTED_VALUE"""),"06/12/2026")</f>
        <v>06/12/2026</v>
      </c>
    </row>
    <row r="919">
      <c r="A919" s="1" t="str">
        <f>IFERROR(__xludf.DUMMYFUNCTION("""COMPUTED_VALUE"""),"Fort Hood data base")</f>
        <v>Fort Hood data base</v>
      </c>
      <c r="B919" s="1" t="str">
        <f>IFERROR(__xludf.DUMMYFUNCTION("""COMPUTED_VALUE"""),"Fort Hood")</f>
        <v>Fort Hood</v>
      </c>
      <c r="C919" s="1" t="str">
        <f>IFERROR(__xludf.DUMMYFUNCTION("""COMPUTED_VALUE"""),"Coryell")</f>
        <v>Coryell</v>
      </c>
      <c r="D919" s="1" t="str">
        <f>IFERROR(__xludf.DUMMYFUNCTION("""COMPUTED_VALUE"""),"TX")</f>
        <v>TX</v>
      </c>
      <c r="E919" s="1" t="str">
        <f>IFERROR(__xludf.DUMMYFUNCTION("""COMPUTED_VALUE"""),"76544")</f>
        <v>76544</v>
      </c>
      <c r="F919" s="1" t="str">
        <f>IFERROR(__xludf.DUMMYFUNCTION("""COMPUTED_VALUE"""),"Coryell")</f>
        <v>Coryell</v>
      </c>
      <c r="G919" s="1" t="str">
        <f>IFERROR(__xludf.DUMMYFUNCTION("""COMPUTED_VALUE"""),"31.155802")</f>
        <v>31.155802</v>
      </c>
      <c r="H919" s="1" t="str">
        <f>IFERROR(__xludf.DUMMYFUNCTION("""COMPUTED_VALUE"""),"-97.80226")</f>
        <v>-97.80226</v>
      </c>
      <c r="I919" s="1" t="str">
        <f>IFERROR(__xludf.DUMMYFUNCTION("""COMPUTED_VALUE"""),"Proposed")</f>
        <v>Proposed</v>
      </c>
      <c r="J919" s="1" t="str">
        <f>IFERROR(__xludf.DUMMYFUNCTION("""COMPUTED_VALUE"""),"Medium")</f>
        <v>Medium</v>
      </c>
      <c r="K919" s="1" t="str">
        <f>IFERROR(__xludf.DUMMYFUNCTION("""COMPUTED_VALUE"""),"AI")</f>
        <v>AI</v>
      </c>
      <c r="L919" s="1" t="str">
        <f>IFERROR(__xludf.DUMMYFUNCTION("""COMPUTED_VALUE"""),"")</f>
        <v/>
      </c>
      <c r="M919" s="1" t="str">
        <f>IFERROR(__xludf.DUMMYFUNCTION("""COMPUTED_VALUE"""),"")</f>
        <v/>
      </c>
      <c r="N919" s="1" t="str">
        <f>IFERROR(__xludf.DUMMYFUNCTION("""COMPUTED_VALUE"""),"")</f>
        <v/>
      </c>
      <c r="O919" s="1" t="str">
        <f>IFERROR(__xludf.DUMMYFUNCTION("""COMPUTED_VALUE"""),"Unknown")</f>
        <v>Unknown</v>
      </c>
      <c r="P919" s="1" t="str">
        <f>IFERROR(__xludf.DUMMYFUNCTION("""COMPUTED_VALUE"""),"")</f>
        <v/>
      </c>
      <c r="Q919" s="1" t="str">
        <f>IFERROR(__xludf.DUMMYFUNCTION("""COMPUTED_VALUE"""),"")</f>
        <v/>
      </c>
      <c r="R919" s="1" t="str">
        <f>IFERROR(__xludf.DUMMYFUNCTION("""COMPUTED_VALUE"""),"")</f>
        <v/>
      </c>
      <c r="S919" s="1" t="str">
        <f>IFERROR(__xludf.DUMMYFUNCTION("""COMPUTED_VALUE"""),"")</f>
        <v/>
      </c>
      <c r="T919" s="1" t="str">
        <f>IFERROR(__xludf.DUMMYFUNCTION("""COMPUTED_VALUE"""),"")</f>
        <v/>
      </c>
      <c r="U919" s="1" t="str">
        <f>IFERROR(__xludf.DUMMYFUNCTION("""COMPUTED_VALUE"""),"")</f>
        <v/>
      </c>
      <c r="V919" s="1" t="str">
        <f>IFERROR(__xludf.DUMMYFUNCTION("""COMPUTED_VALUE"""),"")</f>
        <v/>
      </c>
      <c r="W919" s="1" t="str">
        <f>IFERROR(__xludf.DUMMYFUNCTION("""COMPUTED_VALUE"""),"207")</f>
        <v>207</v>
      </c>
      <c r="X919" s="1" t="str">
        <f>IFERROR(__xludf.DUMMYFUNCTION("""COMPUTED_VALUE"""),"")</f>
        <v/>
      </c>
      <c r="Y919" s="1" t="str">
        <f>IFERROR(__xludf.DUMMYFUNCTION("""COMPUTED_VALUE"""),"")</f>
        <v/>
      </c>
      <c r="Z919" s="1" t="str">
        <f>IFERROR(__xludf.DUMMYFUNCTION("""COMPUTED_VALUE"""),"Unknown")</f>
        <v>Unknown</v>
      </c>
      <c r="AA919" s="1" t="str">
        <f>IFERROR(__xludf.DUMMYFUNCTION("""COMPUTED_VALUE"""),"")</f>
        <v/>
      </c>
      <c r="AB919" s="1" t="str">
        <f>IFERROR(__xludf.DUMMYFUNCTION("""COMPUTED_VALUE"""),"")</f>
        <v/>
      </c>
      <c r="AC919" s="1" t="str">
        <f>IFERROR(__xludf.DUMMYFUNCTION("""COMPUTED_VALUE"""),"")</f>
        <v/>
      </c>
      <c r="AD919" s="1" t="str">
        <f>IFERROR(__xludf.DUMMYFUNCTION("""COMPUTED_VALUE"""),"")</f>
        <v/>
      </c>
      <c r="AE919" s="1" t="str">
        <f>IFERROR(__xludf.DUMMYFUNCTION("""COMPUTED_VALUE"""),"")</f>
        <v/>
      </c>
      <c r="AF919" s="1" t="str">
        <f>IFERROR(__xludf.DUMMYFUNCTION("""COMPUTED_VALUE"""),"")</f>
        <v/>
      </c>
      <c r="AG919" s="1" t="str">
        <f>IFERROR(__xludf.DUMMYFUNCTION("""COMPUTED_VALUE"""),"")</f>
        <v/>
      </c>
      <c r="AH919" s="1" t="str">
        <f>IFERROR(__xludf.DUMMYFUNCTION("""COMPUTED_VALUE"""),"Media Monitoring")</f>
        <v>Media Monitoring</v>
      </c>
      <c r="AI919" s="2" t="str">
        <f>IFERROR(__xludf.DUMMYFUNCTION("""COMPUTED_VALUE"""),"https://www.datacenterdynamics.com/en/news/us-dod-details-military-bases-available-for-ai-data-center-build-out/")</f>
        <v>https://www.datacenterdynamics.com/en/news/us-dod-details-military-bases-available-for-ai-data-center-build-out/</v>
      </c>
      <c r="AJ919" s="1" t="str">
        <f>IFERROR(__xludf.DUMMYFUNCTION("""COMPUTED_VALUE"""),"")</f>
        <v/>
      </c>
      <c r="AK919" s="1" t="str">
        <f>IFERROR(__xludf.DUMMYFUNCTION("""COMPUTED_VALUE"""),"")</f>
        <v/>
      </c>
      <c r="AL919" s="1" t="str">
        <f>IFERROR(__xludf.DUMMYFUNCTION("""COMPUTED_VALUE"""),"")</f>
        <v/>
      </c>
      <c r="AM919" s="1" t="str">
        <f>IFERROR(__xludf.DUMMYFUNCTION("""COMPUTED_VALUE"""),"")</f>
        <v/>
      </c>
      <c r="AN919" s="1" t="str">
        <f>IFERROR(__xludf.DUMMYFUNCTION("""COMPUTED_VALUE"""),"")</f>
        <v/>
      </c>
      <c r="AO919" s="1" t="str">
        <f>IFERROR(__xludf.DUMMYFUNCTION("""COMPUTED_VALUE"""),"")</f>
        <v/>
      </c>
      <c r="AP919" s="1" t="str">
        <f>IFERROR(__xludf.DUMMYFUNCTION("""COMPUTED_VALUE"""),"")</f>
        <v/>
      </c>
      <c r="AQ919" s="1" t="str">
        <f>IFERROR(__xludf.DUMMYFUNCTION("""COMPUTED_VALUE"""),"01/13/2026")</f>
        <v>01/13/2026</v>
      </c>
      <c r="AR919" s="1" t="str">
        <f>IFERROR(__xludf.DUMMYFUNCTION("""COMPUTED_VALUE"""),"01/13/2026")</f>
        <v>01/13/2026</v>
      </c>
    </row>
    <row r="920">
      <c r="A920" s="1" t="str">
        <f>IFERROR(__xludf.DUMMYFUNCTION("""COMPUTED_VALUE"""),"Centersquare Dallas/Fort Worth Data Center")</f>
        <v>Centersquare Dallas/Fort Worth Data Center</v>
      </c>
      <c r="B920" s="1" t="str">
        <f>IFERROR(__xludf.DUMMYFUNCTION("""COMPUTED_VALUE"""),"11830 Webb Chapel Rd #200")</f>
        <v>11830 Webb Chapel Rd #200</v>
      </c>
      <c r="C920" s="1" t="str">
        <f>IFERROR(__xludf.DUMMYFUNCTION("""COMPUTED_VALUE"""),"Dallas")</f>
        <v>Dallas</v>
      </c>
      <c r="D920" s="1" t="str">
        <f>IFERROR(__xludf.DUMMYFUNCTION("""COMPUTED_VALUE"""),"TX")</f>
        <v>TX</v>
      </c>
      <c r="E920" s="1" t="str">
        <f>IFERROR(__xludf.DUMMYFUNCTION("""COMPUTED_VALUE"""),"75234")</f>
        <v>75234</v>
      </c>
      <c r="F920" s="1" t="str">
        <f>IFERROR(__xludf.DUMMYFUNCTION("""COMPUTED_VALUE"""),"Dallas")</f>
        <v>Dallas</v>
      </c>
      <c r="G920" s="1" t="str">
        <f>IFERROR(__xludf.DUMMYFUNCTION("""COMPUTED_VALUE"""),"32.91178")</f>
        <v>32.91178</v>
      </c>
      <c r="H920" s="1" t="str">
        <f>IFERROR(__xludf.DUMMYFUNCTION("""COMPUTED_VALUE"""),"-96.8711")</f>
        <v>-96.8711</v>
      </c>
      <c r="I920" s="1" t="str">
        <f>IFERROR(__xludf.DUMMYFUNCTION("""COMPUTED_VALUE"""),"Operating")</f>
        <v>Operating</v>
      </c>
      <c r="J920" s="1" t="str">
        <f>IFERROR(__xludf.DUMMYFUNCTION("""COMPUTED_VALUE"""),"High")</f>
        <v>High</v>
      </c>
      <c r="K920" s="1" t="str">
        <f>IFERROR(__xludf.DUMMYFUNCTION("""COMPUTED_VALUE"""),"")</f>
        <v/>
      </c>
      <c r="L920" s="1" t="str">
        <f>IFERROR(__xludf.DUMMYFUNCTION("""COMPUTED_VALUE"""),"")</f>
        <v/>
      </c>
      <c r="M920" s="1" t="str">
        <f>IFERROR(__xludf.DUMMYFUNCTION("""COMPUTED_VALUE"""),"")</f>
        <v/>
      </c>
      <c r="N920" s="1" t="str">
        <f>IFERROR(__xludf.DUMMYFUNCTION("""COMPUTED_VALUE"""),"")</f>
        <v/>
      </c>
      <c r="O920" s="1" t="str">
        <f>IFERROR(__xludf.DUMMYFUNCTION("""COMPUTED_VALUE"""),"Unknown")</f>
        <v>Unknown</v>
      </c>
      <c r="P920" s="1" t="str">
        <f>IFERROR(__xludf.DUMMYFUNCTION("""COMPUTED_VALUE"""),"")</f>
        <v/>
      </c>
      <c r="Q920" s="1" t="str">
        <f>IFERROR(__xludf.DUMMYFUNCTION("""COMPUTED_VALUE"""),"")</f>
        <v/>
      </c>
      <c r="R920" s="1" t="str">
        <f>IFERROR(__xludf.DUMMYFUNCTION("""COMPUTED_VALUE"""),"")</f>
        <v/>
      </c>
      <c r="S920" s="1" t="str">
        <f>IFERROR(__xludf.DUMMYFUNCTION("""COMPUTED_VALUE"""),"")</f>
        <v/>
      </c>
      <c r="T920" s="1" t="str">
        <f>IFERROR(__xludf.DUMMYFUNCTION("""COMPUTED_VALUE"""),"")</f>
        <v/>
      </c>
      <c r="U920" s="1" t="str">
        <f>IFERROR(__xludf.DUMMYFUNCTION("""COMPUTED_VALUE"""),"")</f>
        <v/>
      </c>
      <c r="V920" s="1" t="str">
        <f>IFERROR(__xludf.DUMMYFUNCTION("""COMPUTED_VALUE"""),"")</f>
        <v/>
      </c>
      <c r="W920" s="1" t="str">
        <f>IFERROR(__xludf.DUMMYFUNCTION("""COMPUTED_VALUE"""),"")</f>
        <v/>
      </c>
      <c r="X920" s="1" t="str">
        <f>IFERROR(__xludf.DUMMYFUNCTION("""COMPUTED_VALUE"""),"")</f>
        <v/>
      </c>
      <c r="Y920" s="1" t="str">
        <f>IFERROR(__xludf.DUMMYFUNCTION("""COMPUTED_VALUE"""),"")</f>
        <v/>
      </c>
      <c r="Z920" s="1" t="str">
        <f>IFERROR(__xludf.DUMMYFUNCTION("""COMPUTED_VALUE"""),"Unknown")</f>
        <v>Unknown</v>
      </c>
      <c r="AA920" s="1" t="str">
        <f>IFERROR(__xludf.DUMMYFUNCTION("""COMPUTED_VALUE"""),"")</f>
        <v/>
      </c>
      <c r="AB920" s="1" t="str">
        <f>IFERROR(__xludf.DUMMYFUNCTION("""COMPUTED_VALUE"""),"")</f>
        <v/>
      </c>
      <c r="AC920" s="1" t="str">
        <f>IFERROR(__xludf.DUMMYFUNCTION("""COMPUTED_VALUE"""),"")</f>
        <v/>
      </c>
      <c r="AD920" s="1" t="str">
        <f>IFERROR(__xludf.DUMMYFUNCTION("""COMPUTED_VALUE"""),"")</f>
        <v/>
      </c>
      <c r="AE920" s="1" t="str">
        <f>IFERROR(__xludf.DUMMYFUNCTION("""COMPUTED_VALUE"""),"")</f>
        <v/>
      </c>
      <c r="AF920" s="1" t="str">
        <f>IFERROR(__xludf.DUMMYFUNCTION("""COMPUTED_VALUE"""),"")</f>
        <v/>
      </c>
      <c r="AG920" s="1" t="str">
        <f>IFERROR(__xludf.DUMMYFUNCTION("""COMPUTED_VALUE"""),"")</f>
        <v/>
      </c>
      <c r="AH920" s="1" t="str">
        <f>IFERROR(__xludf.DUMMYFUNCTION("""COMPUTED_VALUE"""),"Media Monitoring")</f>
        <v>Media Monitoring</v>
      </c>
      <c r="AI920" s="1" t="str">
        <f>IFERROR(__xludf.DUMMYFUNCTION("""COMPUTED_VALUE"""),"")</f>
        <v/>
      </c>
      <c r="AJ920" s="1" t="str">
        <f>IFERROR(__xludf.DUMMYFUNCTION("""COMPUTED_VALUE"""),"")</f>
        <v/>
      </c>
      <c r="AK920" s="1" t="str">
        <f>IFERROR(__xludf.DUMMYFUNCTION("""COMPUTED_VALUE"""),"")</f>
        <v/>
      </c>
      <c r="AL920" s="1" t="str">
        <f>IFERROR(__xludf.DUMMYFUNCTION("""COMPUTED_VALUE"""),"")</f>
        <v/>
      </c>
      <c r="AM920" s="1" t="str">
        <f>IFERROR(__xludf.DUMMYFUNCTION("""COMPUTED_VALUE"""),"")</f>
        <v/>
      </c>
      <c r="AN920" s="1" t="str">
        <f>IFERROR(__xludf.DUMMYFUNCTION("""COMPUTED_VALUE"""),"")</f>
        <v/>
      </c>
      <c r="AO920" s="1" t="str">
        <f>IFERROR(__xludf.DUMMYFUNCTION("""COMPUTED_VALUE"""),"")</f>
        <v/>
      </c>
      <c r="AP920" s="1" t="str">
        <f>IFERROR(__xludf.DUMMYFUNCTION("""COMPUTED_VALUE"""),"")</f>
        <v/>
      </c>
      <c r="AQ920" s="1" t="str">
        <f>IFERROR(__xludf.DUMMYFUNCTION("""COMPUTED_VALUE"""),"08/05/2025")</f>
        <v>08/05/2025</v>
      </c>
      <c r="AR920" s="1" t="str">
        <f>IFERROR(__xludf.DUMMYFUNCTION("""COMPUTED_VALUE"""),"08/05/2025")</f>
        <v>08/05/2025</v>
      </c>
    </row>
    <row r="921">
      <c r="A921" s="1" t="str">
        <f>IFERROR(__xludf.DUMMYFUNCTION("""COMPUTED_VALUE"""),"Cologix Dallas Data Centers")</f>
        <v>Cologix Dallas Data Centers</v>
      </c>
      <c r="B921" s="1" t="str">
        <f>IFERROR(__xludf.DUMMYFUNCTION("""COMPUTED_VALUE"""),"1950 N Stemmons Fwy #1032")</f>
        <v>1950 N Stemmons Fwy #1032</v>
      </c>
      <c r="C921" s="1" t="str">
        <f>IFERROR(__xludf.DUMMYFUNCTION("""COMPUTED_VALUE"""),"Dallas")</f>
        <v>Dallas</v>
      </c>
      <c r="D921" s="1" t="str">
        <f>IFERROR(__xludf.DUMMYFUNCTION("""COMPUTED_VALUE"""),"TX")</f>
        <v>TX</v>
      </c>
      <c r="E921" s="1" t="str">
        <f>IFERROR(__xludf.DUMMYFUNCTION("""COMPUTED_VALUE"""),"75207")</f>
        <v>75207</v>
      </c>
      <c r="F921" s="1" t="str">
        <f>IFERROR(__xludf.DUMMYFUNCTION("""COMPUTED_VALUE"""),"Dallas")</f>
        <v>Dallas</v>
      </c>
      <c r="G921" s="1" t="str">
        <f>IFERROR(__xludf.DUMMYFUNCTION("""COMPUTED_VALUE"""),"32.80122")</f>
        <v>32.80122</v>
      </c>
      <c r="H921" s="1" t="str">
        <f>IFERROR(__xludf.DUMMYFUNCTION("""COMPUTED_VALUE"""),"-96.81958")</f>
        <v>-96.81958</v>
      </c>
      <c r="I921" s="1" t="str">
        <f>IFERROR(__xludf.DUMMYFUNCTION("""COMPUTED_VALUE"""),"Operating")</f>
        <v>Operating</v>
      </c>
      <c r="J921" s="1" t="str">
        <f>IFERROR(__xludf.DUMMYFUNCTION("""COMPUTED_VALUE"""),"High")</f>
        <v>High</v>
      </c>
      <c r="K921" s="1" t="str">
        <f>IFERROR(__xludf.DUMMYFUNCTION("""COMPUTED_VALUE"""),"")</f>
        <v/>
      </c>
      <c r="L921" s="1" t="str">
        <f>IFERROR(__xludf.DUMMYFUNCTION("""COMPUTED_VALUE"""),"")</f>
        <v/>
      </c>
      <c r="M921" s="1" t="str">
        <f>IFERROR(__xludf.DUMMYFUNCTION("""COMPUTED_VALUE"""),"")</f>
        <v/>
      </c>
      <c r="N921" s="1" t="str">
        <f>IFERROR(__xludf.DUMMYFUNCTION("""COMPUTED_VALUE"""),"")</f>
        <v/>
      </c>
      <c r="O921" s="1" t="str">
        <f>IFERROR(__xludf.DUMMYFUNCTION("""COMPUTED_VALUE"""),"Unknown")</f>
        <v>Unknown</v>
      </c>
      <c r="P921" s="1" t="str">
        <f>IFERROR(__xludf.DUMMYFUNCTION("""COMPUTED_VALUE"""),"")</f>
        <v/>
      </c>
      <c r="Q921" s="1" t="str">
        <f>IFERROR(__xludf.DUMMYFUNCTION("""COMPUTED_VALUE"""),"")</f>
        <v/>
      </c>
      <c r="R921" s="1" t="str">
        <f>IFERROR(__xludf.DUMMYFUNCTION("""COMPUTED_VALUE"""),"")</f>
        <v/>
      </c>
      <c r="S921" s="1" t="str">
        <f>IFERROR(__xludf.DUMMYFUNCTION("""COMPUTED_VALUE"""),"")</f>
        <v/>
      </c>
      <c r="T921" s="1" t="str">
        <f>IFERROR(__xludf.DUMMYFUNCTION("""COMPUTED_VALUE"""),"")</f>
        <v/>
      </c>
      <c r="U921" s="1" t="str">
        <f>IFERROR(__xludf.DUMMYFUNCTION("""COMPUTED_VALUE"""),"")</f>
        <v/>
      </c>
      <c r="V921" s="1" t="str">
        <f>IFERROR(__xludf.DUMMYFUNCTION("""COMPUTED_VALUE"""),"")</f>
        <v/>
      </c>
      <c r="W921" s="1" t="str">
        <f>IFERROR(__xludf.DUMMYFUNCTION("""COMPUTED_VALUE"""),"")</f>
        <v/>
      </c>
      <c r="X921" s="1" t="str">
        <f>IFERROR(__xludf.DUMMYFUNCTION("""COMPUTED_VALUE"""),"")</f>
        <v/>
      </c>
      <c r="Y921" s="1" t="str">
        <f>IFERROR(__xludf.DUMMYFUNCTION("""COMPUTED_VALUE"""),"")</f>
        <v/>
      </c>
      <c r="Z921" s="1" t="str">
        <f>IFERROR(__xludf.DUMMYFUNCTION("""COMPUTED_VALUE"""),"Unknown")</f>
        <v>Unknown</v>
      </c>
      <c r="AA921" s="1" t="str">
        <f>IFERROR(__xludf.DUMMYFUNCTION("""COMPUTED_VALUE"""),"")</f>
        <v/>
      </c>
      <c r="AB921" s="1" t="str">
        <f>IFERROR(__xludf.DUMMYFUNCTION("""COMPUTED_VALUE"""),"")</f>
        <v/>
      </c>
      <c r="AC921" s="1" t="str">
        <f>IFERROR(__xludf.DUMMYFUNCTION("""COMPUTED_VALUE"""),"")</f>
        <v/>
      </c>
      <c r="AD921" s="1" t="str">
        <f>IFERROR(__xludf.DUMMYFUNCTION("""COMPUTED_VALUE"""),"")</f>
        <v/>
      </c>
      <c r="AE921" s="1" t="str">
        <f>IFERROR(__xludf.DUMMYFUNCTION("""COMPUTED_VALUE"""),"")</f>
        <v/>
      </c>
      <c r="AF921" s="1" t="str">
        <f>IFERROR(__xludf.DUMMYFUNCTION("""COMPUTED_VALUE"""),"")</f>
        <v/>
      </c>
      <c r="AG921" s="1" t="str">
        <f>IFERROR(__xludf.DUMMYFUNCTION("""COMPUTED_VALUE"""),"")</f>
        <v/>
      </c>
      <c r="AH921" s="1" t="str">
        <f>IFERROR(__xludf.DUMMYFUNCTION("""COMPUTED_VALUE"""),"Media Monitoring")</f>
        <v>Media Monitoring</v>
      </c>
      <c r="AI921" s="1" t="str">
        <f>IFERROR(__xludf.DUMMYFUNCTION("""COMPUTED_VALUE"""),"")</f>
        <v/>
      </c>
      <c r="AJ921" s="1" t="str">
        <f>IFERROR(__xludf.DUMMYFUNCTION("""COMPUTED_VALUE"""),"")</f>
        <v/>
      </c>
      <c r="AK921" s="1" t="str">
        <f>IFERROR(__xludf.DUMMYFUNCTION("""COMPUTED_VALUE"""),"")</f>
        <v/>
      </c>
      <c r="AL921" s="1" t="str">
        <f>IFERROR(__xludf.DUMMYFUNCTION("""COMPUTED_VALUE"""),"")</f>
        <v/>
      </c>
      <c r="AM921" s="1" t="str">
        <f>IFERROR(__xludf.DUMMYFUNCTION("""COMPUTED_VALUE"""),"")</f>
        <v/>
      </c>
      <c r="AN921" s="1" t="str">
        <f>IFERROR(__xludf.DUMMYFUNCTION("""COMPUTED_VALUE"""),"")</f>
        <v/>
      </c>
      <c r="AO921" s="1" t="str">
        <f>IFERROR(__xludf.DUMMYFUNCTION("""COMPUTED_VALUE"""),"")</f>
        <v/>
      </c>
      <c r="AP921" s="1" t="str">
        <f>IFERROR(__xludf.DUMMYFUNCTION("""COMPUTED_VALUE"""),"")</f>
        <v/>
      </c>
      <c r="AQ921" s="1" t="str">
        <f>IFERROR(__xludf.DUMMYFUNCTION("""COMPUTED_VALUE"""),"08/05/2025")</f>
        <v>08/05/2025</v>
      </c>
      <c r="AR921" s="1" t="str">
        <f>IFERROR(__xludf.DUMMYFUNCTION("""COMPUTED_VALUE"""),"08/05/2025")</f>
        <v>08/05/2025</v>
      </c>
    </row>
    <row r="922">
      <c r="A922" s="1" t="str">
        <f>IFERROR(__xludf.DUMMYFUNCTION("""COMPUTED_VALUE"""),"Dallas Data Center")</f>
        <v>Dallas Data Center</v>
      </c>
      <c r="B922" s="1" t="str">
        <f>IFERROR(__xludf.DUMMYFUNCTION("""COMPUTED_VALUE"""),"1515 Round Table Dr")</f>
        <v>1515 Round Table Dr</v>
      </c>
      <c r="C922" s="1" t="str">
        <f>IFERROR(__xludf.DUMMYFUNCTION("""COMPUTED_VALUE"""),"Dallas")</f>
        <v>Dallas</v>
      </c>
      <c r="D922" s="1" t="str">
        <f>IFERROR(__xludf.DUMMYFUNCTION("""COMPUTED_VALUE"""),"TX")</f>
        <v>TX</v>
      </c>
      <c r="E922" s="1" t="str">
        <f>IFERROR(__xludf.DUMMYFUNCTION("""COMPUTED_VALUE"""),"75247")</f>
        <v>75247</v>
      </c>
      <c r="F922" s="1" t="str">
        <f>IFERROR(__xludf.DUMMYFUNCTION("""COMPUTED_VALUE"""),"Dallas")</f>
        <v>Dallas</v>
      </c>
      <c r="G922" s="1" t="str">
        <f>IFERROR(__xludf.DUMMYFUNCTION("""COMPUTED_VALUE"""),"32.83822")</f>
        <v>32.83822</v>
      </c>
      <c r="H922" s="1" t="str">
        <f>IFERROR(__xludf.DUMMYFUNCTION("""COMPUTED_VALUE"""),"-96.8789")</f>
        <v>-96.8789</v>
      </c>
      <c r="I922" s="1" t="str">
        <f>IFERROR(__xludf.DUMMYFUNCTION("""COMPUTED_VALUE"""),"Operating")</f>
        <v>Operating</v>
      </c>
      <c r="J922" s="1" t="str">
        <f>IFERROR(__xludf.DUMMYFUNCTION("""COMPUTED_VALUE"""),"High")</f>
        <v>High</v>
      </c>
      <c r="K922" s="1" t="str">
        <f>IFERROR(__xludf.DUMMYFUNCTION("""COMPUTED_VALUE"""),"")</f>
        <v/>
      </c>
      <c r="L922" s="1" t="str">
        <f>IFERROR(__xludf.DUMMYFUNCTION("""COMPUTED_VALUE"""),"")</f>
        <v/>
      </c>
      <c r="M922" s="1" t="str">
        <f>IFERROR(__xludf.DUMMYFUNCTION("""COMPUTED_VALUE"""),"")</f>
        <v/>
      </c>
      <c r="N922" s="1" t="str">
        <f>IFERROR(__xludf.DUMMYFUNCTION("""COMPUTED_VALUE"""),"12")</f>
        <v>12</v>
      </c>
      <c r="O922" s="1" t="str">
        <f>IFERROR(__xludf.DUMMYFUNCTION("""COMPUTED_VALUE"""),"Medium (11-50 MW)")</f>
        <v>Medium (11-50 MW)</v>
      </c>
      <c r="P922" s="1" t="str">
        <f>IFERROR(__xludf.DUMMYFUNCTION("""COMPUTED_VALUE"""),"")</f>
        <v/>
      </c>
      <c r="Q922" s="1" t="str">
        <f>IFERROR(__xludf.DUMMYFUNCTION("""COMPUTED_VALUE"""),"")</f>
        <v/>
      </c>
      <c r="R922" s="1" t="str">
        <f>IFERROR(__xludf.DUMMYFUNCTION("""COMPUTED_VALUE"""),"")</f>
        <v/>
      </c>
      <c r="S922" s="1" t="str">
        <f>IFERROR(__xludf.DUMMYFUNCTION("""COMPUTED_VALUE"""),"")</f>
        <v/>
      </c>
      <c r="T922" s="1" t="str">
        <f>IFERROR(__xludf.DUMMYFUNCTION("""COMPUTED_VALUE"""),"")</f>
        <v/>
      </c>
      <c r="U922" s="1" t="str">
        <f>IFERROR(__xludf.DUMMYFUNCTION("""COMPUTED_VALUE"""),"")</f>
        <v/>
      </c>
      <c r="V922" s="1" t="str">
        <f>IFERROR(__xludf.DUMMYFUNCTION("""COMPUTED_VALUE"""),"96,475")</f>
        <v>96,475</v>
      </c>
      <c r="W922" s="1" t="str">
        <f>IFERROR(__xludf.DUMMYFUNCTION("""COMPUTED_VALUE"""),"")</f>
        <v/>
      </c>
      <c r="X922" s="1" t="str">
        <f>IFERROR(__xludf.DUMMYFUNCTION("""COMPUTED_VALUE"""),"")</f>
        <v/>
      </c>
      <c r="Y922" s="1" t="str">
        <f>IFERROR(__xludf.DUMMYFUNCTION("""COMPUTED_VALUE"""),"")</f>
        <v/>
      </c>
      <c r="Z922" s="1" t="str">
        <f>IFERROR(__xludf.DUMMYFUNCTION("""COMPUTED_VALUE"""),"Unknown")</f>
        <v>Unknown</v>
      </c>
      <c r="AA922" s="1" t="str">
        <f>IFERROR(__xludf.DUMMYFUNCTION("""COMPUTED_VALUE"""),"")</f>
        <v/>
      </c>
      <c r="AB922" s="1" t="str">
        <f>IFERROR(__xludf.DUMMYFUNCTION("""COMPUTED_VALUE"""),"")</f>
        <v/>
      </c>
      <c r="AC922" s="1" t="str">
        <f>IFERROR(__xludf.DUMMYFUNCTION("""COMPUTED_VALUE"""),"")</f>
        <v/>
      </c>
      <c r="AD922" s="1" t="str">
        <f>IFERROR(__xludf.DUMMYFUNCTION("""COMPUTED_VALUE"""),"")</f>
        <v/>
      </c>
      <c r="AE922" s="1" t="str">
        <f>IFERROR(__xludf.DUMMYFUNCTION("""COMPUTED_VALUE"""),"")</f>
        <v/>
      </c>
      <c r="AF922" s="1" t="str">
        <f>IFERROR(__xludf.DUMMYFUNCTION("""COMPUTED_VALUE"""),"")</f>
        <v/>
      </c>
      <c r="AG922" s="1" t="str">
        <f>IFERROR(__xludf.DUMMYFUNCTION("""COMPUTED_VALUE"""),"")</f>
        <v/>
      </c>
      <c r="AH922" s="1" t="str">
        <f>IFERROR(__xludf.DUMMYFUNCTION("""COMPUTED_VALUE"""),"Media Monitoring")</f>
        <v>Media Monitoring</v>
      </c>
      <c r="AI922" s="2" t="str">
        <f>IFERROR(__xludf.DUMMYFUNCTION("""COMPUTED_VALUE"""),"https://www.datacenterdynamics.com/en/news/prime-and-vantage-buy-land-phoenix-arizona/")</f>
        <v>https://www.datacenterdynamics.com/en/news/prime-and-vantage-buy-land-phoenix-arizona/</v>
      </c>
      <c r="AJ922" s="1" t="str">
        <f>IFERROR(__xludf.DUMMYFUNCTION("""COMPUTED_VALUE"""),"")</f>
        <v/>
      </c>
      <c r="AK922" s="1" t="str">
        <f>IFERROR(__xludf.DUMMYFUNCTION("""COMPUTED_VALUE"""),"")</f>
        <v/>
      </c>
      <c r="AL922" s="1" t="str">
        <f>IFERROR(__xludf.DUMMYFUNCTION("""COMPUTED_VALUE"""),"")</f>
        <v/>
      </c>
      <c r="AM922" s="1" t="str">
        <f>IFERROR(__xludf.DUMMYFUNCTION("""COMPUTED_VALUE"""),"")</f>
        <v/>
      </c>
      <c r="AN922" s="1" t="str">
        <f>IFERROR(__xludf.DUMMYFUNCTION("""COMPUTED_VALUE"""),"")</f>
        <v/>
      </c>
      <c r="AO922" s="1" t="str">
        <f>IFERROR(__xludf.DUMMYFUNCTION("""COMPUTED_VALUE"""),"")</f>
        <v/>
      </c>
      <c r="AP922" s="1" t="str">
        <f>IFERROR(__xludf.DUMMYFUNCTION("""COMPUTED_VALUE"""),"")</f>
        <v/>
      </c>
      <c r="AQ922" s="1" t="str">
        <f>IFERROR(__xludf.DUMMYFUNCTION("""COMPUTED_VALUE"""),"05/28/2025")</f>
        <v>05/28/2025</v>
      </c>
      <c r="AR922" s="1" t="str">
        <f>IFERROR(__xludf.DUMMYFUNCTION("""COMPUTED_VALUE"""),"05/28/2025")</f>
        <v>05/28/2025</v>
      </c>
    </row>
    <row r="923">
      <c r="A923" s="1" t="str">
        <f>IFERROR(__xludf.DUMMYFUNCTION("""COMPUTED_VALUE"""),"Equinix: DA12-1 and DA12-2")</f>
        <v>Equinix: DA12-1 and DA12-2</v>
      </c>
      <c r="B923" s="1" t="str">
        <f>IFERROR(__xludf.DUMMYFUNCTION("""COMPUTED_VALUE"""),"1550 West Mockingbird Ln")</f>
        <v>1550 West Mockingbird Ln</v>
      </c>
      <c r="C923" s="1" t="str">
        <f>IFERROR(__xludf.DUMMYFUNCTION("""COMPUTED_VALUE"""),"Dallas")</f>
        <v>Dallas</v>
      </c>
      <c r="D923" s="1" t="str">
        <f>IFERROR(__xludf.DUMMYFUNCTION("""COMPUTED_VALUE"""),"TX")</f>
        <v>TX</v>
      </c>
      <c r="E923" s="1" t="str">
        <f>IFERROR(__xludf.DUMMYFUNCTION("""COMPUTED_VALUE"""),"75235")</f>
        <v>75235</v>
      </c>
      <c r="F923" s="1" t="str">
        <f>IFERROR(__xludf.DUMMYFUNCTION("""COMPUTED_VALUE"""),"Dallas")</f>
        <v>Dallas</v>
      </c>
      <c r="G923" s="1" t="str">
        <f>IFERROR(__xludf.DUMMYFUNCTION("""COMPUTED_VALUE"""),"32.821037")</f>
        <v>32.821037</v>
      </c>
      <c r="H923" s="1" t="str">
        <f>IFERROR(__xludf.DUMMYFUNCTION("""COMPUTED_VALUE"""),"-96.85867")</f>
        <v>-96.85867</v>
      </c>
      <c r="I923" s="1" t="str">
        <f>IFERROR(__xludf.DUMMYFUNCTION("""COMPUTED_VALUE"""),"Proposed")</f>
        <v>Proposed</v>
      </c>
      <c r="J923" s="1" t="str">
        <f>IFERROR(__xludf.DUMMYFUNCTION("""COMPUTED_VALUE"""),"High")</f>
        <v>High</v>
      </c>
      <c r="K923" s="1" t="str">
        <f>IFERROR(__xludf.DUMMYFUNCTION("""COMPUTED_VALUE"""),"")</f>
        <v/>
      </c>
      <c r="L923" s="1" t="str">
        <f>IFERROR(__xludf.DUMMYFUNCTION("""COMPUTED_VALUE"""),"Equinix")</f>
        <v>Equinix</v>
      </c>
      <c r="M923" s="1" t="str">
        <f>IFERROR(__xludf.DUMMYFUNCTION("""COMPUTED_VALUE"""),"")</f>
        <v/>
      </c>
      <c r="N923" s="1" t="str">
        <f>IFERROR(__xludf.DUMMYFUNCTION("""COMPUTED_VALUE"""),"")</f>
        <v/>
      </c>
      <c r="O923" s="1" t="str">
        <f>IFERROR(__xludf.DUMMYFUNCTION("""COMPUTED_VALUE"""),"Hyperscale (100-999 MW)")</f>
        <v>Hyperscale (100-999 MW)</v>
      </c>
      <c r="P923" s="1" t="str">
        <f>IFERROR(__xludf.DUMMYFUNCTION("""COMPUTED_VALUE"""),"")</f>
        <v/>
      </c>
      <c r="Q923" s="1" t="str">
        <f>IFERROR(__xludf.DUMMYFUNCTION("""COMPUTED_VALUE"""),"")</f>
        <v/>
      </c>
      <c r="R923" s="1" t="str">
        <f>IFERROR(__xludf.DUMMYFUNCTION("""COMPUTED_VALUE"""),"")</f>
        <v/>
      </c>
      <c r="S923" s="1" t="str">
        <f>IFERROR(__xludf.DUMMYFUNCTION("""COMPUTED_VALUE"""),"")</f>
        <v/>
      </c>
      <c r="T923" s="1" t="str">
        <f>IFERROR(__xludf.DUMMYFUNCTION("""COMPUTED_VALUE"""),"")</f>
        <v/>
      </c>
      <c r="U923" s="1" t="str">
        <f>IFERROR(__xludf.DUMMYFUNCTION("""COMPUTED_VALUE"""),"")</f>
        <v/>
      </c>
      <c r="V923" s="1" t="str">
        <f>IFERROR(__xludf.DUMMYFUNCTION("""COMPUTED_VALUE"""),"600,000")</f>
        <v>600,000</v>
      </c>
      <c r="W923" s="1" t="str">
        <f>IFERROR(__xludf.DUMMYFUNCTION("""COMPUTED_VALUE"""),"")</f>
        <v/>
      </c>
      <c r="X923" s="1" t="str">
        <f>IFERROR(__xludf.DUMMYFUNCTION("""COMPUTED_VALUE"""),"$837 million")</f>
        <v>$837 million</v>
      </c>
      <c r="Y923" s="1" t="str">
        <f>IFERROR(__xludf.DUMMYFUNCTION("""COMPUTED_VALUE"""),"2027-28")</f>
        <v>2027-28</v>
      </c>
      <c r="Z923" s="1" t="str">
        <f>IFERROR(__xludf.DUMMYFUNCTION("""COMPUTED_VALUE"""),"Unknown")</f>
        <v>Unknown</v>
      </c>
      <c r="AA923" s="1" t="str">
        <f>IFERROR(__xludf.DUMMYFUNCTION("""COMPUTED_VALUE"""),"")</f>
        <v/>
      </c>
      <c r="AB923" s="1" t="str">
        <f>IFERROR(__xludf.DUMMYFUNCTION("""COMPUTED_VALUE"""),"")</f>
        <v/>
      </c>
      <c r="AC923" s="1" t="str">
        <f>IFERROR(__xludf.DUMMYFUNCTION("""COMPUTED_VALUE"""),"")</f>
        <v/>
      </c>
      <c r="AD923" s="1" t="str">
        <f>IFERROR(__xludf.DUMMYFUNCTION("""COMPUTED_VALUE"""),"")</f>
        <v/>
      </c>
      <c r="AE923" s="1" t="str">
        <f>IFERROR(__xludf.DUMMYFUNCTION("""COMPUTED_VALUE"""),"")</f>
        <v/>
      </c>
      <c r="AF923" s="1" t="str">
        <f>IFERROR(__xludf.DUMMYFUNCTION("""COMPUTED_VALUE"""),"")</f>
        <v/>
      </c>
      <c r="AG923" s="1" t="str">
        <f>IFERROR(__xludf.DUMMYFUNCTION("""COMPUTED_VALUE"""),"")</f>
        <v/>
      </c>
      <c r="AH923" s="1" t="str">
        <f>IFERROR(__xludf.DUMMYFUNCTION("""COMPUTED_VALUE"""),"Media Monitoring")</f>
        <v>Media Monitoring</v>
      </c>
      <c r="AI923" s="2" t="str">
        <f>IFERROR(__xludf.DUMMYFUNCTION("""COMPUTED_VALUE"""),"https://www.datacenterdynamics.com/en/news/equinix-files-to-develop-another-data-center-campus-in-dallas-texas/")</f>
        <v>https://www.datacenterdynamics.com/en/news/equinix-files-to-develop-another-data-center-campus-in-dallas-texas/</v>
      </c>
      <c r="AJ923" s="1" t="str">
        <f>IFERROR(__xludf.DUMMYFUNCTION("""COMPUTED_VALUE"""),"")</f>
        <v/>
      </c>
      <c r="AK923" s="1" t="str">
        <f>IFERROR(__xludf.DUMMYFUNCTION("""COMPUTED_VALUE"""),"")</f>
        <v/>
      </c>
      <c r="AL923" s="1" t="str">
        <f>IFERROR(__xludf.DUMMYFUNCTION("""COMPUTED_VALUE"""),"")</f>
        <v/>
      </c>
      <c r="AM923" s="1" t="str">
        <f>IFERROR(__xludf.DUMMYFUNCTION("""COMPUTED_VALUE"""),"")</f>
        <v/>
      </c>
      <c r="AN923" s="1" t="str">
        <f>IFERROR(__xludf.DUMMYFUNCTION("""COMPUTED_VALUE"""),"")</f>
        <v/>
      </c>
      <c r="AO923" s="1" t="str">
        <f>IFERROR(__xludf.DUMMYFUNCTION("""COMPUTED_VALUE"""),"")</f>
        <v/>
      </c>
      <c r="AP923" s="1" t="str">
        <f>IFERROR(__xludf.DUMMYFUNCTION("""COMPUTED_VALUE"""),"")</f>
        <v/>
      </c>
      <c r="AQ923" s="1" t="str">
        <f>IFERROR(__xludf.DUMMYFUNCTION("""COMPUTED_VALUE"""),"11/27/2025")</f>
        <v>11/27/2025</v>
      </c>
      <c r="AR923" s="1" t="str">
        <f>IFERROR(__xludf.DUMMYFUNCTION("""COMPUTED_VALUE"""),"11/27/2025")</f>
        <v>11/27/2025</v>
      </c>
    </row>
    <row r="924">
      <c r="A924" s="1" t="str">
        <f>IFERROR(__xludf.DUMMYFUNCTION("""COMPUTED_VALUE"""),"Equinix Data Center")</f>
        <v>Equinix Data Center</v>
      </c>
      <c r="B924" s="1" t="str">
        <f>IFERROR(__xludf.DUMMYFUNCTION("""COMPUTED_VALUE"""),"2323 Bryan St Suite 1400")</f>
        <v>2323 Bryan St Suite 1400</v>
      </c>
      <c r="C924" s="1" t="str">
        <f>IFERROR(__xludf.DUMMYFUNCTION("""COMPUTED_VALUE"""),"Dallas")</f>
        <v>Dallas</v>
      </c>
      <c r="D924" s="1" t="str">
        <f>IFERROR(__xludf.DUMMYFUNCTION("""COMPUTED_VALUE"""),"TX")</f>
        <v>TX</v>
      </c>
      <c r="E924" s="1" t="str">
        <f>IFERROR(__xludf.DUMMYFUNCTION("""COMPUTED_VALUE"""),"75201")</f>
        <v>75201</v>
      </c>
      <c r="F924" s="1" t="str">
        <f>IFERROR(__xludf.DUMMYFUNCTION("""COMPUTED_VALUE"""),"Dallas")</f>
        <v>Dallas</v>
      </c>
      <c r="G924" s="1" t="str">
        <f>IFERROR(__xludf.DUMMYFUNCTION("""COMPUTED_VALUE"""),"32.78737")</f>
        <v>32.78737</v>
      </c>
      <c r="H924" s="1" t="str">
        <f>IFERROR(__xludf.DUMMYFUNCTION("""COMPUTED_VALUE"""),"-96.7944")</f>
        <v>-96.7944</v>
      </c>
      <c r="I924" s="1" t="str">
        <f>IFERROR(__xludf.DUMMYFUNCTION("""COMPUTED_VALUE"""),"Operating")</f>
        <v>Operating</v>
      </c>
      <c r="J924" s="1" t="str">
        <f>IFERROR(__xludf.DUMMYFUNCTION("""COMPUTED_VALUE"""),"High")</f>
        <v>High</v>
      </c>
      <c r="K924" s="1" t="str">
        <f>IFERROR(__xludf.DUMMYFUNCTION("""COMPUTED_VALUE"""),"")</f>
        <v/>
      </c>
      <c r="L924" s="1" t="str">
        <f>IFERROR(__xludf.DUMMYFUNCTION("""COMPUTED_VALUE"""),"")</f>
        <v/>
      </c>
      <c r="M924" s="1" t="str">
        <f>IFERROR(__xludf.DUMMYFUNCTION("""COMPUTED_VALUE"""),"")</f>
        <v/>
      </c>
      <c r="N924" s="1" t="str">
        <f>IFERROR(__xludf.DUMMYFUNCTION("""COMPUTED_VALUE"""),"")</f>
        <v/>
      </c>
      <c r="O924" s="1" t="str">
        <f>IFERROR(__xludf.DUMMYFUNCTION("""COMPUTED_VALUE"""),"Unknown")</f>
        <v>Unknown</v>
      </c>
      <c r="P924" s="1" t="str">
        <f>IFERROR(__xludf.DUMMYFUNCTION("""COMPUTED_VALUE"""),"")</f>
        <v/>
      </c>
      <c r="Q924" s="1" t="str">
        <f>IFERROR(__xludf.DUMMYFUNCTION("""COMPUTED_VALUE"""),"")</f>
        <v/>
      </c>
      <c r="R924" s="1" t="str">
        <f>IFERROR(__xludf.DUMMYFUNCTION("""COMPUTED_VALUE"""),"")</f>
        <v/>
      </c>
      <c r="S924" s="1" t="str">
        <f>IFERROR(__xludf.DUMMYFUNCTION("""COMPUTED_VALUE"""),"")</f>
        <v/>
      </c>
      <c r="T924" s="1" t="str">
        <f>IFERROR(__xludf.DUMMYFUNCTION("""COMPUTED_VALUE"""),"")</f>
        <v/>
      </c>
      <c r="U924" s="1" t="str">
        <f>IFERROR(__xludf.DUMMYFUNCTION("""COMPUTED_VALUE"""),"")</f>
        <v/>
      </c>
      <c r="V924" s="1" t="str">
        <f>IFERROR(__xludf.DUMMYFUNCTION("""COMPUTED_VALUE"""),"")</f>
        <v/>
      </c>
      <c r="W924" s="1" t="str">
        <f>IFERROR(__xludf.DUMMYFUNCTION("""COMPUTED_VALUE"""),"")</f>
        <v/>
      </c>
      <c r="X924" s="1" t="str">
        <f>IFERROR(__xludf.DUMMYFUNCTION("""COMPUTED_VALUE"""),"")</f>
        <v/>
      </c>
      <c r="Y924" s="1" t="str">
        <f>IFERROR(__xludf.DUMMYFUNCTION("""COMPUTED_VALUE"""),"")</f>
        <v/>
      </c>
      <c r="Z924" s="1" t="str">
        <f>IFERROR(__xludf.DUMMYFUNCTION("""COMPUTED_VALUE"""),"Unknown")</f>
        <v>Unknown</v>
      </c>
      <c r="AA924" s="1" t="str">
        <f>IFERROR(__xludf.DUMMYFUNCTION("""COMPUTED_VALUE"""),"")</f>
        <v/>
      </c>
      <c r="AB924" s="1" t="str">
        <f>IFERROR(__xludf.DUMMYFUNCTION("""COMPUTED_VALUE"""),"")</f>
        <v/>
      </c>
      <c r="AC924" s="1" t="str">
        <f>IFERROR(__xludf.DUMMYFUNCTION("""COMPUTED_VALUE"""),"")</f>
        <v/>
      </c>
      <c r="AD924" s="1" t="str">
        <f>IFERROR(__xludf.DUMMYFUNCTION("""COMPUTED_VALUE"""),"")</f>
        <v/>
      </c>
      <c r="AE924" s="1" t="str">
        <f>IFERROR(__xludf.DUMMYFUNCTION("""COMPUTED_VALUE"""),"")</f>
        <v/>
      </c>
      <c r="AF924" s="1" t="str">
        <f>IFERROR(__xludf.DUMMYFUNCTION("""COMPUTED_VALUE"""),"")</f>
        <v/>
      </c>
      <c r="AG924" s="1" t="str">
        <f>IFERROR(__xludf.DUMMYFUNCTION("""COMPUTED_VALUE"""),"")</f>
        <v/>
      </c>
      <c r="AH924" s="1" t="str">
        <f>IFERROR(__xludf.DUMMYFUNCTION("""COMPUTED_VALUE"""),"Media Monitoring")</f>
        <v>Media Monitoring</v>
      </c>
      <c r="AI924" s="1" t="str">
        <f>IFERROR(__xludf.DUMMYFUNCTION("""COMPUTED_VALUE"""),"")</f>
        <v/>
      </c>
      <c r="AJ924" s="1" t="str">
        <f>IFERROR(__xludf.DUMMYFUNCTION("""COMPUTED_VALUE"""),"")</f>
        <v/>
      </c>
      <c r="AK924" s="1" t="str">
        <f>IFERROR(__xludf.DUMMYFUNCTION("""COMPUTED_VALUE"""),"")</f>
        <v/>
      </c>
      <c r="AL924" s="1" t="str">
        <f>IFERROR(__xludf.DUMMYFUNCTION("""COMPUTED_VALUE"""),"")</f>
        <v/>
      </c>
      <c r="AM924" s="1" t="str">
        <f>IFERROR(__xludf.DUMMYFUNCTION("""COMPUTED_VALUE"""),"")</f>
        <v/>
      </c>
      <c r="AN924" s="1" t="str">
        <f>IFERROR(__xludf.DUMMYFUNCTION("""COMPUTED_VALUE"""),"")</f>
        <v/>
      </c>
      <c r="AO924" s="1" t="str">
        <f>IFERROR(__xludf.DUMMYFUNCTION("""COMPUTED_VALUE"""),"")</f>
        <v/>
      </c>
      <c r="AP924" s="1" t="str">
        <f>IFERROR(__xludf.DUMMYFUNCTION("""COMPUTED_VALUE"""),"")</f>
        <v/>
      </c>
      <c r="AQ924" s="1" t="str">
        <f>IFERROR(__xludf.DUMMYFUNCTION("""COMPUTED_VALUE"""),"08/05/2025")</f>
        <v>08/05/2025</v>
      </c>
      <c r="AR924" s="1" t="str">
        <f>IFERROR(__xludf.DUMMYFUNCTION("""COMPUTED_VALUE"""),"08/05/2025")</f>
        <v>08/05/2025</v>
      </c>
    </row>
    <row r="925">
      <c r="A925" s="1" t="str">
        <f>IFERROR(__xludf.DUMMYFUNCTION("""COMPUTED_VALUE"""),"Flexential Dallas - Richardson Data Center")</f>
        <v>Flexential Dallas - Richardson Data Center</v>
      </c>
      <c r="B925" s="1" t="str">
        <f>IFERROR(__xludf.DUMMYFUNCTION("""COMPUTED_VALUE"""),"3010 Waterview Pkwy")</f>
        <v>3010 Waterview Pkwy</v>
      </c>
      <c r="C925" s="1" t="str">
        <f>IFERROR(__xludf.DUMMYFUNCTION("""COMPUTED_VALUE"""),"Dallas")</f>
        <v>Dallas</v>
      </c>
      <c r="D925" s="1" t="str">
        <f>IFERROR(__xludf.DUMMYFUNCTION("""COMPUTED_VALUE"""),"TX")</f>
        <v>TX</v>
      </c>
      <c r="E925" s="1" t="str">
        <f>IFERROR(__xludf.DUMMYFUNCTION("""COMPUTED_VALUE"""),"75252")</f>
        <v>75252</v>
      </c>
      <c r="F925" s="1" t="str">
        <f>IFERROR(__xludf.DUMMYFUNCTION("""COMPUTED_VALUE"""),"Collin")</f>
        <v>Collin</v>
      </c>
      <c r="G925" s="1" t="str">
        <f>IFERROR(__xludf.DUMMYFUNCTION("""COMPUTED_VALUE"""),"32.99478")</f>
        <v>32.99478</v>
      </c>
      <c r="H925" s="1" t="str">
        <f>IFERROR(__xludf.DUMMYFUNCTION("""COMPUTED_VALUE"""),"-96.7526")</f>
        <v>-96.7526</v>
      </c>
      <c r="I925" s="1" t="str">
        <f>IFERROR(__xludf.DUMMYFUNCTION("""COMPUTED_VALUE"""),"Operating")</f>
        <v>Operating</v>
      </c>
      <c r="J925" s="1" t="str">
        <f>IFERROR(__xludf.DUMMYFUNCTION("""COMPUTED_VALUE"""),"High")</f>
        <v>High</v>
      </c>
      <c r="K925" s="1" t="str">
        <f>IFERROR(__xludf.DUMMYFUNCTION("""COMPUTED_VALUE"""),"")</f>
        <v/>
      </c>
      <c r="L925" s="1" t="str">
        <f>IFERROR(__xludf.DUMMYFUNCTION("""COMPUTED_VALUE"""),"")</f>
        <v/>
      </c>
      <c r="M925" s="1" t="str">
        <f>IFERROR(__xludf.DUMMYFUNCTION("""COMPUTED_VALUE"""),"")</f>
        <v/>
      </c>
      <c r="N925" s="1" t="str">
        <f>IFERROR(__xludf.DUMMYFUNCTION("""COMPUTED_VALUE"""),"3.75")</f>
        <v>3.75</v>
      </c>
      <c r="O925" s="1" t="str">
        <f>IFERROR(__xludf.DUMMYFUNCTION("""COMPUTED_VALUE"""),"Small (0-10 MW)")</f>
        <v>Small (0-10 MW)</v>
      </c>
      <c r="P925" s="1" t="str">
        <f>IFERROR(__xludf.DUMMYFUNCTION("""COMPUTED_VALUE"""),"")</f>
        <v/>
      </c>
      <c r="Q925" s="1" t="str">
        <f>IFERROR(__xludf.DUMMYFUNCTION("""COMPUTED_VALUE"""),"")</f>
        <v/>
      </c>
      <c r="R925" s="1" t="str">
        <f>IFERROR(__xludf.DUMMYFUNCTION("""COMPUTED_VALUE"""),"")</f>
        <v/>
      </c>
      <c r="S925" s="1" t="str">
        <f>IFERROR(__xludf.DUMMYFUNCTION("""COMPUTED_VALUE"""),"")</f>
        <v/>
      </c>
      <c r="T925" s="1" t="str">
        <f>IFERROR(__xludf.DUMMYFUNCTION("""COMPUTED_VALUE"""),"")</f>
        <v/>
      </c>
      <c r="U925" s="1" t="str">
        <f>IFERROR(__xludf.DUMMYFUNCTION("""COMPUTED_VALUE"""),"")</f>
        <v/>
      </c>
      <c r="V925" s="1" t="str">
        <f>IFERROR(__xludf.DUMMYFUNCTION("""COMPUTED_VALUE"""),"100,807")</f>
        <v>100,807</v>
      </c>
      <c r="W925" s="1" t="str">
        <f>IFERROR(__xludf.DUMMYFUNCTION("""COMPUTED_VALUE"""),"")</f>
        <v/>
      </c>
      <c r="X925" s="1" t="str">
        <f>IFERROR(__xludf.DUMMYFUNCTION("""COMPUTED_VALUE"""),"")</f>
        <v/>
      </c>
      <c r="Y925" s="1" t="str">
        <f>IFERROR(__xludf.DUMMYFUNCTION("""COMPUTED_VALUE"""),"")</f>
        <v/>
      </c>
      <c r="Z925" s="1" t="str">
        <f>IFERROR(__xludf.DUMMYFUNCTION("""COMPUTED_VALUE"""),"Unknown")</f>
        <v>Unknown</v>
      </c>
      <c r="AA925" s="1" t="str">
        <f>IFERROR(__xludf.DUMMYFUNCTION("""COMPUTED_VALUE"""),"")</f>
        <v/>
      </c>
      <c r="AB925" s="1" t="str">
        <f>IFERROR(__xludf.DUMMYFUNCTION("""COMPUTED_VALUE"""),"")</f>
        <v/>
      </c>
      <c r="AC925" s="1" t="str">
        <f>IFERROR(__xludf.DUMMYFUNCTION("""COMPUTED_VALUE"""),"")</f>
        <v/>
      </c>
      <c r="AD925" s="1" t="str">
        <f>IFERROR(__xludf.DUMMYFUNCTION("""COMPUTED_VALUE"""),"")</f>
        <v/>
      </c>
      <c r="AE925" s="1" t="str">
        <f>IFERROR(__xludf.DUMMYFUNCTION("""COMPUTED_VALUE"""),"")</f>
        <v/>
      </c>
      <c r="AF925" s="1" t="str">
        <f>IFERROR(__xludf.DUMMYFUNCTION("""COMPUTED_VALUE"""),"")</f>
        <v/>
      </c>
      <c r="AG925" s="1" t="str">
        <f>IFERROR(__xludf.DUMMYFUNCTION("""COMPUTED_VALUE"""),"")</f>
        <v/>
      </c>
      <c r="AH925" s="1" t="str">
        <f>IFERROR(__xludf.DUMMYFUNCTION("""COMPUTED_VALUE"""),"Media Monitoring")</f>
        <v>Media Monitoring</v>
      </c>
      <c r="AI925" s="1" t="str">
        <f>IFERROR(__xludf.DUMMYFUNCTION("""COMPUTED_VALUE"""),"")</f>
        <v/>
      </c>
      <c r="AJ925" s="1" t="str">
        <f>IFERROR(__xludf.DUMMYFUNCTION("""COMPUTED_VALUE"""),"")</f>
        <v/>
      </c>
      <c r="AK925" s="1" t="str">
        <f>IFERROR(__xludf.DUMMYFUNCTION("""COMPUTED_VALUE"""),"")</f>
        <v/>
      </c>
      <c r="AL925" s="1" t="str">
        <f>IFERROR(__xludf.DUMMYFUNCTION("""COMPUTED_VALUE"""),"")</f>
        <v/>
      </c>
      <c r="AM925" s="1" t="str">
        <f>IFERROR(__xludf.DUMMYFUNCTION("""COMPUTED_VALUE"""),"")</f>
        <v/>
      </c>
      <c r="AN925" s="1" t="str">
        <f>IFERROR(__xludf.DUMMYFUNCTION("""COMPUTED_VALUE"""),"")</f>
        <v/>
      </c>
      <c r="AO925" s="1" t="str">
        <f>IFERROR(__xludf.DUMMYFUNCTION("""COMPUTED_VALUE"""),"")</f>
        <v/>
      </c>
      <c r="AP925" s="1" t="str">
        <f>IFERROR(__xludf.DUMMYFUNCTION("""COMPUTED_VALUE"""),"")</f>
        <v/>
      </c>
      <c r="AQ925" s="1" t="str">
        <f>IFERROR(__xludf.DUMMYFUNCTION("""COMPUTED_VALUE"""),"08/05/2025")</f>
        <v>08/05/2025</v>
      </c>
      <c r="AR925" s="1" t="str">
        <f>IFERROR(__xludf.DUMMYFUNCTION("""COMPUTED_VALUE"""),"08/05/2025")</f>
        <v>08/05/2025</v>
      </c>
    </row>
    <row r="926">
      <c r="A926" s="1" t="str">
        <f>IFERROR(__xludf.DUMMYFUNCTION("""COMPUTED_VALUE"""),"KYNDRYL DALLAS DATA CENTER")</f>
        <v>KYNDRYL DALLAS DATA CENTER</v>
      </c>
      <c r="B926" s="1" t="str">
        <f>IFERROR(__xludf.DUMMYFUNCTION("""COMPUTED_VALUE"""),"1000 BELLEVIEW ST")</f>
        <v>1000 BELLEVIEW ST</v>
      </c>
      <c r="C926" s="1" t="str">
        <f>IFERROR(__xludf.DUMMYFUNCTION("""COMPUTED_VALUE"""),"Dallas")</f>
        <v>Dallas</v>
      </c>
      <c r="D926" s="1" t="str">
        <f>IFERROR(__xludf.DUMMYFUNCTION("""COMPUTED_VALUE"""),"TX")</f>
        <v>TX</v>
      </c>
      <c r="E926" s="1" t="str">
        <f>IFERROR(__xludf.DUMMYFUNCTION("""COMPUTED_VALUE"""),"75215")</f>
        <v>75215</v>
      </c>
      <c r="F926" s="1" t="str">
        <f>IFERROR(__xludf.DUMMYFUNCTION("""COMPUTED_VALUE"""),"Dallas")</f>
        <v>Dallas</v>
      </c>
      <c r="G926" s="1" t="str">
        <f>IFERROR(__xludf.DUMMYFUNCTION("""COMPUTED_VALUE"""),"32.76849")</f>
        <v>32.76849</v>
      </c>
      <c r="H926" s="1" t="str">
        <f>IFERROR(__xludf.DUMMYFUNCTION("""COMPUTED_VALUE"""),"-96.7941")</f>
        <v>-96.7941</v>
      </c>
      <c r="I926" s="1" t="str">
        <f>IFERROR(__xludf.DUMMYFUNCTION("""COMPUTED_VALUE"""),"Operating")</f>
        <v>Operating</v>
      </c>
      <c r="J926" s="1" t="str">
        <f>IFERROR(__xludf.DUMMYFUNCTION("""COMPUTED_VALUE"""),"High")</f>
        <v>High</v>
      </c>
      <c r="K926" s="1" t="str">
        <f>IFERROR(__xludf.DUMMYFUNCTION("""COMPUTED_VALUE"""),"")</f>
        <v/>
      </c>
      <c r="L926" s="1" t="str">
        <f>IFERROR(__xludf.DUMMYFUNCTION("""COMPUTED_VALUE"""),"")</f>
        <v/>
      </c>
      <c r="M926" s="1" t="str">
        <f>IFERROR(__xludf.DUMMYFUNCTION("""COMPUTED_VALUE"""),"")</f>
        <v/>
      </c>
      <c r="N926" s="1" t="str">
        <f>IFERROR(__xludf.DUMMYFUNCTION("""COMPUTED_VALUE"""),"")</f>
        <v/>
      </c>
      <c r="O926" s="1" t="str">
        <f>IFERROR(__xludf.DUMMYFUNCTION("""COMPUTED_VALUE"""),"Unknown")</f>
        <v>Unknown</v>
      </c>
      <c r="P926" s="1" t="str">
        <f>IFERROR(__xludf.DUMMYFUNCTION("""COMPUTED_VALUE"""),"")</f>
        <v/>
      </c>
      <c r="Q926" s="1" t="str">
        <f>IFERROR(__xludf.DUMMYFUNCTION("""COMPUTED_VALUE"""),"")</f>
        <v/>
      </c>
      <c r="R926" s="1" t="str">
        <f>IFERROR(__xludf.DUMMYFUNCTION("""COMPUTED_VALUE"""),"")</f>
        <v/>
      </c>
      <c r="S926" s="1" t="str">
        <f>IFERROR(__xludf.DUMMYFUNCTION("""COMPUTED_VALUE"""),"")</f>
        <v/>
      </c>
      <c r="T926" s="1" t="str">
        <f>IFERROR(__xludf.DUMMYFUNCTION("""COMPUTED_VALUE"""),"")</f>
        <v/>
      </c>
      <c r="U926" s="1" t="str">
        <f>IFERROR(__xludf.DUMMYFUNCTION("""COMPUTED_VALUE"""),"")</f>
        <v/>
      </c>
      <c r="V926" s="1" t="str">
        <f>IFERROR(__xludf.DUMMYFUNCTION("""COMPUTED_VALUE"""),"")</f>
        <v/>
      </c>
      <c r="W926" s="1" t="str">
        <f>IFERROR(__xludf.DUMMYFUNCTION("""COMPUTED_VALUE"""),"")</f>
        <v/>
      </c>
      <c r="X926" s="1" t="str">
        <f>IFERROR(__xludf.DUMMYFUNCTION("""COMPUTED_VALUE"""),"")</f>
        <v/>
      </c>
      <c r="Y926" s="1" t="str">
        <f>IFERROR(__xludf.DUMMYFUNCTION("""COMPUTED_VALUE"""),"")</f>
        <v/>
      </c>
      <c r="Z926" s="1" t="str">
        <f>IFERROR(__xludf.DUMMYFUNCTION("""COMPUTED_VALUE"""),"Unknown")</f>
        <v>Unknown</v>
      </c>
      <c r="AA926" s="1" t="str">
        <f>IFERROR(__xludf.DUMMYFUNCTION("""COMPUTED_VALUE"""),"")</f>
        <v/>
      </c>
      <c r="AB926" s="1" t="str">
        <f>IFERROR(__xludf.DUMMYFUNCTION("""COMPUTED_VALUE"""),"")</f>
        <v/>
      </c>
      <c r="AC926" s="1" t="str">
        <f>IFERROR(__xludf.DUMMYFUNCTION("""COMPUTED_VALUE"""),"")</f>
        <v/>
      </c>
      <c r="AD926" s="1" t="str">
        <f>IFERROR(__xludf.DUMMYFUNCTION("""COMPUTED_VALUE"""),"")</f>
        <v/>
      </c>
      <c r="AE926" s="1" t="str">
        <f>IFERROR(__xludf.DUMMYFUNCTION("""COMPUTED_VALUE"""),"")</f>
        <v/>
      </c>
      <c r="AF926" s="1" t="str">
        <f>IFERROR(__xludf.DUMMYFUNCTION("""COMPUTED_VALUE"""),"")</f>
        <v/>
      </c>
      <c r="AG926" s="1" t="str">
        <f>IFERROR(__xludf.DUMMYFUNCTION("""COMPUTED_VALUE"""),"FULLY REGULATED")</f>
        <v>FULLY REGULATED</v>
      </c>
      <c r="AH926" s="1" t="str">
        <f>IFERROR(__xludf.DUMMYFUNCTION("""COMPUTED_VALUE"""),"Media Monitoring")</f>
        <v>Media Monitoring</v>
      </c>
      <c r="AI926" s="2" t="str">
        <f>IFERROR(__xludf.DUMMYFUNCTION("""COMPUTED_VALUE"""),"https://gis-tceq.opendata.arcgis.com/datasets/daece6e3181140f69093ab69cf9ae0ba/explore?layer=0&amp;showTable=true")</f>
        <v>https://gis-tceq.opendata.arcgis.com/datasets/daece6e3181140f69093ab69cf9ae0ba/explore?layer=0&amp;showTable=true</v>
      </c>
      <c r="AJ926" s="1" t="str">
        <f>IFERROR(__xludf.DUMMYFUNCTION("""COMPUTED_VALUE"""),"")</f>
        <v/>
      </c>
      <c r="AK926" s="1" t="str">
        <f>IFERROR(__xludf.DUMMYFUNCTION("""COMPUTED_VALUE"""),"")</f>
        <v/>
      </c>
      <c r="AL926" s="1" t="str">
        <f>IFERROR(__xludf.DUMMYFUNCTION("""COMPUTED_VALUE"""),"")</f>
        <v/>
      </c>
      <c r="AM926" s="1" t="str">
        <f>IFERROR(__xludf.DUMMYFUNCTION("""COMPUTED_VALUE"""),"")</f>
        <v/>
      </c>
      <c r="AN926" s="1" t="str">
        <f>IFERROR(__xludf.DUMMYFUNCTION("""COMPUTED_VALUE"""),"")</f>
        <v/>
      </c>
      <c r="AO926" s="1" t="str">
        <f>IFERROR(__xludf.DUMMYFUNCTION("""COMPUTED_VALUE"""),"")</f>
        <v/>
      </c>
      <c r="AP926" s="1" t="str">
        <f>IFERROR(__xludf.DUMMYFUNCTION("""COMPUTED_VALUE"""),"")</f>
        <v/>
      </c>
      <c r="AQ926" s="1" t="str">
        <f>IFERROR(__xludf.DUMMYFUNCTION("""COMPUTED_VALUE"""),"08/05/2025")</f>
        <v>08/05/2025</v>
      </c>
      <c r="AR926" s="1" t="str">
        <f>IFERROR(__xludf.DUMMYFUNCTION("""COMPUTED_VALUE"""),"08/05/2025")</f>
        <v>08/05/2025</v>
      </c>
    </row>
    <row r="927">
      <c r="A927" s="1" t="str">
        <f>IFERROR(__xludf.DUMMYFUNCTION("""COMPUTED_VALUE"""),"Stemmons Corridor data campus")</f>
        <v>Stemmons Corridor data campus</v>
      </c>
      <c r="B927" s="1" t="str">
        <f>IFERROR(__xludf.DUMMYFUNCTION("""COMPUTED_VALUE"""),"Stemmons Corridor district")</f>
        <v>Stemmons Corridor district</v>
      </c>
      <c r="C927" s="1" t="str">
        <f>IFERROR(__xludf.DUMMYFUNCTION("""COMPUTED_VALUE"""),"Dallas")</f>
        <v>Dallas</v>
      </c>
      <c r="D927" s="1" t="str">
        <f>IFERROR(__xludf.DUMMYFUNCTION("""COMPUTED_VALUE"""),"TX")</f>
        <v>TX</v>
      </c>
      <c r="E927" s="1" t="str">
        <f>IFERROR(__xludf.DUMMYFUNCTION("""COMPUTED_VALUE"""),"75207")</f>
        <v>75207</v>
      </c>
      <c r="F927" s="1" t="str">
        <f>IFERROR(__xludf.DUMMYFUNCTION("""COMPUTED_VALUE"""),"Dallas")</f>
        <v>Dallas</v>
      </c>
      <c r="G927" s="1" t="str">
        <f>IFERROR(__xludf.DUMMYFUNCTION("""COMPUTED_VALUE"""),"32.805115")</f>
        <v>32.805115</v>
      </c>
      <c r="H927" s="1" t="str">
        <f>IFERROR(__xludf.DUMMYFUNCTION("""COMPUTED_VALUE"""),"-96.83142")</f>
        <v>-96.83142</v>
      </c>
      <c r="I927" s="1" t="str">
        <f>IFERROR(__xludf.DUMMYFUNCTION("""COMPUTED_VALUE"""),"Proposed")</f>
        <v>Proposed</v>
      </c>
      <c r="J927" s="1" t="str">
        <f>IFERROR(__xludf.DUMMYFUNCTION("""COMPUTED_VALUE"""),"Medium")</f>
        <v>Medium</v>
      </c>
      <c r="K927" s="1" t="str">
        <f>IFERROR(__xludf.DUMMYFUNCTION("""COMPUTED_VALUE"""),"")</f>
        <v/>
      </c>
      <c r="L927" s="1" t="str">
        <f>IFERROR(__xludf.DUMMYFUNCTION("""COMPUTED_VALUE"""),"CleanArc")</f>
        <v>CleanArc</v>
      </c>
      <c r="M927" s="1" t="str">
        <f>IFERROR(__xludf.DUMMYFUNCTION("""COMPUTED_VALUE"""),"")</f>
        <v/>
      </c>
      <c r="N927" s="1" t="str">
        <f>IFERROR(__xludf.DUMMYFUNCTION("""COMPUTED_VALUE"""),"70-245")</f>
        <v>70-245</v>
      </c>
      <c r="O927" s="1" t="str">
        <f>IFERROR(__xludf.DUMMYFUNCTION("""COMPUTED_VALUE"""),"Hyperscale (100-999 MW)")</f>
        <v>Hyperscale (100-999 MW)</v>
      </c>
      <c r="P927" s="1" t="str">
        <f>IFERROR(__xludf.DUMMYFUNCTION("""COMPUTED_VALUE"""),"")</f>
        <v/>
      </c>
      <c r="Q927" s="1" t="str">
        <f>IFERROR(__xludf.DUMMYFUNCTION("""COMPUTED_VALUE"""),"")</f>
        <v/>
      </c>
      <c r="R927" s="1" t="str">
        <f>IFERROR(__xludf.DUMMYFUNCTION("""COMPUTED_VALUE"""),"")</f>
        <v/>
      </c>
      <c r="S927" s="1" t="str">
        <f>IFERROR(__xludf.DUMMYFUNCTION("""COMPUTED_VALUE"""),"")</f>
        <v/>
      </c>
      <c r="T927" s="1" t="str">
        <f>IFERROR(__xludf.DUMMYFUNCTION("""COMPUTED_VALUE"""),"")</f>
        <v/>
      </c>
      <c r="U927" s="1" t="str">
        <f>IFERROR(__xludf.DUMMYFUNCTION("""COMPUTED_VALUE"""),"")</f>
        <v/>
      </c>
      <c r="V927" s="1" t="str">
        <f>IFERROR(__xludf.DUMMYFUNCTION("""COMPUTED_VALUE"""),"")</f>
        <v/>
      </c>
      <c r="W927" s="1" t="str">
        <f>IFERROR(__xludf.DUMMYFUNCTION("""COMPUTED_VALUE"""),"40")</f>
        <v>40</v>
      </c>
      <c r="X927" s="1" t="str">
        <f>IFERROR(__xludf.DUMMYFUNCTION("""COMPUTED_VALUE"""),"")</f>
        <v/>
      </c>
      <c r="Y927" s="1" t="str">
        <f>IFERROR(__xludf.DUMMYFUNCTION("""COMPUTED_VALUE"""),"2027")</f>
        <v>2027</v>
      </c>
      <c r="Z927" s="1" t="str">
        <f>IFERROR(__xludf.DUMMYFUNCTION("""COMPUTED_VALUE"""),"Unknown")</f>
        <v>Unknown</v>
      </c>
      <c r="AA927" s="1" t="str">
        <f>IFERROR(__xludf.DUMMYFUNCTION("""COMPUTED_VALUE"""),"")</f>
        <v/>
      </c>
      <c r="AB927" s="1" t="str">
        <f>IFERROR(__xludf.DUMMYFUNCTION("""COMPUTED_VALUE"""),"")</f>
        <v/>
      </c>
      <c r="AC927" s="1" t="str">
        <f>IFERROR(__xludf.DUMMYFUNCTION("""COMPUTED_VALUE"""),"")</f>
        <v/>
      </c>
      <c r="AD927" s="1" t="str">
        <f>IFERROR(__xludf.DUMMYFUNCTION("""COMPUTED_VALUE"""),"")</f>
        <v/>
      </c>
      <c r="AE927" s="1" t="str">
        <f>IFERROR(__xludf.DUMMYFUNCTION("""COMPUTED_VALUE"""),"")</f>
        <v/>
      </c>
      <c r="AF927" s="1" t="str">
        <f>IFERROR(__xludf.DUMMYFUNCTION("""COMPUTED_VALUE"""),"")</f>
        <v/>
      </c>
      <c r="AG927" s="1" t="str">
        <f>IFERROR(__xludf.DUMMYFUNCTION("""COMPUTED_VALUE"""),"")</f>
        <v/>
      </c>
      <c r="AH927" s="1" t="str">
        <f>IFERROR(__xludf.DUMMYFUNCTION("""COMPUTED_VALUE"""),"Media Monitoring")</f>
        <v>Media Monitoring</v>
      </c>
      <c r="AI927" s="2" t="str">
        <f>IFERROR(__xludf.DUMMYFUNCTION("""COMPUTED_VALUE"""),"https://www.datacenterdynamics.com/en/news/cleanarc-partners-with-crow-holdings-for-245mw-campus-in-dallas-texas/")</f>
        <v>https://www.datacenterdynamics.com/en/news/cleanarc-partners-with-crow-holdings-for-245mw-campus-in-dallas-texas/</v>
      </c>
      <c r="AJ927" s="1" t="str">
        <f>IFERROR(__xludf.DUMMYFUNCTION("""COMPUTED_VALUE"""),"")</f>
        <v/>
      </c>
      <c r="AK927" s="1" t="str">
        <f>IFERROR(__xludf.DUMMYFUNCTION("""COMPUTED_VALUE"""),"")</f>
        <v/>
      </c>
      <c r="AL927" s="1" t="str">
        <f>IFERROR(__xludf.DUMMYFUNCTION("""COMPUTED_VALUE"""),"")</f>
        <v/>
      </c>
      <c r="AM927" s="1" t="str">
        <f>IFERROR(__xludf.DUMMYFUNCTION("""COMPUTED_VALUE"""),"")</f>
        <v/>
      </c>
      <c r="AN927" s="1" t="str">
        <f>IFERROR(__xludf.DUMMYFUNCTION("""COMPUTED_VALUE"""),"")</f>
        <v/>
      </c>
      <c r="AO927" s="1" t="str">
        <f>IFERROR(__xludf.DUMMYFUNCTION("""COMPUTED_VALUE"""),"")</f>
        <v/>
      </c>
      <c r="AP927" s="1" t="str">
        <f>IFERROR(__xludf.DUMMYFUNCTION("""COMPUTED_VALUE"""),"")</f>
        <v/>
      </c>
      <c r="AQ927" s="1" t="str">
        <f>IFERROR(__xludf.DUMMYFUNCTION("""COMPUTED_VALUE"""),"01/22/2026")</f>
        <v>01/22/2026</v>
      </c>
      <c r="AR927" s="1" t="str">
        <f>IFERROR(__xludf.DUMMYFUNCTION("""COMPUTED_VALUE"""),"01/22/2026")</f>
        <v>01/22/2026</v>
      </c>
    </row>
    <row r="928">
      <c r="A928" s="1" t="str">
        <f>IFERROR(__xludf.DUMMYFUNCTION("""COMPUTED_VALUE"""),"TierPoint - Dallas Data Center")</f>
        <v>TierPoint - Dallas Data Center</v>
      </c>
      <c r="B928" s="1" t="str">
        <f>IFERROR(__xludf.DUMMYFUNCTION("""COMPUTED_VALUE"""),"3004 Irving Blvd")</f>
        <v>3004 Irving Blvd</v>
      </c>
      <c r="C928" s="1" t="str">
        <f>IFERROR(__xludf.DUMMYFUNCTION("""COMPUTED_VALUE"""),"Dallas")</f>
        <v>Dallas</v>
      </c>
      <c r="D928" s="1" t="str">
        <f>IFERROR(__xludf.DUMMYFUNCTION("""COMPUTED_VALUE"""),"TX")</f>
        <v>TX</v>
      </c>
      <c r="E928" s="1" t="str">
        <f>IFERROR(__xludf.DUMMYFUNCTION("""COMPUTED_VALUE"""),"75247")</f>
        <v>75247</v>
      </c>
      <c r="F928" s="1" t="str">
        <f>IFERROR(__xludf.DUMMYFUNCTION("""COMPUTED_VALUE"""),"Dallas")</f>
        <v>Dallas</v>
      </c>
      <c r="G928" s="1" t="str">
        <f>IFERROR(__xludf.DUMMYFUNCTION("""COMPUTED_VALUE"""),"32.80838")</f>
        <v>32.80838</v>
      </c>
      <c r="H928" s="1" t="str">
        <f>IFERROR(__xludf.DUMMYFUNCTION("""COMPUTED_VALUE"""),"-96.8576")</f>
        <v>-96.8576</v>
      </c>
      <c r="I928" s="1" t="str">
        <f>IFERROR(__xludf.DUMMYFUNCTION("""COMPUTED_VALUE"""),"Operating")</f>
        <v>Operating</v>
      </c>
      <c r="J928" s="1" t="str">
        <f>IFERROR(__xludf.DUMMYFUNCTION("""COMPUTED_VALUE"""),"High")</f>
        <v>High</v>
      </c>
      <c r="K928" s="1" t="str">
        <f>IFERROR(__xludf.DUMMYFUNCTION("""COMPUTED_VALUE"""),"")</f>
        <v/>
      </c>
      <c r="L928" s="1" t="str">
        <f>IFERROR(__xludf.DUMMYFUNCTION("""COMPUTED_VALUE"""),"")</f>
        <v/>
      </c>
      <c r="M928" s="1" t="str">
        <f>IFERROR(__xludf.DUMMYFUNCTION("""COMPUTED_VALUE"""),"")</f>
        <v/>
      </c>
      <c r="N928" s="1" t="str">
        <f>IFERROR(__xludf.DUMMYFUNCTION("""COMPUTED_VALUE"""),"")</f>
        <v/>
      </c>
      <c r="O928" s="1" t="str">
        <f>IFERROR(__xludf.DUMMYFUNCTION("""COMPUTED_VALUE"""),"Unknown")</f>
        <v>Unknown</v>
      </c>
      <c r="P928" s="1" t="str">
        <f>IFERROR(__xludf.DUMMYFUNCTION("""COMPUTED_VALUE"""),"")</f>
        <v/>
      </c>
      <c r="Q928" s="1" t="str">
        <f>IFERROR(__xludf.DUMMYFUNCTION("""COMPUTED_VALUE"""),"")</f>
        <v/>
      </c>
      <c r="R928" s="1" t="str">
        <f>IFERROR(__xludf.DUMMYFUNCTION("""COMPUTED_VALUE"""),"")</f>
        <v/>
      </c>
      <c r="S928" s="1" t="str">
        <f>IFERROR(__xludf.DUMMYFUNCTION("""COMPUTED_VALUE"""),"")</f>
        <v/>
      </c>
      <c r="T928" s="1" t="str">
        <f>IFERROR(__xludf.DUMMYFUNCTION("""COMPUTED_VALUE"""),"")</f>
        <v/>
      </c>
      <c r="U928" s="1" t="str">
        <f>IFERROR(__xludf.DUMMYFUNCTION("""COMPUTED_VALUE"""),"")</f>
        <v/>
      </c>
      <c r="V928" s="1" t="str">
        <f>IFERROR(__xludf.DUMMYFUNCTION("""COMPUTED_VALUE"""),"")</f>
        <v/>
      </c>
      <c r="W928" s="1" t="str">
        <f>IFERROR(__xludf.DUMMYFUNCTION("""COMPUTED_VALUE"""),"")</f>
        <v/>
      </c>
      <c r="X928" s="1" t="str">
        <f>IFERROR(__xludf.DUMMYFUNCTION("""COMPUTED_VALUE"""),"")</f>
        <v/>
      </c>
      <c r="Y928" s="1" t="str">
        <f>IFERROR(__xludf.DUMMYFUNCTION("""COMPUTED_VALUE"""),"")</f>
        <v/>
      </c>
      <c r="Z928" s="1" t="str">
        <f>IFERROR(__xludf.DUMMYFUNCTION("""COMPUTED_VALUE"""),"Unknown")</f>
        <v>Unknown</v>
      </c>
      <c r="AA928" s="1" t="str">
        <f>IFERROR(__xludf.DUMMYFUNCTION("""COMPUTED_VALUE"""),"")</f>
        <v/>
      </c>
      <c r="AB928" s="1" t="str">
        <f>IFERROR(__xludf.DUMMYFUNCTION("""COMPUTED_VALUE"""),"")</f>
        <v/>
      </c>
      <c r="AC928" s="1" t="str">
        <f>IFERROR(__xludf.DUMMYFUNCTION("""COMPUTED_VALUE"""),"")</f>
        <v/>
      </c>
      <c r="AD928" s="1" t="str">
        <f>IFERROR(__xludf.DUMMYFUNCTION("""COMPUTED_VALUE"""),"")</f>
        <v/>
      </c>
      <c r="AE928" s="1" t="str">
        <f>IFERROR(__xludf.DUMMYFUNCTION("""COMPUTED_VALUE"""),"")</f>
        <v/>
      </c>
      <c r="AF928" s="1" t="str">
        <f>IFERROR(__xludf.DUMMYFUNCTION("""COMPUTED_VALUE"""),"")</f>
        <v/>
      </c>
      <c r="AG928" s="1" t="str">
        <f>IFERROR(__xludf.DUMMYFUNCTION("""COMPUTED_VALUE"""),"")</f>
        <v/>
      </c>
      <c r="AH928" s="1" t="str">
        <f>IFERROR(__xludf.DUMMYFUNCTION("""COMPUTED_VALUE"""),"Media Monitoring")</f>
        <v>Media Monitoring</v>
      </c>
      <c r="AI928" s="1" t="str">
        <f>IFERROR(__xludf.DUMMYFUNCTION("""COMPUTED_VALUE"""),"")</f>
        <v/>
      </c>
      <c r="AJ928" s="1" t="str">
        <f>IFERROR(__xludf.DUMMYFUNCTION("""COMPUTED_VALUE"""),"")</f>
        <v/>
      </c>
      <c r="AK928" s="1" t="str">
        <f>IFERROR(__xludf.DUMMYFUNCTION("""COMPUTED_VALUE"""),"")</f>
        <v/>
      </c>
      <c r="AL928" s="1" t="str">
        <f>IFERROR(__xludf.DUMMYFUNCTION("""COMPUTED_VALUE"""),"")</f>
        <v/>
      </c>
      <c r="AM928" s="1" t="str">
        <f>IFERROR(__xludf.DUMMYFUNCTION("""COMPUTED_VALUE"""),"")</f>
        <v/>
      </c>
      <c r="AN928" s="1" t="str">
        <f>IFERROR(__xludf.DUMMYFUNCTION("""COMPUTED_VALUE"""),"")</f>
        <v/>
      </c>
      <c r="AO928" s="1" t="str">
        <f>IFERROR(__xludf.DUMMYFUNCTION("""COMPUTED_VALUE"""),"")</f>
        <v/>
      </c>
      <c r="AP928" s="1" t="str">
        <f>IFERROR(__xludf.DUMMYFUNCTION("""COMPUTED_VALUE"""),"")</f>
        <v/>
      </c>
      <c r="AQ928" s="1" t="str">
        <f>IFERROR(__xludf.DUMMYFUNCTION("""COMPUTED_VALUE"""),"08/05/2025")</f>
        <v>08/05/2025</v>
      </c>
      <c r="AR928" s="1" t="str">
        <f>IFERROR(__xludf.DUMMYFUNCTION("""COMPUTED_VALUE"""),"08/05/2025")</f>
        <v>08/05/2025</v>
      </c>
    </row>
    <row r="929">
      <c r="A929" s="1" t="str">
        <f>IFERROR(__xludf.DUMMYFUNCTION("""COMPUTED_VALUE"""),"Denton Data Center ")</f>
        <v>Denton Data Center </v>
      </c>
      <c r="B929" s="1" t="str">
        <f>IFERROR(__xludf.DUMMYFUNCTION("""COMPUTED_VALUE"""),"8171 Jim Christal Rd")</f>
        <v>8171 Jim Christal Rd</v>
      </c>
      <c r="C929" s="1" t="str">
        <f>IFERROR(__xludf.DUMMYFUNCTION("""COMPUTED_VALUE"""),"Denton")</f>
        <v>Denton</v>
      </c>
      <c r="D929" s="1" t="str">
        <f>IFERROR(__xludf.DUMMYFUNCTION("""COMPUTED_VALUE"""),"TX")</f>
        <v>TX</v>
      </c>
      <c r="E929" s="1" t="str">
        <f>IFERROR(__xludf.DUMMYFUNCTION("""COMPUTED_VALUE"""),"76207")</f>
        <v>76207</v>
      </c>
      <c r="F929" s="1" t="str">
        <f>IFERROR(__xludf.DUMMYFUNCTION("""COMPUTED_VALUE"""),"Denton")</f>
        <v>Denton</v>
      </c>
      <c r="G929" s="1" t="str">
        <f>IFERROR(__xludf.DUMMYFUNCTION("""COMPUTED_VALUE"""),"33.21948")</f>
        <v>33.21948</v>
      </c>
      <c r="H929" s="1" t="str">
        <f>IFERROR(__xludf.DUMMYFUNCTION("""COMPUTED_VALUE"""),"-97.2129")</f>
        <v>-97.2129</v>
      </c>
      <c r="I929" s="1" t="str">
        <f>IFERROR(__xludf.DUMMYFUNCTION("""COMPUTED_VALUE"""),"Operating")</f>
        <v>Operating</v>
      </c>
      <c r="J929" s="1" t="str">
        <f>IFERROR(__xludf.DUMMYFUNCTION("""COMPUTED_VALUE"""),"High")</f>
        <v>High</v>
      </c>
      <c r="K929" s="1" t="str">
        <f>IFERROR(__xludf.DUMMYFUNCTION("""COMPUTED_VALUE"""),"")</f>
        <v/>
      </c>
      <c r="L929" s="1" t="str">
        <f>IFERROR(__xludf.DUMMYFUNCTION("""COMPUTED_VALUE"""),"")</f>
        <v/>
      </c>
      <c r="M929" s="1" t="str">
        <f>IFERROR(__xludf.DUMMYFUNCTION("""COMPUTED_VALUE"""),"")</f>
        <v/>
      </c>
      <c r="N929" s="1" t="str">
        <f>IFERROR(__xludf.DUMMYFUNCTION("""COMPUTED_VALUE"""),"391")</f>
        <v>391</v>
      </c>
      <c r="O929" s="1" t="str">
        <f>IFERROR(__xludf.DUMMYFUNCTION("""COMPUTED_VALUE"""),"Hyperscale (100-999 MW)")</f>
        <v>Hyperscale (100-999 MW)</v>
      </c>
      <c r="P929" s="1" t="str">
        <f>IFERROR(__xludf.DUMMYFUNCTION("""COMPUTED_VALUE"""),"")</f>
        <v/>
      </c>
      <c r="Q929" s="1" t="str">
        <f>IFERROR(__xludf.DUMMYFUNCTION("""COMPUTED_VALUE"""),"")</f>
        <v/>
      </c>
      <c r="R929" s="1" t="str">
        <f>IFERROR(__xludf.DUMMYFUNCTION("""COMPUTED_VALUE"""),"")</f>
        <v/>
      </c>
      <c r="S929" s="1" t="str">
        <f>IFERROR(__xludf.DUMMYFUNCTION("""COMPUTED_VALUE"""),"")</f>
        <v/>
      </c>
      <c r="T929" s="1" t="str">
        <f>IFERROR(__xludf.DUMMYFUNCTION("""COMPUTED_VALUE"""),"")</f>
        <v/>
      </c>
      <c r="U929" s="1" t="str">
        <f>IFERROR(__xludf.DUMMYFUNCTION("""COMPUTED_VALUE"""),"")</f>
        <v/>
      </c>
      <c r="V929" s="1" t="str">
        <f>IFERROR(__xludf.DUMMYFUNCTION("""COMPUTED_VALUE"""),"423,831")</f>
        <v>423,831</v>
      </c>
      <c r="W929" s="1" t="str">
        <f>IFERROR(__xludf.DUMMYFUNCTION("""COMPUTED_VALUE"""),"79")</f>
        <v>79</v>
      </c>
      <c r="X929" s="1" t="str">
        <f>IFERROR(__xludf.DUMMYFUNCTION("""COMPUTED_VALUE"""),"")</f>
        <v/>
      </c>
      <c r="Y929" s="1" t="str">
        <f>IFERROR(__xludf.DUMMYFUNCTION("""COMPUTED_VALUE"""),"")</f>
        <v/>
      </c>
      <c r="Z929" s="1" t="str">
        <f>IFERROR(__xludf.DUMMYFUNCTION("""COMPUTED_VALUE"""),"Unknown")</f>
        <v>Unknown</v>
      </c>
      <c r="AA929" s="1" t="str">
        <f>IFERROR(__xludf.DUMMYFUNCTION("""COMPUTED_VALUE"""),"")</f>
        <v/>
      </c>
      <c r="AB929" s="1" t="str">
        <f>IFERROR(__xludf.DUMMYFUNCTION("""COMPUTED_VALUE"""),"")</f>
        <v/>
      </c>
      <c r="AC929" s="1" t="str">
        <f>IFERROR(__xludf.DUMMYFUNCTION("""COMPUTED_VALUE"""),"")</f>
        <v/>
      </c>
      <c r="AD929" s="1" t="str">
        <f>IFERROR(__xludf.DUMMYFUNCTION("""COMPUTED_VALUE"""),"")</f>
        <v/>
      </c>
      <c r="AE929" s="1" t="str">
        <f>IFERROR(__xludf.DUMMYFUNCTION("""COMPUTED_VALUE"""),"")</f>
        <v/>
      </c>
      <c r="AF929" s="1" t="str">
        <f>IFERROR(__xludf.DUMMYFUNCTION("""COMPUTED_VALUE"""),"")</f>
        <v/>
      </c>
      <c r="AG929" s="1" t="str">
        <f>IFERROR(__xludf.DUMMYFUNCTION("""COMPUTED_VALUE"""),"currently crypto mining")</f>
        <v>currently crypto mining</v>
      </c>
      <c r="AH929" s="1" t="str">
        <f>IFERROR(__xludf.DUMMYFUNCTION("""COMPUTED_VALUE"""),"Media Monitoring")</f>
        <v>Media Monitoring</v>
      </c>
      <c r="AI929" s="2" t="str">
        <f>IFERROR(__xludf.DUMMYFUNCTION("""COMPUTED_VALUE"""),"https://comptroller.texas.gov/taxes/data-centers/data-center-lists.php")</f>
        <v>https://comptroller.texas.gov/taxes/data-centers/data-center-lists.php</v>
      </c>
      <c r="AJ929" s="2" t="str">
        <f>IFERROR(__xludf.DUMMYFUNCTION("""COMPUTED_VALUE"""),"https://corescientific.com/high-density-data-centers/denton-texas/")</f>
        <v>https://corescientific.com/high-density-data-centers/denton-texas/</v>
      </c>
      <c r="AK929" s="2" t="str">
        <f>IFERROR(__xludf.DUMMYFUNCTION("""COMPUTED_VALUE"""),"https://www.datacenterdynamics.com/en/news/core-scientific-plans-to-upgrade-denton-texas-data-center-for-up-to-61bn/")</f>
        <v>https://www.datacenterdynamics.com/en/news/core-scientific-plans-to-upgrade-denton-texas-data-center-for-up-to-61bn/</v>
      </c>
      <c r="AL929" s="1" t="str">
        <f>IFERROR(__xludf.DUMMYFUNCTION("""COMPUTED_VALUE"""),"")</f>
        <v/>
      </c>
      <c r="AM929" s="1" t="str">
        <f>IFERROR(__xludf.DUMMYFUNCTION("""COMPUTED_VALUE"""),"")</f>
        <v/>
      </c>
      <c r="AN929" s="1" t="str">
        <f>IFERROR(__xludf.DUMMYFUNCTION("""COMPUTED_VALUE"""),"")</f>
        <v/>
      </c>
      <c r="AO929" s="1" t="str">
        <f>IFERROR(__xludf.DUMMYFUNCTION("""COMPUTED_VALUE"""),"")</f>
        <v/>
      </c>
      <c r="AP929" s="1" t="str">
        <f>IFERROR(__xludf.DUMMYFUNCTION("""COMPUTED_VALUE"""),"")</f>
        <v/>
      </c>
      <c r="AQ929" s="1" t="str">
        <f>IFERROR(__xludf.DUMMYFUNCTION("""COMPUTED_VALUE"""),"08/05/2025")</f>
        <v>08/05/2025</v>
      </c>
      <c r="AR929" s="1" t="str">
        <f>IFERROR(__xludf.DUMMYFUNCTION("""COMPUTED_VALUE"""),"08/05/2025")</f>
        <v>08/05/2025</v>
      </c>
    </row>
    <row r="930">
      <c r="A930" s="1" t="str">
        <f>IFERROR(__xludf.DUMMYFUNCTION("""COMPUTED_VALUE"""),"Qumulus AI")</f>
        <v>Qumulus AI</v>
      </c>
      <c r="B930" s="1" t="str">
        <f>IFERROR(__xludf.DUMMYFUNCTION("""COMPUTED_VALUE"""),"South of Jim Cristal Rd, east of Western Blvd")</f>
        <v>South of Jim Cristal Rd, east of Western Blvd</v>
      </c>
      <c r="C930" s="1" t="str">
        <f>IFERROR(__xludf.DUMMYFUNCTION("""COMPUTED_VALUE"""),"Denton")</f>
        <v>Denton</v>
      </c>
      <c r="D930" s="1" t="str">
        <f>IFERROR(__xludf.DUMMYFUNCTION("""COMPUTED_VALUE"""),"TX")</f>
        <v>TX</v>
      </c>
      <c r="E930" s="1" t="str">
        <f>IFERROR(__xludf.DUMMYFUNCTION("""COMPUTED_VALUE"""),"76207")</f>
        <v>76207</v>
      </c>
      <c r="F930" s="1" t="str">
        <f>IFERROR(__xludf.DUMMYFUNCTION("""COMPUTED_VALUE"""),"Denton")</f>
        <v>Denton</v>
      </c>
      <c r="G930" s="1" t="str">
        <f>IFERROR(__xludf.DUMMYFUNCTION("""COMPUTED_VALUE"""),"33.20929")</f>
        <v>33.20929</v>
      </c>
      <c r="H930" s="1" t="str">
        <f>IFERROR(__xludf.DUMMYFUNCTION("""COMPUTED_VALUE"""),"-97.180824")</f>
        <v>-97.180824</v>
      </c>
      <c r="I930" s="1" t="str">
        <f>IFERROR(__xludf.DUMMYFUNCTION("""COMPUTED_VALUE"""),"Proposed")</f>
        <v>Proposed</v>
      </c>
      <c r="J930" s="1" t="str">
        <f>IFERROR(__xludf.DUMMYFUNCTION("""COMPUTED_VALUE"""),"High")</f>
        <v>High</v>
      </c>
      <c r="K930" s="1" t="str">
        <f>IFERROR(__xludf.DUMMYFUNCTION("""COMPUTED_VALUE"""),"")</f>
        <v/>
      </c>
      <c r="L930" s="1" t="str">
        <f>IFERROR(__xludf.DUMMYFUNCTION("""COMPUTED_VALUE"""),"Qumulus AI")</f>
        <v>Qumulus AI</v>
      </c>
      <c r="M930" s="1" t="str">
        <f>IFERROR(__xludf.DUMMYFUNCTION("""COMPUTED_VALUE"""),"")</f>
        <v/>
      </c>
      <c r="N930" s="1" t="str">
        <f>IFERROR(__xludf.DUMMYFUNCTION("""COMPUTED_VALUE"""),"20")</f>
        <v>20</v>
      </c>
      <c r="O930" s="1" t="str">
        <f>IFERROR(__xludf.DUMMYFUNCTION("""COMPUTED_VALUE"""),"Medium (11-50 MW)")</f>
        <v>Medium (11-50 MW)</v>
      </c>
      <c r="P930" s="1" t="str">
        <f>IFERROR(__xludf.DUMMYFUNCTION("""COMPUTED_VALUE"""),"Grid (unspecified mix)")</f>
        <v>Grid (unspecified mix)</v>
      </c>
      <c r="Q930" s="1" t="str">
        <f>IFERROR(__xludf.DUMMYFUNCTION("""COMPUTED_VALUE"""),"")</f>
        <v/>
      </c>
      <c r="R930" s="1" t="str">
        <f>IFERROR(__xludf.DUMMYFUNCTION("""COMPUTED_VALUE"""),"")</f>
        <v/>
      </c>
      <c r="S930" s="1" t="str">
        <f>IFERROR(__xludf.DUMMYFUNCTION("""COMPUTED_VALUE"""),"8")</f>
        <v>8</v>
      </c>
      <c r="T930" s="1" t="str">
        <f>IFERROR(__xludf.DUMMYFUNCTION("""COMPUTED_VALUE"""),"")</f>
        <v/>
      </c>
      <c r="U930" s="1" t="str">
        <f>IFERROR(__xludf.DUMMYFUNCTION("""COMPUTED_VALUE"""),"Closed loop")</f>
        <v>Closed loop</v>
      </c>
      <c r="V930" s="1" t="str">
        <f>IFERROR(__xludf.DUMMYFUNCTION("""COMPUTED_VALUE"""),"")</f>
        <v/>
      </c>
      <c r="W930" s="1" t="str">
        <f>IFERROR(__xludf.DUMMYFUNCTION("""COMPUTED_VALUE"""),"4")</f>
        <v>4</v>
      </c>
      <c r="X930" s="1" t="str">
        <f>IFERROR(__xludf.DUMMYFUNCTION("""COMPUTED_VALUE"""),"")</f>
        <v/>
      </c>
      <c r="Y930" s="1" t="str">
        <f>IFERROR(__xludf.DUMMYFUNCTION("""COMPUTED_VALUE"""),"")</f>
        <v/>
      </c>
      <c r="Z930" s="1" t="str">
        <f>IFERROR(__xludf.DUMMYFUNCTION("""COMPUTED_VALUE"""),"Unknown")</f>
        <v>Unknown</v>
      </c>
      <c r="AA930" s="1" t="str">
        <f>IFERROR(__xludf.DUMMYFUNCTION("""COMPUTED_VALUE"""),"")</f>
        <v/>
      </c>
      <c r="AB930" s="1" t="str">
        <f>IFERROR(__xludf.DUMMYFUNCTION("""COMPUTED_VALUE"""),"")</f>
        <v/>
      </c>
      <c r="AC930" s="1" t="str">
        <f>IFERROR(__xludf.DUMMYFUNCTION("""COMPUTED_VALUE"""),"")</f>
        <v/>
      </c>
      <c r="AD930" s="1" t="str">
        <f>IFERROR(__xludf.DUMMYFUNCTION("""COMPUTED_VALUE"""),"")</f>
        <v/>
      </c>
      <c r="AE930" s="1" t="str">
        <f>IFERROR(__xludf.DUMMYFUNCTION("""COMPUTED_VALUE"""),"")</f>
        <v/>
      </c>
      <c r="AF930" s="1" t="str">
        <f>IFERROR(__xludf.DUMMYFUNCTION("""COMPUTED_VALUE"""),"")</f>
        <v/>
      </c>
      <c r="AG930" s="1" t="str">
        <f>IFERROR(__xludf.DUMMYFUNCTION("""COMPUTED_VALUE"""),"Modular units")</f>
        <v>Modular units</v>
      </c>
      <c r="AH930" s="1" t="str">
        <f>IFERROR(__xludf.DUMMYFUNCTION("""COMPUTED_VALUE"""),"Media Monitoring")</f>
        <v>Media Monitoring</v>
      </c>
      <c r="AI930" s="2" t="str">
        <f>IFERROR(__xludf.DUMMYFUNCTION("""COMPUTED_VALUE"""),"https://www.datacenterdynamics.com/en/news/qumulusai-gets-approval-for-modular-data-center-in-denton-texas/")</f>
        <v>https://www.datacenterdynamics.com/en/news/qumulusai-gets-approval-for-modular-data-center-in-denton-texas/</v>
      </c>
      <c r="AJ930" s="2" t="str">
        <f>IFERROR(__xludf.DUMMYFUNCTION("""COMPUTED_VALUE"""),"https://www.datacenterdynamics.com/en/news/qumulusai-secures-124m-in-ai-infrastructure-agreements/")</f>
        <v>https://www.datacenterdynamics.com/en/news/qumulusai-secures-124m-in-ai-infrastructure-agreements/</v>
      </c>
      <c r="AK930" s="1" t="str">
        <f>IFERROR(__xludf.DUMMYFUNCTION("""COMPUTED_VALUE"""),"")</f>
        <v/>
      </c>
      <c r="AL930" s="1" t="str">
        <f>IFERROR(__xludf.DUMMYFUNCTION("""COMPUTED_VALUE"""),"")</f>
        <v/>
      </c>
      <c r="AM930" s="1" t="str">
        <f>IFERROR(__xludf.DUMMYFUNCTION("""COMPUTED_VALUE"""),"")</f>
        <v/>
      </c>
      <c r="AN930" s="1" t="str">
        <f>IFERROR(__xludf.DUMMYFUNCTION("""COMPUTED_VALUE"""),"")</f>
        <v/>
      </c>
      <c r="AO930" s="1" t="str">
        <f>IFERROR(__xludf.DUMMYFUNCTION("""COMPUTED_VALUE"""),"")</f>
        <v/>
      </c>
      <c r="AP930" s="1" t="str">
        <f>IFERROR(__xludf.DUMMYFUNCTION("""COMPUTED_VALUE"""),"")</f>
        <v/>
      </c>
      <c r="AQ930" s="1" t="str">
        <f>IFERROR(__xludf.DUMMYFUNCTION("""COMPUTED_VALUE"""),"02/15/2026")</f>
        <v>02/15/2026</v>
      </c>
      <c r="AR930" s="1" t="str">
        <f>IFERROR(__xludf.DUMMYFUNCTION("""COMPUTED_VALUE"""),"06/12/2026")</f>
        <v>06/12/2026</v>
      </c>
    </row>
    <row r="931">
      <c r="A931" s="1" t="str">
        <f>IFERROR(__xludf.DUMMYFUNCTION("""COMPUTED_VALUE"""),"Texas Critical Data Centers")</f>
        <v>Texas Critical Data Centers</v>
      </c>
      <c r="B931" s="1" t="str">
        <f>IFERROR(__xludf.DUMMYFUNCTION("""COMPUTED_VALUE"""),"")</f>
        <v/>
      </c>
      <c r="C931" s="1" t="str">
        <f>IFERROR(__xludf.DUMMYFUNCTION("""COMPUTED_VALUE"""),"Ector County")</f>
        <v>Ector County</v>
      </c>
      <c r="D931" s="1" t="str">
        <f>IFERROR(__xludf.DUMMYFUNCTION("""COMPUTED_VALUE"""),"TX")</f>
        <v>TX</v>
      </c>
      <c r="E931" s="1" t="str">
        <f>IFERROR(__xludf.DUMMYFUNCTION("""COMPUTED_VALUE"""),"")</f>
        <v/>
      </c>
      <c r="F931" s="1" t="str">
        <f>IFERROR(__xludf.DUMMYFUNCTION("""COMPUTED_VALUE"""),"Ector")</f>
        <v>Ector</v>
      </c>
      <c r="G931" s="1" t="str">
        <f>IFERROR(__xludf.DUMMYFUNCTION("""COMPUTED_VALUE"""),"31.89517")</f>
        <v>31.89517</v>
      </c>
      <c r="H931" s="1" t="str">
        <f>IFERROR(__xludf.DUMMYFUNCTION("""COMPUTED_VALUE"""),"-102.556")</f>
        <v>-102.556</v>
      </c>
      <c r="I931" s="1" t="str">
        <f>IFERROR(__xludf.DUMMYFUNCTION("""COMPUTED_VALUE"""),"Proposed")</f>
        <v>Proposed</v>
      </c>
      <c r="J931" s="1" t="str">
        <f>IFERROR(__xludf.DUMMYFUNCTION("""COMPUTED_VALUE"""),"Low")</f>
        <v>Low</v>
      </c>
      <c r="K931" s="1" t="str">
        <f>IFERROR(__xludf.DUMMYFUNCTION("""COMPUTED_VALUE"""),"")</f>
        <v/>
      </c>
      <c r="L931" s="1" t="str">
        <f>IFERROR(__xludf.DUMMYFUNCTION("""COMPUTED_VALUE"""),"")</f>
        <v/>
      </c>
      <c r="M931" s="1" t="str">
        <f>IFERROR(__xludf.DUMMYFUNCTION("""COMPUTED_VALUE"""),"")</f>
        <v/>
      </c>
      <c r="N931" s="1" t="str">
        <f>IFERROR(__xludf.DUMMYFUNCTION("""COMPUTED_VALUE"""),"250-1,000")</f>
        <v>250-1,000</v>
      </c>
      <c r="O931" s="1" t="str">
        <f>IFERROR(__xludf.DUMMYFUNCTION("""COMPUTED_VALUE"""),"Mega campus (&gt;1,000 MW)")</f>
        <v>Mega campus (&gt;1,000 MW)</v>
      </c>
      <c r="P931" s="1" t="str">
        <f>IFERROR(__xludf.DUMMYFUNCTION("""COMPUTED_VALUE"""),"")</f>
        <v/>
      </c>
      <c r="Q931" s="1" t="str">
        <f>IFERROR(__xludf.DUMMYFUNCTION("""COMPUTED_VALUE"""),"")</f>
        <v/>
      </c>
      <c r="R931" s="1" t="str">
        <f>IFERROR(__xludf.DUMMYFUNCTION("""COMPUTED_VALUE"""),"")</f>
        <v/>
      </c>
      <c r="S931" s="1" t="str">
        <f>IFERROR(__xludf.DUMMYFUNCTION("""COMPUTED_VALUE"""),"")</f>
        <v/>
      </c>
      <c r="T931" s="1" t="str">
        <f>IFERROR(__xludf.DUMMYFUNCTION("""COMPUTED_VALUE"""),"")</f>
        <v/>
      </c>
      <c r="U931" s="1" t="str">
        <f>IFERROR(__xludf.DUMMYFUNCTION("""COMPUTED_VALUE"""),"")</f>
        <v/>
      </c>
      <c r="V931" s="1" t="str">
        <f>IFERROR(__xludf.DUMMYFUNCTION("""COMPUTED_VALUE"""),"")</f>
        <v/>
      </c>
      <c r="W931" s="1" t="str">
        <f>IFERROR(__xludf.DUMMYFUNCTION("""COMPUTED_VALUE"""),"235")</f>
        <v>235</v>
      </c>
      <c r="X931" s="1" t="str">
        <f>IFERROR(__xludf.DUMMYFUNCTION("""COMPUTED_VALUE"""),"")</f>
        <v/>
      </c>
      <c r="Y931" s="1" t="str">
        <f>IFERROR(__xludf.DUMMYFUNCTION("""COMPUTED_VALUE"""),"")</f>
        <v/>
      </c>
      <c r="Z931" s="1" t="str">
        <f>IFERROR(__xludf.DUMMYFUNCTION("""COMPUTED_VALUE"""),"Unknown")</f>
        <v>Unknown</v>
      </c>
      <c r="AA931" s="1" t="str">
        <f>IFERROR(__xludf.DUMMYFUNCTION("""COMPUTED_VALUE"""),"")</f>
        <v/>
      </c>
      <c r="AB931" s="1" t="str">
        <f>IFERROR(__xludf.DUMMYFUNCTION("""COMPUTED_VALUE"""),"")</f>
        <v/>
      </c>
      <c r="AC931" s="1" t="str">
        <f>IFERROR(__xludf.DUMMYFUNCTION("""COMPUTED_VALUE"""),"")</f>
        <v/>
      </c>
      <c r="AD931" s="1" t="str">
        <f>IFERROR(__xludf.DUMMYFUNCTION("""COMPUTED_VALUE"""),"")</f>
        <v/>
      </c>
      <c r="AE931" s="1" t="str">
        <f>IFERROR(__xludf.DUMMYFUNCTION("""COMPUTED_VALUE"""),"")</f>
        <v/>
      </c>
      <c r="AF931" s="1" t="str">
        <f>IFERROR(__xludf.DUMMYFUNCTION("""COMPUTED_VALUE"""),"")</f>
        <v/>
      </c>
      <c r="AG931" s="1" t="str">
        <f>IFERROR(__xludf.DUMMYFUNCTION("""COMPUTED_VALUE"""),"")</f>
        <v/>
      </c>
      <c r="AH931" s="1" t="str">
        <f>IFERROR(__xludf.DUMMYFUNCTION("""COMPUTED_VALUE"""),"Media Monitoring")</f>
        <v>Media Monitoring</v>
      </c>
      <c r="AI931" s="2" t="str">
        <f>IFERROR(__xludf.DUMMYFUNCTION("""COMPUTED_VALUE"""),"https://www.datacenterdynamics.com/en/news/tcdc-closes-235-acre-land-acquisition-for-ai-data-center-in-ector-county-texas/")</f>
        <v>https://www.datacenterdynamics.com/en/news/tcdc-closes-235-acre-land-acquisition-for-ai-data-center-in-ector-county-texas/</v>
      </c>
      <c r="AJ931" s="1" t="str">
        <f>IFERROR(__xludf.DUMMYFUNCTION("""COMPUTED_VALUE"""),"")</f>
        <v/>
      </c>
      <c r="AK931" s="1" t="str">
        <f>IFERROR(__xludf.DUMMYFUNCTION("""COMPUTED_VALUE"""),"")</f>
        <v/>
      </c>
      <c r="AL931" s="1" t="str">
        <f>IFERROR(__xludf.DUMMYFUNCTION("""COMPUTED_VALUE"""),"")</f>
        <v/>
      </c>
      <c r="AM931" s="1" t="str">
        <f>IFERROR(__xludf.DUMMYFUNCTION("""COMPUTED_VALUE"""),"")</f>
        <v/>
      </c>
      <c r="AN931" s="1" t="str">
        <f>IFERROR(__xludf.DUMMYFUNCTION("""COMPUTED_VALUE"""),"")</f>
        <v/>
      </c>
      <c r="AO931" s="1" t="str">
        <f>IFERROR(__xludf.DUMMYFUNCTION("""COMPUTED_VALUE"""),"")</f>
        <v/>
      </c>
      <c r="AP931" s="1" t="str">
        <f>IFERROR(__xludf.DUMMYFUNCTION("""COMPUTED_VALUE"""),"")</f>
        <v/>
      </c>
      <c r="AQ931" s="1" t="str">
        <f>IFERROR(__xludf.DUMMYFUNCTION("""COMPUTED_VALUE"""),"08/02/2025")</f>
        <v>08/02/2025</v>
      </c>
      <c r="AR931" s="1" t="str">
        <f>IFERROR(__xludf.DUMMYFUNCTION("""COMPUTED_VALUE"""),"08/02/2025")</f>
        <v>08/02/2025</v>
      </c>
    </row>
    <row r="932">
      <c r="A932" s="1" t="str">
        <f>IFERROR(__xludf.DUMMYFUNCTION("""COMPUTED_VALUE"""),"Bitter Blue Data Center")</f>
        <v>Bitter Blue Data Center</v>
      </c>
      <c r="B932" s="1" t="str">
        <f>IFERROR(__xludf.DUMMYFUNCTION("""COMPUTED_VALUE"""),"12807 Donop Rd")</f>
        <v>12807 Donop Rd</v>
      </c>
      <c r="C932" s="1" t="str">
        <f>IFERROR(__xludf.DUMMYFUNCTION("""COMPUTED_VALUE"""),"Elmendorf")</f>
        <v>Elmendorf</v>
      </c>
      <c r="D932" s="1" t="str">
        <f>IFERROR(__xludf.DUMMYFUNCTION("""COMPUTED_VALUE"""),"TX")</f>
        <v>TX</v>
      </c>
      <c r="E932" s="1" t="str">
        <f>IFERROR(__xludf.DUMMYFUNCTION("""COMPUTED_VALUE"""),"78112")</f>
        <v>78112</v>
      </c>
      <c r="F932" s="1" t="str">
        <f>IFERROR(__xludf.DUMMYFUNCTION("""COMPUTED_VALUE"""),"Bexar")</f>
        <v>Bexar</v>
      </c>
      <c r="G932" s="1" t="str">
        <f>IFERROR(__xludf.DUMMYFUNCTION("""COMPUTED_VALUE"""),"29.292835")</f>
        <v>29.292835</v>
      </c>
      <c r="H932" s="1" t="str">
        <f>IFERROR(__xludf.DUMMYFUNCTION("""COMPUTED_VALUE"""),"-98.38842")</f>
        <v>-98.38842</v>
      </c>
      <c r="I932" s="1" t="str">
        <f>IFERROR(__xludf.DUMMYFUNCTION("""COMPUTED_VALUE"""),"Proposed")</f>
        <v>Proposed</v>
      </c>
      <c r="J932" s="1" t="str">
        <f>IFERROR(__xludf.DUMMYFUNCTION("""COMPUTED_VALUE"""),"High")</f>
        <v>High</v>
      </c>
      <c r="K932" s="1" t="str">
        <f>IFERROR(__xludf.DUMMYFUNCTION("""COMPUTED_VALUE"""),"")</f>
        <v/>
      </c>
      <c r="L932" s="1" t="str">
        <f>IFERROR(__xludf.DUMMYFUNCTION("""COMPUTED_VALUE"""),"")</f>
        <v/>
      </c>
      <c r="M932" s="1" t="str">
        <f>IFERROR(__xludf.DUMMYFUNCTION("""COMPUTED_VALUE"""),"")</f>
        <v/>
      </c>
      <c r="N932" s="1" t="str">
        <f>IFERROR(__xludf.DUMMYFUNCTION("""COMPUTED_VALUE"""),"")</f>
        <v/>
      </c>
      <c r="O932" s="1" t="str">
        <f>IFERROR(__xludf.DUMMYFUNCTION("""COMPUTED_VALUE"""),"Unknown")</f>
        <v>Unknown</v>
      </c>
      <c r="P932" s="1" t="str">
        <f>IFERROR(__xludf.DUMMYFUNCTION("""COMPUTED_VALUE"""),"")</f>
        <v/>
      </c>
      <c r="Q932" s="1" t="str">
        <f>IFERROR(__xludf.DUMMYFUNCTION("""COMPUTED_VALUE"""),"")</f>
        <v/>
      </c>
      <c r="R932" s="1" t="str">
        <f>IFERROR(__xludf.DUMMYFUNCTION("""COMPUTED_VALUE"""),"")</f>
        <v/>
      </c>
      <c r="S932" s="1" t="str">
        <f>IFERROR(__xludf.DUMMYFUNCTION("""COMPUTED_VALUE"""),"")</f>
        <v/>
      </c>
      <c r="T932" s="1" t="str">
        <f>IFERROR(__xludf.DUMMYFUNCTION("""COMPUTED_VALUE"""),"")</f>
        <v/>
      </c>
      <c r="U932" s="1" t="str">
        <f>IFERROR(__xludf.DUMMYFUNCTION("""COMPUTED_VALUE"""),"")</f>
        <v/>
      </c>
      <c r="V932" s="1" t="str">
        <f>IFERROR(__xludf.DUMMYFUNCTION("""COMPUTED_VALUE"""),"")</f>
        <v/>
      </c>
      <c r="W932" s="1" t="str">
        <f>IFERROR(__xludf.DUMMYFUNCTION("""COMPUTED_VALUE"""),"")</f>
        <v/>
      </c>
      <c r="X932" s="1" t="str">
        <f>IFERROR(__xludf.DUMMYFUNCTION("""COMPUTED_VALUE"""),"")</f>
        <v/>
      </c>
      <c r="Y932" s="1" t="str">
        <f>IFERROR(__xludf.DUMMYFUNCTION("""COMPUTED_VALUE"""),"")</f>
        <v/>
      </c>
      <c r="Z932" s="1" t="str">
        <f>IFERROR(__xludf.DUMMYFUNCTION("""COMPUTED_VALUE"""),"Unknown")</f>
        <v>Unknown</v>
      </c>
      <c r="AA932" s="1" t="str">
        <f>IFERROR(__xludf.DUMMYFUNCTION("""COMPUTED_VALUE"""),"")</f>
        <v/>
      </c>
      <c r="AB932" s="1" t="str">
        <f>IFERROR(__xludf.DUMMYFUNCTION("""COMPUTED_VALUE"""),"")</f>
        <v/>
      </c>
      <c r="AC932" s="1" t="str">
        <f>IFERROR(__xludf.DUMMYFUNCTION("""COMPUTED_VALUE"""),"")</f>
        <v/>
      </c>
      <c r="AD932" s="1" t="str">
        <f>IFERROR(__xludf.DUMMYFUNCTION("""COMPUTED_VALUE"""),"")</f>
        <v/>
      </c>
      <c r="AE932" s="1" t="str">
        <f>IFERROR(__xludf.DUMMYFUNCTION("""COMPUTED_VALUE"""),"")</f>
        <v/>
      </c>
      <c r="AF932" s="1" t="str">
        <f>IFERROR(__xludf.DUMMYFUNCTION("""COMPUTED_VALUE"""),"")</f>
        <v/>
      </c>
      <c r="AG932" s="1" t="str">
        <f>IFERROR(__xludf.DUMMYFUNCTION("""COMPUTED_VALUE"""),"")</f>
        <v/>
      </c>
      <c r="AH932" s="1" t="str">
        <f>IFERROR(__xludf.DUMMYFUNCTION("""COMPUTED_VALUE"""),"Media Monitoring")</f>
        <v>Media Monitoring</v>
      </c>
      <c r="AI932" s="2" t="str">
        <f>IFERROR(__xludf.DUMMYFUNCTION("""COMPUTED_VALUE"""),"https://www.datacenterdynamics.com/en/news/aws-files-to-develop-data-centers-in-san-antonio-texas/")</f>
        <v>https://www.datacenterdynamics.com/en/news/aws-files-to-develop-data-centers-in-san-antonio-texas/</v>
      </c>
      <c r="AJ932" s="1" t="str">
        <f>IFERROR(__xludf.DUMMYFUNCTION("""COMPUTED_VALUE"""),"")</f>
        <v/>
      </c>
      <c r="AK932" s="1" t="str">
        <f>IFERROR(__xludf.DUMMYFUNCTION("""COMPUTED_VALUE"""),"")</f>
        <v/>
      </c>
      <c r="AL932" s="1" t="str">
        <f>IFERROR(__xludf.DUMMYFUNCTION("""COMPUTED_VALUE"""),"")</f>
        <v/>
      </c>
      <c r="AM932" s="1" t="str">
        <f>IFERROR(__xludf.DUMMYFUNCTION("""COMPUTED_VALUE"""),"")</f>
        <v/>
      </c>
      <c r="AN932" s="1" t="str">
        <f>IFERROR(__xludf.DUMMYFUNCTION("""COMPUTED_VALUE"""),"")</f>
        <v/>
      </c>
      <c r="AO932" s="1" t="str">
        <f>IFERROR(__xludf.DUMMYFUNCTION("""COMPUTED_VALUE"""),"")</f>
        <v/>
      </c>
      <c r="AP932" s="1" t="str">
        <f>IFERROR(__xludf.DUMMYFUNCTION("""COMPUTED_VALUE"""),"")</f>
        <v/>
      </c>
      <c r="AQ932" s="1" t="str">
        <f>IFERROR(__xludf.DUMMYFUNCTION("""COMPUTED_VALUE"""),"03/19/2026")</f>
        <v>03/19/2026</v>
      </c>
      <c r="AR932" s="1" t="str">
        <f>IFERROR(__xludf.DUMMYFUNCTION("""COMPUTED_VALUE"""),"03/19/2026")</f>
        <v>03/19/2026</v>
      </c>
    </row>
    <row r="933">
      <c r="A933" s="1" t="str">
        <f>IFERROR(__xludf.DUMMYFUNCTION("""COMPUTED_VALUE"""),"Meta Project Seafox")</f>
        <v>Meta Project Seafox</v>
      </c>
      <c r="B933" s="1" t="str">
        <f>IFERROR(__xludf.DUMMYFUNCTION("""COMPUTED_VALUE"""),"7001 Stan Roberts Sr Ave")</f>
        <v>7001 Stan Roberts Sr Ave</v>
      </c>
      <c r="C933" s="1" t="str">
        <f>IFERROR(__xludf.DUMMYFUNCTION("""COMPUTED_VALUE"""),"El Paso")</f>
        <v>El Paso</v>
      </c>
      <c r="D933" s="1" t="str">
        <f>IFERROR(__xludf.DUMMYFUNCTION("""COMPUTED_VALUE"""),"TX")</f>
        <v>TX</v>
      </c>
      <c r="E933" s="1" t="str">
        <f>IFERROR(__xludf.DUMMYFUNCTION("""COMPUTED_VALUE"""),"79934")</f>
        <v>79934</v>
      </c>
      <c r="F933" s="1" t="str">
        <f>IFERROR(__xludf.DUMMYFUNCTION("""COMPUTED_VALUE"""),"El Paso")</f>
        <v>El Paso</v>
      </c>
      <c r="G933" s="1" t="str">
        <f>IFERROR(__xludf.DUMMYFUNCTION("""COMPUTED_VALUE"""),"31.98718")</f>
        <v>31.98718</v>
      </c>
      <c r="H933" s="1" t="str">
        <f>IFERROR(__xludf.DUMMYFUNCTION("""COMPUTED_VALUE"""),"-106.369095")</f>
        <v>-106.369095</v>
      </c>
      <c r="I933" s="1" t="str">
        <f>IFERROR(__xludf.DUMMYFUNCTION("""COMPUTED_VALUE"""),"Proposed")</f>
        <v>Proposed</v>
      </c>
      <c r="J933" s="1" t="str">
        <f>IFERROR(__xludf.DUMMYFUNCTION("""COMPUTED_VALUE"""),"High")</f>
        <v>High</v>
      </c>
      <c r="K933" s="1" t="str">
        <f>IFERROR(__xludf.DUMMYFUNCTION("""COMPUTED_VALUE"""),"AI")</f>
        <v>AI</v>
      </c>
      <c r="L933" s="1" t="str">
        <f>IFERROR(__xludf.DUMMYFUNCTION("""COMPUTED_VALUE"""),"Wurldwide LLC/ Meta")</f>
        <v>Wurldwide LLC/ Meta</v>
      </c>
      <c r="M933" s="1" t="str">
        <f>IFERROR(__xludf.DUMMYFUNCTION("""COMPUTED_VALUE"""),"")</f>
        <v/>
      </c>
      <c r="N933" s="1" t="str">
        <f>IFERROR(__xludf.DUMMYFUNCTION("""COMPUTED_VALUE"""),"1000")</f>
        <v>1000</v>
      </c>
      <c r="O933" s="1" t="str">
        <f>IFERROR(__xludf.DUMMYFUNCTION("""COMPUTED_VALUE"""),"Mega campus (&gt;1,000 MW)")</f>
        <v>Mega campus (&gt;1,000 MW)</v>
      </c>
      <c r="P933" s="1" t="str">
        <f>IFERROR(__xludf.DUMMYFUNCTION("""COMPUTED_VALUE"""),"")</f>
        <v/>
      </c>
      <c r="Q933" s="1" t="str">
        <f>IFERROR(__xludf.DUMMYFUNCTION("""COMPUTED_VALUE"""),"")</f>
        <v/>
      </c>
      <c r="R933" s="1" t="str">
        <f>IFERROR(__xludf.DUMMYFUNCTION("""COMPUTED_VALUE"""),"813")</f>
        <v>813</v>
      </c>
      <c r="S933" s="1" t="str">
        <f>IFERROR(__xludf.DUMMYFUNCTION("""COMPUTED_VALUE"""),"12+")</f>
        <v>12+</v>
      </c>
      <c r="T933" s="1" t="str">
        <f>IFERROR(__xludf.DUMMYFUNCTION("""COMPUTED_VALUE"""),"")</f>
        <v/>
      </c>
      <c r="U933" s="1" t="str">
        <f>IFERROR(__xludf.DUMMYFUNCTION("""COMPUTED_VALUE"""),"")</f>
        <v/>
      </c>
      <c r="V933" s="1" t="str">
        <f>IFERROR(__xludf.DUMMYFUNCTION("""COMPUTED_VALUE"""),"25,900,000")</f>
        <v>25,900,000</v>
      </c>
      <c r="W933" s="1" t="str">
        <f>IFERROR(__xludf.DUMMYFUNCTION("""COMPUTED_VALUE"""),"600")</f>
        <v>600</v>
      </c>
      <c r="X933" s="1" t="str">
        <f>IFERROR(__xludf.DUMMYFUNCTION("""COMPUTED_VALUE"""),"$10 billion")</f>
        <v>$10 billion</v>
      </c>
      <c r="Y933" s="1" t="str">
        <f>IFERROR(__xludf.DUMMYFUNCTION("""COMPUTED_VALUE"""),"2029")</f>
        <v>2029</v>
      </c>
      <c r="Z933" s="1" t="str">
        <f>IFERROR(__xludf.DUMMYFUNCTION("""COMPUTED_VALUE"""),"Unknown")</f>
        <v>Unknown</v>
      </c>
      <c r="AA933" s="1" t="str">
        <f>IFERROR(__xludf.DUMMYFUNCTION("""COMPUTED_VALUE"""),"")</f>
        <v/>
      </c>
      <c r="AB933" s="1" t="str">
        <f>IFERROR(__xludf.DUMMYFUNCTION("""COMPUTED_VALUE"""),"")</f>
        <v/>
      </c>
      <c r="AC933" s="1" t="str">
        <f>IFERROR(__xludf.DUMMYFUNCTION("""COMPUTED_VALUE"""),"")</f>
        <v/>
      </c>
      <c r="AD933" s="1" t="str">
        <f>IFERROR(__xludf.DUMMYFUNCTION("""COMPUTED_VALUE"""),"")</f>
        <v/>
      </c>
      <c r="AE933" s="1" t="str">
        <f>IFERROR(__xludf.DUMMYFUNCTION("""COMPUTED_VALUE"""),"")</f>
        <v/>
      </c>
      <c r="AF933" s="1" t="str">
        <f>IFERROR(__xludf.DUMMYFUNCTION("""COMPUTED_VALUE"""),"")</f>
        <v/>
      </c>
      <c r="AG933" s="1" t="str">
        <f>IFERROR(__xludf.DUMMYFUNCTION("""COMPUTED_VALUE"""),"The 25.9 million sq ft figure from the state filing appears to represent the full multi-phase campus footprint including all supporting structures, while the 1.2 million sq ft is the initial phase of data center floor space.")</f>
        <v>The 25.9 million sq ft figure from the state filing appears to represent the full multi-phase campus footprint including all supporting structures, while the 1.2 million sq ft is the initial phase of data center floor space.</v>
      </c>
      <c r="AH933" s="1" t="str">
        <f>IFERROR(__xludf.DUMMYFUNCTION("""COMPUTED_VALUE"""),"Media Monitoring")</f>
        <v>Media Monitoring</v>
      </c>
      <c r="AI933" s="2" t="str">
        <f>IFERROR(__xludf.DUMMYFUNCTION("""COMPUTED_VALUE"""),"https://www.datacenterdynamics.com/en/news/meta-files-to-expand-campus-in-el-paso-texas-with-12-new-buildings/")</f>
        <v>https://www.datacenterdynamics.com/en/news/meta-files-to-expand-campus-in-el-paso-texas-with-12-new-buildings/</v>
      </c>
      <c r="AJ933" s="1" t="str">
        <f>IFERROR(__xludf.DUMMYFUNCTION("""COMPUTED_VALUE"""),"")</f>
        <v/>
      </c>
      <c r="AK933" s="1" t="str">
        <f>IFERROR(__xludf.DUMMYFUNCTION("""COMPUTED_VALUE"""),"")</f>
        <v/>
      </c>
      <c r="AL933" s="1" t="str">
        <f>IFERROR(__xludf.DUMMYFUNCTION("""COMPUTED_VALUE"""),"")</f>
        <v/>
      </c>
      <c r="AM933" s="1" t="str">
        <f>IFERROR(__xludf.DUMMYFUNCTION("""COMPUTED_VALUE"""),"")</f>
        <v/>
      </c>
      <c r="AN933" s="1" t="str">
        <f>IFERROR(__xludf.DUMMYFUNCTION("""COMPUTED_VALUE"""),"")</f>
        <v/>
      </c>
      <c r="AO933" s="1" t="str">
        <f>IFERROR(__xludf.DUMMYFUNCTION("""COMPUTED_VALUE"""),"")</f>
        <v/>
      </c>
      <c r="AP933" s="1" t="str">
        <f>IFERROR(__xludf.DUMMYFUNCTION("""COMPUTED_VALUE"""),"")</f>
        <v/>
      </c>
      <c r="AQ933" s="1" t="str">
        <f>IFERROR(__xludf.DUMMYFUNCTION("""COMPUTED_VALUE"""),"04/23/2026")</f>
        <v>04/23/2026</v>
      </c>
      <c r="AR933" s="1" t="str">
        <f>IFERROR(__xludf.DUMMYFUNCTION("""COMPUTED_VALUE"""),"06/05/2026")</f>
        <v>06/05/2026</v>
      </c>
    </row>
    <row r="934">
      <c r="A934" s="1" t="str">
        <f>IFERROR(__xludf.DUMMYFUNCTION("""COMPUTED_VALUE"""),"CyrusOne")</f>
        <v>CyrusOne</v>
      </c>
      <c r="B934" s="1" t="str">
        <f>IFERROR(__xludf.DUMMYFUNCTION("""COMPUTED_VALUE"""),"adjacent to Freestone Energy Center, 1366 FM488")</f>
        <v>adjacent to Freestone Energy Center, 1366 FM488</v>
      </c>
      <c r="C934" s="1" t="str">
        <f>IFERROR(__xludf.DUMMYFUNCTION("""COMPUTED_VALUE"""),"Fairfield")</f>
        <v>Fairfield</v>
      </c>
      <c r="D934" s="1" t="str">
        <f>IFERROR(__xludf.DUMMYFUNCTION("""COMPUTED_VALUE"""),"TX")</f>
        <v>TX</v>
      </c>
      <c r="E934" s="1" t="str">
        <f>IFERROR(__xludf.DUMMYFUNCTION("""COMPUTED_VALUE"""),"75840")</f>
        <v>75840</v>
      </c>
      <c r="F934" s="1" t="str">
        <f>IFERROR(__xludf.DUMMYFUNCTION("""COMPUTED_VALUE"""),"Freestone")</f>
        <v>Freestone</v>
      </c>
      <c r="G934" s="1" t="str">
        <f>IFERROR(__xludf.DUMMYFUNCTION("""COMPUTED_VALUE"""),"31.893915")</f>
        <v>31.893915</v>
      </c>
      <c r="H934" s="1" t="str">
        <f>IFERROR(__xludf.DUMMYFUNCTION("""COMPUTED_VALUE"""),"-96.11786")</f>
        <v>-96.11786</v>
      </c>
      <c r="I934" s="1" t="str">
        <f>IFERROR(__xludf.DUMMYFUNCTION("""COMPUTED_VALUE"""),"Approved/Permitted/Under construction")</f>
        <v>Approved/Permitted/Under construction</v>
      </c>
      <c r="J934" s="1" t="str">
        <f>IFERROR(__xludf.DUMMYFUNCTION("""COMPUTED_VALUE"""),"Medium")</f>
        <v>Medium</v>
      </c>
      <c r="K934" s="1" t="str">
        <f>IFERROR(__xludf.DUMMYFUNCTION("""COMPUTED_VALUE"""),"")</f>
        <v/>
      </c>
      <c r="L934" s="1" t="str">
        <f>IFERROR(__xludf.DUMMYFUNCTION("""COMPUTED_VALUE"""),"CyrusOne")</f>
        <v>CyrusOne</v>
      </c>
      <c r="M934" s="1" t="str">
        <f>IFERROR(__xludf.DUMMYFUNCTION("""COMPUTED_VALUE"""),"")</f>
        <v/>
      </c>
      <c r="N934" s="1" t="str">
        <f>IFERROR(__xludf.DUMMYFUNCTION("""COMPUTED_VALUE"""),"380")</f>
        <v>380</v>
      </c>
      <c r="O934" s="1" t="str">
        <f>IFERROR(__xludf.DUMMYFUNCTION("""COMPUTED_VALUE"""),"Hyperscale (100-999 MW)")</f>
        <v>Hyperscale (100-999 MW)</v>
      </c>
      <c r="P934" s="1" t="str">
        <f>IFERROR(__xludf.DUMMYFUNCTION("""COMPUTED_VALUE"""),"Grid (unspecified mix)")</f>
        <v>Grid (unspecified mix)</v>
      </c>
      <c r="Q934" s="1" t="str">
        <f>IFERROR(__xludf.DUMMYFUNCTION("""COMPUTED_VALUE"""),"")</f>
        <v/>
      </c>
      <c r="R934" s="1" t="str">
        <f>IFERROR(__xludf.DUMMYFUNCTION("""COMPUTED_VALUE"""),"")</f>
        <v/>
      </c>
      <c r="S934" s="1" t="str">
        <f>IFERROR(__xludf.DUMMYFUNCTION("""COMPUTED_VALUE"""),"")</f>
        <v/>
      </c>
      <c r="T934" s="1" t="str">
        <f>IFERROR(__xludf.DUMMYFUNCTION("""COMPUTED_VALUE"""),"")</f>
        <v/>
      </c>
      <c r="U934" s="1" t="str">
        <f>IFERROR(__xludf.DUMMYFUNCTION("""COMPUTED_VALUE"""),"")</f>
        <v/>
      </c>
      <c r="V934" s="1" t="str">
        <f>IFERROR(__xludf.DUMMYFUNCTION("""COMPUTED_VALUE"""),"")</f>
        <v/>
      </c>
      <c r="W934" s="1" t="str">
        <f>IFERROR(__xludf.DUMMYFUNCTION("""COMPUTED_VALUE"""),"506")</f>
        <v>506</v>
      </c>
      <c r="X934" s="1" t="str">
        <f>IFERROR(__xludf.DUMMYFUNCTION("""COMPUTED_VALUE"""),"")</f>
        <v/>
      </c>
      <c r="Y934" s="1" t="str">
        <f>IFERROR(__xludf.DUMMYFUNCTION("""COMPUTED_VALUE"""),"")</f>
        <v/>
      </c>
      <c r="Z934" s="1" t="str">
        <f>IFERROR(__xludf.DUMMYFUNCTION("""COMPUTED_VALUE"""),"Unknown")</f>
        <v>Unknown</v>
      </c>
      <c r="AA934" s="1" t="str">
        <f>IFERROR(__xludf.DUMMYFUNCTION("""COMPUTED_VALUE"""),"")</f>
        <v/>
      </c>
      <c r="AB934" s="1" t="str">
        <f>IFERROR(__xludf.DUMMYFUNCTION("""COMPUTED_VALUE"""),"")</f>
        <v/>
      </c>
      <c r="AC934" s="1" t="str">
        <f>IFERROR(__xludf.DUMMYFUNCTION("""COMPUTED_VALUE"""),"")</f>
        <v/>
      </c>
      <c r="AD934" s="1" t="str">
        <f>IFERROR(__xludf.DUMMYFUNCTION("""COMPUTED_VALUE"""),"")</f>
        <v/>
      </c>
      <c r="AE934" s="1" t="str">
        <f>IFERROR(__xludf.DUMMYFUNCTION("""COMPUTED_VALUE"""),"")</f>
        <v/>
      </c>
      <c r="AF934" s="1" t="str">
        <f>IFERROR(__xludf.DUMMYFUNCTION("""COMPUTED_VALUE"""),"")</f>
        <v/>
      </c>
      <c r="AG934" s="1" t="str">
        <f>IFERROR(__xludf.DUMMYFUNCTION("""COMPUTED_VALUE"""),"")</f>
        <v/>
      </c>
      <c r="AH934" s="1" t="str">
        <f>IFERROR(__xludf.DUMMYFUNCTION("""COMPUTED_VALUE"""),"Media Monitoring")</f>
        <v>Media Monitoring</v>
      </c>
      <c r="AI934" s="2" t="str">
        <f>IFERROR(__xludf.DUMMYFUNCTION("""COMPUTED_VALUE"""),"https://www.datacenterdynamics.com/en/news/cyrusone-partners-with-constellation-for-760mw-data-center-campus-in-texas/")</f>
        <v>https://www.datacenterdynamics.com/en/news/cyrusone-partners-with-constellation-for-760mw-data-center-campus-in-texas/</v>
      </c>
      <c r="AJ934" s="2" t="str">
        <f>IFERROR(__xludf.DUMMYFUNCTION("""COMPUTED_VALUE"""),"https://www.datacenterdynamics.com/en/news/cyrusone-breaks-ground-on-380mw-data-center-in-texas/")</f>
        <v>https://www.datacenterdynamics.com/en/news/cyrusone-breaks-ground-on-380mw-data-center-in-texas/</v>
      </c>
      <c r="AK934" s="1" t="str">
        <f>IFERROR(__xludf.DUMMYFUNCTION("""COMPUTED_VALUE"""),"")</f>
        <v/>
      </c>
      <c r="AL934" s="1" t="str">
        <f>IFERROR(__xludf.DUMMYFUNCTION("""COMPUTED_VALUE"""),"")</f>
        <v/>
      </c>
      <c r="AM934" s="1" t="str">
        <f>IFERROR(__xludf.DUMMYFUNCTION("""COMPUTED_VALUE"""),"")</f>
        <v/>
      </c>
      <c r="AN934" s="1" t="str">
        <f>IFERROR(__xludf.DUMMYFUNCTION("""COMPUTED_VALUE"""),"")</f>
        <v/>
      </c>
      <c r="AO934" s="1" t="str">
        <f>IFERROR(__xludf.DUMMYFUNCTION("""COMPUTED_VALUE"""),"")</f>
        <v/>
      </c>
      <c r="AP934" s="1" t="str">
        <f>IFERROR(__xludf.DUMMYFUNCTION("""COMPUTED_VALUE"""),"")</f>
        <v/>
      </c>
      <c r="AQ934" s="1" t="str">
        <f>IFERROR(__xludf.DUMMYFUNCTION("""COMPUTED_VALUE"""),"02/20/2026")</f>
        <v>02/20/2026</v>
      </c>
      <c r="AR934" s="1" t="str">
        <f>IFERROR(__xludf.DUMMYFUNCTION("""COMPUTED_VALUE"""),"06/11/2026")</f>
        <v>06/11/2026</v>
      </c>
    </row>
    <row r="935">
      <c r="A935" s="1" t="str">
        <f>IFERROR(__xludf.DUMMYFUNCTION("""COMPUTED_VALUE"""),"Cawley Partners")</f>
        <v>Cawley Partners</v>
      </c>
      <c r="B935" s="1" t="str">
        <f>IFERROR(__xludf.DUMMYFUNCTION("""COMPUTED_VALUE"""),"near Hwy 45, between Ellis and Dallas Cos.")</f>
        <v>near Hwy 45, between Ellis and Dallas Cos.</v>
      </c>
      <c r="C935" s="1" t="str">
        <f>IFERROR(__xludf.DUMMYFUNCTION("""COMPUTED_VALUE"""),"Ferris")</f>
        <v>Ferris</v>
      </c>
      <c r="D935" s="1" t="str">
        <f>IFERROR(__xludf.DUMMYFUNCTION("""COMPUTED_VALUE"""),"TX")</f>
        <v>TX</v>
      </c>
      <c r="E935" s="1" t="str">
        <f>IFERROR(__xludf.DUMMYFUNCTION("""COMPUTED_VALUE"""),"")</f>
        <v/>
      </c>
      <c r="F935" s="1" t="str">
        <f>IFERROR(__xludf.DUMMYFUNCTION("""COMPUTED_VALUE"""),"Ellis")</f>
        <v>Ellis</v>
      </c>
      <c r="G935" s="1" t="str">
        <f>IFERROR(__xludf.DUMMYFUNCTION("""COMPUTED_VALUE"""),"32.53902")</f>
        <v>32.53902</v>
      </c>
      <c r="H935" s="1" t="str">
        <f>IFERROR(__xludf.DUMMYFUNCTION("""COMPUTED_VALUE"""),"-96.6347")</f>
        <v>-96.6347</v>
      </c>
      <c r="I935" s="1" t="str">
        <f>IFERROR(__xludf.DUMMYFUNCTION("""COMPUTED_VALUE"""),"Proposed")</f>
        <v>Proposed</v>
      </c>
      <c r="J935" s="1" t="str">
        <f>IFERROR(__xludf.DUMMYFUNCTION("""COMPUTED_VALUE"""),"Medium")</f>
        <v>Medium</v>
      </c>
      <c r="K935" s="1" t="str">
        <f>IFERROR(__xludf.DUMMYFUNCTION("""COMPUTED_VALUE"""),"")</f>
        <v/>
      </c>
      <c r="L935" s="1" t="str">
        <f>IFERROR(__xludf.DUMMYFUNCTION("""COMPUTED_VALUE"""),"")</f>
        <v/>
      </c>
      <c r="M935" s="1" t="str">
        <f>IFERROR(__xludf.DUMMYFUNCTION("""COMPUTED_VALUE"""),"")</f>
        <v/>
      </c>
      <c r="N935" s="1" t="str">
        <f>IFERROR(__xludf.DUMMYFUNCTION("""COMPUTED_VALUE"""),"")</f>
        <v/>
      </c>
      <c r="O935" s="1" t="str">
        <f>IFERROR(__xludf.DUMMYFUNCTION("""COMPUTED_VALUE"""),"Unknown")</f>
        <v>Unknown</v>
      </c>
      <c r="P935" s="1" t="str">
        <f>IFERROR(__xludf.DUMMYFUNCTION("""COMPUTED_VALUE"""),"")</f>
        <v/>
      </c>
      <c r="Q935" s="1" t="str">
        <f>IFERROR(__xludf.DUMMYFUNCTION("""COMPUTED_VALUE"""),"")</f>
        <v/>
      </c>
      <c r="R935" s="1" t="str">
        <f>IFERROR(__xludf.DUMMYFUNCTION("""COMPUTED_VALUE"""),"")</f>
        <v/>
      </c>
      <c r="S935" s="1" t="str">
        <f>IFERROR(__xludf.DUMMYFUNCTION("""COMPUTED_VALUE"""),"")</f>
        <v/>
      </c>
      <c r="T935" s="1" t="str">
        <f>IFERROR(__xludf.DUMMYFUNCTION("""COMPUTED_VALUE"""),"")</f>
        <v/>
      </c>
      <c r="U935" s="1" t="str">
        <f>IFERROR(__xludf.DUMMYFUNCTION("""COMPUTED_VALUE"""),"")</f>
        <v/>
      </c>
      <c r="V935" s="1" t="str">
        <f>IFERROR(__xludf.DUMMYFUNCTION("""COMPUTED_VALUE"""),"")</f>
        <v/>
      </c>
      <c r="W935" s="1" t="str">
        <f>IFERROR(__xludf.DUMMYFUNCTION("""COMPUTED_VALUE"""),"5200")</f>
        <v>5200</v>
      </c>
      <c r="X935" s="1" t="str">
        <f>IFERROR(__xludf.DUMMYFUNCTION("""COMPUTED_VALUE"""),"")</f>
        <v/>
      </c>
      <c r="Y935" s="1" t="str">
        <f>IFERROR(__xludf.DUMMYFUNCTION("""COMPUTED_VALUE"""),"")</f>
        <v/>
      </c>
      <c r="Z935" s="1" t="str">
        <f>IFERROR(__xludf.DUMMYFUNCTION("""COMPUTED_VALUE"""),"Unknown")</f>
        <v>Unknown</v>
      </c>
      <c r="AA935" s="1" t="str">
        <f>IFERROR(__xludf.DUMMYFUNCTION("""COMPUTED_VALUE"""),"")</f>
        <v/>
      </c>
      <c r="AB935" s="1" t="str">
        <f>IFERROR(__xludf.DUMMYFUNCTION("""COMPUTED_VALUE"""),"")</f>
        <v/>
      </c>
      <c r="AC935" s="1" t="str">
        <f>IFERROR(__xludf.DUMMYFUNCTION("""COMPUTED_VALUE"""),"")</f>
        <v/>
      </c>
      <c r="AD935" s="1" t="str">
        <f>IFERROR(__xludf.DUMMYFUNCTION("""COMPUTED_VALUE"""),"")</f>
        <v/>
      </c>
      <c r="AE935" s="1" t="str">
        <f>IFERROR(__xludf.DUMMYFUNCTION("""COMPUTED_VALUE"""),"")</f>
        <v/>
      </c>
      <c r="AF935" s="1" t="str">
        <f>IFERROR(__xludf.DUMMYFUNCTION("""COMPUTED_VALUE"""),"")</f>
        <v/>
      </c>
      <c r="AG935" s="1" t="str">
        <f>IFERROR(__xludf.DUMMYFUNCTION("""COMPUTED_VALUE"""),"")</f>
        <v/>
      </c>
      <c r="AH935" s="1" t="str">
        <f>IFERROR(__xludf.DUMMYFUNCTION("""COMPUTED_VALUE"""),"Media Monitoring")</f>
        <v>Media Monitoring</v>
      </c>
      <c r="AI935" s="2" t="str">
        <f>IFERROR(__xludf.DUMMYFUNCTION("""COMPUTED_VALUE"""),"https://www.datacenterdynamics.com/en/news/cawley-partners-acquires-5200-acres-outside-dallas-plans-data-center-park/")</f>
        <v>https://www.datacenterdynamics.com/en/news/cawley-partners-acquires-5200-acres-outside-dallas-plans-data-center-park/</v>
      </c>
      <c r="AJ935" s="1" t="str">
        <f>IFERROR(__xludf.DUMMYFUNCTION("""COMPUTED_VALUE"""),"")</f>
        <v/>
      </c>
      <c r="AK935" s="1" t="str">
        <f>IFERROR(__xludf.DUMMYFUNCTION("""COMPUTED_VALUE"""),"")</f>
        <v/>
      </c>
      <c r="AL935" s="1" t="str">
        <f>IFERROR(__xludf.DUMMYFUNCTION("""COMPUTED_VALUE"""),"")</f>
        <v/>
      </c>
      <c r="AM935" s="1" t="str">
        <f>IFERROR(__xludf.DUMMYFUNCTION("""COMPUTED_VALUE"""),"")</f>
        <v/>
      </c>
      <c r="AN935" s="1" t="str">
        <f>IFERROR(__xludf.DUMMYFUNCTION("""COMPUTED_VALUE"""),"")</f>
        <v/>
      </c>
      <c r="AO935" s="1" t="str">
        <f>IFERROR(__xludf.DUMMYFUNCTION("""COMPUTED_VALUE"""),"")</f>
        <v/>
      </c>
      <c r="AP935" s="1" t="str">
        <f>IFERROR(__xludf.DUMMYFUNCTION("""COMPUTED_VALUE"""),"")</f>
        <v/>
      </c>
      <c r="AQ935" s="1" t="str">
        <f>IFERROR(__xludf.DUMMYFUNCTION("""COMPUTED_VALUE"""),"06/21/2025")</f>
        <v>06/21/2025</v>
      </c>
      <c r="AR935" s="1" t="str">
        <f>IFERROR(__xludf.DUMMYFUNCTION("""COMPUTED_VALUE"""),"06/21/2025")</f>
        <v>06/21/2025</v>
      </c>
    </row>
    <row r="936">
      <c r="A936" s="1" t="str">
        <f>IFERROR(__xludf.DUMMYFUNCTION("""COMPUTED_VALUE"""),"Fort Bliss Data Center")</f>
        <v>Fort Bliss Data Center</v>
      </c>
      <c r="B936" s="1" t="str">
        <f>IFERROR(__xludf.DUMMYFUNCTION("""COMPUTED_VALUE"""),"Fort Bliss army base")</f>
        <v>Fort Bliss army base</v>
      </c>
      <c r="C936" s="1" t="str">
        <f>IFERROR(__xludf.DUMMYFUNCTION("""COMPUTED_VALUE"""),"Fort Bliss")</f>
        <v>Fort Bliss</v>
      </c>
      <c r="D936" s="1" t="str">
        <f>IFERROR(__xludf.DUMMYFUNCTION("""COMPUTED_VALUE"""),"TX")</f>
        <v>TX</v>
      </c>
      <c r="E936" s="1" t="str">
        <f>IFERROR(__xludf.DUMMYFUNCTION("""COMPUTED_VALUE"""),"79906")</f>
        <v>79906</v>
      </c>
      <c r="F936" s="1" t="str">
        <f>IFERROR(__xludf.DUMMYFUNCTION("""COMPUTED_VALUE"""),"El Paso")</f>
        <v>El Paso</v>
      </c>
      <c r="G936" s="1" t="str">
        <f>IFERROR(__xludf.DUMMYFUNCTION("""COMPUTED_VALUE"""),"31.82617")</f>
        <v>31.82617</v>
      </c>
      <c r="H936" s="1" t="str">
        <f>IFERROR(__xludf.DUMMYFUNCTION("""COMPUTED_VALUE"""),"-106.4042")</f>
        <v>-106.4042</v>
      </c>
      <c r="I936" s="1" t="str">
        <f>IFERROR(__xludf.DUMMYFUNCTION("""COMPUTED_VALUE"""),"Proposed")</f>
        <v>Proposed</v>
      </c>
      <c r="J936" s="1" t="str">
        <f>IFERROR(__xludf.DUMMYFUNCTION("""COMPUTED_VALUE"""),"Medium")</f>
        <v>Medium</v>
      </c>
      <c r="K936" s="1" t="str">
        <f>IFERROR(__xludf.DUMMYFUNCTION("""COMPUTED_VALUE"""),"AI")</f>
        <v>AI</v>
      </c>
      <c r="L936" s="1" t="str">
        <f>IFERROR(__xludf.DUMMYFUNCTION("""COMPUTED_VALUE"""),"")</f>
        <v/>
      </c>
      <c r="M936" s="1" t="str">
        <f>IFERROR(__xludf.DUMMYFUNCTION("""COMPUTED_VALUE"""),"")</f>
        <v/>
      </c>
      <c r="N936" s="1" t="str">
        <f>IFERROR(__xludf.DUMMYFUNCTION("""COMPUTED_VALUE"""),"")</f>
        <v/>
      </c>
      <c r="O936" s="1" t="str">
        <f>IFERROR(__xludf.DUMMYFUNCTION("""COMPUTED_VALUE"""),"Unknown")</f>
        <v>Unknown</v>
      </c>
      <c r="P936" s="1" t="str">
        <f>IFERROR(__xludf.DUMMYFUNCTION("""COMPUTED_VALUE"""),"")</f>
        <v/>
      </c>
      <c r="Q936" s="1" t="str">
        <f>IFERROR(__xludf.DUMMYFUNCTION("""COMPUTED_VALUE"""),"")</f>
        <v/>
      </c>
      <c r="R936" s="1" t="str">
        <f>IFERROR(__xludf.DUMMYFUNCTION("""COMPUTED_VALUE"""),"")</f>
        <v/>
      </c>
      <c r="S936" s="1" t="str">
        <f>IFERROR(__xludf.DUMMYFUNCTION("""COMPUTED_VALUE"""),"")</f>
        <v/>
      </c>
      <c r="T936" s="1" t="str">
        <f>IFERROR(__xludf.DUMMYFUNCTION("""COMPUTED_VALUE"""),"")</f>
        <v/>
      </c>
      <c r="U936" s="1" t="str">
        <f>IFERROR(__xludf.DUMMYFUNCTION("""COMPUTED_VALUE"""),"")</f>
        <v/>
      </c>
      <c r="V936" s="1" t="str">
        <f>IFERROR(__xludf.DUMMYFUNCTION("""COMPUTED_VALUE"""),"")</f>
        <v/>
      </c>
      <c r="W936" s="1" t="str">
        <f>IFERROR(__xludf.DUMMYFUNCTION("""COMPUTED_VALUE"""),"1384")</f>
        <v>1384</v>
      </c>
      <c r="X936" s="1" t="str">
        <f>IFERROR(__xludf.DUMMYFUNCTION("""COMPUTED_VALUE"""),"")</f>
        <v/>
      </c>
      <c r="Y936" s="1" t="str">
        <f>IFERROR(__xludf.DUMMYFUNCTION("""COMPUTED_VALUE"""),"")</f>
        <v/>
      </c>
      <c r="Z936" s="1" t="str">
        <f>IFERROR(__xludf.DUMMYFUNCTION("""COMPUTED_VALUE"""),"Unknown")</f>
        <v>Unknown</v>
      </c>
      <c r="AA936" s="1" t="str">
        <f>IFERROR(__xludf.DUMMYFUNCTION("""COMPUTED_VALUE"""),"")</f>
        <v/>
      </c>
      <c r="AB936" s="1" t="str">
        <f>IFERROR(__xludf.DUMMYFUNCTION("""COMPUTED_VALUE"""),"")</f>
        <v/>
      </c>
      <c r="AC936" s="1" t="str">
        <f>IFERROR(__xludf.DUMMYFUNCTION("""COMPUTED_VALUE"""),"")</f>
        <v/>
      </c>
      <c r="AD936" s="1" t="str">
        <f>IFERROR(__xludf.DUMMYFUNCTION("""COMPUTED_VALUE"""),"")</f>
        <v/>
      </c>
      <c r="AE936" s="1" t="str">
        <f>IFERROR(__xludf.DUMMYFUNCTION("""COMPUTED_VALUE"""),"")</f>
        <v/>
      </c>
      <c r="AF936" s="1" t="str">
        <f>IFERROR(__xludf.DUMMYFUNCTION("""COMPUTED_VALUE"""),"")</f>
        <v/>
      </c>
      <c r="AG936" s="1" t="str">
        <f>IFERROR(__xludf.DUMMYFUNCTION("""COMPUTED_VALUE"""),"")</f>
        <v/>
      </c>
      <c r="AH936" s="1" t="str">
        <f>IFERROR(__xludf.DUMMYFUNCTION("""COMPUTED_VALUE"""),"Media Monitoring")</f>
        <v>Media Monitoring</v>
      </c>
      <c r="AI936" s="2" t="str">
        <f>IFERROR(__xludf.DUMMYFUNCTION("""COMPUTED_VALUE"""),"https://www.datacenterdynamics.com/en/news/us-dod-details-military-bases-available-for-ai-data-center-build-out/")</f>
        <v>https://www.datacenterdynamics.com/en/news/us-dod-details-military-bases-available-for-ai-data-center-build-out/</v>
      </c>
      <c r="AJ936" s="1" t="str">
        <f>IFERROR(__xludf.DUMMYFUNCTION("""COMPUTED_VALUE"""),"")</f>
        <v/>
      </c>
      <c r="AK936" s="1" t="str">
        <f>IFERROR(__xludf.DUMMYFUNCTION("""COMPUTED_VALUE"""),"")</f>
        <v/>
      </c>
      <c r="AL936" s="1" t="str">
        <f>IFERROR(__xludf.DUMMYFUNCTION("""COMPUTED_VALUE"""),"")</f>
        <v/>
      </c>
      <c r="AM936" s="1" t="str">
        <f>IFERROR(__xludf.DUMMYFUNCTION("""COMPUTED_VALUE"""),"")</f>
        <v/>
      </c>
      <c r="AN936" s="1" t="str">
        <f>IFERROR(__xludf.DUMMYFUNCTION("""COMPUTED_VALUE"""),"")</f>
        <v/>
      </c>
      <c r="AO936" s="1" t="str">
        <f>IFERROR(__xludf.DUMMYFUNCTION("""COMPUTED_VALUE"""),"")</f>
        <v/>
      </c>
      <c r="AP936" s="1" t="str">
        <f>IFERROR(__xludf.DUMMYFUNCTION("""COMPUTED_VALUE"""),"")</f>
        <v/>
      </c>
      <c r="AQ936" s="1" t="str">
        <f>IFERROR(__xludf.DUMMYFUNCTION("""COMPUTED_VALUE"""),"01/13/2026")</f>
        <v>01/13/2026</v>
      </c>
      <c r="AR936" s="1" t="str">
        <f>IFERROR(__xludf.DUMMYFUNCTION("""COMPUTED_VALUE"""),"01/13/2026")</f>
        <v>01/13/2026</v>
      </c>
    </row>
    <row r="937">
      <c r="A937" s="1" t="str">
        <f>IFERROR(__xludf.DUMMYFUNCTION("""COMPUTED_VALUE"""),"Project Horizon")</f>
        <v>Project Horizon</v>
      </c>
      <c r="B937" s="1" t="str">
        <f>IFERROR(__xludf.DUMMYFUNCTION("""COMPUTED_VALUE"""),"King Rd")</f>
        <v>King Rd</v>
      </c>
      <c r="C937" s="1" t="str">
        <f>IFERROR(__xludf.DUMMYFUNCTION("""COMPUTED_VALUE"""),"Fort Stockton")</f>
        <v>Fort Stockton</v>
      </c>
      <c r="D937" s="1" t="str">
        <f>IFERROR(__xludf.DUMMYFUNCTION("""COMPUTED_VALUE"""),"TX")</f>
        <v>TX</v>
      </c>
      <c r="E937" s="1" t="str">
        <f>IFERROR(__xludf.DUMMYFUNCTION("""COMPUTED_VALUE"""),"79735")</f>
        <v>79735</v>
      </c>
      <c r="F937" s="1" t="str">
        <f>IFERROR(__xludf.DUMMYFUNCTION("""COMPUTED_VALUE"""),"Pecos")</f>
        <v>Pecos</v>
      </c>
      <c r="G937" s="1" t="str">
        <f>IFERROR(__xludf.DUMMYFUNCTION("""COMPUTED_VALUE"""),"30.421732")</f>
        <v>30.421732</v>
      </c>
      <c r="H937" s="1" t="str">
        <f>IFERROR(__xludf.DUMMYFUNCTION("""COMPUTED_VALUE"""),"-102.509315")</f>
        <v>-102.509315</v>
      </c>
      <c r="I937" s="1" t="str">
        <f>IFERROR(__xludf.DUMMYFUNCTION("""COMPUTED_VALUE"""),"Proposed")</f>
        <v>Proposed</v>
      </c>
      <c r="J937" s="1" t="str">
        <f>IFERROR(__xludf.DUMMYFUNCTION("""COMPUTED_VALUE"""),"Medium")</f>
        <v>Medium</v>
      </c>
      <c r="K937" s="1" t="str">
        <f>IFERROR(__xludf.DUMMYFUNCTION("""COMPUTED_VALUE"""),"AI")</f>
        <v>AI</v>
      </c>
      <c r="L937" s="1" t="str">
        <f>IFERROR(__xludf.DUMMYFUNCTION("""COMPUTED_VALUE"""),"Poolside/CoreWeave")</f>
        <v>Poolside/CoreWeave</v>
      </c>
      <c r="M937" s="1" t="str">
        <f>IFERROR(__xludf.DUMMYFUNCTION("""COMPUTED_VALUE"""),"")</f>
        <v/>
      </c>
      <c r="N937" s="1" t="str">
        <f>IFERROR(__xludf.DUMMYFUNCTION("""COMPUTED_VALUE"""),"2000")</f>
        <v>2000</v>
      </c>
      <c r="O937" s="1" t="str">
        <f>IFERROR(__xludf.DUMMYFUNCTION("""COMPUTED_VALUE"""),"Mega campus (&gt;1,000 MW)")</f>
        <v>Mega campus (&gt;1,000 MW)</v>
      </c>
      <c r="P937" s="1" t="str">
        <f>IFERROR(__xludf.DUMMYFUNCTION("""COMPUTED_VALUE"""),"")</f>
        <v/>
      </c>
      <c r="Q937" s="1" t="str">
        <f>IFERROR(__xludf.DUMMYFUNCTION("""COMPUTED_VALUE"""),"")</f>
        <v/>
      </c>
      <c r="R937" s="1" t="str">
        <f>IFERROR(__xludf.DUMMYFUNCTION("""COMPUTED_VALUE"""),"")</f>
        <v/>
      </c>
      <c r="S937" s="1" t="str">
        <f>IFERROR(__xludf.DUMMYFUNCTION("""COMPUTED_VALUE"""),"")</f>
        <v/>
      </c>
      <c r="T937" s="1" t="str">
        <f>IFERROR(__xludf.DUMMYFUNCTION("""COMPUTED_VALUE"""),"")</f>
        <v/>
      </c>
      <c r="U937" s="1" t="str">
        <f>IFERROR(__xludf.DUMMYFUNCTION("""COMPUTED_VALUE"""),"")</f>
        <v/>
      </c>
      <c r="V937" s="1" t="str">
        <f>IFERROR(__xludf.DUMMYFUNCTION("""COMPUTED_VALUE"""),"")</f>
        <v/>
      </c>
      <c r="W937" s="1" t="str">
        <f>IFERROR(__xludf.DUMMYFUNCTION("""COMPUTED_VALUE"""),"568")</f>
        <v>568</v>
      </c>
      <c r="X937" s="1" t="str">
        <f>IFERROR(__xludf.DUMMYFUNCTION("""COMPUTED_VALUE"""),"")</f>
        <v/>
      </c>
      <c r="Y937" s="1" t="str">
        <f>IFERROR(__xludf.DUMMYFUNCTION("""COMPUTED_VALUE"""),"")</f>
        <v/>
      </c>
      <c r="Z937" s="1" t="str">
        <f>IFERROR(__xludf.DUMMYFUNCTION("""COMPUTED_VALUE"""),"Unknown")</f>
        <v>Unknown</v>
      </c>
      <c r="AA937" s="1" t="str">
        <f>IFERROR(__xludf.DUMMYFUNCTION("""COMPUTED_VALUE"""),"")</f>
        <v/>
      </c>
      <c r="AB937" s="1" t="str">
        <f>IFERROR(__xludf.DUMMYFUNCTION("""COMPUTED_VALUE"""),"")</f>
        <v/>
      </c>
      <c r="AC937" s="1" t="str">
        <f>IFERROR(__xludf.DUMMYFUNCTION("""COMPUTED_VALUE"""),"")</f>
        <v/>
      </c>
      <c r="AD937" s="1" t="str">
        <f>IFERROR(__xludf.DUMMYFUNCTION("""COMPUTED_VALUE"""),"")</f>
        <v/>
      </c>
      <c r="AE937" s="1" t="str">
        <f>IFERROR(__xludf.DUMMYFUNCTION("""COMPUTED_VALUE"""),"")</f>
        <v/>
      </c>
      <c r="AF937" s="1" t="str">
        <f>IFERROR(__xludf.DUMMYFUNCTION("""COMPUTED_VALUE"""),"")</f>
        <v/>
      </c>
      <c r="AG937" s="1" t="str">
        <f>IFERROR(__xludf.DUMMYFUNCTION("""COMPUTED_VALUE"""),"Natural gas")</f>
        <v>Natural gas</v>
      </c>
      <c r="AH937" s="1" t="str">
        <f>IFERROR(__xludf.DUMMYFUNCTION("""COMPUTED_VALUE"""),"Media Monitoring")</f>
        <v>Media Monitoring</v>
      </c>
      <c r="AI937" s="2" t="str">
        <f>IFERROR(__xludf.DUMMYFUNCTION("""COMPUTED_VALUE"""),"https://www.wsj.com/tech/ai/west-texas-data-center-nvidia-e38a4678")</f>
        <v>https://www.wsj.com/tech/ai/west-texas-data-center-nvidia-e38a4678</v>
      </c>
      <c r="AJ937" s="2" t="str">
        <f>IFERROR(__xludf.DUMMYFUNCTION("""COMPUTED_VALUE"""),"https://www.datacenterdynamics.com/en/news/ai-startup-poolside-teams-up-with-coreweave-on-2gw-data-center-in-texas/")</f>
        <v>https://www.datacenterdynamics.com/en/news/ai-startup-poolside-teams-up-with-coreweave-on-2gw-data-center-in-texas/</v>
      </c>
      <c r="AK937" s="2" t="str">
        <f>IFERROR(__xludf.DUMMYFUNCTION("""COMPUTED_VALUE"""),"https://www.longfellowranch.com/about")</f>
        <v>https://www.longfellowranch.com/about</v>
      </c>
      <c r="AL937" s="1" t="str">
        <f>IFERROR(__xludf.DUMMYFUNCTION("""COMPUTED_VALUE"""),"")</f>
        <v/>
      </c>
      <c r="AM937" s="1" t="str">
        <f>IFERROR(__xludf.DUMMYFUNCTION("""COMPUTED_VALUE"""),"")</f>
        <v/>
      </c>
      <c r="AN937" s="1" t="str">
        <f>IFERROR(__xludf.DUMMYFUNCTION("""COMPUTED_VALUE"""),"")</f>
        <v/>
      </c>
      <c r="AO937" s="1" t="str">
        <f>IFERROR(__xludf.DUMMYFUNCTION("""COMPUTED_VALUE"""),"")</f>
        <v/>
      </c>
      <c r="AP937" s="1" t="str">
        <f>IFERROR(__xludf.DUMMYFUNCTION("""COMPUTED_VALUE"""),"")</f>
        <v/>
      </c>
      <c r="AQ937" s="1" t="str">
        <f>IFERROR(__xludf.DUMMYFUNCTION("""COMPUTED_VALUE"""),"10/21/2025")</f>
        <v>10/21/2025</v>
      </c>
      <c r="AR937" s="1" t="str">
        <f>IFERROR(__xludf.DUMMYFUNCTION("""COMPUTED_VALUE"""),"10/21/2025")</f>
        <v>10/21/2025</v>
      </c>
    </row>
    <row r="938">
      <c r="A938" s="1" t="str">
        <f>IFERROR(__xludf.DUMMYFUNCTION("""COMPUTED_VALUE"""),"Black Mountain Data Center")</f>
        <v>Black Mountain Data Center</v>
      </c>
      <c r="B938" s="1" t="str">
        <f>IFERROR(__xludf.DUMMYFUNCTION("""COMPUTED_VALUE"""),"near 7600 Anglin Dr")</f>
        <v>near 7600 Anglin Dr</v>
      </c>
      <c r="C938" s="1" t="str">
        <f>IFERROR(__xludf.DUMMYFUNCTION("""COMPUTED_VALUE"""),"Fort Worth")</f>
        <v>Fort Worth</v>
      </c>
      <c r="D938" s="1" t="str">
        <f>IFERROR(__xludf.DUMMYFUNCTION("""COMPUTED_VALUE"""),"TX")</f>
        <v>TX</v>
      </c>
      <c r="E938" s="1" t="str">
        <f>IFERROR(__xludf.DUMMYFUNCTION("""COMPUTED_VALUE"""),"76140")</f>
        <v>76140</v>
      </c>
      <c r="F938" s="1" t="str">
        <f>IFERROR(__xludf.DUMMYFUNCTION("""COMPUTED_VALUE"""),"Tarrant")</f>
        <v>Tarrant</v>
      </c>
      <c r="G938" s="1" t="str">
        <f>IFERROR(__xludf.DUMMYFUNCTION("""COMPUTED_VALUE"""),"32.64334")</f>
        <v>32.64334</v>
      </c>
      <c r="H938" s="1" t="str">
        <f>IFERROR(__xludf.DUMMYFUNCTION("""COMPUTED_VALUE"""),"-97.25621")</f>
        <v>-97.25621</v>
      </c>
      <c r="I938" s="1" t="str">
        <f>IFERROR(__xludf.DUMMYFUNCTION("""COMPUTED_VALUE"""),"Proposed")</f>
        <v>Proposed</v>
      </c>
      <c r="J938" s="1" t="str">
        <f>IFERROR(__xludf.DUMMYFUNCTION("""COMPUTED_VALUE"""),"Medium")</f>
        <v>Medium</v>
      </c>
      <c r="K938" s="1" t="str">
        <f>IFERROR(__xludf.DUMMYFUNCTION("""COMPUTED_VALUE"""),"")</f>
        <v/>
      </c>
      <c r="L938" s="1" t="str">
        <f>IFERROR(__xludf.DUMMYFUNCTION("""COMPUTED_VALUE"""),"")</f>
        <v/>
      </c>
      <c r="M938" s="1" t="str">
        <f>IFERROR(__xludf.DUMMYFUNCTION("""COMPUTED_VALUE"""),"")</f>
        <v/>
      </c>
      <c r="N938" s="1" t="str">
        <f>IFERROR(__xludf.DUMMYFUNCTION("""COMPUTED_VALUE"""),"")</f>
        <v/>
      </c>
      <c r="O938" s="1" t="str">
        <f>IFERROR(__xludf.DUMMYFUNCTION("""COMPUTED_VALUE"""),"Hyperscale (100-999 MW)")</f>
        <v>Hyperscale (100-999 MW)</v>
      </c>
      <c r="P938" s="1" t="str">
        <f>IFERROR(__xludf.DUMMYFUNCTION("""COMPUTED_VALUE"""),"")</f>
        <v/>
      </c>
      <c r="Q938" s="1" t="str">
        <f>IFERROR(__xludf.DUMMYFUNCTION("""COMPUTED_VALUE"""),"")</f>
        <v/>
      </c>
      <c r="R938" s="1" t="str">
        <f>IFERROR(__xludf.DUMMYFUNCTION("""COMPUTED_VALUE"""),"")</f>
        <v/>
      </c>
      <c r="S938" s="1" t="str">
        <f>IFERROR(__xludf.DUMMYFUNCTION("""COMPUTED_VALUE"""),"")</f>
        <v/>
      </c>
      <c r="T938" s="1" t="str">
        <f>IFERROR(__xludf.DUMMYFUNCTION("""COMPUTED_VALUE"""),"")</f>
        <v/>
      </c>
      <c r="U938" s="1" t="str">
        <f>IFERROR(__xludf.DUMMYFUNCTION("""COMPUTED_VALUE"""),"")</f>
        <v/>
      </c>
      <c r="V938" s="1" t="str">
        <f>IFERROR(__xludf.DUMMYFUNCTION("""COMPUTED_VALUE"""),"")</f>
        <v/>
      </c>
      <c r="W938" s="1" t="str">
        <f>IFERROR(__xludf.DUMMYFUNCTION("""COMPUTED_VALUE"""),"419")</f>
        <v>419</v>
      </c>
      <c r="X938" s="1" t="str">
        <f>IFERROR(__xludf.DUMMYFUNCTION("""COMPUTED_VALUE"""),"$10 billion")</f>
        <v>$10 billion</v>
      </c>
      <c r="Y938" s="1" t="str">
        <f>IFERROR(__xludf.DUMMYFUNCTION("""COMPUTED_VALUE"""),"")</f>
        <v/>
      </c>
      <c r="Z938" s="1" t="str">
        <f>IFERROR(__xludf.DUMMYFUNCTION("""COMPUTED_VALUE"""),"Unknown")</f>
        <v>Unknown</v>
      </c>
      <c r="AA938" s="1" t="str">
        <f>IFERROR(__xludf.DUMMYFUNCTION("""COMPUTED_VALUE"""),"")</f>
        <v/>
      </c>
      <c r="AB938" s="1" t="str">
        <f>IFERROR(__xludf.DUMMYFUNCTION("""COMPUTED_VALUE"""),"")</f>
        <v/>
      </c>
      <c r="AC938" s="1" t="str">
        <f>IFERROR(__xludf.DUMMYFUNCTION("""COMPUTED_VALUE"""),"")</f>
        <v/>
      </c>
      <c r="AD938" s="1" t="str">
        <f>IFERROR(__xludf.DUMMYFUNCTION("""COMPUTED_VALUE"""),"")</f>
        <v/>
      </c>
      <c r="AE938" s="1" t="str">
        <f>IFERROR(__xludf.DUMMYFUNCTION("""COMPUTED_VALUE"""),"")</f>
        <v/>
      </c>
      <c r="AF938" s="1" t="str">
        <f>IFERROR(__xludf.DUMMYFUNCTION("""COMPUTED_VALUE"""),"")</f>
        <v/>
      </c>
      <c r="AG938" s="1" t="str">
        <f>IFERROR(__xludf.DUMMYFUNCTION("""COMPUTED_VALUE"""),"Adjacent to Weston Gardens nursery. Proposed 419-acre hyperscale data center campus in south Fort Worth planned by Black Mountain LLC with an estimated $10B investment; detailed power capacity not yet disclosed.")</f>
        <v>Adjacent to Weston Gardens nursery. Proposed 419-acre hyperscale data center campus in south Fort Worth planned by Black Mountain LLC with an estimated $10B investment; detailed power capacity not yet disclosed.</v>
      </c>
      <c r="AH938" s="1" t="str">
        <f>IFERROR(__xludf.DUMMYFUNCTION("""COMPUTED_VALUE"""),"Media Monitoring")</f>
        <v>Media Monitoring</v>
      </c>
      <c r="AI938" s="2" t="str">
        <f>IFERROR(__xludf.DUMMYFUNCTION("""COMPUTED_VALUE"""),"https://www.star-telegram.com/news/local/fort-worth/article312325777.html")</f>
        <v>https://www.star-telegram.com/news/local/fort-worth/article312325777.html</v>
      </c>
      <c r="AJ938" s="2" t="str">
        <f>IFERROR(__xludf.DUMMYFUNCTION("""COMPUTED_VALUE"""),"https://www.yahoo.com/news/articles/10-billion-data-center-planned-234819302.html")</f>
        <v>https://www.yahoo.com/news/articles/10-billion-data-center-planned-234819302.html</v>
      </c>
      <c r="AK938" s="1" t="str">
        <f>IFERROR(__xludf.DUMMYFUNCTION("""COMPUTED_VALUE"""),"")</f>
        <v/>
      </c>
      <c r="AL938" s="1" t="str">
        <f>IFERROR(__xludf.DUMMYFUNCTION("""COMPUTED_VALUE"""),"")</f>
        <v/>
      </c>
      <c r="AM938" s="1" t="str">
        <f>IFERROR(__xludf.DUMMYFUNCTION("""COMPUTED_VALUE"""),"")</f>
        <v/>
      </c>
      <c r="AN938" s="1" t="str">
        <f>IFERROR(__xludf.DUMMYFUNCTION("""COMPUTED_VALUE"""),"")</f>
        <v/>
      </c>
      <c r="AO938" s="1" t="str">
        <f>IFERROR(__xludf.DUMMYFUNCTION("""COMPUTED_VALUE"""),"")</f>
        <v/>
      </c>
      <c r="AP938" s="1" t="str">
        <f>IFERROR(__xludf.DUMMYFUNCTION("""COMPUTED_VALUE"""),"")</f>
        <v/>
      </c>
      <c r="AQ938" s="1" t="str">
        <f>IFERROR(__xludf.DUMMYFUNCTION("""COMPUTED_VALUE"""),"12/13/2025")</f>
        <v>12/13/2025</v>
      </c>
      <c r="AR938" s="1" t="str">
        <f>IFERROR(__xludf.DUMMYFUNCTION("""COMPUTED_VALUE"""),"03/17/2026")</f>
        <v>03/17/2026</v>
      </c>
    </row>
    <row r="939">
      <c r="A939" s="1" t="str">
        <f>IFERROR(__xludf.DUMMYFUNCTION("""COMPUTED_VALUE"""),"Centersquare Dallas/Fort Worth Data Center")</f>
        <v>Centersquare Dallas/Fort Worth Data Center</v>
      </c>
      <c r="B939" s="1" t="str">
        <f>IFERROR(__xludf.DUMMYFUNCTION("""COMPUTED_VALUE"""),"14901 FAA Blvd")</f>
        <v>14901 FAA Blvd</v>
      </c>
      <c r="C939" s="1" t="str">
        <f>IFERROR(__xludf.DUMMYFUNCTION("""COMPUTED_VALUE"""),"Fort Worth")</f>
        <v>Fort Worth</v>
      </c>
      <c r="D939" s="1" t="str">
        <f>IFERROR(__xludf.DUMMYFUNCTION("""COMPUTED_VALUE"""),"TX")</f>
        <v>TX</v>
      </c>
      <c r="E939" s="1" t="str">
        <f>IFERROR(__xludf.DUMMYFUNCTION("""COMPUTED_VALUE"""),"76155")</f>
        <v>76155</v>
      </c>
      <c r="F939" s="1" t="str">
        <f>IFERROR(__xludf.DUMMYFUNCTION("""COMPUTED_VALUE"""),"Tarrant")</f>
        <v>Tarrant</v>
      </c>
      <c r="G939" s="1" t="str">
        <f>IFERROR(__xludf.DUMMYFUNCTION("""COMPUTED_VALUE"""),"32.83233")</f>
        <v>32.83233</v>
      </c>
      <c r="H939" s="1" t="str">
        <f>IFERROR(__xludf.DUMMYFUNCTION("""COMPUTED_VALUE"""),"-97.0405")</f>
        <v>-97.0405</v>
      </c>
      <c r="I939" s="1" t="str">
        <f>IFERROR(__xludf.DUMMYFUNCTION("""COMPUTED_VALUE"""),"Operating")</f>
        <v>Operating</v>
      </c>
      <c r="J939" s="1" t="str">
        <f>IFERROR(__xludf.DUMMYFUNCTION("""COMPUTED_VALUE"""),"High")</f>
        <v>High</v>
      </c>
      <c r="K939" s="1" t="str">
        <f>IFERROR(__xludf.DUMMYFUNCTION("""COMPUTED_VALUE"""),"")</f>
        <v/>
      </c>
      <c r="L939" s="1" t="str">
        <f>IFERROR(__xludf.DUMMYFUNCTION("""COMPUTED_VALUE"""),"")</f>
        <v/>
      </c>
      <c r="M939" s="1" t="str">
        <f>IFERROR(__xludf.DUMMYFUNCTION("""COMPUTED_VALUE"""),"")</f>
        <v/>
      </c>
      <c r="N939" s="1" t="str">
        <f>IFERROR(__xludf.DUMMYFUNCTION("""COMPUTED_VALUE"""),"")</f>
        <v/>
      </c>
      <c r="O939" s="1" t="str">
        <f>IFERROR(__xludf.DUMMYFUNCTION("""COMPUTED_VALUE"""),"Unknown")</f>
        <v>Unknown</v>
      </c>
      <c r="P939" s="1" t="str">
        <f>IFERROR(__xludf.DUMMYFUNCTION("""COMPUTED_VALUE"""),"")</f>
        <v/>
      </c>
      <c r="Q939" s="1" t="str">
        <f>IFERROR(__xludf.DUMMYFUNCTION("""COMPUTED_VALUE"""),"")</f>
        <v/>
      </c>
      <c r="R939" s="1" t="str">
        <f>IFERROR(__xludf.DUMMYFUNCTION("""COMPUTED_VALUE"""),"")</f>
        <v/>
      </c>
      <c r="S939" s="1" t="str">
        <f>IFERROR(__xludf.DUMMYFUNCTION("""COMPUTED_VALUE"""),"")</f>
        <v/>
      </c>
      <c r="T939" s="1" t="str">
        <f>IFERROR(__xludf.DUMMYFUNCTION("""COMPUTED_VALUE"""),"")</f>
        <v/>
      </c>
      <c r="U939" s="1" t="str">
        <f>IFERROR(__xludf.DUMMYFUNCTION("""COMPUTED_VALUE"""),"")</f>
        <v/>
      </c>
      <c r="V939" s="1" t="str">
        <f>IFERROR(__xludf.DUMMYFUNCTION("""COMPUTED_VALUE"""),"")</f>
        <v/>
      </c>
      <c r="W939" s="1" t="str">
        <f>IFERROR(__xludf.DUMMYFUNCTION("""COMPUTED_VALUE"""),"")</f>
        <v/>
      </c>
      <c r="X939" s="1" t="str">
        <f>IFERROR(__xludf.DUMMYFUNCTION("""COMPUTED_VALUE"""),"")</f>
        <v/>
      </c>
      <c r="Y939" s="1" t="str">
        <f>IFERROR(__xludf.DUMMYFUNCTION("""COMPUTED_VALUE"""),"")</f>
        <v/>
      </c>
      <c r="Z939" s="1" t="str">
        <f>IFERROR(__xludf.DUMMYFUNCTION("""COMPUTED_VALUE"""),"Unknown")</f>
        <v>Unknown</v>
      </c>
      <c r="AA939" s="1" t="str">
        <f>IFERROR(__xludf.DUMMYFUNCTION("""COMPUTED_VALUE"""),"")</f>
        <v/>
      </c>
      <c r="AB939" s="1" t="str">
        <f>IFERROR(__xludf.DUMMYFUNCTION("""COMPUTED_VALUE"""),"")</f>
        <v/>
      </c>
      <c r="AC939" s="1" t="str">
        <f>IFERROR(__xludf.DUMMYFUNCTION("""COMPUTED_VALUE"""),"")</f>
        <v/>
      </c>
      <c r="AD939" s="1" t="str">
        <f>IFERROR(__xludf.DUMMYFUNCTION("""COMPUTED_VALUE"""),"")</f>
        <v/>
      </c>
      <c r="AE939" s="1" t="str">
        <f>IFERROR(__xludf.DUMMYFUNCTION("""COMPUTED_VALUE"""),"")</f>
        <v/>
      </c>
      <c r="AF939" s="1" t="str">
        <f>IFERROR(__xludf.DUMMYFUNCTION("""COMPUTED_VALUE"""),"")</f>
        <v/>
      </c>
      <c r="AG939" s="1" t="str">
        <f>IFERROR(__xludf.DUMMYFUNCTION("""COMPUTED_VALUE"""),"")</f>
        <v/>
      </c>
      <c r="AH939" s="1" t="str">
        <f>IFERROR(__xludf.DUMMYFUNCTION("""COMPUTED_VALUE"""),"Media Monitoring")</f>
        <v>Media Monitoring</v>
      </c>
      <c r="AI939" s="1" t="str">
        <f>IFERROR(__xludf.DUMMYFUNCTION("""COMPUTED_VALUE"""),"")</f>
        <v/>
      </c>
      <c r="AJ939" s="1" t="str">
        <f>IFERROR(__xludf.DUMMYFUNCTION("""COMPUTED_VALUE"""),"")</f>
        <v/>
      </c>
      <c r="AK939" s="1" t="str">
        <f>IFERROR(__xludf.DUMMYFUNCTION("""COMPUTED_VALUE"""),"")</f>
        <v/>
      </c>
      <c r="AL939" s="1" t="str">
        <f>IFERROR(__xludf.DUMMYFUNCTION("""COMPUTED_VALUE"""),"")</f>
        <v/>
      </c>
      <c r="AM939" s="1" t="str">
        <f>IFERROR(__xludf.DUMMYFUNCTION("""COMPUTED_VALUE"""),"")</f>
        <v/>
      </c>
      <c r="AN939" s="1" t="str">
        <f>IFERROR(__xludf.DUMMYFUNCTION("""COMPUTED_VALUE"""),"")</f>
        <v/>
      </c>
      <c r="AO939" s="1" t="str">
        <f>IFERROR(__xludf.DUMMYFUNCTION("""COMPUTED_VALUE"""),"")</f>
        <v/>
      </c>
      <c r="AP939" s="1" t="str">
        <f>IFERROR(__xludf.DUMMYFUNCTION("""COMPUTED_VALUE"""),"")</f>
        <v/>
      </c>
      <c r="AQ939" s="1" t="str">
        <f>IFERROR(__xludf.DUMMYFUNCTION("""COMPUTED_VALUE"""),"08/05/2025")</f>
        <v>08/05/2025</v>
      </c>
      <c r="AR939" s="1" t="str">
        <f>IFERROR(__xludf.DUMMYFUNCTION("""COMPUTED_VALUE"""),"08/05/2025")</f>
        <v>08/05/2025</v>
      </c>
    </row>
    <row r="940">
      <c r="A940" s="1" t="str">
        <f>IFERROR(__xludf.DUMMYFUNCTION("""COMPUTED_VALUE"""),"CyrusOne/Eolian Data Center")</f>
        <v>CyrusOne/Eolian Data Center</v>
      </c>
      <c r="B940" s="1" t="str">
        <f>IFERROR(__xludf.DUMMYFUNCTION("""COMPUTED_VALUE"""),"Asphalt Dr")</f>
        <v>Asphalt Dr</v>
      </c>
      <c r="C940" s="1" t="str">
        <f>IFERROR(__xludf.DUMMYFUNCTION("""COMPUTED_VALUE"""),"Fort Worth")</f>
        <v>Fort Worth</v>
      </c>
      <c r="D940" s="1" t="str">
        <f>IFERROR(__xludf.DUMMYFUNCTION("""COMPUTED_VALUE"""),"TX")</f>
        <v>TX</v>
      </c>
      <c r="E940" s="1" t="str">
        <f>IFERROR(__xludf.DUMMYFUNCTION("""COMPUTED_VALUE"""),"76179")</f>
        <v>76179</v>
      </c>
      <c r="F940" s="1" t="str">
        <f>IFERROR(__xludf.DUMMYFUNCTION("""COMPUTED_VALUE"""),"Tarrant")</f>
        <v>Tarrant</v>
      </c>
      <c r="G940" s="1" t="str">
        <f>IFERROR(__xludf.DUMMYFUNCTION("""COMPUTED_VALUE"""),"32.90195")</f>
        <v>32.90195</v>
      </c>
      <c r="H940" s="1" t="str">
        <f>IFERROR(__xludf.DUMMYFUNCTION("""COMPUTED_VALUE"""),"-97.39384")</f>
        <v>-97.39384</v>
      </c>
      <c r="I940" s="1" t="str">
        <f>IFERROR(__xludf.DUMMYFUNCTION("""COMPUTED_VALUE"""),"Approved/Permitted/Under construction")</f>
        <v>Approved/Permitted/Under construction</v>
      </c>
      <c r="J940" s="1" t="str">
        <f>IFERROR(__xludf.DUMMYFUNCTION("""COMPUTED_VALUE"""),"High")</f>
        <v>High</v>
      </c>
      <c r="K940" s="1" t="str">
        <f>IFERROR(__xludf.DUMMYFUNCTION("""COMPUTED_VALUE"""),"")</f>
        <v/>
      </c>
      <c r="L940" s="1" t="str">
        <f>IFERROR(__xludf.DUMMYFUNCTION("""COMPUTED_VALUE"""),"CyrusOne/Eolian")</f>
        <v>CyrusOne/Eolian</v>
      </c>
      <c r="M940" s="1" t="str">
        <f>IFERROR(__xludf.DUMMYFUNCTION("""COMPUTED_VALUE"""),"")</f>
        <v/>
      </c>
      <c r="N940" s="1" t="str">
        <f>IFERROR(__xludf.DUMMYFUNCTION("""COMPUTED_VALUE"""),"70?")</f>
        <v>70?</v>
      </c>
      <c r="O940" s="1" t="str">
        <f>IFERROR(__xludf.DUMMYFUNCTION("""COMPUTED_VALUE"""),"Large (51-99 MW)")</f>
        <v>Large (51-99 MW)</v>
      </c>
      <c r="P940" s="1" t="str">
        <f>IFERROR(__xludf.DUMMYFUNCTION("""COMPUTED_VALUE"""),"")</f>
        <v/>
      </c>
      <c r="Q940" s="1" t="str">
        <f>IFERROR(__xludf.DUMMYFUNCTION("""COMPUTED_VALUE"""),"")</f>
        <v/>
      </c>
      <c r="R940" s="1" t="str">
        <f>IFERROR(__xludf.DUMMYFUNCTION("""COMPUTED_VALUE"""),"")</f>
        <v/>
      </c>
      <c r="S940" s="1" t="str">
        <f>IFERROR(__xludf.DUMMYFUNCTION("""COMPUTED_VALUE"""),"")</f>
        <v/>
      </c>
      <c r="T940" s="1" t="str">
        <f>IFERROR(__xludf.DUMMYFUNCTION("""COMPUTED_VALUE"""),"")</f>
        <v/>
      </c>
      <c r="U940" s="1" t="str">
        <f>IFERROR(__xludf.DUMMYFUNCTION("""COMPUTED_VALUE"""),"")</f>
        <v/>
      </c>
      <c r="V940" s="1" t="str">
        <f>IFERROR(__xludf.DUMMYFUNCTION("""COMPUTED_VALUE"""),"1,900,000")</f>
        <v>1,900,000</v>
      </c>
      <c r="W940" s="1" t="str">
        <f>IFERROR(__xludf.DUMMYFUNCTION("""COMPUTED_VALUE"""),"")</f>
        <v/>
      </c>
      <c r="X940" s="1" t="str">
        <f>IFERROR(__xludf.DUMMYFUNCTION("""COMPUTED_VALUE"""),"")</f>
        <v/>
      </c>
      <c r="Y940" s="1" t="str">
        <f>IFERROR(__xludf.DUMMYFUNCTION("""COMPUTED_VALUE"""),"2026")</f>
        <v>2026</v>
      </c>
      <c r="Z940" s="1" t="str">
        <f>IFERROR(__xludf.DUMMYFUNCTION("""COMPUTED_VALUE"""),"Yes")</f>
        <v>Yes</v>
      </c>
      <c r="AA940" s="1" t="str">
        <f>IFERROR(__xludf.DUMMYFUNCTION("""COMPUTED_VALUE"""),"")</f>
        <v/>
      </c>
      <c r="AB940" s="1" t="str">
        <f>IFERROR(__xludf.DUMMYFUNCTION("""COMPUTED_VALUE"""),"")</f>
        <v/>
      </c>
      <c r="AC940" s="1" t="str">
        <f>IFERROR(__xludf.DUMMYFUNCTION("""COMPUTED_VALUE"""),"")</f>
        <v/>
      </c>
      <c r="AD940" s="1" t="str">
        <f>IFERROR(__xludf.DUMMYFUNCTION("""COMPUTED_VALUE"""),"")</f>
        <v/>
      </c>
      <c r="AE940" s="1" t="str">
        <f>IFERROR(__xludf.DUMMYFUNCTION("""COMPUTED_VALUE"""),"")</f>
        <v/>
      </c>
      <c r="AF940" s="2" t="str">
        <f>IFERROR(__xludf.DUMMYFUNCTION("""COMPUTED_VALUE"""),"https://www.change.org/p/stop-the-data-center-next-to-our-historic-gardens-for-all-supporters-sign-petition-below")</f>
        <v>https://www.change.org/p/stop-the-data-center-next-to-our-historic-gardens-for-all-supporters-sign-petition-below</v>
      </c>
      <c r="AG940" s="1" t="str">
        <f>IFERROR(__xludf.DUMMYFUNCTION("""COMPUTED_VALUE"""),"BESS battery storage co-location")</f>
        <v>BESS battery storage co-location</v>
      </c>
      <c r="AH940" s="1" t="str">
        <f>IFERROR(__xludf.DUMMYFUNCTION("""COMPUTED_VALUE"""),"Media Monitoring")</f>
        <v>Media Monitoring</v>
      </c>
      <c r="AI940" s="2" t="str">
        <f>IFERROR(__xludf.DUMMYFUNCTION("""COMPUTED_VALUE"""),"https://www.datacenterdynamics.com/en/news/cyrusone-partners-with-energy-firm-eolian-for-dallas-data-center/")</f>
        <v>https://www.datacenterdynamics.com/en/news/cyrusone-partners-with-energy-firm-eolian-for-dallas-data-center/</v>
      </c>
      <c r="AJ940" s="1" t="str">
        <f>IFERROR(__xludf.DUMMYFUNCTION("""COMPUTED_VALUE"""),"")</f>
        <v/>
      </c>
      <c r="AK940" s="1" t="str">
        <f>IFERROR(__xludf.DUMMYFUNCTION("""COMPUTED_VALUE"""),"")</f>
        <v/>
      </c>
      <c r="AL940" s="1" t="str">
        <f>IFERROR(__xludf.DUMMYFUNCTION("""COMPUTED_VALUE"""),"")</f>
        <v/>
      </c>
      <c r="AM940" s="1" t="str">
        <f>IFERROR(__xludf.DUMMYFUNCTION("""COMPUTED_VALUE"""),"")</f>
        <v/>
      </c>
      <c r="AN940" s="1" t="str">
        <f>IFERROR(__xludf.DUMMYFUNCTION("""COMPUTED_VALUE"""),"")</f>
        <v/>
      </c>
      <c r="AO940" s="1" t="str">
        <f>IFERROR(__xludf.DUMMYFUNCTION("""COMPUTED_VALUE"""),"")</f>
        <v/>
      </c>
      <c r="AP940" s="1" t="str">
        <f>IFERROR(__xludf.DUMMYFUNCTION("""COMPUTED_VALUE"""),"")</f>
        <v/>
      </c>
      <c r="AQ940" s="1" t="str">
        <f>IFERROR(__xludf.DUMMYFUNCTION("""COMPUTED_VALUE"""),"01/14/2026")</f>
        <v>01/14/2026</v>
      </c>
      <c r="AR940" s="1" t="str">
        <f>IFERROR(__xludf.DUMMYFUNCTION("""COMPUTED_VALUE"""),"02/17/2026")</f>
        <v>02/17/2026</v>
      </c>
    </row>
    <row r="941">
      <c r="A941" s="1" t="str">
        <f>IFERROR(__xludf.DUMMYFUNCTION("""COMPUTED_VALUE"""),"Edged Energy Outpost Data Center")</f>
        <v>Edged Energy Outpost Data Center</v>
      </c>
      <c r="B941" s="1" t="str">
        <f>IFERROR(__xludf.DUMMYFUNCTION("""COMPUTED_VALUE"""),"9999 Chapin School Rd")</f>
        <v>9999 Chapin School Rd</v>
      </c>
      <c r="C941" s="1" t="str">
        <f>IFERROR(__xludf.DUMMYFUNCTION("""COMPUTED_VALUE"""),"Fort Worth")</f>
        <v>Fort Worth</v>
      </c>
      <c r="D941" s="1" t="str">
        <f>IFERROR(__xludf.DUMMYFUNCTION("""COMPUTED_VALUE"""),"TX")</f>
        <v>TX</v>
      </c>
      <c r="E941" s="1" t="str">
        <f>IFERROR(__xludf.DUMMYFUNCTION("""COMPUTED_VALUE"""),"76126")</f>
        <v>76126</v>
      </c>
      <c r="F941" s="1" t="str">
        <f>IFERROR(__xludf.DUMMYFUNCTION("""COMPUTED_VALUE"""),"Tarrant")</f>
        <v>Tarrant</v>
      </c>
      <c r="G941" s="1" t="str">
        <f>IFERROR(__xludf.DUMMYFUNCTION("""COMPUTED_VALUE"""),"32.67766")</f>
        <v>32.67766</v>
      </c>
      <c r="H941" s="1" t="str">
        <f>IFERROR(__xludf.DUMMYFUNCTION("""COMPUTED_VALUE"""),"-97.49922")</f>
        <v>-97.49922</v>
      </c>
      <c r="I941" s="1" t="str">
        <f>IFERROR(__xludf.DUMMYFUNCTION("""COMPUTED_VALUE"""),"Proposed")</f>
        <v>Proposed</v>
      </c>
      <c r="J941" s="1" t="str">
        <f>IFERROR(__xludf.DUMMYFUNCTION("""COMPUTED_VALUE"""),"High")</f>
        <v>High</v>
      </c>
      <c r="K941" s="1" t="str">
        <f>IFERROR(__xludf.DUMMYFUNCTION("""COMPUTED_VALUE"""),"")</f>
        <v/>
      </c>
      <c r="L941" s="1" t="str">
        <f>IFERROR(__xludf.DUMMYFUNCTION("""COMPUTED_VALUE"""),"Edged")</f>
        <v>Edged</v>
      </c>
      <c r="M941" s="1" t="str">
        <f>IFERROR(__xludf.DUMMYFUNCTION("""COMPUTED_VALUE"""),"")</f>
        <v/>
      </c>
      <c r="N941" s="1" t="str">
        <f>IFERROR(__xludf.DUMMYFUNCTION("""COMPUTED_VALUE"""),"")</f>
        <v/>
      </c>
      <c r="O941" s="1" t="str">
        <f>IFERROR(__xludf.DUMMYFUNCTION("""COMPUTED_VALUE"""),"Unknown")</f>
        <v>Unknown</v>
      </c>
      <c r="P941" s="1" t="str">
        <f>IFERROR(__xludf.DUMMYFUNCTION("""COMPUTED_VALUE"""),"")</f>
        <v/>
      </c>
      <c r="Q941" s="1" t="str">
        <f>IFERROR(__xludf.DUMMYFUNCTION("""COMPUTED_VALUE"""),"")</f>
        <v/>
      </c>
      <c r="R941" s="1" t="str">
        <f>IFERROR(__xludf.DUMMYFUNCTION("""COMPUTED_VALUE"""),"")</f>
        <v/>
      </c>
      <c r="S941" s="1" t="str">
        <f>IFERROR(__xludf.DUMMYFUNCTION("""COMPUTED_VALUE"""),"")</f>
        <v/>
      </c>
      <c r="T941" s="1" t="str">
        <f>IFERROR(__xludf.DUMMYFUNCTION("""COMPUTED_VALUE"""),"")</f>
        <v/>
      </c>
      <c r="U941" s="1" t="str">
        <f>IFERROR(__xludf.DUMMYFUNCTION("""COMPUTED_VALUE"""),"")</f>
        <v/>
      </c>
      <c r="V941" s="1" t="str">
        <f>IFERROR(__xludf.DUMMYFUNCTION("""COMPUTED_VALUE"""),"488,770")</f>
        <v>488,770</v>
      </c>
      <c r="W941" s="1" t="str">
        <f>IFERROR(__xludf.DUMMYFUNCTION("""COMPUTED_VALUE"""),"186")</f>
        <v>186</v>
      </c>
      <c r="X941" s="1" t="str">
        <f>IFERROR(__xludf.DUMMYFUNCTION("""COMPUTED_VALUE"""),"$300 million")</f>
        <v>$300 million</v>
      </c>
      <c r="Y941" s="1" t="str">
        <f>IFERROR(__xludf.DUMMYFUNCTION("""COMPUTED_VALUE"""),"2027")</f>
        <v>2027</v>
      </c>
      <c r="Z941" s="1" t="str">
        <f>IFERROR(__xludf.DUMMYFUNCTION("""COMPUTED_VALUE"""),"Unknown")</f>
        <v>Unknown</v>
      </c>
      <c r="AA941" s="1" t="str">
        <f>IFERROR(__xludf.DUMMYFUNCTION("""COMPUTED_VALUE"""),"")</f>
        <v/>
      </c>
      <c r="AB941" s="1" t="str">
        <f>IFERROR(__xludf.DUMMYFUNCTION("""COMPUTED_VALUE"""),"")</f>
        <v/>
      </c>
      <c r="AC941" s="1" t="str">
        <f>IFERROR(__xludf.DUMMYFUNCTION("""COMPUTED_VALUE"""),"")</f>
        <v/>
      </c>
      <c r="AD941" s="1" t="str">
        <f>IFERROR(__xludf.DUMMYFUNCTION("""COMPUTED_VALUE"""),"")</f>
        <v/>
      </c>
      <c r="AE941" s="1" t="str">
        <f>IFERROR(__xludf.DUMMYFUNCTION("""COMPUTED_VALUE"""),"")</f>
        <v/>
      </c>
      <c r="AF941" s="1" t="str">
        <f>IFERROR(__xludf.DUMMYFUNCTION("""COMPUTED_VALUE"""),"")</f>
        <v/>
      </c>
      <c r="AG941" s="1" t="str">
        <f>IFERROR(__xludf.DUMMYFUNCTION("""COMPUTED_VALUE"""),"")</f>
        <v/>
      </c>
      <c r="AH941" s="1" t="str">
        <f>IFERROR(__xludf.DUMMYFUNCTION("""COMPUTED_VALUE"""),"Media Monitoring")</f>
        <v>Media Monitoring</v>
      </c>
      <c r="AI941" s="2" t="str">
        <f>IFERROR(__xludf.DUMMYFUNCTION("""COMPUTED_VALUE"""),"https://www.datacenterdynamics.com/en/news/edged-files-to-develop-data-center-in-fort-worth-texas/")</f>
        <v>https://www.datacenterdynamics.com/en/news/edged-files-to-develop-data-center-in-fort-worth-texas/</v>
      </c>
      <c r="AJ941" s="1" t="str">
        <f>IFERROR(__xludf.DUMMYFUNCTION("""COMPUTED_VALUE"""),"")</f>
        <v/>
      </c>
      <c r="AK941" s="1" t="str">
        <f>IFERROR(__xludf.DUMMYFUNCTION("""COMPUTED_VALUE"""),"")</f>
        <v/>
      </c>
      <c r="AL941" s="1" t="str">
        <f>IFERROR(__xludf.DUMMYFUNCTION("""COMPUTED_VALUE"""),"")</f>
        <v/>
      </c>
      <c r="AM941" s="1" t="str">
        <f>IFERROR(__xludf.DUMMYFUNCTION("""COMPUTED_VALUE"""),"")</f>
        <v/>
      </c>
      <c r="AN941" s="1" t="str">
        <f>IFERROR(__xludf.DUMMYFUNCTION("""COMPUTED_VALUE"""),"")</f>
        <v/>
      </c>
      <c r="AO941" s="1" t="str">
        <f>IFERROR(__xludf.DUMMYFUNCTION("""COMPUTED_VALUE"""),"")</f>
        <v/>
      </c>
      <c r="AP941" s="1" t="str">
        <f>IFERROR(__xludf.DUMMYFUNCTION("""COMPUTED_VALUE"""),"")</f>
        <v/>
      </c>
      <c r="AQ941" s="1" t="str">
        <f>IFERROR(__xludf.DUMMYFUNCTION("""COMPUTED_VALUE"""),"06/12/2026")</f>
        <v>06/12/2026</v>
      </c>
      <c r="AR941" s="1" t="str">
        <f>IFERROR(__xludf.DUMMYFUNCTION("""COMPUTED_VALUE"""),"06/12/2026")</f>
        <v>06/12/2026</v>
      </c>
    </row>
    <row r="942">
      <c r="A942" s="1" t="str">
        <f>IFERROR(__xludf.DUMMYFUNCTION("""COMPUTED_VALUE"""),"Edged Fort Worth Data Center")</f>
        <v>Edged Fort Worth Data Center</v>
      </c>
      <c r="B942" s="1" t="str">
        <f>IFERROR(__xludf.DUMMYFUNCTION("""COMPUTED_VALUE"""),"Chapin School Rd")</f>
        <v>Chapin School Rd</v>
      </c>
      <c r="C942" s="1" t="str">
        <f>IFERROR(__xludf.DUMMYFUNCTION("""COMPUTED_VALUE"""),"Fort Worth")</f>
        <v>Fort Worth</v>
      </c>
      <c r="D942" s="1" t="str">
        <f>IFERROR(__xludf.DUMMYFUNCTION("""COMPUTED_VALUE"""),"TX")</f>
        <v>TX</v>
      </c>
      <c r="E942" s="1" t="str">
        <f>IFERROR(__xludf.DUMMYFUNCTION("""COMPUTED_VALUE"""),"76126")</f>
        <v>76126</v>
      </c>
      <c r="F942" s="1" t="str">
        <f>IFERROR(__xludf.DUMMYFUNCTION("""COMPUTED_VALUE"""),"Tarrant")</f>
        <v>Tarrant</v>
      </c>
      <c r="G942" s="1" t="str">
        <f>IFERROR(__xludf.DUMMYFUNCTION("""COMPUTED_VALUE"""),"32.689224")</f>
        <v>32.689224</v>
      </c>
      <c r="H942" s="1" t="str">
        <f>IFERROR(__xludf.DUMMYFUNCTION("""COMPUTED_VALUE"""),"-97.4945")</f>
        <v>-97.4945</v>
      </c>
      <c r="I942" s="1" t="str">
        <f>IFERROR(__xludf.DUMMYFUNCTION("""COMPUTED_VALUE"""),"Proposed")</f>
        <v>Proposed</v>
      </c>
      <c r="J942" s="1" t="str">
        <f>IFERROR(__xludf.DUMMYFUNCTION("""COMPUTED_VALUE"""),"High")</f>
        <v>High</v>
      </c>
      <c r="K942" s="1" t="str">
        <f>IFERROR(__xludf.DUMMYFUNCTION("""COMPUTED_VALUE"""),"")</f>
        <v/>
      </c>
      <c r="L942" s="1" t="str">
        <f>IFERROR(__xludf.DUMMYFUNCTION("""COMPUTED_VALUE"""),"")</f>
        <v/>
      </c>
      <c r="M942" s="1" t="str">
        <f>IFERROR(__xludf.DUMMYFUNCTION("""COMPUTED_VALUE"""),"")</f>
        <v/>
      </c>
      <c r="N942" s="1" t="str">
        <f>IFERROR(__xludf.DUMMYFUNCTION("""COMPUTED_VALUE"""),"")</f>
        <v/>
      </c>
      <c r="O942" s="1" t="str">
        <f>IFERROR(__xludf.DUMMYFUNCTION("""COMPUTED_VALUE"""),"Unknown")</f>
        <v>Unknown</v>
      </c>
      <c r="P942" s="1" t="str">
        <f>IFERROR(__xludf.DUMMYFUNCTION("""COMPUTED_VALUE"""),"")</f>
        <v/>
      </c>
      <c r="Q942" s="1" t="str">
        <f>IFERROR(__xludf.DUMMYFUNCTION("""COMPUTED_VALUE"""),"")</f>
        <v/>
      </c>
      <c r="R942" s="1" t="str">
        <f>IFERROR(__xludf.DUMMYFUNCTION("""COMPUTED_VALUE"""),"")</f>
        <v/>
      </c>
      <c r="S942" s="1" t="str">
        <f>IFERROR(__xludf.DUMMYFUNCTION("""COMPUTED_VALUE"""),"")</f>
        <v/>
      </c>
      <c r="T942" s="1" t="str">
        <f>IFERROR(__xludf.DUMMYFUNCTION("""COMPUTED_VALUE"""),"")</f>
        <v/>
      </c>
      <c r="U942" s="1" t="str">
        <f>IFERROR(__xludf.DUMMYFUNCTION("""COMPUTED_VALUE"""),"")</f>
        <v/>
      </c>
      <c r="V942" s="1" t="str">
        <f>IFERROR(__xludf.DUMMYFUNCTION("""COMPUTED_VALUE"""),"")</f>
        <v/>
      </c>
      <c r="W942" s="1" t="str">
        <f>IFERROR(__xludf.DUMMYFUNCTION("""COMPUTED_VALUE"""),"186")</f>
        <v>186</v>
      </c>
      <c r="X942" s="1" t="str">
        <f>IFERROR(__xludf.DUMMYFUNCTION("""COMPUTED_VALUE"""),"")</f>
        <v/>
      </c>
      <c r="Y942" s="1" t="str">
        <f>IFERROR(__xludf.DUMMYFUNCTION("""COMPUTED_VALUE"""),"")</f>
        <v/>
      </c>
      <c r="Z942" s="1" t="str">
        <f>IFERROR(__xludf.DUMMYFUNCTION("""COMPUTED_VALUE"""),"Unknown")</f>
        <v>Unknown</v>
      </c>
      <c r="AA942" s="1" t="str">
        <f>IFERROR(__xludf.DUMMYFUNCTION("""COMPUTED_VALUE"""),"")</f>
        <v/>
      </c>
      <c r="AB942" s="1" t="str">
        <f>IFERROR(__xludf.DUMMYFUNCTION("""COMPUTED_VALUE"""),"")</f>
        <v/>
      </c>
      <c r="AC942" s="1" t="str">
        <f>IFERROR(__xludf.DUMMYFUNCTION("""COMPUTED_VALUE"""),"")</f>
        <v/>
      </c>
      <c r="AD942" s="1" t="str">
        <f>IFERROR(__xludf.DUMMYFUNCTION("""COMPUTED_VALUE"""),"")</f>
        <v/>
      </c>
      <c r="AE942" s="1" t="str">
        <f>IFERROR(__xludf.DUMMYFUNCTION("""COMPUTED_VALUE"""),"")</f>
        <v/>
      </c>
      <c r="AF942" s="1" t="str">
        <f>IFERROR(__xludf.DUMMYFUNCTION("""COMPUTED_VALUE"""),"")</f>
        <v/>
      </c>
      <c r="AG942" s="1" t="str">
        <f>IFERROR(__xludf.DUMMYFUNCTION("""COMPUTED_VALUE"""),"City of Fort Worth will consider whether to grant Edged a ten-year abatement for Business Personal Property taxes at a rate of 50 percent, valued at $18.2 million")</f>
        <v>City of Fort Worth will consider whether to grant Edged a ten-year abatement for Business Personal Property taxes at a rate of 50 percent, valued at $18.2 million</v>
      </c>
      <c r="AH942" s="1" t="str">
        <f>IFERROR(__xludf.DUMMYFUNCTION("""COMPUTED_VALUE"""),"Media Monitoring")</f>
        <v>Media Monitoring</v>
      </c>
      <c r="AI942" s="2" t="str">
        <f>IFERROR(__xludf.DUMMYFUNCTION("""COMPUTED_VALUE"""),"https://www.datacenterdynamics.com/en/news/data-center-developer-edged-eyes-tax-breaks-for-potential-facility-in-fort-worth-texas/")</f>
        <v>https://www.datacenterdynamics.com/en/news/data-center-developer-edged-eyes-tax-breaks-for-potential-facility-in-fort-worth-texas/</v>
      </c>
      <c r="AJ942" s="1" t="str">
        <f>IFERROR(__xludf.DUMMYFUNCTION("""COMPUTED_VALUE"""),"")</f>
        <v/>
      </c>
      <c r="AK942" s="1" t="str">
        <f>IFERROR(__xludf.DUMMYFUNCTION("""COMPUTED_VALUE"""),"")</f>
        <v/>
      </c>
      <c r="AL942" s="1" t="str">
        <f>IFERROR(__xludf.DUMMYFUNCTION("""COMPUTED_VALUE"""),"")</f>
        <v/>
      </c>
      <c r="AM942" s="1" t="str">
        <f>IFERROR(__xludf.DUMMYFUNCTION("""COMPUTED_VALUE"""),"")</f>
        <v/>
      </c>
      <c r="AN942" s="1" t="str">
        <f>IFERROR(__xludf.DUMMYFUNCTION("""COMPUTED_VALUE"""),"")</f>
        <v/>
      </c>
      <c r="AO942" s="1" t="str">
        <f>IFERROR(__xludf.DUMMYFUNCTION("""COMPUTED_VALUE"""),"")</f>
        <v/>
      </c>
      <c r="AP942" s="1" t="str">
        <f>IFERROR(__xludf.DUMMYFUNCTION("""COMPUTED_VALUE"""),"")</f>
        <v/>
      </c>
      <c r="AQ942" s="1" t="str">
        <f>IFERROR(__xludf.DUMMYFUNCTION("""COMPUTED_VALUE"""),"03/14/2026")</f>
        <v>03/14/2026</v>
      </c>
      <c r="AR942" s="1" t="str">
        <f>IFERROR(__xludf.DUMMYFUNCTION("""COMPUTED_VALUE"""),"03/14/2026")</f>
        <v>03/14/2026</v>
      </c>
    </row>
    <row r="943">
      <c r="A943" s="1" t="str">
        <f>IFERROR(__xludf.DUMMYFUNCTION("""COMPUTED_VALUE"""),"Meta Forth Worth Data Center")</f>
        <v>Meta Forth Worth Data Center</v>
      </c>
      <c r="B943" s="1" t="str">
        <f>IFERROR(__xludf.DUMMYFUNCTION("""COMPUTED_VALUE"""),"4500 Like Wy")</f>
        <v>4500 Like Wy</v>
      </c>
      <c r="C943" s="1" t="str">
        <f>IFERROR(__xludf.DUMMYFUNCTION("""COMPUTED_VALUE"""),"Fort Worth")</f>
        <v>Fort Worth</v>
      </c>
      <c r="D943" s="1" t="str">
        <f>IFERROR(__xludf.DUMMYFUNCTION("""COMPUTED_VALUE"""),"TX")</f>
        <v>TX</v>
      </c>
      <c r="E943" s="1" t="str">
        <f>IFERROR(__xludf.DUMMYFUNCTION("""COMPUTED_VALUE"""),"76177")</f>
        <v>76177</v>
      </c>
      <c r="F943" s="1" t="str">
        <f>IFERROR(__xludf.DUMMYFUNCTION("""COMPUTED_VALUE"""),"Tarrant")</f>
        <v>Tarrant</v>
      </c>
      <c r="G943" s="1" t="str">
        <f>IFERROR(__xludf.DUMMYFUNCTION("""COMPUTED_VALUE"""),"32.98489")</f>
        <v>32.98489</v>
      </c>
      <c r="H943" s="1" t="str">
        <f>IFERROR(__xludf.DUMMYFUNCTION("""COMPUTED_VALUE"""),"-97.262")</f>
        <v>-97.262</v>
      </c>
      <c r="I943" s="1" t="str">
        <f>IFERROR(__xludf.DUMMYFUNCTION("""COMPUTED_VALUE"""),"Operating")</f>
        <v>Operating</v>
      </c>
      <c r="J943" s="1" t="str">
        <f>IFERROR(__xludf.DUMMYFUNCTION("""COMPUTED_VALUE"""),"High")</f>
        <v>High</v>
      </c>
      <c r="K943" s="1" t="str">
        <f>IFERROR(__xludf.DUMMYFUNCTION("""COMPUTED_VALUE"""),"")</f>
        <v/>
      </c>
      <c r="L943" s="1" t="str">
        <f>IFERROR(__xludf.DUMMYFUNCTION("""COMPUTED_VALUE"""),"Meta")</f>
        <v>Meta</v>
      </c>
      <c r="M943" s="1" t="str">
        <f>IFERROR(__xludf.DUMMYFUNCTION("""COMPUTED_VALUE"""),"")</f>
        <v/>
      </c>
      <c r="N943" s="1" t="str">
        <f>IFERROR(__xludf.DUMMYFUNCTION("""COMPUTED_VALUE"""),"")</f>
        <v/>
      </c>
      <c r="O943" s="1" t="str">
        <f>IFERROR(__xludf.DUMMYFUNCTION("""COMPUTED_VALUE"""),"Unknown")</f>
        <v>Unknown</v>
      </c>
      <c r="P943" s="1" t="str">
        <f>IFERROR(__xludf.DUMMYFUNCTION("""COMPUTED_VALUE"""),"")</f>
        <v/>
      </c>
      <c r="Q943" s="1" t="str">
        <f>IFERROR(__xludf.DUMMYFUNCTION("""COMPUTED_VALUE"""),"")</f>
        <v/>
      </c>
      <c r="R943" s="1" t="str">
        <f>IFERROR(__xludf.DUMMYFUNCTION("""COMPUTED_VALUE"""),"")</f>
        <v/>
      </c>
      <c r="S943" s="1" t="str">
        <f>IFERROR(__xludf.DUMMYFUNCTION("""COMPUTED_VALUE"""),"")</f>
        <v/>
      </c>
      <c r="T943" s="1" t="str">
        <f>IFERROR(__xludf.DUMMYFUNCTION("""COMPUTED_VALUE"""),"")</f>
        <v/>
      </c>
      <c r="U943" s="1" t="str">
        <f>IFERROR(__xludf.DUMMYFUNCTION("""COMPUTED_VALUE"""),"")</f>
        <v/>
      </c>
      <c r="V943" s="1" t="str">
        <f>IFERROR(__xludf.DUMMYFUNCTION("""COMPUTED_VALUE"""),"2,500,000")</f>
        <v>2,500,000</v>
      </c>
      <c r="W943" s="1" t="str">
        <f>IFERROR(__xludf.DUMMYFUNCTION("""COMPUTED_VALUE"""),"170")</f>
        <v>170</v>
      </c>
      <c r="X943" s="1" t="str">
        <f>IFERROR(__xludf.DUMMYFUNCTION("""COMPUTED_VALUE"""),"")</f>
        <v/>
      </c>
      <c r="Y943" s="1" t="str">
        <f>IFERROR(__xludf.DUMMYFUNCTION("""COMPUTED_VALUE"""),"")</f>
        <v/>
      </c>
      <c r="Z943" s="1" t="str">
        <f>IFERROR(__xludf.DUMMYFUNCTION("""COMPUTED_VALUE"""),"Unknown")</f>
        <v>Unknown</v>
      </c>
      <c r="AA943" s="1" t="str">
        <f>IFERROR(__xludf.DUMMYFUNCTION("""COMPUTED_VALUE"""),"")</f>
        <v/>
      </c>
      <c r="AB943" s="1" t="str">
        <f>IFERROR(__xludf.DUMMYFUNCTION("""COMPUTED_VALUE"""),"")</f>
        <v/>
      </c>
      <c r="AC943" s="1" t="str">
        <f>IFERROR(__xludf.DUMMYFUNCTION("""COMPUTED_VALUE"""),"")</f>
        <v/>
      </c>
      <c r="AD943" s="1" t="str">
        <f>IFERROR(__xludf.DUMMYFUNCTION("""COMPUTED_VALUE"""),"")</f>
        <v/>
      </c>
      <c r="AE943" s="1" t="str">
        <f>IFERROR(__xludf.DUMMYFUNCTION("""COMPUTED_VALUE"""),"")</f>
        <v/>
      </c>
      <c r="AF943" s="1" t="str">
        <f>IFERROR(__xludf.DUMMYFUNCTION("""COMPUTED_VALUE"""),"")</f>
        <v/>
      </c>
      <c r="AG943" s="1" t="str">
        <f>IFERROR(__xludf.DUMMYFUNCTION("""COMPUTED_VALUE"""),"")</f>
        <v/>
      </c>
      <c r="AH943" s="1" t="str">
        <f>IFERROR(__xludf.DUMMYFUNCTION("""COMPUTED_VALUE"""),"Media Monitoring")</f>
        <v>Media Monitoring</v>
      </c>
      <c r="AI943" s="2" t="str">
        <f>IFERROR(__xludf.DUMMYFUNCTION("""COMPUTED_VALUE"""),"https://venturebeat.com/social/facebook-wants-to-build-a-1b-data-center-facility-in-fort-worth-texas/")</f>
        <v>https://venturebeat.com/social/facebook-wants-to-build-a-1b-data-center-facility-in-fort-worth-texas/</v>
      </c>
      <c r="AJ943" s="1" t="str">
        <f>IFERROR(__xludf.DUMMYFUNCTION("""COMPUTED_VALUE"""),"")</f>
        <v/>
      </c>
      <c r="AK943" s="1" t="str">
        <f>IFERROR(__xludf.DUMMYFUNCTION("""COMPUTED_VALUE"""),"")</f>
        <v/>
      </c>
      <c r="AL943" s="1" t="str">
        <f>IFERROR(__xludf.DUMMYFUNCTION("""COMPUTED_VALUE"""),"")</f>
        <v/>
      </c>
      <c r="AM943" s="1" t="str">
        <f>IFERROR(__xludf.DUMMYFUNCTION("""COMPUTED_VALUE"""),"")</f>
        <v/>
      </c>
      <c r="AN943" s="1" t="str">
        <f>IFERROR(__xludf.DUMMYFUNCTION("""COMPUTED_VALUE"""),"")</f>
        <v/>
      </c>
      <c r="AO943" s="1" t="str">
        <f>IFERROR(__xludf.DUMMYFUNCTION("""COMPUTED_VALUE"""),"")</f>
        <v/>
      </c>
      <c r="AP943" s="1" t="str">
        <f>IFERROR(__xludf.DUMMYFUNCTION("""COMPUTED_VALUE"""),"")</f>
        <v/>
      </c>
      <c r="AQ943" s="1" t="str">
        <f>IFERROR(__xludf.DUMMYFUNCTION("""COMPUTED_VALUE"""),"08/05/2025")</f>
        <v>08/05/2025</v>
      </c>
      <c r="AR943" s="1" t="str">
        <f>IFERROR(__xludf.DUMMYFUNCTION("""COMPUTED_VALUE"""),"08/05/2025")</f>
        <v>08/05/2025</v>
      </c>
    </row>
    <row r="944">
      <c r="A944" s="1" t="str">
        <f>IFERROR(__xludf.DUMMYFUNCTION("""COMPUTED_VALUE"""),"QTS- Fort Worth-Dallas")</f>
        <v>QTS- Fort Worth-Dallas</v>
      </c>
      <c r="B944" s="1" t="str">
        <f>IFERROR(__xludf.DUMMYFUNCTION("""COMPUTED_VALUE"""),"14100 Park Vista Blvd")</f>
        <v>14100 Park Vista Blvd</v>
      </c>
      <c r="C944" s="1" t="str">
        <f>IFERROR(__xludf.DUMMYFUNCTION("""COMPUTED_VALUE"""),"Fort Worth")</f>
        <v>Fort Worth</v>
      </c>
      <c r="D944" s="1" t="str">
        <f>IFERROR(__xludf.DUMMYFUNCTION("""COMPUTED_VALUE"""),"TX")</f>
        <v>TX</v>
      </c>
      <c r="E944" s="1" t="str">
        <f>IFERROR(__xludf.DUMMYFUNCTION("""COMPUTED_VALUE"""),"76177")</f>
        <v>76177</v>
      </c>
      <c r="F944" s="1" t="str">
        <f>IFERROR(__xludf.DUMMYFUNCTION("""COMPUTED_VALUE"""),"Tarrant")</f>
        <v>Tarrant</v>
      </c>
      <c r="G944" s="1" t="str">
        <f>IFERROR(__xludf.DUMMYFUNCTION("""COMPUTED_VALUE"""),"32.98912")</f>
        <v>32.98912</v>
      </c>
      <c r="H944" s="1" t="str">
        <f>IFERROR(__xludf.DUMMYFUNCTION("""COMPUTED_VALUE"""),"-97.2622")</f>
        <v>-97.2622</v>
      </c>
      <c r="I944" s="1" t="str">
        <f>IFERROR(__xludf.DUMMYFUNCTION("""COMPUTED_VALUE"""),"Expanding")</f>
        <v>Expanding</v>
      </c>
      <c r="J944" s="1" t="str">
        <f>IFERROR(__xludf.DUMMYFUNCTION("""COMPUTED_VALUE"""),"High")</f>
        <v>High</v>
      </c>
      <c r="K944" s="1" t="str">
        <f>IFERROR(__xludf.DUMMYFUNCTION("""COMPUTED_VALUE"""),"")</f>
        <v/>
      </c>
      <c r="L944" s="1" t="str">
        <f>IFERROR(__xludf.DUMMYFUNCTION("""COMPUTED_VALUE"""),"")</f>
        <v/>
      </c>
      <c r="M944" s="1" t="str">
        <f>IFERROR(__xludf.DUMMYFUNCTION("""COMPUTED_VALUE"""),"")</f>
        <v/>
      </c>
      <c r="N944" s="1" t="str">
        <f>IFERROR(__xludf.DUMMYFUNCTION("""COMPUTED_VALUE"""),"")</f>
        <v/>
      </c>
      <c r="O944" s="1" t="str">
        <f>IFERROR(__xludf.DUMMYFUNCTION("""COMPUTED_VALUE"""),"Unknown")</f>
        <v>Unknown</v>
      </c>
      <c r="P944" s="1" t="str">
        <f>IFERROR(__xludf.DUMMYFUNCTION("""COMPUTED_VALUE"""),"")</f>
        <v/>
      </c>
      <c r="Q944" s="1" t="str">
        <f>IFERROR(__xludf.DUMMYFUNCTION("""COMPUTED_VALUE"""),"")</f>
        <v/>
      </c>
      <c r="R944" s="1" t="str">
        <f>IFERROR(__xludf.DUMMYFUNCTION("""COMPUTED_VALUE"""),"")</f>
        <v/>
      </c>
      <c r="S944" s="1" t="str">
        <f>IFERROR(__xludf.DUMMYFUNCTION("""COMPUTED_VALUE"""),"")</f>
        <v/>
      </c>
      <c r="T944" s="1" t="str">
        <f>IFERROR(__xludf.DUMMYFUNCTION("""COMPUTED_VALUE"""),"")</f>
        <v/>
      </c>
      <c r="U944" s="1" t="str">
        <f>IFERROR(__xludf.DUMMYFUNCTION("""COMPUTED_VALUE"""),"")</f>
        <v/>
      </c>
      <c r="V944" s="1" t="str">
        <f>IFERROR(__xludf.DUMMYFUNCTION("""COMPUTED_VALUE"""),"")</f>
        <v/>
      </c>
      <c r="W944" s="1" t="str">
        <f>IFERROR(__xludf.DUMMYFUNCTION("""COMPUTED_VALUE"""),"")</f>
        <v/>
      </c>
      <c r="X944" s="1" t="str">
        <f>IFERROR(__xludf.DUMMYFUNCTION("""COMPUTED_VALUE"""),"")</f>
        <v/>
      </c>
      <c r="Y944" s="1" t="str">
        <f>IFERROR(__xludf.DUMMYFUNCTION("""COMPUTED_VALUE"""),"")</f>
        <v/>
      </c>
      <c r="Z944" s="1" t="str">
        <f>IFERROR(__xludf.DUMMYFUNCTION("""COMPUTED_VALUE"""),"Unknown")</f>
        <v>Unknown</v>
      </c>
      <c r="AA944" s="1" t="str">
        <f>IFERROR(__xludf.DUMMYFUNCTION("""COMPUTED_VALUE"""),"")</f>
        <v/>
      </c>
      <c r="AB944" s="1" t="str">
        <f>IFERROR(__xludf.DUMMYFUNCTION("""COMPUTED_VALUE"""),"")</f>
        <v/>
      </c>
      <c r="AC944" s="1" t="str">
        <f>IFERROR(__xludf.DUMMYFUNCTION("""COMPUTED_VALUE"""),"")</f>
        <v/>
      </c>
      <c r="AD944" s="1" t="str">
        <f>IFERROR(__xludf.DUMMYFUNCTION("""COMPUTED_VALUE"""),"")</f>
        <v/>
      </c>
      <c r="AE944" s="1" t="str">
        <f>IFERROR(__xludf.DUMMYFUNCTION("""COMPUTED_VALUE"""),"")</f>
        <v/>
      </c>
      <c r="AF944" s="1" t="str">
        <f>IFERROR(__xludf.DUMMYFUNCTION("""COMPUTED_VALUE"""),"")</f>
        <v/>
      </c>
      <c r="AG944" s="1" t="str">
        <f>IFERROR(__xludf.DUMMYFUNCTION("""COMPUTED_VALUE"""),"147,946 sq ft expansion 6/2026")</f>
        <v>147,946 sq ft expansion 6/2026</v>
      </c>
      <c r="AH944" s="1" t="str">
        <f>IFERROR(__xludf.DUMMYFUNCTION("""COMPUTED_VALUE"""),"Media Monitoring")</f>
        <v>Media Monitoring</v>
      </c>
      <c r="AI944" s="2" t="str">
        <f>IFERROR(__xludf.DUMMYFUNCTION("""COMPUTED_VALUE"""),"https://www.datacenterdynamics.com/en/news/qts-files-to-expand-fort-worth-texas-data-center-for-a-third-time/")</f>
        <v>https://www.datacenterdynamics.com/en/news/qts-files-to-expand-fort-worth-texas-data-center-for-a-third-time/</v>
      </c>
      <c r="AJ944" s="1" t="str">
        <f>IFERROR(__xludf.DUMMYFUNCTION("""COMPUTED_VALUE"""),"")</f>
        <v/>
      </c>
      <c r="AK944" s="1" t="str">
        <f>IFERROR(__xludf.DUMMYFUNCTION("""COMPUTED_VALUE"""),"")</f>
        <v/>
      </c>
      <c r="AL944" s="1" t="str">
        <f>IFERROR(__xludf.DUMMYFUNCTION("""COMPUTED_VALUE"""),"")</f>
        <v/>
      </c>
      <c r="AM944" s="1" t="str">
        <f>IFERROR(__xludf.DUMMYFUNCTION("""COMPUTED_VALUE"""),"")</f>
        <v/>
      </c>
      <c r="AN944" s="1" t="str">
        <f>IFERROR(__xludf.DUMMYFUNCTION("""COMPUTED_VALUE"""),"")</f>
        <v/>
      </c>
      <c r="AO944" s="1" t="str">
        <f>IFERROR(__xludf.DUMMYFUNCTION("""COMPUTED_VALUE"""),"")</f>
        <v/>
      </c>
      <c r="AP944" s="1" t="str">
        <f>IFERROR(__xludf.DUMMYFUNCTION("""COMPUTED_VALUE"""),"")</f>
        <v/>
      </c>
      <c r="AQ944" s="1" t="str">
        <f>IFERROR(__xludf.DUMMYFUNCTION("""COMPUTED_VALUE"""),"08/05/2025")</f>
        <v>08/05/2025</v>
      </c>
      <c r="AR944" s="1" t="str">
        <f>IFERROR(__xludf.DUMMYFUNCTION("""COMPUTED_VALUE"""),"06/24/2026")</f>
        <v>06/24/2026</v>
      </c>
    </row>
    <row r="945">
      <c r="A945" s="1" t="str">
        <f>IFERROR(__xludf.DUMMYFUNCTION("""COMPUTED_VALUE"""),"NTT Global Data Centers Americas - Dallas TX1")</f>
        <v>NTT Global Data Centers Americas - Dallas TX1</v>
      </c>
      <c r="B945" s="1" t="str">
        <f>IFERROR(__xludf.DUMMYFUNCTION("""COMPUTED_VALUE"""),"2008 Lookout Dr")</f>
        <v>2008 Lookout Dr</v>
      </c>
      <c r="C945" s="1" t="str">
        <f>IFERROR(__xludf.DUMMYFUNCTION("""COMPUTED_VALUE"""),"Garland")</f>
        <v>Garland</v>
      </c>
      <c r="D945" s="1" t="str">
        <f>IFERROR(__xludf.DUMMYFUNCTION("""COMPUTED_VALUE"""),"TX")</f>
        <v>TX</v>
      </c>
      <c r="E945" s="1" t="str">
        <f>IFERROR(__xludf.DUMMYFUNCTION("""COMPUTED_VALUE"""),"75044")</f>
        <v>75044</v>
      </c>
      <c r="F945" s="1" t="str">
        <f>IFERROR(__xludf.DUMMYFUNCTION("""COMPUTED_VALUE"""),"Dallas")</f>
        <v>Dallas</v>
      </c>
      <c r="G945" s="1" t="str">
        <f>IFERROR(__xludf.DUMMYFUNCTION("""COMPUTED_VALUE"""),"32.98221")</f>
        <v>32.98221</v>
      </c>
      <c r="H945" s="1" t="str">
        <f>IFERROR(__xludf.DUMMYFUNCTION("""COMPUTED_VALUE"""),"-96.6574")</f>
        <v>-96.6574</v>
      </c>
      <c r="I945" s="1" t="str">
        <f>IFERROR(__xludf.DUMMYFUNCTION("""COMPUTED_VALUE"""),"Operating")</f>
        <v>Operating</v>
      </c>
      <c r="J945" s="1" t="str">
        <f>IFERROR(__xludf.DUMMYFUNCTION("""COMPUTED_VALUE"""),"High")</f>
        <v>High</v>
      </c>
      <c r="K945" s="1" t="str">
        <f>IFERROR(__xludf.DUMMYFUNCTION("""COMPUTED_VALUE"""),"")</f>
        <v/>
      </c>
      <c r="L945" s="1" t="str">
        <f>IFERROR(__xludf.DUMMYFUNCTION("""COMPUTED_VALUE"""),"")</f>
        <v/>
      </c>
      <c r="M945" s="1" t="str">
        <f>IFERROR(__xludf.DUMMYFUNCTION("""COMPUTED_VALUE"""),"")</f>
        <v/>
      </c>
      <c r="N945" s="1" t="str">
        <f>IFERROR(__xludf.DUMMYFUNCTION("""COMPUTED_VALUE"""),"")</f>
        <v/>
      </c>
      <c r="O945" s="1" t="str">
        <f>IFERROR(__xludf.DUMMYFUNCTION("""COMPUTED_VALUE"""),"Unknown")</f>
        <v>Unknown</v>
      </c>
      <c r="P945" s="1" t="str">
        <f>IFERROR(__xludf.DUMMYFUNCTION("""COMPUTED_VALUE"""),"")</f>
        <v/>
      </c>
      <c r="Q945" s="1" t="str">
        <f>IFERROR(__xludf.DUMMYFUNCTION("""COMPUTED_VALUE"""),"")</f>
        <v/>
      </c>
      <c r="R945" s="1" t="str">
        <f>IFERROR(__xludf.DUMMYFUNCTION("""COMPUTED_VALUE"""),"")</f>
        <v/>
      </c>
      <c r="S945" s="1" t="str">
        <f>IFERROR(__xludf.DUMMYFUNCTION("""COMPUTED_VALUE"""),"")</f>
        <v/>
      </c>
      <c r="T945" s="1" t="str">
        <f>IFERROR(__xludf.DUMMYFUNCTION("""COMPUTED_VALUE"""),"")</f>
        <v/>
      </c>
      <c r="U945" s="1" t="str">
        <f>IFERROR(__xludf.DUMMYFUNCTION("""COMPUTED_VALUE"""),"")</f>
        <v/>
      </c>
      <c r="V945" s="1" t="str">
        <f>IFERROR(__xludf.DUMMYFUNCTION("""COMPUTED_VALUE"""),"")</f>
        <v/>
      </c>
      <c r="W945" s="1" t="str">
        <f>IFERROR(__xludf.DUMMYFUNCTION("""COMPUTED_VALUE"""),"")</f>
        <v/>
      </c>
      <c r="X945" s="1" t="str">
        <f>IFERROR(__xludf.DUMMYFUNCTION("""COMPUTED_VALUE"""),"")</f>
        <v/>
      </c>
      <c r="Y945" s="1" t="str">
        <f>IFERROR(__xludf.DUMMYFUNCTION("""COMPUTED_VALUE"""),"")</f>
        <v/>
      </c>
      <c r="Z945" s="1" t="str">
        <f>IFERROR(__xludf.DUMMYFUNCTION("""COMPUTED_VALUE"""),"Unknown")</f>
        <v>Unknown</v>
      </c>
      <c r="AA945" s="1" t="str">
        <f>IFERROR(__xludf.DUMMYFUNCTION("""COMPUTED_VALUE"""),"")</f>
        <v/>
      </c>
      <c r="AB945" s="1" t="str">
        <f>IFERROR(__xludf.DUMMYFUNCTION("""COMPUTED_VALUE"""),"")</f>
        <v/>
      </c>
      <c r="AC945" s="1" t="str">
        <f>IFERROR(__xludf.DUMMYFUNCTION("""COMPUTED_VALUE"""),"")</f>
        <v/>
      </c>
      <c r="AD945" s="1" t="str">
        <f>IFERROR(__xludf.DUMMYFUNCTION("""COMPUTED_VALUE"""),"")</f>
        <v/>
      </c>
      <c r="AE945" s="1" t="str">
        <f>IFERROR(__xludf.DUMMYFUNCTION("""COMPUTED_VALUE"""),"")</f>
        <v/>
      </c>
      <c r="AF945" s="1" t="str">
        <f>IFERROR(__xludf.DUMMYFUNCTION("""COMPUTED_VALUE"""),"")</f>
        <v/>
      </c>
      <c r="AG945" s="1" t="str">
        <f>IFERROR(__xludf.DUMMYFUNCTION("""COMPUTED_VALUE"""),"")</f>
        <v/>
      </c>
      <c r="AH945" s="1" t="str">
        <f>IFERROR(__xludf.DUMMYFUNCTION("""COMPUTED_VALUE"""),"Media Monitoring")</f>
        <v>Media Monitoring</v>
      </c>
      <c r="AI945" s="1" t="str">
        <f>IFERROR(__xludf.DUMMYFUNCTION("""COMPUTED_VALUE"""),"")</f>
        <v/>
      </c>
      <c r="AJ945" s="1" t="str">
        <f>IFERROR(__xludf.DUMMYFUNCTION("""COMPUTED_VALUE"""),"")</f>
        <v/>
      </c>
      <c r="AK945" s="1" t="str">
        <f>IFERROR(__xludf.DUMMYFUNCTION("""COMPUTED_VALUE"""),"")</f>
        <v/>
      </c>
      <c r="AL945" s="1" t="str">
        <f>IFERROR(__xludf.DUMMYFUNCTION("""COMPUTED_VALUE"""),"")</f>
        <v/>
      </c>
      <c r="AM945" s="1" t="str">
        <f>IFERROR(__xludf.DUMMYFUNCTION("""COMPUTED_VALUE"""),"")</f>
        <v/>
      </c>
      <c r="AN945" s="1" t="str">
        <f>IFERROR(__xludf.DUMMYFUNCTION("""COMPUTED_VALUE"""),"")</f>
        <v/>
      </c>
      <c r="AO945" s="1" t="str">
        <f>IFERROR(__xludf.DUMMYFUNCTION("""COMPUTED_VALUE"""),"")</f>
        <v/>
      </c>
      <c r="AP945" s="1" t="str">
        <f>IFERROR(__xludf.DUMMYFUNCTION("""COMPUTED_VALUE"""),"")</f>
        <v/>
      </c>
      <c r="AQ945" s="1" t="str">
        <f>IFERROR(__xludf.DUMMYFUNCTION("""COMPUTED_VALUE"""),"08/05/2025")</f>
        <v>08/05/2025</v>
      </c>
      <c r="AR945" s="1" t="str">
        <f>IFERROR(__xludf.DUMMYFUNCTION("""COMPUTED_VALUE"""),"08/05/2025")</f>
        <v>08/05/2025</v>
      </c>
    </row>
    <row r="946">
      <c r="A946" s="1" t="str">
        <f>IFERROR(__xludf.DUMMYFUNCTION("""COMPUTED_VALUE"""),"Blueprint Project ")</f>
        <v>Blueprint Project </v>
      </c>
      <c r="B946" s="1" t="str">
        <f>IFERROR(__xludf.DUMMYFUNCTION("""COMPUTED_VALUE"""),"1201 Westinghouse Rd")</f>
        <v>1201 Westinghouse Rd</v>
      </c>
      <c r="C946" s="1" t="str">
        <f>IFERROR(__xludf.DUMMYFUNCTION("""COMPUTED_VALUE"""),"Georgetown")</f>
        <v>Georgetown</v>
      </c>
      <c r="D946" s="1" t="str">
        <f>IFERROR(__xludf.DUMMYFUNCTION("""COMPUTED_VALUE"""),"TX")</f>
        <v>TX</v>
      </c>
      <c r="E946" s="1" t="str">
        <f>IFERROR(__xludf.DUMMYFUNCTION("""COMPUTED_VALUE"""),"78626")</f>
        <v>78626</v>
      </c>
      <c r="F946" s="1" t="str">
        <f>IFERROR(__xludf.DUMMYFUNCTION("""COMPUTED_VALUE"""),"Williamson")</f>
        <v>Williamson</v>
      </c>
      <c r="G946" s="1" t="str">
        <f>IFERROR(__xludf.DUMMYFUNCTION("""COMPUTED_VALUE"""),"30.584257")</f>
        <v>30.584257</v>
      </c>
      <c r="H946" s="1" t="str">
        <f>IFERROR(__xludf.DUMMYFUNCTION("""COMPUTED_VALUE"""),"-97.672676")</f>
        <v>-97.672676</v>
      </c>
      <c r="I946" s="1" t="str">
        <f>IFERROR(__xludf.DUMMYFUNCTION("""COMPUTED_VALUE"""),"Approved/Permitted/Under construction")</f>
        <v>Approved/Permitted/Under construction</v>
      </c>
      <c r="J946" s="1" t="str">
        <f>IFERROR(__xludf.DUMMYFUNCTION("""COMPUTED_VALUE"""),"High")</f>
        <v>High</v>
      </c>
      <c r="K946" s="1" t="str">
        <f>IFERROR(__xludf.DUMMYFUNCTION("""COMPUTED_VALUE"""),"")</f>
        <v/>
      </c>
      <c r="L946" s="1" t="str">
        <f>IFERROR(__xludf.DUMMYFUNCTION("""COMPUTED_VALUE"""),"Blueprint Project")</f>
        <v>Blueprint Project</v>
      </c>
      <c r="M946" s="1" t="str">
        <f>IFERROR(__xludf.DUMMYFUNCTION("""COMPUTED_VALUE"""),"")</f>
        <v/>
      </c>
      <c r="N946" s="1" t="str">
        <f>IFERROR(__xludf.DUMMYFUNCTION("""COMPUTED_VALUE"""),"35")</f>
        <v>35</v>
      </c>
      <c r="O946" s="1" t="str">
        <f>IFERROR(__xludf.DUMMYFUNCTION("""COMPUTED_VALUE"""),"Medium (11-50 MW)")</f>
        <v>Medium (11-50 MW)</v>
      </c>
      <c r="P946" s="1" t="str">
        <f>IFERROR(__xludf.DUMMYFUNCTION("""COMPUTED_VALUE"""),"")</f>
        <v/>
      </c>
      <c r="Q946" s="1" t="str">
        <f>IFERROR(__xludf.DUMMYFUNCTION("""COMPUTED_VALUE"""),"")</f>
        <v/>
      </c>
      <c r="R946" s="1" t="str">
        <f>IFERROR(__xludf.DUMMYFUNCTION("""COMPUTED_VALUE"""),"")</f>
        <v/>
      </c>
      <c r="S946" s="1" t="str">
        <f>IFERROR(__xludf.DUMMYFUNCTION("""COMPUTED_VALUE"""),"")</f>
        <v/>
      </c>
      <c r="T946" s="1" t="str">
        <f>IFERROR(__xludf.DUMMYFUNCTION("""COMPUTED_VALUE"""),"")</f>
        <v/>
      </c>
      <c r="U946" s="1" t="str">
        <f>IFERROR(__xludf.DUMMYFUNCTION("""COMPUTED_VALUE"""),"")</f>
        <v/>
      </c>
      <c r="V946" s="1" t="str">
        <f>IFERROR(__xludf.DUMMYFUNCTION("""COMPUTED_VALUE"""),"45,000")</f>
        <v>45,000</v>
      </c>
      <c r="W946" s="1" t="str">
        <f>IFERROR(__xludf.DUMMYFUNCTION("""COMPUTED_VALUE"""),"20")</f>
        <v>20</v>
      </c>
      <c r="X946" s="1" t="str">
        <f>IFERROR(__xludf.DUMMYFUNCTION("""COMPUTED_VALUE"""),"$160 million")</f>
        <v>$160 million</v>
      </c>
      <c r="Y946" s="1" t="str">
        <f>IFERROR(__xludf.DUMMYFUNCTION("""COMPUTED_VALUE"""),"2027")</f>
        <v>2027</v>
      </c>
      <c r="Z946" s="1" t="str">
        <f>IFERROR(__xludf.DUMMYFUNCTION("""COMPUTED_VALUE"""),"Unknown")</f>
        <v>Unknown</v>
      </c>
      <c r="AA946" s="1" t="str">
        <f>IFERROR(__xludf.DUMMYFUNCTION("""COMPUTED_VALUE"""),"")</f>
        <v/>
      </c>
      <c r="AB946" s="1" t="str">
        <f>IFERROR(__xludf.DUMMYFUNCTION("""COMPUTED_VALUE"""),"")</f>
        <v/>
      </c>
      <c r="AC946" s="1" t="str">
        <f>IFERROR(__xludf.DUMMYFUNCTION("""COMPUTED_VALUE"""),"")</f>
        <v/>
      </c>
      <c r="AD946" s="1" t="str">
        <f>IFERROR(__xludf.DUMMYFUNCTION("""COMPUTED_VALUE"""),"")</f>
        <v/>
      </c>
      <c r="AE946" s="1" t="str">
        <f>IFERROR(__xludf.DUMMYFUNCTION("""COMPUTED_VALUE"""),"")</f>
        <v/>
      </c>
      <c r="AF946" s="1" t="str">
        <f>IFERROR(__xludf.DUMMYFUNCTION("""COMPUTED_VALUE"""),"")</f>
        <v/>
      </c>
      <c r="AG946" s="1" t="str">
        <f>IFERROR(__xludf.DUMMYFUNCTION("""COMPUTED_VALUE"""),"")</f>
        <v/>
      </c>
      <c r="AH946" s="1" t="str">
        <f>IFERROR(__xludf.DUMMYFUNCTION("""COMPUTED_VALUE"""),"Media Monitoring")</f>
        <v>Media Monitoring</v>
      </c>
      <c r="AI946" s="2" t="str">
        <f>IFERROR(__xludf.DUMMYFUNCTION("""COMPUTED_VALUE"""),"https://www.datacenterdynamics.com/en/news/blueprint-projects-gets-greenlight-for-data-center-in-taylor-texas/")</f>
        <v>https://www.datacenterdynamics.com/en/news/blueprint-projects-gets-greenlight-for-data-center-in-taylor-texas/</v>
      </c>
      <c r="AJ946" s="2" t="str">
        <f>IFERROR(__xludf.DUMMYFUNCTION("""COMPUTED_VALUE"""),"https://www.hellogeorgetown.com/coming-soon-to-georgetown/blueprint-data-centers-commits-160m-to-georgetown-site-tied-to-taylor-expansion/")</f>
        <v>https://www.hellogeorgetown.com/coming-soon-to-georgetown/blueprint-data-centers-commits-160m-to-georgetown-site-tied-to-taylor-expansion/</v>
      </c>
      <c r="AK946" s="1" t="str">
        <f>IFERROR(__xludf.DUMMYFUNCTION("""COMPUTED_VALUE"""),"")</f>
        <v/>
      </c>
      <c r="AL946" s="1" t="str">
        <f>IFERROR(__xludf.DUMMYFUNCTION("""COMPUTED_VALUE"""),"")</f>
        <v/>
      </c>
      <c r="AM946" s="1" t="str">
        <f>IFERROR(__xludf.DUMMYFUNCTION("""COMPUTED_VALUE"""),"")</f>
        <v/>
      </c>
      <c r="AN946" s="1" t="str">
        <f>IFERROR(__xludf.DUMMYFUNCTION("""COMPUTED_VALUE"""),"")</f>
        <v/>
      </c>
      <c r="AO946" s="1" t="str">
        <f>IFERROR(__xludf.DUMMYFUNCTION("""COMPUTED_VALUE"""),"")</f>
        <v/>
      </c>
      <c r="AP946" s="1" t="str">
        <f>IFERROR(__xludf.DUMMYFUNCTION("""COMPUTED_VALUE"""),"")</f>
        <v/>
      </c>
      <c r="AQ946" s="1" t="str">
        <f>IFERROR(__xludf.DUMMYFUNCTION("""COMPUTED_VALUE"""),"04/01/2026")</f>
        <v>04/01/2026</v>
      </c>
      <c r="AR946" s="1" t="str">
        <f>IFERROR(__xludf.DUMMYFUNCTION("""COMPUTED_VALUE"""),"04/01/2026")</f>
        <v>04/01/2026</v>
      </c>
    </row>
    <row r="947">
      <c r="A947" s="1" t="str">
        <f>IFERROR(__xludf.DUMMYFUNCTION("""COMPUTED_VALUE"""),"Georgetown Data Center")</f>
        <v>Georgetown Data Center</v>
      </c>
      <c r="B947" s="1" t="str">
        <f>IFERROR(__xludf.DUMMYFUNCTION("""COMPUTED_VALUE"""),"201 Blue Ridge Dr")</f>
        <v>201 Blue Ridge Dr</v>
      </c>
      <c r="C947" s="1" t="str">
        <f>IFERROR(__xludf.DUMMYFUNCTION("""COMPUTED_VALUE"""),"Georgetown")</f>
        <v>Georgetown</v>
      </c>
      <c r="D947" s="1" t="str">
        <f>IFERROR(__xludf.DUMMYFUNCTION("""COMPUTED_VALUE"""),"TX")</f>
        <v>TX</v>
      </c>
      <c r="E947" s="1" t="str">
        <f>IFERROR(__xludf.DUMMYFUNCTION("""COMPUTED_VALUE"""),"78626")</f>
        <v>78626</v>
      </c>
      <c r="F947" s="1" t="str">
        <f>IFERROR(__xludf.DUMMYFUNCTION("""COMPUTED_VALUE"""),"Williamson")</f>
        <v>Williamson</v>
      </c>
      <c r="G947" s="1" t="str">
        <f>IFERROR(__xludf.DUMMYFUNCTION("""COMPUTED_VALUE"""),"30.60149")</f>
        <v>30.60149</v>
      </c>
      <c r="H947" s="1" t="str">
        <f>IFERROR(__xludf.DUMMYFUNCTION("""COMPUTED_VALUE"""),"-97.6773")</f>
        <v>-97.6773</v>
      </c>
      <c r="I947" s="1" t="str">
        <f>IFERROR(__xludf.DUMMYFUNCTION("""COMPUTED_VALUE"""),"Operating")</f>
        <v>Operating</v>
      </c>
      <c r="J947" s="1" t="str">
        <f>IFERROR(__xludf.DUMMYFUNCTION("""COMPUTED_VALUE"""),"High")</f>
        <v>High</v>
      </c>
      <c r="K947" s="1" t="str">
        <f>IFERROR(__xludf.DUMMYFUNCTION("""COMPUTED_VALUE"""),"")</f>
        <v/>
      </c>
      <c r="L947" s="1" t="str">
        <f>IFERROR(__xludf.DUMMYFUNCTION("""COMPUTED_VALUE"""),"")</f>
        <v/>
      </c>
      <c r="M947" s="1" t="str">
        <f>IFERROR(__xludf.DUMMYFUNCTION("""COMPUTED_VALUE"""),"")</f>
        <v/>
      </c>
      <c r="N947" s="1" t="str">
        <f>IFERROR(__xludf.DUMMYFUNCTION("""COMPUTED_VALUE"""),"")</f>
        <v/>
      </c>
      <c r="O947" s="1" t="str">
        <f>IFERROR(__xludf.DUMMYFUNCTION("""COMPUTED_VALUE"""),"Unknown")</f>
        <v>Unknown</v>
      </c>
      <c r="P947" s="1" t="str">
        <f>IFERROR(__xludf.DUMMYFUNCTION("""COMPUTED_VALUE"""),"")</f>
        <v/>
      </c>
      <c r="Q947" s="1" t="str">
        <f>IFERROR(__xludf.DUMMYFUNCTION("""COMPUTED_VALUE"""),"")</f>
        <v/>
      </c>
      <c r="R947" s="1" t="str">
        <f>IFERROR(__xludf.DUMMYFUNCTION("""COMPUTED_VALUE"""),"")</f>
        <v/>
      </c>
      <c r="S947" s="1" t="str">
        <f>IFERROR(__xludf.DUMMYFUNCTION("""COMPUTED_VALUE"""),"")</f>
        <v/>
      </c>
      <c r="T947" s="1" t="str">
        <f>IFERROR(__xludf.DUMMYFUNCTION("""COMPUTED_VALUE"""),"")</f>
        <v/>
      </c>
      <c r="U947" s="1" t="str">
        <f>IFERROR(__xludf.DUMMYFUNCTION("""COMPUTED_VALUE"""),"")</f>
        <v/>
      </c>
      <c r="V947" s="1" t="str">
        <f>IFERROR(__xludf.DUMMYFUNCTION("""COMPUTED_VALUE"""),"")</f>
        <v/>
      </c>
      <c r="W947" s="1" t="str">
        <f>IFERROR(__xludf.DUMMYFUNCTION("""COMPUTED_VALUE"""),"")</f>
        <v/>
      </c>
      <c r="X947" s="1" t="str">
        <f>IFERROR(__xludf.DUMMYFUNCTION("""COMPUTED_VALUE"""),"")</f>
        <v/>
      </c>
      <c r="Y947" s="1" t="str">
        <f>IFERROR(__xludf.DUMMYFUNCTION("""COMPUTED_VALUE"""),"")</f>
        <v/>
      </c>
      <c r="Z947" s="1" t="str">
        <f>IFERROR(__xludf.DUMMYFUNCTION("""COMPUTED_VALUE"""),"Unknown")</f>
        <v>Unknown</v>
      </c>
      <c r="AA947" s="1" t="str">
        <f>IFERROR(__xludf.DUMMYFUNCTION("""COMPUTED_VALUE"""),"")</f>
        <v/>
      </c>
      <c r="AB947" s="1" t="str">
        <f>IFERROR(__xludf.DUMMYFUNCTION("""COMPUTED_VALUE"""),"")</f>
        <v/>
      </c>
      <c r="AC947" s="1" t="str">
        <f>IFERROR(__xludf.DUMMYFUNCTION("""COMPUTED_VALUE"""),"")</f>
        <v/>
      </c>
      <c r="AD947" s="1" t="str">
        <f>IFERROR(__xludf.DUMMYFUNCTION("""COMPUTED_VALUE"""),"")</f>
        <v/>
      </c>
      <c r="AE947" s="1" t="str">
        <f>IFERROR(__xludf.DUMMYFUNCTION("""COMPUTED_VALUE"""),"")</f>
        <v/>
      </c>
      <c r="AF947" s="1" t="str">
        <f>IFERROR(__xludf.DUMMYFUNCTION("""COMPUTED_VALUE"""),"")</f>
        <v/>
      </c>
      <c r="AG947" s="1" t="str">
        <f>IFERROR(__xludf.DUMMYFUNCTION("""COMPUTED_VALUE"""),"FULLY REGULATED")</f>
        <v>FULLY REGULATED</v>
      </c>
      <c r="AH947" s="1" t="str">
        <f>IFERROR(__xludf.DUMMYFUNCTION("""COMPUTED_VALUE"""),"Media Monitoring")</f>
        <v>Media Monitoring</v>
      </c>
      <c r="AI947" s="2" t="str">
        <f>IFERROR(__xludf.DUMMYFUNCTION("""COMPUTED_VALUE"""),"https://gis-tceq.opendata.arcgis.com/datasets/daece6e3181140f69093ab69cf9ae0ba/explore?layer=0&amp;showTable=true")</f>
        <v>https://gis-tceq.opendata.arcgis.com/datasets/daece6e3181140f69093ab69cf9ae0ba/explore?layer=0&amp;showTable=true</v>
      </c>
      <c r="AJ947" s="1" t="str">
        <f>IFERROR(__xludf.DUMMYFUNCTION("""COMPUTED_VALUE"""),"")</f>
        <v/>
      </c>
      <c r="AK947" s="1" t="str">
        <f>IFERROR(__xludf.DUMMYFUNCTION("""COMPUTED_VALUE"""),"")</f>
        <v/>
      </c>
      <c r="AL947" s="1" t="str">
        <f>IFERROR(__xludf.DUMMYFUNCTION("""COMPUTED_VALUE"""),"")</f>
        <v/>
      </c>
      <c r="AM947" s="1" t="str">
        <f>IFERROR(__xludf.DUMMYFUNCTION("""COMPUTED_VALUE"""),"")</f>
        <v/>
      </c>
      <c r="AN947" s="1" t="str">
        <f>IFERROR(__xludf.DUMMYFUNCTION("""COMPUTED_VALUE"""),"")</f>
        <v/>
      </c>
      <c r="AO947" s="1" t="str">
        <f>IFERROR(__xludf.DUMMYFUNCTION("""COMPUTED_VALUE"""),"")</f>
        <v/>
      </c>
      <c r="AP947" s="1" t="str">
        <f>IFERROR(__xludf.DUMMYFUNCTION("""COMPUTED_VALUE"""),"")</f>
        <v/>
      </c>
      <c r="AQ947" s="1" t="str">
        <f>IFERROR(__xludf.DUMMYFUNCTION("""COMPUTED_VALUE"""),"08/05/2025")</f>
        <v>08/05/2025</v>
      </c>
      <c r="AR947" s="1" t="str">
        <f>IFERROR(__xludf.DUMMYFUNCTION("""COMPUTED_VALUE"""),"08/05/2025")</f>
        <v>08/05/2025</v>
      </c>
    </row>
    <row r="948">
      <c r="A948" s="1" t="str">
        <f>IFERROR(__xludf.DUMMYFUNCTION("""COMPUTED_VALUE"""),"Lone Star Project")</f>
        <v>Lone Star Project</v>
      </c>
      <c r="B948" s="1" t="str">
        <f>IFERROR(__xludf.DUMMYFUNCTION("""COMPUTED_VALUE"""),"")</f>
        <v/>
      </c>
      <c r="C948" s="1" t="str">
        <f>IFERROR(__xludf.DUMMYFUNCTION("""COMPUTED_VALUE"""),"Glasscock County")</f>
        <v>Glasscock County</v>
      </c>
      <c r="D948" s="1" t="str">
        <f>IFERROR(__xludf.DUMMYFUNCTION("""COMPUTED_VALUE"""),"TX")</f>
        <v>TX</v>
      </c>
      <c r="E948" s="1" t="str">
        <f>IFERROR(__xludf.DUMMYFUNCTION("""COMPUTED_VALUE"""),"")</f>
        <v/>
      </c>
      <c r="F948" s="1" t="str">
        <f>IFERROR(__xludf.DUMMYFUNCTION("""COMPUTED_VALUE"""),"Glasscock")</f>
        <v>Glasscock</v>
      </c>
      <c r="G948" s="1" t="str">
        <f>IFERROR(__xludf.DUMMYFUNCTION("""COMPUTED_VALUE"""),"31.788517")</f>
        <v>31.788517</v>
      </c>
      <c r="H948" s="1" t="str">
        <f>IFERROR(__xludf.DUMMYFUNCTION("""COMPUTED_VALUE"""),"-101.581985")</f>
        <v>-101.581985</v>
      </c>
      <c r="I948" s="1" t="str">
        <f>IFERROR(__xludf.DUMMYFUNCTION("""COMPUTED_VALUE"""),"Proposed")</f>
        <v>Proposed</v>
      </c>
      <c r="J948" s="1" t="str">
        <f>IFERROR(__xludf.DUMMYFUNCTION("""COMPUTED_VALUE"""),"Low")</f>
        <v>Low</v>
      </c>
      <c r="K948" s="1" t="str">
        <f>IFERROR(__xludf.DUMMYFUNCTION("""COMPUTED_VALUE"""),"")</f>
        <v/>
      </c>
      <c r="L948" s="1" t="str">
        <f>IFERROR(__xludf.DUMMYFUNCTION("""COMPUTED_VALUE"""),"Pace")</f>
        <v>Pace</v>
      </c>
      <c r="M948" s="1" t="str">
        <f>IFERROR(__xludf.DUMMYFUNCTION("""COMPUTED_VALUE"""),"")</f>
        <v/>
      </c>
      <c r="N948" s="1" t="str">
        <f>IFERROR(__xludf.DUMMYFUNCTION("""COMPUTED_VALUE"""),"100")</f>
        <v>100</v>
      </c>
      <c r="O948" s="1" t="str">
        <f>IFERROR(__xludf.DUMMYFUNCTION("""COMPUTED_VALUE"""),"Hyperscale (100-999 MW)")</f>
        <v>Hyperscale (100-999 MW)</v>
      </c>
      <c r="P948" s="1" t="str">
        <f>IFERROR(__xludf.DUMMYFUNCTION("""COMPUTED_VALUE"""),"")</f>
        <v/>
      </c>
      <c r="Q948" s="1" t="str">
        <f>IFERROR(__xludf.DUMMYFUNCTION("""COMPUTED_VALUE"""),"")</f>
        <v/>
      </c>
      <c r="R948" s="1" t="str">
        <f>IFERROR(__xludf.DUMMYFUNCTION("""COMPUTED_VALUE"""),"")</f>
        <v/>
      </c>
      <c r="S948" s="1" t="str">
        <f>IFERROR(__xludf.DUMMYFUNCTION("""COMPUTED_VALUE"""),"")</f>
        <v/>
      </c>
      <c r="T948" s="1" t="str">
        <f>IFERROR(__xludf.DUMMYFUNCTION("""COMPUTED_VALUE"""),"")</f>
        <v/>
      </c>
      <c r="U948" s="1" t="str">
        <f>IFERROR(__xludf.DUMMYFUNCTION("""COMPUTED_VALUE"""),"")</f>
        <v/>
      </c>
      <c r="V948" s="1" t="str">
        <f>IFERROR(__xludf.DUMMYFUNCTION("""COMPUTED_VALUE"""),"")</f>
        <v/>
      </c>
      <c r="W948" s="1" t="str">
        <f>IFERROR(__xludf.DUMMYFUNCTION("""COMPUTED_VALUE"""),"")</f>
        <v/>
      </c>
      <c r="X948" s="1" t="str">
        <f>IFERROR(__xludf.DUMMYFUNCTION("""COMPUTED_VALUE"""),"")</f>
        <v/>
      </c>
      <c r="Y948" s="1" t="str">
        <f>IFERROR(__xludf.DUMMYFUNCTION("""COMPUTED_VALUE"""),"")</f>
        <v/>
      </c>
      <c r="Z948" s="1" t="str">
        <f>IFERROR(__xludf.DUMMYFUNCTION("""COMPUTED_VALUE"""),"Unknown")</f>
        <v>Unknown</v>
      </c>
      <c r="AA948" s="1" t="str">
        <f>IFERROR(__xludf.DUMMYFUNCTION("""COMPUTED_VALUE"""),"")</f>
        <v/>
      </c>
      <c r="AB948" s="1" t="str">
        <f>IFERROR(__xludf.DUMMYFUNCTION("""COMPUTED_VALUE"""),"")</f>
        <v/>
      </c>
      <c r="AC948" s="1" t="str">
        <f>IFERROR(__xludf.DUMMYFUNCTION("""COMPUTED_VALUE"""),"")</f>
        <v/>
      </c>
      <c r="AD948" s="1" t="str">
        <f>IFERROR(__xludf.DUMMYFUNCTION("""COMPUTED_VALUE"""),"")</f>
        <v/>
      </c>
      <c r="AE948" s="1" t="str">
        <f>IFERROR(__xludf.DUMMYFUNCTION("""COMPUTED_VALUE"""),"")</f>
        <v/>
      </c>
      <c r="AF948" s="1" t="str">
        <f>IFERROR(__xludf.DUMMYFUNCTION("""COMPUTED_VALUE"""),"")</f>
        <v/>
      </c>
      <c r="AG948" s="1" t="str">
        <f>IFERROR(__xludf.DUMMYFUNCTION("""COMPUTED_VALUE"""),"")</f>
        <v/>
      </c>
      <c r="AH948" s="1" t="str">
        <f>IFERROR(__xludf.DUMMYFUNCTION("""COMPUTED_VALUE"""),"Media Monitoring")</f>
        <v>Media Monitoring</v>
      </c>
      <c r="AI948" s="2" t="str">
        <f>IFERROR(__xludf.DUMMYFUNCTION("""COMPUTED_VALUE"""),"https://www.datacenterdynamics.com/en/news/pace-plans-100mw-texas-first-data-center-in-glasscock-county/")</f>
        <v>https://www.datacenterdynamics.com/en/news/pace-plans-100mw-texas-first-data-center-in-glasscock-county/</v>
      </c>
      <c r="AJ948" s="1" t="str">
        <f>IFERROR(__xludf.DUMMYFUNCTION("""COMPUTED_VALUE"""),"")</f>
        <v/>
      </c>
      <c r="AK948" s="1" t="str">
        <f>IFERROR(__xludf.DUMMYFUNCTION("""COMPUTED_VALUE"""),"")</f>
        <v/>
      </c>
      <c r="AL948" s="1" t="str">
        <f>IFERROR(__xludf.DUMMYFUNCTION("""COMPUTED_VALUE"""),"")</f>
        <v/>
      </c>
      <c r="AM948" s="1" t="str">
        <f>IFERROR(__xludf.DUMMYFUNCTION("""COMPUTED_VALUE"""),"")</f>
        <v/>
      </c>
      <c r="AN948" s="1" t="str">
        <f>IFERROR(__xludf.DUMMYFUNCTION("""COMPUTED_VALUE"""),"")</f>
        <v/>
      </c>
      <c r="AO948" s="1" t="str">
        <f>IFERROR(__xludf.DUMMYFUNCTION("""COMPUTED_VALUE"""),"")</f>
        <v/>
      </c>
      <c r="AP948" s="1" t="str">
        <f>IFERROR(__xludf.DUMMYFUNCTION("""COMPUTED_VALUE"""),"")</f>
        <v/>
      </c>
      <c r="AQ948" s="1" t="str">
        <f>IFERROR(__xludf.DUMMYFUNCTION("""COMPUTED_VALUE"""),"05/05/2026")</f>
        <v>05/05/2026</v>
      </c>
      <c r="AR948" s="1" t="str">
        <f>IFERROR(__xludf.DUMMYFUNCTION("""COMPUTED_VALUE"""),"05/05/2026")</f>
        <v>05/05/2026</v>
      </c>
    </row>
    <row r="949">
      <c r="A949" s="1" t="str">
        <f>IFERROR(__xludf.DUMMYFUNCTION("""COMPUTED_VALUE"""),"Stream Data Center: ""Project Saltworks""")</f>
        <v>Stream Data Center: "Project Saltworks"</v>
      </c>
      <c r="B949" s="1" t="str">
        <f>IFERROR(__xludf.DUMMYFUNCTION("""COMPUTED_VALUE"""),"Betw FM 61 and 209, south of Lake Graham")</f>
        <v>Betw FM 61 and 209, south of Lake Graham</v>
      </c>
      <c r="C949" s="1" t="str">
        <f>IFERROR(__xludf.DUMMYFUNCTION("""COMPUTED_VALUE"""),"Graham")</f>
        <v>Graham</v>
      </c>
      <c r="D949" s="1" t="str">
        <f>IFERROR(__xludf.DUMMYFUNCTION("""COMPUTED_VALUE"""),"TX")</f>
        <v>TX</v>
      </c>
      <c r="E949" s="1" t="str">
        <f>IFERROR(__xludf.DUMMYFUNCTION("""COMPUTED_VALUE"""),"76450")</f>
        <v>76450</v>
      </c>
      <c r="F949" s="1" t="str">
        <f>IFERROR(__xludf.DUMMYFUNCTION("""COMPUTED_VALUE"""),"Young")</f>
        <v>Young</v>
      </c>
      <c r="G949" s="1" t="str">
        <f>IFERROR(__xludf.DUMMYFUNCTION("""COMPUTED_VALUE"""),"33.116802")</f>
        <v>33.116802</v>
      </c>
      <c r="H949" s="1" t="str">
        <f>IFERROR(__xludf.DUMMYFUNCTION("""COMPUTED_VALUE"""),"-98.64048")</f>
        <v>-98.64048</v>
      </c>
      <c r="I949" s="1" t="str">
        <f>IFERROR(__xludf.DUMMYFUNCTION("""COMPUTED_VALUE"""),"Proposed")</f>
        <v>Proposed</v>
      </c>
      <c r="J949" s="1" t="str">
        <f>IFERROR(__xludf.DUMMYFUNCTION("""COMPUTED_VALUE"""),"Medium")</f>
        <v>Medium</v>
      </c>
      <c r="K949" s="1" t="str">
        <f>IFERROR(__xludf.DUMMYFUNCTION("""COMPUTED_VALUE"""),"")</f>
        <v/>
      </c>
      <c r="L949" s="1" t="str">
        <f>IFERROR(__xludf.DUMMYFUNCTION("""COMPUTED_VALUE"""),"Stream")</f>
        <v>Stream</v>
      </c>
      <c r="M949" s="1" t="str">
        <f>IFERROR(__xludf.DUMMYFUNCTION("""COMPUTED_VALUE"""),"")</f>
        <v/>
      </c>
      <c r="N949" s="1" t="str">
        <f>IFERROR(__xludf.DUMMYFUNCTION("""COMPUTED_VALUE"""),"")</f>
        <v/>
      </c>
      <c r="O949" s="1" t="str">
        <f>IFERROR(__xludf.DUMMYFUNCTION("""COMPUTED_VALUE"""),"Hyperscale (100-999 MW)")</f>
        <v>Hyperscale (100-999 MW)</v>
      </c>
      <c r="P949" s="1" t="str">
        <f>IFERROR(__xludf.DUMMYFUNCTION("""COMPUTED_VALUE"""),"")</f>
        <v/>
      </c>
      <c r="Q949" s="1" t="str">
        <f>IFERROR(__xludf.DUMMYFUNCTION("""COMPUTED_VALUE"""),"")</f>
        <v/>
      </c>
      <c r="R949" s="1" t="str">
        <f>IFERROR(__xludf.DUMMYFUNCTION("""COMPUTED_VALUE"""),"")</f>
        <v/>
      </c>
      <c r="S949" s="1" t="str">
        <f>IFERROR(__xludf.DUMMYFUNCTION("""COMPUTED_VALUE"""),"15")</f>
        <v>15</v>
      </c>
      <c r="T949" s="1" t="str">
        <f>IFERROR(__xludf.DUMMYFUNCTION("""COMPUTED_VALUE"""),"")</f>
        <v/>
      </c>
      <c r="U949" s="1" t="str">
        <f>IFERROR(__xludf.DUMMYFUNCTION("""COMPUTED_VALUE"""),"")</f>
        <v/>
      </c>
      <c r="V949" s="1" t="str">
        <f>IFERROR(__xludf.DUMMYFUNCTION("""COMPUTED_VALUE"""),"")</f>
        <v/>
      </c>
      <c r="W949" s="1" t="str">
        <f>IFERROR(__xludf.DUMMYFUNCTION("""COMPUTED_VALUE"""),"867")</f>
        <v>867</v>
      </c>
      <c r="X949" s="1" t="str">
        <f>IFERROR(__xludf.DUMMYFUNCTION("""COMPUTED_VALUE"""),"")</f>
        <v/>
      </c>
      <c r="Y949" s="1" t="str">
        <f>IFERROR(__xludf.DUMMYFUNCTION("""COMPUTED_VALUE"""),"")</f>
        <v/>
      </c>
      <c r="Z949" s="1" t="str">
        <f>IFERROR(__xludf.DUMMYFUNCTION("""COMPUTED_VALUE"""),"")</f>
        <v/>
      </c>
      <c r="AA949" s="1" t="str">
        <f>IFERROR(__xludf.DUMMYFUNCTION("""COMPUTED_VALUE"""),"")</f>
        <v/>
      </c>
      <c r="AB949" s="1" t="str">
        <f>IFERROR(__xludf.DUMMYFUNCTION("""COMPUTED_VALUE"""),"")</f>
        <v/>
      </c>
      <c r="AC949" s="1" t="str">
        <f>IFERROR(__xludf.DUMMYFUNCTION("""COMPUTED_VALUE"""),"")</f>
        <v/>
      </c>
      <c r="AD949" s="1" t="str">
        <f>IFERROR(__xludf.DUMMYFUNCTION("""COMPUTED_VALUE"""),"")</f>
        <v/>
      </c>
      <c r="AE949" s="1" t="str">
        <f>IFERROR(__xludf.DUMMYFUNCTION("""COMPUTED_VALUE"""),"")</f>
        <v/>
      </c>
      <c r="AF949" s="1" t="str">
        <f>IFERROR(__xludf.DUMMYFUNCTION("""COMPUTED_VALUE"""),"")</f>
        <v/>
      </c>
      <c r="AG949" s="1" t="str">
        <f>IFERROR(__xludf.DUMMYFUNCTION("""COMPUTED_VALUE"""),"")</f>
        <v/>
      </c>
      <c r="AH949" s="1" t="str">
        <f>IFERROR(__xludf.DUMMYFUNCTION("""COMPUTED_VALUE"""),"Media Monitoring")</f>
        <v>Media Monitoring</v>
      </c>
      <c r="AI949" s="2" t="str">
        <f>IFERROR(__xludf.DUMMYFUNCTION("""COMPUTED_VALUE"""),"https://www.datacenterdynamics.com/en/news/developer-proposes-867-acre-project-saltworks-data-center-in-graham-texas/")</f>
        <v>https://www.datacenterdynamics.com/en/news/developer-proposes-867-acre-project-saltworks-data-center-in-graham-texas/</v>
      </c>
      <c r="AJ949" s="1" t="str">
        <f>IFERROR(__xludf.DUMMYFUNCTION("""COMPUTED_VALUE"""),"")</f>
        <v/>
      </c>
      <c r="AK949" s="1" t="str">
        <f>IFERROR(__xludf.DUMMYFUNCTION("""COMPUTED_VALUE"""),"")</f>
        <v/>
      </c>
      <c r="AL949" s="1" t="str">
        <f>IFERROR(__xludf.DUMMYFUNCTION("""COMPUTED_VALUE"""),"")</f>
        <v/>
      </c>
      <c r="AM949" s="1" t="str">
        <f>IFERROR(__xludf.DUMMYFUNCTION("""COMPUTED_VALUE"""),"")</f>
        <v/>
      </c>
      <c r="AN949" s="1" t="str">
        <f>IFERROR(__xludf.DUMMYFUNCTION("""COMPUTED_VALUE"""),"")</f>
        <v/>
      </c>
      <c r="AO949" s="1" t="str">
        <f>IFERROR(__xludf.DUMMYFUNCTION("""COMPUTED_VALUE"""),"")</f>
        <v/>
      </c>
      <c r="AP949" s="1" t="str">
        <f>IFERROR(__xludf.DUMMYFUNCTION("""COMPUTED_VALUE"""),"")</f>
        <v/>
      </c>
      <c r="AQ949" s="1" t="str">
        <f>IFERROR(__xludf.DUMMYFUNCTION("""COMPUTED_VALUE"""),"07/18/2026")</f>
        <v>07/18/2026</v>
      </c>
      <c r="AR949" s="1" t="str">
        <f>IFERROR(__xludf.DUMMYFUNCTION("""COMPUTED_VALUE"""),"07/18/2026")</f>
        <v>07/18/2026</v>
      </c>
    </row>
    <row r="950">
      <c r="A950" s="1" t="str">
        <f>IFERROR(__xludf.DUMMYFUNCTION("""COMPUTED_VALUE"""),"MARA Bitcoin Mining Data Center")</f>
        <v>MARA Bitcoin Mining Data Center</v>
      </c>
      <c r="B950" s="1" t="str">
        <f>IFERROR(__xludf.DUMMYFUNCTION("""COMPUTED_VALUE"""),"2001 Mitchell Bend Hwy")</f>
        <v>2001 Mitchell Bend Hwy</v>
      </c>
      <c r="C950" s="1" t="str">
        <f>IFERROR(__xludf.DUMMYFUNCTION("""COMPUTED_VALUE"""),"Granbury")</f>
        <v>Granbury</v>
      </c>
      <c r="D950" s="1" t="str">
        <f>IFERROR(__xludf.DUMMYFUNCTION("""COMPUTED_VALUE"""),"TX")</f>
        <v>TX</v>
      </c>
      <c r="E950" s="1" t="str">
        <f>IFERROR(__xludf.DUMMYFUNCTION("""COMPUTED_VALUE"""),"76048")</f>
        <v>76048</v>
      </c>
      <c r="F950" s="1" t="str">
        <f>IFERROR(__xludf.DUMMYFUNCTION("""COMPUTED_VALUE"""),"Hood")</f>
        <v>Hood</v>
      </c>
      <c r="G950" s="1" t="str">
        <f>IFERROR(__xludf.DUMMYFUNCTION("""COMPUTED_VALUE"""),"32.341797")</f>
        <v>32.341797</v>
      </c>
      <c r="H950" s="1" t="str">
        <f>IFERROR(__xludf.DUMMYFUNCTION("""COMPUTED_VALUE"""),"-97.731636")</f>
        <v>-97.731636</v>
      </c>
      <c r="I950" s="1" t="str">
        <f>IFERROR(__xludf.DUMMYFUNCTION("""COMPUTED_VALUE"""),"Operating")</f>
        <v>Operating</v>
      </c>
      <c r="J950" s="1" t="str">
        <f>IFERROR(__xludf.DUMMYFUNCTION("""COMPUTED_VALUE"""),"High")</f>
        <v>High</v>
      </c>
      <c r="K950" s="1" t="str">
        <f>IFERROR(__xludf.DUMMYFUNCTION("""COMPUTED_VALUE"""),"")</f>
        <v/>
      </c>
      <c r="L950" s="1" t="str">
        <f>IFERROR(__xludf.DUMMYFUNCTION("""COMPUTED_VALUE"""),"Marathon Digital Holdings (MARA)")</f>
        <v>Marathon Digital Holdings (MARA)</v>
      </c>
      <c r="M950" s="1" t="str">
        <f>IFERROR(__xludf.DUMMYFUNCTION("""COMPUTED_VALUE"""),"")</f>
        <v/>
      </c>
      <c r="N950" s="1" t="str">
        <f>IFERROR(__xludf.DUMMYFUNCTION("""COMPUTED_VALUE"""),"")</f>
        <v/>
      </c>
      <c r="O950" s="1" t="str">
        <f>IFERROR(__xludf.DUMMYFUNCTION("""COMPUTED_VALUE"""),"Hyperscale (100-999 MW)")</f>
        <v>Hyperscale (100-999 MW)</v>
      </c>
      <c r="P950" s="1" t="str">
        <f>IFERROR(__xludf.DUMMYFUNCTION("""COMPUTED_VALUE"""),"")</f>
        <v/>
      </c>
      <c r="Q950" s="1" t="str">
        <f>IFERROR(__xludf.DUMMYFUNCTION("""COMPUTED_VALUE"""),"")</f>
        <v/>
      </c>
      <c r="R950" s="1" t="str">
        <f>IFERROR(__xludf.DUMMYFUNCTION("""COMPUTED_VALUE"""),"")</f>
        <v/>
      </c>
      <c r="S950" s="1" t="str">
        <f>IFERROR(__xludf.DUMMYFUNCTION("""COMPUTED_VALUE"""),"")</f>
        <v/>
      </c>
      <c r="T950" s="1" t="str">
        <f>IFERROR(__xludf.DUMMYFUNCTION("""COMPUTED_VALUE"""),"Air")</f>
        <v>Air</v>
      </c>
      <c r="U950" s="1" t="str">
        <f>IFERROR(__xludf.DUMMYFUNCTION("""COMPUTED_VALUE"""),"")</f>
        <v/>
      </c>
      <c r="V950" s="1" t="str">
        <f>IFERROR(__xludf.DUMMYFUNCTION("""COMPUTED_VALUE"""),"")</f>
        <v/>
      </c>
      <c r="W950" s="1" t="str">
        <f>IFERROR(__xludf.DUMMYFUNCTION("""COMPUTED_VALUE"""),"")</f>
        <v/>
      </c>
      <c r="X950" s="1" t="str">
        <f>IFERROR(__xludf.DUMMYFUNCTION("""COMPUTED_VALUE"""),"")</f>
        <v/>
      </c>
      <c r="Y950" s="1" t="str">
        <f>IFERROR(__xludf.DUMMYFUNCTION("""COMPUTED_VALUE"""),"")</f>
        <v/>
      </c>
      <c r="Z950" s="1" t="str">
        <f>IFERROR(__xludf.DUMMYFUNCTION("""COMPUTED_VALUE"""),"Yes")</f>
        <v>Yes</v>
      </c>
      <c r="AA950" s="1" t="str">
        <f>IFERROR(__xludf.DUMMYFUNCTION("""COMPUTED_VALUE"""),"chrome-extension://efaidnbmnnnibpcajpcglclefindmkaj/https://earthjustice.org/wp-content/uploads/2024/10/2024-10-04-first-verified-petition_redacted.pdf
https://www.texastribune.org/2024/08/15/bitcoin-mining-noise-granbury-texas/
https://time.com/6982015"&amp;"/bitcoin-mining-texas-health/
")</f>
        <v>chrome-extension://efaidnbmnnnibpcajpcglclefindmkaj/https://earthjustice.org/wp-content/uploads/2024/10/2024-10-04-first-verified-petition_redacted.pdf
https://www.texastribune.org/2024/08/15/bitcoin-mining-noise-granbury-texas/
https://time.com/6982015/bitcoin-mining-texas-health/
</v>
      </c>
      <c r="AB950" s="1" t="str">
        <f>IFERROR(__xludf.DUMMYFUNCTION("""COMPUTED_VALUE"""),"")</f>
        <v/>
      </c>
      <c r="AC950" s="1" t="str">
        <f>IFERROR(__xludf.DUMMYFUNCTION("""COMPUTED_VALUE"""),"")</f>
        <v/>
      </c>
      <c r="AD950" s="2" t="str">
        <f>IFERROR(__xludf.DUMMYFUNCTION("""COMPUTED_VALUE"""),"https://www.maragranbury.com/")</f>
        <v>https://www.maragranbury.com/</v>
      </c>
      <c r="AE950" s="1" t="str">
        <f>IFERROR(__xludf.DUMMYFUNCTION("""COMPUTED_VALUE"""),"")</f>
        <v/>
      </c>
      <c r="AF950" s="1" t="str">
        <f>IFERROR(__xludf.DUMMYFUNCTION("""COMPUTED_VALUE"""),"")</f>
        <v/>
      </c>
      <c r="AG950" s="1" t="str">
        <f>IFERROR(__xludf.DUMMYFUNCTION("""COMPUTED_VALUE"""),"")</f>
        <v/>
      </c>
      <c r="AH950" s="1" t="str">
        <f>IFERROR(__xludf.DUMMYFUNCTION("""COMPUTED_VALUE"""),"Media Monitoring")</f>
        <v>Media Monitoring</v>
      </c>
      <c r="AI950" s="2" t="str">
        <f>IFERROR(__xludf.DUMMYFUNCTION("""COMPUTED_VALUE"""),"https://baxtel.com/data-center/marathon-digital-granbury-tx")</f>
        <v>https://baxtel.com/data-center/marathon-digital-granbury-tx</v>
      </c>
      <c r="AJ950" s="1" t="str">
        <f>IFERROR(__xludf.DUMMYFUNCTION("""COMPUTED_VALUE"""),"")</f>
        <v/>
      </c>
      <c r="AK950" s="1" t="str">
        <f>IFERROR(__xludf.DUMMYFUNCTION("""COMPUTED_VALUE"""),"")</f>
        <v/>
      </c>
      <c r="AL950" s="1" t="str">
        <f>IFERROR(__xludf.DUMMYFUNCTION("""COMPUTED_VALUE"""),"")</f>
        <v/>
      </c>
      <c r="AM950" s="1" t="str">
        <f>IFERROR(__xludf.DUMMYFUNCTION("""COMPUTED_VALUE"""),"")</f>
        <v/>
      </c>
      <c r="AN950" s="1" t="str">
        <f>IFERROR(__xludf.DUMMYFUNCTION("""COMPUTED_VALUE"""),"")</f>
        <v/>
      </c>
      <c r="AO950" s="1" t="str">
        <f>IFERROR(__xludf.DUMMYFUNCTION("""COMPUTED_VALUE"""),"")</f>
        <v/>
      </c>
      <c r="AP950" s="1" t="str">
        <f>IFERROR(__xludf.DUMMYFUNCTION("""COMPUTED_VALUE"""),"")</f>
        <v/>
      </c>
      <c r="AQ950" s="1" t="str">
        <f>IFERROR(__xludf.DUMMYFUNCTION("""COMPUTED_VALUE"""),"02/05/2026")</f>
        <v>02/05/2026</v>
      </c>
      <c r="AR950" s="1" t="str">
        <f>IFERROR(__xludf.DUMMYFUNCTION("""COMPUTED_VALUE"""),"03/17/2026")</f>
        <v>03/17/2026</v>
      </c>
    </row>
    <row r="951">
      <c r="A951" s="1" t="str">
        <f>IFERROR(__xludf.DUMMYFUNCTION("""COMPUTED_VALUE"""),"Eneus Energy")</f>
        <v>Eneus Energy</v>
      </c>
      <c r="B951" s="1" t="str">
        <f>IFERROR(__xludf.DUMMYFUNCTION("""COMPUTED_VALUE"""),"Near Valley International Airport")</f>
        <v>Near Valley International Airport</v>
      </c>
      <c r="C951" s="1" t="str">
        <f>IFERROR(__xludf.DUMMYFUNCTION("""COMPUTED_VALUE"""),"Harlingen")</f>
        <v>Harlingen</v>
      </c>
      <c r="D951" s="1" t="str">
        <f>IFERROR(__xludf.DUMMYFUNCTION("""COMPUTED_VALUE"""),"TX")</f>
        <v>TX</v>
      </c>
      <c r="E951" s="1" t="str">
        <f>IFERROR(__xludf.DUMMYFUNCTION("""COMPUTED_VALUE"""),"78550")</f>
        <v>78550</v>
      </c>
      <c r="F951" s="1" t="str">
        <f>IFERROR(__xludf.DUMMYFUNCTION("""COMPUTED_VALUE"""),"Cameron")</f>
        <v>Cameron</v>
      </c>
      <c r="G951" s="1" t="str">
        <f>IFERROR(__xludf.DUMMYFUNCTION("""COMPUTED_VALUE"""),"26.226423")</f>
        <v>26.226423</v>
      </c>
      <c r="H951" s="1" t="str">
        <f>IFERROR(__xludf.DUMMYFUNCTION("""COMPUTED_VALUE"""),"-97.63307")</f>
        <v>-97.63307</v>
      </c>
      <c r="I951" s="1" t="str">
        <f>IFERROR(__xludf.DUMMYFUNCTION("""COMPUTED_VALUE"""),"Proposed")</f>
        <v>Proposed</v>
      </c>
      <c r="J951" s="1" t="str">
        <f>IFERROR(__xludf.DUMMYFUNCTION("""COMPUTED_VALUE"""),"Medium")</f>
        <v>Medium</v>
      </c>
      <c r="K951" s="1" t="str">
        <f>IFERROR(__xludf.DUMMYFUNCTION("""COMPUTED_VALUE"""),"")</f>
        <v/>
      </c>
      <c r="L951" s="1" t="str">
        <f>IFERROR(__xludf.DUMMYFUNCTION("""COMPUTED_VALUE"""),"")</f>
        <v/>
      </c>
      <c r="M951" s="1" t="str">
        <f>IFERROR(__xludf.DUMMYFUNCTION("""COMPUTED_VALUE"""),"")</f>
        <v/>
      </c>
      <c r="N951" s="1" t="str">
        <f>IFERROR(__xludf.DUMMYFUNCTION("""COMPUTED_VALUE"""),"2,000")</f>
        <v>2,000</v>
      </c>
      <c r="O951" s="1" t="str">
        <f>IFERROR(__xludf.DUMMYFUNCTION("""COMPUTED_VALUE"""),"Mega campus (&gt;1,000 MW)")</f>
        <v>Mega campus (&gt;1,000 MW)</v>
      </c>
      <c r="P951" s="1" t="str">
        <f>IFERROR(__xludf.DUMMYFUNCTION("""COMPUTED_VALUE"""),"")</f>
        <v/>
      </c>
      <c r="Q951" s="1" t="str">
        <f>IFERROR(__xludf.DUMMYFUNCTION("""COMPUTED_VALUE"""),"")</f>
        <v/>
      </c>
      <c r="R951" s="1" t="str">
        <f>IFERROR(__xludf.DUMMYFUNCTION("""COMPUTED_VALUE"""),"")</f>
        <v/>
      </c>
      <c r="S951" s="1" t="str">
        <f>IFERROR(__xludf.DUMMYFUNCTION("""COMPUTED_VALUE"""),"16")</f>
        <v>16</v>
      </c>
      <c r="T951" s="1" t="str">
        <f>IFERROR(__xludf.DUMMYFUNCTION("""COMPUTED_VALUE"""),"")</f>
        <v/>
      </c>
      <c r="U951" s="1" t="str">
        <f>IFERROR(__xludf.DUMMYFUNCTION("""COMPUTED_VALUE"""),"")</f>
        <v/>
      </c>
      <c r="V951" s="1" t="str">
        <f>IFERROR(__xludf.DUMMYFUNCTION("""COMPUTED_VALUE"""),"")</f>
        <v/>
      </c>
      <c r="W951" s="1" t="str">
        <f>IFERROR(__xludf.DUMMYFUNCTION("""COMPUTED_VALUE"""),"1785")</f>
        <v>1785</v>
      </c>
      <c r="X951" s="1" t="str">
        <f>IFERROR(__xludf.DUMMYFUNCTION("""COMPUTED_VALUE"""),"")</f>
        <v/>
      </c>
      <c r="Y951" s="1" t="str">
        <f>IFERROR(__xludf.DUMMYFUNCTION("""COMPUTED_VALUE"""),"")</f>
        <v/>
      </c>
      <c r="Z951" s="1" t="str">
        <f>IFERROR(__xludf.DUMMYFUNCTION("""COMPUTED_VALUE"""),"Yes")</f>
        <v>Yes</v>
      </c>
      <c r="AA951" s="1" t="str">
        <f>IFERROR(__xludf.DUMMYFUNCTION("""COMPUTED_VALUE"""),"180 day moratorium in place in Harlingen as of May 2026.")</f>
        <v>180 day moratorium in place in Harlingen as of May 2026.</v>
      </c>
      <c r="AB951" s="1" t="str">
        <f>IFERROR(__xludf.DUMMYFUNCTION("""COMPUTED_VALUE"""),"")</f>
        <v/>
      </c>
      <c r="AC951" s="1" t="str">
        <f>IFERROR(__xludf.DUMMYFUNCTION("""COMPUTED_VALUE"""),"Yes")</f>
        <v>Yes</v>
      </c>
      <c r="AD951" s="1" t="str">
        <f>IFERROR(__xludf.DUMMYFUNCTION("""COMPUTED_VALUE"""),"")</f>
        <v/>
      </c>
      <c r="AE951" s="1" t="str">
        <f>IFERROR(__xludf.DUMMYFUNCTION("""COMPUTED_VALUE"""),"")</f>
        <v/>
      </c>
      <c r="AF951" s="1" t="str">
        <f>IFERROR(__xludf.DUMMYFUNCTION("""COMPUTED_VALUE"""),"")</f>
        <v/>
      </c>
      <c r="AG951" s="1" t="str">
        <f>IFERROR(__xludf.DUMMYFUNCTION("""COMPUTED_VALUE"""),"Initial planning and evaluation. No actual proposal yet. Harlingen WaterWorks System’s board of directors entered into an agreement that could supply effluent water to the data center project")</f>
        <v>Initial planning and evaluation. No actual proposal yet. Harlingen WaterWorks System’s board of directors entered into an agreement that could supply effluent water to the data center project</v>
      </c>
      <c r="AH951" s="1" t="str">
        <f>IFERROR(__xludf.DUMMYFUNCTION("""COMPUTED_VALUE"""),"Media Monitoring")</f>
        <v>Media Monitoring</v>
      </c>
      <c r="AI951" s="2" t="str">
        <f>IFERROR(__xludf.DUMMYFUNCTION("""COMPUTED_VALUE"""),"https://www.datacenterdynamics.com/en/news/2gw-data-center-could-be-developed-in-cameron-county-texas/")</f>
        <v>https://www.datacenterdynamics.com/en/news/2gw-data-center-could-be-developed-in-cameron-county-texas/</v>
      </c>
      <c r="AJ951" s="2" t="str">
        <f>IFERROR(__xludf.DUMMYFUNCTION("""COMPUTED_VALUE"""),"https://myrgv.com/publications/valley-morning-star/2026/04/02/harlingen-calls-for-public-hearings-on-proposed-data-center-moratorium/")</f>
        <v>https://myrgv.com/publications/valley-morning-star/2026/04/02/harlingen-calls-for-public-hearings-on-proposed-data-center-moratorium/</v>
      </c>
      <c r="AK951" s="2" t="str">
        <f>IFERROR(__xludf.DUMMYFUNCTION("""COMPUTED_VALUE"""),"https://www.krgv.com/news/harlingen-officials-approve-120-day-moratorium-to-study-impact-of-potential-data-centers/")</f>
        <v>https://www.krgv.com/news/harlingen-officials-approve-120-day-moratorium-to-study-impact-of-potential-data-centers/</v>
      </c>
      <c r="AL951" s="1" t="str">
        <f>IFERROR(__xludf.DUMMYFUNCTION("""COMPUTED_VALUE"""),"")</f>
        <v/>
      </c>
      <c r="AM951" s="1" t="str">
        <f>IFERROR(__xludf.DUMMYFUNCTION("""COMPUTED_VALUE"""),"")</f>
        <v/>
      </c>
      <c r="AN951" s="1" t="str">
        <f>IFERROR(__xludf.DUMMYFUNCTION("""COMPUTED_VALUE"""),"")</f>
        <v/>
      </c>
      <c r="AO951" s="1" t="str">
        <f>IFERROR(__xludf.DUMMYFUNCTION("""COMPUTED_VALUE"""),"")</f>
        <v/>
      </c>
      <c r="AP951" s="1" t="str">
        <f>IFERROR(__xludf.DUMMYFUNCTION("""COMPUTED_VALUE"""),"")</f>
        <v/>
      </c>
      <c r="AQ951" s="1" t="str">
        <f>IFERROR(__xludf.DUMMYFUNCTION("""COMPUTED_VALUE"""),"02/15/2026")</f>
        <v>02/15/2026</v>
      </c>
      <c r="AR951" s="1" t="str">
        <f>IFERROR(__xludf.DUMMYFUNCTION("""COMPUTED_VALUE"""),"06/08/2026")</f>
        <v>06/08/2026</v>
      </c>
    </row>
    <row r="952">
      <c r="A952" s="1" t="str">
        <f>IFERROR(__xludf.DUMMYFUNCTION("""COMPUTED_VALUE"""),"Journey 1A and 2A Data Centers")</f>
        <v>Journey 1A and 2A Data Centers</v>
      </c>
      <c r="B952" s="1" t="str">
        <f>IFERROR(__xludf.DUMMYFUNCTION("""COMPUTED_VALUE"""),"1362 Red Creek Rd")</f>
        <v>1362 Red Creek Rd</v>
      </c>
      <c r="C952" s="1" t="str">
        <f>IFERROR(__xludf.DUMMYFUNCTION("""COMPUTED_VALUE"""),"Haskell")</f>
        <v>Haskell</v>
      </c>
      <c r="D952" s="1" t="str">
        <f>IFERROR(__xludf.DUMMYFUNCTION("""COMPUTED_VALUE"""),"TX")</f>
        <v>TX</v>
      </c>
      <c r="E952" s="1" t="str">
        <f>IFERROR(__xludf.DUMMYFUNCTION("""COMPUTED_VALUE"""),"79521")</f>
        <v>79521</v>
      </c>
      <c r="F952" s="1" t="str">
        <f>IFERROR(__xludf.DUMMYFUNCTION("""COMPUTED_VALUE"""),"Haskell")</f>
        <v>Haskell</v>
      </c>
      <c r="G952" s="1" t="str">
        <f>IFERROR(__xludf.DUMMYFUNCTION("""COMPUTED_VALUE"""),"33.13765")</f>
        <v>33.13765</v>
      </c>
      <c r="H952" s="1" t="str">
        <f>IFERROR(__xludf.DUMMYFUNCTION("""COMPUTED_VALUE"""),"-99.56995")</f>
        <v>-99.56995</v>
      </c>
      <c r="I952" s="1" t="str">
        <f>IFERROR(__xludf.DUMMYFUNCTION("""COMPUTED_VALUE"""),"Proposed")</f>
        <v>Proposed</v>
      </c>
      <c r="J952" s="1" t="str">
        <f>IFERROR(__xludf.DUMMYFUNCTION("""COMPUTED_VALUE"""),"High")</f>
        <v>High</v>
      </c>
      <c r="K952" s="1" t="str">
        <f>IFERROR(__xludf.DUMMYFUNCTION("""COMPUTED_VALUE"""),"")</f>
        <v/>
      </c>
      <c r="L952" s="1" t="str">
        <f>IFERROR(__xludf.DUMMYFUNCTION("""COMPUTED_VALUE"""),"Google")</f>
        <v>Google</v>
      </c>
      <c r="M952" s="1" t="str">
        <f>IFERROR(__xludf.DUMMYFUNCTION("""COMPUTED_VALUE"""),"")</f>
        <v/>
      </c>
      <c r="N952" s="1" t="str">
        <f>IFERROR(__xludf.DUMMYFUNCTION("""COMPUTED_VALUE"""),"")</f>
        <v/>
      </c>
      <c r="O952" s="1" t="str">
        <f>IFERROR(__xludf.DUMMYFUNCTION("""COMPUTED_VALUE"""),"Unknown")</f>
        <v>Unknown</v>
      </c>
      <c r="P952" s="1" t="str">
        <f>IFERROR(__xludf.DUMMYFUNCTION("""COMPUTED_VALUE"""),"")</f>
        <v/>
      </c>
      <c r="Q952" s="1" t="str">
        <f>IFERROR(__xludf.DUMMYFUNCTION("""COMPUTED_VALUE"""),"")</f>
        <v/>
      </c>
      <c r="R952" s="1" t="str">
        <f>IFERROR(__xludf.DUMMYFUNCTION("""COMPUTED_VALUE"""),"")</f>
        <v/>
      </c>
      <c r="S952" s="1" t="str">
        <f>IFERROR(__xludf.DUMMYFUNCTION("""COMPUTED_VALUE"""),"2")</f>
        <v>2</v>
      </c>
      <c r="T952" s="1" t="str">
        <f>IFERROR(__xludf.DUMMYFUNCTION("""COMPUTED_VALUE"""),"")</f>
        <v/>
      </c>
      <c r="U952" s="1" t="str">
        <f>IFERROR(__xludf.DUMMYFUNCTION("""COMPUTED_VALUE"""),"")</f>
        <v/>
      </c>
      <c r="V952" s="1" t="str">
        <f>IFERROR(__xludf.DUMMYFUNCTION("""COMPUTED_VALUE"""),"495,700")</f>
        <v>495,700</v>
      </c>
      <c r="W952" s="1" t="str">
        <f>IFERROR(__xludf.DUMMYFUNCTION("""COMPUTED_VALUE"""),"")</f>
        <v/>
      </c>
      <c r="X952" s="1" t="str">
        <f>IFERROR(__xludf.DUMMYFUNCTION("""COMPUTED_VALUE"""),"$800 million")</f>
        <v>$800 million</v>
      </c>
      <c r="Y952" s="1" t="str">
        <f>IFERROR(__xludf.DUMMYFUNCTION("""COMPUTED_VALUE"""),"2026")</f>
        <v>2026</v>
      </c>
      <c r="Z952" s="1" t="str">
        <f>IFERROR(__xludf.DUMMYFUNCTION("""COMPUTED_VALUE"""),"")</f>
        <v/>
      </c>
      <c r="AA952" s="1" t="str">
        <f>IFERROR(__xludf.DUMMYFUNCTION("""COMPUTED_VALUE"""),"")</f>
        <v/>
      </c>
      <c r="AB952" s="1" t="str">
        <f>IFERROR(__xludf.DUMMYFUNCTION("""COMPUTED_VALUE"""),"")</f>
        <v/>
      </c>
      <c r="AC952" s="1" t="str">
        <f>IFERROR(__xludf.DUMMYFUNCTION("""COMPUTED_VALUE"""),"")</f>
        <v/>
      </c>
      <c r="AD952" s="1" t="str">
        <f>IFERROR(__xludf.DUMMYFUNCTION("""COMPUTED_VALUE"""),"")</f>
        <v/>
      </c>
      <c r="AE952" s="1" t="str">
        <f>IFERROR(__xludf.DUMMYFUNCTION("""COMPUTED_VALUE"""),"")</f>
        <v/>
      </c>
      <c r="AF952" s="1" t="str">
        <f>IFERROR(__xludf.DUMMYFUNCTION("""COMPUTED_VALUE"""),"")</f>
        <v/>
      </c>
      <c r="AG952" s="1" t="str">
        <f>IFERROR(__xludf.DUMMYFUNCTION("""COMPUTED_VALUE"""),"")</f>
        <v/>
      </c>
      <c r="AH952" s="1" t="str">
        <f>IFERROR(__xludf.DUMMYFUNCTION("""COMPUTED_VALUE"""),"Media Monitoring")</f>
        <v>Media Monitoring</v>
      </c>
      <c r="AI952" s="2" t="str">
        <f>IFERROR(__xludf.DUMMYFUNCTION("""COMPUTED_VALUE"""),"https://www.datacenterdynamics.com/en/news/google-linked-housebound-group-files-for-two-data-center-projects-in-haskell-texas/")</f>
        <v>https://www.datacenterdynamics.com/en/news/google-linked-housebound-group-files-for-two-data-center-projects-in-haskell-texas/</v>
      </c>
      <c r="AJ952" s="1" t="str">
        <f>IFERROR(__xludf.DUMMYFUNCTION("""COMPUTED_VALUE"""),"")</f>
        <v/>
      </c>
      <c r="AK952" s="1" t="str">
        <f>IFERROR(__xludf.DUMMYFUNCTION("""COMPUTED_VALUE"""),"")</f>
        <v/>
      </c>
      <c r="AL952" s="1" t="str">
        <f>IFERROR(__xludf.DUMMYFUNCTION("""COMPUTED_VALUE"""),"")</f>
        <v/>
      </c>
      <c r="AM952" s="1" t="str">
        <f>IFERROR(__xludf.DUMMYFUNCTION("""COMPUTED_VALUE"""),"")</f>
        <v/>
      </c>
      <c r="AN952" s="1" t="str">
        <f>IFERROR(__xludf.DUMMYFUNCTION("""COMPUTED_VALUE"""),"")</f>
        <v/>
      </c>
      <c r="AO952" s="1" t="str">
        <f>IFERROR(__xludf.DUMMYFUNCTION("""COMPUTED_VALUE"""),"")</f>
        <v/>
      </c>
      <c r="AP952" s="1" t="str">
        <f>IFERROR(__xludf.DUMMYFUNCTION("""COMPUTED_VALUE"""),"")</f>
        <v/>
      </c>
      <c r="AQ952" s="1" t="str">
        <f>IFERROR(__xludf.DUMMYFUNCTION("""COMPUTED_VALUE"""),"07/14/2026")</f>
        <v>07/14/2026</v>
      </c>
      <c r="AR952" s="1" t="str">
        <f>IFERROR(__xludf.DUMMYFUNCTION("""COMPUTED_VALUE"""),"07/14/2026")</f>
        <v>07/14/2026</v>
      </c>
    </row>
    <row r="953">
      <c r="A953" s="1" t="str">
        <f>IFERROR(__xludf.DUMMYFUNCTION("""COMPUTED_VALUE"""),"Project Aquilla: Abbott Holding Data Center")</f>
        <v>Project Aquilla: Abbott Holding Data Center</v>
      </c>
      <c r="B953" s="1" t="str">
        <f>IFERROR(__xludf.DUMMYFUNCTION("""COMPUTED_VALUE"""),"Along I-35 corridor, 1 miles from schools, adjacent to Lake Aquilla")</f>
        <v>Along I-35 corridor, 1 miles from schools, adjacent to Lake Aquilla</v>
      </c>
      <c r="C953" s="1" t="str">
        <f>IFERROR(__xludf.DUMMYFUNCTION("""COMPUTED_VALUE"""),"Hill County")</f>
        <v>Hill County</v>
      </c>
      <c r="D953" s="1" t="str">
        <f>IFERROR(__xludf.DUMMYFUNCTION("""COMPUTED_VALUE"""),"TX")</f>
        <v>TX</v>
      </c>
      <c r="E953" s="1" t="str">
        <f>IFERROR(__xludf.DUMMYFUNCTION("""COMPUTED_VALUE"""),"")</f>
        <v/>
      </c>
      <c r="F953" s="1" t="str">
        <f>IFERROR(__xludf.DUMMYFUNCTION("""COMPUTED_VALUE"""),"Hill")</f>
        <v>Hill</v>
      </c>
      <c r="G953" s="1" t="str">
        <f>IFERROR(__xludf.DUMMYFUNCTION("""COMPUTED_VALUE"""),"31.96484")</f>
        <v>31.96484</v>
      </c>
      <c r="H953" s="1" t="str">
        <f>IFERROR(__xludf.DUMMYFUNCTION("""COMPUTED_VALUE"""),"-97.123825")</f>
        <v>-97.123825</v>
      </c>
      <c r="I953" s="1" t="str">
        <f>IFERROR(__xludf.DUMMYFUNCTION("""COMPUTED_VALUE"""),"Proposed")</f>
        <v>Proposed</v>
      </c>
      <c r="J953" s="1" t="str">
        <f>IFERROR(__xludf.DUMMYFUNCTION("""COMPUTED_VALUE"""),"Medium")</f>
        <v>Medium</v>
      </c>
      <c r="K953" s="1" t="str">
        <f>IFERROR(__xludf.DUMMYFUNCTION("""COMPUTED_VALUE"""),"")</f>
        <v/>
      </c>
      <c r="L953" s="1" t="str">
        <f>IFERROR(__xludf.DUMMYFUNCTION("""COMPUTED_VALUE"""),"RCM Hill")</f>
        <v>RCM Hill</v>
      </c>
      <c r="M953" s="1" t="str">
        <f>IFERROR(__xludf.DUMMYFUNCTION("""COMPUTED_VALUE"""),"")</f>
        <v/>
      </c>
      <c r="N953" s="1" t="str">
        <f>IFERROR(__xludf.DUMMYFUNCTION("""COMPUTED_VALUE"""),"1,235")</f>
        <v>1,235</v>
      </c>
      <c r="O953" s="1" t="str">
        <f>IFERROR(__xludf.DUMMYFUNCTION("""COMPUTED_VALUE"""),"Mega campus (&gt;1,000 MW)")</f>
        <v>Mega campus (&gt;1,000 MW)</v>
      </c>
      <c r="P953" s="1" t="str">
        <f>IFERROR(__xludf.DUMMYFUNCTION("""COMPUTED_VALUE"""),"")</f>
        <v/>
      </c>
      <c r="Q953" s="1" t="str">
        <f>IFERROR(__xludf.DUMMYFUNCTION("""COMPUTED_VALUE"""),"")</f>
        <v/>
      </c>
      <c r="R953" s="1" t="str">
        <f>IFERROR(__xludf.DUMMYFUNCTION("""COMPUTED_VALUE"""),"")</f>
        <v/>
      </c>
      <c r="S953" s="1" t="str">
        <f>IFERROR(__xludf.DUMMYFUNCTION("""COMPUTED_VALUE"""),"")</f>
        <v/>
      </c>
      <c r="T953" s="1" t="str">
        <f>IFERROR(__xludf.DUMMYFUNCTION("""COMPUTED_VALUE"""),"")</f>
        <v/>
      </c>
      <c r="U953" s="1" t="str">
        <f>IFERROR(__xludf.DUMMYFUNCTION("""COMPUTED_VALUE"""),"")</f>
        <v/>
      </c>
      <c r="V953" s="1" t="str">
        <f>IFERROR(__xludf.DUMMYFUNCTION("""COMPUTED_VALUE"""),"")</f>
        <v/>
      </c>
      <c r="W953" s="1" t="str">
        <f>IFERROR(__xludf.DUMMYFUNCTION("""COMPUTED_VALUE"""),"800")</f>
        <v>800</v>
      </c>
      <c r="X953" s="1" t="str">
        <f>IFERROR(__xludf.DUMMYFUNCTION("""COMPUTED_VALUE"""),"")</f>
        <v/>
      </c>
      <c r="Y953" s="1" t="str">
        <f>IFERROR(__xludf.DUMMYFUNCTION("""COMPUTED_VALUE"""),"")</f>
        <v/>
      </c>
      <c r="Z953" s="1" t="str">
        <f>IFERROR(__xludf.DUMMYFUNCTION("""COMPUTED_VALUE"""),"Yes")</f>
        <v>Yes</v>
      </c>
      <c r="AA953" s="1" t="str">
        <f>IFERROR(__xludf.DUMMYFUNCTION("""COMPUTED_VALUE"""),"")</f>
        <v/>
      </c>
      <c r="AB953" s="1" t="str">
        <f>IFERROR(__xludf.DUMMYFUNCTION("""COMPUTED_VALUE"""),"Organized Advocacy")</f>
        <v>Organized Advocacy</v>
      </c>
      <c r="AC953" s="1" t="str">
        <f>IFERROR(__xludf.DUMMYFUNCTION("""COMPUTED_VALUE"""),"")</f>
        <v/>
      </c>
      <c r="AD953" s="1" t="str">
        <f>IFERROR(__xludf.DUMMYFUNCTION("""COMPUTED_VALUE"""),"")</f>
        <v/>
      </c>
      <c r="AE953" s="1" t="str">
        <f>IFERROR(__xludf.DUMMYFUNCTION("""COMPUTED_VALUE"""),"")</f>
        <v/>
      </c>
      <c r="AF953" s="1" t="str">
        <f>IFERROR(__xludf.DUMMYFUNCTION("""COMPUTED_VALUE"""),"")</f>
        <v/>
      </c>
      <c r="AG953" s="1" t="str">
        <f>IFERROR(__xludf.DUMMYFUNCTION("""COMPUTED_VALUE"""),"County passed moratorium. Developer sued for $100 million. County rescinded moratorium. ")</f>
        <v>County passed moratorium. Developer sued for $100 million. County rescinded moratorium. </v>
      </c>
      <c r="AH953" s="1" t="str">
        <f>IFERROR(__xludf.DUMMYFUNCTION("""COMPUTED_VALUE"""),"Media Monitoring")</f>
        <v>Media Monitoring</v>
      </c>
      <c r="AI953" s="2" t="str">
        <f>IFERROR(__xludf.DUMMYFUNCTION("""COMPUTED_VALUE"""),"https://www.kxxv.com/news/local-news/in-your-neighborhood/100m-lawsuit-filed-against-hill-county-officials-over-data-center-moratorium")</f>
        <v>https://www.kxxv.com/news/local-news/in-your-neighborhood/100m-lawsuit-filed-against-hill-county-officials-over-data-center-moratorium</v>
      </c>
      <c r="AJ953" s="2" t="str">
        <f>IFERROR(__xludf.DUMMYFUNCTION("""COMPUTED_VALUE"""),"https://www.kxxv.com/news/local-news/in-your-neighborhood/hill-county/hillsboro-county-commissioners-rescind-moratorium-after-lawsuit-filed")</f>
        <v>https://www.kxxv.com/news/local-news/in-your-neighborhood/hill-county/hillsboro-county-commissioners-rescind-moratorium-after-lawsuit-filed</v>
      </c>
      <c r="AK953" s="1" t="str">
        <f>IFERROR(__xludf.DUMMYFUNCTION("""COMPUTED_VALUE"""),"")</f>
        <v/>
      </c>
      <c r="AL953" s="1" t="str">
        <f>IFERROR(__xludf.DUMMYFUNCTION("""COMPUTED_VALUE"""),"")</f>
        <v/>
      </c>
      <c r="AM953" s="1" t="str">
        <f>IFERROR(__xludf.DUMMYFUNCTION("""COMPUTED_VALUE"""),"")</f>
        <v/>
      </c>
      <c r="AN953" s="1" t="str">
        <f>IFERROR(__xludf.DUMMYFUNCTION("""COMPUTED_VALUE"""),"")</f>
        <v/>
      </c>
      <c r="AO953" s="1" t="str">
        <f>IFERROR(__xludf.DUMMYFUNCTION("""COMPUTED_VALUE"""),"")</f>
        <v/>
      </c>
      <c r="AP953" s="1" t="str">
        <f>IFERROR(__xludf.DUMMYFUNCTION("""COMPUTED_VALUE"""),"")</f>
        <v/>
      </c>
      <c r="AQ953" s="1" t="str">
        <f>IFERROR(__xludf.DUMMYFUNCTION("""COMPUTED_VALUE"""),"06/04/2026")</f>
        <v>06/04/2026</v>
      </c>
      <c r="AR953" s="1" t="str">
        <f>IFERROR(__xludf.DUMMYFUNCTION("""COMPUTED_VALUE"""),"06/04/2026")</f>
        <v>06/04/2026</v>
      </c>
    </row>
    <row r="954">
      <c r="A954" s="1" t="str">
        <f>IFERROR(__xludf.DUMMYFUNCTION("""COMPUTED_VALUE"""),"Provident Data Center")</f>
        <v>Provident Data Center</v>
      </c>
      <c r="B954" s="1" t="str">
        <f>IFERROR(__xludf.DUMMYFUNCTION("""COMPUTED_VALUE"""),"1000 Airport Blvd")</f>
        <v>1000 Airport Blvd</v>
      </c>
      <c r="C954" s="1" t="str">
        <f>IFERROR(__xludf.DUMMYFUNCTION("""COMPUTED_VALUE"""),"Hillsboro")</f>
        <v>Hillsboro</v>
      </c>
      <c r="D954" s="1" t="str">
        <f>IFERROR(__xludf.DUMMYFUNCTION("""COMPUTED_VALUE"""),"TX")</f>
        <v>TX</v>
      </c>
      <c r="E954" s="1" t="str">
        <f>IFERROR(__xludf.DUMMYFUNCTION("""COMPUTED_VALUE"""),"76645")</f>
        <v>76645</v>
      </c>
      <c r="F954" s="1" t="str">
        <f>IFERROR(__xludf.DUMMYFUNCTION("""COMPUTED_VALUE"""),"Hill")</f>
        <v>Hill</v>
      </c>
      <c r="G954" s="1" t="str">
        <f>IFERROR(__xludf.DUMMYFUNCTION("""COMPUTED_VALUE"""),"32.08659")</f>
        <v>32.08659</v>
      </c>
      <c r="H954" s="1" t="str">
        <f>IFERROR(__xludf.DUMMYFUNCTION("""COMPUTED_VALUE"""),"-97.09979")</f>
        <v>-97.09979</v>
      </c>
      <c r="I954" s="1" t="str">
        <f>IFERROR(__xludf.DUMMYFUNCTION("""COMPUTED_VALUE"""),"Proposed")</f>
        <v>Proposed</v>
      </c>
      <c r="J954" s="1" t="str">
        <f>IFERROR(__xludf.DUMMYFUNCTION("""COMPUTED_VALUE"""),"Medium")</f>
        <v>Medium</v>
      </c>
      <c r="K954" s="1" t="str">
        <f>IFERROR(__xludf.DUMMYFUNCTION("""COMPUTED_VALUE"""),"")</f>
        <v/>
      </c>
      <c r="L954" s="1" t="str">
        <f>IFERROR(__xludf.DUMMYFUNCTION("""COMPUTED_VALUE"""),"")</f>
        <v/>
      </c>
      <c r="M954" s="1" t="str">
        <f>IFERROR(__xludf.DUMMYFUNCTION("""COMPUTED_VALUE"""),"")</f>
        <v/>
      </c>
      <c r="N954" s="1" t="str">
        <f>IFERROR(__xludf.DUMMYFUNCTION("""COMPUTED_VALUE"""),"")</f>
        <v/>
      </c>
      <c r="O954" s="1" t="str">
        <f>IFERROR(__xludf.DUMMYFUNCTION("""COMPUTED_VALUE"""),"Unknown")</f>
        <v>Unknown</v>
      </c>
      <c r="P954" s="1" t="str">
        <f>IFERROR(__xludf.DUMMYFUNCTION("""COMPUTED_VALUE"""),"")</f>
        <v/>
      </c>
      <c r="Q954" s="1" t="str">
        <f>IFERROR(__xludf.DUMMYFUNCTION("""COMPUTED_VALUE"""),"")</f>
        <v/>
      </c>
      <c r="R954" s="1" t="str">
        <f>IFERROR(__xludf.DUMMYFUNCTION("""COMPUTED_VALUE"""),"")</f>
        <v/>
      </c>
      <c r="S954" s="1" t="str">
        <f>IFERROR(__xludf.DUMMYFUNCTION("""COMPUTED_VALUE"""),"")</f>
        <v/>
      </c>
      <c r="T954" s="1" t="str">
        <f>IFERROR(__xludf.DUMMYFUNCTION("""COMPUTED_VALUE"""),"")</f>
        <v/>
      </c>
      <c r="U954" s="1" t="str">
        <f>IFERROR(__xludf.DUMMYFUNCTION("""COMPUTED_VALUE"""),"")</f>
        <v/>
      </c>
      <c r="V954" s="1" t="str">
        <f>IFERROR(__xludf.DUMMYFUNCTION("""COMPUTED_VALUE"""),"")</f>
        <v/>
      </c>
      <c r="W954" s="1" t="str">
        <f>IFERROR(__xludf.DUMMYFUNCTION("""COMPUTED_VALUE"""),"300")</f>
        <v>300</v>
      </c>
      <c r="X954" s="1" t="str">
        <f>IFERROR(__xludf.DUMMYFUNCTION("""COMPUTED_VALUE"""),"")</f>
        <v/>
      </c>
      <c r="Y954" s="1" t="str">
        <f>IFERROR(__xludf.DUMMYFUNCTION("""COMPUTED_VALUE"""),"")</f>
        <v/>
      </c>
      <c r="Z954" s="1" t="str">
        <f>IFERROR(__xludf.DUMMYFUNCTION("""COMPUTED_VALUE"""),"Yes")</f>
        <v>Yes</v>
      </c>
      <c r="AA954" s="1" t="str">
        <f>IFERROR(__xludf.DUMMYFUNCTION("""COMPUTED_VALUE"""),"")</f>
        <v/>
      </c>
      <c r="AB954" s="1" t="str">
        <f>IFERROR(__xludf.DUMMYFUNCTION("""COMPUTED_VALUE"""),"")</f>
        <v/>
      </c>
      <c r="AC954" s="1" t="str">
        <f>IFERROR(__xludf.DUMMYFUNCTION("""COMPUTED_VALUE"""),"")</f>
        <v/>
      </c>
      <c r="AD954" s="1" t="str">
        <f>IFERROR(__xludf.DUMMYFUNCTION("""COMPUTED_VALUE"""),"")</f>
        <v/>
      </c>
      <c r="AE954" s="1" t="str">
        <f>IFERROR(__xludf.DUMMYFUNCTION("""COMPUTED_VALUE"""),"")</f>
        <v/>
      </c>
      <c r="AF954" s="1" t="str">
        <f>IFERROR(__xludf.DUMMYFUNCTION("""COMPUTED_VALUE"""),"")</f>
        <v/>
      </c>
      <c r="AG954" s="1" t="str">
        <f>IFERROR(__xludf.DUMMYFUNCTION("""COMPUTED_VALUE"""),"")</f>
        <v/>
      </c>
      <c r="AH954" s="1" t="str">
        <f>IFERROR(__xludf.DUMMYFUNCTION("""COMPUTED_VALUE"""),"Media Monitoring")</f>
        <v>Media Monitoring</v>
      </c>
      <c r="AI954" s="2" t="str">
        <f>IFERROR(__xludf.DUMMYFUNCTION("""COMPUTED_VALUE"""),"https://hillsbororeporter.com/city-hears-feedback-on-data-center-proposal-p31629-54.htm")</f>
        <v>https://hillsbororeporter.com/city-hears-feedback-on-data-center-proposal-p31629-54.htm</v>
      </c>
      <c r="AJ954" s="2" t="str">
        <f>IFERROR(__xludf.DUMMYFUNCTION("""COMPUTED_VALUE"""),"https://www.datacenterdynamics.com/en/news/concern-over-proposed-sale-of-300-acres-for-data-center-in-hillsboro-texas/")</f>
        <v>https://www.datacenterdynamics.com/en/news/concern-over-proposed-sale-of-300-acres-for-data-center-in-hillsboro-texas/</v>
      </c>
      <c r="AK954" s="1" t="str">
        <f>IFERROR(__xludf.DUMMYFUNCTION("""COMPUTED_VALUE"""),"")</f>
        <v/>
      </c>
      <c r="AL954" s="1" t="str">
        <f>IFERROR(__xludf.DUMMYFUNCTION("""COMPUTED_VALUE"""),"")</f>
        <v/>
      </c>
      <c r="AM954" s="1" t="str">
        <f>IFERROR(__xludf.DUMMYFUNCTION("""COMPUTED_VALUE"""),"")</f>
        <v/>
      </c>
      <c r="AN954" s="1" t="str">
        <f>IFERROR(__xludf.DUMMYFUNCTION("""COMPUTED_VALUE"""),"")</f>
        <v/>
      </c>
      <c r="AO954" s="1" t="str">
        <f>IFERROR(__xludf.DUMMYFUNCTION("""COMPUTED_VALUE"""),"")</f>
        <v/>
      </c>
      <c r="AP954" s="1" t="str">
        <f>IFERROR(__xludf.DUMMYFUNCTION("""COMPUTED_VALUE"""),"")</f>
        <v/>
      </c>
      <c r="AQ954" s="1" t="str">
        <f>IFERROR(__xludf.DUMMYFUNCTION("""COMPUTED_VALUE"""),"05/12/2026")</f>
        <v>05/12/2026</v>
      </c>
      <c r="AR954" s="1" t="str">
        <f>IFERROR(__xludf.DUMMYFUNCTION("""COMPUTED_VALUE"""),"05/12/2026")</f>
        <v>05/12/2026</v>
      </c>
    </row>
    <row r="955">
      <c r="A955" s="1" t="str">
        <f>IFERROR(__xludf.DUMMYFUNCTION("""COMPUTED_VALUE"""),"CyrusOne LLC - Houston West III Data Center")</f>
        <v>CyrusOne LLC - Houston West III Data Center</v>
      </c>
      <c r="B955" s="1" t="str">
        <f>IFERROR(__xludf.DUMMYFUNCTION("""COMPUTED_VALUE"""),"1003 Corporate Centre Dr")</f>
        <v>1003 Corporate Centre Dr</v>
      </c>
      <c r="C955" s="1" t="str">
        <f>IFERROR(__xludf.DUMMYFUNCTION("""COMPUTED_VALUE"""),"Houston")</f>
        <v>Houston</v>
      </c>
      <c r="D955" s="1" t="str">
        <f>IFERROR(__xludf.DUMMYFUNCTION("""COMPUTED_VALUE"""),"TX")</f>
        <v>TX</v>
      </c>
      <c r="E955" s="1" t="str">
        <f>IFERROR(__xludf.DUMMYFUNCTION("""COMPUTED_VALUE"""),"77041")</f>
        <v>77041</v>
      </c>
      <c r="F955" s="1" t="str">
        <f>IFERROR(__xludf.DUMMYFUNCTION("""COMPUTED_VALUE"""),"Harris")</f>
        <v>Harris</v>
      </c>
      <c r="G955" s="1" t="str">
        <f>IFERROR(__xludf.DUMMYFUNCTION("""COMPUTED_VALUE"""),"29.84402")</f>
        <v>29.84402</v>
      </c>
      <c r="H955" s="1" t="str">
        <f>IFERROR(__xludf.DUMMYFUNCTION("""COMPUTED_VALUE"""),"-95.5609")</f>
        <v>-95.5609</v>
      </c>
      <c r="I955" s="1" t="str">
        <f>IFERROR(__xludf.DUMMYFUNCTION("""COMPUTED_VALUE"""),"Operating")</f>
        <v>Operating</v>
      </c>
      <c r="J955" s="1" t="str">
        <f>IFERROR(__xludf.DUMMYFUNCTION("""COMPUTED_VALUE"""),"High")</f>
        <v>High</v>
      </c>
      <c r="K955" s="1" t="str">
        <f>IFERROR(__xludf.DUMMYFUNCTION("""COMPUTED_VALUE"""),"")</f>
        <v/>
      </c>
      <c r="L955" s="1" t="str">
        <f>IFERROR(__xludf.DUMMYFUNCTION("""COMPUTED_VALUE"""),"")</f>
        <v/>
      </c>
      <c r="M955" s="1" t="str">
        <f>IFERROR(__xludf.DUMMYFUNCTION("""COMPUTED_VALUE"""),"")</f>
        <v/>
      </c>
      <c r="N955" s="1" t="str">
        <f>IFERROR(__xludf.DUMMYFUNCTION("""COMPUTED_VALUE"""),"")</f>
        <v/>
      </c>
      <c r="O955" s="1" t="str">
        <f>IFERROR(__xludf.DUMMYFUNCTION("""COMPUTED_VALUE"""),"Unknown")</f>
        <v>Unknown</v>
      </c>
      <c r="P955" s="1" t="str">
        <f>IFERROR(__xludf.DUMMYFUNCTION("""COMPUTED_VALUE"""),"")</f>
        <v/>
      </c>
      <c r="Q955" s="1" t="str">
        <f>IFERROR(__xludf.DUMMYFUNCTION("""COMPUTED_VALUE"""),"")</f>
        <v/>
      </c>
      <c r="R955" s="1" t="str">
        <f>IFERROR(__xludf.DUMMYFUNCTION("""COMPUTED_VALUE"""),"")</f>
        <v/>
      </c>
      <c r="S955" s="1" t="str">
        <f>IFERROR(__xludf.DUMMYFUNCTION("""COMPUTED_VALUE"""),"")</f>
        <v/>
      </c>
      <c r="T955" s="1" t="str">
        <f>IFERROR(__xludf.DUMMYFUNCTION("""COMPUTED_VALUE"""),"")</f>
        <v/>
      </c>
      <c r="U955" s="1" t="str">
        <f>IFERROR(__xludf.DUMMYFUNCTION("""COMPUTED_VALUE"""),"")</f>
        <v/>
      </c>
      <c r="V955" s="1" t="str">
        <f>IFERROR(__xludf.DUMMYFUNCTION("""COMPUTED_VALUE"""),"")</f>
        <v/>
      </c>
      <c r="W955" s="1" t="str">
        <f>IFERROR(__xludf.DUMMYFUNCTION("""COMPUTED_VALUE"""),"")</f>
        <v/>
      </c>
      <c r="X955" s="1" t="str">
        <f>IFERROR(__xludf.DUMMYFUNCTION("""COMPUTED_VALUE"""),"")</f>
        <v/>
      </c>
      <c r="Y955" s="1" t="str">
        <f>IFERROR(__xludf.DUMMYFUNCTION("""COMPUTED_VALUE"""),"")</f>
        <v/>
      </c>
      <c r="Z955" s="1" t="str">
        <f>IFERROR(__xludf.DUMMYFUNCTION("""COMPUTED_VALUE"""),"Unknown")</f>
        <v>Unknown</v>
      </c>
      <c r="AA955" s="1" t="str">
        <f>IFERROR(__xludf.DUMMYFUNCTION("""COMPUTED_VALUE"""),"")</f>
        <v/>
      </c>
      <c r="AB955" s="1" t="str">
        <f>IFERROR(__xludf.DUMMYFUNCTION("""COMPUTED_VALUE"""),"")</f>
        <v/>
      </c>
      <c r="AC955" s="1" t="str">
        <f>IFERROR(__xludf.DUMMYFUNCTION("""COMPUTED_VALUE"""),"")</f>
        <v/>
      </c>
      <c r="AD955" s="1" t="str">
        <f>IFERROR(__xludf.DUMMYFUNCTION("""COMPUTED_VALUE"""),"")</f>
        <v/>
      </c>
      <c r="AE955" s="1" t="str">
        <f>IFERROR(__xludf.DUMMYFUNCTION("""COMPUTED_VALUE"""),"")</f>
        <v/>
      </c>
      <c r="AF955" s="1" t="str">
        <f>IFERROR(__xludf.DUMMYFUNCTION("""COMPUTED_VALUE"""),"")</f>
        <v/>
      </c>
      <c r="AG955" s="1" t="str">
        <f>IFERROR(__xludf.DUMMYFUNCTION("""COMPUTED_VALUE"""),"")</f>
        <v/>
      </c>
      <c r="AH955" s="1" t="str">
        <f>IFERROR(__xludf.DUMMYFUNCTION("""COMPUTED_VALUE"""),"Media Monitoring")</f>
        <v>Media Monitoring</v>
      </c>
      <c r="AI955" s="2" t="str">
        <f>IFERROR(__xludf.DUMMYFUNCTION("""COMPUTED_VALUE"""),"https://comptroller.texas.gov/taxes/data-centers/data-center-lists.php")</f>
        <v>https://comptroller.texas.gov/taxes/data-centers/data-center-lists.php</v>
      </c>
      <c r="AJ955" s="1" t="str">
        <f>IFERROR(__xludf.DUMMYFUNCTION("""COMPUTED_VALUE"""),"")</f>
        <v/>
      </c>
      <c r="AK955" s="1" t="str">
        <f>IFERROR(__xludf.DUMMYFUNCTION("""COMPUTED_VALUE"""),"")</f>
        <v/>
      </c>
      <c r="AL955" s="1" t="str">
        <f>IFERROR(__xludf.DUMMYFUNCTION("""COMPUTED_VALUE"""),"")</f>
        <v/>
      </c>
      <c r="AM955" s="1" t="str">
        <f>IFERROR(__xludf.DUMMYFUNCTION("""COMPUTED_VALUE"""),"")</f>
        <v/>
      </c>
      <c r="AN955" s="1" t="str">
        <f>IFERROR(__xludf.DUMMYFUNCTION("""COMPUTED_VALUE"""),"")</f>
        <v/>
      </c>
      <c r="AO955" s="1" t="str">
        <f>IFERROR(__xludf.DUMMYFUNCTION("""COMPUTED_VALUE"""),"")</f>
        <v/>
      </c>
      <c r="AP955" s="1" t="str">
        <f>IFERROR(__xludf.DUMMYFUNCTION("""COMPUTED_VALUE"""),"")</f>
        <v/>
      </c>
      <c r="AQ955" s="1" t="str">
        <f>IFERROR(__xludf.DUMMYFUNCTION("""COMPUTED_VALUE"""),"08/05/2025")</f>
        <v>08/05/2025</v>
      </c>
      <c r="AR955" s="1" t="str">
        <f>IFERROR(__xludf.DUMMYFUNCTION("""COMPUTED_VALUE"""),"08/05/2025")</f>
        <v>08/05/2025</v>
      </c>
    </row>
    <row r="956">
      <c r="A956" s="1" t="str">
        <f>IFERROR(__xludf.DUMMYFUNCTION("""COMPUTED_VALUE"""),"Serverfarm Data Center (CTX 1, CTX 2)")</f>
        <v>Serverfarm Data Center (CTX 1, CTX 2)</v>
      </c>
      <c r="B956" s="1" t="str">
        <f>IFERROR(__xludf.DUMMYFUNCTION("""COMPUTED_VALUE"""),"15555 Cutten Rd")</f>
        <v>15555 Cutten Rd</v>
      </c>
      <c r="C956" s="1" t="str">
        <f>IFERROR(__xludf.DUMMYFUNCTION("""COMPUTED_VALUE"""),"Houston")</f>
        <v>Houston</v>
      </c>
      <c r="D956" s="1" t="str">
        <f>IFERROR(__xludf.DUMMYFUNCTION("""COMPUTED_VALUE"""),"TX")</f>
        <v>TX</v>
      </c>
      <c r="E956" s="1" t="str">
        <f>IFERROR(__xludf.DUMMYFUNCTION("""COMPUTED_VALUE"""),"77070")</f>
        <v>77070</v>
      </c>
      <c r="F956" s="1" t="str">
        <f>IFERROR(__xludf.DUMMYFUNCTION("""COMPUTED_VALUE"""),"Harris")</f>
        <v>Harris</v>
      </c>
      <c r="G956" s="1" t="str">
        <f>IFERROR(__xludf.DUMMYFUNCTION("""COMPUTED_VALUE"""),"29.996")</f>
        <v>29.996</v>
      </c>
      <c r="H956" s="1" t="str">
        <f>IFERROR(__xludf.DUMMYFUNCTION("""COMPUTED_VALUE"""),"-95.5633")</f>
        <v>-95.5633</v>
      </c>
      <c r="I956" s="1" t="str">
        <f>IFERROR(__xludf.DUMMYFUNCTION("""COMPUTED_VALUE"""),"Expanding")</f>
        <v>Expanding</v>
      </c>
      <c r="J956" s="1" t="str">
        <f>IFERROR(__xludf.DUMMYFUNCTION("""COMPUTED_VALUE"""),"High")</f>
        <v>High</v>
      </c>
      <c r="K956" s="1" t="str">
        <f>IFERROR(__xludf.DUMMYFUNCTION("""COMPUTED_VALUE"""),"")</f>
        <v/>
      </c>
      <c r="L956" s="1" t="str">
        <f>IFERROR(__xludf.DUMMYFUNCTION("""COMPUTED_VALUE"""),"")</f>
        <v/>
      </c>
      <c r="M956" s="1" t="str">
        <f>IFERROR(__xludf.DUMMYFUNCTION("""COMPUTED_VALUE"""),"")</f>
        <v/>
      </c>
      <c r="N956" s="1" t="str">
        <f>IFERROR(__xludf.DUMMYFUNCTION("""COMPUTED_VALUE"""),"40-100")</f>
        <v>40-100</v>
      </c>
      <c r="O956" s="1" t="str">
        <f>IFERROR(__xludf.DUMMYFUNCTION("""COMPUTED_VALUE"""),"Hyperscale (100-999 MW)")</f>
        <v>Hyperscale (100-999 MW)</v>
      </c>
      <c r="P956" s="1" t="str">
        <f>IFERROR(__xludf.DUMMYFUNCTION("""COMPUTED_VALUE"""),"")</f>
        <v/>
      </c>
      <c r="Q956" s="1" t="str">
        <f>IFERROR(__xludf.DUMMYFUNCTION("""COMPUTED_VALUE"""),"")</f>
        <v/>
      </c>
      <c r="R956" s="1" t="str">
        <f>IFERROR(__xludf.DUMMYFUNCTION("""COMPUTED_VALUE"""),"")</f>
        <v/>
      </c>
      <c r="S956" s="1" t="str">
        <f>IFERROR(__xludf.DUMMYFUNCTION("""COMPUTED_VALUE"""),"")</f>
        <v/>
      </c>
      <c r="T956" s="1" t="str">
        <f>IFERROR(__xludf.DUMMYFUNCTION("""COMPUTED_VALUE"""),"")</f>
        <v/>
      </c>
      <c r="U956" s="1" t="str">
        <f>IFERROR(__xludf.DUMMYFUNCTION("""COMPUTED_VALUE"""),"")</f>
        <v/>
      </c>
      <c r="V956" s="1" t="str">
        <f>IFERROR(__xludf.DUMMYFUNCTION("""COMPUTED_VALUE"""),"500000")</f>
        <v>500000</v>
      </c>
      <c r="W956" s="1" t="str">
        <f>IFERROR(__xludf.DUMMYFUNCTION("""COMPUTED_VALUE"""),"")</f>
        <v/>
      </c>
      <c r="X956" s="1" t="str">
        <f>IFERROR(__xludf.DUMMYFUNCTION("""COMPUTED_VALUE"""),"")</f>
        <v/>
      </c>
      <c r="Y956" s="1" t="str">
        <f>IFERROR(__xludf.DUMMYFUNCTION("""COMPUTED_VALUE"""),"")</f>
        <v/>
      </c>
      <c r="Z956" s="1" t="str">
        <f>IFERROR(__xludf.DUMMYFUNCTION("""COMPUTED_VALUE"""),"Unknown")</f>
        <v>Unknown</v>
      </c>
      <c r="AA956" s="1" t="str">
        <f>IFERROR(__xludf.DUMMYFUNCTION("""COMPUTED_VALUE"""),"")</f>
        <v/>
      </c>
      <c r="AB956" s="1" t="str">
        <f>IFERROR(__xludf.DUMMYFUNCTION("""COMPUTED_VALUE"""),"")</f>
        <v/>
      </c>
      <c r="AC956" s="1" t="str">
        <f>IFERROR(__xludf.DUMMYFUNCTION("""COMPUTED_VALUE"""),"")</f>
        <v/>
      </c>
      <c r="AD956" s="1" t="str">
        <f>IFERROR(__xludf.DUMMYFUNCTION("""COMPUTED_VALUE"""),"")</f>
        <v/>
      </c>
      <c r="AE956" s="1" t="str">
        <f>IFERROR(__xludf.DUMMYFUNCTION("""COMPUTED_VALUE"""),"")</f>
        <v/>
      </c>
      <c r="AF956" s="1" t="str">
        <f>IFERROR(__xludf.DUMMYFUNCTION("""COMPUTED_VALUE"""),"")</f>
        <v/>
      </c>
      <c r="AG956" s="1" t="str">
        <f>IFERROR(__xludf.DUMMYFUNCTION("""COMPUTED_VALUE"""),"")</f>
        <v/>
      </c>
      <c r="AH956" s="1" t="str">
        <f>IFERROR(__xludf.DUMMYFUNCTION("""COMPUTED_VALUE"""),"Media Monitoring")</f>
        <v>Media Monitoring</v>
      </c>
      <c r="AI956" s="2" t="str">
        <f>IFERROR(__xludf.DUMMYFUNCTION("""COMPUTED_VALUE"""),"https://comptroller.texas.gov/taxes/data-centers/data-center-lists.php")</f>
        <v>https://comptroller.texas.gov/taxes/data-centers/data-center-lists.php</v>
      </c>
      <c r="AJ956" s="2" t="str">
        <f>IFERROR(__xludf.DUMMYFUNCTION("""COMPUTED_VALUE"""),"https://www.datacenterdynamics.com/en/news/serverfarm-tops-out-houston-data-center-in-texas/")</f>
        <v>https://www.datacenterdynamics.com/en/news/serverfarm-tops-out-houston-data-center-in-texas/</v>
      </c>
      <c r="AK956" s="1" t="str">
        <f>IFERROR(__xludf.DUMMYFUNCTION("""COMPUTED_VALUE"""),"")</f>
        <v/>
      </c>
      <c r="AL956" s="1" t="str">
        <f>IFERROR(__xludf.DUMMYFUNCTION("""COMPUTED_VALUE"""),"")</f>
        <v/>
      </c>
      <c r="AM956" s="1" t="str">
        <f>IFERROR(__xludf.DUMMYFUNCTION("""COMPUTED_VALUE"""),"")</f>
        <v/>
      </c>
      <c r="AN956" s="1" t="str">
        <f>IFERROR(__xludf.DUMMYFUNCTION("""COMPUTED_VALUE"""),"")</f>
        <v/>
      </c>
      <c r="AO956" s="1" t="str">
        <f>IFERROR(__xludf.DUMMYFUNCTION("""COMPUTED_VALUE"""),"")</f>
        <v/>
      </c>
      <c r="AP956" s="1" t="str">
        <f>IFERROR(__xludf.DUMMYFUNCTION("""COMPUTED_VALUE"""),"")</f>
        <v/>
      </c>
      <c r="AQ956" s="1" t="str">
        <f>IFERROR(__xludf.DUMMYFUNCTION("""COMPUTED_VALUE"""),"08/05/2025")</f>
        <v>08/05/2025</v>
      </c>
      <c r="AR956" s="1" t="str">
        <f>IFERROR(__xludf.DUMMYFUNCTION("""COMPUTED_VALUE"""),"03/04/2026")</f>
        <v>03/04/2026</v>
      </c>
    </row>
    <row r="957">
      <c r="A957" s="1" t="str">
        <f>IFERROR(__xludf.DUMMYFUNCTION("""COMPUTED_VALUE"""),"ENERGY CONTROL &amp; DATA CENTER")</f>
        <v>ENERGY CONTROL &amp; DATA CENTER</v>
      </c>
      <c r="B957" s="1" t="str">
        <f>IFERROR(__xludf.DUMMYFUNCTION("""COMPUTED_VALUE"""),"16303 TOMBALL PKWY")</f>
        <v>16303 TOMBALL PKWY</v>
      </c>
      <c r="C957" s="1" t="str">
        <f>IFERROR(__xludf.DUMMYFUNCTION("""COMPUTED_VALUE"""),"HOUSTON")</f>
        <v>HOUSTON</v>
      </c>
      <c r="D957" s="1" t="str">
        <f>IFERROR(__xludf.DUMMYFUNCTION("""COMPUTED_VALUE"""),"TX")</f>
        <v>TX</v>
      </c>
      <c r="E957" s="1" t="str">
        <f>IFERROR(__xludf.DUMMYFUNCTION("""COMPUTED_VALUE"""),"77064")</f>
        <v>77064</v>
      </c>
      <c r="F957" s="1" t="str">
        <f>IFERROR(__xludf.DUMMYFUNCTION("""COMPUTED_VALUE"""),"Harris")</f>
        <v>Harris</v>
      </c>
      <c r="G957" s="1" t="str">
        <f>IFERROR(__xludf.DUMMYFUNCTION("""COMPUTED_VALUE"""),"29.94515")</f>
        <v>29.94515</v>
      </c>
      <c r="H957" s="1" t="str">
        <f>IFERROR(__xludf.DUMMYFUNCTION("""COMPUTED_VALUE"""),"-95.5388")</f>
        <v>-95.5388</v>
      </c>
      <c r="I957" s="1" t="str">
        <f>IFERROR(__xludf.DUMMYFUNCTION("""COMPUTED_VALUE"""),"Operating")</f>
        <v>Operating</v>
      </c>
      <c r="J957" s="1" t="str">
        <f>IFERROR(__xludf.DUMMYFUNCTION("""COMPUTED_VALUE"""),"High")</f>
        <v>High</v>
      </c>
      <c r="K957" s="1" t="str">
        <f>IFERROR(__xludf.DUMMYFUNCTION("""COMPUTED_VALUE"""),"")</f>
        <v/>
      </c>
      <c r="L957" s="1" t="str">
        <f>IFERROR(__xludf.DUMMYFUNCTION("""COMPUTED_VALUE"""),"")</f>
        <v/>
      </c>
      <c r="M957" s="1" t="str">
        <f>IFERROR(__xludf.DUMMYFUNCTION("""COMPUTED_VALUE"""),"")</f>
        <v/>
      </c>
      <c r="N957" s="1" t="str">
        <f>IFERROR(__xludf.DUMMYFUNCTION("""COMPUTED_VALUE"""),"")</f>
        <v/>
      </c>
      <c r="O957" s="1" t="str">
        <f>IFERROR(__xludf.DUMMYFUNCTION("""COMPUTED_VALUE"""),"Unknown")</f>
        <v>Unknown</v>
      </c>
      <c r="P957" s="1" t="str">
        <f>IFERROR(__xludf.DUMMYFUNCTION("""COMPUTED_VALUE"""),"")</f>
        <v/>
      </c>
      <c r="Q957" s="1" t="str">
        <f>IFERROR(__xludf.DUMMYFUNCTION("""COMPUTED_VALUE"""),"")</f>
        <v/>
      </c>
      <c r="R957" s="1" t="str">
        <f>IFERROR(__xludf.DUMMYFUNCTION("""COMPUTED_VALUE"""),"")</f>
        <v/>
      </c>
      <c r="S957" s="1" t="str">
        <f>IFERROR(__xludf.DUMMYFUNCTION("""COMPUTED_VALUE"""),"")</f>
        <v/>
      </c>
      <c r="T957" s="1" t="str">
        <f>IFERROR(__xludf.DUMMYFUNCTION("""COMPUTED_VALUE"""),"")</f>
        <v/>
      </c>
      <c r="U957" s="1" t="str">
        <f>IFERROR(__xludf.DUMMYFUNCTION("""COMPUTED_VALUE"""),"")</f>
        <v/>
      </c>
      <c r="V957" s="1" t="str">
        <f>IFERROR(__xludf.DUMMYFUNCTION("""COMPUTED_VALUE"""),"")</f>
        <v/>
      </c>
      <c r="W957" s="1" t="str">
        <f>IFERROR(__xludf.DUMMYFUNCTION("""COMPUTED_VALUE"""),"")</f>
        <v/>
      </c>
      <c r="X957" s="1" t="str">
        <f>IFERROR(__xludf.DUMMYFUNCTION("""COMPUTED_VALUE"""),"")</f>
        <v/>
      </c>
      <c r="Y957" s="1" t="str">
        <f>IFERROR(__xludf.DUMMYFUNCTION("""COMPUTED_VALUE"""),"")</f>
        <v/>
      </c>
      <c r="Z957" s="1" t="str">
        <f>IFERROR(__xludf.DUMMYFUNCTION("""COMPUTED_VALUE"""),"Unknown")</f>
        <v>Unknown</v>
      </c>
      <c r="AA957" s="1" t="str">
        <f>IFERROR(__xludf.DUMMYFUNCTION("""COMPUTED_VALUE"""),"")</f>
        <v/>
      </c>
      <c r="AB957" s="1" t="str">
        <f>IFERROR(__xludf.DUMMYFUNCTION("""COMPUTED_VALUE"""),"")</f>
        <v/>
      </c>
      <c r="AC957" s="1" t="str">
        <f>IFERROR(__xludf.DUMMYFUNCTION("""COMPUTED_VALUE"""),"")</f>
        <v/>
      </c>
      <c r="AD957" s="1" t="str">
        <f>IFERROR(__xludf.DUMMYFUNCTION("""COMPUTED_VALUE"""),"")</f>
        <v/>
      </c>
      <c r="AE957" s="1" t="str">
        <f>IFERROR(__xludf.DUMMYFUNCTION("""COMPUTED_VALUE"""),"")</f>
        <v/>
      </c>
      <c r="AF957" s="1" t="str">
        <f>IFERROR(__xludf.DUMMYFUNCTION("""COMPUTED_VALUE"""),"")</f>
        <v/>
      </c>
      <c r="AG957" s="1" t="str">
        <f>IFERROR(__xludf.DUMMYFUNCTION("""COMPUTED_VALUE"""),"FULLY REGULATED")</f>
        <v>FULLY REGULATED</v>
      </c>
      <c r="AH957" s="1" t="str">
        <f>IFERROR(__xludf.DUMMYFUNCTION("""COMPUTED_VALUE"""),"Media Monitoring")</f>
        <v>Media Monitoring</v>
      </c>
      <c r="AI957" s="2" t="str">
        <f>IFERROR(__xludf.DUMMYFUNCTION("""COMPUTED_VALUE"""),"https://gis-tceq.opendata.arcgis.com/datasets/daece6e3181140f69093ab69cf9ae0ba/explore?layer=0&amp;showTable=true")</f>
        <v>https://gis-tceq.opendata.arcgis.com/datasets/daece6e3181140f69093ab69cf9ae0ba/explore?layer=0&amp;showTable=true</v>
      </c>
      <c r="AJ957" s="1" t="str">
        <f>IFERROR(__xludf.DUMMYFUNCTION("""COMPUTED_VALUE"""),"")</f>
        <v/>
      </c>
      <c r="AK957" s="1" t="str">
        <f>IFERROR(__xludf.DUMMYFUNCTION("""COMPUTED_VALUE"""),"")</f>
        <v/>
      </c>
      <c r="AL957" s="1" t="str">
        <f>IFERROR(__xludf.DUMMYFUNCTION("""COMPUTED_VALUE"""),"")</f>
        <v/>
      </c>
      <c r="AM957" s="1" t="str">
        <f>IFERROR(__xludf.DUMMYFUNCTION("""COMPUTED_VALUE"""),"")</f>
        <v/>
      </c>
      <c r="AN957" s="1" t="str">
        <f>IFERROR(__xludf.DUMMYFUNCTION("""COMPUTED_VALUE"""),"")</f>
        <v/>
      </c>
      <c r="AO957" s="1" t="str">
        <f>IFERROR(__xludf.DUMMYFUNCTION("""COMPUTED_VALUE"""),"")</f>
        <v/>
      </c>
      <c r="AP957" s="1" t="str">
        <f>IFERROR(__xludf.DUMMYFUNCTION("""COMPUTED_VALUE"""),"")</f>
        <v/>
      </c>
      <c r="AQ957" s="1" t="str">
        <f>IFERROR(__xludf.DUMMYFUNCTION("""COMPUTED_VALUE"""),"08/05/2025")</f>
        <v>08/05/2025</v>
      </c>
      <c r="AR957" s="1" t="str">
        <f>IFERROR(__xludf.DUMMYFUNCTION("""COMPUTED_VALUE"""),"08/05/2025")</f>
        <v>08/05/2025</v>
      </c>
    </row>
    <row r="958">
      <c r="A958" s="1" t="str">
        <f>IFERROR(__xludf.DUMMYFUNCTION("""COMPUTED_VALUE"""),"Nexus Data Center: Apex DFW HB1 and HB2")</f>
        <v>Nexus Data Center: Apex DFW HB1 and HB2</v>
      </c>
      <c r="B958" s="1" t="str">
        <f>IFERROR(__xludf.DUMMYFUNCTION("""COMPUTED_VALUE"""),"357 HCR 3372")</f>
        <v>357 HCR 3372</v>
      </c>
      <c r="C958" s="1" t="str">
        <f>IFERROR(__xludf.DUMMYFUNCTION("""COMPUTED_VALUE"""),"Hubbard")</f>
        <v>Hubbard</v>
      </c>
      <c r="D958" s="1" t="str">
        <f>IFERROR(__xludf.DUMMYFUNCTION("""COMPUTED_VALUE"""),"TX")</f>
        <v>TX</v>
      </c>
      <c r="E958" s="1" t="str">
        <f>IFERROR(__xludf.DUMMYFUNCTION("""COMPUTED_VALUE"""),"76648")</f>
        <v>76648</v>
      </c>
      <c r="F958" s="1" t="str">
        <f>IFERROR(__xludf.DUMMYFUNCTION("""COMPUTED_VALUE"""),"Hill")</f>
        <v>Hill</v>
      </c>
      <c r="G958" s="1" t="str">
        <f>IFERROR(__xludf.DUMMYFUNCTION("""COMPUTED_VALUE"""),"31.823338")</f>
        <v>31.823338</v>
      </c>
      <c r="H958" s="1" t="str">
        <f>IFERROR(__xludf.DUMMYFUNCTION("""COMPUTED_VALUE"""),"-96.74779")</f>
        <v>-96.74779</v>
      </c>
      <c r="I958" s="1" t="str">
        <f>IFERROR(__xludf.DUMMYFUNCTION("""COMPUTED_VALUE"""),"Proposed")</f>
        <v>Proposed</v>
      </c>
      <c r="J958" s="1" t="str">
        <f>IFERROR(__xludf.DUMMYFUNCTION("""COMPUTED_VALUE"""),"High")</f>
        <v>High</v>
      </c>
      <c r="K958" s="1" t="str">
        <f>IFERROR(__xludf.DUMMYFUNCTION("""COMPUTED_VALUE"""),"")</f>
        <v/>
      </c>
      <c r="L958" s="1" t="str">
        <f>IFERROR(__xludf.DUMMYFUNCTION("""COMPUTED_VALUE"""),"")</f>
        <v/>
      </c>
      <c r="M958" s="1" t="str">
        <f>IFERROR(__xludf.DUMMYFUNCTION("""COMPUTED_VALUE"""),"")</f>
        <v/>
      </c>
      <c r="N958" s="1" t="str">
        <f>IFERROR(__xludf.DUMMYFUNCTION("""COMPUTED_VALUE"""),"600")</f>
        <v>600</v>
      </c>
      <c r="O958" s="1" t="str">
        <f>IFERROR(__xludf.DUMMYFUNCTION("""COMPUTED_VALUE"""),"Mega campus (&gt;1,000 MW)")</f>
        <v>Mega campus (&gt;1,000 MW)</v>
      </c>
      <c r="P958" s="1" t="str">
        <f>IFERROR(__xludf.DUMMYFUNCTION("""COMPUTED_VALUE"""),"")</f>
        <v/>
      </c>
      <c r="Q958" s="1" t="str">
        <f>IFERROR(__xludf.DUMMYFUNCTION("""COMPUTED_VALUE"""),"")</f>
        <v/>
      </c>
      <c r="R958" s="1" t="str">
        <f>IFERROR(__xludf.DUMMYFUNCTION("""COMPUTED_VALUE"""),"")</f>
        <v/>
      </c>
      <c r="S958" s="1" t="str">
        <f>IFERROR(__xludf.DUMMYFUNCTION("""COMPUTED_VALUE"""),"2")</f>
        <v>2</v>
      </c>
      <c r="T958" s="1" t="str">
        <f>IFERROR(__xludf.DUMMYFUNCTION("""COMPUTED_VALUE"""),"")</f>
        <v/>
      </c>
      <c r="U958" s="1" t="str">
        <f>IFERROR(__xludf.DUMMYFUNCTION("""COMPUTED_VALUE"""),"")</f>
        <v/>
      </c>
      <c r="V958" s="1" t="str">
        <f>IFERROR(__xludf.DUMMYFUNCTION("""COMPUTED_VALUE"""),"983,000")</f>
        <v>983,000</v>
      </c>
      <c r="W958" s="1" t="str">
        <f>IFERROR(__xludf.DUMMYFUNCTION("""COMPUTED_VALUE"""),"2900")</f>
        <v>2900</v>
      </c>
      <c r="X958" s="1" t="str">
        <f>IFERROR(__xludf.DUMMYFUNCTION("""COMPUTED_VALUE"""),"$400 million")</f>
        <v>$400 million</v>
      </c>
      <c r="Y958" s="1" t="str">
        <f>IFERROR(__xludf.DUMMYFUNCTION("""COMPUTED_VALUE"""),"2027")</f>
        <v>2027</v>
      </c>
      <c r="Z958" s="1" t="str">
        <f>IFERROR(__xludf.DUMMYFUNCTION("""COMPUTED_VALUE"""),"Unknown")</f>
        <v>Unknown</v>
      </c>
      <c r="AA958" s="1" t="str">
        <f>IFERROR(__xludf.DUMMYFUNCTION("""COMPUTED_VALUE"""),"")</f>
        <v/>
      </c>
      <c r="AB958" s="1" t="str">
        <f>IFERROR(__xludf.DUMMYFUNCTION("""COMPUTED_VALUE"""),"")</f>
        <v/>
      </c>
      <c r="AC958" s="1" t="str">
        <f>IFERROR(__xludf.DUMMYFUNCTION("""COMPUTED_VALUE"""),"")</f>
        <v/>
      </c>
      <c r="AD958" s="1" t="str">
        <f>IFERROR(__xludf.DUMMYFUNCTION("""COMPUTED_VALUE"""),"")</f>
        <v/>
      </c>
      <c r="AE958" s="1" t="str">
        <f>IFERROR(__xludf.DUMMYFUNCTION("""COMPUTED_VALUE"""),"")</f>
        <v/>
      </c>
      <c r="AF958" s="1" t="str">
        <f>IFERROR(__xludf.DUMMYFUNCTION("""COMPUTED_VALUE"""),"")</f>
        <v/>
      </c>
      <c r="AG958" s="1" t="str">
        <f>IFERROR(__xludf.DUMMYFUNCTION("""COMPUTED_VALUE"""),"")</f>
        <v/>
      </c>
      <c r="AH958" s="1" t="str">
        <f>IFERROR(__xludf.DUMMYFUNCTION("""COMPUTED_VALUE"""),"Media Monitoring")</f>
        <v>Media Monitoring</v>
      </c>
      <c r="AI958" s="2" t="str">
        <f>IFERROR(__xludf.DUMMYFUNCTION("""COMPUTED_VALUE"""),"https://www.datacenterdynamics.com/en/news/600mw-natural-gas-powered-data-center-campus-proposed-in-hubbard-texas/")</f>
        <v>https://www.datacenterdynamics.com/en/news/600mw-natural-gas-powered-data-center-campus-proposed-in-hubbard-texas/</v>
      </c>
      <c r="AJ958" s="2" t="str">
        <f>IFERROR(__xludf.DUMMYFUNCTION("""COMPUTED_VALUE"""),"https://www.datacenterdynamics.com/en/news/nexus-dc-files-to-develop-data-center-in-dallas-texas/")</f>
        <v>https://www.datacenterdynamics.com/en/news/nexus-dc-files-to-develop-data-center-in-dallas-texas/</v>
      </c>
      <c r="AK958" s="2" t="str">
        <f>IFERROR(__xludf.DUMMYFUNCTION("""COMPUTED_VALUE"""),"https://www.datacenterdynamics.com/en/news/nexus-dc-files-to-develop-second-data-center-outside-dallas-texas/")</f>
        <v>https://www.datacenterdynamics.com/en/news/nexus-dc-files-to-develop-second-data-center-outside-dallas-texas/</v>
      </c>
      <c r="AL958" s="1" t="str">
        <f>IFERROR(__xludf.DUMMYFUNCTION("""COMPUTED_VALUE"""),"")</f>
        <v/>
      </c>
      <c r="AM958" s="1" t="str">
        <f>IFERROR(__xludf.DUMMYFUNCTION("""COMPUTED_VALUE"""),"")</f>
        <v/>
      </c>
      <c r="AN958" s="1" t="str">
        <f>IFERROR(__xludf.DUMMYFUNCTION("""COMPUTED_VALUE"""),"")</f>
        <v/>
      </c>
      <c r="AO958" s="1" t="str">
        <f>IFERROR(__xludf.DUMMYFUNCTION("""COMPUTED_VALUE"""),"")</f>
        <v/>
      </c>
      <c r="AP958" s="1" t="str">
        <f>IFERROR(__xludf.DUMMYFUNCTION("""COMPUTED_VALUE"""),"")</f>
        <v/>
      </c>
      <c r="AQ958" s="1" t="str">
        <f>IFERROR(__xludf.DUMMYFUNCTION("""COMPUTED_VALUE"""),"12/08/2025")</f>
        <v>12/08/2025</v>
      </c>
      <c r="AR958" s="1" t="str">
        <f>IFERROR(__xludf.DUMMYFUNCTION("""COMPUTED_VALUE"""),"07/14/2026")</f>
        <v>07/14/2026</v>
      </c>
    </row>
    <row r="959">
      <c r="A959" s="1" t="str">
        <f>IFERROR(__xludf.DUMMYFUNCTION("""COMPUTED_VALUE"""),"Iron Mountain Data Center")</f>
        <v>Iron Mountain Data Center</v>
      </c>
      <c r="B959" s="1" t="str">
        <f>IFERROR(__xludf.DUMMYFUNCTION("""COMPUTED_VALUE"""),"FM3499")</f>
        <v>FM3499</v>
      </c>
      <c r="C959" s="1" t="str">
        <f>IFERROR(__xludf.DUMMYFUNCTION("""COMPUTED_VALUE"""),"Hutto")</f>
        <v>Hutto</v>
      </c>
      <c r="D959" s="1" t="str">
        <f>IFERROR(__xludf.DUMMYFUNCTION("""COMPUTED_VALUE"""),"TX")</f>
        <v>TX</v>
      </c>
      <c r="E959" s="1" t="str">
        <f>IFERROR(__xludf.DUMMYFUNCTION("""COMPUTED_VALUE"""),"78634")</f>
        <v>78634</v>
      </c>
      <c r="F959" s="1" t="str">
        <f>IFERROR(__xludf.DUMMYFUNCTION("""COMPUTED_VALUE"""),"Williamson")</f>
        <v>Williamson</v>
      </c>
      <c r="G959" s="1" t="str">
        <f>IFERROR(__xludf.DUMMYFUNCTION("""COMPUTED_VALUE"""),"30.512888")</f>
        <v>30.512888</v>
      </c>
      <c r="H959" s="1" t="str">
        <f>IFERROR(__xludf.DUMMYFUNCTION("""COMPUTED_VALUE"""),"-97.489456")</f>
        <v>-97.489456</v>
      </c>
      <c r="I959" s="1" t="str">
        <f>IFERROR(__xludf.DUMMYFUNCTION("""COMPUTED_VALUE"""),"Proposed")</f>
        <v>Proposed</v>
      </c>
      <c r="J959" s="1" t="str">
        <f>IFERROR(__xludf.DUMMYFUNCTION("""COMPUTED_VALUE"""),"Medium")</f>
        <v>Medium</v>
      </c>
      <c r="K959" s="1" t="str">
        <f>IFERROR(__xludf.DUMMYFUNCTION("""COMPUTED_VALUE"""),"")</f>
        <v/>
      </c>
      <c r="L959" s="1" t="str">
        <f>IFERROR(__xludf.DUMMYFUNCTION("""COMPUTED_VALUE"""),"")</f>
        <v/>
      </c>
      <c r="M959" s="1" t="str">
        <f>IFERROR(__xludf.DUMMYFUNCTION("""COMPUTED_VALUE"""),"")</f>
        <v/>
      </c>
      <c r="N959" s="1" t="str">
        <f>IFERROR(__xludf.DUMMYFUNCTION("""COMPUTED_VALUE"""),"")</f>
        <v/>
      </c>
      <c r="O959" s="1" t="str">
        <f>IFERROR(__xludf.DUMMYFUNCTION("""COMPUTED_VALUE"""),"Hyperscale (100-999 MW)")</f>
        <v>Hyperscale (100-999 MW)</v>
      </c>
      <c r="P959" s="1" t="str">
        <f>IFERROR(__xludf.DUMMYFUNCTION("""COMPUTED_VALUE"""),"")</f>
        <v/>
      </c>
      <c r="Q959" s="1" t="str">
        <f>IFERROR(__xludf.DUMMYFUNCTION("""COMPUTED_VALUE"""),"")</f>
        <v/>
      </c>
      <c r="R959" s="1" t="str">
        <f>IFERROR(__xludf.DUMMYFUNCTION("""COMPUTED_VALUE"""),"")</f>
        <v/>
      </c>
      <c r="S959" s="1" t="str">
        <f>IFERROR(__xludf.DUMMYFUNCTION("""COMPUTED_VALUE"""),"7")</f>
        <v>7</v>
      </c>
      <c r="T959" s="1" t="str">
        <f>IFERROR(__xludf.DUMMYFUNCTION("""COMPUTED_VALUE"""),"")</f>
        <v/>
      </c>
      <c r="U959" s="1" t="str">
        <f>IFERROR(__xludf.DUMMYFUNCTION("""COMPUTED_VALUE"""),"Closed loop")</f>
        <v>Closed loop</v>
      </c>
      <c r="V959" s="1" t="str">
        <f>IFERROR(__xludf.DUMMYFUNCTION("""COMPUTED_VALUE"""),"")</f>
        <v/>
      </c>
      <c r="W959" s="1" t="str">
        <f>IFERROR(__xludf.DUMMYFUNCTION("""COMPUTED_VALUE"""),"500")</f>
        <v>500</v>
      </c>
      <c r="X959" s="1" t="str">
        <f>IFERROR(__xludf.DUMMYFUNCTION("""COMPUTED_VALUE"""),"")</f>
        <v/>
      </c>
      <c r="Y959" s="1" t="str">
        <f>IFERROR(__xludf.DUMMYFUNCTION("""COMPUTED_VALUE"""),"2030")</f>
        <v>2030</v>
      </c>
      <c r="Z959" s="1" t="str">
        <f>IFERROR(__xludf.DUMMYFUNCTION("""COMPUTED_VALUE"""),"Unknown")</f>
        <v>Unknown</v>
      </c>
      <c r="AA959" s="1" t="str">
        <f>IFERROR(__xludf.DUMMYFUNCTION("""COMPUTED_VALUE"""),"")</f>
        <v/>
      </c>
      <c r="AB959" s="1" t="str">
        <f>IFERROR(__xludf.DUMMYFUNCTION("""COMPUTED_VALUE"""),"")</f>
        <v/>
      </c>
      <c r="AC959" s="1" t="str">
        <f>IFERROR(__xludf.DUMMYFUNCTION("""COMPUTED_VALUE"""),"")</f>
        <v/>
      </c>
      <c r="AD959" s="1" t="str">
        <f>IFERROR(__xludf.DUMMYFUNCTION("""COMPUTED_VALUE"""),"")</f>
        <v/>
      </c>
      <c r="AE959" s="1" t="str">
        <f>IFERROR(__xludf.DUMMYFUNCTION("""COMPUTED_VALUE"""),"")</f>
        <v/>
      </c>
      <c r="AF959" s="1" t="str">
        <f>IFERROR(__xludf.DUMMYFUNCTION("""COMPUTED_VALUE"""),"")</f>
        <v/>
      </c>
      <c r="AG959" s="1" t="str">
        <f>IFERROR(__xludf.DUMMYFUNCTION("""COMPUTED_VALUE"""),"Some energy possibly from behind the meter")</f>
        <v>Some energy possibly from behind the meter</v>
      </c>
      <c r="AH959" s="1" t="str">
        <f>IFERROR(__xludf.DUMMYFUNCTION("""COMPUTED_VALUE"""),"Media Monitoring")</f>
        <v>Media Monitoring</v>
      </c>
      <c r="AI959" s="2" t="str">
        <f>IFERROR(__xludf.DUMMYFUNCTION("""COMPUTED_VALUE"""),"https://www.datacenterdynamics.com/en/news/iron-mountain-eyes-seven-building-data-center-campus-outside-austin-texas/")</f>
        <v>https://www.datacenterdynamics.com/en/news/iron-mountain-eyes-seven-building-data-center-campus-outside-austin-texas/</v>
      </c>
      <c r="AJ959" s="1" t="str">
        <f>IFERROR(__xludf.DUMMYFUNCTION("""COMPUTED_VALUE"""),"")</f>
        <v/>
      </c>
      <c r="AK959" s="1" t="str">
        <f>IFERROR(__xludf.DUMMYFUNCTION("""COMPUTED_VALUE"""),"")</f>
        <v/>
      </c>
      <c r="AL959" s="1" t="str">
        <f>IFERROR(__xludf.DUMMYFUNCTION("""COMPUTED_VALUE"""),"")</f>
        <v/>
      </c>
      <c r="AM959" s="1" t="str">
        <f>IFERROR(__xludf.DUMMYFUNCTION("""COMPUTED_VALUE"""),"")</f>
        <v/>
      </c>
      <c r="AN959" s="1" t="str">
        <f>IFERROR(__xludf.DUMMYFUNCTION("""COMPUTED_VALUE"""),"")</f>
        <v/>
      </c>
      <c r="AO959" s="1" t="str">
        <f>IFERROR(__xludf.DUMMYFUNCTION("""COMPUTED_VALUE"""),"")</f>
        <v/>
      </c>
      <c r="AP959" s="1" t="str">
        <f>IFERROR(__xludf.DUMMYFUNCTION("""COMPUTED_VALUE"""),"")</f>
        <v/>
      </c>
      <c r="AQ959" s="1" t="str">
        <f>IFERROR(__xludf.DUMMYFUNCTION("""COMPUTED_VALUE"""),"03/20/2026")</f>
        <v>03/20/2026</v>
      </c>
      <c r="AR959" s="1" t="str">
        <f>IFERROR(__xludf.DUMMYFUNCTION("""COMPUTED_VALUE"""),"03/20/2026")</f>
        <v>03/20/2026</v>
      </c>
    </row>
    <row r="960">
      <c r="A960" s="1" t="str">
        <f>IFERROR(__xludf.DUMMYFUNCTION("""COMPUTED_VALUE"""),"Project Hutto")</f>
        <v>Project Hutto</v>
      </c>
      <c r="B960" s="1" t="str">
        <f>IFERROR(__xludf.DUMMYFUNCTION("""COMPUTED_VALUE"""),"County Road 119 and Limmer Loop")</f>
        <v>County Road 119 and Limmer Loop</v>
      </c>
      <c r="C960" s="1" t="str">
        <f>IFERROR(__xludf.DUMMYFUNCTION("""COMPUTED_VALUE"""),"Hutto")</f>
        <v>Hutto</v>
      </c>
      <c r="D960" s="1" t="str">
        <f>IFERROR(__xludf.DUMMYFUNCTION("""COMPUTED_VALUE"""),"TX")</f>
        <v>TX</v>
      </c>
      <c r="E960" s="1" t="str">
        <f>IFERROR(__xludf.DUMMYFUNCTION("""COMPUTED_VALUE"""),"78634")</f>
        <v>78634</v>
      </c>
      <c r="F960" s="1" t="str">
        <f>IFERROR(__xludf.DUMMYFUNCTION("""COMPUTED_VALUE"""),"Williamson")</f>
        <v>Williamson</v>
      </c>
      <c r="G960" s="1" t="str">
        <f>IFERROR(__xludf.DUMMYFUNCTION("""COMPUTED_VALUE"""),"30.556295")</f>
        <v>30.556295</v>
      </c>
      <c r="H960" s="1" t="str">
        <f>IFERROR(__xludf.DUMMYFUNCTION("""COMPUTED_VALUE"""),"-97.55823")</f>
        <v>-97.55823</v>
      </c>
      <c r="I960" s="1" t="str">
        <f>IFERROR(__xludf.DUMMYFUNCTION("""COMPUTED_VALUE"""),"Cancelled")</f>
        <v>Cancelled</v>
      </c>
      <c r="J960" s="1" t="str">
        <f>IFERROR(__xludf.DUMMYFUNCTION("""COMPUTED_VALUE"""),"High")</f>
        <v>High</v>
      </c>
      <c r="K960" s="1" t="str">
        <f>IFERROR(__xludf.DUMMYFUNCTION("""COMPUTED_VALUE"""),"")</f>
        <v/>
      </c>
      <c r="L960" s="1" t="str">
        <f>IFERROR(__xludf.DUMMYFUNCTION("""COMPUTED_VALUE"""),"")</f>
        <v/>
      </c>
      <c r="M960" s="1" t="str">
        <f>IFERROR(__xludf.DUMMYFUNCTION("""COMPUTED_VALUE"""),"")</f>
        <v/>
      </c>
      <c r="N960" s="1" t="str">
        <f>IFERROR(__xludf.DUMMYFUNCTION("""COMPUTED_VALUE"""),"70")</f>
        <v>70</v>
      </c>
      <c r="O960" s="1" t="str">
        <f>IFERROR(__xludf.DUMMYFUNCTION("""COMPUTED_VALUE"""),"Large (51-99 MW)")</f>
        <v>Large (51-99 MW)</v>
      </c>
      <c r="P960" s="1" t="str">
        <f>IFERROR(__xludf.DUMMYFUNCTION("""COMPUTED_VALUE"""),"")</f>
        <v/>
      </c>
      <c r="Q960" s="1" t="str">
        <f>IFERROR(__xludf.DUMMYFUNCTION("""COMPUTED_VALUE"""),"")</f>
        <v/>
      </c>
      <c r="R960" s="1" t="str">
        <f>IFERROR(__xludf.DUMMYFUNCTION("""COMPUTED_VALUE"""),"")</f>
        <v/>
      </c>
      <c r="S960" s="1" t="str">
        <f>IFERROR(__xludf.DUMMYFUNCTION("""COMPUTED_VALUE"""),"")</f>
        <v/>
      </c>
      <c r="T960" s="1" t="str">
        <f>IFERROR(__xludf.DUMMYFUNCTION("""COMPUTED_VALUE"""),"")</f>
        <v/>
      </c>
      <c r="U960" s="1" t="str">
        <f>IFERROR(__xludf.DUMMYFUNCTION("""COMPUTED_VALUE"""),"")</f>
        <v/>
      </c>
      <c r="V960" s="1" t="str">
        <f>IFERROR(__xludf.DUMMYFUNCTION("""COMPUTED_VALUE"""),"950,000")</f>
        <v>950,000</v>
      </c>
      <c r="W960" s="1" t="str">
        <f>IFERROR(__xludf.DUMMYFUNCTION("""COMPUTED_VALUE"""),"40")</f>
        <v>40</v>
      </c>
      <c r="X960" s="1" t="str">
        <f>IFERROR(__xludf.DUMMYFUNCTION("""COMPUTED_VALUE"""),"")</f>
        <v/>
      </c>
      <c r="Y960" s="1" t="str">
        <f>IFERROR(__xludf.DUMMYFUNCTION("""COMPUTED_VALUE"""),"")</f>
        <v/>
      </c>
      <c r="Z960" s="1" t="str">
        <f>IFERROR(__xludf.DUMMYFUNCTION("""COMPUTED_VALUE"""),"Yes")</f>
        <v>Yes</v>
      </c>
      <c r="AA960" s="1" t="str">
        <f>IFERROR(__xludf.DUMMYFUNCTION("""COMPUTED_VALUE"""),"")</f>
        <v/>
      </c>
      <c r="AB960" s="1" t="str">
        <f>IFERROR(__xludf.DUMMYFUNCTION("""COMPUTED_VALUE"""),"")</f>
        <v/>
      </c>
      <c r="AC960" s="1" t="str">
        <f>IFERROR(__xludf.DUMMYFUNCTION("""COMPUTED_VALUE"""),"")</f>
        <v/>
      </c>
      <c r="AD960" s="1" t="str">
        <f>IFERROR(__xludf.DUMMYFUNCTION("""COMPUTED_VALUE"""),"Stop The Hutto County Data Center")</f>
        <v>Stop The Hutto County Data Center</v>
      </c>
      <c r="AE960" s="1" t="str">
        <f>IFERROR(__xludf.DUMMYFUNCTION("""COMPUTED_VALUE"""),"")</f>
        <v/>
      </c>
      <c r="AF960" s="1" t="str">
        <f>IFERROR(__xludf.DUMMYFUNCTION("""COMPUTED_VALUE"""),"")</f>
        <v/>
      </c>
      <c r="AG960" s="1" t="str">
        <f>IFERROR(__xludf.DUMMYFUNCTION("""COMPUTED_VALUE"""),"")</f>
        <v/>
      </c>
      <c r="AH960" s="1" t="str">
        <f>IFERROR(__xludf.DUMMYFUNCTION("""COMPUTED_VALUE"""),"Media Monitoring")</f>
        <v>Media Monitoring</v>
      </c>
      <c r="AI960" s="2" t="str">
        <f>IFERROR(__xludf.DUMMYFUNCTION("""COMPUTED_VALUE"""),"https://www.datacenterdynamics.com/en/news/950000-sq-ft-data-center-proposed-for-hutto-texas/")</f>
        <v>https://www.datacenterdynamics.com/en/news/950000-sq-ft-data-center-proposed-for-hutto-texas/</v>
      </c>
      <c r="AJ960" s="2" t="str">
        <f>IFERROR(__xludf.DUMMYFUNCTION("""COMPUTED_VALUE"""),"https://www.datacenterdynamics.com/en/news/developer-withdraws-application-for-70mw-data-center-in-hutto-texas/")</f>
        <v>https://www.datacenterdynamics.com/en/news/developer-withdraws-application-for-70mw-data-center-in-hutto-texas/</v>
      </c>
      <c r="AK960" s="2" t="str">
        <f>IFERROR(__xludf.DUMMYFUNCTION("""COMPUTED_VALUE"""),"https://www.kxan.com/news/local/hutto/hutto-residents-file-formal-protest-against-proposed-data-center/")</f>
        <v>https://www.kxan.com/news/local/hutto/hutto-residents-file-formal-protest-against-proposed-data-center/</v>
      </c>
      <c r="AL960" s="1" t="str">
        <f>IFERROR(__xludf.DUMMYFUNCTION("""COMPUTED_VALUE"""),"")</f>
        <v/>
      </c>
      <c r="AM960" s="1" t="str">
        <f>IFERROR(__xludf.DUMMYFUNCTION("""COMPUTED_VALUE"""),"")</f>
        <v/>
      </c>
      <c r="AN960" s="1" t="str">
        <f>IFERROR(__xludf.DUMMYFUNCTION("""COMPUTED_VALUE"""),"")</f>
        <v/>
      </c>
      <c r="AO960" s="1" t="str">
        <f>IFERROR(__xludf.DUMMYFUNCTION("""COMPUTED_VALUE"""),"")</f>
        <v/>
      </c>
      <c r="AP960" s="1" t="str">
        <f>IFERROR(__xludf.DUMMYFUNCTION("""COMPUTED_VALUE"""),"")</f>
        <v/>
      </c>
      <c r="AQ960" s="1" t="str">
        <f>IFERROR(__xludf.DUMMYFUNCTION("""COMPUTED_VALUE"""),"04/15/2026")</f>
        <v>04/15/2026</v>
      </c>
      <c r="AR960" s="1" t="str">
        <f>IFERROR(__xludf.DUMMYFUNCTION("""COMPUTED_VALUE"""),"04/22/2026")</f>
        <v>04/22/2026</v>
      </c>
    </row>
    <row r="961">
      <c r="A961" s="1" t="str">
        <f>IFERROR(__xludf.DUMMYFUNCTION("""COMPUTED_VALUE"""),"Project Raptor")</f>
        <v>Project Raptor</v>
      </c>
      <c r="B961" s="1" t="str">
        <f>IFERROR(__xludf.DUMMYFUNCTION("""COMPUTED_VALUE"""),"2351 Innovation Blvd")</f>
        <v>2351 Innovation Blvd</v>
      </c>
      <c r="C961" s="1" t="str">
        <f>IFERROR(__xludf.DUMMYFUNCTION("""COMPUTED_VALUE"""),"Hutto")</f>
        <v>Hutto</v>
      </c>
      <c r="D961" s="1" t="str">
        <f>IFERROR(__xludf.DUMMYFUNCTION("""COMPUTED_VALUE"""),"TX")</f>
        <v>TX</v>
      </c>
      <c r="E961" s="1" t="str">
        <f>IFERROR(__xludf.DUMMYFUNCTION("""COMPUTED_VALUE"""),"78634")</f>
        <v>78634</v>
      </c>
      <c r="F961" s="1" t="str">
        <f>IFERROR(__xludf.DUMMYFUNCTION("""COMPUTED_VALUE"""),"Williamson")</f>
        <v>Williamson</v>
      </c>
      <c r="G961" s="1" t="str">
        <f>IFERROR(__xludf.DUMMYFUNCTION("""COMPUTED_VALUE"""),"30.54322")</f>
        <v>30.54322</v>
      </c>
      <c r="H961" s="1" t="str">
        <f>IFERROR(__xludf.DUMMYFUNCTION("""COMPUTED_VALUE"""),"-97.57")</f>
        <v>-97.57</v>
      </c>
      <c r="I961" s="1" t="str">
        <f>IFERROR(__xludf.DUMMYFUNCTION("""COMPUTED_VALUE"""),"Proposed")</f>
        <v>Proposed</v>
      </c>
      <c r="J961" s="1" t="str">
        <f>IFERROR(__xludf.DUMMYFUNCTION("""COMPUTED_VALUE"""),"High")</f>
        <v>High</v>
      </c>
      <c r="K961" s="1" t="str">
        <f>IFERROR(__xludf.DUMMYFUNCTION("""COMPUTED_VALUE"""),"")</f>
        <v/>
      </c>
      <c r="L961" s="1" t="str">
        <f>IFERROR(__xludf.DUMMYFUNCTION("""COMPUTED_VALUE"""),"Colovore")</f>
        <v>Colovore</v>
      </c>
      <c r="M961" s="1" t="str">
        <f>IFERROR(__xludf.DUMMYFUNCTION("""COMPUTED_VALUE"""),"")</f>
        <v/>
      </c>
      <c r="N961" s="1" t="str">
        <f>IFERROR(__xludf.DUMMYFUNCTION("""COMPUTED_VALUE"""),"")</f>
        <v/>
      </c>
      <c r="O961" s="1" t="str">
        <f>IFERROR(__xludf.DUMMYFUNCTION("""COMPUTED_VALUE"""),"Unknown")</f>
        <v>Unknown</v>
      </c>
      <c r="P961" s="1" t="str">
        <f>IFERROR(__xludf.DUMMYFUNCTION("""COMPUTED_VALUE"""),"")</f>
        <v/>
      </c>
      <c r="Q961" s="1" t="str">
        <f>IFERROR(__xludf.DUMMYFUNCTION("""COMPUTED_VALUE"""),"")</f>
        <v/>
      </c>
      <c r="R961" s="1" t="str">
        <f>IFERROR(__xludf.DUMMYFUNCTION("""COMPUTED_VALUE"""),"")</f>
        <v/>
      </c>
      <c r="S961" s="1" t="str">
        <f>IFERROR(__xludf.DUMMYFUNCTION("""COMPUTED_VALUE"""),"")</f>
        <v/>
      </c>
      <c r="T961" s="1" t="str">
        <f>IFERROR(__xludf.DUMMYFUNCTION("""COMPUTED_VALUE"""),"")</f>
        <v/>
      </c>
      <c r="U961" s="1" t="str">
        <f>IFERROR(__xludf.DUMMYFUNCTION("""COMPUTED_VALUE"""),"")</f>
        <v/>
      </c>
      <c r="V961" s="1" t="str">
        <f>IFERROR(__xludf.DUMMYFUNCTION("""COMPUTED_VALUE"""),"180,000")</f>
        <v>180,000</v>
      </c>
      <c r="W961" s="1" t="str">
        <f>IFERROR(__xludf.DUMMYFUNCTION("""COMPUTED_VALUE"""),"")</f>
        <v/>
      </c>
      <c r="X961" s="1" t="str">
        <f>IFERROR(__xludf.DUMMYFUNCTION("""COMPUTED_VALUE"""),"")</f>
        <v/>
      </c>
      <c r="Y961" s="1" t="str">
        <f>IFERROR(__xludf.DUMMYFUNCTION("""COMPUTED_VALUE"""),"")</f>
        <v/>
      </c>
      <c r="Z961" s="1" t="str">
        <f>IFERROR(__xludf.DUMMYFUNCTION("""COMPUTED_VALUE"""),"Unknown")</f>
        <v>Unknown</v>
      </c>
      <c r="AA961" s="1" t="str">
        <f>IFERROR(__xludf.DUMMYFUNCTION("""COMPUTED_VALUE"""),"")</f>
        <v/>
      </c>
      <c r="AB961" s="1" t="str">
        <f>IFERROR(__xludf.DUMMYFUNCTION("""COMPUTED_VALUE"""),"")</f>
        <v/>
      </c>
      <c r="AC961" s="1" t="str">
        <f>IFERROR(__xludf.DUMMYFUNCTION("""COMPUTED_VALUE"""),"")</f>
        <v/>
      </c>
      <c r="AD961" s="1" t="str">
        <f>IFERROR(__xludf.DUMMYFUNCTION("""COMPUTED_VALUE"""),"")</f>
        <v/>
      </c>
      <c r="AE961" s="1" t="str">
        <f>IFERROR(__xludf.DUMMYFUNCTION("""COMPUTED_VALUE"""),"")</f>
        <v/>
      </c>
      <c r="AF961" s="1" t="str">
        <f>IFERROR(__xludf.DUMMYFUNCTION("""COMPUTED_VALUE"""),"")</f>
        <v/>
      </c>
      <c r="AG961" s="1" t="str">
        <f>IFERROR(__xludf.DUMMYFUNCTION("""COMPUTED_VALUE"""),"")</f>
        <v/>
      </c>
      <c r="AH961" s="1" t="str">
        <f>IFERROR(__xludf.DUMMYFUNCTION("""COMPUTED_VALUE"""),"Media Monitoring")</f>
        <v>Media Monitoring</v>
      </c>
      <c r="AI961" s="2" t="str">
        <f>IFERROR(__xludf.DUMMYFUNCTION("""COMPUTED_VALUE"""),"https://www.datacenterdynamics.com/en/news/colovore-plans-data-center-in-austin-texas/")</f>
        <v>https://www.datacenterdynamics.com/en/news/colovore-plans-data-center-in-austin-texas/</v>
      </c>
      <c r="AJ961" s="1" t="str">
        <f>IFERROR(__xludf.DUMMYFUNCTION("""COMPUTED_VALUE"""),"")</f>
        <v/>
      </c>
      <c r="AK961" s="1" t="str">
        <f>IFERROR(__xludf.DUMMYFUNCTION("""COMPUTED_VALUE"""),"")</f>
        <v/>
      </c>
      <c r="AL961" s="1" t="str">
        <f>IFERROR(__xludf.DUMMYFUNCTION("""COMPUTED_VALUE"""),"")</f>
        <v/>
      </c>
      <c r="AM961" s="1" t="str">
        <f>IFERROR(__xludf.DUMMYFUNCTION("""COMPUTED_VALUE"""),"")</f>
        <v/>
      </c>
      <c r="AN961" s="1" t="str">
        <f>IFERROR(__xludf.DUMMYFUNCTION("""COMPUTED_VALUE"""),"")</f>
        <v/>
      </c>
      <c r="AO961" s="1" t="str">
        <f>IFERROR(__xludf.DUMMYFUNCTION("""COMPUTED_VALUE"""),"")</f>
        <v/>
      </c>
      <c r="AP961" s="1" t="str">
        <f>IFERROR(__xludf.DUMMYFUNCTION("""COMPUTED_VALUE"""),"")</f>
        <v/>
      </c>
      <c r="AQ961" s="1" t="str">
        <f>IFERROR(__xludf.DUMMYFUNCTION("""COMPUTED_VALUE"""),"08/03/2025")</f>
        <v>08/03/2025</v>
      </c>
      <c r="AR961" s="1" t="str">
        <f>IFERROR(__xludf.DUMMYFUNCTION("""COMPUTED_VALUE"""),"08/03/2025")</f>
        <v>08/03/2025</v>
      </c>
    </row>
    <row r="962">
      <c r="A962" s="1" t="str">
        <f>IFERROR(__xludf.DUMMYFUNCTION("""COMPUTED_VALUE"""),"Skybox Hutto PowerCampus Data Center ")</f>
        <v>Skybox Hutto PowerCampus Data Center </v>
      </c>
      <c r="B962" s="1" t="str">
        <f>IFERROR(__xludf.DUMMYFUNCTION("""COMPUTED_VALUE"""),"4200 County Rd 132")</f>
        <v>4200 County Rd 132</v>
      </c>
      <c r="C962" s="1" t="str">
        <f>IFERROR(__xludf.DUMMYFUNCTION("""COMPUTED_VALUE"""),"Hutto")</f>
        <v>Hutto</v>
      </c>
      <c r="D962" s="1" t="str">
        <f>IFERROR(__xludf.DUMMYFUNCTION("""COMPUTED_VALUE"""),"TX")</f>
        <v>TX</v>
      </c>
      <c r="E962" s="1" t="str">
        <f>IFERROR(__xludf.DUMMYFUNCTION("""COMPUTED_VALUE"""),"78634")</f>
        <v>78634</v>
      </c>
      <c r="F962" s="1" t="str">
        <f>IFERROR(__xludf.DUMMYFUNCTION("""COMPUTED_VALUE"""),"Williamson")</f>
        <v>Williamson</v>
      </c>
      <c r="G962" s="1" t="str">
        <f>IFERROR(__xludf.DUMMYFUNCTION("""COMPUTED_VALUE"""),"30.53681")</f>
        <v>30.53681</v>
      </c>
      <c r="H962" s="1" t="str">
        <f>IFERROR(__xludf.DUMMYFUNCTION("""COMPUTED_VALUE"""),"-97.5178")</f>
        <v>-97.5178</v>
      </c>
      <c r="I962" s="1" t="str">
        <f>IFERROR(__xludf.DUMMYFUNCTION("""COMPUTED_VALUE"""),"Approved/Permitted/Under construction")</f>
        <v>Approved/Permitted/Under construction</v>
      </c>
      <c r="J962" s="1" t="str">
        <f>IFERROR(__xludf.DUMMYFUNCTION("""COMPUTED_VALUE"""),"High")</f>
        <v>High</v>
      </c>
      <c r="K962" s="1" t="str">
        <f>IFERROR(__xludf.DUMMYFUNCTION("""COMPUTED_VALUE"""),"")</f>
        <v/>
      </c>
      <c r="L962" s="1" t="str">
        <f>IFERROR(__xludf.DUMMYFUNCTION("""COMPUTED_VALUE"""),"")</f>
        <v/>
      </c>
      <c r="M962" s="1" t="str">
        <f>IFERROR(__xludf.DUMMYFUNCTION("""COMPUTED_VALUE"""),"")</f>
        <v/>
      </c>
      <c r="N962" s="1" t="str">
        <f>IFERROR(__xludf.DUMMYFUNCTION("""COMPUTED_VALUE"""),"")</f>
        <v/>
      </c>
      <c r="O962" s="1" t="str">
        <f>IFERROR(__xludf.DUMMYFUNCTION("""COMPUTED_VALUE"""),"Hyperscale (100-999 MW)")</f>
        <v>Hyperscale (100-999 MW)</v>
      </c>
      <c r="P962" s="1" t="str">
        <f>IFERROR(__xludf.DUMMYFUNCTION("""COMPUTED_VALUE"""),"")</f>
        <v/>
      </c>
      <c r="Q962" s="1" t="str">
        <f>IFERROR(__xludf.DUMMYFUNCTION("""COMPUTED_VALUE"""),"")</f>
        <v/>
      </c>
      <c r="R962" s="1" t="str">
        <f>IFERROR(__xludf.DUMMYFUNCTION("""COMPUTED_VALUE"""),"")</f>
        <v/>
      </c>
      <c r="S962" s="1" t="str">
        <f>IFERROR(__xludf.DUMMYFUNCTION("""COMPUTED_VALUE"""),"")</f>
        <v/>
      </c>
      <c r="T962" s="1" t="str">
        <f>IFERROR(__xludf.DUMMYFUNCTION("""COMPUTED_VALUE"""),"")</f>
        <v/>
      </c>
      <c r="U962" s="1" t="str">
        <f>IFERROR(__xludf.DUMMYFUNCTION("""COMPUTED_VALUE"""),"")</f>
        <v/>
      </c>
      <c r="V962" s="1" t="str">
        <f>IFERROR(__xludf.DUMMYFUNCTION("""COMPUTED_VALUE"""),"")</f>
        <v/>
      </c>
      <c r="W962" s="1" t="str">
        <f>IFERROR(__xludf.DUMMYFUNCTION("""COMPUTED_VALUE"""),"160")</f>
        <v>160</v>
      </c>
      <c r="X962" s="1" t="str">
        <f>IFERROR(__xludf.DUMMYFUNCTION("""COMPUTED_VALUE"""),"$125 million")</f>
        <v>$125 million</v>
      </c>
      <c r="Y962" s="1" t="str">
        <f>IFERROR(__xludf.DUMMYFUNCTION("""COMPUTED_VALUE"""),"")</f>
        <v/>
      </c>
      <c r="Z962" s="1" t="str">
        <f>IFERROR(__xludf.DUMMYFUNCTION("""COMPUTED_VALUE"""),"Yes")</f>
        <v>Yes</v>
      </c>
      <c r="AA962" s="1" t="str">
        <f>IFERROR(__xludf.DUMMYFUNCTION("""COMPUTED_VALUE"""),"")</f>
        <v/>
      </c>
      <c r="AB962" s="1" t="str">
        <f>IFERROR(__xludf.DUMMYFUNCTION("""COMPUTED_VALUE"""),"")</f>
        <v/>
      </c>
      <c r="AC962" s="1" t="str">
        <f>IFERROR(__xludf.DUMMYFUNCTION("""COMPUTED_VALUE"""),"")</f>
        <v/>
      </c>
      <c r="AD962" s="1" t="str">
        <f>IFERROR(__xludf.DUMMYFUNCTION("""COMPUTED_VALUE"""),"")</f>
        <v/>
      </c>
      <c r="AE962" s="1" t="str">
        <f>IFERROR(__xludf.DUMMYFUNCTION("""COMPUTED_VALUE"""),"")</f>
        <v/>
      </c>
      <c r="AF962" s="2" t="str">
        <f>IFERROR(__xludf.DUMMYFUNCTION("""COMPUTED_VALUE"""),"https://www.change.org/p/say-no-to-the-skybox-data-center-and-substation-in-round-rock-tx")</f>
        <v>https://www.change.org/p/say-no-to-the-skybox-data-center-and-substation-in-round-rock-tx</v>
      </c>
      <c r="AG962" s="1" t="str">
        <f>IFERROR(__xludf.DUMMYFUNCTION("""COMPUTED_VALUE"""),"")</f>
        <v/>
      </c>
      <c r="AH962" s="1" t="str">
        <f>IFERROR(__xludf.DUMMYFUNCTION("""COMPUTED_VALUE"""),"Media Monitoring")</f>
        <v>Media Monitoring</v>
      </c>
      <c r="AI962" s="2" t="str">
        <f>IFERROR(__xludf.DUMMYFUNCTION("""COMPUTED_VALUE"""),"https://www.mysanantonio.com/business/article/austin-skybox-hutto-data-center-21029501.php")</f>
        <v>https://www.mysanantonio.com/business/article/austin-skybox-hutto-data-center-21029501.php</v>
      </c>
      <c r="AJ962" s="2" t="str">
        <f>IFERROR(__xludf.DUMMYFUNCTION("""COMPUTED_VALUE"""),"https://baxtel.com/data-center/skybox-hutto-3")</f>
        <v>https://baxtel.com/data-center/skybox-hutto-3</v>
      </c>
      <c r="AK962" s="1" t="str">
        <f>IFERROR(__xludf.DUMMYFUNCTION("""COMPUTED_VALUE"""),"")</f>
        <v/>
      </c>
      <c r="AL962" s="1" t="str">
        <f>IFERROR(__xludf.DUMMYFUNCTION("""COMPUTED_VALUE"""),"")</f>
        <v/>
      </c>
      <c r="AM962" s="1" t="str">
        <f>IFERROR(__xludf.DUMMYFUNCTION("""COMPUTED_VALUE"""),"")</f>
        <v/>
      </c>
      <c r="AN962" s="1" t="str">
        <f>IFERROR(__xludf.DUMMYFUNCTION("""COMPUTED_VALUE"""),"")</f>
        <v/>
      </c>
      <c r="AO962" s="1" t="str">
        <f>IFERROR(__xludf.DUMMYFUNCTION("""COMPUTED_VALUE"""),"")</f>
        <v/>
      </c>
      <c r="AP962" s="1" t="str">
        <f>IFERROR(__xludf.DUMMYFUNCTION("""COMPUTED_VALUE"""),"")</f>
        <v/>
      </c>
      <c r="AQ962" s="1" t="str">
        <f>IFERROR(__xludf.DUMMYFUNCTION("""COMPUTED_VALUE"""),"09/05/2025")</f>
        <v>09/05/2025</v>
      </c>
      <c r="AR962" s="1" t="str">
        <f>IFERROR(__xludf.DUMMYFUNCTION("""COMPUTED_VALUE"""),"03/17/2026")</f>
        <v>03/17/2026</v>
      </c>
    </row>
    <row r="963">
      <c r="A963" s="1" t="str">
        <f>IFERROR(__xludf.DUMMYFUNCTION("""COMPUTED_VALUE"""),"Edged (DFW01-1)")</f>
        <v>Edged (DFW01-1)</v>
      </c>
      <c r="B963" s="1" t="str">
        <f>IFERROR(__xludf.DUMMYFUNCTION("""COMPUTED_VALUE"""),"505 N Wildwood Dr")</f>
        <v>505 N Wildwood Dr</v>
      </c>
      <c r="C963" s="1" t="str">
        <f>IFERROR(__xludf.DUMMYFUNCTION("""COMPUTED_VALUE"""),"Irving")</f>
        <v>Irving</v>
      </c>
      <c r="D963" s="1" t="str">
        <f>IFERROR(__xludf.DUMMYFUNCTION("""COMPUTED_VALUE"""),"TX")</f>
        <v>TX</v>
      </c>
      <c r="E963" s="1" t="str">
        <f>IFERROR(__xludf.DUMMYFUNCTION("""COMPUTED_VALUE"""),"75061")</f>
        <v>75061</v>
      </c>
      <c r="F963" s="1" t="str">
        <f>IFERROR(__xludf.DUMMYFUNCTION("""COMPUTED_VALUE"""),"Dallas")</f>
        <v>Dallas</v>
      </c>
      <c r="G963" s="1" t="str">
        <f>IFERROR(__xludf.DUMMYFUNCTION("""COMPUTED_VALUE"""),"32.817696")</f>
        <v>32.817696</v>
      </c>
      <c r="H963" s="1" t="str">
        <f>IFERROR(__xludf.DUMMYFUNCTION("""COMPUTED_VALUE"""),"-96.91813")</f>
        <v>-96.91813</v>
      </c>
      <c r="I963" s="1" t="str">
        <f>IFERROR(__xludf.DUMMYFUNCTION("""COMPUTED_VALUE"""),"Operating")</f>
        <v>Operating</v>
      </c>
      <c r="J963" s="1" t="str">
        <f>IFERROR(__xludf.DUMMYFUNCTION("""COMPUTED_VALUE"""),"High")</f>
        <v>High</v>
      </c>
      <c r="K963" s="1" t="str">
        <f>IFERROR(__xludf.DUMMYFUNCTION("""COMPUTED_VALUE"""),"")</f>
        <v/>
      </c>
      <c r="L963" s="1" t="str">
        <f>IFERROR(__xludf.DUMMYFUNCTION("""COMPUTED_VALUE"""),"")</f>
        <v/>
      </c>
      <c r="M963" s="1" t="str">
        <f>IFERROR(__xludf.DUMMYFUNCTION("""COMPUTED_VALUE"""),"")</f>
        <v/>
      </c>
      <c r="N963" s="1" t="str">
        <f>IFERROR(__xludf.DUMMYFUNCTION("""COMPUTED_VALUE"""),"24")</f>
        <v>24</v>
      </c>
      <c r="O963" s="1" t="str">
        <f>IFERROR(__xludf.DUMMYFUNCTION("""COMPUTED_VALUE"""),"Medium (11-50 MW)")</f>
        <v>Medium (11-50 MW)</v>
      </c>
      <c r="P963" s="1" t="str">
        <f>IFERROR(__xludf.DUMMYFUNCTION("""COMPUTED_VALUE"""),"")</f>
        <v/>
      </c>
      <c r="Q963" s="1" t="str">
        <f>IFERROR(__xludf.DUMMYFUNCTION("""COMPUTED_VALUE"""),"")</f>
        <v/>
      </c>
      <c r="R963" s="1" t="str">
        <f>IFERROR(__xludf.DUMMYFUNCTION("""COMPUTED_VALUE"""),"")</f>
        <v/>
      </c>
      <c r="S963" s="1" t="str">
        <f>IFERROR(__xludf.DUMMYFUNCTION("""COMPUTED_VALUE"""),"")</f>
        <v/>
      </c>
      <c r="T963" s="1" t="str">
        <f>IFERROR(__xludf.DUMMYFUNCTION("""COMPUTED_VALUE"""),"")</f>
        <v/>
      </c>
      <c r="U963" s="1" t="str">
        <f>IFERROR(__xludf.DUMMYFUNCTION("""COMPUTED_VALUE"""),"")</f>
        <v/>
      </c>
      <c r="V963" s="1" t="str">
        <f>IFERROR(__xludf.DUMMYFUNCTION("""COMPUTED_VALUE"""),"168,610")</f>
        <v>168,610</v>
      </c>
      <c r="W963" s="1" t="str">
        <f>IFERROR(__xludf.DUMMYFUNCTION("""COMPUTED_VALUE"""),"11")</f>
        <v>11</v>
      </c>
      <c r="X963" s="1" t="str">
        <f>IFERROR(__xludf.DUMMYFUNCTION("""COMPUTED_VALUE"""),"")</f>
        <v/>
      </c>
      <c r="Y963" s="1" t="str">
        <f>IFERROR(__xludf.DUMMYFUNCTION("""COMPUTED_VALUE"""),"")</f>
        <v/>
      </c>
      <c r="Z963" s="1" t="str">
        <f>IFERROR(__xludf.DUMMYFUNCTION("""COMPUTED_VALUE"""),"Unknown")</f>
        <v>Unknown</v>
      </c>
      <c r="AA963" s="1" t="str">
        <f>IFERROR(__xludf.DUMMYFUNCTION("""COMPUTED_VALUE"""),"")</f>
        <v/>
      </c>
      <c r="AB963" s="1" t="str">
        <f>IFERROR(__xludf.DUMMYFUNCTION("""COMPUTED_VALUE"""),"")</f>
        <v/>
      </c>
      <c r="AC963" s="1" t="str">
        <f>IFERROR(__xludf.DUMMYFUNCTION("""COMPUTED_VALUE"""),"")</f>
        <v/>
      </c>
      <c r="AD963" s="1" t="str">
        <f>IFERROR(__xludf.DUMMYFUNCTION("""COMPUTED_VALUE"""),"")</f>
        <v/>
      </c>
      <c r="AE963" s="1" t="str">
        <f>IFERROR(__xludf.DUMMYFUNCTION("""COMPUTED_VALUE"""),"")</f>
        <v/>
      </c>
      <c r="AF963" s="1" t="str">
        <f>IFERROR(__xludf.DUMMYFUNCTION("""COMPUTED_VALUE"""),"")</f>
        <v/>
      </c>
      <c r="AG963" s="1" t="str">
        <f>IFERROR(__xludf.DUMMYFUNCTION("""COMPUTED_VALUE"""),"")</f>
        <v/>
      </c>
      <c r="AH963" s="1" t="str">
        <f>IFERROR(__xludf.DUMMYFUNCTION("""COMPUTED_VALUE"""),"Media Monitoring")</f>
        <v>Media Monitoring</v>
      </c>
      <c r="AI963" s="2" t="str">
        <f>IFERROR(__xludf.DUMMYFUNCTION("""COMPUTED_VALUE"""),"https://www.datacenterdynamics.com/en/news/data-center-developer-edged-eyes-tax-breaks-for-potential-facility-in-fort-worth-texas/")</f>
        <v>https://www.datacenterdynamics.com/en/news/data-center-developer-edged-eyes-tax-breaks-for-potential-facility-in-fort-worth-texas/</v>
      </c>
      <c r="AJ963" s="1" t="str">
        <f>IFERROR(__xludf.DUMMYFUNCTION("""COMPUTED_VALUE"""),"")</f>
        <v/>
      </c>
      <c r="AK963" s="1" t="str">
        <f>IFERROR(__xludf.DUMMYFUNCTION("""COMPUTED_VALUE"""),"")</f>
        <v/>
      </c>
      <c r="AL963" s="1" t="str">
        <f>IFERROR(__xludf.DUMMYFUNCTION("""COMPUTED_VALUE"""),"")</f>
        <v/>
      </c>
      <c r="AM963" s="1" t="str">
        <f>IFERROR(__xludf.DUMMYFUNCTION("""COMPUTED_VALUE"""),"")</f>
        <v/>
      </c>
      <c r="AN963" s="1" t="str">
        <f>IFERROR(__xludf.DUMMYFUNCTION("""COMPUTED_VALUE"""),"")</f>
        <v/>
      </c>
      <c r="AO963" s="1" t="str">
        <f>IFERROR(__xludf.DUMMYFUNCTION("""COMPUTED_VALUE"""),"")</f>
        <v/>
      </c>
      <c r="AP963" s="1" t="str">
        <f>IFERROR(__xludf.DUMMYFUNCTION("""COMPUTED_VALUE"""),"")</f>
        <v/>
      </c>
      <c r="AQ963" s="1" t="str">
        <f>IFERROR(__xludf.DUMMYFUNCTION("""COMPUTED_VALUE"""),"03/14/2026")</f>
        <v>03/14/2026</v>
      </c>
      <c r="AR963" s="1" t="str">
        <f>IFERROR(__xludf.DUMMYFUNCTION("""COMPUTED_VALUE"""),"03/14/2026")</f>
        <v>03/14/2026</v>
      </c>
    </row>
    <row r="964">
      <c r="A964" s="1" t="str">
        <f>IFERROR(__xludf.DUMMYFUNCTION("""COMPUTED_VALUE"""),"QTS-Irving")</f>
        <v>QTS-Irving</v>
      </c>
      <c r="B964" s="1" t="str">
        <f>IFERROR(__xludf.DUMMYFUNCTION("""COMPUTED_VALUE"""),"6431 Longhorn Dr")</f>
        <v>6431 Longhorn Dr</v>
      </c>
      <c r="C964" s="1" t="str">
        <f>IFERROR(__xludf.DUMMYFUNCTION("""COMPUTED_VALUE"""),"Irving")</f>
        <v>Irving</v>
      </c>
      <c r="D964" s="1" t="str">
        <f>IFERROR(__xludf.DUMMYFUNCTION("""COMPUTED_VALUE"""),"TX")</f>
        <v>TX</v>
      </c>
      <c r="E964" s="1" t="str">
        <f>IFERROR(__xludf.DUMMYFUNCTION("""COMPUTED_VALUE"""),"75063")</f>
        <v>75063</v>
      </c>
      <c r="F964" s="1" t="str">
        <f>IFERROR(__xludf.DUMMYFUNCTION("""COMPUTED_VALUE"""),"Dallas")</f>
        <v>Dallas</v>
      </c>
      <c r="G964" s="1" t="str">
        <f>IFERROR(__xludf.DUMMYFUNCTION("""COMPUTED_VALUE"""),"32.89704")</f>
        <v>32.89704</v>
      </c>
      <c r="H964" s="1" t="str">
        <f>IFERROR(__xludf.DUMMYFUNCTION("""COMPUTED_VALUE"""),"-96.9832")</f>
        <v>-96.9832</v>
      </c>
      <c r="I964" s="1" t="str">
        <f>IFERROR(__xludf.DUMMYFUNCTION("""COMPUTED_VALUE"""),"Operating")</f>
        <v>Operating</v>
      </c>
      <c r="J964" s="1" t="str">
        <f>IFERROR(__xludf.DUMMYFUNCTION("""COMPUTED_VALUE"""),"High")</f>
        <v>High</v>
      </c>
      <c r="K964" s="1" t="str">
        <f>IFERROR(__xludf.DUMMYFUNCTION("""COMPUTED_VALUE"""),"")</f>
        <v/>
      </c>
      <c r="L964" s="1" t="str">
        <f>IFERROR(__xludf.DUMMYFUNCTION("""COMPUTED_VALUE"""),"")</f>
        <v/>
      </c>
      <c r="M964" s="1" t="str">
        <f>IFERROR(__xludf.DUMMYFUNCTION("""COMPUTED_VALUE"""),"")</f>
        <v/>
      </c>
      <c r="N964" s="1" t="str">
        <f>IFERROR(__xludf.DUMMYFUNCTION("""COMPUTED_VALUE"""),"147")</f>
        <v>147</v>
      </c>
      <c r="O964" s="1" t="str">
        <f>IFERROR(__xludf.DUMMYFUNCTION("""COMPUTED_VALUE"""),"Hyperscale (100-999 MW)")</f>
        <v>Hyperscale (100-999 MW)</v>
      </c>
      <c r="P964" s="1" t="str">
        <f>IFERROR(__xludf.DUMMYFUNCTION("""COMPUTED_VALUE"""),"")</f>
        <v/>
      </c>
      <c r="Q964" s="1" t="str">
        <f>IFERROR(__xludf.DUMMYFUNCTION("""COMPUTED_VALUE"""),"")</f>
        <v/>
      </c>
      <c r="R964" s="1" t="str">
        <f>IFERROR(__xludf.DUMMYFUNCTION("""COMPUTED_VALUE"""),"")</f>
        <v/>
      </c>
      <c r="S964" s="1" t="str">
        <f>IFERROR(__xludf.DUMMYFUNCTION("""COMPUTED_VALUE"""),"")</f>
        <v/>
      </c>
      <c r="T964" s="1" t="str">
        <f>IFERROR(__xludf.DUMMYFUNCTION("""COMPUTED_VALUE"""),"")</f>
        <v/>
      </c>
      <c r="U964" s="1" t="str">
        <f>IFERROR(__xludf.DUMMYFUNCTION("""COMPUTED_VALUE"""),"")</f>
        <v/>
      </c>
      <c r="V964" s="1" t="str">
        <f>IFERROR(__xludf.DUMMYFUNCTION("""COMPUTED_VALUE"""),"")</f>
        <v/>
      </c>
      <c r="W964" s="1" t="str">
        <f>IFERROR(__xludf.DUMMYFUNCTION("""COMPUTED_VALUE"""),"")</f>
        <v/>
      </c>
      <c r="X964" s="1" t="str">
        <f>IFERROR(__xludf.DUMMYFUNCTION("""COMPUTED_VALUE"""),"")</f>
        <v/>
      </c>
      <c r="Y964" s="1" t="str">
        <f>IFERROR(__xludf.DUMMYFUNCTION("""COMPUTED_VALUE"""),"")</f>
        <v/>
      </c>
      <c r="Z964" s="1" t="str">
        <f>IFERROR(__xludf.DUMMYFUNCTION("""COMPUTED_VALUE"""),"Unknown")</f>
        <v>Unknown</v>
      </c>
      <c r="AA964" s="1" t="str">
        <f>IFERROR(__xludf.DUMMYFUNCTION("""COMPUTED_VALUE"""),"")</f>
        <v/>
      </c>
      <c r="AB964" s="1" t="str">
        <f>IFERROR(__xludf.DUMMYFUNCTION("""COMPUTED_VALUE"""),"")</f>
        <v/>
      </c>
      <c r="AC964" s="1" t="str">
        <f>IFERROR(__xludf.DUMMYFUNCTION("""COMPUTED_VALUE"""),"")</f>
        <v/>
      </c>
      <c r="AD964" s="1" t="str">
        <f>IFERROR(__xludf.DUMMYFUNCTION("""COMPUTED_VALUE"""),"")</f>
        <v/>
      </c>
      <c r="AE964" s="1" t="str">
        <f>IFERROR(__xludf.DUMMYFUNCTION("""COMPUTED_VALUE"""),"")</f>
        <v/>
      </c>
      <c r="AF964" s="1" t="str">
        <f>IFERROR(__xludf.DUMMYFUNCTION("""COMPUTED_VALUE"""),"")</f>
        <v/>
      </c>
      <c r="AG964" s="1" t="str">
        <f>IFERROR(__xludf.DUMMYFUNCTION("""COMPUTED_VALUE"""),"")</f>
        <v/>
      </c>
      <c r="AH964" s="1" t="str">
        <f>IFERROR(__xludf.DUMMYFUNCTION("""COMPUTED_VALUE"""),"Media Monitoring")</f>
        <v>Media Monitoring</v>
      </c>
      <c r="AI964" s="2" t="str">
        <f>IFERROR(__xludf.DUMMYFUNCTION("""COMPUTED_VALUE"""),"https://www.datacenterdynamics.com/en/news/qts-files-to-add-another-building-to-wilmer-data-center-campus-texas/")</f>
        <v>https://www.datacenterdynamics.com/en/news/qts-files-to-add-another-building-to-wilmer-data-center-campus-texas/</v>
      </c>
      <c r="AJ964" s="1" t="str">
        <f>IFERROR(__xludf.DUMMYFUNCTION("""COMPUTED_VALUE"""),"")</f>
        <v/>
      </c>
      <c r="AK964" s="1" t="str">
        <f>IFERROR(__xludf.DUMMYFUNCTION("""COMPUTED_VALUE"""),"")</f>
        <v/>
      </c>
      <c r="AL964" s="1" t="str">
        <f>IFERROR(__xludf.DUMMYFUNCTION("""COMPUTED_VALUE"""),"")</f>
        <v/>
      </c>
      <c r="AM964" s="1" t="str">
        <f>IFERROR(__xludf.DUMMYFUNCTION("""COMPUTED_VALUE"""),"")</f>
        <v/>
      </c>
      <c r="AN964" s="1" t="str">
        <f>IFERROR(__xludf.DUMMYFUNCTION("""COMPUTED_VALUE"""),"")</f>
        <v/>
      </c>
      <c r="AO964" s="1" t="str">
        <f>IFERROR(__xludf.DUMMYFUNCTION("""COMPUTED_VALUE"""),"")</f>
        <v/>
      </c>
      <c r="AP964" s="1" t="str">
        <f>IFERROR(__xludf.DUMMYFUNCTION("""COMPUTED_VALUE"""),"")</f>
        <v/>
      </c>
      <c r="AQ964" s="1" t="str">
        <f>IFERROR(__xludf.DUMMYFUNCTION("""COMPUTED_VALUE"""),"08/05/2025")</f>
        <v>08/05/2025</v>
      </c>
      <c r="AR964" s="1" t="str">
        <f>IFERROR(__xludf.DUMMYFUNCTION("""COMPUTED_VALUE"""),"04/15/2026")</f>
        <v>04/15/2026</v>
      </c>
    </row>
    <row r="965">
      <c r="A965" s="1" t="str">
        <f>IFERROR(__xludf.DUMMYFUNCTION("""COMPUTED_VALUE"""),"Jarrell Data Center")</f>
        <v>Jarrell Data Center</v>
      </c>
      <c r="B965" s="1" t="str">
        <f>IFERROR(__xludf.DUMMYFUNCTION("""COMPUTED_VALUE"""),"FM 487")</f>
        <v>FM 487</v>
      </c>
      <c r="C965" s="1" t="str">
        <f>IFERROR(__xludf.DUMMYFUNCTION("""COMPUTED_VALUE"""),"Jarrell")</f>
        <v>Jarrell</v>
      </c>
      <c r="D965" s="1" t="str">
        <f>IFERROR(__xludf.DUMMYFUNCTION("""COMPUTED_VALUE"""),"TX")</f>
        <v>TX</v>
      </c>
      <c r="E965" s="1" t="str">
        <f>IFERROR(__xludf.DUMMYFUNCTION("""COMPUTED_VALUE"""),"76537")</f>
        <v>76537</v>
      </c>
      <c r="F965" s="1" t="str">
        <f>IFERROR(__xludf.DUMMYFUNCTION("""COMPUTED_VALUE"""),"Williamson")</f>
        <v>Williamson</v>
      </c>
      <c r="G965" s="1" t="str">
        <f>IFERROR(__xludf.DUMMYFUNCTION("""COMPUTED_VALUE"""),"30.81534")</f>
        <v>30.81534</v>
      </c>
      <c r="H965" s="1" t="str">
        <f>IFERROR(__xludf.DUMMYFUNCTION("""COMPUTED_VALUE"""),"-97.6328")</f>
        <v>-97.6328</v>
      </c>
      <c r="I965" s="1" t="str">
        <f>IFERROR(__xludf.DUMMYFUNCTION("""COMPUTED_VALUE"""),"Proposed")</f>
        <v>Proposed</v>
      </c>
      <c r="J965" s="1" t="str">
        <f>IFERROR(__xludf.DUMMYFUNCTION("""COMPUTED_VALUE"""),"High")</f>
        <v>High</v>
      </c>
      <c r="K965" s="1" t="str">
        <f>IFERROR(__xludf.DUMMYFUNCTION("""COMPUTED_VALUE"""),"")</f>
        <v/>
      </c>
      <c r="L965" s="1" t="str">
        <f>IFERROR(__xludf.DUMMYFUNCTION("""COMPUTED_VALUE"""),"Mesones")</f>
        <v>Mesones</v>
      </c>
      <c r="M965" s="1" t="str">
        <f>IFERROR(__xludf.DUMMYFUNCTION("""COMPUTED_VALUE"""),"")</f>
        <v/>
      </c>
      <c r="N965" s="1" t="str">
        <f>IFERROR(__xludf.DUMMYFUNCTION("""COMPUTED_VALUE"""),"200")</f>
        <v>200</v>
      </c>
      <c r="O965" s="1" t="str">
        <f>IFERROR(__xludf.DUMMYFUNCTION("""COMPUTED_VALUE"""),"Hyperscale (100-999 MW)")</f>
        <v>Hyperscale (100-999 MW)</v>
      </c>
      <c r="P965" s="1" t="str">
        <f>IFERROR(__xludf.DUMMYFUNCTION("""COMPUTED_VALUE"""),"")</f>
        <v/>
      </c>
      <c r="Q965" s="1" t="str">
        <f>IFERROR(__xludf.DUMMYFUNCTION("""COMPUTED_VALUE"""),"")</f>
        <v/>
      </c>
      <c r="R965" s="1" t="str">
        <f>IFERROR(__xludf.DUMMYFUNCTION("""COMPUTED_VALUE"""),"")</f>
        <v/>
      </c>
      <c r="S965" s="1" t="str">
        <f>IFERROR(__xludf.DUMMYFUNCTION("""COMPUTED_VALUE"""),"")</f>
        <v/>
      </c>
      <c r="T965" s="1" t="str">
        <f>IFERROR(__xludf.DUMMYFUNCTION("""COMPUTED_VALUE"""),"")</f>
        <v/>
      </c>
      <c r="U965" s="1" t="str">
        <f>IFERROR(__xludf.DUMMYFUNCTION("""COMPUTED_VALUE"""),"")</f>
        <v/>
      </c>
      <c r="V965" s="1" t="str">
        <f>IFERROR(__xludf.DUMMYFUNCTION("""COMPUTED_VALUE"""),"")</f>
        <v/>
      </c>
      <c r="W965" s="1" t="str">
        <f>IFERROR(__xludf.DUMMYFUNCTION("""COMPUTED_VALUE"""),"151")</f>
        <v>151</v>
      </c>
      <c r="X965" s="1" t="str">
        <f>IFERROR(__xludf.DUMMYFUNCTION("""COMPUTED_VALUE"""),"$850 million")</f>
        <v>$850 million</v>
      </c>
      <c r="Y965" s="1" t="str">
        <f>IFERROR(__xludf.DUMMYFUNCTION("""COMPUTED_VALUE"""),"")</f>
        <v/>
      </c>
      <c r="Z965" s="1" t="str">
        <f>IFERROR(__xludf.DUMMYFUNCTION("""COMPUTED_VALUE"""),"Yes")</f>
        <v>Yes</v>
      </c>
      <c r="AA965" s="2" t="str">
        <f>IFERROR(__xludf.DUMMYFUNCTION("""COMPUTED_VALUE"""),"https://www.kxan.com/news/local/williamson-county/jarrell-residents-concerned-about-proposed-data-center/")</f>
        <v>https://www.kxan.com/news/local/williamson-county/jarrell-residents-concerned-about-proposed-data-center/</v>
      </c>
      <c r="AB965" s="1" t="str">
        <f>IFERROR(__xludf.DUMMYFUNCTION("""COMPUTED_VALUE"""),"")</f>
        <v/>
      </c>
      <c r="AC965" s="1" t="str">
        <f>IFERROR(__xludf.DUMMYFUNCTION("""COMPUTED_VALUE"""),"")</f>
        <v/>
      </c>
      <c r="AD965" s="1" t="str">
        <f>IFERROR(__xludf.DUMMYFUNCTION("""COMPUTED_VALUE"""),"")</f>
        <v/>
      </c>
      <c r="AE965" s="1" t="str">
        <f>IFERROR(__xludf.DUMMYFUNCTION("""COMPUTED_VALUE"""),"")</f>
        <v/>
      </c>
      <c r="AF965" s="2" t="str">
        <f>IFERROR(__xludf.DUMMYFUNCTION("""COMPUTED_VALUE"""),"https://www.change.org/p/stop-the-data-center-near-jarrell-high-school-and-neighborhoods")</f>
        <v>https://www.change.org/p/stop-the-data-center-near-jarrell-high-school-and-neighborhoods</v>
      </c>
      <c r="AG965" s="1" t="str">
        <f>IFERROR(__xludf.DUMMYFUNCTION("""COMPUTED_VALUE"""),"")</f>
        <v/>
      </c>
      <c r="AH965" s="1" t="str">
        <f>IFERROR(__xludf.DUMMYFUNCTION("""COMPUTED_VALUE"""),"Media Monitoring")</f>
        <v>Media Monitoring</v>
      </c>
      <c r="AI965" s="2" t="str">
        <f>IFERROR(__xludf.DUMMYFUNCTION("""COMPUTED_VALUE"""),"https://www.linkedin.com/posts/power-infrastructure-partners_power-infrastructure-partners-and-savannah-activity-7361053754638422018-6BBW/")</f>
        <v>https://www.linkedin.com/posts/power-infrastructure-partners_power-infrastructure-partners-and-savannah-activity-7361053754638422018-6BBW/</v>
      </c>
      <c r="AJ965" s="2" t="str">
        <f>IFERROR(__xludf.DUMMYFUNCTION("""COMPUTED_VALUE"""),"https://www.connectcre.com/stories/austin-area-town-to-decide-fate-of-proposed-850m-data-center/")</f>
        <v>https://www.connectcre.com/stories/austin-area-town-to-decide-fate-of-proposed-850m-data-center/</v>
      </c>
      <c r="AK965" s="2" t="str">
        <f>IFERROR(__xludf.DUMMYFUNCTION("""COMPUTED_VALUE"""),"https://www.bizjournals.com/austin/news/2025/08/27/data-center-jarrell-austin-development-power-water.html")</f>
        <v>https://www.bizjournals.com/austin/news/2025/08/27/data-center-jarrell-austin-development-power-water.html</v>
      </c>
      <c r="AL965" s="1" t="str">
        <f>IFERROR(__xludf.DUMMYFUNCTION("""COMPUTED_VALUE"""),"")</f>
        <v/>
      </c>
      <c r="AM965" s="1" t="str">
        <f>IFERROR(__xludf.DUMMYFUNCTION("""COMPUTED_VALUE"""),"")</f>
        <v/>
      </c>
      <c r="AN965" s="1" t="str">
        <f>IFERROR(__xludf.DUMMYFUNCTION("""COMPUTED_VALUE"""),"")</f>
        <v/>
      </c>
      <c r="AO965" s="1" t="str">
        <f>IFERROR(__xludf.DUMMYFUNCTION("""COMPUTED_VALUE"""),"")</f>
        <v/>
      </c>
      <c r="AP965" s="1" t="str">
        <f>IFERROR(__xludf.DUMMYFUNCTION("""COMPUTED_VALUE"""),"")</f>
        <v/>
      </c>
      <c r="AQ965" s="1" t="str">
        <f>IFERROR(__xludf.DUMMYFUNCTION("""COMPUTED_VALUE"""),"09/02/2025")</f>
        <v>09/02/2025</v>
      </c>
      <c r="AR965" s="1" t="str">
        <f>IFERROR(__xludf.DUMMYFUNCTION("""COMPUTED_VALUE"""),"03/17/2026")</f>
        <v>03/17/2026</v>
      </c>
    </row>
    <row r="966">
      <c r="A966" s="1" t="str">
        <f>IFERROR(__xludf.DUMMYFUNCTION("""COMPUTED_VALUE"""),"Houston One Data Center")</f>
        <v>Houston One Data Center</v>
      </c>
      <c r="B966" s="1" t="str">
        <f>IFERROR(__xludf.DUMMYFUNCTION("""COMPUTED_VALUE"""),"22000 Franz Rd")</f>
        <v>22000 Franz Rd</v>
      </c>
      <c r="C966" s="1" t="str">
        <f>IFERROR(__xludf.DUMMYFUNCTION("""COMPUTED_VALUE"""),"Katy")</f>
        <v>Katy</v>
      </c>
      <c r="D966" s="1" t="str">
        <f>IFERROR(__xludf.DUMMYFUNCTION("""COMPUTED_VALUE"""),"TX")</f>
        <v>TX</v>
      </c>
      <c r="E966" s="1" t="str">
        <f>IFERROR(__xludf.DUMMYFUNCTION("""COMPUTED_VALUE"""),"77449")</f>
        <v>77449</v>
      </c>
      <c r="F966" s="1" t="str">
        <f>IFERROR(__xludf.DUMMYFUNCTION("""COMPUTED_VALUE"""),"Harris")</f>
        <v>Harris</v>
      </c>
      <c r="G966" s="1" t="str">
        <f>IFERROR(__xludf.DUMMYFUNCTION("""COMPUTED_VALUE"""),"29.803122")</f>
        <v>29.803122</v>
      </c>
      <c r="H966" s="1" t="str">
        <f>IFERROR(__xludf.DUMMYFUNCTION("""COMPUTED_VALUE"""),"-95.75579")</f>
        <v>-95.75579</v>
      </c>
      <c r="I966" s="1" t="str">
        <f>IFERROR(__xludf.DUMMYFUNCTION("""COMPUTED_VALUE"""),"Operating")</f>
        <v>Operating</v>
      </c>
      <c r="J966" s="1" t="str">
        <f>IFERROR(__xludf.DUMMYFUNCTION("""COMPUTED_VALUE"""),"High")</f>
        <v>High</v>
      </c>
      <c r="K966" s="1" t="str">
        <f>IFERROR(__xludf.DUMMYFUNCTION("""COMPUTED_VALUE"""),"AI")</f>
        <v>AI</v>
      </c>
      <c r="L966" s="1" t="str">
        <f>IFERROR(__xludf.DUMMYFUNCTION("""COMPUTED_VALUE"""),"Element Critical")</f>
        <v>Element Critical</v>
      </c>
      <c r="M966" s="1" t="str">
        <f>IFERROR(__xludf.DUMMYFUNCTION("""COMPUTED_VALUE"""),"")</f>
        <v/>
      </c>
      <c r="N966" s="1" t="str">
        <f>IFERROR(__xludf.DUMMYFUNCTION("""COMPUTED_VALUE"""),"26")</f>
        <v>26</v>
      </c>
      <c r="O966" s="1" t="str">
        <f>IFERROR(__xludf.DUMMYFUNCTION("""COMPUTED_VALUE"""),"Medium (11-50 MW)")</f>
        <v>Medium (11-50 MW)</v>
      </c>
      <c r="P966" s="1" t="str">
        <f>IFERROR(__xludf.DUMMYFUNCTION("""COMPUTED_VALUE"""),"")</f>
        <v/>
      </c>
      <c r="Q966" s="1" t="str">
        <f>IFERROR(__xludf.DUMMYFUNCTION("""COMPUTED_VALUE"""),"")</f>
        <v/>
      </c>
      <c r="R966" s="1" t="str">
        <f>IFERROR(__xludf.DUMMYFUNCTION("""COMPUTED_VALUE"""),"")</f>
        <v/>
      </c>
      <c r="S966" s="1" t="str">
        <f>IFERROR(__xludf.DUMMYFUNCTION("""COMPUTED_VALUE"""),"")</f>
        <v/>
      </c>
      <c r="T966" s="1" t="str">
        <f>IFERROR(__xludf.DUMMYFUNCTION("""COMPUTED_VALUE"""),"Air")</f>
        <v>Air</v>
      </c>
      <c r="U966" s="1" t="str">
        <f>IFERROR(__xludf.DUMMYFUNCTION("""COMPUTED_VALUE"""),"Closed loop")</f>
        <v>Closed loop</v>
      </c>
      <c r="V966" s="1" t="str">
        <f>IFERROR(__xludf.DUMMYFUNCTION("""COMPUTED_VALUE"""),"118,248")</f>
        <v>118,248</v>
      </c>
      <c r="W966" s="1" t="str">
        <f>IFERROR(__xludf.DUMMYFUNCTION("""COMPUTED_VALUE"""),"")</f>
        <v/>
      </c>
      <c r="X966" s="1" t="str">
        <f>IFERROR(__xludf.DUMMYFUNCTION("""COMPUTED_VALUE"""),"")</f>
        <v/>
      </c>
      <c r="Y966" s="1" t="str">
        <f>IFERROR(__xludf.DUMMYFUNCTION("""COMPUTED_VALUE"""),"")</f>
        <v/>
      </c>
      <c r="Z966" s="1" t="str">
        <f>IFERROR(__xludf.DUMMYFUNCTION("""COMPUTED_VALUE"""),"Unknown")</f>
        <v>Unknown</v>
      </c>
      <c r="AA966" s="1" t="str">
        <f>IFERROR(__xludf.DUMMYFUNCTION("""COMPUTED_VALUE"""),"")</f>
        <v/>
      </c>
      <c r="AB966" s="1" t="str">
        <f>IFERROR(__xludf.DUMMYFUNCTION("""COMPUTED_VALUE"""),"")</f>
        <v/>
      </c>
      <c r="AC966" s="1" t="str">
        <f>IFERROR(__xludf.DUMMYFUNCTION("""COMPUTED_VALUE"""),"")</f>
        <v/>
      </c>
      <c r="AD966" s="1" t="str">
        <f>IFERROR(__xludf.DUMMYFUNCTION("""COMPUTED_VALUE"""),"")</f>
        <v/>
      </c>
      <c r="AE966" s="1" t="str">
        <f>IFERROR(__xludf.DUMMYFUNCTION("""COMPUTED_VALUE"""),"")</f>
        <v/>
      </c>
      <c r="AF966" s="1" t="str">
        <f>IFERROR(__xludf.DUMMYFUNCTION("""COMPUTED_VALUE"""),"")</f>
        <v/>
      </c>
      <c r="AG966" s="1" t="str">
        <f>IFERROR(__xludf.DUMMYFUNCTION("""COMPUTED_VALUE"""),"")</f>
        <v/>
      </c>
      <c r="AH966" s="1" t="str">
        <f>IFERROR(__xludf.DUMMYFUNCTION("""COMPUTED_VALUE"""),"Media Monitoring")</f>
        <v>Media Monitoring</v>
      </c>
      <c r="AI966" s="2" t="str">
        <f>IFERROR(__xludf.DUMMYFUNCTION("""COMPUTED_VALUE"""),"https://elementcritical.com/data-centers/houston-data-center/")</f>
        <v>https://elementcritical.com/data-centers/houston-data-center/</v>
      </c>
      <c r="AJ966" s="2" t="str">
        <f>IFERROR(__xludf.DUMMYFUNCTION("""COMPUTED_VALUE"""),"https://www.prnewswire.com/news-releases/element-critical-adds-10mw-of-ai-ready-capacity-at-houston-one-campus-302619374.html")</f>
        <v>https://www.prnewswire.com/news-releases/element-critical-adds-10mw-of-ai-ready-capacity-at-houston-one-campus-302619374.html</v>
      </c>
      <c r="AK966" s="1" t="str">
        <f>IFERROR(__xludf.DUMMYFUNCTION("""COMPUTED_VALUE"""),"")</f>
        <v/>
      </c>
      <c r="AL966" s="1" t="str">
        <f>IFERROR(__xludf.DUMMYFUNCTION("""COMPUTED_VALUE"""),"")</f>
        <v/>
      </c>
      <c r="AM966" s="1" t="str">
        <f>IFERROR(__xludf.DUMMYFUNCTION("""COMPUTED_VALUE"""),"")</f>
        <v/>
      </c>
      <c r="AN966" s="1" t="str">
        <f>IFERROR(__xludf.DUMMYFUNCTION("""COMPUTED_VALUE"""),"")</f>
        <v/>
      </c>
      <c r="AO966" s="1" t="str">
        <f>IFERROR(__xludf.DUMMYFUNCTION("""COMPUTED_VALUE"""),"")</f>
        <v/>
      </c>
      <c r="AP966" s="1" t="str">
        <f>IFERROR(__xludf.DUMMYFUNCTION("""COMPUTED_VALUE"""),"")</f>
        <v/>
      </c>
      <c r="AQ966" s="1" t="str">
        <f>IFERROR(__xludf.DUMMYFUNCTION("""COMPUTED_VALUE"""),"11/26/2025")</f>
        <v>11/26/2025</v>
      </c>
      <c r="AR966" s="1" t="str">
        <f>IFERROR(__xludf.DUMMYFUNCTION("""COMPUTED_VALUE"""),"11/26/2025")</f>
        <v>11/26/2025</v>
      </c>
    </row>
    <row r="967">
      <c r="A967" s="1" t="str">
        <f>IFERROR(__xludf.DUMMYFUNCTION("""COMPUTED_VALUE"""),"Onmine Data Center")</f>
        <v>Onmine Data Center</v>
      </c>
      <c r="B967" s="1" t="str">
        <f>IFERROR(__xludf.DUMMYFUNCTION("""COMPUTED_VALUE"""),"6509 S. Fort Hood St")</f>
        <v>6509 S. Fort Hood St</v>
      </c>
      <c r="C967" s="1" t="str">
        <f>IFERROR(__xludf.DUMMYFUNCTION("""COMPUTED_VALUE"""),"Killen")</f>
        <v>Killen</v>
      </c>
      <c r="D967" s="1" t="str">
        <f>IFERROR(__xludf.DUMMYFUNCTION("""COMPUTED_VALUE"""),"TX")</f>
        <v>TX</v>
      </c>
      <c r="E967" s="1" t="str">
        <f>IFERROR(__xludf.DUMMYFUNCTION("""COMPUTED_VALUE"""),"76542")</f>
        <v>76542</v>
      </c>
      <c r="F967" s="1" t="str">
        <f>IFERROR(__xludf.DUMMYFUNCTION("""COMPUTED_VALUE"""),"Bell")</f>
        <v>Bell</v>
      </c>
      <c r="G967" s="1" t="str">
        <f>IFERROR(__xludf.DUMMYFUNCTION("""COMPUTED_VALUE"""),"31.062225")</f>
        <v>31.062225</v>
      </c>
      <c r="H967" s="1" t="str">
        <f>IFERROR(__xludf.DUMMYFUNCTION("""COMPUTED_VALUE"""),"-97.76623")</f>
        <v>-97.76623</v>
      </c>
      <c r="I967" s="1" t="str">
        <f>IFERROR(__xludf.DUMMYFUNCTION("""COMPUTED_VALUE"""),"Suspended")</f>
        <v>Suspended</v>
      </c>
      <c r="J967" s="1" t="str">
        <f>IFERROR(__xludf.DUMMYFUNCTION("""COMPUTED_VALUE"""),"High")</f>
        <v>High</v>
      </c>
      <c r="K967" s="1" t="str">
        <f>IFERROR(__xludf.DUMMYFUNCTION("""COMPUTED_VALUE"""),"")</f>
        <v/>
      </c>
      <c r="L967" s="1" t="str">
        <f>IFERROR(__xludf.DUMMYFUNCTION("""COMPUTED_VALUE"""),"")</f>
        <v/>
      </c>
      <c r="M967" s="1" t="str">
        <f>IFERROR(__xludf.DUMMYFUNCTION("""COMPUTED_VALUE"""),"")</f>
        <v/>
      </c>
      <c r="N967" s="1" t="str">
        <f>IFERROR(__xludf.DUMMYFUNCTION("""COMPUTED_VALUE"""),"")</f>
        <v/>
      </c>
      <c r="O967" s="1" t="str">
        <f>IFERROR(__xludf.DUMMYFUNCTION("""COMPUTED_VALUE"""),"Unknown")</f>
        <v>Unknown</v>
      </c>
      <c r="P967" s="1" t="str">
        <f>IFERROR(__xludf.DUMMYFUNCTION("""COMPUTED_VALUE"""),"")</f>
        <v/>
      </c>
      <c r="Q967" s="1" t="str">
        <f>IFERROR(__xludf.DUMMYFUNCTION("""COMPUTED_VALUE"""),"")</f>
        <v/>
      </c>
      <c r="R967" s="1" t="str">
        <f>IFERROR(__xludf.DUMMYFUNCTION("""COMPUTED_VALUE"""),"")</f>
        <v/>
      </c>
      <c r="S967" s="1" t="str">
        <f>IFERROR(__xludf.DUMMYFUNCTION("""COMPUTED_VALUE"""),"")</f>
        <v/>
      </c>
      <c r="T967" s="1" t="str">
        <f>IFERROR(__xludf.DUMMYFUNCTION("""COMPUTED_VALUE"""),"")</f>
        <v/>
      </c>
      <c r="U967" s="1" t="str">
        <f>IFERROR(__xludf.DUMMYFUNCTION("""COMPUTED_VALUE"""),"")</f>
        <v/>
      </c>
      <c r="V967" s="1" t="str">
        <f>IFERROR(__xludf.DUMMYFUNCTION("""COMPUTED_VALUE"""),"")</f>
        <v/>
      </c>
      <c r="W967" s="1" t="str">
        <f>IFERROR(__xludf.DUMMYFUNCTION("""COMPUTED_VALUE"""),"3")</f>
        <v>3</v>
      </c>
      <c r="X967" s="1" t="str">
        <f>IFERROR(__xludf.DUMMYFUNCTION("""COMPUTED_VALUE"""),"$30 million")</f>
        <v>$30 million</v>
      </c>
      <c r="Y967" s="1" t="str">
        <f>IFERROR(__xludf.DUMMYFUNCTION("""COMPUTED_VALUE"""),"")</f>
        <v/>
      </c>
      <c r="Z967" s="1" t="str">
        <f>IFERROR(__xludf.DUMMYFUNCTION("""COMPUTED_VALUE"""),"Yes")</f>
        <v>Yes</v>
      </c>
      <c r="AA967" s="1" t="str">
        <f>IFERROR(__xludf.DUMMYFUNCTION("""COMPUTED_VALUE"""),"")</f>
        <v/>
      </c>
      <c r="AB967" s="1" t="str">
        <f>IFERROR(__xludf.DUMMYFUNCTION("""COMPUTED_VALUE"""),"")</f>
        <v/>
      </c>
      <c r="AC967" s="1" t="str">
        <f>IFERROR(__xludf.DUMMYFUNCTION("""COMPUTED_VALUE"""),"")</f>
        <v/>
      </c>
      <c r="AD967" s="1" t="str">
        <f>IFERROR(__xludf.DUMMYFUNCTION("""COMPUTED_VALUE"""),"")</f>
        <v/>
      </c>
      <c r="AE967" s="1" t="str">
        <f>IFERROR(__xludf.DUMMYFUNCTION("""COMPUTED_VALUE"""),"")</f>
        <v/>
      </c>
      <c r="AF967" s="1" t="str">
        <f>IFERROR(__xludf.DUMMYFUNCTION("""COMPUTED_VALUE"""),"")</f>
        <v/>
      </c>
      <c r="AG967" s="1" t="str">
        <f>IFERROR(__xludf.DUMMYFUNCTION("""COMPUTED_VALUE"""),"")</f>
        <v/>
      </c>
      <c r="AH967" s="1" t="str">
        <f>IFERROR(__xludf.DUMMYFUNCTION("""COMPUTED_VALUE"""),"Media Monitoring")</f>
        <v>Media Monitoring</v>
      </c>
      <c r="AI967" s="2" t="str">
        <f>IFERROR(__xludf.DUMMYFUNCTION("""COMPUTED_VALUE"""),"https://kdhnews.com/news/local/killeen-planning-and-zoning-commission-to-consider-approving-data-center-in-south-killeen/article_5539153b-752e-4def-9ab1-bf4cc7ad9e46.html")</f>
        <v>https://kdhnews.com/news/local/killeen-planning-and-zoning-commission-to-consider-approving-data-center-in-south-killeen/article_5539153b-752e-4def-9ab1-bf4cc7ad9e46.html</v>
      </c>
      <c r="AJ967" s="2" t="str">
        <f>IFERROR(__xludf.DUMMYFUNCTION("""COMPUTED_VALUE"""),"https://www.kcentv.com/video/news/local/killeen-planning-commission-rejects-30m-data-center-project/500-8b6dcb99-d07d-4d47-ba71-43d10e942a01")</f>
        <v>https://www.kcentv.com/video/news/local/killeen-planning-commission-rejects-30m-data-center-project/500-8b6dcb99-d07d-4d47-ba71-43d10e942a01</v>
      </c>
      <c r="AK967" s="2" t="str">
        <f>IFERROR(__xludf.DUMMYFUNCTION("""COMPUTED_VALUE"""),"https://www.youtube.com/watch?v=a89iVxblu9I")</f>
        <v>https://www.youtube.com/watch?v=a89iVxblu9I</v>
      </c>
      <c r="AL967" s="2" t="str">
        <f>IFERROR(__xludf.DUMMYFUNCTION("""COMPUTED_VALUE"""),"https://www.datacenterdynamics.com/en/news/30m-data-center-near-austin-texas-fails-to-get-recommendation-for-approval-from-pz-commission/")</f>
        <v>https://www.datacenterdynamics.com/en/news/30m-data-center-near-austin-texas-fails-to-get-recommendation-for-approval-from-pz-commission/</v>
      </c>
      <c r="AM967" s="1" t="str">
        <f>IFERROR(__xludf.DUMMYFUNCTION("""COMPUTED_VALUE"""),"")</f>
        <v/>
      </c>
      <c r="AN967" s="1" t="str">
        <f>IFERROR(__xludf.DUMMYFUNCTION("""COMPUTED_VALUE"""),"")</f>
        <v/>
      </c>
      <c r="AO967" s="1" t="str">
        <f>IFERROR(__xludf.DUMMYFUNCTION("""COMPUTED_VALUE"""),"")</f>
        <v/>
      </c>
      <c r="AP967" s="1" t="str">
        <f>IFERROR(__xludf.DUMMYFUNCTION("""COMPUTED_VALUE"""),"")</f>
        <v/>
      </c>
      <c r="AQ967" s="1" t="str">
        <f>IFERROR(__xludf.DUMMYFUNCTION("""COMPUTED_VALUE"""),"04/29/2026")</f>
        <v>04/29/2026</v>
      </c>
      <c r="AR967" s="1" t="str">
        <f>IFERROR(__xludf.DUMMYFUNCTION("""COMPUTED_VALUE"""),"05/05/2026")</f>
        <v>05/05/2026</v>
      </c>
    </row>
    <row r="968">
      <c r="A968" s="1" t="str">
        <f>IFERROR(__xludf.DUMMYFUNCTION("""COMPUTED_VALUE"""),"Lacy Lakeview Data Center ")</f>
        <v>Lacy Lakeview Data Center </v>
      </c>
      <c r="B968" s="1" t="str">
        <f>IFERROR(__xludf.DUMMYFUNCTION("""COMPUTED_VALUE"""),"just west of Elm Mott")</f>
        <v>just west of Elm Mott</v>
      </c>
      <c r="C968" s="1" t="str">
        <f>IFERROR(__xludf.DUMMYFUNCTION("""COMPUTED_VALUE"""),"Lacy Lakeview")</f>
        <v>Lacy Lakeview</v>
      </c>
      <c r="D968" s="1" t="str">
        <f>IFERROR(__xludf.DUMMYFUNCTION("""COMPUTED_VALUE"""),"TX")</f>
        <v>TX</v>
      </c>
      <c r="E968" s="1" t="str">
        <f>IFERROR(__xludf.DUMMYFUNCTION("""COMPUTED_VALUE"""),"76705")</f>
        <v>76705</v>
      </c>
      <c r="F968" s="1" t="str">
        <f>IFERROR(__xludf.DUMMYFUNCTION("""COMPUTED_VALUE"""),"McLennan")</f>
        <v>McLennan</v>
      </c>
      <c r="G968" s="1" t="str">
        <f>IFERROR(__xludf.DUMMYFUNCTION("""COMPUTED_VALUE"""),"31.66293")</f>
        <v>31.66293</v>
      </c>
      <c r="H968" s="1" t="str">
        <f>IFERROR(__xludf.DUMMYFUNCTION("""COMPUTED_VALUE"""),"-97.110344")</f>
        <v>-97.110344</v>
      </c>
      <c r="I968" s="1" t="str">
        <f>IFERROR(__xludf.DUMMYFUNCTION("""COMPUTED_VALUE"""),"Approved/Permitted/Under construction")</f>
        <v>Approved/Permitted/Under construction</v>
      </c>
      <c r="J968" s="1" t="str">
        <f>IFERROR(__xludf.DUMMYFUNCTION("""COMPUTED_VALUE"""),"Low")</f>
        <v>Low</v>
      </c>
      <c r="K968" s="1" t="str">
        <f>IFERROR(__xludf.DUMMYFUNCTION("""COMPUTED_VALUE"""),"")</f>
        <v/>
      </c>
      <c r="L968" s="1" t="str">
        <f>IFERROR(__xludf.DUMMYFUNCTION("""COMPUTED_VALUE"""),"InfraKey Capital")</f>
        <v>InfraKey Capital</v>
      </c>
      <c r="M968" s="1" t="str">
        <f>IFERROR(__xludf.DUMMYFUNCTION("""COMPUTED_VALUE"""),"")</f>
        <v/>
      </c>
      <c r="N968" s="1" t="str">
        <f>IFERROR(__xludf.DUMMYFUNCTION("""COMPUTED_VALUE"""),"1000")</f>
        <v>1000</v>
      </c>
      <c r="O968" s="1" t="str">
        <f>IFERROR(__xludf.DUMMYFUNCTION("""COMPUTED_VALUE"""),"Mega campus (&gt;1,000 MW)")</f>
        <v>Mega campus (&gt;1,000 MW)</v>
      </c>
      <c r="P968" s="1" t="str">
        <f>IFERROR(__xludf.DUMMYFUNCTION("""COMPUTED_VALUE"""),"")</f>
        <v/>
      </c>
      <c r="Q968" s="1" t="str">
        <f>IFERROR(__xludf.DUMMYFUNCTION("""COMPUTED_VALUE"""),"")</f>
        <v/>
      </c>
      <c r="R968" s="1" t="str">
        <f>IFERROR(__xludf.DUMMYFUNCTION("""COMPUTED_VALUE"""),"")</f>
        <v/>
      </c>
      <c r="S968" s="1" t="str">
        <f>IFERROR(__xludf.DUMMYFUNCTION("""COMPUTED_VALUE"""),"6")</f>
        <v>6</v>
      </c>
      <c r="T968" s="1" t="str">
        <f>IFERROR(__xludf.DUMMYFUNCTION("""COMPUTED_VALUE"""),"")</f>
        <v/>
      </c>
      <c r="U968" s="1" t="str">
        <f>IFERROR(__xludf.DUMMYFUNCTION("""COMPUTED_VALUE"""),"")</f>
        <v/>
      </c>
      <c r="V968" s="1" t="str">
        <f>IFERROR(__xludf.DUMMYFUNCTION("""COMPUTED_VALUE"""),"")</f>
        <v/>
      </c>
      <c r="W968" s="1" t="str">
        <f>IFERROR(__xludf.DUMMYFUNCTION("""COMPUTED_VALUE"""),"520")</f>
        <v>520</v>
      </c>
      <c r="X968" s="1" t="str">
        <f>IFERROR(__xludf.DUMMYFUNCTION("""COMPUTED_VALUE"""),"$10 billion")</f>
        <v>$10 billion</v>
      </c>
      <c r="Y968" s="1" t="str">
        <f>IFERROR(__xludf.DUMMYFUNCTION("""COMPUTED_VALUE"""),"2030")</f>
        <v>2030</v>
      </c>
      <c r="Z968" s="1" t="str">
        <f>IFERROR(__xludf.DUMMYFUNCTION("""COMPUTED_VALUE"""),"Yes")</f>
        <v>Yes</v>
      </c>
      <c r="AA968" s="2" t="str">
        <f>IFERROR(__xludf.DUMMYFUNCTION("""COMPUTED_VALUE"""),"https://www.kxxv.com/news/local-news/in-your-neighborhood/we-dont-want-this-lacy-lakeview-approves-data-center-agreement-despite-neighbors-opposition")</f>
        <v>https://www.kxxv.com/news/local-news/in-your-neighborhood/we-dont-want-this-lacy-lakeview-approves-data-center-agreement-despite-neighbors-opposition</v>
      </c>
      <c r="AB968" s="1" t="str">
        <f>IFERROR(__xludf.DUMMYFUNCTION("""COMPUTED_VALUE"""),"")</f>
        <v/>
      </c>
      <c r="AC968" s="1" t="str">
        <f>IFERROR(__xludf.DUMMYFUNCTION("""COMPUTED_VALUE"""),"")</f>
        <v/>
      </c>
      <c r="AD968" s="1" t="str">
        <f>IFERROR(__xludf.DUMMYFUNCTION("""COMPUTED_VALUE"""),"")</f>
        <v/>
      </c>
      <c r="AE968" s="1" t="str">
        <f>IFERROR(__xludf.DUMMYFUNCTION("""COMPUTED_VALUE"""),"")</f>
        <v/>
      </c>
      <c r="AF968" s="2" t="str">
        <f>IFERROR(__xludf.DUMMYFUNCTION("""COMPUTED_VALUE"""),"https://www.change.org/p/stop-infrakey-data-center-from-building-in-lacy-lakeview")</f>
        <v>https://www.change.org/p/stop-infrakey-data-center-from-building-in-lacy-lakeview</v>
      </c>
      <c r="AG968" s="1" t="str">
        <f>IFERROR(__xludf.DUMMYFUNCTION("""COMPUTED_VALUE"""),"")</f>
        <v/>
      </c>
      <c r="AH968" s="1" t="str">
        <f>IFERROR(__xludf.DUMMYFUNCTION("""COMPUTED_VALUE"""),"Media Monitoring")</f>
        <v>Media Monitoring</v>
      </c>
      <c r="AI968" s="2" t="str">
        <f>IFERROR(__xludf.DUMMYFUNCTION("""COMPUTED_VALUE"""),"https://www.datacenterdynamics.com/en/news/10bn-data-center-project-recieves-approval-in-lacy-lakeview-texas/")</f>
        <v>https://www.datacenterdynamics.com/en/news/10bn-data-center-project-recieves-approval-in-lacy-lakeview-texas/</v>
      </c>
      <c r="AJ968" s="2" t="str">
        <f>IFERROR(__xludf.DUMMYFUNCTION("""COMPUTED_VALUE"""),"https://www.datacenterdynamics.com/en/news/infrakey-city-of-lacy-lakeview-unveil-925mw-data-center-district-in-mclennan-county-texas/")</f>
        <v>https://www.datacenterdynamics.com/en/news/infrakey-city-of-lacy-lakeview-unveil-925mw-data-center-district-in-mclennan-county-texas/</v>
      </c>
      <c r="AK968" s="1" t="str">
        <f>IFERROR(__xludf.DUMMYFUNCTION("""COMPUTED_VALUE"""),"")</f>
        <v/>
      </c>
      <c r="AL968" s="1" t="str">
        <f>IFERROR(__xludf.DUMMYFUNCTION("""COMPUTED_VALUE"""),"")</f>
        <v/>
      </c>
      <c r="AM968" s="1" t="str">
        <f>IFERROR(__xludf.DUMMYFUNCTION("""COMPUTED_VALUE"""),"")</f>
        <v/>
      </c>
      <c r="AN968" s="1" t="str">
        <f>IFERROR(__xludf.DUMMYFUNCTION("""COMPUTED_VALUE"""),"")</f>
        <v/>
      </c>
      <c r="AO968" s="1" t="str">
        <f>IFERROR(__xludf.DUMMYFUNCTION("""COMPUTED_VALUE"""),"")</f>
        <v/>
      </c>
      <c r="AP968" s="1" t="str">
        <f>IFERROR(__xludf.DUMMYFUNCTION("""COMPUTED_VALUE"""),"")</f>
        <v/>
      </c>
      <c r="AQ968" s="1" t="str">
        <f>IFERROR(__xludf.DUMMYFUNCTION("""COMPUTED_VALUE"""),"12/11/2025")</f>
        <v>12/11/2025</v>
      </c>
      <c r="AR968" s="1" t="str">
        <f>IFERROR(__xludf.DUMMYFUNCTION("""COMPUTED_VALUE"""),"03/17/2026")</f>
        <v>03/17/2026</v>
      </c>
    </row>
    <row r="969">
      <c r="A969" s="1" t="str">
        <f>IFERROR(__xludf.DUMMYFUNCTION("""COMPUTED_VALUE"""),"Digital Bridge Data Center")</f>
        <v>Digital Bridge Data Center</v>
      </c>
      <c r="B969" s="1" t="str">
        <f>IFERROR(__xludf.DUMMYFUNCTION("""COMPUTED_VALUE"""),"unknown location")</f>
        <v>unknown location</v>
      </c>
      <c r="C969" s="1" t="str">
        <f>IFERROR(__xludf.DUMMYFUNCTION("""COMPUTED_VALUE"""),"Lancaster")</f>
        <v>Lancaster</v>
      </c>
      <c r="D969" s="1" t="str">
        <f>IFERROR(__xludf.DUMMYFUNCTION("""COMPUTED_VALUE"""),"TX")</f>
        <v>TX</v>
      </c>
      <c r="E969" s="1" t="str">
        <f>IFERROR(__xludf.DUMMYFUNCTION("""COMPUTED_VALUE"""),"75146")</f>
        <v>75146</v>
      </c>
      <c r="F969" s="1" t="str">
        <f>IFERROR(__xludf.DUMMYFUNCTION("""COMPUTED_VALUE"""),"Dallas")</f>
        <v>Dallas</v>
      </c>
      <c r="G969" s="1" t="str">
        <f>IFERROR(__xludf.DUMMYFUNCTION("""COMPUTED_VALUE"""),"32.57545")</f>
        <v>32.57545</v>
      </c>
      <c r="H969" s="1" t="str">
        <f>IFERROR(__xludf.DUMMYFUNCTION("""COMPUTED_VALUE"""),"-96.6995")</f>
        <v>-96.6995</v>
      </c>
      <c r="I969" s="1" t="str">
        <f>IFERROR(__xludf.DUMMYFUNCTION("""COMPUTED_VALUE"""),"Proposed")</f>
        <v>Proposed</v>
      </c>
      <c r="J969" s="1" t="str">
        <f>IFERROR(__xludf.DUMMYFUNCTION("""COMPUTED_VALUE"""),"Low")</f>
        <v>Low</v>
      </c>
      <c r="K969" s="1" t="str">
        <f>IFERROR(__xludf.DUMMYFUNCTION("""COMPUTED_VALUE"""),"")</f>
        <v/>
      </c>
      <c r="L969" s="1" t="str">
        <f>IFERROR(__xludf.DUMMYFUNCTION("""COMPUTED_VALUE"""),"")</f>
        <v/>
      </c>
      <c r="M969" s="1" t="str">
        <f>IFERROR(__xludf.DUMMYFUNCTION("""COMPUTED_VALUE"""),"")</f>
        <v/>
      </c>
      <c r="N969" s="1" t="str">
        <f>IFERROR(__xludf.DUMMYFUNCTION("""COMPUTED_VALUE"""),"550")</f>
        <v>550</v>
      </c>
      <c r="O969" s="1" t="str">
        <f>IFERROR(__xludf.DUMMYFUNCTION("""COMPUTED_VALUE"""),"Hyperscale (100-999 MW)")</f>
        <v>Hyperscale (100-999 MW)</v>
      </c>
      <c r="P969" s="1" t="str">
        <f>IFERROR(__xludf.DUMMYFUNCTION("""COMPUTED_VALUE"""),"")</f>
        <v/>
      </c>
      <c r="Q969" s="1" t="str">
        <f>IFERROR(__xludf.DUMMYFUNCTION("""COMPUTED_VALUE"""),"")</f>
        <v/>
      </c>
      <c r="R969" s="1" t="str">
        <f>IFERROR(__xludf.DUMMYFUNCTION("""COMPUTED_VALUE"""),"")</f>
        <v/>
      </c>
      <c r="S969" s="1" t="str">
        <f>IFERROR(__xludf.DUMMYFUNCTION("""COMPUTED_VALUE"""),"")</f>
        <v/>
      </c>
      <c r="T969" s="1" t="str">
        <f>IFERROR(__xludf.DUMMYFUNCTION("""COMPUTED_VALUE"""),"")</f>
        <v/>
      </c>
      <c r="U969" s="1" t="str">
        <f>IFERROR(__xludf.DUMMYFUNCTION("""COMPUTED_VALUE"""),"")</f>
        <v/>
      </c>
      <c r="V969" s="1" t="str">
        <f>IFERROR(__xludf.DUMMYFUNCTION("""COMPUTED_VALUE"""),"")</f>
        <v/>
      </c>
      <c r="W969" s="1" t="str">
        <f>IFERROR(__xludf.DUMMYFUNCTION("""COMPUTED_VALUE"""),"163")</f>
        <v>163</v>
      </c>
      <c r="X969" s="1" t="str">
        <f>IFERROR(__xludf.DUMMYFUNCTION("""COMPUTED_VALUE"""),"")</f>
        <v/>
      </c>
      <c r="Y969" s="1" t="str">
        <f>IFERROR(__xludf.DUMMYFUNCTION("""COMPUTED_VALUE"""),"")</f>
        <v/>
      </c>
      <c r="Z969" s="1" t="str">
        <f>IFERROR(__xludf.DUMMYFUNCTION("""COMPUTED_VALUE"""),"Unknown")</f>
        <v>Unknown</v>
      </c>
      <c r="AA969" s="1" t="str">
        <f>IFERROR(__xludf.DUMMYFUNCTION("""COMPUTED_VALUE"""),"")</f>
        <v/>
      </c>
      <c r="AB969" s="1" t="str">
        <f>IFERROR(__xludf.DUMMYFUNCTION("""COMPUTED_VALUE"""),"")</f>
        <v/>
      </c>
      <c r="AC969" s="1" t="str">
        <f>IFERROR(__xludf.DUMMYFUNCTION("""COMPUTED_VALUE"""),"")</f>
        <v/>
      </c>
      <c r="AD969" s="1" t="str">
        <f>IFERROR(__xludf.DUMMYFUNCTION("""COMPUTED_VALUE"""),"")</f>
        <v/>
      </c>
      <c r="AE969" s="1" t="str">
        <f>IFERROR(__xludf.DUMMYFUNCTION("""COMPUTED_VALUE"""),"")</f>
        <v/>
      </c>
      <c r="AF969" s="1" t="str">
        <f>IFERROR(__xludf.DUMMYFUNCTION("""COMPUTED_VALUE"""),"")</f>
        <v/>
      </c>
      <c r="AG969" s="1" t="str">
        <f>IFERROR(__xludf.DUMMYFUNCTION("""COMPUTED_VALUE"""),"")</f>
        <v/>
      </c>
      <c r="AH969" s="1" t="str">
        <f>IFERROR(__xludf.DUMMYFUNCTION("""COMPUTED_VALUE"""),"Media Monitoring")</f>
        <v>Media Monitoring</v>
      </c>
      <c r="AI969" s="2" t="str">
        <f>IFERROR(__xludf.DUMMYFUNCTION("""COMPUTED_VALUE"""),"https://www.datacenterdynamics.com/en/news/yondr-expands-into-texas-plans-550mw-data-center-in-dallas/")</f>
        <v>https://www.datacenterdynamics.com/en/news/yondr-expands-into-texas-plans-550mw-data-center-in-dallas/</v>
      </c>
      <c r="AJ969" s="1" t="str">
        <f>IFERROR(__xludf.DUMMYFUNCTION("""COMPUTED_VALUE"""),"")</f>
        <v/>
      </c>
      <c r="AK969" s="1" t="str">
        <f>IFERROR(__xludf.DUMMYFUNCTION("""COMPUTED_VALUE"""),"")</f>
        <v/>
      </c>
      <c r="AL969" s="1" t="str">
        <f>IFERROR(__xludf.DUMMYFUNCTION("""COMPUTED_VALUE"""),"")</f>
        <v/>
      </c>
      <c r="AM969" s="1" t="str">
        <f>IFERROR(__xludf.DUMMYFUNCTION("""COMPUTED_VALUE"""),"")</f>
        <v/>
      </c>
      <c r="AN969" s="1" t="str">
        <f>IFERROR(__xludf.DUMMYFUNCTION("""COMPUTED_VALUE"""),"")</f>
        <v/>
      </c>
      <c r="AO969" s="1" t="str">
        <f>IFERROR(__xludf.DUMMYFUNCTION("""COMPUTED_VALUE"""),"")</f>
        <v/>
      </c>
      <c r="AP969" s="1" t="str">
        <f>IFERROR(__xludf.DUMMYFUNCTION("""COMPUTED_VALUE"""),"")</f>
        <v/>
      </c>
      <c r="AQ969" s="1" t="str">
        <f>IFERROR(__xludf.DUMMYFUNCTION("""COMPUTED_VALUE"""),"08/19/2025")</f>
        <v>08/19/2025</v>
      </c>
      <c r="AR969" s="1" t="str">
        <f>IFERROR(__xludf.DUMMYFUNCTION("""COMPUTED_VALUE"""),"08/19/2025")</f>
        <v>08/19/2025</v>
      </c>
    </row>
    <row r="970">
      <c r="A970" s="1" t="str">
        <f>IFERROR(__xludf.DUMMYFUNCTION("""COMPUTED_VALUE"""),"PowerCampus Dallas by Lancaster Data Center Campus LP")</f>
        <v>PowerCampus Dallas by Lancaster Data Center Campus LP</v>
      </c>
      <c r="B970" s="1" t="str">
        <f>IFERROR(__xludf.DUMMYFUNCTION("""COMPUTED_VALUE"""),"~1000 Bear Creek Rd")</f>
        <v>~1000 Bear Creek Rd</v>
      </c>
      <c r="C970" s="1" t="str">
        <f>IFERROR(__xludf.DUMMYFUNCTION("""COMPUTED_VALUE"""),"Lancaster")</f>
        <v>Lancaster</v>
      </c>
      <c r="D970" s="1" t="str">
        <f>IFERROR(__xludf.DUMMYFUNCTION("""COMPUTED_VALUE"""),"TX")</f>
        <v>TX</v>
      </c>
      <c r="E970" s="1" t="str">
        <f>IFERROR(__xludf.DUMMYFUNCTION("""COMPUTED_VALUE"""),"75146")</f>
        <v>75146</v>
      </c>
      <c r="F970" s="1" t="str">
        <f>IFERROR(__xludf.DUMMYFUNCTION("""COMPUTED_VALUE"""),"")</f>
        <v/>
      </c>
      <c r="G970" s="1" t="str">
        <f>IFERROR(__xludf.DUMMYFUNCTION("""COMPUTED_VALUE"""),"32.56777")</f>
        <v>32.56777</v>
      </c>
      <c r="H970" s="1" t="str">
        <f>IFERROR(__xludf.DUMMYFUNCTION("""COMPUTED_VALUE"""),"-96.7739")</f>
        <v>-96.7739</v>
      </c>
      <c r="I970" s="1" t="str">
        <f>IFERROR(__xludf.DUMMYFUNCTION("""COMPUTED_VALUE"""),"Operating")</f>
        <v>Operating</v>
      </c>
      <c r="J970" s="1" t="str">
        <f>IFERROR(__xludf.DUMMYFUNCTION("""COMPUTED_VALUE"""),"Medium")</f>
        <v>Medium</v>
      </c>
      <c r="K970" s="1" t="str">
        <f>IFERROR(__xludf.DUMMYFUNCTION("""COMPUTED_VALUE"""),"")</f>
        <v/>
      </c>
      <c r="L970" s="1" t="str">
        <f>IFERROR(__xludf.DUMMYFUNCTION("""COMPUTED_VALUE"""),"")</f>
        <v/>
      </c>
      <c r="M970" s="1" t="str">
        <f>IFERROR(__xludf.DUMMYFUNCTION("""COMPUTED_VALUE"""),"")</f>
        <v/>
      </c>
      <c r="N970" s="1" t="str">
        <f>IFERROR(__xludf.DUMMYFUNCTION("""COMPUTED_VALUE"""),"300")</f>
        <v>300</v>
      </c>
      <c r="O970" s="1" t="str">
        <f>IFERROR(__xludf.DUMMYFUNCTION("""COMPUTED_VALUE"""),"Hyperscale (100-999 MW)")</f>
        <v>Hyperscale (100-999 MW)</v>
      </c>
      <c r="P970" s="1" t="str">
        <f>IFERROR(__xludf.DUMMYFUNCTION("""COMPUTED_VALUE"""),"")</f>
        <v/>
      </c>
      <c r="Q970" s="1" t="str">
        <f>IFERROR(__xludf.DUMMYFUNCTION("""COMPUTED_VALUE"""),"")</f>
        <v/>
      </c>
      <c r="R970" s="1" t="str">
        <f>IFERROR(__xludf.DUMMYFUNCTION("""COMPUTED_VALUE"""),"")</f>
        <v/>
      </c>
      <c r="S970" s="1" t="str">
        <f>IFERROR(__xludf.DUMMYFUNCTION("""COMPUTED_VALUE"""),"")</f>
        <v/>
      </c>
      <c r="T970" s="1" t="str">
        <f>IFERROR(__xludf.DUMMYFUNCTION("""COMPUTED_VALUE"""),"")</f>
        <v/>
      </c>
      <c r="U970" s="1" t="str">
        <f>IFERROR(__xludf.DUMMYFUNCTION("""COMPUTED_VALUE"""),"")</f>
        <v/>
      </c>
      <c r="V970" s="1" t="str">
        <f>IFERROR(__xludf.DUMMYFUNCTION("""COMPUTED_VALUE"""),"")</f>
        <v/>
      </c>
      <c r="W970" s="1" t="str">
        <f>IFERROR(__xludf.DUMMYFUNCTION("""COMPUTED_VALUE"""),"")</f>
        <v/>
      </c>
      <c r="X970" s="1" t="str">
        <f>IFERROR(__xludf.DUMMYFUNCTION("""COMPUTED_VALUE"""),"")</f>
        <v/>
      </c>
      <c r="Y970" s="1" t="str">
        <f>IFERROR(__xludf.DUMMYFUNCTION("""COMPUTED_VALUE"""),"")</f>
        <v/>
      </c>
      <c r="Z970" s="1" t="str">
        <f>IFERROR(__xludf.DUMMYFUNCTION("""COMPUTED_VALUE"""),"Unknown")</f>
        <v>Unknown</v>
      </c>
      <c r="AA970" s="1" t="str">
        <f>IFERROR(__xludf.DUMMYFUNCTION("""COMPUTED_VALUE"""),"")</f>
        <v/>
      </c>
      <c r="AB970" s="1" t="str">
        <f>IFERROR(__xludf.DUMMYFUNCTION("""COMPUTED_VALUE"""),"")</f>
        <v/>
      </c>
      <c r="AC970" s="1" t="str">
        <f>IFERROR(__xludf.DUMMYFUNCTION("""COMPUTED_VALUE"""),"")</f>
        <v/>
      </c>
      <c r="AD970" s="1" t="str">
        <f>IFERROR(__xludf.DUMMYFUNCTION("""COMPUTED_VALUE"""),"")</f>
        <v/>
      </c>
      <c r="AE970" s="1" t="str">
        <f>IFERROR(__xludf.DUMMYFUNCTION("""COMPUTED_VALUE"""),"")</f>
        <v/>
      </c>
      <c r="AF970" s="1" t="str">
        <f>IFERROR(__xludf.DUMMYFUNCTION("""COMPUTED_VALUE"""),"")</f>
        <v/>
      </c>
      <c r="AG970" s="1" t="str">
        <f>IFERROR(__xludf.DUMMYFUNCTION("""COMPUTED_VALUE"""),"")</f>
        <v/>
      </c>
      <c r="AH970" s="1" t="str">
        <f>IFERROR(__xludf.DUMMYFUNCTION("""COMPUTED_VALUE"""),"Media Monitoring")</f>
        <v>Media Monitoring</v>
      </c>
      <c r="AI970" s="2" t="str">
        <f>IFERROR(__xludf.DUMMYFUNCTION("""COMPUTED_VALUE"""),"https://comptroller.texas.gov/taxes/data-centers/data-center-lists.php")</f>
        <v>https://comptroller.texas.gov/taxes/data-centers/data-center-lists.php</v>
      </c>
      <c r="AJ970" s="2" t="str">
        <f>IFERROR(__xludf.DUMMYFUNCTION("""COMPUTED_VALUE"""),"https://baxtel.com/data-center/skybox-powercampus-dallas")</f>
        <v>https://baxtel.com/data-center/skybox-powercampus-dallas</v>
      </c>
      <c r="AK970" s="1" t="str">
        <f>IFERROR(__xludf.DUMMYFUNCTION("""COMPUTED_VALUE"""),"")</f>
        <v/>
      </c>
      <c r="AL970" s="1" t="str">
        <f>IFERROR(__xludf.DUMMYFUNCTION("""COMPUTED_VALUE"""),"")</f>
        <v/>
      </c>
      <c r="AM970" s="1" t="str">
        <f>IFERROR(__xludf.DUMMYFUNCTION("""COMPUTED_VALUE"""),"")</f>
        <v/>
      </c>
      <c r="AN970" s="1" t="str">
        <f>IFERROR(__xludf.DUMMYFUNCTION("""COMPUTED_VALUE"""),"")</f>
        <v/>
      </c>
      <c r="AO970" s="1" t="str">
        <f>IFERROR(__xludf.DUMMYFUNCTION("""COMPUTED_VALUE"""),"")</f>
        <v/>
      </c>
      <c r="AP970" s="1" t="str">
        <f>IFERROR(__xludf.DUMMYFUNCTION("""COMPUTED_VALUE"""),"")</f>
        <v/>
      </c>
      <c r="AQ970" s="1" t="str">
        <f>IFERROR(__xludf.DUMMYFUNCTION("""COMPUTED_VALUE"""),"08/05/2025")</f>
        <v>08/05/2025</v>
      </c>
      <c r="AR970" s="1" t="str">
        <f>IFERROR(__xludf.DUMMYFUNCTION("""COMPUTED_VALUE"""),"08/05/2025")</f>
        <v>08/05/2025</v>
      </c>
    </row>
    <row r="971">
      <c r="A971" s="1" t="str">
        <f>IFERROR(__xludf.DUMMYFUNCTION("""COMPUTED_VALUE"""),"Project Labrador (WHL Dallas 45 LLC)")</f>
        <v>Project Labrador (WHL Dallas 45 LLC)</v>
      </c>
      <c r="B971" s="1" t="str">
        <f>IFERROR(__xludf.DUMMYFUNCTION("""COMPUTED_VALUE"""),"1401 Greene Rd")</f>
        <v>1401 Greene Rd</v>
      </c>
      <c r="C971" s="1" t="str">
        <f>IFERROR(__xludf.DUMMYFUNCTION("""COMPUTED_VALUE"""),"Lancaster")</f>
        <v>Lancaster</v>
      </c>
      <c r="D971" s="1" t="str">
        <f>IFERROR(__xludf.DUMMYFUNCTION("""COMPUTED_VALUE"""),"TX")</f>
        <v>TX</v>
      </c>
      <c r="E971" s="1" t="str">
        <f>IFERROR(__xludf.DUMMYFUNCTION("""COMPUTED_VALUE"""),"75146")</f>
        <v>75146</v>
      </c>
      <c r="F971" s="1" t="str">
        <f>IFERROR(__xludf.DUMMYFUNCTION("""COMPUTED_VALUE"""),"Dallas")</f>
        <v>Dallas</v>
      </c>
      <c r="G971" s="1" t="str">
        <f>IFERROR(__xludf.DUMMYFUNCTION("""COMPUTED_VALUE"""),"32.59966")</f>
        <v>32.59966</v>
      </c>
      <c r="H971" s="1" t="str">
        <f>IFERROR(__xludf.DUMMYFUNCTION("""COMPUTED_VALUE"""),"-96.7302")</f>
        <v>-96.7302</v>
      </c>
      <c r="I971" s="1" t="str">
        <f>IFERROR(__xludf.DUMMYFUNCTION("""COMPUTED_VALUE"""),"Proposed")</f>
        <v>Proposed</v>
      </c>
      <c r="J971" s="1" t="str">
        <f>IFERROR(__xludf.DUMMYFUNCTION("""COMPUTED_VALUE"""),"High")</f>
        <v>High</v>
      </c>
      <c r="K971" s="1" t="str">
        <f>IFERROR(__xludf.DUMMYFUNCTION("""COMPUTED_VALUE"""),"")</f>
        <v/>
      </c>
      <c r="L971" s="1" t="str">
        <f>IFERROR(__xludf.DUMMYFUNCTION("""COMPUTED_VALUE"""),"")</f>
        <v/>
      </c>
      <c r="M971" s="1" t="str">
        <f>IFERROR(__xludf.DUMMYFUNCTION("""COMPUTED_VALUE"""),"")</f>
        <v/>
      </c>
      <c r="N971" s="1" t="str">
        <f>IFERROR(__xludf.DUMMYFUNCTION("""COMPUTED_VALUE"""),"")</f>
        <v/>
      </c>
      <c r="O971" s="1" t="str">
        <f>IFERROR(__xludf.DUMMYFUNCTION("""COMPUTED_VALUE"""),"Unknown")</f>
        <v>Unknown</v>
      </c>
      <c r="P971" s="1" t="str">
        <f>IFERROR(__xludf.DUMMYFUNCTION("""COMPUTED_VALUE"""),"")</f>
        <v/>
      </c>
      <c r="Q971" s="1" t="str">
        <f>IFERROR(__xludf.DUMMYFUNCTION("""COMPUTED_VALUE"""),"")</f>
        <v/>
      </c>
      <c r="R971" s="1" t="str">
        <f>IFERROR(__xludf.DUMMYFUNCTION("""COMPUTED_VALUE"""),"")</f>
        <v/>
      </c>
      <c r="S971" s="1" t="str">
        <f>IFERROR(__xludf.DUMMYFUNCTION("""COMPUTED_VALUE"""),"")</f>
        <v/>
      </c>
      <c r="T971" s="1" t="str">
        <f>IFERROR(__xludf.DUMMYFUNCTION("""COMPUTED_VALUE"""),"")</f>
        <v/>
      </c>
      <c r="U971" s="1" t="str">
        <f>IFERROR(__xludf.DUMMYFUNCTION("""COMPUTED_VALUE"""),"")</f>
        <v/>
      </c>
      <c r="V971" s="1" t="str">
        <f>IFERROR(__xludf.DUMMYFUNCTION("""COMPUTED_VALUE"""),"1,040,000")</f>
        <v>1,040,000</v>
      </c>
      <c r="W971" s="1" t="str">
        <f>IFERROR(__xludf.DUMMYFUNCTION("""COMPUTED_VALUE"""),"419")</f>
        <v>419</v>
      </c>
      <c r="X971" s="1" t="str">
        <f>IFERROR(__xludf.DUMMYFUNCTION("""COMPUTED_VALUE"""),"")</f>
        <v/>
      </c>
      <c r="Y971" s="1" t="str">
        <f>IFERROR(__xludf.DUMMYFUNCTION("""COMPUTED_VALUE"""),"")</f>
        <v/>
      </c>
      <c r="Z971" s="1" t="str">
        <f>IFERROR(__xludf.DUMMYFUNCTION("""COMPUTED_VALUE"""),"Unknown")</f>
        <v>Unknown</v>
      </c>
      <c r="AA971" s="1" t="str">
        <f>IFERROR(__xludf.DUMMYFUNCTION("""COMPUTED_VALUE"""),"")</f>
        <v/>
      </c>
      <c r="AB971" s="1" t="str">
        <f>IFERROR(__xludf.DUMMYFUNCTION("""COMPUTED_VALUE"""),"")</f>
        <v/>
      </c>
      <c r="AC971" s="1" t="str">
        <f>IFERROR(__xludf.DUMMYFUNCTION("""COMPUTED_VALUE"""),"")</f>
        <v/>
      </c>
      <c r="AD971" s="1" t="str">
        <f>IFERROR(__xludf.DUMMYFUNCTION("""COMPUTED_VALUE"""),"")</f>
        <v/>
      </c>
      <c r="AE971" s="1" t="str">
        <f>IFERROR(__xludf.DUMMYFUNCTION("""COMPUTED_VALUE"""),"")</f>
        <v/>
      </c>
      <c r="AF971" s="1" t="str">
        <f>IFERROR(__xludf.DUMMYFUNCTION("""COMPUTED_VALUE"""),"")</f>
        <v/>
      </c>
      <c r="AG971" s="1" t="str">
        <f>IFERROR(__xludf.DUMMYFUNCTION("""COMPUTED_VALUE"""),"")</f>
        <v/>
      </c>
      <c r="AH971" s="1" t="str">
        <f>IFERROR(__xludf.DUMMYFUNCTION("""COMPUTED_VALUE"""),"Media Monitoring")</f>
        <v>Media Monitoring</v>
      </c>
      <c r="AI971" s="2" t="str">
        <f>IFERROR(__xludf.DUMMYFUNCTION("""COMPUTED_VALUE"""),"https://www.datacenterdynamics.com/en/news/large-data-center-campus-proposed-in-lancaster-area-of-dallas-texas/")</f>
        <v>https://www.datacenterdynamics.com/en/news/large-data-center-campus-proposed-in-lancaster-area-of-dallas-texas/</v>
      </c>
      <c r="AJ971" s="1" t="str">
        <f>IFERROR(__xludf.DUMMYFUNCTION("""COMPUTED_VALUE"""),"")</f>
        <v/>
      </c>
      <c r="AK971" s="1" t="str">
        <f>IFERROR(__xludf.DUMMYFUNCTION("""COMPUTED_VALUE"""),"")</f>
        <v/>
      </c>
      <c r="AL971" s="1" t="str">
        <f>IFERROR(__xludf.DUMMYFUNCTION("""COMPUTED_VALUE"""),"")</f>
        <v/>
      </c>
      <c r="AM971" s="1" t="str">
        <f>IFERROR(__xludf.DUMMYFUNCTION("""COMPUTED_VALUE"""),"")</f>
        <v/>
      </c>
      <c r="AN971" s="1" t="str">
        <f>IFERROR(__xludf.DUMMYFUNCTION("""COMPUTED_VALUE"""),"")</f>
        <v/>
      </c>
      <c r="AO971" s="1" t="str">
        <f>IFERROR(__xludf.DUMMYFUNCTION("""COMPUTED_VALUE"""),"")</f>
        <v/>
      </c>
      <c r="AP971" s="1" t="str">
        <f>IFERROR(__xludf.DUMMYFUNCTION("""COMPUTED_VALUE"""),"")</f>
        <v/>
      </c>
      <c r="AQ971" s="1" t="str">
        <f>IFERROR(__xludf.DUMMYFUNCTION("""COMPUTED_VALUE"""),"08/19/2025")</f>
        <v>08/19/2025</v>
      </c>
      <c r="AR971" s="1" t="str">
        <f>IFERROR(__xludf.DUMMYFUNCTION("""COMPUTED_VALUE"""),"08/19/2025")</f>
        <v>08/19/2025</v>
      </c>
    </row>
    <row r="972">
      <c r="A972" s="1" t="str">
        <f>IFERROR(__xludf.DUMMYFUNCTION("""COMPUTED_VALUE"""),"Project Oranger (WHL Dallas 45 LLC)")</f>
        <v>Project Oranger (WHL Dallas 45 LLC)</v>
      </c>
      <c r="B972" s="1" t="str">
        <f>IFERROR(__xludf.DUMMYFUNCTION("""COMPUTED_VALUE"""),"201 Sunrise Rd")</f>
        <v>201 Sunrise Rd</v>
      </c>
      <c r="C972" s="1" t="str">
        <f>IFERROR(__xludf.DUMMYFUNCTION("""COMPUTED_VALUE"""),"Lancaster")</f>
        <v>Lancaster</v>
      </c>
      <c r="D972" s="1" t="str">
        <f>IFERROR(__xludf.DUMMYFUNCTION("""COMPUTED_VALUE"""),"TX")</f>
        <v>TX</v>
      </c>
      <c r="E972" s="1" t="str">
        <f>IFERROR(__xludf.DUMMYFUNCTION("""COMPUTED_VALUE"""),"75146")</f>
        <v>75146</v>
      </c>
      <c r="F972" s="1" t="str">
        <f>IFERROR(__xludf.DUMMYFUNCTION("""COMPUTED_VALUE"""),"Dallas")</f>
        <v>Dallas</v>
      </c>
      <c r="G972" s="1" t="str">
        <f>IFERROR(__xludf.DUMMYFUNCTION("""COMPUTED_VALUE"""),"32.57294")</f>
        <v>32.57294</v>
      </c>
      <c r="H972" s="1" t="str">
        <f>IFERROR(__xludf.DUMMYFUNCTION("""COMPUTED_VALUE"""),"-96.6993")</f>
        <v>-96.6993</v>
      </c>
      <c r="I972" s="1" t="str">
        <f>IFERROR(__xludf.DUMMYFUNCTION("""COMPUTED_VALUE"""),"Proposed")</f>
        <v>Proposed</v>
      </c>
      <c r="J972" s="1" t="str">
        <f>IFERROR(__xludf.DUMMYFUNCTION("""COMPUTED_VALUE"""),"High")</f>
        <v>High</v>
      </c>
      <c r="K972" s="1" t="str">
        <f>IFERROR(__xludf.DUMMYFUNCTION("""COMPUTED_VALUE"""),"")</f>
        <v/>
      </c>
      <c r="L972" s="1" t="str">
        <f>IFERROR(__xludf.DUMMYFUNCTION("""COMPUTED_VALUE"""),"")</f>
        <v/>
      </c>
      <c r="M972" s="1" t="str">
        <f>IFERROR(__xludf.DUMMYFUNCTION("""COMPUTED_VALUE"""),"")</f>
        <v/>
      </c>
      <c r="N972" s="1" t="str">
        <f>IFERROR(__xludf.DUMMYFUNCTION("""COMPUTED_VALUE"""),"252")</f>
        <v>252</v>
      </c>
      <c r="O972" s="1" t="str">
        <f>IFERROR(__xludf.DUMMYFUNCTION("""COMPUTED_VALUE"""),"Hyperscale (100-999 MW)")</f>
        <v>Hyperscale (100-999 MW)</v>
      </c>
      <c r="P972" s="1" t="str">
        <f>IFERROR(__xludf.DUMMYFUNCTION("""COMPUTED_VALUE"""),"")</f>
        <v/>
      </c>
      <c r="Q972" s="1" t="str">
        <f>IFERROR(__xludf.DUMMYFUNCTION("""COMPUTED_VALUE"""),"")</f>
        <v/>
      </c>
      <c r="R972" s="1" t="str">
        <f>IFERROR(__xludf.DUMMYFUNCTION("""COMPUTED_VALUE"""),"")</f>
        <v/>
      </c>
      <c r="S972" s="1" t="str">
        <f>IFERROR(__xludf.DUMMYFUNCTION("""COMPUTED_VALUE"""),"")</f>
        <v/>
      </c>
      <c r="T972" s="1" t="str">
        <f>IFERROR(__xludf.DUMMYFUNCTION("""COMPUTED_VALUE"""),"")</f>
        <v/>
      </c>
      <c r="U972" s="1" t="str">
        <f>IFERROR(__xludf.DUMMYFUNCTION("""COMPUTED_VALUE"""),"")</f>
        <v/>
      </c>
      <c r="V972" s="1" t="str">
        <f>IFERROR(__xludf.DUMMYFUNCTION("""COMPUTED_VALUE"""),"1,500,000")</f>
        <v>1,500,000</v>
      </c>
      <c r="W972" s="1" t="str">
        <f>IFERROR(__xludf.DUMMYFUNCTION("""COMPUTED_VALUE"""),"116")</f>
        <v>116</v>
      </c>
      <c r="X972" s="1" t="str">
        <f>IFERROR(__xludf.DUMMYFUNCTION("""COMPUTED_VALUE"""),"")</f>
        <v/>
      </c>
      <c r="Y972" s="1" t="str">
        <f>IFERROR(__xludf.DUMMYFUNCTION("""COMPUTED_VALUE"""),"")</f>
        <v/>
      </c>
      <c r="Z972" s="1" t="str">
        <f>IFERROR(__xludf.DUMMYFUNCTION("""COMPUTED_VALUE"""),"Unknown")</f>
        <v>Unknown</v>
      </c>
      <c r="AA972" s="1" t="str">
        <f>IFERROR(__xludf.DUMMYFUNCTION("""COMPUTED_VALUE"""),"")</f>
        <v/>
      </c>
      <c r="AB972" s="1" t="str">
        <f>IFERROR(__xludf.DUMMYFUNCTION("""COMPUTED_VALUE"""),"")</f>
        <v/>
      </c>
      <c r="AC972" s="1" t="str">
        <f>IFERROR(__xludf.DUMMYFUNCTION("""COMPUTED_VALUE"""),"")</f>
        <v/>
      </c>
      <c r="AD972" s="1" t="str">
        <f>IFERROR(__xludf.DUMMYFUNCTION("""COMPUTED_VALUE"""),"")</f>
        <v/>
      </c>
      <c r="AE972" s="1" t="str">
        <f>IFERROR(__xludf.DUMMYFUNCTION("""COMPUTED_VALUE"""),"")</f>
        <v/>
      </c>
      <c r="AF972" s="1" t="str">
        <f>IFERROR(__xludf.DUMMYFUNCTION("""COMPUTED_VALUE"""),"")</f>
        <v/>
      </c>
      <c r="AG972" s="1" t="str">
        <f>IFERROR(__xludf.DUMMYFUNCTION("""COMPUTED_VALUE"""),"")</f>
        <v/>
      </c>
      <c r="AH972" s="1" t="str">
        <f>IFERROR(__xludf.DUMMYFUNCTION("""COMPUTED_VALUE"""),"Media Monitoring")</f>
        <v>Media Monitoring</v>
      </c>
      <c r="AI972" s="2" t="str">
        <f>IFERROR(__xludf.DUMMYFUNCTION("""COMPUTED_VALUE"""),"https://www.datacenterdynamics.com/en/news/large-data-center-campus-proposed-in-lancaster-area-of-dallas-texas/")</f>
        <v>https://www.datacenterdynamics.com/en/news/large-data-center-campus-proposed-in-lancaster-area-of-dallas-texas/</v>
      </c>
      <c r="AJ972" s="1" t="str">
        <f>IFERROR(__xludf.DUMMYFUNCTION("""COMPUTED_VALUE"""),"")</f>
        <v/>
      </c>
      <c r="AK972" s="1" t="str">
        <f>IFERROR(__xludf.DUMMYFUNCTION("""COMPUTED_VALUE"""),"")</f>
        <v/>
      </c>
      <c r="AL972" s="1" t="str">
        <f>IFERROR(__xludf.DUMMYFUNCTION("""COMPUTED_VALUE"""),"")</f>
        <v/>
      </c>
      <c r="AM972" s="1" t="str">
        <f>IFERROR(__xludf.DUMMYFUNCTION("""COMPUTED_VALUE"""),"")</f>
        <v/>
      </c>
      <c r="AN972" s="1" t="str">
        <f>IFERROR(__xludf.DUMMYFUNCTION("""COMPUTED_VALUE"""),"")</f>
        <v/>
      </c>
      <c r="AO972" s="1" t="str">
        <f>IFERROR(__xludf.DUMMYFUNCTION("""COMPUTED_VALUE"""),"")</f>
        <v/>
      </c>
      <c r="AP972" s="1" t="str">
        <f>IFERROR(__xludf.DUMMYFUNCTION("""COMPUTED_VALUE"""),"")</f>
        <v/>
      </c>
      <c r="AQ972" s="1" t="str">
        <f>IFERROR(__xludf.DUMMYFUNCTION("""COMPUTED_VALUE"""),"08/19/2025")</f>
        <v>08/19/2025</v>
      </c>
      <c r="AR972" s="1" t="str">
        <f>IFERROR(__xludf.DUMMYFUNCTION("""COMPUTED_VALUE"""),"08/19/2025")</f>
        <v>08/19/2025</v>
      </c>
    </row>
    <row r="973">
      <c r="A973" s="1" t="str">
        <f>IFERROR(__xludf.DUMMYFUNCTION("""COMPUTED_VALUE"""),"QTS Wilmer  (DFW2 and DC1)")</f>
        <v>QTS Wilmer  (DFW2 and DC1)</v>
      </c>
      <c r="B973" s="1" t="str">
        <f>IFERROR(__xludf.DUMMYFUNCTION("""COMPUTED_VALUE"""),"1341 Sunrise Rd")</f>
        <v>1341 Sunrise Rd</v>
      </c>
      <c r="C973" s="1" t="str">
        <f>IFERROR(__xludf.DUMMYFUNCTION("""COMPUTED_VALUE"""),"Lancaster")</f>
        <v>Lancaster</v>
      </c>
      <c r="D973" s="1" t="str">
        <f>IFERROR(__xludf.DUMMYFUNCTION("""COMPUTED_VALUE"""),"TX")</f>
        <v>TX</v>
      </c>
      <c r="E973" s="1" t="str">
        <f>IFERROR(__xludf.DUMMYFUNCTION("""COMPUTED_VALUE"""),"75146")</f>
        <v>75146</v>
      </c>
      <c r="F973" s="1" t="str">
        <f>IFERROR(__xludf.DUMMYFUNCTION("""COMPUTED_VALUE"""),"Dallas")</f>
        <v>Dallas</v>
      </c>
      <c r="G973" s="1" t="str">
        <f>IFERROR(__xludf.DUMMYFUNCTION("""COMPUTED_VALUE"""),"32.580692")</f>
        <v>32.580692</v>
      </c>
      <c r="H973" s="1" t="str">
        <f>IFERROR(__xludf.DUMMYFUNCTION("""COMPUTED_VALUE"""),"-96.70294")</f>
        <v>-96.70294</v>
      </c>
      <c r="I973" s="1" t="str">
        <f>IFERROR(__xludf.DUMMYFUNCTION("""COMPUTED_VALUE"""),"Expanding")</f>
        <v>Expanding</v>
      </c>
      <c r="J973" s="1" t="str">
        <f>IFERROR(__xludf.DUMMYFUNCTION("""COMPUTED_VALUE"""),"High")</f>
        <v>High</v>
      </c>
      <c r="K973" s="1" t="str">
        <f>IFERROR(__xludf.DUMMYFUNCTION("""COMPUTED_VALUE"""),"")</f>
        <v/>
      </c>
      <c r="L973" s="1" t="str">
        <f>IFERROR(__xludf.DUMMYFUNCTION("""COMPUTED_VALUE"""),"")</f>
        <v/>
      </c>
      <c r="M973" s="1" t="str">
        <f>IFERROR(__xludf.DUMMYFUNCTION("""COMPUTED_VALUE"""),"")</f>
        <v/>
      </c>
      <c r="N973" s="1" t="str">
        <f>IFERROR(__xludf.DUMMYFUNCTION("""COMPUTED_VALUE"""),"")</f>
        <v/>
      </c>
      <c r="O973" s="1" t="str">
        <f>IFERROR(__xludf.DUMMYFUNCTION("""COMPUTED_VALUE"""),"Unknown")</f>
        <v>Unknown</v>
      </c>
      <c r="P973" s="1" t="str">
        <f>IFERROR(__xludf.DUMMYFUNCTION("""COMPUTED_VALUE"""),"")</f>
        <v/>
      </c>
      <c r="Q973" s="1" t="str">
        <f>IFERROR(__xludf.DUMMYFUNCTION("""COMPUTED_VALUE"""),"")</f>
        <v/>
      </c>
      <c r="R973" s="1" t="str">
        <f>IFERROR(__xludf.DUMMYFUNCTION("""COMPUTED_VALUE"""),"")</f>
        <v/>
      </c>
      <c r="S973" s="1" t="str">
        <f>IFERROR(__xludf.DUMMYFUNCTION("""COMPUTED_VALUE"""),"")</f>
        <v/>
      </c>
      <c r="T973" s="1" t="str">
        <f>IFERROR(__xludf.DUMMYFUNCTION("""COMPUTED_VALUE"""),"")</f>
        <v/>
      </c>
      <c r="U973" s="1" t="str">
        <f>IFERROR(__xludf.DUMMYFUNCTION("""COMPUTED_VALUE"""),"")</f>
        <v/>
      </c>
      <c r="V973" s="1" t="str">
        <f>IFERROR(__xludf.DUMMYFUNCTION("""COMPUTED_VALUE"""),"777,225")</f>
        <v>777,225</v>
      </c>
      <c r="W973" s="1" t="str">
        <f>IFERROR(__xludf.DUMMYFUNCTION("""COMPUTED_VALUE"""),"")</f>
        <v/>
      </c>
      <c r="X973" s="1" t="str">
        <f>IFERROR(__xludf.DUMMYFUNCTION("""COMPUTED_VALUE"""),"")</f>
        <v/>
      </c>
      <c r="Y973" s="1" t="str">
        <f>IFERROR(__xludf.DUMMYFUNCTION("""COMPUTED_VALUE"""),"2027")</f>
        <v>2027</v>
      </c>
      <c r="Z973" s="1" t="str">
        <f>IFERROR(__xludf.DUMMYFUNCTION("""COMPUTED_VALUE"""),"Unknown")</f>
        <v>Unknown</v>
      </c>
      <c r="AA973" s="1" t="str">
        <f>IFERROR(__xludf.DUMMYFUNCTION("""COMPUTED_VALUE"""),"")</f>
        <v/>
      </c>
      <c r="AB973" s="1" t="str">
        <f>IFERROR(__xludf.DUMMYFUNCTION("""COMPUTED_VALUE"""),"")</f>
        <v/>
      </c>
      <c r="AC973" s="1" t="str">
        <f>IFERROR(__xludf.DUMMYFUNCTION("""COMPUTED_VALUE"""),"")</f>
        <v/>
      </c>
      <c r="AD973" s="1" t="str">
        <f>IFERROR(__xludf.DUMMYFUNCTION("""COMPUTED_VALUE"""),"")</f>
        <v/>
      </c>
      <c r="AE973" s="1" t="str">
        <f>IFERROR(__xludf.DUMMYFUNCTION("""COMPUTED_VALUE"""),"")</f>
        <v/>
      </c>
      <c r="AF973" s="1" t="str">
        <f>IFERROR(__xludf.DUMMYFUNCTION("""COMPUTED_VALUE"""),"")</f>
        <v/>
      </c>
      <c r="AG973" s="1" t="str">
        <f>IFERROR(__xludf.DUMMYFUNCTION("""COMPUTED_VALUE"""),"")</f>
        <v/>
      </c>
      <c r="AH973" s="1" t="str">
        <f>IFERROR(__xludf.DUMMYFUNCTION("""COMPUTED_VALUE"""),"Media Monitoring")</f>
        <v>Media Monitoring</v>
      </c>
      <c r="AI973" s="2" t="str">
        <f>IFERROR(__xludf.DUMMYFUNCTION("""COMPUTED_VALUE"""),"https://www.datacenterdynamics.com/en/news/qts-files-to-add-another-building-to-wilmer-data-center-campus-texas/")</f>
        <v>https://www.datacenterdynamics.com/en/news/qts-files-to-add-another-building-to-wilmer-data-center-campus-texas/</v>
      </c>
      <c r="AJ973" s="1" t="str">
        <f>IFERROR(__xludf.DUMMYFUNCTION("""COMPUTED_VALUE"""),"")</f>
        <v/>
      </c>
      <c r="AK973" s="1" t="str">
        <f>IFERROR(__xludf.DUMMYFUNCTION("""COMPUTED_VALUE"""),"")</f>
        <v/>
      </c>
      <c r="AL973" s="1" t="str">
        <f>IFERROR(__xludf.DUMMYFUNCTION("""COMPUTED_VALUE"""),"")</f>
        <v/>
      </c>
      <c r="AM973" s="1" t="str">
        <f>IFERROR(__xludf.DUMMYFUNCTION("""COMPUTED_VALUE"""),"")</f>
        <v/>
      </c>
      <c r="AN973" s="1" t="str">
        <f>IFERROR(__xludf.DUMMYFUNCTION("""COMPUTED_VALUE"""),"")</f>
        <v/>
      </c>
      <c r="AO973" s="1" t="str">
        <f>IFERROR(__xludf.DUMMYFUNCTION("""COMPUTED_VALUE"""),"")</f>
        <v/>
      </c>
      <c r="AP973" s="1" t="str">
        <f>IFERROR(__xludf.DUMMYFUNCTION("""COMPUTED_VALUE"""),"")</f>
        <v/>
      </c>
      <c r="AQ973" s="1" t="str">
        <f>IFERROR(__xludf.DUMMYFUNCTION("""COMPUTED_VALUE"""),"04/15/2026")</f>
        <v>04/15/2026</v>
      </c>
      <c r="AR973" s="1" t="str">
        <f>IFERROR(__xludf.DUMMYFUNCTION("""COMPUTED_VALUE"""),"04/15/2026")</f>
        <v>04/15/2026</v>
      </c>
    </row>
    <row r="974">
      <c r="A974" s="1" t="str">
        <f>IFERROR(__xludf.DUMMYFUNCTION("""COMPUTED_VALUE"""),"Digital Realty Data Center")</f>
        <v>Digital Realty Data Center</v>
      </c>
      <c r="B974" s="1" t="str">
        <f>IFERROR(__xludf.DUMMYFUNCTION("""COMPUTED_VALUE"""),"2501 State Hwy 121 #400D")</f>
        <v>2501 State Hwy 121 #400D</v>
      </c>
      <c r="C974" s="1" t="str">
        <f>IFERROR(__xludf.DUMMYFUNCTION("""COMPUTED_VALUE"""),"Lewisville")</f>
        <v>Lewisville</v>
      </c>
      <c r="D974" s="1" t="str">
        <f>IFERROR(__xludf.DUMMYFUNCTION("""COMPUTED_VALUE"""),"TX")</f>
        <v>TX</v>
      </c>
      <c r="E974" s="1" t="str">
        <f>IFERROR(__xludf.DUMMYFUNCTION("""COMPUTED_VALUE"""),"75067")</f>
        <v>75067</v>
      </c>
      <c r="F974" s="1" t="str">
        <f>IFERROR(__xludf.DUMMYFUNCTION("""COMPUTED_VALUE"""),"Denton")</f>
        <v>Denton</v>
      </c>
      <c r="G974" s="1" t="str">
        <f>IFERROR(__xludf.DUMMYFUNCTION("""COMPUTED_VALUE"""),"32.9994")</f>
        <v>32.9994</v>
      </c>
      <c r="H974" s="1" t="str">
        <f>IFERROR(__xludf.DUMMYFUNCTION("""COMPUTED_VALUE"""),"-96.9996")</f>
        <v>-96.9996</v>
      </c>
      <c r="I974" s="1" t="str">
        <f>IFERROR(__xludf.DUMMYFUNCTION("""COMPUTED_VALUE"""),"Operating")</f>
        <v>Operating</v>
      </c>
      <c r="J974" s="1" t="str">
        <f>IFERROR(__xludf.DUMMYFUNCTION("""COMPUTED_VALUE"""),"High")</f>
        <v>High</v>
      </c>
      <c r="K974" s="1" t="str">
        <f>IFERROR(__xludf.DUMMYFUNCTION("""COMPUTED_VALUE"""),"")</f>
        <v/>
      </c>
      <c r="L974" s="1" t="str">
        <f>IFERROR(__xludf.DUMMYFUNCTION("""COMPUTED_VALUE"""),"")</f>
        <v/>
      </c>
      <c r="M974" s="1" t="str">
        <f>IFERROR(__xludf.DUMMYFUNCTION("""COMPUTED_VALUE"""),"")</f>
        <v/>
      </c>
      <c r="N974" s="1" t="str">
        <f>IFERROR(__xludf.DUMMYFUNCTION("""COMPUTED_VALUE"""),"")</f>
        <v/>
      </c>
      <c r="O974" s="1" t="str">
        <f>IFERROR(__xludf.DUMMYFUNCTION("""COMPUTED_VALUE"""),"Unknown")</f>
        <v>Unknown</v>
      </c>
      <c r="P974" s="1" t="str">
        <f>IFERROR(__xludf.DUMMYFUNCTION("""COMPUTED_VALUE"""),"")</f>
        <v/>
      </c>
      <c r="Q974" s="1" t="str">
        <f>IFERROR(__xludf.DUMMYFUNCTION("""COMPUTED_VALUE"""),"")</f>
        <v/>
      </c>
      <c r="R974" s="1" t="str">
        <f>IFERROR(__xludf.DUMMYFUNCTION("""COMPUTED_VALUE"""),"")</f>
        <v/>
      </c>
      <c r="S974" s="1" t="str">
        <f>IFERROR(__xludf.DUMMYFUNCTION("""COMPUTED_VALUE"""),"")</f>
        <v/>
      </c>
      <c r="T974" s="1" t="str">
        <f>IFERROR(__xludf.DUMMYFUNCTION("""COMPUTED_VALUE"""),"")</f>
        <v/>
      </c>
      <c r="U974" s="1" t="str">
        <f>IFERROR(__xludf.DUMMYFUNCTION("""COMPUTED_VALUE"""),"")</f>
        <v/>
      </c>
      <c r="V974" s="1" t="str">
        <f>IFERROR(__xludf.DUMMYFUNCTION("""COMPUTED_VALUE"""),"")</f>
        <v/>
      </c>
      <c r="W974" s="1" t="str">
        <f>IFERROR(__xludf.DUMMYFUNCTION("""COMPUTED_VALUE"""),"")</f>
        <v/>
      </c>
      <c r="X974" s="1" t="str">
        <f>IFERROR(__xludf.DUMMYFUNCTION("""COMPUTED_VALUE"""),"")</f>
        <v/>
      </c>
      <c r="Y974" s="1" t="str">
        <f>IFERROR(__xludf.DUMMYFUNCTION("""COMPUTED_VALUE"""),"")</f>
        <v/>
      </c>
      <c r="Z974" s="1" t="str">
        <f>IFERROR(__xludf.DUMMYFUNCTION("""COMPUTED_VALUE"""),"Unknown")</f>
        <v>Unknown</v>
      </c>
      <c r="AA974" s="1" t="str">
        <f>IFERROR(__xludf.DUMMYFUNCTION("""COMPUTED_VALUE"""),"")</f>
        <v/>
      </c>
      <c r="AB974" s="1" t="str">
        <f>IFERROR(__xludf.DUMMYFUNCTION("""COMPUTED_VALUE"""),"")</f>
        <v/>
      </c>
      <c r="AC974" s="1" t="str">
        <f>IFERROR(__xludf.DUMMYFUNCTION("""COMPUTED_VALUE"""),"")</f>
        <v/>
      </c>
      <c r="AD974" s="1" t="str">
        <f>IFERROR(__xludf.DUMMYFUNCTION("""COMPUTED_VALUE"""),"")</f>
        <v/>
      </c>
      <c r="AE974" s="1" t="str">
        <f>IFERROR(__xludf.DUMMYFUNCTION("""COMPUTED_VALUE"""),"")</f>
        <v/>
      </c>
      <c r="AF974" s="1" t="str">
        <f>IFERROR(__xludf.DUMMYFUNCTION("""COMPUTED_VALUE"""),"")</f>
        <v/>
      </c>
      <c r="AG974" s="1" t="str">
        <f>IFERROR(__xludf.DUMMYFUNCTION("""COMPUTED_VALUE"""),"")</f>
        <v/>
      </c>
      <c r="AH974" s="1" t="str">
        <f>IFERROR(__xludf.DUMMYFUNCTION("""COMPUTED_VALUE"""),"Media Monitoring")</f>
        <v>Media Monitoring</v>
      </c>
      <c r="AI974" s="1" t="str">
        <f>IFERROR(__xludf.DUMMYFUNCTION("""COMPUTED_VALUE"""),"")</f>
        <v/>
      </c>
      <c r="AJ974" s="1" t="str">
        <f>IFERROR(__xludf.DUMMYFUNCTION("""COMPUTED_VALUE"""),"")</f>
        <v/>
      </c>
      <c r="AK974" s="1" t="str">
        <f>IFERROR(__xludf.DUMMYFUNCTION("""COMPUTED_VALUE"""),"")</f>
        <v/>
      </c>
      <c r="AL974" s="1" t="str">
        <f>IFERROR(__xludf.DUMMYFUNCTION("""COMPUTED_VALUE"""),"")</f>
        <v/>
      </c>
      <c r="AM974" s="1" t="str">
        <f>IFERROR(__xludf.DUMMYFUNCTION("""COMPUTED_VALUE"""),"")</f>
        <v/>
      </c>
      <c r="AN974" s="1" t="str">
        <f>IFERROR(__xludf.DUMMYFUNCTION("""COMPUTED_VALUE"""),"")</f>
        <v/>
      </c>
      <c r="AO974" s="1" t="str">
        <f>IFERROR(__xludf.DUMMYFUNCTION("""COMPUTED_VALUE"""),"")</f>
        <v/>
      </c>
      <c r="AP974" s="1" t="str">
        <f>IFERROR(__xludf.DUMMYFUNCTION("""COMPUTED_VALUE"""),"")</f>
        <v/>
      </c>
      <c r="AQ974" s="1" t="str">
        <f>IFERROR(__xludf.DUMMYFUNCTION("""COMPUTED_VALUE"""),"08/05/2025")</f>
        <v>08/05/2025</v>
      </c>
      <c r="AR974" s="1" t="str">
        <f>IFERROR(__xludf.DUMMYFUNCTION("""COMPUTED_VALUE"""),"08/05/2025")</f>
        <v>08/05/2025</v>
      </c>
    </row>
    <row r="975">
      <c r="A975" s="1" t="str">
        <f>IFERROR(__xludf.DUMMYFUNCTION("""COMPUTED_VALUE"""),"BaRupOn Data Center")</f>
        <v>BaRupOn Data Center</v>
      </c>
      <c r="B975" s="1" t="str">
        <f>IFERROR(__xludf.DUMMYFUNCTION("""COMPUTED_VALUE"""),"Near Hwy 90/ Liberty American Multi-Sourced Power and Innovation Hub (LAMP)")</f>
        <v>Near Hwy 90/ Liberty American Multi-Sourced Power and Innovation Hub (LAMP)</v>
      </c>
      <c r="C975" s="1" t="str">
        <f>IFERROR(__xludf.DUMMYFUNCTION("""COMPUTED_VALUE"""),"Liberty")</f>
        <v>Liberty</v>
      </c>
      <c r="D975" s="1" t="str">
        <f>IFERROR(__xludf.DUMMYFUNCTION("""COMPUTED_VALUE"""),"TX")</f>
        <v>TX</v>
      </c>
      <c r="E975" s="1" t="str">
        <f>IFERROR(__xludf.DUMMYFUNCTION("""COMPUTED_VALUE"""),"77575")</f>
        <v>77575</v>
      </c>
      <c r="F975" s="1" t="str">
        <f>IFERROR(__xludf.DUMMYFUNCTION("""COMPUTED_VALUE"""),"Liberty")</f>
        <v>Liberty</v>
      </c>
      <c r="G975" s="1" t="str">
        <f>IFERROR(__xludf.DUMMYFUNCTION("""COMPUTED_VALUE"""),"30.04849")</f>
        <v>30.04849</v>
      </c>
      <c r="H975" s="1" t="str">
        <f>IFERROR(__xludf.DUMMYFUNCTION("""COMPUTED_VALUE"""),"-94.67973")</f>
        <v>-94.67973</v>
      </c>
      <c r="I975" s="1" t="str">
        <f>IFERROR(__xludf.DUMMYFUNCTION("""COMPUTED_VALUE"""),"Proposed")</f>
        <v>Proposed</v>
      </c>
      <c r="J975" s="1" t="str">
        <f>IFERROR(__xludf.DUMMYFUNCTION("""COMPUTED_VALUE"""),"Medium")</f>
        <v>Medium</v>
      </c>
      <c r="K975" s="1" t="str">
        <f>IFERROR(__xludf.DUMMYFUNCTION("""COMPUTED_VALUE"""),"")</f>
        <v/>
      </c>
      <c r="L975" s="1" t="str">
        <f>IFERROR(__xludf.DUMMYFUNCTION("""COMPUTED_VALUE"""),"")</f>
        <v/>
      </c>
      <c r="M975" s="1" t="str">
        <f>IFERROR(__xludf.DUMMYFUNCTION("""COMPUTED_VALUE"""),"")</f>
        <v/>
      </c>
      <c r="N975" s="1" t="str">
        <f>IFERROR(__xludf.DUMMYFUNCTION("""COMPUTED_VALUE"""),"240")</f>
        <v>240</v>
      </c>
      <c r="O975" s="1" t="str">
        <f>IFERROR(__xludf.DUMMYFUNCTION("""COMPUTED_VALUE"""),"Mega campus (&gt;1,000 MW)")</f>
        <v>Mega campus (&gt;1,000 MW)</v>
      </c>
      <c r="P975" s="1" t="str">
        <f>IFERROR(__xludf.DUMMYFUNCTION("""COMPUTED_VALUE"""),"Nuclear, Solar, Geothermal, Grid (unspecified mix)")</f>
        <v>Nuclear, Solar, Geothermal, Grid (unspecified mix)</v>
      </c>
      <c r="Q975" s="1" t="str">
        <f>IFERROR(__xludf.DUMMYFUNCTION("""COMPUTED_VALUE"""),"")</f>
        <v/>
      </c>
      <c r="R975" s="1" t="str">
        <f>IFERROR(__xludf.DUMMYFUNCTION("""COMPUTED_VALUE"""),"")</f>
        <v/>
      </c>
      <c r="S975" s="1" t="str">
        <f>IFERROR(__xludf.DUMMYFUNCTION("""COMPUTED_VALUE"""),"")</f>
        <v/>
      </c>
      <c r="T975" s="1" t="str">
        <f>IFERROR(__xludf.DUMMYFUNCTION("""COMPUTED_VALUE"""),"")</f>
        <v/>
      </c>
      <c r="U975" s="1" t="str">
        <f>IFERROR(__xludf.DUMMYFUNCTION("""COMPUTED_VALUE"""),"")</f>
        <v/>
      </c>
      <c r="V975" s="1" t="str">
        <f>IFERROR(__xludf.DUMMYFUNCTION("""COMPUTED_VALUE"""),"4500000")</f>
        <v>4500000</v>
      </c>
      <c r="W975" s="1" t="str">
        <f>IFERROR(__xludf.DUMMYFUNCTION("""COMPUTED_VALUE"""),"701")</f>
        <v>701</v>
      </c>
      <c r="X975" s="1" t="str">
        <f>IFERROR(__xludf.DUMMYFUNCTION("""COMPUTED_VALUE"""),"")</f>
        <v/>
      </c>
      <c r="Y975" s="1" t="str">
        <f>IFERROR(__xludf.DUMMYFUNCTION("""COMPUTED_VALUE"""),"")</f>
        <v/>
      </c>
      <c r="Z975" s="1" t="str">
        <f>IFERROR(__xludf.DUMMYFUNCTION("""COMPUTED_VALUE"""),"Unknown")</f>
        <v>Unknown</v>
      </c>
      <c r="AA975" s="1" t="str">
        <f>IFERROR(__xludf.DUMMYFUNCTION("""COMPUTED_VALUE"""),"")</f>
        <v/>
      </c>
      <c r="AB975" s="1" t="str">
        <f>IFERROR(__xludf.DUMMYFUNCTION("""COMPUTED_VALUE"""),"")</f>
        <v/>
      </c>
      <c r="AC975" s="1" t="str">
        <f>IFERROR(__xludf.DUMMYFUNCTION("""COMPUTED_VALUE"""),"")</f>
        <v/>
      </c>
      <c r="AD975" s="1" t="str">
        <f>IFERROR(__xludf.DUMMYFUNCTION("""COMPUTED_VALUE"""),"")</f>
        <v/>
      </c>
      <c r="AE975" s="1" t="str">
        <f>IFERROR(__xludf.DUMMYFUNCTION("""COMPUTED_VALUE"""),"")</f>
        <v/>
      </c>
      <c r="AF975" s="1" t="str">
        <f>IFERROR(__xludf.DUMMYFUNCTION("""COMPUTED_VALUE"""),"")</f>
        <v/>
      </c>
      <c r="AG975" s="1" t="str">
        <f>IFERROR(__xludf.DUMMYFUNCTION("""COMPUTED_VALUE"""),"")</f>
        <v/>
      </c>
      <c r="AH975" s="1" t="str">
        <f>IFERROR(__xludf.DUMMYFUNCTION("""COMPUTED_VALUE"""),"Media Monitoring")</f>
        <v>Media Monitoring</v>
      </c>
      <c r="AI975" s="2" t="str">
        <f>IFERROR(__xludf.DUMMYFUNCTION("""COMPUTED_VALUE"""),"https://www.datacenterdynamics.com/en/news/medical-equipment-manufacturer-pivots-chemical-plant-to-data-center-and-manufacturing-campus/")</f>
        <v>https://www.datacenterdynamics.com/en/news/medical-equipment-manufacturer-pivots-chemical-plant-to-data-center-and-manufacturing-campus/</v>
      </c>
      <c r="AJ975" s="1" t="str">
        <f>IFERROR(__xludf.DUMMYFUNCTION("""COMPUTED_VALUE"""),"")</f>
        <v/>
      </c>
      <c r="AK975" s="1" t="str">
        <f>IFERROR(__xludf.DUMMYFUNCTION("""COMPUTED_VALUE"""),"")</f>
        <v/>
      </c>
      <c r="AL975" s="1" t="str">
        <f>IFERROR(__xludf.DUMMYFUNCTION("""COMPUTED_VALUE"""),"")</f>
        <v/>
      </c>
      <c r="AM975" s="1" t="str">
        <f>IFERROR(__xludf.DUMMYFUNCTION("""COMPUTED_VALUE"""),"")</f>
        <v/>
      </c>
      <c r="AN975" s="1" t="str">
        <f>IFERROR(__xludf.DUMMYFUNCTION("""COMPUTED_VALUE"""),"")</f>
        <v/>
      </c>
      <c r="AO975" s="1" t="str">
        <f>IFERROR(__xludf.DUMMYFUNCTION("""COMPUTED_VALUE"""),"")</f>
        <v/>
      </c>
      <c r="AP975" s="1" t="str">
        <f>IFERROR(__xludf.DUMMYFUNCTION("""COMPUTED_VALUE"""),"")</f>
        <v/>
      </c>
      <c r="AQ975" s="1" t="str">
        <f>IFERROR(__xludf.DUMMYFUNCTION("""COMPUTED_VALUE"""),"06/11/2026")</f>
        <v>06/11/2026</v>
      </c>
      <c r="AR975" s="1" t="str">
        <f>IFERROR(__xludf.DUMMYFUNCTION("""COMPUTED_VALUE"""),"06/11/2026")</f>
        <v>06/11/2026</v>
      </c>
    </row>
    <row r="976">
      <c r="A976" s="1" t="str">
        <f>IFERROR(__xludf.DUMMYFUNCTION("""COMPUTED_VALUE"""),"Tract Data Centers")</f>
        <v>Tract Data Centers</v>
      </c>
      <c r="B976" s="1" t="str">
        <f>IFERROR(__xludf.DUMMYFUNCTION("""COMPUTED_VALUE"""),"Caldwell Technology Park. near 2859 FM2720")</f>
        <v>Caldwell Technology Park. near 2859 FM2720</v>
      </c>
      <c r="C976" s="1" t="str">
        <f>IFERROR(__xludf.DUMMYFUNCTION("""COMPUTED_VALUE"""),"Lockhart")</f>
        <v>Lockhart</v>
      </c>
      <c r="D976" s="1" t="str">
        <f>IFERROR(__xludf.DUMMYFUNCTION("""COMPUTED_VALUE"""),"TX")</f>
        <v>TX</v>
      </c>
      <c r="E976" s="1" t="str">
        <f>IFERROR(__xludf.DUMMYFUNCTION("""COMPUTED_VALUE"""),"78644")</f>
        <v>78644</v>
      </c>
      <c r="F976" s="1" t="str">
        <f>IFERROR(__xludf.DUMMYFUNCTION("""COMPUTED_VALUE"""),"Caldwell")</f>
        <v>Caldwell</v>
      </c>
      <c r="G976" s="1" t="str">
        <f>IFERROR(__xludf.DUMMYFUNCTION("""COMPUTED_VALUE"""),"29.91816")</f>
        <v>29.91816</v>
      </c>
      <c r="H976" s="1" t="str">
        <f>IFERROR(__xludf.DUMMYFUNCTION("""COMPUTED_VALUE"""),"-97.7668")</f>
        <v>-97.7668</v>
      </c>
      <c r="I976" s="1" t="str">
        <f>IFERROR(__xludf.DUMMYFUNCTION("""COMPUTED_VALUE"""),"Proposed")</f>
        <v>Proposed</v>
      </c>
      <c r="J976" s="1" t="str">
        <f>IFERROR(__xludf.DUMMYFUNCTION("""COMPUTED_VALUE"""),"High")</f>
        <v>High</v>
      </c>
      <c r="K976" s="1" t="str">
        <f>IFERROR(__xludf.DUMMYFUNCTION("""COMPUTED_VALUE"""),"")</f>
        <v/>
      </c>
      <c r="L976" s="1" t="str">
        <f>IFERROR(__xludf.DUMMYFUNCTION("""COMPUTED_VALUE"""),"")</f>
        <v/>
      </c>
      <c r="M976" s="1" t="str">
        <f>IFERROR(__xludf.DUMMYFUNCTION("""COMPUTED_VALUE"""),"")</f>
        <v/>
      </c>
      <c r="N976" s="1" t="str">
        <f>IFERROR(__xludf.DUMMYFUNCTION("""COMPUTED_VALUE"""),"360-1600")</f>
        <v>360-1600</v>
      </c>
      <c r="O976" s="1" t="str">
        <f>IFERROR(__xludf.DUMMYFUNCTION("""COMPUTED_VALUE"""),"Mega campus (&gt;1,000 MW)")</f>
        <v>Mega campus (&gt;1,000 MW)</v>
      </c>
      <c r="P976" s="1" t="str">
        <f>IFERROR(__xludf.DUMMYFUNCTION("""COMPUTED_VALUE"""),"")</f>
        <v/>
      </c>
      <c r="Q976" s="1" t="str">
        <f>IFERROR(__xludf.DUMMYFUNCTION("""COMPUTED_VALUE"""),"")</f>
        <v/>
      </c>
      <c r="R976" s="1" t="str">
        <f>IFERROR(__xludf.DUMMYFUNCTION("""COMPUTED_VALUE"""),"")</f>
        <v/>
      </c>
      <c r="S976" s="1" t="str">
        <f>IFERROR(__xludf.DUMMYFUNCTION("""COMPUTED_VALUE"""),"")</f>
        <v/>
      </c>
      <c r="T976" s="1" t="str">
        <f>IFERROR(__xludf.DUMMYFUNCTION("""COMPUTED_VALUE"""),"")</f>
        <v/>
      </c>
      <c r="U976" s="1" t="str">
        <f>IFERROR(__xludf.DUMMYFUNCTION("""COMPUTED_VALUE"""),"")</f>
        <v/>
      </c>
      <c r="V976" s="1" t="str">
        <f>IFERROR(__xludf.DUMMYFUNCTION("""COMPUTED_VALUE"""),"")</f>
        <v/>
      </c>
      <c r="W976" s="1" t="str">
        <f>IFERROR(__xludf.DUMMYFUNCTION("""COMPUTED_VALUE"""),"3000")</f>
        <v>3000</v>
      </c>
      <c r="X976" s="1" t="str">
        <f>IFERROR(__xludf.DUMMYFUNCTION("""COMPUTED_VALUE"""),"")</f>
        <v/>
      </c>
      <c r="Y976" s="1" t="str">
        <f>IFERROR(__xludf.DUMMYFUNCTION("""COMPUTED_VALUE"""),"2028")</f>
        <v>2028</v>
      </c>
      <c r="Z976" s="1" t="str">
        <f>IFERROR(__xludf.DUMMYFUNCTION("""COMPUTED_VALUE"""),"Unknown")</f>
        <v>Unknown</v>
      </c>
      <c r="AA976" s="1" t="str">
        <f>IFERROR(__xludf.DUMMYFUNCTION("""COMPUTED_VALUE"""),"")</f>
        <v/>
      </c>
      <c r="AB976" s="1" t="str">
        <f>IFERROR(__xludf.DUMMYFUNCTION("""COMPUTED_VALUE"""),"")</f>
        <v/>
      </c>
      <c r="AC976" s="1" t="str">
        <f>IFERROR(__xludf.DUMMYFUNCTION("""COMPUTED_VALUE"""),"")</f>
        <v/>
      </c>
      <c r="AD976" s="1" t="str">
        <f>IFERROR(__xludf.DUMMYFUNCTION("""COMPUTED_VALUE"""),"")</f>
        <v/>
      </c>
      <c r="AE976" s="1" t="str">
        <f>IFERROR(__xludf.DUMMYFUNCTION("""COMPUTED_VALUE"""),"")</f>
        <v/>
      </c>
      <c r="AF976" s="1" t="str">
        <f>IFERROR(__xludf.DUMMYFUNCTION("""COMPUTED_VALUE"""),"")</f>
        <v/>
      </c>
      <c r="AG976" s="1" t="str">
        <f>IFERROR(__xludf.DUMMYFUNCTION("""COMPUTED_VALUE"""),"")</f>
        <v/>
      </c>
      <c r="AH976" s="1" t="str">
        <f>IFERROR(__xludf.DUMMYFUNCTION("""COMPUTED_VALUE"""),"Media Monitoring")</f>
        <v>Media Monitoring</v>
      </c>
      <c r="AI976" s="1" t="str">
        <f>IFERROR(__xludf.DUMMYFUNCTION("""COMPUTED_VALUE"""),"Caldwell Valley Technology Park. near 2859 FM2720")</f>
        <v>Caldwell Valley Technology Park. near 2859 FM2720</v>
      </c>
      <c r="AJ976" s="2" t="str">
        <f>IFERROR(__xludf.DUMMYFUNCTION("""COMPUTED_VALUE"""),"https://www.tract.com/project/caldwellvalley/")</f>
        <v>https://www.tract.com/project/caldwellvalley/</v>
      </c>
      <c r="AK976" s="2" t="str">
        <f>IFERROR(__xludf.DUMMYFUNCTION("""COMPUTED_VALUE"""),"https://www.datacenterdynamics.com/en/news/tract-expands-austin-data-center-park-to-3000-acres/")</f>
        <v>https://www.datacenterdynamics.com/en/news/tract-expands-austin-data-center-park-to-3000-acres/</v>
      </c>
      <c r="AL976" s="1" t="str">
        <f>IFERROR(__xludf.DUMMYFUNCTION("""COMPUTED_VALUE"""),"")</f>
        <v/>
      </c>
      <c r="AM976" s="1" t="str">
        <f>IFERROR(__xludf.DUMMYFUNCTION("""COMPUTED_VALUE"""),"")</f>
        <v/>
      </c>
      <c r="AN976" s="1" t="str">
        <f>IFERROR(__xludf.DUMMYFUNCTION("""COMPUTED_VALUE"""),"")</f>
        <v/>
      </c>
      <c r="AO976" s="1" t="str">
        <f>IFERROR(__xludf.DUMMYFUNCTION("""COMPUTED_VALUE"""),"")</f>
        <v/>
      </c>
      <c r="AP976" s="1" t="str">
        <f>IFERROR(__xludf.DUMMYFUNCTION("""COMPUTED_VALUE"""),"")</f>
        <v/>
      </c>
      <c r="AQ976" s="1" t="str">
        <f>IFERROR(__xludf.DUMMYFUNCTION("""COMPUTED_VALUE"""),"05/13/2025")</f>
        <v>05/13/2025</v>
      </c>
      <c r="AR976" s="1" t="str">
        <f>IFERROR(__xludf.DUMMYFUNCTION("""COMPUTED_VALUE"""),"01/14/2026")</f>
        <v>01/14/2026</v>
      </c>
    </row>
    <row r="977">
      <c r="A977" s="1" t="str">
        <f>IFERROR(__xludf.DUMMYFUNCTION("""COMPUTED_VALUE"""),"Texas Solarworks LLC")</f>
        <v>Texas Solarworks LLC</v>
      </c>
      <c r="B977" s="1" t="str">
        <f>IFERROR(__xludf.DUMMYFUNCTION("""COMPUTED_VALUE"""),"E Municipal Dr")</f>
        <v>E Municipal Dr</v>
      </c>
      <c r="C977" s="1" t="str">
        <f>IFERROR(__xludf.DUMMYFUNCTION("""COMPUTED_VALUE"""),"Lubbock")</f>
        <v>Lubbock</v>
      </c>
      <c r="D977" s="1" t="str">
        <f>IFERROR(__xludf.DUMMYFUNCTION("""COMPUTED_VALUE"""),"TX")</f>
        <v>TX</v>
      </c>
      <c r="E977" s="1" t="str">
        <f>IFERROR(__xludf.DUMMYFUNCTION("""COMPUTED_VALUE"""),"79403")</f>
        <v>79403</v>
      </c>
      <c r="F977" s="1" t="str">
        <f>IFERROR(__xludf.DUMMYFUNCTION("""COMPUTED_VALUE"""),"Lubbock")</f>
        <v>Lubbock</v>
      </c>
      <c r="G977" s="1" t="str">
        <f>IFERROR(__xludf.DUMMYFUNCTION("""COMPUTED_VALUE"""),"33.62028")</f>
        <v>33.62028</v>
      </c>
      <c r="H977" s="1" t="str">
        <f>IFERROR(__xludf.DUMMYFUNCTION("""COMPUTED_VALUE"""),"-101.7919")</f>
        <v>-101.7919</v>
      </c>
      <c r="I977" s="1" t="str">
        <f>IFERROR(__xludf.DUMMYFUNCTION("""COMPUTED_VALUE"""),"Proposed")</f>
        <v>Proposed</v>
      </c>
      <c r="J977" s="1" t="str">
        <f>IFERROR(__xludf.DUMMYFUNCTION("""COMPUTED_VALUE"""),"Medium")</f>
        <v>Medium</v>
      </c>
      <c r="K977" s="1" t="str">
        <f>IFERROR(__xludf.DUMMYFUNCTION("""COMPUTED_VALUE"""),"")</f>
        <v/>
      </c>
      <c r="L977" s="1" t="str">
        <f>IFERROR(__xludf.DUMMYFUNCTION("""COMPUTED_VALUE"""),"")</f>
        <v/>
      </c>
      <c r="M977" s="1" t="str">
        <f>IFERROR(__xludf.DUMMYFUNCTION("""COMPUTED_VALUE"""),"")</f>
        <v/>
      </c>
      <c r="N977" s="1" t="str">
        <f>IFERROR(__xludf.DUMMYFUNCTION("""COMPUTED_VALUE"""),"")</f>
        <v/>
      </c>
      <c r="O977" s="1" t="str">
        <f>IFERROR(__xludf.DUMMYFUNCTION("""COMPUTED_VALUE"""),"Unknown")</f>
        <v>Unknown</v>
      </c>
      <c r="P977" s="1" t="str">
        <f>IFERROR(__xludf.DUMMYFUNCTION("""COMPUTED_VALUE"""),"Solar")</f>
        <v>Solar</v>
      </c>
      <c r="Q977" s="1" t="str">
        <f>IFERROR(__xludf.DUMMYFUNCTION("""COMPUTED_VALUE"""),"")</f>
        <v/>
      </c>
      <c r="R977" s="1" t="str">
        <f>IFERROR(__xludf.DUMMYFUNCTION("""COMPUTED_VALUE"""),"")</f>
        <v/>
      </c>
      <c r="S977" s="1" t="str">
        <f>IFERROR(__xludf.DUMMYFUNCTION("""COMPUTED_VALUE"""),"")</f>
        <v/>
      </c>
      <c r="T977" s="1" t="str">
        <f>IFERROR(__xludf.DUMMYFUNCTION("""COMPUTED_VALUE"""),"")</f>
        <v/>
      </c>
      <c r="U977" s="1" t="str">
        <f>IFERROR(__xludf.DUMMYFUNCTION("""COMPUTED_VALUE"""),"")</f>
        <v/>
      </c>
      <c r="V977" s="1" t="str">
        <f>IFERROR(__xludf.DUMMYFUNCTION("""COMPUTED_VALUE"""),"")</f>
        <v/>
      </c>
      <c r="W977" s="1" t="str">
        <f>IFERROR(__xludf.DUMMYFUNCTION("""COMPUTED_VALUE"""),"936")</f>
        <v>936</v>
      </c>
      <c r="X977" s="1" t="str">
        <f>IFERROR(__xludf.DUMMYFUNCTION("""COMPUTED_VALUE"""),"")</f>
        <v/>
      </c>
      <c r="Y977" s="1" t="str">
        <f>IFERROR(__xludf.DUMMYFUNCTION("""COMPUTED_VALUE"""),"")</f>
        <v/>
      </c>
      <c r="Z977" s="1" t="str">
        <f>IFERROR(__xludf.DUMMYFUNCTION("""COMPUTED_VALUE"""),"Unknown")</f>
        <v>Unknown</v>
      </c>
      <c r="AA977" s="1" t="str">
        <f>IFERROR(__xludf.DUMMYFUNCTION("""COMPUTED_VALUE"""),"")</f>
        <v/>
      </c>
      <c r="AB977" s="1" t="str">
        <f>IFERROR(__xludf.DUMMYFUNCTION("""COMPUTED_VALUE"""),"")</f>
        <v/>
      </c>
      <c r="AC977" s="1" t="str">
        <f>IFERROR(__xludf.DUMMYFUNCTION("""COMPUTED_VALUE"""),"")</f>
        <v/>
      </c>
      <c r="AD977" s="1" t="str">
        <f>IFERROR(__xludf.DUMMYFUNCTION("""COMPUTED_VALUE"""),"")</f>
        <v/>
      </c>
      <c r="AE977" s="1" t="str">
        <f>IFERROR(__xludf.DUMMYFUNCTION("""COMPUTED_VALUE"""),"")</f>
        <v/>
      </c>
      <c r="AF977" s="1" t="str">
        <f>IFERROR(__xludf.DUMMYFUNCTION("""COMPUTED_VALUE"""),"")</f>
        <v/>
      </c>
      <c r="AG977" s="1" t="str">
        <f>IFERROR(__xludf.DUMMYFUNCTION("""COMPUTED_VALUE"""),"Potential solar with plan for data center")</f>
        <v>Potential solar with plan for data center</v>
      </c>
      <c r="AH977" s="1" t="str">
        <f>IFERROR(__xludf.DUMMYFUNCTION("""COMPUTED_VALUE"""),"Media Monitoring")</f>
        <v>Media Monitoring</v>
      </c>
      <c r="AI977" s="1" t="str">
        <f>IFERROR(__xludf.DUMMYFUNCTION("""COMPUTED_VALUE"""),"")</f>
        <v/>
      </c>
      <c r="AJ977" s="1" t="str">
        <f>IFERROR(__xludf.DUMMYFUNCTION("""COMPUTED_VALUE"""),"")</f>
        <v/>
      </c>
      <c r="AK977" s="1" t="str">
        <f>IFERROR(__xludf.DUMMYFUNCTION("""COMPUTED_VALUE"""),"")</f>
        <v/>
      </c>
      <c r="AL977" s="1" t="str">
        <f>IFERROR(__xludf.DUMMYFUNCTION("""COMPUTED_VALUE"""),"")</f>
        <v/>
      </c>
      <c r="AM977" s="1" t="str">
        <f>IFERROR(__xludf.DUMMYFUNCTION("""COMPUTED_VALUE"""),"")</f>
        <v/>
      </c>
      <c r="AN977" s="1" t="str">
        <f>IFERROR(__xludf.DUMMYFUNCTION("""COMPUTED_VALUE"""),"")</f>
        <v/>
      </c>
      <c r="AO977" s="1" t="str">
        <f>IFERROR(__xludf.DUMMYFUNCTION("""COMPUTED_VALUE"""),"")</f>
        <v/>
      </c>
      <c r="AP977" s="1" t="str">
        <f>IFERROR(__xludf.DUMMYFUNCTION("""COMPUTED_VALUE"""),"")</f>
        <v/>
      </c>
      <c r="AQ977" s="1" t="str">
        <f>IFERROR(__xludf.DUMMYFUNCTION("""COMPUTED_VALUE"""),"01/19/2026")</f>
        <v>01/19/2026</v>
      </c>
      <c r="AR977" s="1" t="str">
        <f>IFERROR(__xludf.DUMMYFUNCTION("""COMPUTED_VALUE"""),"01/19/2026")</f>
        <v>01/19/2026</v>
      </c>
    </row>
    <row r="978">
      <c r="A978" s="1" t="str">
        <f>IFERROR(__xludf.DUMMYFUNCTION("""COMPUTED_VALUE"""),"Data Center THM1A")</f>
        <v>Data Center THM1A</v>
      </c>
      <c r="B978" s="1" t="str">
        <f>IFERROR(__xludf.DUMMYFUNCTION("""COMPUTED_VALUE"""),"Bean Rd")</f>
        <v>Bean Rd</v>
      </c>
      <c r="C978" s="1" t="str">
        <f>IFERROR(__xludf.DUMMYFUNCTION("""COMPUTED_VALUE"""),"Lueders")</f>
        <v>Lueders</v>
      </c>
      <c r="D978" s="1" t="str">
        <f>IFERROR(__xludf.DUMMYFUNCTION("""COMPUTED_VALUE"""),"TX")</f>
        <v>TX</v>
      </c>
      <c r="E978" s="1" t="str">
        <f>IFERROR(__xludf.DUMMYFUNCTION("""COMPUTED_VALUE"""),"79533")</f>
        <v>79533</v>
      </c>
      <c r="F978" s="1" t="str">
        <f>IFERROR(__xludf.DUMMYFUNCTION("""COMPUTED_VALUE"""),"Haskell")</f>
        <v>Haskell</v>
      </c>
      <c r="G978" s="1" t="str">
        <f>IFERROR(__xludf.DUMMYFUNCTION("""COMPUTED_VALUE"""),"32.98045")</f>
        <v>32.98045</v>
      </c>
      <c r="H978" s="1" t="str">
        <f>IFERROR(__xludf.DUMMYFUNCTION("""COMPUTED_VALUE"""),"-99.5673")</f>
        <v>-99.5673</v>
      </c>
      <c r="I978" s="1" t="str">
        <f>IFERROR(__xludf.DUMMYFUNCTION("""COMPUTED_VALUE"""),"Proposed")</f>
        <v>Proposed</v>
      </c>
      <c r="J978" s="1" t="str">
        <f>IFERROR(__xludf.DUMMYFUNCTION("""COMPUTED_VALUE"""),"Medium")</f>
        <v>Medium</v>
      </c>
      <c r="K978" s="1" t="str">
        <f>IFERROR(__xludf.DUMMYFUNCTION("""COMPUTED_VALUE"""),"")</f>
        <v/>
      </c>
      <c r="L978" s="1" t="str">
        <f>IFERROR(__xludf.DUMMYFUNCTION("""COMPUTED_VALUE"""),"")</f>
        <v/>
      </c>
      <c r="M978" s="1" t="str">
        <f>IFERROR(__xludf.DUMMYFUNCTION("""COMPUTED_VALUE"""),"")</f>
        <v/>
      </c>
      <c r="N978" s="1" t="str">
        <f>IFERROR(__xludf.DUMMYFUNCTION("""COMPUTED_VALUE"""),"")</f>
        <v/>
      </c>
      <c r="O978" s="1" t="str">
        <f>IFERROR(__xludf.DUMMYFUNCTION("""COMPUTED_VALUE"""),"Unknown")</f>
        <v>Unknown</v>
      </c>
      <c r="P978" s="1" t="str">
        <f>IFERROR(__xludf.DUMMYFUNCTION("""COMPUTED_VALUE"""),"")</f>
        <v/>
      </c>
      <c r="Q978" s="1" t="str">
        <f>IFERROR(__xludf.DUMMYFUNCTION("""COMPUTED_VALUE"""),"")</f>
        <v/>
      </c>
      <c r="R978" s="1" t="str">
        <f>IFERROR(__xludf.DUMMYFUNCTION("""COMPUTED_VALUE"""),"")</f>
        <v/>
      </c>
      <c r="S978" s="1" t="str">
        <f>IFERROR(__xludf.DUMMYFUNCTION("""COMPUTED_VALUE"""),"")</f>
        <v/>
      </c>
      <c r="T978" s="1" t="str">
        <f>IFERROR(__xludf.DUMMYFUNCTION("""COMPUTED_VALUE"""),"")</f>
        <v/>
      </c>
      <c r="U978" s="1" t="str">
        <f>IFERROR(__xludf.DUMMYFUNCTION("""COMPUTED_VALUE"""),"")</f>
        <v/>
      </c>
      <c r="V978" s="1" t="str">
        <f>IFERROR(__xludf.DUMMYFUNCTION("""COMPUTED_VALUE"""),"280,000")</f>
        <v>280,000</v>
      </c>
      <c r="W978" s="1" t="str">
        <f>IFERROR(__xludf.DUMMYFUNCTION("""COMPUTED_VALUE"""),"")</f>
        <v/>
      </c>
      <c r="X978" s="1" t="str">
        <f>IFERROR(__xludf.DUMMYFUNCTION("""COMPUTED_VALUE"""),"")</f>
        <v/>
      </c>
      <c r="Y978" s="1" t="str">
        <f>IFERROR(__xludf.DUMMYFUNCTION("""COMPUTED_VALUE"""),"")</f>
        <v/>
      </c>
      <c r="Z978" s="1" t="str">
        <f>IFERROR(__xludf.DUMMYFUNCTION("""COMPUTED_VALUE"""),"Unknown")</f>
        <v>Unknown</v>
      </c>
      <c r="AA978" s="1" t="str">
        <f>IFERROR(__xludf.DUMMYFUNCTION("""COMPUTED_VALUE"""),"")</f>
        <v/>
      </c>
      <c r="AB978" s="1" t="str">
        <f>IFERROR(__xludf.DUMMYFUNCTION("""COMPUTED_VALUE"""),"")</f>
        <v/>
      </c>
      <c r="AC978" s="1" t="str">
        <f>IFERROR(__xludf.DUMMYFUNCTION("""COMPUTED_VALUE"""),"")</f>
        <v/>
      </c>
      <c r="AD978" s="1" t="str">
        <f>IFERROR(__xludf.DUMMYFUNCTION("""COMPUTED_VALUE"""),"")</f>
        <v/>
      </c>
      <c r="AE978" s="1" t="str">
        <f>IFERROR(__xludf.DUMMYFUNCTION("""COMPUTED_VALUE"""),"")</f>
        <v/>
      </c>
      <c r="AF978" s="1" t="str">
        <f>IFERROR(__xludf.DUMMYFUNCTION("""COMPUTED_VALUE"""),"")</f>
        <v/>
      </c>
      <c r="AG978" s="1" t="str">
        <f>IFERROR(__xludf.DUMMYFUNCTION("""COMPUTED_VALUE"""),"")</f>
        <v/>
      </c>
      <c r="AH978" s="1" t="str">
        <f>IFERROR(__xludf.DUMMYFUNCTION("""COMPUTED_VALUE"""),"Media Monitoring")</f>
        <v>Media Monitoring</v>
      </c>
      <c r="AI978" s="2" t="str">
        <f>IFERROR(__xludf.DUMMYFUNCTION("""COMPUTED_VALUE"""),"https://www.datacenterdynamics.com/en/news/data-center-to-be-built-in-lueders-texas/")</f>
        <v>https://www.datacenterdynamics.com/en/news/data-center-to-be-built-in-lueders-texas/</v>
      </c>
      <c r="AJ978" s="1" t="str">
        <f>IFERROR(__xludf.DUMMYFUNCTION("""COMPUTED_VALUE"""),"")</f>
        <v/>
      </c>
      <c r="AK978" s="1" t="str">
        <f>IFERROR(__xludf.DUMMYFUNCTION("""COMPUTED_VALUE"""),"")</f>
        <v/>
      </c>
      <c r="AL978" s="1" t="str">
        <f>IFERROR(__xludf.DUMMYFUNCTION("""COMPUTED_VALUE"""),"")</f>
        <v/>
      </c>
      <c r="AM978" s="1" t="str">
        <f>IFERROR(__xludf.DUMMYFUNCTION("""COMPUTED_VALUE"""),"")</f>
        <v/>
      </c>
      <c r="AN978" s="1" t="str">
        <f>IFERROR(__xludf.DUMMYFUNCTION("""COMPUTED_VALUE"""),"")</f>
        <v/>
      </c>
      <c r="AO978" s="1" t="str">
        <f>IFERROR(__xludf.DUMMYFUNCTION("""COMPUTED_VALUE"""),"")</f>
        <v/>
      </c>
      <c r="AP978" s="1" t="str">
        <f>IFERROR(__xludf.DUMMYFUNCTION("""COMPUTED_VALUE"""),"")</f>
        <v/>
      </c>
      <c r="AQ978" s="1" t="str">
        <f>IFERROR(__xludf.DUMMYFUNCTION("""COMPUTED_VALUE"""),"06/21/2025")</f>
        <v>06/21/2025</v>
      </c>
      <c r="AR978" s="1" t="str">
        <f>IFERROR(__xludf.DUMMYFUNCTION("""COMPUTED_VALUE"""),"06/21/2025")</f>
        <v>06/21/2025</v>
      </c>
    </row>
    <row r="979">
      <c r="A979" s="1" t="str">
        <f>IFERROR(__xludf.DUMMYFUNCTION("""COMPUTED_VALUE"""),"HyperDataGrid Data Center")</f>
        <v>HyperDataGrid Data Center</v>
      </c>
      <c r="B979" s="1" t="str">
        <f>IFERROR(__xludf.DUMMYFUNCTION("""COMPUTED_VALUE"""),"Ben Dunn Rd and Hwy 103")</f>
        <v>Ben Dunn Rd and Hwy 103</v>
      </c>
      <c r="C979" s="1" t="str">
        <f>IFERROR(__xludf.DUMMYFUNCTION("""COMPUTED_VALUE"""),"Lufkin")</f>
        <v>Lufkin</v>
      </c>
      <c r="D979" s="1" t="str">
        <f>IFERROR(__xludf.DUMMYFUNCTION("""COMPUTED_VALUE"""),"TX")</f>
        <v>TX</v>
      </c>
      <c r="E979" s="1" t="str">
        <f>IFERROR(__xludf.DUMMYFUNCTION("""COMPUTED_VALUE"""),"75901")</f>
        <v>75901</v>
      </c>
      <c r="F979" s="1" t="str">
        <f>IFERROR(__xludf.DUMMYFUNCTION("""COMPUTED_VALUE"""),"Angelina")</f>
        <v>Angelina</v>
      </c>
      <c r="G979" s="1" t="str">
        <f>IFERROR(__xludf.DUMMYFUNCTION("""COMPUTED_VALUE"""),"31.378511")</f>
        <v>31.378511</v>
      </c>
      <c r="H979" s="1" t="str">
        <f>IFERROR(__xludf.DUMMYFUNCTION("""COMPUTED_VALUE"""),"-94.87004")</f>
        <v>-94.87004</v>
      </c>
      <c r="I979" s="1" t="str">
        <f>IFERROR(__xludf.DUMMYFUNCTION("""COMPUTED_VALUE"""),"Proposed")</f>
        <v>Proposed</v>
      </c>
      <c r="J979" s="1" t="str">
        <f>IFERROR(__xludf.DUMMYFUNCTION("""COMPUTED_VALUE"""),"Medium")</f>
        <v>Medium</v>
      </c>
      <c r="K979" s="1" t="str">
        <f>IFERROR(__xludf.DUMMYFUNCTION("""COMPUTED_VALUE"""),"")</f>
        <v/>
      </c>
      <c r="L979" s="1" t="str">
        <f>IFERROR(__xludf.DUMMYFUNCTION("""COMPUTED_VALUE"""),"")</f>
        <v/>
      </c>
      <c r="M979" s="1" t="str">
        <f>IFERROR(__xludf.DUMMYFUNCTION("""COMPUTED_VALUE"""),"")</f>
        <v/>
      </c>
      <c r="N979" s="1" t="str">
        <f>IFERROR(__xludf.DUMMYFUNCTION("""COMPUTED_VALUE"""),"20")</f>
        <v>20</v>
      </c>
      <c r="O979" s="1" t="str">
        <f>IFERROR(__xludf.DUMMYFUNCTION("""COMPUTED_VALUE"""),"Medium (11-50 MW)")</f>
        <v>Medium (11-50 MW)</v>
      </c>
      <c r="P979" s="1" t="str">
        <f>IFERROR(__xludf.DUMMYFUNCTION("""COMPUTED_VALUE"""),"")</f>
        <v/>
      </c>
      <c r="Q979" s="1" t="str">
        <f>IFERROR(__xludf.DUMMYFUNCTION("""COMPUTED_VALUE"""),"")</f>
        <v/>
      </c>
      <c r="R979" s="1" t="str">
        <f>IFERROR(__xludf.DUMMYFUNCTION("""COMPUTED_VALUE"""),"")</f>
        <v/>
      </c>
      <c r="S979" s="1" t="str">
        <f>IFERROR(__xludf.DUMMYFUNCTION("""COMPUTED_VALUE"""),"")</f>
        <v/>
      </c>
      <c r="T979" s="1" t="str">
        <f>IFERROR(__xludf.DUMMYFUNCTION("""COMPUTED_VALUE"""),"")</f>
        <v/>
      </c>
      <c r="U979" s="1" t="str">
        <f>IFERROR(__xludf.DUMMYFUNCTION("""COMPUTED_VALUE"""),"Closed loop")</f>
        <v>Closed loop</v>
      </c>
      <c r="V979" s="1" t="str">
        <f>IFERROR(__xludf.DUMMYFUNCTION("""COMPUTED_VALUE"""),"")</f>
        <v/>
      </c>
      <c r="W979" s="1" t="str">
        <f>IFERROR(__xludf.DUMMYFUNCTION("""COMPUTED_VALUE"""),"40")</f>
        <v>40</v>
      </c>
      <c r="X979" s="1" t="str">
        <f>IFERROR(__xludf.DUMMYFUNCTION("""COMPUTED_VALUE"""),"")</f>
        <v/>
      </c>
      <c r="Y979" s="1" t="str">
        <f>IFERROR(__xludf.DUMMYFUNCTION("""COMPUTED_VALUE"""),"2027")</f>
        <v>2027</v>
      </c>
      <c r="Z979" s="1" t="str">
        <f>IFERROR(__xludf.DUMMYFUNCTION("""COMPUTED_VALUE"""),"")</f>
        <v/>
      </c>
      <c r="AA979" s="1" t="str">
        <f>IFERROR(__xludf.DUMMYFUNCTION("""COMPUTED_VALUE"""),"")</f>
        <v/>
      </c>
      <c r="AB979" s="1" t="str">
        <f>IFERROR(__xludf.DUMMYFUNCTION("""COMPUTED_VALUE"""),"")</f>
        <v/>
      </c>
      <c r="AC979" s="1" t="str">
        <f>IFERROR(__xludf.DUMMYFUNCTION("""COMPUTED_VALUE"""),"")</f>
        <v/>
      </c>
      <c r="AD979" s="1" t="str">
        <f>IFERROR(__xludf.DUMMYFUNCTION("""COMPUTED_VALUE"""),"")</f>
        <v/>
      </c>
      <c r="AE979" s="1" t="str">
        <f>IFERROR(__xludf.DUMMYFUNCTION("""COMPUTED_VALUE"""),"")</f>
        <v/>
      </c>
      <c r="AF979" s="1" t="str">
        <f>IFERROR(__xludf.DUMMYFUNCTION("""COMPUTED_VALUE"""),"")</f>
        <v/>
      </c>
      <c r="AG979" s="1" t="str">
        <f>IFERROR(__xludf.DUMMYFUNCTION("""COMPUTED_VALUE"""),"")</f>
        <v/>
      </c>
      <c r="AH979" s="1" t="str">
        <f>IFERROR(__xludf.DUMMYFUNCTION("""COMPUTED_VALUE"""),"Media Monitoring")</f>
        <v>Media Monitoring</v>
      </c>
      <c r="AI979" s="2" t="str">
        <f>IFERROR(__xludf.DUMMYFUNCTION("""COMPUTED_VALUE"""),"https://www.datacenterdynamics.com/en/news/hyperdatagrid-eyes-data-center-outside-lufkin-texas/")</f>
        <v>https://www.datacenterdynamics.com/en/news/hyperdatagrid-eyes-data-center-outside-lufkin-texas/</v>
      </c>
      <c r="AJ979" s="1" t="str">
        <f>IFERROR(__xludf.DUMMYFUNCTION("""COMPUTED_VALUE"""),"")</f>
        <v/>
      </c>
      <c r="AK979" s="1" t="str">
        <f>IFERROR(__xludf.DUMMYFUNCTION("""COMPUTED_VALUE"""),"")</f>
        <v/>
      </c>
      <c r="AL979" s="1" t="str">
        <f>IFERROR(__xludf.DUMMYFUNCTION("""COMPUTED_VALUE"""),"")</f>
        <v/>
      </c>
      <c r="AM979" s="1" t="str">
        <f>IFERROR(__xludf.DUMMYFUNCTION("""COMPUTED_VALUE"""),"")</f>
        <v/>
      </c>
      <c r="AN979" s="1" t="str">
        <f>IFERROR(__xludf.DUMMYFUNCTION("""COMPUTED_VALUE"""),"")</f>
        <v/>
      </c>
      <c r="AO979" s="1" t="str">
        <f>IFERROR(__xludf.DUMMYFUNCTION("""COMPUTED_VALUE"""),"")</f>
        <v/>
      </c>
      <c r="AP979" s="1" t="str">
        <f>IFERROR(__xludf.DUMMYFUNCTION("""COMPUTED_VALUE"""),"")</f>
        <v/>
      </c>
      <c r="AQ979" s="1" t="str">
        <f>IFERROR(__xludf.DUMMYFUNCTION("""COMPUTED_VALUE"""),"07/11/2026")</f>
        <v>07/11/2026</v>
      </c>
      <c r="AR979" s="1" t="str">
        <f>IFERROR(__xludf.DUMMYFUNCTION("""COMPUTED_VALUE"""),"07/11/2026")</f>
        <v>07/11/2026</v>
      </c>
    </row>
    <row r="980">
      <c r="A980" s="1" t="str">
        <f>IFERROR(__xludf.DUMMYFUNCTION("""COMPUTED_VALUE"""),"Project LufKin: Amp Z Data Center")</f>
        <v>Project LufKin: Amp Z Data Center</v>
      </c>
      <c r="B980" s="1" t="str">
        <f>IFERROR(__xludf.DUMMYFUNCTION("""COMPUTED_VALUE"""),"Near's Peoples St")</f>
        <v>Near's Peoples St</v>
      </c>
      <c r="C980" s="1" t="str">
        <f>IFERROR(__xludf.DUMMYFUNCTION("""COMPUTED_VALUE"""),"Lufkin")</f>
        <v>Lufkin</v>
      </c>
      <c r="D980" s="1" t="str">
        <f>IFERROR(__xludf.DUMMYFUNCTION("""COMPUTED_VALUE"""),"TX")</f>
        <v>TX</v>
      </c>
      <c r="E980" s="1" t="str">
        <f>IFERROR(__xludf.DUMMYFUNCTION("""COMPUTED_VALUE"""),"75901")</f>
        <v>75901</v>
      </c>
      <c r="F980" s="1" t="str">
        <f>IFERROR(__xludf.DUMMYFUNCTION("""COMPUTED_VALUE"""),"Angelina")</f>
        <v>Angelina</v>
      </c>
      <c r="G980" s="1" t="str">
        <f>IFERROR(__xludf.DUMMYFUNCTION("""COMPUTED_VALUE"""),"31.3579")</f>
        <v>31.3579</v>
      </c>
      <c r="H980" s="1" t="str">
        <f>IFERROR(__xludf.DUMMYFUNCTION("""COMPUTED_VALUE"""),"-94.677475")</f>
        <v>-94.677475</v>
      </c>
      <c r="I980" s="1" t="str">
        <f>IFERROR(__xludf.DUMMYFUNCTION("""COMPUTED_VALUE"""),"Proposed")</f>
        <v>Proposed</v>
      </c>
      <c r="J980" s="1" t="str">
        <f>IFERROR(__xludf.DUMMYFUNCTION("""COMPUTED_VALUE"""),"High")</f>
        <v>High</v>
      </c>
      <c r="K980" s="1" t="str">
        <f>IFERROR(__xludf.DUMMYFUNCTION("""COMPUTED_VALUE"""),"")</f>
        <v/>
      </c>
      <c r="L980" s="1" t="str">
        <f>IFERROR(__xludf.DUMMYFUNCTION("""COMPUTED_VALUE"""),"")</f>
        <v/>
      </c>
      <c r="M980" s="1" t="str">
        <f>IFERROR(__xludf.DUMMYFUNCTION("""COMPUTED_VALUE"""),"")</f>
        <v/>
      </c>
      <c r="N980" s="1" t="str">
        <f>IFERROR(__xludf.DUMMYFUNCTION("""COMPUTED_VALUE"""),"2,100")</f>
        <v>2,100</v>
      </c>
      <c r="O980" s="1" t="str">
        <f>IFERROR(__xludf.DUMMYFUNCTION("""COMPUTED_VALUE"""),"Mega campus (&gt;1,000 MW)")</f>
        <v>Mega campus (&gt;1,000 MW)</v>
      </c>
      <c r="P980" s="1" t="str">
        <f>IFERROR(__xludf.DUMMYFUNCTION("""COMPUTED_VALUE"""),"")</f>
        <v/>
      </c>
      <c r="Q980" s="1" t="str">
        <f>IFERROR(__xludf.DUMMYFUNCTION("""COMPUTED_VALUE"""),"")</f>
        <v/>
      </c>
      <c r="R980" s="1" t="str">
        <f>IFERROR(__xludf.DUMMYFUNCTION("""COMPUTED_VALUE"""),"")</f>
        <v/>
      </c>
      <c r="S980" s="1" t="str">
        <f>IFERROR(__xludf.DUMMYFUNCTION("""COMPUTED_VALUE"""),"")</f>
        <v/>
      </c>
      <c r="T980" s="1" t="str">
        <f>IFERROR(__xludf.DUMMYFUNCTION("""COMPUTED_VALUE"""),"")</f>
        <v/>
      </c>
      <c r="U980" s="1" t="str">
        <f>IFERROR(__xludf.DUMMYFUNCTION("""COMPUTED_VALUE"""),"")</f>
        <v/>
      </c>
      <c r="V980" s="1" t="str">
        <f>IFERROR(__xludf.DUMMYFUNCTION("""COMPUTED_VALUE"""),"")</f>
        <v/>
      </c>
      <c r="W980" s="1" t="str">
        <f>IFERROR(__xludf.DUMMYFUNCTION("""COMPUTED_VALUE"""),"1041")</f>
        <v>1041</v>
      </c>
      <c r="X980" s="1" t="str">
        <f>IFERROR(__xludf.DUMMYFUNCTION("""COMPUTED_VALUE"""),"")</f>
        <v/>
      </c>
      <c r="Y980" s="1" t="str">
        <f>IFERROR(__xludf.DUMMYFUNCTION("""COMPUTED_VALUE"""),"2026")</f>
        <v>2026</v>
      </c>
      <c r="Z980" s="1" t="str">
        <f>IFERROR(__xludf.DUMMYFUNCTION("""COMPUTED_VALUE"""),"Unknown")</f>
        <v>Unknown</v>
      </c>
      <c r="AA980" s="1" t="str">
        <f>IFERROR(__xludf.DUMMYFUNCTION("""COMPUTED_VALUE"""),"")</f>
        <v/>
      </c>
      <c r="AB980" s="1" t="str">
        <f>IFERROR(__xludf.DUMMYFUNCTION("""COMPUTED_VALUE"""),"")</f>
        <v/>
      </c>
      <c r="AC980" s="1" t="str">
        <f>IFERROR(__xludf.DUMMYFUNCTION("""COMPUTED_VALUE"""),"")</f>
        <v/>
      </c>
      <c r="AD980" s="1" t="str">
        <f>IFERROR(__xludf.DUMMYFUNCTION("""COMPUTED_VALUE"""),"")</f>
        <v/>
      </c>
      <c r="AE980" s="1" t="str">
        <f>IFERROR(__xludf.DUMMYFUNCTION("""COMPUTED_VALUE"""),"")</f>
        <v/>
      </c>
      <c r="AF980" s="1" t="str">
        <f>IFERROR(__xludf.DUMMYFUNCTION("""COMPUTED_VALUE"""),"")</f>
        <v/>
      </c>
      <c r="AG980" s="1" t="str">
        <f>IFERROR(__xludf.DUMMYFUNCTION("""COMPUTED_VALUE"""),"Site of former Southland Paper Mill")</f>
        <v>Site of former Southland Paper Mill</v>
      </c>
      <c r="AH980" s="1" t="str">
        <f>IFERROR(__xludf.DUMMYFUNCTION("""COMPUTED_VALUE"""),"Media Monitoring")</f>
        <v>Media Monitoring</v>
      </c>
      <c r="AI980" s="2" t="str">
        <f>IFERROR(__xludf.DUMMYFUNCTION("""COMPUTED_VALUE"""),"https://lufkindailynews.com/news/local/ai-data-center-planned-on-1-000-acres-at-former-southland-paper-mill-site/article_ff9e97bf-361d-5649-835b-68a75818bd94.html")</f>
        <v>https://lufkindailynews.com/news/local/ai-data-center-planned-on-1-000-acres-at-former-southland-paper-mill-site/article_ff9e97bf-361d-5649-835b-68a75818bd94.html</v>
      </c>
      <c r="AJ980" s="2" t="str">
        <f>IFERROR(__xludf.DUMMYFUNCTION("""COMPUTED_VALUE"""),"https://www.datacenterdynamics.com/en/news/multi-gigawatt-data-center-campus-planned-in-east-texas/")</f>
        <v>https://www.datacenterdynamics.com/en/news/multi-gigawatt-data-center-campus-planned-in-east-texas/</v>
      </c>
      <c r="AK980" s="1" t="str">
        <f>IFERROR(__xludf.DUMMYFUNCTION("""COMPUTED_VALUE"""),"")</f>
        <v/>
      </c>
      <c r="AL980" s="1" t="str">
        <f>IFERROR(__xludf.DUMMYFUNCTION("""COMPUTED_VALUE"""),"")</f>
        <v/>
      </c>
      <c r="AM980" s="1" t="str">
        <f>IFERROR(__xludf.DUMMYFUNCTION("""COMPUTED_VALUE"""),"")</f>
        <v/>
      </c>
      <c r="AN980" s="1" t="str">
        <f>IFERROR(__xludf.DUMMYFUNCTION("""COMPUTED_VALUE"""),"")</f>
        <v/>
      </c>
      <c r="AO980" s="1" t="str">
        <f>IFERROR(__xludf.DUMMYFUNCTION("""COMPUTED_VALUE"""),"")</f>
        <v/>
      </c>
      <c r="AP980" s="1" t="str">
        <f>IFERROR(__xludf.DUMMYFUNCTION("""COMPUTED_VALUE"""),"")</f>
        <v/>
      </c>
      <c r="AQ980" s="1" t="str">
        <f>IFERROR(__xludf.DUMMYFUNCTION("""COMPUTED_VALUE"""),"02/15/2026")</f>
        <v>02/15/2026</v>
      </c>
      <c r="AR980" s="1" t="str">
        <f>IFERROR(__xludf.DUMMYFUNCTION("""COMPUTED_VALUE"""),"02/15/2026")</f>
        <v>02/15/2026</v>
      </c>
    </row>
    <row r="981">
      <c r="A981" s="1" t="str">
        <f>IFERROR(__xludf.DUMMYFUNCTION("""COMPUTED_VALUE"""),"North East Data Center LLC")</f>
        <v>North East Data Center LLC</v>
      </c>
      <c r="B981" s="1" t="str">
        <f>IFERROR(__xludf.DUMMYFUNCTION("""COMPUTED_VALUE"""),"TX-132 &amp; Co Rd 683")</f>
        <v>TX-132 &amp; Co Rd 683</v>
      </c>
      <c r="C981" s="1" t="str">
        <f>IFERROR(__xludf.DUMMYFUNCTION("""COMPUTED_VALUE"""),"Lytle")</f>
        <v>Lytle</v>
      </c>
      <c r="D981" s="1" t="str">
        <f>IFERROR(__xludf.DUMMYFUNCTION("""COMPUTED_VALUE"""),"TX")</f>
        <v>TX</v>
      </c>
      <c r="E981" s="1" t="str">
        <f>IFERROR(__xludf.DUMMYFUNCTION("""COMPUTED_VALUE"""),"78052")</f>
        <v>78052</v>
      </c>
      <c r="F981" s="1" t="str">
        <f>IFERROR(__xludf.DUMMYFUNCTION("""COMPUTED_VALUE"""),"Medina")</f>
        <v>Medina</v>
      </c>
      <c r="G981" s="1" t="str">
        <f>IFERROR(__xludf.DUMMYFUNCTION("""COMPUTED_VALUE"""),"29.219524")</f>
        <v>29.219524</v>
      </c>
      <c r="H981" s="1" t="str">
        <f>IFERROR(__xludf.DUMMYFUNCTION("""COMPUTED_VALUE"""),"-98.82438")</f>
        <v>-98.82438</v>
      </c>
      <c r="I981" s="1" t="str">
        <f>IFERROR(__xludf.DUMMYFUNCTION("""COMPUTED_VALUE"""),"Proposed")</f>
        <v>Proposed</v>
      </c>
      <c r="J981" s="1" t="str">
        <f>IFERROR(__xludf.DUMMYFUNCTION("""COMPUTED_VALUE"""),"High")</f>
        <v>High</v>
      </c>
      <c r="K981" s="1" t="str">
        <f>IFERROR(__xludf.DUMMYFUNCTION("""COMPUTED_VALUE"""),"")</f>
        <v/>
      </c>
      <c r="L981" s="1" t="str">
        <f>IFERROR(__xludf.DUMMYFUNCTION("""COMPUTED_VALUE"""),"Rowan")</f>
        <v>Rowan</v>
      </c>
      <c r="M981" s="1" t="str">
        <f>IFERROR(__xludf.DUMMYFUNCTION("""COMPUTED_VALUE"""),"")</f>
        <v/>
      </c>
      <c r="N981" s="1" t="str">
        <f>IFERROR(__xludf.DUMMYFUNCTION("""COMPUTED_VALUE"""),"300")</f>
        <v>300</v>
      </c>
      <c r="O981" s="1" t="str">
        <f>IFERROR(__xludf.DUMMYFUNCTION("""COMPUTED_VALUE"""),"Hyperscale (100-999 MW)")</f>
        <v>Hyperscale (100-999 MW)</v>
      </c>
      <c r="P981" s="1" t="str">
        <f>IFERROR(__xludf.DUMMYFUNCTION("""COMPUTED_VALUE"""),"")</f>
        <v/>
      </c>
      <c r="Q981" s="1" t="str">
        <f>IFERROR(__xludf.DUMMYFUNCTION("""COMPUTED_VALUE"""),"")</f>
        <v/>
      </c>
      <c r="R981" s="1" t="str">
        <f>IFERROR(__xludf.DUMMYFUNCTION("""COMPUTED_VALUE"""),"")</f>
        <v/>
      </c>
      <c r="S981" s="1" t="str">
        <f>IFERROR(__xludf.DUMMYFUNCTION("""COMPUTED_VALUE"""),"")</f>
        <v/>
      </c>
      <c r="T981" s="1" t="str">
        <f>IFERROR(__xludf.DUMMYFUNCTION("""COMPUTED_VALUE"""),"")</f>
        <v/>
      </c>
      <c r="U981" s="1" t="str">
        <f>IFERROR(__xludf.DUMMYFUNCTION("""COMPUTED_VALUE"""),"")</f>
        <v/>
      </c>
      <c r="V981" s="1" t="str">
        <f>IFERROR(__xludf.DUMMYFUNCTION("""COMPUTED_VALUE"""),"")</f>
        <v/>
      </c>
      <c r="W981" s="1" t="str">
        <f>IFERROR(__xludf.DUMMYFUNCTION("""COMPUTED_VALUE"""),"440")</f>
        <v>440</v>
      </c>
      <c r="X981" s="1" t="str">
        <f>IFERROR(__xludf.DUMMYFUNCTION("""COMPUTED_VALUE"""),"")</f>
        <v/>
      </c>
      <c r="Y981" s="1" t="str">
        <f>IFERROR(__xludf.DUMMYFUNCTION("""COMPUTED_VALUE"""),"20027")</f>
        <v>20027</v>
      </c>
      <c r="Z981" s="1" t="str">
        <f>IFERROR(__xludf.DUMMYFUNCTION("""COMPUTED_VALUE"""),"Unknown")</f>
        <v>Unknown</v>
      </c>
      <c r="AA981" s="1" t="str">
        <f>IFERROR(__xludf.DUMMYFUNCTION("""COMPUTED_VALUE"""),"")</f>
        <v/>
      </c>
      <c r="AB981" s="1" t="str">
        <f>IFERROR(__xludf.DUMMYFUNCTION("""COMPUTED_VALUE"""),"")</f>
        <v/>
      </c>
      <c r="AC981" s="1" t="str">
        <f>IFERROR(__xludf.DUMMYFUNCTION("""COMPUTED_VALUE"""),"")</f>
        <v/>
      </c>
      <c r="AD981" s="1" t="str">
        <f>IFERROR(__xludf.DUMMYFUNCTION("""COMPUTED_VALUE"""),"")</f>
        <v/>
      </c>
      <c r="AE981" s="1" t="str">
        <f>IFERROR(__xludf.DUMMYFUNCTION("""COMPUTED_VALUE"""),"")</f>
        <v/>
      </c>
      <c r="AF981" s="1" t="str">
        <f>IFERROR(__xludf.DUMMYFUNCTION("""COMPUTED_VALUE"""),"")</f>
        <v/>
      </c>
      <c r="AG981" s="1" t="str">
        <f>IFERROR(__xludf.DUMMYFUNCTION("""COMPUTED_VALUE"""),"")</f>
        <v/>
      </c>
      <c r="AH981" s="1" t="str">
        <f>IFERROR(__xludf.DUMMYFUNCTION("""COMPUTED_VALUE"""),"Media Monitoring")</f>
        <v>Media Monitoring</v>
      </c>
      <c r="AI981" s="2" t="str">
        <f>IFERROR(__xludf.DUMMYFUNCTION("""COMPUTED_VALUE"""),"https://www.datacenterdynamics.com/en/news/rowan-secures-500m-for-300mw-texas-data-center-project/")</f>
        <v>https://www.datacenterdynamics.com/en/news/rowan-secures-500m-for-300mw-texas-data-center-project/</v>
      </c>
      <c r="AJ981" s="2" t="str">
        <f>IFERROR(__xludf.DUMMYFUNCTION("""COMPUTED_VALUE"""),"https://www.datacentermap.com/usa/texas/san-antonio/rowan-cinco/")</f>
        <v>https://www.datacentermap.com/usa/texas/san-antonio/rowan-cinco/</v>
      </c>
      <c r="AK981" s="1" t="str">
        <f>IFERROR(__xludf.DUMMYFUNCTION("""COMPUTED_VALUE"""),"")</f>
        <v/>
      </c>
      <c r="AL981" s="1" t="str">
        <f>IFERROR(__xludf.DUMMYFUNCTION("""COMPUTED_VALUE"""),"")</f>
        <v/>
      </c>
      <c r="AM981" s="1" t="str">
        <f>IFERROR(__xludf.DUMMYFUNCTION("""COMPUTED_VALUE"""),"")</f>
        <v/>
      </c>
      <c r="AN981" s="1" t="str">
        <f>IFERROR(__xludf.DUMMYFUNCTION("""COMPUTED_VALUE"""),"")</f>
        <v/>
      </c>
      <c r="AO981" s="1" t="str">
        <f>IFERROR(__xludf.DUMMYFUNCTION("""COMPUTED_VALUE"""),"")</f>
        <v/>
      </c>
      <c r="AP981" s="1" t="str">
        <f>IFERROR(__xludf.DUMMYFUNCTION("""COMPUTED_VALUE"""),"")</f>
        <v/>
      </c>
      <c r="AQ981" s="1" t="str">
        <f>IFERROR(__xludf.DUMMYFUNCTION("""COMPUTED_VALUE"""),"02/16/2026")</f>
        <v>02/16/2026</v>
      </c>
      <c r="AR981" s="1" t="str">
        <f>IFERROR(__xludf.DUMMYFUNCTION("""COMPUTED_VALUE"""),"02/16/2026")</f>
        <v>02/16/2026</v>
      </c>
    </row>
    <row r="982">
      <c r="A982" s="1" t="str">
        <f>IFERROR(__xludf.DUMMYFUNCTION("""COMPUTED_VALUE"""),"Legacy Data Center")</f>
        <v>Legacy Data Center</v>
      </c>
      <c r="B982" s="1" t="str">
        <f>IFERROR(__xludf.DUMMYFUNCTION("""COMPUTED_VALUE"""),"1000 Bolton Rd")</f>
        <v>1000 Bolton Rd</v>
      </c>
      <c r="C982" s="1" t="str">
        <f>IFERROR(__xludf.DUMMYFUNCTION("""COMPUTED_VALUE"""),"Marion")</f>
        <v>Marion</v>
      </c>
      <c r="D982" s="1" t="str">
        <f>IFERROR(__xludf.DUMMYFUNCTION("""COMPUTED_VALUE"""),"TX")</f>
        <v>TX</v>
      </c>
      <c r="E982" s="1" t="str">
        <f>IFERROR(__xludf.DUMMYFUNCTION("""COMPUTED_VALUE"""),"78124")</f>
        <v>78124</v>
      </c>
      <c r="F982" s="1" t="str">
        <f>IFERROR(__xludf.DUMMYFUNCTION("""COMPUTED_VALUE"""),"Guadelupe")</f>
        <v>Guadelupe</v>
      </c>
      <c r="G982" s="1" t="str">
        <f>IFERROR(__xludf.DUMMYFUNCTION("""COMPUTED_VALUE"""),"29.520437")</f>
        <v>29.520437</v>
      </c>
      <c r="H982" s="1" t="str">
        <f>IFERROR(__xludf.DUMMYFUNCTION("""COMPUTED_VALUE"""),"-98.154655")</f>
        <v>-98.154655</v>
      </c>
      <c r="I982" s="1" t="str">
        <f>IFERROR(__xludf.DUMMYFUNCTION("""COMPUTED_VALUE"""),"Proposed")</f>
        <v>Proposed</v>
      </c>
      <c r="J982" s="1" t="str">
        <f>IFERROR(__xludf.DUMMYFUNCTION("""COMPUTED_VALUE"""),"High")</f>
        <v>High</v>
      </c>
      <c r="K982" s="1" t="str">
        <f>IFERROR(__xludf.DUMMYFUNCTION("""COMPUTED_VALUE"""),"")</f>
        <v/>
      </c>
      <c r="L982" s="1" t="str">
        <f>IFERROR(__xludf.DUMMYFUNCTION("""COMPUTED_VALUE"""),"")</f>
        <v/>
      </c>
      <c r="M982" s="1" t="str">
        <f>IFERROR(__xludf.DUMMYFUNCTION("""COMPUTED_VALUE"""),"")</f>
        <v/>
      </c>
      <c r="N982" s="1" t="str">
        <f>IFERROR(__xludf.DUMMYFUNCTION("""COMPUTED_VALUE"""),"50")</f>
        <v>50</v>
      </c>
      <c r="O982" s="1" t="str">
        <f>IFERROR(__xludf.DUMMYFUNCTION("""COMPUTED_VALUE"""),"Large (51-99 MW)")</f>
        <v>Large (51-99 MW)</v>
      </c>
      <c r="P982" s="1" t="str">
        <f>IFERROR(__xludf.DUMMYFUNCTION("""COMPUTED_VALUE"""),"")</f>
        <v/>
      </c>
      <c r="Q982" s="1" t="str">
        <f>IFERROR(__xludf.DUMMYFUNCTION("""COMPUTED_VALUE"""),"")</f>
        <v/>
      </c>
      <c r="R982" s="1" t="str">
        <f>IFERROR(__xludf.DUMMYFUNCTION("""COMPUTED_VALUE"""),"")</f>
        <v/>
      </c>
      <c r="S982" s="1" t="str">
        <f>IFERROR(__xludf.DUMMYFUNCTION("""COMPUTED_VALUE"""),"")</f>
        <v/>
      </c>
      <c r="T982" s="1" t="str">
        <f>IFERROR(__xludf.DUMMYFUNCTION("""COMPUTED_VALUE"""),"Water")</f>
        <v>Water</v>
      </c>
      <c r="U982" s="1" t="str">
        <f>IFERROR(__xludf.DUMMYFUNCTION("""COMPUTED_VALUE"""),"Closed loop")</f>
        <v>Closed loop</v>
      </c>
      <c r="V982" s="1" t="str">
        <f>IFERROR(__xludf.DUMMYFUNCTION("""COMPUTED_VALUE"""),"100,000")</f>
        <v>100,000</v>
      </c>
      <c r="W982" s="1" t="str">
        <f>IFERROR(__xludf.DUMMYFUNCTION("""COMPUTED_VALUE"""),"39")</f>
        <v>39</v>
      </c>
      <c r="X982" s="1" t="str">
        <f>IFERROR(__xludf.DUMMYFUNCTION("""COMPUTED_VALUE"""),"")</f>
        <v/>
      </c>
      <c r="Y982" s="1" t="str">
        <f>IFERROR(__xludf.DUMMYFUNCTION("""COMPUTED_VALUE"""),"2027")</f>
        <v>2027</v>
      </c>
      <c r="Z982" s="1" t="str">
        <f>IFERROR(__xludf.DUMMYFUNCTION("""COMPUTED_VALUE"""),"Unknown")</f>
        <v>Unknown</v>
      </c>
      <c r="AA982" s="1" t="str">
        <f>IFERROR(__xludf.DUMMYFUNCTION("""COMPUTED_VALUE"""),"")</f>
        <v/>
      </c>
      <c r="AB982" s="1" t="str">
        <f>IFERROR(__xludf.DUMMYFUNCTION("""COMPUTED_VALUE"""),"")</f>
        <v/>
      </c>
      <c r="AC982" s="1" t="str">
        <f>IFERROR(__xludf.DUMMYFUNCTION("""COMPUTED_VALUE"""),"")</f>
        <v/>
      </c>
      <c r="AD982" s="1" t="str">
        <f>IFERROR(__xludf.DUMMYFUNCTION("""COMPUTED_VALUE"""),"")</f>
        <v/>
      </c>
      <c r="AE982" s="1" t="str">
        <f>IFERROR(__xludf.DUMMYFUNCTION("""COMPUTED_VALUE"""),"")</f>
        <v/>
      </c>
      <c r="AF982" s="1" t="str">
        <f>IFERROR(__xludf.DUMMYFUNCTION("""COMPUTED_VALUE"""),"")</f>
        <v/>
      </c>
      <c r="AG982" s="1" t="str">
        <f>IFERROR(__xludf.DUMMYFUNCTION("""COMPUTED_VALUE"""),"")</f>
        <v/>
      </c>
      <c r="AH982" s="1" t="str">
        <f>IFERROR(__xludf.DUMMYFUNCTION("""COMPUTED_VALUE"""),"Media Monitoring")</f>
        <v>Media Monitoring</v>
      </c>
      <c r="AI982" s="2" t="str">
        <f>IFERROR(__xludf.DUMMYFUNCTION("""COMPUTED_VALUE"""),"https://www.datacenterdynamics.com/en/news/legacy-investing-eyes-50mw-data-center-outside-san-antonio-texas/")</f>
        <v>https://www.datacenterdynamics.com/en/news/legacy-investing-eyes-50mw-data-center-outside-san-antonio-texas/</v>
      </c>
      <c r="AJ982" s="1" t="str">
        <f>IFERROR(__xludf.DUMMYFUNCTION("""COMPUTED_VALUE"""),"")</f>
        <v/>
      </c>
      <c r="AK982" s="1" t="str">
        <f>IFERROR(__xludf.DUMMYFUNCTION("""COMPUTED_VALUE"""),"")</f>
        <v/>
      </c>
      <c r="AL982" s="1" t="str">
        <f>IFERROR(__xludf.DUMMYFUNCTION("""COMPUTED_VALUE"""),"")</f>
        <v/>
      </c>
      <c r="AM982" s="1" t="str">
        <f>IFERROR(__xludf.DUMMYFUNCTION("""COMPUTED_VALUE"""),"")</f>
        <v/>
      </c>
      <c r="AN982" s="1" t="str">
        <f>IFERROR(__xludf.DUMMYFUNCTION("""COMPUTED_VALUE"""),"")</f>
        <v/>
      </c>
      <c r="AO982" s="1" t="str">
        <f>IFERROR(__xludf.DUMMYFUNCTION("""COMPUTED_VALUE"""),"")</f>
        <v/>
      </c>
      <c r="AP982" s="1" t="str">
        <f>IFERROR(__xludf.DUMMYFUNCTION("""COMPUTED_VALUE"""),"")</f>
        <v/>
      </c>
      <c r="AQ982" s="1" t="str">
        <f>IFERROR(__xludf.DUMMYFUNCTION("""COMPUTED_VALUE"""),"06/12/2026")</f>
        <v>06/12/2026</v>
      </c>
      <c r="AR982" s="1" t="str">
        <f>IFERROR(__xludf.DUMMYFUNCTION("""COMPUTED_VALUE"""),"06/12/2026")</f>
        <v>06/12/2026</v>
      </c>
    </row>
    <row r="983">
      <c r="A983" s="1" t="str">
        <f>IFERROR(__xludf.DUMMYFUNCTION("""COMPUTED_VALUE"""),"""Kahla Project""")</f>
        <v>"Kahla Project"</v>
      </c>
      <c r="B983" s="1" t="str">
        <f>IFERROR(__xludf.DUMMYFUNCTION("""COMPUTED_VALUE"""),"near Long Hollow Rd")</f>
        <v>near Long Hollow Rd</v>
      </c>
      <c r="C983" s="1" t="str">
        <f>IFERROR(__xludf.DUMMYFUNCTION("""COMPUTED_VALUE"""),"Marquez")</f>
        <v>Marquez</v>
      </c>
      <c r="D983" s="1" t="str">
        <f>IFERROR(__xludf.DUMMYFUNCTION("""COMPUTED_VALUE"""),"TX")</f>
        <v>TX</v>
      </c>
      <c r="E983" s="1" t="str">
        <f>IFERROR(__xludf.DUMMYFUNCTION("""COMPUTED_VALUE"""),"77865")</f>
        <v>77865</v>
      </c>
      <c r="F983" s="1" t="str">
        <f>IFERROR(__xludf.DUMMYFUNCTION("""COMPUTED_VALUE"""),"Leon")</f>
        <v>Leon</v>
      </c>
      <c r="G983" s="1" t="str">
        <f>IFERROR(__xludf.DUMMYFUNCTION("""COMPUTED_VALUE"""),"31.319128")</f>
        <v>31.319128</v>
      </c>
      <c r="H983" s="1" t="str">
        <f>IFERROR(__xludf.DUMMYFUNCTION("""COMPUTED_VALUE"""),"-96.26737")</f>
        <v>-96.26737</v>
      </c>
      <c r="I983" s="1" t="str">
        <f>IFERROR(__xludf.DUMMYFUNCTION("""COMPUTED_VALUE"""),"Proposed")</f>
        <v>Proposed</v>
      </c>
      <c r="J983" s="1" t="str">
        <f>IFERROR(__xludf.DUMMYFUNCTION("""COMPUTED_VALUE"""),"Medium")</f>
        <v>Medium</v>
      </c>
      <c r="K983" s="1" t="str">
        <f>IFERROR(__xludf.DUMMYFUNCTION("""COMPUTED_VALUE"""),"")</f>
        <v/>
      </c>
      <c r="L983" s="1" t="str">
        <f>IFERROR(__xludf.DUMMYFUNCTION("""COMPUTED_VALUE"""),"Belltown Power")</f>
        <v>Belltown Power</v>
      </c>
      <c r="M983" s="1" t="str">
        <f>IFERROR(__xludf.DUMMYFUNCTION("""COMPUTED_VALUE"""),"")</f>
        <v/>
      </c>
      <c r="N983" s="1" t="str">
        <f>IFERROR(__xludf.DUMMYFUNCTION("""COMPUTED_VALUE"""),"1500")</f>
        <v>1500</v>
      </c>
      <c r="O983" s="1" t="str">
        <f>IFERROR(__xludf.DUMMYFUNCTION("""COMPUTED_VALUE"""),"Mega campus (&gt;1,000 MW)")</f>
        <v>Mega campus (&gt;1,000 MW)</v>
      </c>
      <c r="P983" s="1" t="str">
        <f>IFERROR(__xludf.DUMMYFUNCTION("""COMPUTED_VALUE"""),"")</f>
        <v/>
      </c>
      <c r="Q983" s="1" t="str">
        <f>IFERROR(__xludf.DUMMYFUNCTION("""COMPUTED_VALUE"""),"")</f>
        <v/>
      </c>
      <c r="R983" s="1" t="str">
        <f>IFERROR(__xludf.DUMMYFUNCTION("""COMPUTED_VALUE"""),"")</f>
        <v/>
      </c>
      <c r="S983" s="1" t="str">
        <f>IFERROR(__xludf.DUMMYFUNCTION("""COMPUTED_VALUE"""),"")</f>
        <v/>
      </c>
      <c r="T983" s="1" t="str">
        <f>IFERROR(__xludf.DUMMYFUNCTION("""COMPUTED_VALUE"""),"")</f>
        <v/>
      </c>
      <c r="U983" s="1" t="str">
        <f>IFERROR(__xludf.DUMMYFUNCTION("""COMPUTED_VALUE"""),"")</f>
        <v/>
      </c>
      <c r="V983" s="1" t="str">
        <f>IFERROR(__xludf.DUMMYFUNCTION("""COMPUTED_VALUE"""),"")</f>
        <v/>
      </c>
      <c r="W983" s="1" t="str">
        <f>IFERROR(__xludf.DUMMYFUNCTION("""COMPUTED_VALUE"""),"900")</f>
        <v>900</v>
      </c>
      <c r="X983" s="1" t="str">
        <f>IFERROR(__xludf.DUMMYFUNCTION("""COMPUTED_VALUE"""),"")</f>
        <v/>
      </c>
      <c r="Y983" s="1" t="str">
        <f>IFERROR(__xludf.DUMMYFUNCTION("""COMPUTED_VALUE"""),"")</f>
        <v/>
      </c>
      <c r="Z983" s="1" t="str">
        <f>IFERROR(__xludf.DUMMYFUNCTION("""COMPUTED_VALUE"""),"")</f>
        <v/>
      </c>
      <c r="AA983" s="1" t="str">
        <f>IFERROR(__xludf.DUMMYFUNCTION("""COMPUTED_VALUE"""),"")</f>
        <v/>
      </c>
      <c r="AB983" s="1" t="str">
        <f>IFERROR(__xludf.DUMMYFUNCTION("""COMPUTED_VALUE"""),"")</f>
        <v/>
      </c>
      <c r="AC983" s="1" t="str">
        <f>IFERROR(__xludf.DUMMYFUNCTION("""COMPUTED_VALUE"""),"")</f>
        <v/>
      </c>
      <c r="AD983" s="1" t="str">
        <f>IFERROR(__xludf.DUMMYFUNCTION("""COMPUTED_VALUE"""),"")</f>
        <v/>
      </c>
      <c r="AE983" s="1" t="str">
        <f>IFERROR(__xludf.DUMMYFUNCTION("""COMPUTED_VALUE"""),"")</f>
        <v/>
      </c>
      <c r="AF983" s="1" t="str">
        <f>IFERROR(__xludf.DUMMYFUNCTION("""COMPUTED_VALUE"""),"")</f>
        <v/>
      </c>
      <c r="AG983" s="1" t="str">
        <f>IFERROR(__xludf.DUMMYFUNCTION("""COMPUTED_VALUE"""),"")</f>
        <v/>
      </c>
      <c r="AH983" s="1" t="str">
        <f>IFERROR(__xludf.DUMMYFUNCTION("""COMPUTED_VALUE"""),"Media Monitoring")</f>
        <v>Media Monitoring</v>
      </c>
      <c r="AI983" s="2" t="str">
        <f>IFERROR(__xludf.DUMMYFUNCTION("""COMPUTED_VALUE"""),"https://www.kbtx.com/2025/12/24/leon-county-bracing-1500-megawatt-data-center/")</f>
        <v>https://www.kbtx.com/2025/12/24/leon-county-bracing-1500-megawatt-data-center/</v>
      </c>
      <c r="AJ983" s="2" t="str">
        <f>IFERROR(__xludf.DUMMYFUNCTION("""COMPUTED_VALUE"""),"https://www.knowleoncounty.org/docs/Project-Kahla-Leon-County.pdf")</f>
        <v>https://www.knowleoncounty.org/docs/Project-Kahla-Leon-County.pdf</v>
      </c>
      <c r="AK983" s="1" t="str">
        <f>IFERROR(__xludf.DUMMYFUNCTION("""COMPUTED_VALUE"""),"")</f>
        <v/>
      </c>
      <c r="AL983" s="1" t="str">
        <f>IFERROR(__xludf.DUMMYFUNCTION("""COMPUTED_VALUE"""),"")</f>
        <v/>
      </c>
      <c r="AM983" s="1" t="str">
        <f>IFERROR(__xludf.DUMMYFUNCTION("""COMPUTED_VALUE"""),"")</f>
        <v/>
      </c>
      <c r="AN983" s="1" t="str">
        <f>IFERROR(__xludf.DUMMYFUNCTION("""COMPUTED_VALUE"""),"")</f>
        <v/>
      </c>
      <c r="AO983" s="1" t="str">
        <f>IFERROR(__xludf.DUMMYFUNCTION("""COMPUTED_VALUE"""),"")</f>
        <v/>
      </c>
      <c r="AP983" s="1" t="str">
        <f>IFERROR(__xludf.DUMMYFUNCTION("""COMPUTED_VALUE"""),"")</f>
        <v/>
      </c>
      <c r="AQ983" s="1" t="str">
        <f>IFERROR(__xludf.DUMMYFUNCTION("""COMPUTED_VALUE"""),"07/12/2026")</f>
        <v>07/12/2026</v>
      </c>
      <c r="AR983" s="1" t="str">
        <f>IFERROR(__xludf.DUMMYFUNCTION("""COMPUTED_VALUE"""),"07/12/2026")</f>
        <v>07/12/2026</v>
      </c>
    </row>
    <row r="984">
      <c r="A984" s="1" t="str">
        <f>IFERROR(__xludf.DUMMYFUNCTION("""COMPUTED_VALUE"""),"Matagorda County Data Centers")</f>
        <v>Matagorda County Data Centers</v>
      </c>
      <c r="B984" s="1" t="str">
        <f>IFERROR(__xludf.DUMMYFUNCTION("""COMPUTED_VALUE"""),"")</f>
        <v/>
      </c>
      <c r="C984" s="1" t="str">
        <f>IFERROR(__xludf.DUMMYFUNCTION("""COMPUTED_VALUE"""),"Matagora County")</f>
        <v>Matagora County</v>
      </c>
      <c r="D984" s="1" t="str">
        <f>IFERROR(__xludf.DUMMYFUNCTION("""COMPUTED_VALUE"""),"TX")</f>
        <v>TX</v>
      </c>
      <c r="E984" s="1" t="str">
        <f>IFERROR(__xludf.DUMMYFUNCTION("""COMPUTED_VALUE"""),"")</f>
        <v/>
      </c>
      <c r="F984" s="1" t="str">
        <f>IFERROR(__xludf.DUMMYFUNCTION("""COMPUTED_VALUE"""),"Matagorda")</f>
        <v>Matagorda</v>
      </c>
      <c r="G984" s="1" t="str">
        <f>IFERROR(__xludf.DUMMYFUNCTION("""COMPUTED_VALUE"""),"28.74159")</f>
        <v>28.74159</v>
      </c>
      <c r="H984" s="1" t="str">
        <f>IFERROR(__xludf.DUMMYFUNCTION("""COMPUTED_VALUE"""),"-95.9322")</f>
        <v>-95.9322</v>
      </c>
      <c r="I984" s="1" t="str">
        <f>IFERROR(__xludf.DUMMYFUNCTION("""COMPUTED_VALUE"""),"Proposed")</f>
        <v>Proposed</v>
      </c>
      <c r="J984" s="1" t="str">
        <f>IFERROR(__xludf.DUMMYFUNCTION("""COMPUTED_VALUE"""),"Low")</f>
        <v>Low</v>
      </c>
      <c r="K984" s="1" t="str">
        <f>IFERROR(__xludf.DUMMYFUNCTION("""COMPUTED_VALUE"""),"")</f>
        <v/>
      </c>
      <c r="L984" s="1" t="str">
        <f>IFERROR(__xludf.DUMMYFUNCTION("""COMPUTED_VALUE"""),"")</f>
        <v/>
      </c>
      <c r="M984" s="1" t="str">
        <f>IFERROR(__xludf.DUMMYFUNCTION("""COMPUTED_VALUE"""),"")</f>
        <v/>
      </c>
      <c r="N984" s="1" t="str">
        <f>IFERROR(__xludf.DUMMYFUNCTION("""COMPUTED_VALUE"""),"20")</f>
        <v>20</v>
      </c>
      <c r="O984" s="1" t="str">
        <f>IFERROR(__xludf.DUMMYFUNCTION("""COMPUTED_VALUE"""),"Medium (11-50 MW)")</f>
        <v>Medium (11-50 MW)</v>
      </c>
      <c r="P984" s="1" t="str">
        <f>IFERROR(__xludf.DUMMYFUNCTION("""COMPUTED_VALUE"""),"")</f>
        <v/>
      </c>
      <c r="Q984" s="1" t="str">
        <f>IFERROR(__xludf.DUMMYFUNCTION("""COMPUTED_VALUE"""),"")</f>
        <v/>
      </c>
      <c r="R984" s="1" t="str">
        <f>IFERROR(__xludf.DUMMYFUNCTION("""COMPUTED_VALUE"""),"")</f>
        <v/>
      </c>
      <c r="S984" s="1" t="str">
        <f>IFERROR(__xludf.DUMMYFUNCTION("""COMPUTED_VALUE"""),"")</f>
        <v/>
      </c>
      <c r="T984" s="1" t="str">
        <f>IFERROR(__xludf.DUMMYFUNCTION("""COMPUTED_VALUE"""),"")</f>
        <v/>
      </c>
      <c r="U984" s="1" t="str">
        <f>IFERROR(__xludf.DUMMYFUNCTION("""COMPUTED_VALUE"""),"")</f>
        <v/>
      </c>
      <c r="V984" s="1" t="str">
        <f>IFERROR(__xludf.DUMMYFUNCTION("""COMPUTED_VALUE"""),"")</f>
        <v/>
      </c>
      <c r="W984" s="1" t="str">
        <f>IFERROR(__xludf.DUMMYFUNCTION("""COMPUTED_VALUE"""),"")</f>
        <v/>
      </c>
      <c r="X984" s="1" t="str">
        <f>IFERROR(__xludf.DUMMYFUNCTION("""COMPUTED_VALUE"""),"")</f>
        <v/>
      </c>
      <c r="Y984" s="1" t="str">
        <f>IFERROR(__xludf.DUMMYFUNCTION("""COMPUTED_VALUE"""),"")</f>
        <v/>
      </c>
      <c r="Z984" s="1" t="str">
        <f>IFERROR(__xludf.DUMMYFUNCTION("""COMPUTED_VALUE"""),"Unknown")</f>
        <v>Unknown</v>
      </c>
      <c r="AA984" s="1" t="str">
        <f>IFERROR(__xludf.DUMMYFUNCTION("""COMPUTED_VALUE"""),"")</f>
        <v/>
      </c>
      <c r="AB984" s="1" t="str">
        <f>IFERROR(__xludf.DUMMYFUNCTION("""COMPUTED_VALUE"""),"")</f>
        <v/>
      </c>
      <c r="AC984" s="1" t="str">
        <f>IFERROR(__xludf.DUMMYFUNCTION("""COMPUTED_VALUE"""),"")</f>
        <v/>
      </c>
      <c r="AD984" s="1" t="str">
        <f>IFERROR(__xludf.DUMMYFUNCTION("""COMPUTED_VALUE"""),"")</f>
        <v/>
      </c>
      <c r="AE984" s="1" t="str">
        <f>IFERROR(__xludf.DUMMYFUNCTION("""COMPUTED_VALUE"""),"")</f>
        <v/>
      </c>
      <c r="AF984" s="1" t="str">
        <f>IFERROR(__xludf.DUMMYFUNCTION("""COMPUTED_VALUE"""),"")</f>
        <v/>
      </c>
      <c r="AG984" s="1" t="str">
        <f>IFERROR(__xludf.DUMMYFUNCTION("""COMPUTED_VALUE"""),"")</f>
        <v/>
      </c>
      <c r="AH984" s="1" t="str">
        <f>IFERROR(__xludf.DUMMYFUNCTION("""COMPUTED_VALUE"""),"Media Monitoring")</f>
        <v>Media Monitoring</v>
      </c>
      <c r="AI984" s="2" t="str">
        <f>IFERROR(__xludf.DUMMYFUNCTION("""COMPUTED_VALUE"""),"https://www.datacenterdynamics.com/en/news/barrio-energy-plans-sites-for-two-10mw-data-centers-in-matagorda-county-texas/")</f>
        <v>https://www.datacenterdynamics.com/en/news/barrio-energy-plans-sites-for-two-10mw-data-centers-in-matagorda-county-texas/</v>
      </c>
      <c r="AJ984" s="2" t="str">
        <f>IFERROR(__xludf.DUMMYFUNCTION("""COMPUTED_VALUE"""),"https://www.wjbf.com/business/press-releases/cision/20250813DA50630/barrio-energy-announces-two-new-10mw-data-center-developments-in-matagorda-county-tx/")</f>
        <v>https://www.wjbf.com/business/press-releases/cision/20250813DA50630/barrio-energy-announces-two-new-10mw-data-center-developments-in-matagorda-county-tx/</v>
      </c>
      <c r="AK984" s="1" t="str">
        <f>IFERROR(__xludf.DUMMYFUNCTION("""COMPUTED_VALUE"""),"")</f>
        <v/>
      </c>
      <c r="AL984" s="1" t="str">
        <f>IFERROR(__xludf.DUMMYFUNCTION("""COMPUTED_VALUE"""),"")</f>
        <v/>
      </c>
      <c r="AM984" s="1" t="str">
        <f>IFERROR(__xludf.DUMMYFUNCTION("""COMPUTED_VALUE"""),"")</f>
        <v/>
      </c>
      <c r="AN984" s="1" t="str">
        <f>IFERROR(__xludf.DUMMYFUNCTION("""COMPUTED_VALUE"""),"")</f>
        <v/>
      </c>
      <c r="AO984" s="1" t="str">
        <f>IFERROR(__xludf.DUMMYFUNCTION("""COMPUTED_VALUE"""),"")</f>
        <v/>
      </c>
      <c r="AP984" s="1" t="str">
        <f>IFERROR(__xludf.DUMMYFUNCTION("""COMPUTED_VALUE"""),"")</f>
        <v/>
      </c>
      <c r="AQ984" s="1" t="str">
        <f>IFERROR(__xludf.DUMMYFUNCTION("""COMPUTED_VALUE"""),"08/16/2025")</f>
        <v>08/16/2025</v>
      </c>
      <c r="AR984" s="1" t="str">
        <f>IFERROR(__xludf.DUMMYFUNCTION("""COMPUTED_VALUE"""),"08/16/2025")</f>
        <v>08/16/2025</v>
      </c>
    </row>
    <row r="985">
      <c r="A985" s="1" t="str">
        <f>IFERROR(__xludf.DUMMYFUNCTION("""COMPUTED_VALUE"""),"Edged Austin")</f>
        <v>Edged Austin</v>
      </c>
      <c r="B985" s="1" t="str">
        <f>IFERROR(__xludf.DUMMYFUNCTION("""COMPUTED_VALUE"""),"11255 Hwy 142")</f>
        <v>11255 Hwy 142</v>
      </c>
      <c r="C985" s="1" t="str">
        <f>IFERROR(__xludf.DUMMYFUNCTION("""COMPUTED_VALUE"""),"Maxwell")</f>
        <v>Maxwell</v>
      </c>
      <c r="D985" s="1" t="str">
        <f>IFERROR(__xludf.DUMMYFUNCTION("""COMPUTED_VALUE"""),"TX")</f>
        <v>TX</v>
      </c>
      <c r="E985" s="1" t="str">
        <f>IFERROR(__xludf.DUMMYFUNCTION("""COMPUTED_VALUE"""),"78656")</f>
        <v>78656</v>
      </c>
      <c r="F985" s="1" t="str">
        <f>IFERROR(__xludf.DUMMYFUNCTION("""COMPUTED_VALUE"""),"Caldwell")</f>
        <v>Caldwell</v>
      </c>
      <c r="G985" s="1" t="str">
        <f>IFERROR(__xludf.DUMMYFUNCTION("""COMPUTED_VALUE"""),"29.86609")</f>
        <v>29.86609</v>
      </c>
      <c r="H985" s="1" t="str">
        <f>IFERROR(__xludf.DUMMYFUNCTION("""COMPUTED_VALUE"""),"-97.8132")</f>
        <v>-97.8132</v>
      </c>
      <c r="I985" s="1" t="str">
        <f>IFERROR(__xludf.DUMMYFUNCTION("""COMPUTED_VALUE"""),"Proposed")</f>
        <v>Proposed</v>
      </c>
      <c r="J985" s="1" t="str">
        <f>IFERROR(__xludf.DUMMYFUNCTION("""COMPUTED_VALUE"""),"High")</f>
        <v>High</v>
      </c>
      <c r="K985" s="1" t="str">
        <f>IFERROR(__xludf.DUMMYFUNCTION("""COMPUTED_VALUE"""),"")</f>
        <v/>
      </c>
      <c r="L985" s="1" t="str">
        <f>IFERROR(__xludf.DUMMYFUNCTION("""COMPUTED_VALUE"""),"Edged")</f>
        <v>Edged</v>
      </c>
      <c r="M985" s="1" t="str">
        <f>IFERROR(__xludf.DUMMYFUNCTION("""COMPUTED_VALUE"""),"")</f>
        <v/>
      </c>
      <c r="N985" s="1" t="str">
        <f>IFERROR(__xludf.DUMMYFUNCTION("""COMPUTED_VALUE"""),"")</f>
        <v/>
      </c>
      <c r="O985" s="1" t="str">
        <f>IFERROR(__xludf.DUMMYFUNCTION("""COMPUTED_VALUE"""),"Unknown")</f>
        <v>Unknown</v>
      </c>
      <c r="P985" s="1" t="str">
        <f>IFERROR(__xludf.DUMMYFUNCTION("""COMPUTED_VALUE"""),"")</f>
        <v/>
      </c>
      <c r="Q985" s="1" t="str">
        <f>IFERROR(__xludf.DUMMYFUNCTION("""COMPUTED_VALUE"""),"")</f>
        <v/>
      </c>
      <c r="R985" s="1" t="str">
        <f>IFERROR(__xludf.DUMMYFUNCTION("""COMPUTED_VALUE"""),"")</f>
        <v/>
      </c>
      <c r="S985" s="1" t="str">
        <f>IFERROR(__xludf.DUMMYFUNCTION("""COMPUTED_VALUE"""),"")</f>
        <v/>
      </c>
      <c r="T985" s="1" t="str">
        <f>IFERROR(__xludf.DUMMYFUNCTION("""COMPUTED_VALUE"""),"")</f>
        <v/>
      </c>
      <c r="U985" s="1" t="str">
        <f>IFERROR(__xludf.DUMMYFUNCTION("""COMPUTED_VALUE"""),"")</f>
        <v/>
      </c>
      <c r="V985" s="1" t="str">
        <f>IFERROR(__xludf.DUMMYFUNCTION("""COMPUTED_VALUE"""),"869,685")</f>
        <v>869,685</v>
      </c>
      <c r="W985" s="1" t="str">
        <f>IFERROR(__xludf.DUMMYFUNCTION("""COMPUTED_VALUE"""),"")</f>
        <v/>
      </c>
      <c r="X985" s="1" t="str">
        <f>IFERROR(__xludf.DUMMYFUNCTION("""COMPUTED_VALUE"""),"$2.8 billion")</f>
        <v>$2.8 billion</v>
      </c>
      <c r="Y985" s="1" t="str">
        <f>IFERROR(__xludf.DUMMYFUNCTION("""COMPUTED_VALUE"""),"2028")</f>
        <v>2028</v>
      </c>
      <c r="Z985" s="1" t="str">
        <f>IFERROR(__xludf.DUMMYFUNCTION("""COMPUTED_VALUE"""),"Unknown")</f>
        <v>Unknown</v>
      </c>
      <c r="AA985" s="1" t="str">
        <f>IFERROR(__xludf.DUMMYFUNCTION("""COMPUTED_VALUE"""),"")</f>
        <v/>
      </c>
      <c r="AB985" s="1" t="str">
        <f>IFERROR(__xludf.DUMMYFUNCTION("""COMPUTED_VALUE"""),"")</f>
        <v/>
      </c>
      <c r="AC985" s="1" t="str">
        <f>IFERROR(__xludf.DUMMYFUNCTION("""COMPUTED_VALUE"""),"")</f>
        <v/>
      </c>
      <c r="AD985" s="1" t="str">
        <f>IFERROR(__xludf.DUMMYFUNCTION("""COMPUTED_VALUE"""),"")</f>
        <v/>
      </c>
      <c r="AE985" s="1" t="str">
        <f>IFERROR(__xludf.DUMMYFUNCTION("""COMPUTED_VALUE"""),"")</f>
        <v/>
      </c>
      <c r="AF985" s="1" t="str">
        <f>IFERROR(__xludf.DUMMYFUNCTION("""COMPUTED_VALUE"""),"")</f>
        <v/>
      </c>
      <c r="AG985" s="1" t="str">
        <f>IFERROR(__xludf.DUMMYFUNCTION("""COMPUTED_VALUE"""),"")</f>
        <v/>
      </c>
      <c r="AH985" s="1" t="str">
        <f>IFERROR(__xludf.DUMMYFUNCTION("""COMPUTED_VALUE"""),"Media Monitoring")</f>
        <v>Media Monitoring</v>
      </c>
      <c r="AI985" s="2" t="str">
        <f>IFERROR(__xludf.DUMMYFUNCTION("""COMPUTED_VALUE"""),"https://www.datacenterdynamics.com/en/news/edged-files-to-develop-2-million-sq-ft-data-center-campus-outside-austin-texas/												")</f>
        <v>https://www.datacenterdynamics.com/en/news/edged-files-to-develop-2-million-sq-ft-data-center-campus-outside-austin-texas/												</v>
      </c>
      <c r="AJ985" s="1" t="str">
        <f>IFERROR(__xludf.DUMMYFUNCTION("""COMPUTED_VALUE"""),"")</f>
        <v/>
      </c>
      <c r="AK985" s="1" t="str">
        <f>IFERROR(__xludf.DUMMYFUNCTION("""COMPUTED_VALUE"""),"")</f>
        <v/>
      </c>
      <c r="AL985" s="1" t="str">
        <f>IFERROR(__xludf.DUMMYFUNCTION("""COMPUTED_VALUE"""),"")</f>
        <v/>
      </c>
      <c r="AM985" s="1" t="str">
        <f>IFERROR(__xludf.DUMMYFUNCTION("""COMPUTED_VALUE"""),"")</f>
        <v/>
      </c>
      <c r="AN985" s="1" t="str">
        <f>IFERROR(__xludf.DUMMYFUNCTION("""COMPUTED_VALUE"""),"")</f>
        <v/>
      </c>
      <c r="AO985" s="1" t="str">
        <f>IFERROR(__xludf.DUMMYFUNCTION("""COMPUTED_VALUE"""),"")</f>
        <v/>
      </c>
      <c r="AP985" s="1" t="str">
        <f>IFERROR(__xludf.DUMMYFUNCTION("""COMPUTED_VALUE"""),"")</f>
        <v/>
      </c>
      <c r="AQ985" s="1" t="str">
        <f>IFERROR(__xludf.DUMMYFUNCTION("""COMPUTED_VALUE"""),"05/18/2026")</f>
        <v>05/18/2026</v>
      </c>
      <c r="AR985" s="1" t="str">
        <f>IFERROR(__xludf.DUMMYFUNCTION("""COMPUTED_VALUE"""),"05/18/2026")</f>
        <v>05/18/2026</v>
      </c>
    </row>
    <row r="986">
      <c r="A986" s="1" t="str">
        <f>IFERROR(__xludf.DUMMYFUNCTION("""COMPUTED_VALUE"""),"Prime DC AUS01 and AUS02")</f>
        <v>Prime DC AUS01 and AUS02</v>
      </c>
      <c r="B986" s="1" t="str">
        <f>IFERROR(__xludf.DUMMYFUNCTION("""COMPUTED_VALUE"""),"1395 Bob White Rd")</f>
        <v>1395 Bob White Rd</v>
      </c>
      <c r="C986" s="1" t="str">
        <f>IFERROR(__xludf.DUMMYFUNCTION("""COMPUTED_VALUE"""),"Maxwell")</f>
        <v>Maxwell</v>
      </c>
      <c r="D986" s="1" t="str">
        <f>IFERROR(__xludf.DUMMYFUNCTION("""COMPUTED_VALUE"""),"TX")</f>
        <v>TX</v>
      </c>
      <c r="E986" s="1" t="str">
        <f>IFERROR(__xludf.DUMMYFUNCTION("""COMPUTED_VALUE"""),"78657")</f>
        <v>78657</v>
      </c>
      <c r="F986" s="1" t="str">
        <f>IFERROR(__xludf.DUMMYFUNCTION("""COMPUTED_VALUE"""),"Caldwell")</f>
        <v>Caldwell</v>
      </c>
      <c r="G986" s="1" t="str">
        <f>IFERROR(__xludf.DUMMYFUNCTION("""COMPUTED_VALUE"""),"29.92406")</f>
        <v>29.92406</v>
      </c>
      <c r="H986" s="1" t="str">
        <f>IFERROR(__xludf.DUMMYFUNCTION("""COMPUTED_VALUE"""),"-97.7511")</f>
        <v>-97.7511</v>
      </c>
      <c r="I986" s="1" t="str">
        <f>IFERROR(__xludf.DUMMYFUNCTION("""COMPUTED_VALUE"""),"Proposed")</f>
        <v>Proposed</v>
      </c>
      <c r="J986" s="1" t="str">
        <f>IFERROR(__xludf.DUMMYFUNCTION("""COMPUTED_VALUE"""),"High")</f>
        <v>High</v>
      </c>
      <c r="K986" s="1" t="str">
        <f>IFERROR(__xludf.DUMMYFUNCTION("""COMPUTED_VALUE"""),"")</f>
        <v/>
      </c>
      <c r="L986" s="1" t="str">
        <f>IFERROR(__xludf.DUMMYFUNCTION("""COMPUTED_VALUE"""),"Prime DC")</f>
        <v>Prime DC</v>
      </c>
      <c r="M986" s="1" t="str">
        <f>IFERROR(__xludf.DUMMYFUNCTION("""COMPUTED_VALUE"""),"")</f>
        <v/>
      </c>
      <c r="N986" s="1" t="str">
        <f>IFERROR(__xludf.DUMMYFUNCTION("""COMPUTED_VALUE"""),"")</f>
        <v/>
      </c>
      <c r="O986" s="1" t="str">
        <f>IFERROR(__xludf.DUMMYFUNCTION("""COMPUTED_VALUE"""),"Unknown")</f>
        <v>Unknown</v>
      </c>
      <c r="P986" s="1" t="str">
        <f>IFERROR(__xludf.DUMMYFUNCTION("""COMPUTED_VALUE"""),"")</f>
        <v/>
      </c>
      <c r="Q986" s="1" t="str">
        <f>IFERROR(__xludf.DUMMYFUNCTION("""COMPUTED_VALUE"""),"")</f>
        <v/>
      </c>
      <c r="R986" s="1" t="str">
        <f>IFERROR(__xludf.DUMMYFUNCTION("""COMPUTED_VALUE"""),"")</f>
        <v/>
      </c>
      <c r="S986" s="1" t="str">
        <f>IFERROR(__xludf.DUMMYFUNCTION("""COMPUTED_VALUE"""),"")</f>
        <v/>
      </c>
      <c r="T986" s="1" t="str">
        <f>IFERROR(__xludf.DUMMYFUNCTION("""COMPUTED_VALUE"""),"")</f>
        <v/>
      </c>
      <c r="U986" s="1" t="str">
        <f>IFERROR(__xludf.DUMMYFUNCTION("""COMPUTED_VALUE"""),"")</f>
        <v/>
      </c>
      <c r="V986" s="1" t="str">
        <f>IFERROR(__xludf.DUMMYFUNCTION("""COMPUTED_VALUE"""),"380,000")</f>
        <v>380,000</v>
      </c>
      <c r="W986" s="1" t="str">
        <f>IFERROR(__xludf.DUMMYFUNCTION("""COMPUTED_VALUE"""),"")</f>
        <v/>
      </c>
      <c r="X986" s="1" t="str">
        <f>IFERROR(__xludf.DUMMYFUNCTION("""COMPUTED_VALUE"""),"$400 million")</f>
        <v>$400 million</v>
      </c>
      <c r="Y986" s="1" t="str">
        <f>IFERROR(__xludf.DUMMYFUNCTION("""COMPUTED_VALUE"""),"2027")</f>
        <v>2027</v>
      </c>
      <c r="Z986" s="1" t="str">
        <f>IFERROR(__xludf.DUMMYFUNCTION("""COMPUTED_VALUE"""),"Unknown")</f>
        <v>Unknown</v>
      </c>
      <c r="AA986" s="1" t="str">
        <f>IFERROR(__xludf.DUMMYFUNCTION("""COMPUTED_VALUE"""),"")</f>
        <v/>
      </c>
      <c r="AB986" s="1" t="str">
        <f>IFERROR(__xludf.DUMMYFUNCTION("""COMPUTED_VALUE"""),"")</f>
        <v/>
      </c>
      <c r="AC986" s="1" t="str">
        <f>IFERROR(__xludf.DUMMYFUNCTION("""COMPUTED_VALUE"""),"")</f>
        <v/>
      </c>
      <c r="AD986" s="1" t="str">
        <f>IFERROR(__xludf.DUMMYFUNCTION("""COMPUTED_VALUE"""),"")</f>
        <v/>
      </c>
      <c r="AE986" s="1" t="str">
        <f>IFERROR(__xludf.DUMMYFUNCTION("""COMPUTED_VALUE"""),"")</f>
        <v/>
      </c>
      <c r="AF986" s="1" t="str">
        <f>IFERROR(__xludf.DUMMYFUNCTION("""COMPUTED_VALUE"""),"")</f>
        <v/>
      </c>
      <c r="AG986" s="1" t="str">
        <f>IFERROR(__xludf.DUMMYFUNCTION("""COMPUTED_VALUE"""),"")</f>
        <v/>
      </c>
      <c r="AH986" s="1" t="str">
        <f>IFERROR(__xludf.DUMMYFUNCTION("""COMPUTED_VALUE"""),"Media Monitoring")</f>
        <v>Media Monitoring</v>
      </c>
      <c r="AI986" s="2" t="str">
        <f>IFERROR(__xludf.DUMMYFUNCTION("""COMPUTED_VALUE"""),"https://www.datacenterdynamics.com/en/news/prime-files-to-build-two-data-centers-outside-austin-texas/										")</f>
        <v>https://www.datacenterdynamics.com/en/news/prime-files-to-build-two-data-centers-outside-austin-texas/										</v>
      </c>
      <c r="AJ986" s="1" t="str">
        <f>IFERROR(__xludf.DUMMYFUNCTION("""COMPUTED_VALUE"""),"")</f>
        <v/>
      </c>
      <c r="AK986" s="1" t="str">
        <f>IFERROR(__xludf.DUMMYFUNCTION("""COMPUTED_VALUE"""),"")</f>
        <v/>
      </c>
      <c r="AL986" s="1" t="str">
        <f>IFERROR(__xludf.DUMMYFUNCTION("""COMPUTED_VALUE"""),"")</f>
        <v/>
      </c>
      <c r="AM986" s="1" t="str">
        <f>IFERROR(__xludf.DUMMYFUNCTION("""COMPUTED_VALUE"""),"")</f>
        <v/>
      </c>
      <c r="AN986" s="1" t="str">
        <f>IFERROR(__xludf.DUMMYFUNCTION("""COMPUTED_VALUE"""),"")</f>
        <v/>
      </c>
      <c r="AO986" s="1" t="str">
        <f>IFERROR(__xludf.DUMMYFUNCTION("""COMPUTED_VALUE"""),"")</f>
        <v/>
      </c>
      <c r="AP986" s="1" t="str">
        <f>IFERROR(__xludf.DUMMYFUNCTION("""COMPUTED_VALUE"""),"")</f>
        <v/>
      </c>
      <c r="AQ986" s="1" t="str">
        <f>IFERROR(__xludf.DUMMYFUNCTION("""COMPUTED_VALUE"""),"05/18/2026")</f>
        <v>05/18/2026</v>
      </c>
      <c r="AR986" s="1" t="str">
        <f>IFERROR(__xludf.DUMMYFUNCTION("""COMPUTED_VALUE"""),"05/18/2026")</f>
        <v>05/18/2026</v>
      </c>
    </row>
    <row r="987">
      <c r="A987" s="1" t="str">
        <f>IFERROR(__xludf.DUMMYFUNCTION("""COMPUTED_VALUE"""),"1547 Data Center: MCTX1")</f>
        <v>1547 Data Center: MCTX1</v>
      </c>
      <c r="B987" s="1" t="str">
        <f>IFERROR(__xludf.DUMMYFUNCTION("""COMPUTED_VALUE"""),"200 S 10th St")</f>
        <v>200 S 10th St</v>
      </c>
      <c r="C987" s="1" t="str">
        <f>IFERROR(__xludf.DUMMYFUNCTION("""COMPUTED_VALUE"""),"McAllen")</f>
        <v>McAllen</v>
      </c>
      <c r="D987" s="1" t="str">
        <f>IFERROR(__xludf.DUMMYFUNCTION("""COMPUTED_VALUE"""),"TX")</f>
        <v>TX</v>
      </c>
      <c r="E987" s="1" t="str">
        <f>IFERROR(__xludf.DUMMYFUNCTION("""COMPUTED_VALUE"""),"78501")</f>
        <v>78501</v>
      </c>
      <c r="F987" s="1" t="str">
        <f>IFERROR(__xludf.DUMMYFUNCTION("""COMPUTED_VALUE"""),"Hidalgo")</f>
        <v>Hidalgo</v>
      </c>
      <c r="G987" s="1" t="str">
        <f>IFERROR(__xludf.DUMMYFUNCTION("""COMPUTED_VALUE"""),"26.20193")</f>
        <v>26.20193</v>
      </c>
      <c r="H987" s="1" t="str">
        <f>IFERROR(__xludf.DUMMYFUNCTION("""COMPUTED_VALUE"""),"-98.2316")</f>
        <v>-98.2316</v>
      </c>
      <c r="I987" s="1" t="str">
        <f>IFERROR(__xludf.DUMMYFUNCTION("""COMPUTED_VALUE"""),"Operating")</f>
        <v>Operating</v>
      </c>
      <c r="J987" s="1" t="str">
        <f>IFERROR(__xludf.DUMMYFUNCTION("""COMPUTED_VALUE"""),"High")</f>
        <v>High</v>
      </c>
      <c r="K987" s="1" t="str">
        <f>IFERROR(__xludf.DUMMYFUNCTION("""COMPUTED_VALUE"""),"")</f>
        <v/>
      </c>
      <c r="L987" s="1" t="str">
        <f>IFERROR(__xludf.DUMMYFUNCTION("""COMPUTED_VALUE"""),"")</f>
        <v/>
      </c>
      <c r="M987" s="1" t="str">
        <f>IFERROR(__xludf.DUMMYFUNCTION("""COMPUTED_VALUE"""),"")</f>
        <v/>
      </c>
      <c r="N987" s="1" t="str">
        <f>IFERROR(__xludf.DUMMYFUNCTION("""COMPUTED_VALUE"""),"1.5-5")</f>
        <v>1.5-5</v>
      </c>
      <c r="O987" s="1" t="str">
        <f>IFERROR(__xludf.DUMMYFUNCTION("""COMPUTED_VALUE"""),"Small (0-10 MW)")</f>
        <v>Small (0-10 MW)</v>
      </c>
      <c r="P987" s="1" t="str">
        <f>IFERROR(__xludf.DUMMYFUNCTION("""COMPUTED_VALUE"""),"")</f>
        <v/>
      </c>
      <c r="Q987" s="1" t="str">
        <f>IFERROR(__xludf.DUMMYFUNCTION("""COMPUTED_VALUE"""),"")</f>
        <v/>
      </c>
      <c r="R987" s="1" t="str">
        <f>IFERROR(__xludf.DUMMYFUNCTION("""COMPUTED_VALUE"""),"")</f>
        <v/>
      </c>
      <c r="S987" s="1" t="str">
        <f>IFERROR(__xludf.DUMMYFUNCTION("""COMPUTED_VALUE"""),"")</f>
        <v/>
      </c>
      <c r="T987" s="1" t="str">
        <f>IFERROR(__xludf.DUMMYFUNCTION("""COMPUTED_VALUE"""),"")</f>
        <v/>
      </c>
      <c r="U987" s="1" t="str">
        <f>IFERROR(__xludf.DUMMYFUNCTION("""COMPUTED_VALUE"""),"")</f>
        <v/>
      </c>
      <c r="V987" s="1" t="str">
        <f>IFERROR(__xludf.DUMMYFUNCTION("""COMPUTED_VALUE"""),"24,000")</f>
        <v>24,000</v>
      </c>
      <c r="W987" s="1" t="str">
        <f>IFERROR(__xludf.DUMMYFUNCTION("""COMPUTED_VALUE"""),"")</f>
        <v/>
      </c>
      <c r="X987" s="1" t="str">
        <f>IFERROR(__xludf.DUMMYFUNCTION("""COMPUTED_VALUE"""),"")</f>
        <v/>
      </c>
      <c r="Y987" s="1" t="str">
        <f>IFERROR(__xludf.DUMMYFUNCTION("""COMPUTED_VALUE"""),"")</f>
        <v/>
      </c>
      <c r="Z987" s="1" t="str">
        <f>IFERROR(__xludf.DUMMYFUNCTION("""COMPUTED_VALUE"""),"Unknown")</f>
        <v>Unknown</v>
      </c>
      <c r="AA987" s="1" t="str">
        <f>IFERROR(__xludf.DUMMYFUNCTION("""COMPUTED_VALUE"""),"")</f>
        <v/>
      </c>
      <c r="AB987" s="1" t="str">
        <f>IFERROR(__xludf.DUMMYFUNCTION("""COMPUTED_VALUE"""),"")</f>
        <v/>
      </c>
      <c r="AC987" s="1" t="str">
        <f>IFERROR(__xludf.DUMMYFUNCTION("""COMPUTED_VALUE"""),"")</f>
        <v/>
      </c>
      <c r="AD987" s="1" t="str">
        <f>IFERROR(__xludf.DUMMYFUNCTION("""COMPUTED_VALUE"""),"")</f>
        <v/>
      </c>
      <c r="AE987" s="1" t="str">
        <f>IFERROR(__xludf.DUMMYFUNCTION("""COMPUTED_VALUE"""),"")</f>
        <v/>
      </c>
      <c r="AF987" s="1" t="str">
        <f>IFERROR(__xludf.DUMMYFUNCTION("""COMPUTED_VALUE"""),"")</f>
        <v/>
      </c>
      <c r="AG987" s="1" t="str">
        <f>IFERROR(__xludf.DUMMYFUNCTION("""COMPUTED_VALUE"""),"17-story office building")</f>
        <v>17-story office building</v>
      </c>
      <c r="AH987" s="1" t="str">
        <f>IFERROR(__xludf.DUMMYFUNCTION("""COMPUTED_VALUE"""),"Media Monitoring")</f>
        <v>Media Monitoring</v>
      </c>
      <c r="AI987" s="2" t="str">
        <f>IFERROR(__xludf.DUMMYFUNCTION("""COMPUTED_VALUE"""),"https://www.mysanantonio.com/business/article/1547-mctx1-data-center-mcallen-20802823.php")</f>
        <v>https://www.mysanantonio.com/business/article/1547-mctx1-data-center-mcallen-20802823.php</v>
      </c>
      <c r="AJ987" s="1" t="str">
        <f>IFERROR(__xludf.DUMMYFUNCTION("""COMPUTED_VALUE"""),"")</f>
        <v/>
      </c>
      <c r="AK987" s="1" t="str">
        <f>IFERROR(__xludf.DUMMYFUNCTION("""COMPUTED_VALUE"""),"")</f>
        <v/>
      </c>
      <c r="AL987" s="1" t="str">
        <f>IFERROR(__xludf.DUMMYFUNCTION("""COMPUTED_VALUE"""),"")</f>
        <v/>
      </c>
      <c r="AM987" s="1" t="str">
        <f>IFERROR(__xludf.DUMMYFUNCTION("""COMPUTED_VALUE"""),"")</f>
        <v/>
      </c>
      <c r="AN987" s="1" t="str">
        <f>IFERROR(__xludf.DUMMYFUNCTION("""COMPUTED_VALUE"""),"")</f>
        <v/>
      </c>
      <c r="AO987" s="1" t="str">
        <f>IFERROR(__xludf.DUMMYFUNCTION("""COMPUTED_VALUE"""),"")</f>
        <v/>
      </c>
      <c r="AP987" s="1" t="str">
        <f>IFERROR(__xludf.DUMMYFUNCTION("""COMPUTED_VALUE"""),"")</f>
        <v/>
      </c>
      <c r="AQ987" s="1" t="str">
        <f>IFERROR(__xludf.DUMMYFUNCTION("""COMPUTED_VALUE"""),"08/09/2025")</f>
        <v>08/09/2025</v>
      </c>
      <c r="AR987" s="1" t="str">
        <f>IFERROR(__xludf.DUMMYFUNCTION("""COMPUTED_VALUE"""),"08/09/2025")</f>
        <v>08/09/2025</v>
      </c>
    </row>
    <row r="988">
      <c r="A988" s="1" t="str">
        <f>IFERROR(__xludf.DUMMYFUNCTION("""COMPUTED_VALUE"""),"""Project Merlin"" Galaxy Digital Data Center")</f>
        <v>"Project Merlin" Galaxy Digital Data Center</v>
      </c>
      <c r="B988" s="1" t="str">
        <f>IFERROR(__xludf.DUMMYFUNCTION("""COMPUTED_VALUE"""),"near Spacex Rocket Development site")</f>
        <v>near Spacex Rocket Development site</v>
      </c>
      <c r="C988" s="1" t="str">
        <f>IFERROR(__xludf.DUMMYFUNCTION("""COMPUTED_VALUE"""),"McGregor")</f>
        <v>McGregor</v>
      </c>
      <c r="D988" s="1" t="str">
        <f>IFERROR(__xludf.DUMMYFUNCTION("""COMPUTED_VALUE"""),"TX")</f>
        <v>TX</v>
      </c>
      <c r="E988" s="1" t="str">
        <f>IFERROR(__xludf.DUMMYFUNCTION("""COMPUTED_VALUE"""),"76657")</f>
        <v>76657</v>
      </c>
      <c r="F988" s="1" t="str">
        <f>IFERROR(__xludf.DUMMYFUNCTION("""COMPUTED_VALUE"""),"McLennan and Coryell")</f>
        <v>McLennan and Coryell</v>
      </c>
      <c r="G988" s="1" t="str">
        <f>IFERROR(__xludf.DUMMYFUNCTION("""COMPUTED_VALUE"""),"31.392729")</f>
        <v>31.392729</v>
      </c>
      <c r="H988" s="1" t="str">
        <f>IFERROR(__xludf.DUMMYFUNCTION("""COMPUTED_VALUE"""),"-97.446846")</f>
        <v>-97.446846</v>
      </c>
      <c r="I988" s="1" t="str">
        <f>IFERROR(__xludf.DUMMYFUNCTION("""COMPUTED_VALUE"""),"Proposed")</f>
        <v>Proposed</v>
      </c>
      <c r="J988" s="1" t="str">
        <f>IFERROR(__xludf.DUMMYFUNCTION("""COMPUTED_VALUE"""),"Medium")</f>
        <v>Medium</v>
      </c>
      <c r="K988" s="1" t="str">
        <f>IFERROR(__xludf.DUMMYFUNCTION("""COMPUTED_VALUE"""),"")</f>
        <v/>
      </c>
      <c r="L988" s="1" t="str">
        <f>IFERROR(__xludf.DUMMYFUNCTION("""COMPUTED_VALUE"""),"")</f>
        <v/>
      </c>
      <c r="M988" s="1" t="str">
        <f>IFERROR(__xludf.DUMMYFUNCTION("""COMPUTED_VALUE"""),"")</f>
        <v/>
      </c>
      <c r="N988" s="1" t="str">
        <f>IFERROR(__xludf.DUMMYFUNCTION("""COMPUTED_VALUE"""),"")</f>
        <v/>
      </c>
      <c r="O988" s="1" t="str">
        <f>IFERROR(__xludf.DUMMYFUNCTION("""COMPUTED_VALUE"""),"Unknown")</f>
        <v>Unknown</v>
      </c>
      <c r="P988" s="1" t="str">
        <f>IFERROR(__xludf.DUMMYFUNCTION("""COMPUTED_VALUE"""),"")</f>
        <v/>
      </c>
      <c r="Q988" s="1" t="str">
        <f>IFERROR(__xludf.DUMMYFUNCTION("""COMPUTED_VALUE"""),"")</f>
        <v/>
      </c>
      <c r="R988" s="1" t="str">
        <f>IFERROR(__xludf.DUMMYFUNCTION("""COMPUTED_VALUE"""),"")</f>
        <v/>
      </c>
      <c r="S988" s="1" t="str">
        <f>IFERROR(__xludf.DUMMYFUNCTION("""COMPUTED_VALUE"""),"8")</f>
        <v>8</v>
      </c>
      <c r="T988" s="1" t="str">
        <f>IFERROR(__xludf.DUMMYFUNCTION("""COMPUTED_VALUE"""),"")</f>
        <v/>
      </c>
      <c r="U988" s="1" t="str">
        <f>IFERROR(__xludf.DUMMYFUNCTION("""COMPUTED_VALUE"""),"Closed loop")</f>
        <v>Closed loop</v>
      </c>
      <c r="V988" s="1" t="str">
        <f>IFERROR(__xludf.DUMMYFUNCTION("""COMPUTED_VALUE"""),"")</f>
        <v/>
      </c>
      <c r="W988" s="1" t="str">
        <f>IFERROR(__xludf.DUMMYFUNCTION("""COMPUTED_VALUE"""),"500")</f>
        <v>500</v>
      </c>
      <c r="X988" s="1" t="str">
        <f>IFERROR(__xludf.DUMMYFUNCTION("""COMPUTED_VALUE"""),"$400 million")</f>
        <v>$400 million</v>
      </c>
      <c r="Y988" s="1" t="str">
        <f>IFERROR(__xludf.DUMMYFUNCTION("""COMPUTED_VALUE"""),"")</f>
        <v/>
      </c>
      <c r="Z988" s="1" t="str">
        <f>IFERROR(__xludf.DUMMYFUNCTION("""COMPUTED_VALUE"""),"Unknown")</f>
        <v>Unknown</v>
      </c>
      <c r="AA988" s="1" t="str">
        <f>IFERROR(__xludf.DUMMYFUNCTION("""COMPUTED_VALUE"""),"")</f>
        <v/>
      </c>
      <c r="AB988" s="1" t="str">
        <f>IFERROR(__xludf.DUMMYFUNCTION("""COMPUTED_VALUE"""),"")</f>
        <v/>
      </c>
      <c r="AC988" s="1" t="str">
        <f>IFERROR(__xludf.DUMMYFUNCTION("""COMPUTED_VALUE"""),"")</f>
        <v/>
      </c>
      <c r="AD988" s="1" t="str">
        <f>IFERROR(__xludf.DUMMYFUNCTION("""COMPUTED_VALUE"""),"")</f>
        <v/>
      </c>
      <c r="AE988" s="1" t="str">
        <f>IFERROR(__xludf.DUMMYFUNCTION("""COMPUTED_VALUE"""),"")</f>
        <v/>
      </c>
      <c r="AF988" s="1" t="str">
        <f>IFERROR(__xludf.DUMMYFUNCTION("""COMPUTED_VALUE"""),"")</f>
        <v/>
      </c>
      <c r="AG988" s="1" t="str">
        <f>IFERROR(__xludf.DUMMYFUNCTION("""COMPUTED_VALUE"""),"")</f>
        <v/>
      </c>
      <c r="AH988" s="1" t="str">
        <f>IFERROR(__xludf.DUMMYFUNCTION("""COMPUTED_VALUE"""),"Media Monitoring")</f>
        <v>Media Monitoring</v>
      </c>
      <c r="AI988" s="2" t="str">
        <f>IFERROR(__xludf.DUMMYFUNCTION("""COMPUTED_VALUE"""),"https://www.datacenterdynamics.com/en/news/galaxy-digital-eyes-second-texas-data-center-site-buys-land-outside-waco/")</f>
        <v>https://www.datacenterdynamics.com/en/news/galaxy-digital-eyes-second-texas-data-center-site-buys-land-outside-waco/</v>
      </c>
      <c r="AJ988" s="1" t="str">
        <f>IFERROR(__xludf.DUMMYFUNCTION("""COMPUTED_VALUE"""),"")</f>
        <v/>
      </c>
      <c r="AK988" s="1" t="str">
        <f>IFERROR(__xludf.DUMMYFUNCTION("""COMPUTED_VALUE"""),"")</f>
        <v/>
      </c>
      <c r="AL988" s="1" t="str">
        <f>IFERROR(__xludf.DUMMYFUNCTION("""COMPUTED_VALUE"""),"")</f>
        <v/>
      </c>
      <c r="AM988" s="1" t="str">
        <f>IFERROR(__xludf.DUMMYFUNCTION("""COMPUTED_VALUE"""),"")</f>
        <v/>
      </c>
      <c r="AN988" s="1" t="str">
        <f>IFERROR(__xludf.DUMMYFUNCTION("""COMPUTED_VALUE"""),"")</f>
        <v/>
      </c>
      <c r="AO988" s="1" t="str">
        <f>IFERROR(__xludf.DUMMYFUNCTION("""COMPUTED_VALUE"""),"")</f>
        <v/>
      </c>
      <c r="AP988" s="1" t="str">
        <f>IFERROR(__xludf.DUMMYFUNCTION("""COMPUTED_VALUE"""),"")</f>
        <v/>
      </c>
      <c r="AQ988" s="1" t="str">
        <f>IFERROR(__xludf.DUMMYFUNCTION("""COMPUTED_VALUE"""),"06/29/2026")</f>
        <v>06/29/2026</v>
      </c>
      <c r="AR988" s="1" t="str">
        <f>IFERROR(__xludf.DUMMYFUNCTION("""COMPUTED_VALUE"""),"06/29/2026")</f>
        <v>06/29/2026</v>
      </c>
    </row>
    <row r="989">
      <c r="A989" s="1" t="str">
        <f>IFERROR(__xludf.DUMMYFUNCTION("""COMPUTED_VALUE"""),"EXPERIAN DATA CENTER MCKINNEY")</f>
        <v>EXPERIAN DATA CENTER MCKINNEY</v>
      </c>
      <c r="B989" s="1" t="str">
        <f>IFERROR(__xludf.DUMMYFUNCTION("""COMPUTED_VALUE"""),"3400 S STONEBRIDGE DR")</f>
        <v>3400 S STONEBRIDGE DR</v>
      </c>
      <c r="C989" s="1" t="str">
        <f>IFERROR(__xludf.DUMMYFUNCTION("""COMPUTED_VALUE"""),"MCKINNEY")</f>
        <v>MCKINNEY</v>
      </c>
      <c r="D989" s="1" t="str">
        <f>IFERROR(__xludf.DUMMYFUNCTION("""COMPUTED_VALUE"""),"TX")</f>
        <v>TX</v>
      </c>
      <c r="E989" s="1" t="str">
        <f>IFERROR(__xludf.DUMMYFUNCTION("""COMPUTED_VALUE"""),"75070")</f>
        <v>75070</v>
      </c>
      <c r="F989" s="1" t="str">
        <f>IFERROR(__xludf.DUMMYFUNCTION("""COMPUTED_VALUE"""),"Collin")</f>
        <v>Collin</v>
      </c>
      <c r="G989" s="1" t="str">
        <f>IFERROR(__xludf.DUMMYFUNCTION("""COMPUTED_VALUE"""),"33.17172")</f>
        <v>33.17172</v>
      </c>
      <c r="H989" s="1" t="str">
        <f>IFERROR(__xludf.DUMMYFUNCTION("""COMPUTED_VALUE"""),"-96.7252")</f>
        <v>-96.7252</v>
      </c>
      <c r="I989" s="1" t="str">
        <f>IFERROR(__xludf.DUMMYFUNCTION("""COMPUTED_VALUE"""),"Operating")</f>
        <v>Operating</v>
      </c>
      <c r="J989" s="1" t="str">
        <f>IFERROR(__xludf.DUMMYFUNCTION("""COMPUTED_VALUE"""),"High")</f>
        <v>High</v>
      </c>
      <c r="K989" s="1" t="str">
        <f>IFERROR(__xludf.DUMMYFUNCTION("""COMPUTED_VALUE"""),"")</f>
        <v/>
      </c>
      <c r="L989" s="1" t="str">
        <f>IFERROR(__xludf.DUMMYFUNCTION("""COMPUTED_VALUE"""),"")</f>
        <v/>
      </c>
      <c r="M989" s="1" t="str">
        <f>IFERROR(__xludf.DUMMYFUNCTION("""COMPUTED_VALUE"""),"")</f>
        <v/>
      </c>
      <c r="N989" s="1" t="str">
        <f>IFERROR(__xludf.DUMMYFUNCTION("""COMPUTED_VALUE"""),"")</f>
        <v/>
      </c>
      <c r="O989" s="1" t="str">
        <f>IFERROR(__xludf.DUMMYFUNCTION("""COMPUTED_VALUE"""),"Unknown")</f>
        <v>Unknown</v>
      </c>
      <c r="P989" s="1" t="str">
        <f>IFERROR(__xludf.DUMMYFUNCTION("""COMPUTED_VALUE"""),"")</f>
        <v/>
      </c>
      <c r="Q989" s="1" t="str">
        <f>IFERROR(__xludf.DUMMYFUNCTION("""COMPUTED_VALUE"""),"")</f>
        <v/>
      </c>
      <c r="R989" s="1" t="str">
        <f>IFERROR(__xludf.DUMMYFUNCTION("""COMPUTED_VALUE"""),"")</f>
        <v/>
      </c>
      <c r="S989" s="1" t="str">
        <f>IFERROR(__xludf.DUMMYFUNCTION("""COMPUTED_VALUE"""),"")</f>
        <v/>
      </c>
      <c r="T989" s="1" t="str">
        <f>IFERROR(__xludf.DUMMYFUNCTION("""COMPUTED_VALUE"""),"")</f>
        <v/>
      </c>
      <c r="U989" s="1" t="str">
        <f>IFERROR(__xludf.DUMMYFUNCTION("""COMPUTED_VALUE"""),"")</f>
        <v/>
      </c>
      <c r="V989" s="1" t="str">
        <f>IFERROR(__xludf.DUMMYFUNCTION("""COMPUTED_VALUE"""),"")</f>
        <v/>
      </c>
      <c r="W989" s="1" t="str">
        <f>IFERROR(__xludf.DUMMYFUNCTION("""COMPUTED_VALUE"""),"")</f>
        <v/>
      </c>
      <c r="X989" s="1" t="str">
        <f>IFERROR(__xludf.DUMMYFUNCTION("""COMPUTED_VALUE"""),"")</f>
        <v/>
      </c>
      <c r="Y989" s="1" t="str">
        <f>IFERROR(__xludf.DUMMYFUNCTION("""COMPUTED_VALUE"""),"")</f>
        <v/>
      </c>
      <c r="Z989" s="1" t="str">
        <f>IFERROR(__xludf.DUMMYFUNCTION("""COMPUTED_VALUE"""),"Unknown")</f>
        <v>Unknown</v>
      </c>
      <c r="AA989" s="1" t="str">
        <f>IFERROR(__xludf.DUMMYFUNCTION("""COMPUTED_VALUE"""),"")</f>
        <v/>
      </c>
      <c r="AB989" s="1" t="str">
        <f>IFERROR(__xludf.DUMMYFUNCTION("""COMPUTED_VALUE"""),"")</f>
        <v/>
      </c>
      <c r="AC989" s="1" t="str">
        <f>IFERROR(__xludf.DUMMYFUNCTION("""COMPUTED_VALUE"""),"")</f>
        <v/>
      </c>
      <c r="AD989" s="1" t="str">
        <f>IFERROR(__xludf.DUMMYFUNCTION("""COMPUTED_VALUE"""),"")</f>
        <v/>
      </c>
      <c r="AE989" s="1" t="str">
        <f>IFERROR(__xludf.DUMMYFUNCTION("""COMPUTED_VALUE"""),"")</f>
        <v/>
      </c>
      <c r="AF989" s="1" t="str">
        <f>IFERROR(__xludf.DUMMYFUNCTION("""COMPUTED_VALUE"""),"")</f>
        <v/>
      </c>
      <c r="AG989" s="1" t="str">
        <f>IFERROR(__xludf.DUMMYFUNCTION("""COMPUTED_VALUE"""),"FULLY REGULATED")</f>
        <v>FULLY REGULATED</v>
      </c>
      <c r="AH989" s="1" t="str">
        <f>IFERROR(__xludf.DUMMYFUNCTION("""COMPUTED_VALUE"""),"Media Monitoring")</f>
        <v>Media Monitoring</v>
      </c>
      <c r="AI989" s="2" t="str">
        <f>IFERROR(__xludf.DUMMYFUNCTION("""COMPUTED_VALUE"""),"https://gis-tceq.opendata.arcgis.com/datasets/daece6e3181140f69093ab69cf9ae0ba/explore?layer=0&amp;showTable=true")</f>
        <v>https://gis-tceq.opendata.arcgis.com/datasets/daece6e3181140f69093ab69cf9ae0ba/explore?layer=0&amp;showTable=true</v>
      </c>
      <c r="AJ989" s="1" t="str">
        <f>IFERROR(__xludf.DUMMYFUNCTION("""COMPUTED_VALUE"""),"")</f>
        <v/>
      </c>
      <c r="AK989" s="1" t="str">
        <f>IFERROR(__xludf.DUMMYFUNCTION("""COMPUTED_VALUE"""),"")</f>
        <v/>
      </c>
      <c r="AL989" s="1" t="str">
        <f>IFERROR(__xludf.DUMMYFUNCTION("""COMPUTED_VALUE"""),"")</f>
        <v/>
      </c>
      <c r="AM989" s="1" t="str">
        <f>IFERROR(__xludf.DUMMYFUNCTION("""COMPUTED_VALUE"""),"")</f>
        <v/>
      </c>
      <c r="AN989" s="1" t="str">
        <f>IFERROR(__xludf.DUMMYFUNCTION("""COMPUTED_VALUE"""),"")</f>
        <v/>
      </c>
      <c r="AO989" s="1" t="str">
        <f>IFERROR(__xludf.DUMMYFUNCTION("""COMPUTED_VALUE"""),"")</f>
        <v/>
      </c>
      <c r="AP989" s="1" t="str">
        <f>IFERROR(__xludf.DUMMYFUNCTION("""COMPUTED_VALUE"""),"")</f>
        <v/>
      </c>
      <c r="AQ989" s="1" t="str">
        <f>IFERROR(__xludf.DUMMYFUNCTION("""COMPUTED_VALUE"""),"08/05/2025")</f>
        <v>08/05/2025</v>
      </c>
      <c r="AR989" s="1" t="str">
        <f>IFERROR(__xludf.DUMMYFUNCTION("""COMPUTED_VALUE"""),"08/05/2025")</f>
        <v>08/05/2025</v>
      </c>
    </row>
    <row r="990">
      <c r="A990" s="1" t="str">
        <f>IFERROR(__xludf.DUMMYFUNCTION("""COMPUTED_VALUE"""),"SAT 93 and SAT94")</f>
        <v>SAT 93 and SAT94</v>
      </c>
      <c r="B990" s="1" t="str">
        <f>IFERROR(__xludf.DUMMYFUNCTION("""COMPUTED_VALUE"""),"County Rd 381")</f>
        <v>County Rd 381</v>
      </c>
      <c r="C990" s="1" t="str">
        <f>IFERROR(__xludf.DUMMYFUNCTION("""COMPUTED_VALUE"""),"Medina/ Castroville")</f>
        <v>Medina/ Castroville</v>
      </c>
      <c r="D990" s="1" t="str">
        <f>IFERROR(__xludf.DUMMYFUNCTION("""COMPUTED_VALUE"""),"TX")</f>
        <v>TX</v>
      </c>
      <c r="E990" s="1" t="str">
        <f>IFERROR(__xludf.DUMMYFUNCTION("""COMPUTED_VALUE"""),"78253")</f>
        <v>78253</v>
      </c>
      <c r="F990" s="1" t="str">
        <f>IFERROR(__xludf.DUMMYFUNCTION("""COMPUTED_VALUE"""),"Medina")</f>
        <v>Medina</v>
      </c>
      <c r="G990" s="1" t="str">
        <f>IFERROR(__xludf.DUMMYFUNCTION("""COMPUTED_VALUE"""),"29.424786")</f>
        <v>29.424786</v>
      </c>
      <c r="H990" s="1" t="str">
        <f>IFERROR(__xludf.DUMMYFUNCTION("""COMPUTED_VALUE"""),"-98.81255")</f>
        <v>-98.81255</v>
      </c>
      <c r="I990" s="1" t="str">
        <f>IFERROR(__xludf.DUMMYFUNCTION("""COMPUTED_VALUE"""),"Proposed")</f>
        <v>Proposed</v>
      </c>
      <c r="J990" s="1" t="str">
        <f>IFERROR(__xludf.DUMMYFUNCTION("""COMPUTED_VALUE"""),"Medium")</f>
        <v>Medium</v>
      </c>
      <c r="K990" s="1" t="str">
        <f>IFERROR(__xludf.DUMMYFUNCTION("""COMPUTED_VALUE"""),"")</f>
        <v/>
      </c>
      <c r="L990" s="1" t="str">
        <f>IFERROR(__xludf.DUMMYFUNCTION("""COMPUTED_VALUE"""),"Microsoft")</f>
        <v>Microsoft</v>
      </c>
      <c r="M990" s="1" t="str">
        <f>IFERROR(__xludf.DUMMYFUNCTION("""COMPUTED_VALUE"""),"")</f>
        <v/>
      </c>
      <c r="N990" s="1" t="str">
        <f>IFERROR(__xludf.DUMMYFUNCTION("""COMPUTED_VALUE"""),"")</f>
        <v/>
      </c>
      <c r="O990" s="1" t="str">
        <f>IFERROR(__xludf.DUMMYFUNCTION("""COMPUTED_VALUE"""),"Unknown")</f>
        <v>Unknown</v>
      </c>
      <c r="P990" s="1" t="str">
        <f>IFERROR(__xludf.DUMMYFUNCTION("""COMPUTED_VALUE"""),"")</f>
        <v/>
      </c>
      <c r="Q990" s="1" t="str">
        <f>IFERROR(__xludf.DUMMYFUNCTION("""COMPUTED_VALUE"""),"")</f>
        <v/>
      </c>
      <c r="R990" s="1" t="str">
        <f>IFERROR(__xludf.DUMMYFUNCTION("""COMPUTED_VALUE"""),"")</f>
        <v/>
      </c>
      <c r="S990" s="1" t="str">
        <f>IFERROR(__xludf.DUMMYFUNCTION("""COMPUTED_VALUE"""),"2")</f>
        <v>2</v>
      </c>
      <c r="T990" s="1" t="str">
        <f>IFERROR(__xludf.DUMMYFUNCTION("""COMPUTED_VALUE"""),"")</f>
        <v/>
      </c>
      <c r="U990" s="1" t="str">
        <f>IFERROR(__xludf.DUMMYFUNCTION("""COMPUTED_VALUE"""),"")</f>
        <v/>
      </c>
      <c r="V990" s="1" t="str">
        <f>IFERROR(__xludf.DUMMYFUNCTION("""COMPUTED_VALUE"""),"490,000")</f>
        <v>490,000</v>
      </c>
      <c r="W990" s="1" t="str">
        <f>IFERROR(__xludf.DUMMYFUNCTION("""COMPUTED_VALUE"""),"")</f>
        <v/>
      </c>
      <c r="X990" s="1" t="str">
        <f>IFERROR(__xludf.DUMMYFUNCTION("""COMPUTED_VALUE"""),"$700 million")</f>
        <v>$700 million</v>
      </c>
      <c r="Y990" s="1" t="str">
        <f>IFERROR(__xludf.DUMMYFUNCTION("""COMPUTED_VALUE"""),"2029")</f>
        <v>2029</v>
      </c>
      <c r="Z990" s="1" t="str">
        <f>IFERROR(__xludf.DUMMYFUNCTION("""COMPUTED_VALUE"""),"Unknown")</f>
        <v>Unknown</v>
      </c>
      <c r="AA990" s="1" t="str">
        <f>IFERROR(__xludf.DUMMYFUNCTION("""COMPUTED_VALUE"""),"")</f>
        <v/>
      </c>
      <c r="AB990" s="1" t="str">
        <f>IFERROR(__xludf.DUMMYFUNCTION("""COMPUTED_VALUE"""),"")</f>
        <v/>
      </c>
      <c r="AC990" s="1" t="str">
        <f>IFERROR(__xludf.DUMMYFUNCTION("""COMPUTED_VALUE"""),"")</f>
        <v/>
      </c>
      <c r="AD990" s="1" t="str">
        <f>IFERROR(__xludf.DUMMYFUNCTION("""COMPUTED_VALUE"""),"")</f>
        <v/>
      </c>
      <c r="AE990" s="1" t="str">
        <f>IFERROR(__xludf.DUMMYFUNCTION("""COMPUTED_VALUE"""),"")</f>
        <v/>
      </c>
      <c r="AF990" s="1" t="str">
        <f>IFERROR(__xludf.DUMMYFUNCTION("""COMPUTED_VALUE"""),"")</f>
        <v/>
      </c>
      <c r="AG990" s="1" t="str">
        <f>IFERROR(__xludf.DUMMYFUNCTION("""COMPUTED_VALUE"""),"")</f>
        <v/>
      </c>
      <c r="AH990" s="1" t="str">
        <f>IFERROR(__xludf.DUMMYFUNCTION("""COMPUTED_VALUE"""),"Media Monitoring")</f>
        <v>Media Monitoring</v>
      </c>
      <c r="AI990" s="2" t="str">
        <f>IFERROR(__xludf.DUMMYFUNCTION("""COMPUTED_VALUE"""),"https://www.datacenterdynamics.com/en/news/microsoft-to-invest-52m-in-data-centers-in-medina-texas/")</f>
        <v>https://www.datacenterdynamics.com/en/news/microsoft-to-invest-52m-in-data-centers-in-medina-texas/</v>
      </c>
      <c r="AJ990" s="1" t="str">
        <f>IFERROR(__xludf.DUMMYFUNCTION("""COMPUTED_VALUE"""),"")</f>
        <v/>
      </c>
      <c r="AK990" s="1" t="str">
        <f>IFERROR(__xludf.DUMMYFUNCTION("""COMPUTED_VALUE"""),"")</f>
        <v/>
      </c>
      <c r="AL990" s="1" t="str">
        <f>IFERROR(__xludf.DUMMYFUNCTION("""COMPUTED_VALUE"""),"")</f>
        <v/>
      </c>
      <c r="AM990" s="1" t="str">
        <f>IFERROR(__xludf.DUMMYFUNCTION("""COMPUTED_VALUE"""),"")</f>
        <v/>
      </c>
      <c r="AN990" s="1" t="str">
        <f>IFERROR(__xludf.DUMMYFUNCTION("""COMPUTED_VALUE"""),"")</f>
        <v/>
      </c>
      <c r="AO990" s="1" t="str">
        <f>IFERROR(__xludf.DUMMYFUNCTION("""COMPUTED_VALUE"""),"")</f>
        <v/>
      </c>
      <c r="AP990" s="1" t="str">
        <f>IFERROR(__xludf.DUMMYFUNCTION("""COMPUTED_VALUE"""),"")</f>
        <v/>
      </c>
      <c r="AQ990" s="1" t="str">
        <f>IFERROR(__xludf.DUMMYFUNCTION("""COMPUTED_VALUE"""),"04/22/2026")</f>
        <v>04/22/2026</v>
      </c>
      <c r="AR990" s="1" t="str">
        <f>IFERROR(__xludf.DUMMYFUNCTION("""COMPUTED_VALUE"""),"04/22/2026")</f>
        <v>04/22/2026</v>
      </c>
    </row>
    <row r="991">
      <c r="A991" s="1" t="str">
        <f>IFERROR(__xludf.DUMMYFUNCTION("""COMPUTED_VALUE"""),"Project Pumpkin 2A")</f>
        <v>Project Pumpkin 2A</v>
      </c>
      <c r="B991" s="1" t="str">
        <f>IFERROR(__xludf.DUMMYFUNCTION("""COMPUTED_VALUE"""),"8830 Co. Rd 21")</f>
        <v>8830 Co. Rd 21</v>
      </c>
      <c r="C991" s="1" t="str">
        <f>IFERROR(__xludf.DUMMYFUNCTION("""COMPUTED_VALUE"""),"Miami")</f>
        <v>Miami</v>
      </c>
      <c r="D991" s="1" t="str">
        <f>IFERROR(__xludf.DUMMYFUNCTION("""COMPUTED_VALUE"""),"TX")</f>
        <v>TX</v>
      </c>
      <c r="E991" s="1" t="str">
        <f>IFERROR(__xludf.DUMMYFUNCTION("""COMPUTED_VALUE"""),"79059")</f>
        <v>79059</v>
      </c>
      <c r="F991" s="1" t="str">
        <f>IFERROR(__xludf.DUMMYFUNCTION("""COMPUTED_VALUE"""),"Roberts")</f>
        <v>Roberts</v>
      </c>
      <c r="G991" s="1" t="str">
        <f>IFERROR(__xludf.DUMMYFUNCTION("""COMPUTED_VALUE"""),"35.691273")</f>
        <v>35.691273</v>
      </c>
      <c r="H991" s="1" t="str">
        <f>IFERROR(__xludf.DUMMYFUNCTION("""COMPUTED_VALUE"""),"-100.6382")</f>
        <v>-100.6382</v>
      </c>
      <c r="I991" s="1" t="str">
        <f>IFERROR(__xludf.DUMMYFUNCTION("""COMPUTED_VALUE"""),"Proposed")</f>
        <v>Proposed</v>
      </c>
      <c r="J991" s="1" t="str">
        <f>IFERROR(__xludf.DUMMYFUNCTION("""COMPUTED_VALUE"""),"Medium")</f>
        <v>Medium</v>
      </c>
      <c r="K991" s="1" t="str">
        <f>IFERROR(__xludf.DUMMYFUNCTION("""COMPUTED_VALUE"""),"")</f>
        <v/>
      </c>
      <c r="L991" s="1" t="str">
        <f>IFERROR(__xludf.DUMMYFUNCTION("""COMPUTED_VALUE"""),"Google")</f>
        <v>Google</v>
      </c>
      <c r="M991" s="1" t="str">
        <f>IFERROR(__xludf.DUMMYFUNCTION("""COMPUTED_VALUE"""),"")</f>
        <v/>
      </c>
      <c r="N991" s="1" t="str">
        <f>IFERROR(__xludf.DUMMYFUNCTION("""COMPUTED_VALUE"""),"")</f>
        <v/>
      </c>
      <c r="O991" s="1" t="str">
        <f>IFERROR(__xludf.DUMMYFUNCTION("""COMPUTED_VALUE"""),"Unknown")</f>
        <v>Unknown</v>
      </c>
      <c r="P991" s="1" t="str">
        <f>IFERROR(__xludf.DUMMYFUNCTION("""COMPUTED_VALUE"""),"")</f>
        <v/>
      </c>
      <c r="Q991" s="1" t="str">
        <f>IFERROR(__xludf.DUMMYFUNCTION("""COMPUTED_VALUE"""),"")</f>
        <v/>
      </c>
      <c r="R991" s="1" t="str">
        <f>IFERROR(__xludf.DUMMYFUNCTION("""COMPUTED_VALUE"""),"")</f>
        <v/>
      </c>
      <c r="S991" s="1" t="str">
        <f>IFERROR(__xludf.DUMMYFUNCTION("""COMPUTED_VALUE"""),"")</f>
        <v/>
      </c>
      <c r="T991" s="1" t="str">
        <f>IFERROR(__xludf.DUMMYFUNCTION("""COMPUTED_VALUE"""),"")</f>
        <v/>
      </c>
      <c r="U991" s="1" t="str">
        <f>IFERROR(__xludf.DUMMYFUNCTION("""COMPUTED_VALUE"""),"")</f>
        <v/>
      </c>
      <c r="V991" s="1" t="str">
        <f>IFERROR(__xludf.DUMMYFUNCTION("""COMPUTED_VALUE"""),"761,000")</f>
        <v>761,000</v>
      </c>
      <c r="W991" s="1" t="str">
        <f>IFERROR(__xludf.DUMMYFUNCTION("""COMPUTED_VALUE"""),"")</f>
        <v/>
      </c>
      <c r="X991" s="1" t="str">
        <f>IFERROR(__xludf.DUMMYFUNCTION("""COMPUTED_VALUE"""),"$400 million")</f>
        <v>$400 million</v>
      </c>
      <c r="Y991" s="1" t="str">
        <f>IFERROR(__xludf.DUMMYFUNCTION("""COMPUTED_VALUE"""),"2027")</f>
        <v>2027</v>
      </c>
      <c r="Z991" s="1" t="str">
        <f>IFERROR(__xludf.DUMMYFUNCTION("""COMPUTED_VALUE"""),"Unknown")</f>
        <v>Unknown</v>
      </c>
      <c r="AA991" s="1" t="str">
        <f>IFERROR(__xludf.DUMMYFUNCTION("""COMPUTED_VALUE"""),"")</f>
        <v/>
      </c>
      <c r="AB991" s="1" t="str">
        <f>IFERROR(__xludf.DUMMYFUNCTION("""COMPUTED_VALUE"""),"")</f>
        <v/>
      </c>
      <c r="AC991" s="1" t="str">
        <f>IFERROR(__xludf.DUMMYFUNCTION("""COMPUTED_VALUE"""),"")</f>
        <v/>
      </c>
      <c r="AD991" s="1" t="str">
        <f>IFERROR(__xludf.DUMMYFUNCTION("""COMPUTED_VALUE"""),"")</f>
        <v/>
      </c>
      <c r="AE991" s="1" t="str">
        <f>IFERROR(__xludf.DUMMYFUNCTION("""COMPUTED_VALUE"""),"")</f>
        <v/>
      </c>
      <c r="AF991" s="1" t="str">
        <f>IFERROR(__xludf.DUMMYFUNCTION("""COMPUTED_VALUE"""),"")</f>
        <v/>
      </c>
      <c r="AG991" s="1" t="str">
        <f>IFERROR(__xludf.DUMMYFUNCTION("""COMPUTED_VALUE"""),"")</f>
        <v/>
      </c>
      <c r="AH991" s="1" t="str">
        <f>IFERROR(__xludf.DUMMYFUNCTION("""COMPUTED_VALUE"""),"Media Monitoring")</f>
        <v>Media Monitoring</v>
      </c>
      <c r="AI991" s="2" t="str">
        <f>IFERROR(__xludf.DUMMYFUNCTION("""COMPUTED_VALUE"""),"https://www.datacenterdynamics.com/en/news/intersect-is-being-acquired-by-googles-parent-company-alphabet/")</f>
        <v>https://www.datacenterdynamics.com/en/news/intersect-is-being-acquired-by-googles-parent-company-alphabet/</v>
      </c>
      <c r="AJ991" s="2" t="str">
        <f>IFERROR(__xludf.DUMMYFUNCTION("""COMPUTED_VALUE"""),"https://www.zabalist.com/projects/TABS2026011989")</f>
        <v>https://www.zabalist.com/projects/TABS2026011989</v>
      </c>
      <c r="AK991" s="2" t="str">
        <f>IFERROR(__xludf.DUMMYFUNCTION("""COMPUTED_VALUE"""),"https://www.tdlr.texas.gov/TABS/Search/Project/TABS2026011989")</f>
        <v>https://www.tdlr.texas.gov/TABS/Search/Project/TABS2026011989</v>
      </c>
      <c r="AL991" s="1" t="str">
        <f>IFERROR(__xludf.DUMMYFUNCTION("""COMPUTED_VALUE"""),"")</f>
        <v/>
      </c>
      <c r="AM991" s="1" t="str">
        <f>IFERROR(__xludf.DUMMYFUNCTION("""COMPUTED_VALUE"""),"")</f>
        <v/>
      </c>
      <c r="AN991" s="1" t="str">
        <f>IFERROR(__xludf.DUMMYFUNCTION("""COMPUTED_VALUE"""),"")</f>
        <v/>
      </c>
      <c r="AO991" s="1" t="str">
        <f>IFERROR(__xludf.DUMMYFUNCTION("""COMPUTED_VALUE"""),"")</f>
        <v/>
      </c>
      <c r="AP991" s="1" t="str">
        <f>IFERROR(__xludf.DUMMYFUNCTION("""COMPUTED_VALUE"""),"")</f>
        <v/>
      </c>
      <c r="AQ991" s="1" t="str">
        <f>IFERROR(__xludf.DUMMYFUNCTION("""COMPUTED_VALUE"""),"03/04/2026")</f>
        <v>03/04/2026</v>
      </c>
      <c r="AR991" s="1" t="str">
        <f>IFERROR(__xludf.DUMMYFUNCTION("""COMPUTED_VALUE"""),"03/04/2026")</f>
        <v>03/04/2026</v>
      </c>
    </row>
    <row r="992">
      <c r="A992" s="1" t="str">
        <f>IFERROR(__xludf.DUMMYFUNCTION("""COMPUTED_VALUE"""),"FO Permian Partners and HiVolt Energy Data Center")</f>
        <v>FO Permian Partners and HiVolt Energy Data Center</v>
      </c>
      <c r="B992" s="1" t="str">
        <f>IFERROR(__xludf.DUMMYFUNCTION("""COMPUTED_VALUE"""),"30 minutes SE of Midland")</f>
        <v>30 minutes SE of Midland</v>
      </c>
      <c r="C992" s="1" t="str">
        <f>IFERROR(__xludf.DUMMYFUNCTION("""COMPUTED_VALUE"""),"Midland County")</f>
        <v>Midland County</v>
      </c>
      <c r="D992" s="1" t="str">
        <f>IFERROR(__xludf.DUMMYFUNCTION("""COMPUTED_VALUE"""),"TX")</f>
        <v>TX</v>
      </c>
      <c r="E992" s="1" t="str">
        <f>IFERROR(__xludf.DUMMYFUNCTION("""COMPUTED_VALUE"""),"")</f>
        <v/>
      </c>
      <c r="F992" s="1" t="str">
        <f>IFERROR(__xludf.DUMMYFUNCTION("""COMPUTED_VALUE"""),"Midland")</f>
        <v>Midland</v>
      </c>
      <c r="G992" s="1" t="str">
        <f>IFERROR(__xludf.DUMMYFUNCTION("""COMPUTED_VALUE"""),"31.76912")</f>
        <v>31.76912</v>
      </c>
      <c r="H992" s="1" t="str">
        <f>IFERROR(__xludf.DUMMYFUNCTION("""COMPUTED_VALUE"""),"-101.898")</f>
        <v>-101.898</v>
      </c>
      <c r="I992" s="1" t="str">
        <f>IFERROR(__xludf.DUMMYFUNCTION("""COMPUTED_VALUE"""),"Proposed")</f>
        <v>Proposed</v>
      </c>
      <c r="J992" s="1" t="str">
        <f>IFERROR(__xludf.DUMMYFUNCTION("""COMPUTED_VALUE"""),"Low")</f>
        <v>Low</v>
      </c>
      <c r="K992" s="1" t="str">
        <f>IFERROR(__xludf.DUMMYFUNCTION("""COMPUTED_VALUE"""),"")</f>
        <v/>
      </c>
      <c r="L992" s="1" t="str">
        <f>IFERROR(__xludf.DUMMYFUNCTION("""COMPUTED_VALUE"""),"")</f>
        <v/>
      </c>
      <c r="M992" s="1" t="str">
        <f>IFERROR(__xludf.DUMMYFUNCTION("""COMPUTED_VALUE"""),"")</f>
        <v/>
      </c>
      <c r="N992" s="1" t="str">
        <f>IFERROR(__xludf.DUMMYFUNCTION("""COMPUTED_VALUE"""),"")</f>
        <v/>
      </c>
      <c r="O992" s="1" t="str">
        <f>IFERROR(__xludf.DUMMYFUNCTION("""COMPUTED_VALUE"""),"Unknown")</f>
        <v>Unknown</v>
      </c>
      <c r="P992" s="1" t="str">
        <f>IFERROR(__xludf.DUMMYFUNCTION("""COMPUTED_VALUE"""),"")</f>
        <v/>
      </c>
      <c r="Q992" s="1" t="str">
        <f>IFERROR(__xludf.DUMMYFUNCTION("""COMPUTED_VALUE"""),"")</f>
        <v/>
      </c>
      <c r="R992" s="1" t="str">
        <f>IFERROR(__xludf.DUMMYFUNCTION("""COMPUTED_VALUE"""),"")</f>
        <v/>
      </c>
      <c r="S992" s="1" t="str">
        <f>IFERROR(__xludf.DUMMYFUNCTION("""COMPUTED_VALUE"""),"")</f>
        <v/>
      </c>
      <c r="T992" s="1" t="str">
        <f>IFERROR(__xludf.DUMMYFUNCTION("""COMPUTED_VALUE"""),"")</f>
        <v/>
      </c>
      <c r="U992" s="1" t="str">
        <f>IFERROR(__xludf.DUMMYFUNCTION("""COMPUTED_VALUE"""),"")</f>
        <v/>
      </c>
      <c r="V992" s="1" t="str">
        <f>IFERROR(__xludf.DUMMYFUNCTION("""COMPUTED_VALUE"""),"")</f>
        <v/>
      </c>
      <c r="W992" s="1" t="str">
        <f>IFERROR(__xludf.DUMMYFUNCTION("""COMPUTED_VALUE"""),"320")</f>
        <v>320</v>
      </c>
      <c r="X992" s="1" t="str">
        <f>IFERROR(__xludf.DUMMYFUNCTION("""COMPUTED_VALUE"""),"")</f>
        <v/>
      </c>
      <c r="Y992" s="1" t="str">
        <f>IFERROR(__xludf.DUMMYFUNCTION("""COMPUTED_VALUE"""),"")</f>
        <v/>
      </c>
      <c r="Z992" s="1" t="str">
        <f>IFERROR(__xludf.DUMMYFUNCTION("""COMPUTED_VALUE"""),"Unknown")</f>
        <v>Unknown</v>
      </c>
      <c r="AA992" s="1" t="str">
        <f>IFERROR(__xludf.DUMMYFUNCTION("""COMPUTED_VALUE"""),"")</f>
        <v/>
      </c>
      <c r="AB992" s="1" t="str">
        <f>IFERROR(__xludf.DUMMYFUNCTION("""COMPUTED_VALUE"""),"")</f>
        <v/>
      </c>
      <c r="AC992" s="1" t="str">
        <f>IFERROR(__xludf.DUMMYFUNCTION("""COMPUTED_VALUE"""),"")</f>
        <v/>
      </c>
      <c r="AD992" s="1" t="str">
        <f>IFERROR(__xludf.DUMMYFUNCTION("""COMPUTED_VALUE"""),"")</f>
        <v/>
      </c>
      <c r="AE992" s="1" t="str">
        <f>IFERROR(__xludf.DUMMYFUNCTION("""COMPUTED_VALUE"""),"")</f>
        <v/>
      </c>
      <c r="AF992" s="1" t="str">
        <f>IFERROR(__xludf.DUMMYFUNCTION("""COMPUTED_VALUE"""),"")</f>
        <v/>
      </c>
      <c r="AG992" s="1" t="str">
        <f>IFERROR(__xludf.DUMMYFUNCTION("""COMPUTED_VALUE"""),"150 MW ""behind the meter"", 3200 acres on-site Permian gas supply, up to 5 GW")</f>
        <v>150 MW "behind the meter", 3200 acres on-site Permian gas supply, up to 5 GW</v>
      </c>
      <c r="AH992" s="1" t="str">
        <f>IFERROR(__xludf.DUMMYFUNCTION("""COMPUTED_VALUE"""),"Media Monitoring")</f>
        <v>Media Monitoring</v>
      </c>
      <c r="AI992" s="2" t="str">
        <f>IFERROR(__xludf.DUMMYFUNCTION("""COMPUTED_VALUE"""),"https://www.mrt.com/business/article/midland-data-centers-320-acres-21049718.php")</f>
        <v>https://www.mrt.com/business/article/midland-data-centers-320-acres-21049718.php</v>
      </c>
      <c r="AJ992" s="1" t="str">
        <f>IFERROR(__xludf.DUMMYFUNCTION("""COMPUTED_VALUE"""),"")</f>
        <v/>
      </c>
      <c r="AK992" s="1" t="str">
        <f>IFERROR(__xludf.DUMMYFUNCTION("""COMPUTED_VALUE"""),"")</f>
        <v/>
      </c>
      <c r="AL992" s="1" t="str">
        <f>IFERROR(__xludf.DUMMYFUNCTION("""COMPUTED_VALUE"""),"")</f>
        <v/>
      </c>
      <c r="AM992" s="1" t="str">
        <f>IFERROR(__xludf.DUMMYFUNCTION("""COMPUTED_VALUE"""),"")</f>
        <v/>
      </c>
      <c r="AN992" s="1" t="str">
        <f>IFERROR(__xludf.DUMMYFUNCTION("""COMPUTED_VALUE"""),"")</f>
        <v/>
      </c>
      <c r="AO992" s="1" t="str">
        <f>IFERROR(__xludf.DUMMYFUNCTION("""COMPUTED_VALUE"""),"")</f>
        <v/>
      </c>
      <c r="AP992" s="1" t="str">
        <f>IFERROR(__xludf.DUMMYFUNCTION("""COMPUTED_VALUE"""),"")</f>
        <v/>
      </c>
      <c r="AQ992" s="1" t="str">
        <f>IFERROR(__xludf.DUMMYFUNCTION("""COMPUTED_VALUE"""),"09/16/2025")</f>
        <v>09/16/2025</v>
      </c>
      <c r="AR992" s="1" t="str">
        <f>IFERROR(__xludf.DUMMYFUNCTION("""COMPUTED_VALUE"""),"09/16/2025")</f>
        <v>09/16/2025</v>
      </c>
    </row>
    <row r="993">
      <c r="A993" s="1" t="str">
        <f>IFERROR(__xludf.DUMMYFUNCTION("""COMPUTED_VALUE"""),"AREP PowerHouse Grand Prairie")</f>
        <v>AREP PowerHouse Grand Prairie</v>
      </c>
      <c r="B993" s="1" t="str">
        <f>IFERROR(__xludf.DUMMYFUNCTION("""COMPUTED_VALUE"""),"881 Miller Rd")</f>
        <v>881 Miller Rd</v>
      </c>
      <c r="C993" s="1" t="str">
        <f>IFERROR(__xludf.DUMMYFUNCTION("""COMPUTED_VALUE"""),"Midlothian")</f>
        <v>Midlothian</v>
      </c>
      <c r="D993" s="1" t="str">
        <f>IFERROR(__xludf.DUMMYFUNCTION("""COMPUTED_VALUE"""),"TX")</f>
        <v>TX</v>
      </c>
      <c r="E993" s="1" t="str">
        <f>IFERROR(__xludf.DUMMYFUNCTION("""COMPUTED_VALUE"""),"76065")</f>
        <v>76065</v>
      </c>
      <c r="F993" s="1" t="str">
        <f>IFERROR(__xludf.DUMMYFUNCTION("""COMPUTED_VALUE"""),"Ellis")</f>
        <v>Ellis</v>
      </c>
      <c r="G993" s="1" t="str">
        <f>IFERROR(__xludf.DUMMYFUNCTION("""COMPUTED_VALUE"""),"32.47629")</f>
        <v>32.47629</v>
      </c>
      <c r="H993" s="1" t="str">
        <f>IFERROR(__xludf.DUMMYFUNCTION("""COMPUTED_VALUE"""),"-97.0691")</f>
        <v>-97.0691</v>
      </c>
      <c r="I993" s="1" t="str">
        <f>IFERROR(__xludf.DUMMYFUNCTION("""COMPUTED_VALUE"""),"Approved/Permitted/Under construction")</f>
        <v>Approved/Permitted/Under construction</v>
      </c>
      <c r="J993" s="1" t="str">
        <f>IFERROR(__xludf.DUMMYFUNCTION("""COMPUTED_VALUE"""),"High")</f>
        <v>High</v>
      </c>
      <c r="K993" s="1" t="str">
        <f>IFERROR(__xludf.DUMMYFUNCTION("""COMPUTED_VALUE"""),"")</f>
        <v/>
      </c>
      <c r="L993" s="1" t="str">
        <f>IFERROR(__xludf.DUMMYFUNCTION("""COMPUTED_VALUE"""),"PowerHouse Data Centers")</f>
        <v>PowerHouse Data Centers</v>
      </c>
      <c r="M993" s="1" t="str">
        <f>IFERROR(__xludf.DUMMYFUNCTION("""COMPUTED_VALUE"""),"")</f>
        <v/>
      </c>
      <c r="N993" s="1" t="str">
        <f>IFERROR(__xludf.DUMMYFUNCTION("""COMPUTED_VALUE"""),"1800")</f>
        <v>1800</v>
      </c>
      <c r="O993" s="1" t="str">
        <f>IFERROR(__xludf.DUMMYFUNCTION("""COMPUTED_VALUE"""),"Mega campus (&gt;1,000 MW)")</f>
        <v>Mega campus (&gt;1,000 MW)</v>
      </c>
      <c r="P993" s="1" t="str">
        <f>IFERROR(__xludf.DUMMYFUNCTION("""COMPUTED_VALUE"""),"")</f>
        <v/>
      </c>
      <c r="Q993" s="1" t="str">
        <f>IFERROR(__xludf.DUMMYFUNCTION("""COMPUTED_VALUE"""),"")</f>
        <v/>
      </c>
      <c r="R993" s="1" t="str">
        <f>IFERROR(__xludf.DUMMYFUNCTION("""COMPUTED_VALUE"""),"")</f>
        <v/>
      </c>
      <c r="S993" s="1" t="str">
        <f>IFERROR(__xludf.DUMMYFUNCTION("""COMPUTED_VALUE"""),"14")</f>
        <v>14</v>
      </c>
      <c r="T993" s="1" t="str">
        <f>IFERROR(__xludf.DUMMYFUNCTION("""COMPUTED_VALUE"""),"")</f>
        <v/>
      </c>
      <c r="U993" s="1" t="str">
        <f>IFERROR(__xludf.DUMMYFUNCTION("""COMPUTED_VALUE"""),"")</f>
        <v/>
      </c>
      <c r="V993" s="1" t="str">
        <f>IFERROR(__xludf.DUMMYFUNCTION("""COMPUTED_VALUE"""),"8,500,000")</f>
        <v>8,500,000</v>
      </c>
      <c r="W993" s="1" t="str">
        <f>IFERROR(__xludf.DUMMYFUNCTION("""COMPUTED_VALUE"""),"810")</f>
        <v>810</v>
      </c>
      <c r="X993" s="1" t="str">
        <f>IFERROR(__xludf.DUMMYFUNCTION("""COMPUTED_VALUE"""),"$72 million")</f>
        <v>$72 million</v>
      </c>
      <c r="Y993" s="1" t="str">
        <f>IFERROR(__xludf.DUMMYFUNCTION("""COMPUTED_VALUE"""),"2027")</f>
        <v>2027</v>
      </c>
      <c r="Z993" s="1" t="str">
        <f>IFERROR(__xludf.DUMMYFUNCTION("""COMPUTED_VALUE"""),"Unknown")</f>
        <v>Unknown</v>
      </c>
      <c r="AA993" s="1" t="str">
        <f>IFERROR(__xludf.DUMMYFUNCTION("""COMPUTED_VALUE"""),"")</f>
        <v/>
      </c>
      <c r="AB993" s="1" t="str">
        <f>IFERROR(__xludf.DUMMYFUNCTION("""COMPUTED_VALUE"""),"")</f>
        <v/>
      </c>
      <c r="AC993" s="1" t="str">
        <f>IFERROR(__xludf.DUMMYFUNCTION("""COMPUTED_VALUE"""),"")</f>
        <v/>
      </c>
      <c r="AD993" s="1" t="str">
        <f>IFERROR(__xludf.DUMMYFUNCTION("""COMPUTED_VALUE"""),"")</f>
        <v/>
      </c>
      <c r="AE993" s="1" t="str">
        <f>IFERROR(__xludf.DUMMYFUNCTION("""COMPUTED_VALUE"""),"")</f>
        <v/>
      </c>
      <c r="AF993" s="1" t="str">
        <f>IFERROR(__xludf.DUMMYFUNCTION("""COMPUTED_VALUE"""),"")</f>
        <v/>
      </c>
      <c r="AG993" s="1" t="str">
        <f>IFERROR(__xludf.DUMMYFUNCTION("""COMPUTED_VALUE"""),"")</f>
        <v/>
      </c>
      <c r="AH993" s="1" t="str">
        <f>IFERROR(__xludf.DUMMYFUNCTION("""COMPUTED_VALUE"""),"Crowdsourced")</f>
        <v>Crowdsourced</v>
      </c>
      <c r="AI993" s="2" t="str">
        <f>IFERROR(__xludf.DUMMYFUNCTION("""COMPUTED_VALUE"""),"https://www.powerhousedata.com/data-center/powerhouse-grand-prairie")</f>
        <v>https://www.powerhousedata.com/data-center/powerhouse-grand-prairie</v>
      </c>
      <c r="AJ993" s="2" t="str">
        <f>IFERROR(__xludf.DUMMYFUNCTION("""COMPUTED_VALUE"""),"https://www.tdlr.texas.gov/TABS/Projects/TABS2026016734")</f>
        <v>https://www.tdlr.texas.gov/TABS/Projects/TABS2026016734</v>
      </c>
      <c r="AK993" s="1" t="str">
        <f>IFERROR(__xludf.DUMMYFUNCTION("""COMPUTED_VALUE"""),"")</f>
        <v/>
      </c>
      <c r="AL993" s="1" t="str">
        <f>IFERROR(__xludf.DUMMYFUNCTION("""COMPUTED_VALUE"""),"")</f>
        <v/>
      </c>
      <c r="AM993" s="1" t="str">
        <f>IFERROR(__xludf.DUMMYFUNCTION("""COMPUTED_VALUE"""),"")</f>
        <v/>
      </c>
      <c r="AN993" s="1" t="str">
        <f>IFERROR(__xludf.DUMMYFUNCTION("""COMPUTED_VALUE"""),"")</f>
        <v/>
      </c>
      <c r="AO993" s="1" t="str">
        <f>IFERROR(__xludf.DUMMYFUNCTION("""COMPUTED_VALUE"""),"")</f>
        <v/>
      </c>
      <c r="AP993" s="1" t="str">
        <f>IFERROR(__xludf.DUMMYFUNCTION("""COMPUTED_VALUE"""),"")</f>
        <v/>
      </c>
      <c r="AQ993" s="1" t="str">
        <f>IFERROR(__xludf.DUMMYFUNCTION("""COMPUTED_VALUE"""),"04/06/2026")</f>
        <v>04/06/2026</v>
      </c>
      <c r="AR993" s="1" t="str">
        <f>IFERROR(__xludf.DUMMYFUNCTION("""COMPUTED_VALUE"""),"04/06/2026")</f>
        <v>04/06/2026</v>
      </c>
    </row>
    <row r="994">
      <c r="A994" s="1" t="str">
        <f>IFERROR(__xludf.DUMMYFUNCTION("""COMPUTED_VALUE"""),"Project Sharka: Google Data Center")</f>
        <v>Project Sharka: Google Data Center</v>
      </c>
      <c r="B994" s="1" t="str">
        <f>IFERROR(__xludf.DUMMYFUNCTION("""COMPUTED_VALUE"""),"3441 Railport Parkway")</f>
        <v>3441 Railport Parkway</v>
      </c>
      <c r="C994" s="1" t="str">
        <f>IFERROR(__xludf.DUMMYFUNCTION("""COMPUTED_VALUE"""),"Midlothian")</f>
        <v>Midlothian</v>
      </c>
      <c r="D994" s="1" t="str">
        <f>IFERROR(__xludf.DUMMYFUNCTION("""COMPUTED_VALUE"""),"TX")</f>
        <v>TX</v>
      </c>
      <c r="E994" s="1" t="str">
        <f>IFERROR(__xludf.DUMMYFUNCTION("""COMPUTED_VALUE"""),"76065")</f>
        <v>76065</v>
      </c>
      <c r="F994" s="1" t="str">
        <f>IFERROR(__xludf.DUMMYFUNCTION("""COMPUTED_VALUE"""),"Ellis")</f>
        <v>Ellis</v>
      </c>
      <c r="G994" s="1" t="str">
        <f>IFERROR(__xludf.DUMMYFUNCTION("""COMPUTED_VALUE"""),"32.444714")</f>
        <v>32.444714</v>
      </c>
      <c r="H994" s="1" t="str">
        <f>IFERROR(__xludf.DUMMYFUNCTION("""COMPUTED_VALUE"""),"-97.05485")</f>
        <v>-97.05485</v>
      </c>
      <c r="I994" s="1" t="str">
        <f>IFERROR(__xludf.DUMMYFUNCTION("""COMPUTED_VALUE"""),"Approved/Permitted/Under construction")</f>
        <v>Approved/Permitted/Under construction</v>
      </c>
      <c r="J994" s="1" t="str">
        <f>IFERROR(__xludf.DUMMYFUNCTION("""COMPUTED_VALUE"""),"High")</f>
        <v>High</v>
      </c>
      <c r="K994" s="1" t="str">
        <f>IFERROR(__xludf.DUMMYFUNCTION("""COMPUTED_VALUE"""),"")</f>
        <v/>
      </c>
      <c r="L994" s="1" t="str">
        <f>IFERROR(__xludf.DUMMYFUNCTION("""COMPUTED_VALUE"""),"")</f>
        <v/>
      </c>
      <c r="M994" s="1" t="str">
        <f>IFERROR(__xludf.DUMMYFUNCTION("""COMPUTED_VALUE"""),"")</f>
        <v/>
      </c>
      <c r="N994" s="1" t="str">
        <f>IFERROR(__xludf.DUMMYFUNCTION("""COMPUTED_VALUE"""),"")</f>
        <v/>
      </c>
      <c r="O994" s="1" t="str">
        <f>IFERROR(__xludf.DUMMYFUNCTION("""COMPUTED_VALUE"""),"Unknown")</f>
        <v>Unknown</v>
      </c>
      <c r="P994" s="1" t="str">
        <f>IFERROR(__xludf.DUMMYFUNCTION("""COMPUTED_VALUE"""),"")</f>
        <v/>
      </c>
      <c r="Q994" s="1" t="str">
        <f>IFERROR(__xludf.DUMMYFUNCTION("""COMPUTED_VALUE"""),"")</f>
        <v/>
      </c>
      <c r="R994" s="1" t="str">
        <f>IFERROR(__xludf.DUMMYFUNCTION("""COMPUTED_VALUE"""),"")</f>
        <v/>
      </c>
      <c r="S994" s="1" t="str">
        <f>IFERROR(__xludf.DUMMYFUNCTION("""COMPUTED_VALUE"""),"")</f>
        <v/>
      </c>
      <c r="T994" s="1" t="str">
        <f>IFERROR(__xludf.DUMMYFUNCTION("""COMPUTED_VALUE"""),"")</f>
        <v/>
      </c>
      <c r="U994" s="1" t="str">
        <f>IFERROR(__xludf.DUMMYFUNCTION("""COMPUTED_VALUE"""),"")</f>
        <v/>
      </c>
      <c r="V994" s="1" t="str">
        <f>IFERROR(__xludf.DUMMYFUNCTION("""COMPUTED_VALUE"""),"288,000")</f>
        <v>288,000</v>
      </c>
      <c r="W994" s="1" t="str">
        <f>IFERROR(__xludf.DUMMYFUNCTION("""COMPUTED_VALUE"""),"")</f>
        <v/>
      </c>
      <c r="X994" s="1" t="str">
        <f>IFERROR(__xludf.DUMMYFUNCTION("""COMPUTED_VALUE"""),"$880 million")</f>
        <v>$880 million</v>
      </c>
      <c r="Y994" s="1" t="str">
        <f>IFERROR(__xludf.DUMMYFUNCTION("""COMPUTED_VALUE"""),"2027")</f>
        <v>2027</v>
      </c>
      <c r="Z994" s="1" t="str">
        <f>IFERROR(__xludf.DUMMYFUNCTION("""COMPUTED_VALUE"""),"Unknown")</f>
        <v>Unknown</v>
      </c>
      <c r="AA994" s="1" t="str">
        <f>IFERROR(__xludf.DUMMYFUNCTION("""COMPUTED_VALUE"""),"")</f>
        <v/>
      </c>
      <c r="AB994" s="1" t="str">
        <f>IFERROR(__xludf.DUMMYFUNCTION("""COMPUTED_VALUE"""),"")</f>
        <v/>
      </c>
      <c r="AC994" s="1" t="str">
        <f>IFERROR(__xludf.DUMMYFUNCTION("""COMPUTED_VALUE"""),"")</f>
        <v/>
      </c>
      <c r="AD994" s="1" t="str">
        <f>IFERROR(__xludf.DUMMYFUNCTION("""COMPUTED_VALUE"""),"")</f>
        <v/>
      </c>
      <c r="AE994" s="1" t="str">
        <f>IFERROR(__xludf.DUMMYFUNCTION("""COMPUTED_VALUE"""),"")</f>
        <v/>
      </c>
      <c r="AF994" s="1" t="str">
        <f>IFERROR(__xludf.DUMMYFUNCTION("""COMPUTED_VALUE"""),"")</f>
        <v/>
      </c>
      <c r="AG994" s="1" t="str">
        <f>IFERROR(__xludf.DUMMYFUNCTION("""COMPUTED_VALUE"""),"")</f>
        <v/>
      </c>
      <c r="AH994" s="1" t="str">
        <f>IFERROR(__xludf.DUMMYFUNCTION("""COMPUTED_VALUE"""),"Other")</f>
        <v>Other</v>
      </c>
      <c r="AI994" s="2" t="str">
        <f>IFERROR(__xludf.DUMMYFUNCTION("""COMPUTED_VALUE"""),"https://baxtel.com/news/texas-critical-data-centers-signs-mou-for-ai-data-center")</f>
        <v>https://baxtel.com/news/texas-critical-data-centers-signs-mou-for-ai-data-center</v>
      </c>
      <c r="AJ994" s="2" t="str">
        <f>IFERROR(__xludf.DUMMYFUNCTION("""COMPUTED_VALUE"""),"https://finance.yahoo.com/news/north-texas-city-earmarked-nearly-220200323.html")</f>
        <v>https://finance.yahoo.com/news/north-texas-city-earmarked-nearly-220200323.html</v>
      </c>
      <c r="AK994" s="2" t="str">
        <f>IFERROR(__xludf.DUMMYFUNCTION("""COMPUTED_VALUE"""),"https://www.datacenterdynamics.com/en/news/google-files-for-fifth-data-center-at-midlothian-campus-in-texas/")</f>
        <v>https://www.datacenterdynamics.com/en/news/google-files-for-fifth-data-center-at-midlothian-campus-in-texas/</v>
      </c>
      <c r="AL994" s="1" t="str">
        <f>IFERROR(__xludf.DUMMYFUNCTION("""COMPUTED_VALUE"""),"")</f>
        <v/>
      </c>
      <c r="AM994" s="1" t="str">
        <f>IFERROR(__xludf.DUMMYFUNCTION("""COMPUTED_VALUE"""),"")</f>
        <v/>
      </c>
      <c r="AN994" s="1" t="str">
        <f>IFERROR(__xludf.DUMMYFUNCTION("""COMPUTED_VALUE"""),"")</f>
        <v/>
      </c>
      <c r="AO994" s="1" t="str">
        <f>IFERROR(__xludf.DUMMYFUNCTION("""COMPUTED_VALUE"""),"")</f>
        <v/>
      </c>
      <c r="AP994" s="1" t="str">
        <f>IFERROR(__xludf.DUMMYFUNCTION("""COMPUTED_VALUE"""),"")</f>
        <v/>
      </c>
      <c r="AQ994" s="1" t="str">
        <f>IFERROR(__xludf.DUMMYFUNCTION("""COMPUTED_VALUE"""),"02/20/2026")</f>
        <v>02/20/2026</v>
      </c>
      <c r="AR994" s="1" t="str">
        <f>IFERROR(__xludf.DUMMYFUNCTION("""COMPUTED_VALUE"""),"03/19/2026")</f>
        <v>03/19/2026</v>
      </c>
    </row>
    <row r="995">
      <c r="A995" s="1" t="str">
        <f>IFERROR(__xludf.DUMMYFUNCTION("""COMPUTED_VALUE"""),"Sharka Data Center (Google)")</f>
        <v>Sharka Data Center (Google)</v>
      </c>
      <c r="B995" s="1" t="str">
        <f>IFERROR(__xludf.DUMMYFUNCTION("""COMPUTED_VALUE"""),"Railport Parkway")</f>
        <v>Railport Parkway</v>
      </c>
      <c r="C995" s="1" t="str">
        <f>IFERROR(__xludf.DUMMYFUNCTION("""COMPUTED_VALUE"""),"Midlothian")</f>
        <v>Midlothian</v>
      </c>
      <c r="D995" s="1" t="str">
        <f>IFERROR(__xludf.DUMMYFUNCTION("""COMPUTED_VALUE"""),"TX")</f>
        <v>TX</v>
      </c>
      <c r="E995" s="1" t="str">
        <f>IFERROR(__xludf.DUMMYFUNCTION("""COMPUTED_VALUE"""),"76065")</f>
        <v>76065</v>
      </c>
      <c r="F995" s="1" t="str">
        <f>IFERROR(__xludf.DUMMYFUNCTION("""COMPUTED_VALUE"""),"Ellis")</f>
        <v>Ellis</v>
      </c>
      <c r="G995" s="1" t="str">
        <f>IFERROR(__xludf.DUMMYFUNCTION("""COMPUTED_VALUE"""),"32.44324")</f>
        <v>32.44324</v>
      </c>
      <c r="H995" s="1" t="str">
        <f>IFERROR(__xludf.DUMMYFUNCTION("""COMPUTED_VALUE"""),"-97.0605")</f>
        <v>-97.0605</v>
      </c>
      <c r="I995" s="1" t="str">
        <f>IFERROR(__xludf.DUMMYFUNCTION("""COMPUTED_VALUE"""),"Proposed")</f>
        <v>Proposed</v>
      </c>
      <c r="J995" s="1" t="str">
        <f>IFERROR(__xludf.DUMMYFUNCTION("""COMPUTED_VALUE"""),"High")</f>
        <v>High</v>
      </c>
      <c r="K995" s="1" t="str">
        <f>IFERROR(__xludf.DUMMYFUNCTION("""COMPUTED_VALUE"""),"")</f>
        <v/>
      </c>
      <c r="L995" s="1" t="str">
        <f>IFERROR(__xludf.DUMMYFUNCTION("""COMPUTED_VALUE"""),"Google")</f>
        <v>Google</v>
      </c>
      <c r="M995" s="1" t="str">
        <f>IFERROR(__xludf.DUMMYFUNCTION("""COMPUTED_VALUE"""),"")</f>
        <v/>
      </c>
      <c r="N995" s="1" t="str">
        <f>IFERROR(__xludf.DUMMYFUNCTION("""COMPUTED_VALUE"""),"")</f>
        <v/>
      </c>
      <c r="O995" s="1" t="str">
        <f>IFERROR(__xludf.DUMMYFUNCTION("""COMPUTED_VALUE"""),"Unknown")</f>
        <v>Unknown</v>
      </c>
      <c r="P995" s="1" t="str">
        <f>IFERROR(__xludf.DUMMYFUNCTION("""COMPUTED_VALUE"""),"")</f>
        <v/>
      </c>
      <c r="Q995" s="1" t="str">
        <f>IFERROR(__xludf.DUMMYFUNCTION("""COMPUTED_VALUE"""),"")</f>
        <v/>
      </c>
      <c r="R995" s="1" t="str">
        <f>IFERROR(__xludf.DUMMYFUNCTION("""COMPUTED_VALUE"""),"")</f>
        <v/>
      </c>
      <c r="S995" s="1" t="str">
        <f>IFERROR(__xludf.DUMMYFUNCTION("""COMPUTED_VALUE"""),"")</f>
        <v/>
      </c>
      <c r="T995" s="1" t="str">
        <f>IFERROR(__xludf.DUMMYFUNCTION("""COMPUTED_VALUE"""),"")</f>
        <v/>
      </c>
      <c r="U995" s="1" t="str">
        <f>IFERROR(__xludf.DUMMYFUNCTION("""COMPUTED_VALUE"""),"")</f>
        <v/>
      </c>
      <c r="V995" s="1" t="str">
        <f>IFERROR(__xludf.DUMMYFUNCTION("""COMPUTED_VALUE"""),"")</f>
        <v/>
      </c>
      <c r="W995" s="1" t="str">
        <f>IFERROR(__xludf.DUMMYFUNCTION("""COMPUTED_VALUE"""),"")</f>
        <v/>
      </c>
      <c r="X995" s="1" t="str">
        <f>IFERROR(__xludf.DUMMYFUNCTION("""COMPUTED_VALUE"""),"")</f>
        <v/>
      </c>
      <c r="Y995" s="1" t="str">
        <f>IFERROR(__xludf.DUMMYFUNCTION("""COMPUTED_VALUE"""),"")</f>
        <v/>
      </c>
      <c r="Z995" s="1" t="str">
        <f>IFERROR(__xludf.DUMMYFUNCTION("""COMPUTED_VALUE"""),"Unknown")</f>
        <v>Unknown</v>
      </c>
      <c r="AA995" s="1" t="str">
        <f>IFERROR(__xludf.DUMMYFUNCTION("""COMPUTED_VALUE"""),"")</f>
        <v/>
      </c>
      <c r="AB995" s="1" t="str">
        <f>IFERROR(__xludf.DUMMYFUNCTION("""COMPUTED_VALUE"""),"")</f>
        <v/>
      </c>
      <c r="AC995" s="1" t="str">
        <f>IFERROR(__xludf.DUMMYFUNCTION("""COMPUTED_VALUE"""),"")</f>
        <v/>
      </c>
      <c r="AD995" s="1" t="str">
        <f>IFERROR(__xludf.DUMMYFUNCTION("""COMPUTED_VALUE"""),"")</f>
        <v/>
      </c>
      <c r="AE995" s="1" t="str">
        <f>IFERROR(__xludf.DUMMYFUNCTION("""COMPUTED_VALUE"""),"")</f>
        <v/>
      </c>
      <c r="AF995" s="1" t="str">
        <f>IFERROR(__xludf.DUMMYFUNCTION("""COMPUTED_VALUE"""),"")</f>
        <v/>
      </c>
      <c r="AG995" s="1" t="str">
        <f>IFERROR(__xludf.DUMMYFUNCTION("""COMPUTED_VALUE"""),"")</f>
        <v/>
      </c>
      <c r="AH995" s="1" t="str">
        <f>IFERROR(__xludf.DUMMYFUNCTION("""COMPUTED_VALUE"""),"Media Monitoring")</f>
        <v>Media Monitoring</v>
      </c>
      <c r="AI995" s="2" t="str">
        <f>IFERROR(__xludf.DUMMYFUNCTION("""COMPUTED_VALUE"""),"https://www.datacenterdynamics.com/en/news/google-is-behind-500m-sharka-data-center-in-midlothian-texas/")</f>
        <v>https://www.datacenterdynamics.com/en/news/google-is-behind-500m-sharka-data-center-in-midlothian-texas/</v>
      </c>
      <c r="AJ995" s="1" t="str">
        <f>IFERROR(__xludf.DUMMYFUNCTION("""COMPUTED_VALUE"""),"")</f>
        <v/>
      </c>
      <c r="AK995" s="1" t="str">
        <f>IFERROR(__xludf.DUMMYFUNCTION("""COMPUTED_VALUE"""),"")</f>
        <v/>
      </c>
      <c r="AL995" s="1" t="str">
        <f>IFERROR(__xludf.DUMMYFUNCTION("""COMPUTED_VALUE"""),"")</f>
        <v/>
      </c>
      <c r="AM995" s="1" t="str">
        <f>IFERROR(__xludf.DUMMYFUNCTION("""COMPUTED_VALUE"""),"")</f>
        <v/>
      </c>
      <c r="AN995" s="1" t="str">
        <f>IFERROR(__xludf.DUMMYFUNCTION("""COMPUTED_VALUE"""),"")</f>
        <v/>
      </c>
      <c r="AO995" s="1" t="str">
        <f>IFERROR(__xludf.DUMMYFUNCTION("""COMPUTED_VALUE"""),"")</f>
        <v/>
      </c>
      <c r="AP995" s="1" t="str">
        <f>IFERROR(__xludf.DUMMYFUNCTION("""COMPUTED_VALUE"""),"")</f>
        <v/>
      </c>
      <c r="AQ995" s="1" t="str">
        <f>IFERROR(__xludf.DUMMYFUNCTION("""COMPUTED_VALUE"""),"05/25/2025")</f>
        <v>05/25/2025</v>
      </c>
      <c r="AR995" s="1" t="str">
        <f>IFERROR(__xludf.DUMMYFUNCTION("""COMPUTED_VALUE"""),"05/25/2025")</f>
        <v>05/25/2025</v>
      </c>
    </row>
    <row r="996">
      <c r="A996" s="1" t="str">
        <f>IFERROR(__xludf.DUMMYFUNCTION("""COMPUTED_VALUE"""),"MIlan County Data Center")</f>
        <v>MIlan County Data Center</v>
      </c>
      <c r="B996" s="1" t="str">
        <f>IFERROR(__xludf.DUMMYFUNCTION("""COMPUTED_VALUE"""),"")</f>
        <v/>
      </c>
      <c r="C996" s="1" t="str">
        <f>IFERROR(__xludf.DUMMYFUNCTION("""COMPUTED_VALUE"""),"Milam County")</f>
        <v>Milam County</v>
      </c>
      <c r="D996" s="1" t="str">
        <f>IFERROR(__xludf.DUMMYFUNCTION("""COMPUTED_VALUE"""),"TX")</f>
        <v>TX</v>
      </c>
      <c r="E996" s="1" t="str">
        <f>IFERROR(__xludf.DUMMYFUNCTION("""COMPUTED_VALUE"""),"")</f>
        <v/>
      </c>
      <c r="F996" s="1" t="str">
        <f>IFERROR(__xludf.DUMMYFUNCTION("""COMPUTED_VALUE"""),"Milam")</f>
        <v>Milam</v>
      </c>
      <c r="G996" s="1" t="str">
        <f>IFERROR(__xludf.DUMMYFUNCTION("""COMPUTED_VALUE"""),"30.99355")</f>
        <v>30.99355</v>
      </c>
      <c r="H996" s="1" t="str">
        <f>IFERROR(__xludf.DUMMYFUNCTION("""COMPUTED_VALUE"""),"-97.0035")</f>
        <v>-97.0035</v>
      </c>
      <c r="I996" s="1" t="str">
        <f>IFERROR(__xludf.DUMMYFUNCTION("""COMPUTED_VALUE"""),"Proposed")</f>
        <v>Proposed</v>
      </c>
      <c r="J996" s="1" t="str">
        <f>IFERROR(__xludf.DUMMYFUNCTION("""COMPUTED_VALUE"""),"Medium")</f>
        <v>Medium</v>
      </c>
      <c r="K996" s="1" t="str">
        <f>IFERROR(__xludf.DUMMYFUNCTION("""COMPUTED_VALUE"""),"")</f>
        <v/>
      </c>
      <c r="L996" s="1" t="str">
        <f>IFERROR(__xludf.DUMMYFUNCTION("""COMPUTED_VALUE"""),"Google")</f>
        <v>Google</v>
      </c>
      <c r="M996" s="1" t="str">
        <f>IFERROR(__xludf.DUMMYFUNCTION("""COMPUTED_VALUE"""),"")</f>
        <v/>
      </c>
      <c r="N996" s="1" t="str">
        <f>IFERROR(__xludf.DUMMYFUNCTION("""COMPUTED_VALUE"""),"")</f>
        <v/>
      </c>
      <c r="O996" s="1" t="str">
        <f>IFERROR(__xludf.DUMMYFUNCTION("""COMPUTED_VALUE"""),"Unknown")</f>
        <v>Unknown</v>
      </c>
      <c r="P996" s="1" t="str">
        <f>IFERROR(__xludf.DUMMYFUNCTION("""COMPUTED_VALUE"""),"")</f>
        <v/>
      </c>
      <c r="Q996" s="1" t="str">
        <f>IFERROR(__xludf.DUMMYFUNCTION("""COMPUTED_VALUE"""),"")</f>
        <v/>
      </c>
      <c r="R996" s="1" t="str">
        <f>IFERROR(__xludf.DUMMYFUNCTION("""COMPUTED_VALUE"""),"")</f>
        <v/>
      </c>
      <c r="S996" s="1" t="str">
        <f>IFERROR(__xludf.DUMMYFUNCTION("""COMPUTED_VALUE"""),"")</f>
        <v/>
      </c>
      <c r="T996" s="1" t="str">
        <f>IFERROR(__xludf.DUMMYFUNCTION("""COMPUTED_VALUE"""),"")</f>
        <v/>
      </c>
      <c r="U996" s="1" t="str">
        <f>IFERROR(__xludf.DUMMYFUNCTION("""COMPUTED_VALUE"""),"")</f>
        <v/>
      </c>
      <c r="V996" s="1" t="str">
        <f>IFERROR(__xludf.DUMMYFUNCTION("""COMPUTED_VALUE"""),"")</f>
        <v/>
      </c>
      <c r="W996" s="1" t="str">
        <f>IFERROR(__xludf.DUMMYFUNCTION("""COMPUTED_VALUE"""),"")</f>
        <v/>
      </c>
      <c r="X996" s="1" t="str">
        <f>IFERROR(__xludf.DUMMYFUNCTION("""COMPUTED_VALUE"""),"$3 billion")</f>
        <v>$3 billion</v>
      </c>
      <c r="Y996" s="1" t="str">
        <f>IFERROR(__xludf.DUMMYFUNCTION("""COMPUTED_VALUE"""),"")</f>
        <v/>
      </c>
      <c r="Z996" s="1" t="str">
        <f>IFERROR(__xludf.DUMMYFUNCTION("""COMPUTED_VALUE"""),"Unknown")</f>
        <v>Unknown</v>
      </c>
      <c r="AA996" s="1" t="str">
        <f>IFERROR(__xludf.DUMMYFUNCTION("""COMPUTED_VALUE"""),"")</f>
        <v/>
      </c>
      <c r="AB996" s="1" t="str">
        <f>IFERROR(__xludf.DUMMYFUNCTION("""COMPUTED_VALUE"""),"")</f>
        <v/>
      </c>
      <c r="AC996" s="1" t="str">
        <f>IFERROR(__xludf.DUMMYFUNCTION("""COMPUTED_VALUE"""),"")</f>
        <v/>
      </c>
      <c r="AD996" s="1" t="str">
        <f>IFERROR(__xludf.DUMMYFUNCTION("""COMPUTED_VALUE"""),"")</f>
        <v/>
      </c>
      <c r="AE996" s="1" t="str">
        <f>IFERROR(__xludf.DUMMYFUNCTION("""COMPUTED_VALUE"""),"")</f>
        <v/>
      </c>
      <c r="AF996" s="1" t="str">
        <f>IFERROR(__xludf.DUMMYFUNCTION("""COMPUTED_VALUE"""),"")</f>
        <v/>
      </c>
      <c r="AG996" s="1" t="str">
        <f>IFERROR(__xludf.DUMMYFUNCTION("""COMPUTED_VALUE"""),"875 MW solar, Between Orion I, II, and III solar fields")</f>
        <v>875 MW solar, Between Orion I, II, and III solar fields</v>
      </c>
      <c r="AH996" s="1" t="str">
        <f>IFERROR(__xludf.DUMMYFUNCTION("""COMPUTED_VALUE"""),"Media Monitoring")</f>
        <v>Media Monitoring</v>
      </c>
      <c r="AI996" s="2" t="str">
        <f>IFERROR(__xludf.DUMMYFUNCTION("""COMPUTED_VALUE"""),"https://www.energy.gov/policy/articles/first-made-usa-solar-plant-set-power-google-data-centers-boosting-local-economy-and")</f>
        <v>https://www.energy.gov/policy/articles/first-made-usa-solar-plant-set-power-google-data-centers-boosting-local-economy-and</v>
      </c>
      <c r="AJ996" s="2" t="str">
        <f>IFERROR(__xludf.DUMMYFUNCTION("""COMPUTED_VALUE"""),"https://www.bizjournals.com/austin/news/2025/05/12/sb-energy-milam-county-data-center-orion-solar.html")</f>
        <v>https://www.bizjournals.com/austin/news/2025/05/12/sb-energy-milam-county-data-center-orion-solar.html</v>
      </c>
      <c r="AK996" s="1" t="str">
        <f>IFERROR(__xludf.DUMMYFUNCTION("""COMPUTED_VALUE"""),"")</f>
        <v/>
      </c>
      <c r="AL996" s="1" t="str">
        <f>IFERROR(__xludf.DUMMYFUNCTION("""COMPUTED_VALUE"""),"")</f>
        <v/>
      </c>
      <c r="AM996" s="1" t="str">
        <f>IFERROR(__xludf.DUMMYFUNCTION("""COMPUTED_VALUE"""),"")</f>
        <v/>
      </c>
      <c r="AN996" s="1" t="str">
        <f>IFERROR(__xludf.DUMMYFUNCTION("""COMPUTED_VALUE"""),"")</f>
        <v/>
      </c>
      <c r="AO996" s="1" t="str">
        <f>IFERROR(__xludf.DUMMYFUNCTION("""COMPUTED_VALUE"""),"")</f>
        <v/>
      </c>
      <c r="AP996" s="1" t="str">
        <f>IFERROR(__xludf.DUMMYFUNCTION("""COMPUTED_VALUE"""),"")</f>
        <v/>
      </c>
      <c r="AQ996" s="1" t="str">
        <f>IFERROR(__xludf.DUMMYFUNCTION("""COMPUTED_VALUE"""),"")</f>
        <v/>
      </c>
      <c r="AR996" s="1" t="str">
        <f>IFERROR(__xludf.DUMMYFUNCTION("""COMPUTED_VALUE"""),"")</f>
        <v/>
      </c>
    </row>
    <row r="997">
      <c r="A997" s="1" t="str">
        <f>IFERROR(__xludf.DUMMYFUNCTION("""COMPUTED_VALUE"""),"Cielo Digital Infrastructure")</f>
        <v>Cielo Digital Infrastructure</v>
      </c>
      <c r="B997" s="1" t="str">
        <f>IFERROR(__xludf.DUMMYFUNCTION("""COMPUTED_VALUE"""),"")</f>
        <v/>
      </c>
      <c r="C997" s="1" t="str">
        <f>IFERROR(__xludf.DUMMYFUNCTION("""COMPUTED_VALUE"""),"Mustang Ridge")</f>
        <v>Mustang Ridge</v>
      </c>
      <c r="D997" s="1" t="str">
        <f>IFERROR(__xludf.DUMMYFUNCTION("""COMPUTED_VALUE"""),"TX")</f>
        <v>TX</v>
      </c>
      <c r="E997" s="1" t="str">
        <f>IFERROR(__xludf.DUMMYFUNCTION("""COMPUTED_VALUE"""),"78616")</f>
        <v>78616</v>
      </c>
      <c r="F997" s="1" t="str">
        <f>IFERROR(__xludf.DUMMYFUNCTION("""COMPUTED_VALUE"""),"Travis")</f>
        <v>Travis</v>
      </c>
      <c r="G997" s="1" t="str">
        <f>IFERROR(__xludf.DUMMYFUNCTION("""COMPUTED_VALUE"""),"30.05179")</f>
        <v>30.05179</v>
      </c>
      <c r="H997" s="1" t="str">
        <f>IFERROR(__xludf.DUMMYFUNCTION("""COMPUTED_VALUE"""),"-97.6772")</f>
        <v>-97.6772</v>
      </c>
      <c r="I997" s="1" t="str">
        <f>IFERROR(__xludf.DUMMYFUNCTION("""COMPUTED_VALUE"""),"Proposed")</f>
        <v>Proposed</v>
      </c>
      <c r="J997" s="1" t="str">
        <f>IFERROR(__xludf.DUMMYFUNCTION("""COMPUTED_VALUE"""),"Low")</f>
        <v>Low</v>
      </c>
      <c r="K997" s="1" t="str">
        <f>IFERROR(__xludf.DUMMYFUNCTION("""COMPUTED_VALUE"""),"")</f>
        <v/>
      </c>
      <c r="L997" s="1" t="str">
        <f>IFERROR(__xludf.DUMMYFUNCTION("""COMPUTED_VALUE"""),"")</f>
        <v/>
      </c>
      <c r="M997" s="1" t="str">
        <f>IFERROR(__xludf.DUMMYFUNCTION("""COMPUTED_VALUE"""),"")</f>
        <v/>
      </c>
      <c r="N997" s="1" t="str">
        <f>IFERROR(__xludf.DUMMYFUNCTION("""COMPUTED_VALUE"""),"500")</f>
        <v>500</v>
      </c>
      <c r="O997" s="1" t="str">
        <f>IFERROR(__xludf.DUMMYFUNCTION("""COMPUTED_VALUE"""),"Hyperscale (100-999 MW)")</f>
        <v>Hyperscale (100-999 MW)</v>
      </c>
      <c r="P997" s="1" t="str">
        <f>IFERROR(__xludf.DUMMYFUNCTION("""COMPUTED_VALUE"""),"")</f>
        <v/>
      </c>
      <c r="Q997" s="1" t="str">
        <f>IFERROR(__xludf.DUMMYFUNCTION("""COMPUTED_VALUE"""),"")</f>
        <v/>
      </c>
      <c r="R997" s="1" t="str">
        <f>IFERROR(__xludf.DUMMYFUNCTION("""COMPUTED_VALUE"""),"")</f>
        <v/>
      </c>
      <c r="S997" s="1" t="str">
        <f>IFERROR(__xludf.DUMMYFUNCTION("""COMPUTED_VALUE"""),"")</f>
        <v/>
      </c>
      <c r="T997" s="1" t="str">
        <f>IFERROR(__xludf.DUMMYFUNCTION("""COMPUTED_VALUE"""),"")</f>
        <v/>
      </c>
      <c r="U997" s="1" t="str">
        <f>IFERROR(__xludf.DUMMYFUNCTION("""COMPUTED_VALUE"""),"")</f>
        <v/>
      </c>
      <c r="V997" s="1" t="str">
        <f>IFERROR(__xludf.DUMMYFUNCTION("""COMPUTED_VALUE"""),"")</f>
        <v/>
      </c>
      <c r="W997" s="1" t="str">
        <f>IFERROR(__xludf.DUMMYFUNCTION("""COMPUTED_VALUE"""),"472")</f>
        <v>472</v>
      </c>
      <c r="X997" s="1" t="str">
        <f>IFERROR(__xludf.DUMMYFUNCTION("""COMPUTED_VALUE"""),"")</f>
        <v/>
      </c>
      <c r="Y997" s="1" t="str">
        <f>IFERROR(__xludf.DUMMYFUNCTION("""COMPUTED_VALUE"""),"")</f>
        <v/>
      </c>
      <c r="Z997" s="1" t="str">
        <f>IFERROR(__xludf.DUMMYFUNCTION("""COMPUTED_VALUE"""),"Unknown")</f>
        <v>Unknown</v>
      </c>
      <c r="AA997" s="1" t="str">
        <f>IFERROR(__xludf.DUMMYFUNCTION("""COMPUTED_VALUE"""),"")</f>
        <v/>
      </c>
      <c r="AB997" s="1" t="str">
        <f>IFERROR(__xludf.DUMMYFUNCTION("""COMPUTED_VALUE"""),"")</f>
        <v/>
      </c>
      <c r="AC997" s="1" t="str">
        <f>IFERROR(__xludf.DUMMYFUNCTION("""COMPUTED_VALUE"""),"")</f>
        <v/>
      </c>
      <c r="AD997" s="1" t="str">
        <f>IFERROR(__xludf.DUMMYFUNCTION("""COMPUTED_VALUE"""),"")</f>
        <v/>
      </c>
      <c r="AE997" s="1" t="str">
        <f>IFERROR(__xludf.DUMMYFUNCTION("""COMPUTED_VALUE"""),"")</f>
        <v/>
      </c>
      <c r="AF997" s="1" t="str">
        <f>IFERROR(__xludf.DUMMYFUNCTION("""COMPUTED_VALUE"""),"")</f>
        <v/>
      </c>
      <c r="AG997" s="1" t="str">
        <f>IFERROR(__xludf.DUMMYFUNCTION("""COMPUTED_VALUE"""),"")</f>
        <v/>
      </c>
      <c r="AH997" s="1" t="str">
        <f>IFERROR(__xludf.DUMMYFUNCTION("""COMPUTED_VALUE"""),"Media Monitoring")</f>
        <v>Media Monitoring</v>
      </c>
      <c r="AI997" s="2" t="str">
        <f>IFERROR(__xludf.DUMMYFUNCTION("""COMPUTED_VALUE"""),"https://www.datacenterdynamics.com/en/news/cielo-digital-infrastructure-plans-300mw-data-center-campus-in-south-carolina/")</f>
        <v>https://www.datacenterdynamics.com/en/news/cielo-digital-infrastructure-plans-300mw-data-center-campus-in-south-carolina/</v>
      </c>
      <c r="AJ997" s="1" t="str">
        <f>IFERROR(__xludf.DUMMYFUNCTION("""COMPUTED_VALUE"""),"")</f>
        <v/>
      </c>
      <c r="AK997" s="1" t="str">
        <f>IFERROR(__xludf.DUMMYFUNCTION("""COMPUTED_VALUE"""),"")</f>
        <v/>
      </c>
      <c r="AL997" s="1" t="str">
        <f>IFERROR(__xludf.DUMMYFUNCTION("""COMPUTED_VALUE"""),"")</f>
        <v/>
      </c>
      <c r="AM997" s="1" t="str">
        <f>IFERROR(__xludf.DUMMYFUNCTION("""COMPUTED_VALUE"""),"")</f>
        <v/>
      </c>
      <c r="AN997" s="1" t="str">
        <f>IFERROR(__xludf.DUMMYFUNCTION("""COMPUTED_VALUE"""),"")</f>
        <v/>
      </c>
      <c r="AO997" s="1" t="str">
        <f>IFERROR(__xludf.DUMMYFUNCTION("""COMPUTED_VALUE"""),"")</f>
        <v/>
      </c>
      <c r="AP997" s="1" t="str">
        <f>IFERROR(__xludf.DUMMYFUNCTION("""COMPUTED_VALUE"""),"")</f>
        <v/>
      </c>
      <c r="AQ997" s="1" t="str">
        <f>IFERROR(__xludf.DUMMYFUNCTION("""COMPUTED_VALUE"""),"06/24/2025")</f>
        <v>06/24/2025</v>
      </c>
      <c r="AR997" s="1" t="str">
        <f>IFERROR(__xludf.DUMMYFUNCTION("""COMPUTED_VALUE"""),"06/24/2025")</f>
        <v>06/24/2025</v>
      </c>
    </row>
    <row r="998">
      <c r="A998" s="1" t="str">
        <f>IFERROR(__xludf.DUMMYFUNCTION("""COMPUTED_VALUE"""),"Project Gladys (Soluna)")</f>
        <v>Project Gladys (Soluna)</v>
      </c>
      <c r="B998" s="1" t="str">
        <f>IFERROR(__xludf.DUMMYFUNCTION("""COMPUTED_VALUE"""),"")</f>
        <v/>
      </c>
      <c r="C998" s="1" t="str">
        <f>IFERROR(__xludf.DUMMYFUNCTION("""COMPUTED_VALUE"""),"near Bishop?")</f>
        <v>near Bishop?</v>
      </c>
      <c r="D998" s="1" t="str">
        <f>IFERROR(__xludf.DUMMYFUNCTION("""COMPUTED_VALUE"""),"TX")</f>
        <v>TX</v>
      </c>
      <c r="E998" s="1" t="str">
        <f>IFERROR(__xludf.DUMMYFUNCTION("""COMPUTED_VALUE"""),"")</f>
        <v/>
      </c>
      <c r="F998" s="1" t="str">
        <f>IFERROR(__xludf.DUMMYFUNCTION("""COMPUTED_VALUE"""),"Nueces")</f>
        <v>Nueces</v>
      </c>
      <c r="G998" s="1" t="str">
        <f>IFERROR(__xludf.DUMMYFUNCTION("""COMPUTED_VALUE"""),"27.58049")</f>
        <v>27.58049</v>
      </c>
      <c r="H998" s="1" t="str">
        <f>IFERROR(__xludf.DUMMYFUNCTION("""COMPUTED_VALUE"""),"-97.6401")</f>
        <v>-97.6401</v>
      </c>
      <c r="I998" s="1" t="str">
        <f>IFERROR(__xludf.DUMMYFUNCTION("""COMPUTED_VALUE"""),"Approved/Permitted/Under construction")</f>
        <v>Approved/Permitted/Under construction</v>
      </c>
      <c r="J998" s="1" t="str">
        <f>IFERROR(__xludf.DUMMYFUNCTION("""COMPUTED_VALUE"""),"Low")</f>
        <v>Low</v>
      </c>
      <c r="K998" s="1" t="str">
        <f>IFERROR(__xludf.DUMMYFUNCTION("""COMPUTED_VALUE"""),"")</f>
        <v/>
      </c>
      <c r="L998" s="1" t="str">
        <f>IFERROR(__xludf.DUMMYFUNCTION("""COMPUTED_VALUE"""),"")</f>
        <v/>
      </c>
      <c r="M998" s="1" t="str">
        <f>IFERROR(__xludf.DUMMYFUNCTION("""COMPUTED_VALUE"""),"")</f>
        <v/>
      </c>
      <c r="N998" s="1" t="str">
        <f>IFERROR(__xludf.DUMMYFUNCTION("""COMPUTED_VALUE"""),"150")</f>
        <v>150</v>
      </c>
      <c r="O998" s="1" t="str">
        <f>IFERROR(__xludf.DUMMYFUNCTION("""COMPUTED_VALUE"""),"Hyperscale (100-999 MW)")</f>
        <v>Hyperscale (100-999 MW)</v>
      </c>
      <c r="P998" s="1" t="str">
        <f>IFERROR(__xludf.DUMMYFUNCTION("""COMPUTED_VALUE"""),"")</f>
        <v/>
      </c>
      <c r="Q998" s="1" t="str">
        <f>IFERROR(__xludf.DUMMYFUNCTION("""COMPUTED_VALUE"""),"")</f>
        <v/>
      </c>
      <c r="R998" s="1" t="str">
        <f>IFERROR(__xludf.DUMMYFUNCTION("""COMPUTED_VALUE"""),"")</f>
        <v/>
      </c>
      <c r="S998" s="1" t="str">
        <f>IFERROR(__xludf.DUMMYFUNCTION("""COMPUTED_VALUE"""),"")</f>
        <v/>
      </c>
      <c r="T998" s="1" t="str">
        <f>IFERROR(__xludf.DUMMYFUNCTION("""COMPUTED_VALUE"""),"")</f>
        <v/>
      </c>
      <c r="U998" s="1" t="str">
        <f>IFERROR(__xludf.DUMMYFUNCTION("""COMPUTED_VALUE"""),"")</f>
        <v/>
      </c>
      <c r="V998" s="1" t="str">
        <f>IFERROR(__xludf.DUMMYFUNCTION("""COMPUTED_VALUE"""),"")</f>
        <v/>
      </c>
      <c r="W998" s="1" t="str">
        <f>IFERROR(__xludf.DUMMYFUNCTION("""COMPUTED_VALUE"""),"")</f>
        <v/>
      </c>
      <c r="X998" s="1" t="str">
        <f>IFERROR(__xludf.DUMMYFUNCTION("""COMPUTED_VALUE"""),"")</f>
        <v/>
      </c>
      <c r="Y998" s="1" t="str">
        <f>IFERROR(__xludf.DUMMYFUNCTION("""COMPUTED_VALUE"""),"")</f>
        <v/>
      </c>
      <c r="Z998" s="1" t="str">
        <f>IFERROR(__xludf.DUMMYFUNCTION("""COMPUTED_VALUE"""),"Unknown")</f>
        <v>Unknown</v>
      </c>
      <c r="AA998" s="1" t="str">
        <f>IFERROR(__xludf.DUMMYFUNCTION("""COMPUTED_VALUE"""),"")</f>
        <v/>
      </c>
      <c r="AB998" s="1" t="str">
        <f>IFERROR(__xludf.DUMMYFUNCTION("""COMPUTED_VALUE"""),"")</f>
        <v/>
      </c>
      <c r="AC998" s="1" t="str">
        <f>IFERROR(__xludf.DUMMYFUNCTION("""COMPUTED_VALUE"""),"")</f>
        <v/>
      </c>
      <c r="AD998" s="1" t="str">
        <f>IFERROR(__xludf.DUMMYFUNCTION("""COMPUTED_VALUE"""),"")</f>
        <v/>
      </c>
      <c r="AE998" s="1" t="str">
        <f>IFERROR(__xludf.DUMMYFUNCTION("""COMPUTED_VALUE"""),"")</f>
        <v/>
      </c>
      <c r="AF998" s="1" t="str">
        <f>IFERROR(__xludf.DUMMYFUNCTION("""COMPUTED_VALUE"""),"")</f>
        <v/>
      </c>
      <c r="AG998" s="1" t="str">
        <f>IFERROR(__xludf.DUMMYFUNCTION("""COMPUTED_VALUE"""),"")</f>
        <v/>
      </c>
      <c r="AH998" s="1" t="str">
        <f>IFERROR(__xludf.DUMMYFUNCTION("""COMPUTED_VALUE"""),"Media Monitoring")</f>
        <v>Media Monitoring</v>
      </c>
      <c r="AI998" s="2" t="str">
        <f>IFERROR(__xludf.DUMMYFUNCTION("""COMPUTED_VALUE"""),"https://www.datacenterdynamics.com/en/news/soluna-to-develop-two-new-data-centers-in-texas-with-a-combined-capacity-of-350mw/")</f>
        <v>https://www.datacenterdynamics.com/en/news/soluna-to-develop-two-new-data-centers-in-texas-with-a-combined-capacity-of-350mw/</v>
      </c>
      <c r="AJ998" s="1" t="str">
        <f>IFERROR(__xludf.DUMMYFUNCTION("""COMPUTED_VALUE"""),"")</f>
        <v/>
      </c>
      <c r="AK998" s="1" t="str">
        <f>IFERROR(__xludf.DUMMYFUNCTION("""COMPUTED_VALUE"""),"")</f>
        <v/>
      </c>
      <c r="AL998" s="1" t="str">
        <f>IFERROR(__xludf.DUMMYFUNCTION("""COMPUTED_VALUE"""),"")</f>
        <v/>
      </c>
      <c r="AM998" s="1" t="str">
        <f>IFERROR(__xludf.DUMMYFUNCTION("""COMPUTED_VALUE"""),"")</f>
        <v/>
      </c>
      <c r="AN998" s="1" t="str">
        <f>IFERROR(__xludf.DUMMYFUNCTION("""COMPUTED_VALUE"""),"")</f>
        <v/>
      </c>
      <c r="AO998" s="1" t="str">
        <f>IFERROR(__xludf.DUMMYFUNCTION("""COMPUTED_VALUE"""),"")</f>
        <v/>
      </c>
      <c r="AP998" s="1" t="str">
        <f>IFERROR(__xludf.DUMMYFUNCTION("""COMPUTED_VALUE"""),"")</f>
        <v/>
      </c>
      <c r="AQ998" s="1" t="str">
        <f>IFERROR(__xludf.DUMMYFUNCTION("""COMPUTED_VALUE"""),"08/30/2025")</f>
        <v>08/30/2025</v>
      </c>
      <c r="AR998" s="1" t="str">
        <f>IFERROR(__xludf.DUMMYFUNCTION("""COMPUTED_VALUE"""),"08/30/2025")</f>
        <v>08/30/2025</v>
      </c>
    </row>
    <row r="999">
      <c r="A999" s="1" t="str">
        <f>IFERROR(__xludf.DUMMYFUNCTION("""COMPUTED_VALUE"""),"Project Fei (Soluna)")</f>
        <v>Project Fei (Soluna)</v>
      </c>
      <c r="B999" s="1" t="str">
        <f>IFERROR(__xludf.DUMMYFUNCTION("""COMPUTED_VALUE"""),"")</f>
        <v/>
      </c>
      <c r="C999" s="1" t="str">
        <f>IFERROR(__xludf.DUMMYFUNCTION("""COMPUTED_VALUE"""),"near Childress")</f>
        <v>near Childress</v>
      </c>
      <c r="D999" s="1" t="str">
        <f>IFERROR(__xludf.DUMMYFUNCTION("""COMPUTED_VALUE"""),"TX")</f>
        <v>TX</v>
      </c>
      <c r="E999" s="1" t="str">
        <f>IFERROR(__xludf.DUMMYFUNCTION("""COMPUTED_VALUE"""),"79201")</f>
        <v>79201</v>
      </c>
      <c r="F999" s="1" t="str">
        <f>IFERROR(__xludf.DUMMYFUNCTION("""COMPUTED_VALUE"""),"Childress")</f>
        <v>Childress</v>
      </c>
      <c r="G999" s="1" t="str">
        <f>IFERROR(__xludf.DUMMYFUNCTION("""COMPUTED_VALUE"""),"34.37431")</f>
        <v>34.37431</v>
      </c>
      <c r="H999" s="1" t="str">
        <f>IFERROR(__xludf.DUMMYFUNCTION("""COMPUTED_VALUE"""),"-100.094")</f>
        <v>-100.094</v>
      </c>
      <c r="I999" s="1" t="str">
        <f>IFERROR(__xludf.DUMMYFUNCTION("""COMPUTED_VALUE"""),"Approved/Permitted/Under construction")</f>
        <v>Approved/Permitted/Under construction</v>
      </c>
      <c r="J999" s="1" t="str">
        <f>IFERROR(__xludf.DUMMYFUNCTION("""COMPUTED_VALUE"""),"Medium")</f>
        <v>Medium</v>
      </c>
      <c r="K999" s="1" t="str">
        <f>IFERROR(__xludf.DUMMYFUNCTION("""COMPUTED_VALUE"""),"")</f>
        <v/>
      </c>
      <c r="L999" s="1" t="str">
        <f>IFERROR(__xludf.DUMMYFUNCTION("""COMPUTED_VALUE"""),"")</f>
        <v/>
      </c>
      <c r="M999" s="1" t="str">
        <f>IFERROR(__xludf.DUMMYFUNCTION("""COMPUTED_VALUE"""),"")</f>
        <v/>
      </c>
      <c r="N999" s="1" t="str">
        <f>IFERROR(__xludf.DUMMYFUNCTION("""COMPUTED_VALUE"""),"100")</f>
        <v>100</v>
      </c>
      <c r="O999" s="1" t="str">
        <f>IFERROR(__xludf.DUMMYFUNCTION("""COMPUTED_VALUE"""),"Hyperscale (100-999 MW)")</f>
        <v>Hyperscale (100-999 MW)</v>
      </c>
      <c r="P999" s="1" t="str">
        <f>IFERROR(__xludf.DUMMYFUNCTION("""COMPUTED_VALUE"""),"")</f>
        <v/>
      </c>
      <c r="Q999" s="1" t="str">
        <f>IFERROR(__xludf.DUMMYFUNCTION("""COMPUTED_VALUE"""),"")</f>
        <v/>
      </c>
      <c r="R999" s="1" t="str">
        <f>IFERROR(__xludf.DUMMYFUNCTION("""COMPUTED_VALUE"""),"")</f>
        <v/>
      </c>
      <c r="S999" s="1" t="str">
        <f>IFERROR(__xludf.DUMMYFUNCTION("""COMPUTED_VALUE"""),"")</f>
        <v/>
      </c>
      <c r="T999" s="1" t="str">
        <f>IFERROR(__xludf.DUMMYFUNCTION("""COMPUTED_VALUE"""),"")</f>
        <v/>
      </c>
      <c r="U999" s="1" t="str">
        <f>IFERROR(__xludf.DUMMYFUNCTION("""COMPUTED_VALUE"""),"")</f>
        <v/>
      </c>
      <c r="V999" s="1" t="str">
        <f>IFERROR(__xludf.DUMMYFUNCTION("""COMPUTED_VALUE"""),"")</f>
        <v/>
      </c>
      <c r="W999" s="1" t="str">
        <f>IFERROR(__xludf.DUMMYFUNCTION("""COMPUTED_VALUE"""),"")</f>
        <v/>
      </c>
      <c r="X999" s="1" t="str">
        <f>IFERROR(__xludf.DUMMYFUNCTION("""COMPUTED_VALUE"""),"")</f>
        <v/>
      </c>
      <c r="Y999" s="1" t="str">
        <f>IFERROR(__xludf.DUMMYFUNCTION("""COMPUTED_VALUE"""),"")</f>
        <v/>
      </c>
      <c r="Z999" s="1" t="str">
        <f>IFERROR(__xludf.DUMMYFUNCTION("""COMPUTED_VALUE"""),"Unknown")</f>
        <v>Unknown</v>
      </c>
      <c r="AA999" s="1" t="str">
        <f>IFERROR(__xludf.DUMMYFUNCTION("""COMPUTED_VALUE"""),"")</f>
        <v/>
      </c>
      <c r="AB999" s="1" t="str">
        <f>IFERROR(__xludf.DUMMYFUNCTION("""COMPUTED_VALUE"""),"")</f>
        <v/>
      </c>
      <c r="AC999" s="1" t="str">
        <f>IFERROR(__xludf.DUMMYFUNCTION("""COMPUTED_VALUE"""),"")</f>
        <v/>
      </c>
      <c r="AD999" s="1" t="str">
        <f>IFERROR(__xludf.DUMMYFUNCTION("""COMPUTED_VALUE"""),"")</f>
        <v/>
      </c>
      <c r="AE999" s="1" t="str">
        <f>IFERROR(__xludf.DUMMYFUNCTION("""COMPUTED_VALUE"""),"")</f>
        <v/>
      </c>
      <c r="AF999" s="1" t="str">
        <f>IFERROR(__xludf.DUMMYFUNCTION("""COMPUTED_VALUE"""),"")</f>
        <v/>
      </c>
      <c r="AG999" s="1" t="str">
        <f>IFERROR(__xludf.DUMMYFUNCTION("""COMPUTED_VALUE"""),"")</f>
        <v/>
      </c>
      <c r="AH999" s="1" t="str">
        <f>IFERROR(__xludf.DUMMYFUNCTION("""COMPUTED_VALUE"""),"Media Monitoring")</f>
        <v>Media Monitoring</v>
      </c>
      <c r="AI999" s="2" t="str">
        <f>IFERROR(__xludf.DUMMYFUNCTION("""COMPUTED_VALUE"""),"https://www.datacenterdynamics.com/en/news/soluna-to-develop-two-new-data-centers-in-texas-with-a-combined-capacity-of-350mw/")</f>
        <v>https://www.datacenterdynamics.com/en/news/soluna-to-develop-two-new-data-centers-in-texas-with-a-combined-capacity-of-350mw/</v>
      </c>
      <c r="AJ999" s="1" t="str">
        <f>IFERROR(__xludf.DUMMYFUNCTION("""COMPUTED_VALUE"""),"")</f>
        <v/>
      </c>
      <c r="AK999" s="1" t="str">
        <f>IFERROR(__xludf.DUMMYFUNCTION("""COMPUTED_VALUE"""),"")</f>
        <v/>
      </c>
      <c r="AL999" s="1" t="str">
        <f>IFERROR(__xludf.DUMMYFUNCTION("""COMPUTED_VALUE"""),"")</f>
        <v/>
      </c>
      <c r="AM999" s="1" t="str">
        <f>IFERROR(__xludf.DUMMYFUNCTION("""COMPUTED_VALUE"""),"")</f>
        <v/>
      </c>
      <c r="AN999" s="1" t="str">
        <f>IFERROR(__xludf.DUMMYFUNCTION("""COMPUTED_VALUE"""),"")</f>
        <v/>
      </c>
      <c r="AO999" s="1" t="str">
        <f>IFERROR(__xludf.DUMMYFUNCTION("""COMPUTED_VALUE"""),"")</f>
        <v/>
      </c>
      <c r="AP999" s="1" t="str">
        <f>IFERROR(__xludf.DUMMYFUNCTION("""COMPUTED_VALUE"""),"")</f>
        <v/>
      </c>
      <c r="AQ999" s="1" t="str">
        <f>IFERROR(__xludf.DUMMYFUNCTION("""COMPUTED_VALUE"""),"08/30/2025")</f>
        <v>08/30/2025</v>
      </c>
      <c r="AR999" s="1" t="str">
        <f>IFERROR(__xludf.DUMMYFUNCTION("""COMPUTED_VALUE"""),"08/30/2025")</f>
        <v>08/30/2025</v>
      </c>
    </row>
    <row r="1000">
      <c r="A1000" s="1" t="str">
        <f>IFERROR(__xludf.DUMMYFUNCTION("""COMPUTED_VALUE"""),"Project Hedy (Soluna)")</f>
        <v>Project Hedy (Soluna)</v>
      </c>
      <c r="B1000" s="1" t="str">
        <f>IFERROR(__xludf.DUMMYFUNCTION("""COMPUTED_VALUE"""),"")</f>
        <v/>
      </c>
      <c r="C1000" s="1" t="str">
        <f>IFERROR(__xludf.DUMMYFUNCTION("""COMPUTED_VALUE"""),"near Lyford")</f>
        <v>near Lyford</v>
      </c>
      <c r="D1000" s="1" t="str">
        <f>IFERROR(__xludf.DUMMYFUNCTION("""COMPUTED_VALUE"""),"TX")</f>
        <v>TX</v>
      </c>
      <c r="E1000" s="1" t="str">
        <f>IFERROR(__xludf.DUMMYFUNCTION("""COMPUTED_VALUE"""),"")</f>
        <v/>
      </c>
      <c r="F1000" s="1" t="str">
        <f>IFERROR(__xludf.DUMMYFUNCTION("""COMPUTED_VALUE"""),"Willacy")</f>
        <v>Willacy</v>
      </c>
      <c r="G1000" s="1" t="str">
        <f>IFERROR(__xludf.DUMMYFUNCTION("""COMPUTED_VALUE"""),"26.32319")</f>
        <v>26.32319</v>
      </c>
      <c r="H1000" s="1" t="str">
        <f>IFERROR(__xludf.DUMMYFUNCTION("""COMPUTED_VALUE"""),"-97.585")</f>
        <v>-97.585</v>
      </c>
      <c r="I1000" s="1" t="str">
        <f>IFERROR(__xludf.DUMMYFUNCTION("""COMPUTED_VALUE"""),"Approved/Permitted/Under construction")</f>
        <v>Approved/Permitted/Under construction</v>
      </c>
      <c r="J1000" s="1" t="str">
        <f>IFERROR(__xludf.DUMMYFUNCTION("""COMPUTED_VALUE"""),"Low")</f>
        <v>Low</v>
      </c>
      <c r="K1000" s="1" t="str">
        <f>IFERROR(__xludf.DUMMYFUNCTION("""COMPUTED_VALUE"""),"")</f>
        <v/>
      </c>
      <c r="L1000" s="1" t="str">
        <f>IFERROR(__xludf.DUMMYFUNCTION("""COMPUTED_VALUE"""),"")</f>
        <v/>
      </c>
      <c r="M1000" s="1" t="str">
        <f>IFERROR(__xludf.DUMMYFUNCTION("""COMPUTED_VALUE"""),"")</f>
        <v/>
      </c>
      <c r="N1000" s="1" t="str">
        <f>IFERROR(__xludf.DUMMYFUNCTION("""COMPUTED_VALUE"""),"120")</f>
        <v>120</v>
      </c>
      <c r="O1000" s="1" t="str">
        <f>IFERROR(__xludf.DUMMYFUNCTION("""COMPUTED_VALUE"""),"Hyperscale (100-999 MW)")</f>
        <v>Hyperscale (100-999 MW)</v>
      </c>
      <c r="P1000" s="1" t="str">
        <f>IFERROR(__xludf.DUMMYFUNCTION("""COMPUTED_VALUE"""),"")</f>
        <v/>
      </c>
      <c r="Q1000" s="1" t="str">
        <f>IFERROR(__xludf.DUMMYFUNCTION("""COMPUTED_VALUE"""),"")</f>
        <v/>
      </c>
      <c r="R1000" s="1" t="str">
        <f>IFERROR(__xludf.DUMMYFUNCTION("""COMPUTED_VALUE"""),"")</f>
        <v/>
      </c>
      <c r="S1000" s="1" t="str">
        <f>IFERROR(__xludf.DUMMYFUNCTION("""COMPUTED_VALUE"""),"")</f>
        <v/>
      </c>
      <c r="T1000" s="1" t="str">
        <f>IFERROR(__xludf.DUMMYFUNCTION("""COMPUTED_VALUE"""),"")</f>
        <v/>
      </c>
      <c r="U1000" s="1" t="str">
        <f>IFERROR(__xludf.DUMMYFUNCTION("""COMPUTED_VALUE"""),"")</f>
        <v/>
      </c>
      <c r="V1000" s="1" t="str">
        <f>IFERROR(__xludf.DUMMYFUNCTION("""COMPUTED_VALUE"""),"")</f>
        <v/>
      </c>
      <c r="W1000" s="1" t="str">
        <f>IFERROR(__xludf.DUMMYFUNCTION("""COMPUTED_VALUE"""),"")</f>
        <v/>
      </c>
      <c r="X1000" s="1" t="str">
        <f>IFERROR(__xludf.DUMMYFUNCTION("""COMPUTED_VALUE"""),"")</f>
        <v/>
      </c>
      <c r="Y1000" s="1" t="str">
        <f>IFERROR(__xludf.DUMMYFUNCTION("""COMPUTED_VALUE"""),"")</f>
        <v/>
      </c>
      <c r="Z1000" s="1" t="str">
        <f>IFERROR(__xludf.DUMMYFUNCTION("""COMPUTED_VALUE"""),"Unknown")</f>
        <v>Unknown</v>
      </c>
      <c r="AA1000" s="1" t="str">
        <f>IFERROR(__xludf.DUMMYFUNCTION("""COMPUTED_VALUE"""),"")</f>
        <v/>
      </c>
      <c r="AB1000" s="1" t="str">
        <f>IFERROR(__xludf.DUMMYFUNCTION("""COMPUTED_VALUE"""),"")</f>
        <v/>
      </c>
      <c r="AC1000" s="1" t="str">
        <f>IFERROR(__xludf.DUMMYFUNCTION("""COMPUTED_VALUE"""),"")</f>
        <v/>
      </c>
      <c r="AD1000" s="1" t="str">
        <f>IFERROR(__xludf.DUMMYFUNCTION("""COMPUTED_VALUE"""),"")</f>
        <v/>
      </c>
      <c r="AE1000" s="1" t="str">
        <f>IFERROR(__xludf.DUMMYFUNCTION("""COMPUTED_VALUE"""),"")</f>
        <v/>
      </c>
      <c r="AF1000" s="1" t="str">
        <f>IFERROR(__xludf.DUMMYFUNCTION("""COMPUTED_VALUE"""),"")</f>
        <v/>
      </c>
      <c r="AG1000" s="1" t="str">
        <f>IFERROR(__xludf.DUMMYFUNCTION("""COMPUTED_VALUE"""),"")</f>
        <v/>
      </c>
      <c r="AH1000" s="1" t="str">
        <f>IFERROR(__xludf.DUMMYFUNCTION("""COMPUTED_VALUE"""),"Media Monitoring")</f>
        <v>Media Monitoring</v>
      </c>
      <c r="AI1000" s="2" t="str">
        <f>IFERROR(__xludf.DUMMYFUNCTION("""COMPUTED_VALUE"""),"https://www.solunacomputing.com/news/project-hedy-term-sheet/")</f>
        <v>https://www.solunacomputing.com/news/project-hedy-term-sheet/</v>
      </c>
      <c r="AJ1000" s="1" t="str">
        <f>IFERROR(__xludf.DUMMYFUNCTION("""COMPUTED_VALUE"""),"")</f>
        <v/>
      </c>
      <c r="AK1000" s="1" t="str">
        <f>IFERROR(__xludf.DUMMYFUNCTION("""COMPUTED_VALUE"""),"")</f>
        <v/>
      </c>
      <c r="AL1000" s="1" t="str">
        <f>IFERROR(__xludf.DUMMYFUNCTION("""COMPUTED_VALUE"""),"")</f>
        <v/>
      </c>
      <c r="AM1000" s="1" t="str">
        <f>IFERROR(__xludf.DUMMYFUNCTION("""COMPUTED_VALUE"""),"")</f>
        <v/>
      </c>
      <c r="AN1000" s="1" t="str">
        <f>IFERROR(__xludf.DUMMYFUNCTION("""COMPUTED_VALUE"""),"")</f>
        <v/>
      </c>
      <c r="AO1000" s="1" t="str">
        <f>IFERROR(__xludf.DUMMYFUNCTION("""COMPUTED_VALUE"""),"")</f>
        <v/>
      </c>
      <c r="AP1000" s="1" t="str">
        <f>IFERROR(__xludf.DUMMYFUNCTION("""COMPUTED_VALUE"""),"")</f>
        <v/>
      </c>
      <c r="AQ1000" s="1" t="str">
        <f>IFERROR(__xludf.DUMMYFUNCTION("""COMPUTED_VALUE"""),"08/30/2025")</f>
        <v>08/30/2025</v>
      </c>
      <c r="AR1000" s="1" t="str">
        <f>IFERROR(__xludf.DUMMYFUNCTION("""COMPUTED_VALUE"""),"08/30/2025")</f>
        <v>08/30/2025</v>
      </c>
    </row>
    <row r="1001">
      <c r="A1001" s="1" t="str">
        <f>IFERROR(__xludf.DUMMYFUNCTION("""COMPUTED_VALUE"""),"Project Ellen (Soluna)")</f>
        <v>Project Ellen (Soluna)</v>
      </c>
      <c r="B1001" s="1" t="str">
        <f>IFERROR(__xludf.DUMMYFUNCTION("""COMPUTED_VALUE"""),"")</f>
        <v/>
      </c>
      <c r="C1001" s="1" t="str">
        <f>IFERROR(__xludf.DUMMYFUNCTION("""COMPUTED_VALUE"""),"near Rio Hondo")</f>
        <v>near Rio Hondo</v>
      </c>
      <c r="D1001" s="1" t="str">
        <f>IFERROR(__xludf.DUMMYFUNCTION("""COMPUTED_VALUE"""),"TX")</f>
        <v>TX</v>
      </c>
      <c r="E1001" s="1" t="str">
        <f>IFERROR(__xludf.DUMMYFUNCTION("""COMPUTED_VALUE"""),"78583")</f>
        <v>78583</v>
      </c>
      <c r="F1001" s="1" t="str">
        <f>IFERROR(__xludf.DUMMYFUNCTION("""COMPUTED_VALUE"""),"Cameron")</f>
        <v>Cameron</v>
      </c>
      <c r="G1001" s="1" t="str">
        <f>IFERROR(__xludf.DUMMYFUNCTION("""COMPUTED_VALUE"""),"26.2517")</f>
        <v>26.2517</v>
      </c>
      <c r="H1001" s="1" t="str">
        <f>IFERROR(__xludf.DUMMYFUNCTION("""COMPUTED_VALUE"""),"-97.4894")</f>
        <v>-97.4894</v>
      </c>
      <c r="I1001" s="1" t="str">
        <f>IFERROR(__xludf.DUMMYFUNCTION("""COMPUTED_VALUE"""),"Approved/Permitted/Under construction")</f>
        <v>Approved/Permitted/Under construction</v>
      </c>
      <c r="J1001" s="1" t="str">
        <f>IFERROR(__xludf.DUMMYFUNCTION("""COMPUTED_VALUE"""),"Low")</f>
        <v>Low</v>
      </c>
      <c r="K1001" s="1" t="str">
        <f>IFERROR(__xludf.DUMMYFUNCTION("""COMPUTED_VALUE"""),"")</f>
        <v/>
      </c>
      <c r="L1001" s="1" t="str">
        <f>IFERROR(__xludf.DUMMYFUNCTION("""COMPUTED_VALUE"""),"")</f>
        <v/>
      </c>
      <c r="M1001" s="1" t="str">
        <f>IFERROR(__xludf.DUMMYFUNCTION("""COMPUTED_VALUE"""),"")</f>
        <v/>
      </c>
      <c r="N1001" s="1" t="str">
        <f>IFERROR(__xludf.DUMMYFUNCTION("""COMPUTED_VALUE"""),"100")</f>
        <v>100</v>
      </c>
      <c r="O1001" s="1" t="str">
        <f>IFERROR(__xludf.DUMMYFUNCTION("""COMPUTED_VALUE"""),"Hyperscale (100-999 MW)")</f>
        <v>Hyperscale (100-999 MW)</v>
      </c>
      <c r="P1001" s="1" t="str">
        <f>IFERROR(__xludf.DUMMYFUNCTION("""COMPUTED_VALUE"""),"")</f>
        <v/>
      </c>
      <c r="Q1001" s="1" t="str">
        <f>IFERROR(__xludf.DUMMYFUNCTION("""COMPUTED_VALUE"""),"")</f>
        <v/>
      </c>
      <c r="R1001" s="1" t="str">
        <f>IFERROR(__xludf.DUMMYFUNCTION("""COMPUTED_VALUE"""),"")</f>
        <v/>
      </c>
      <c r="S1001" s="1" t="str">
        <f>IFERROR(__xludf.DUMMYFUNCTION("""COMPUTED_VALUE"""),"")</f>
        <v/>
      </c>
      <c r="T1001" s="1" t="str">
        <f>IFERROR(__xludf.DUMMYFUNCTION("""COMPUTED_VALUE"""),"")</f>
        <v/>
      </c>
      <c r="U1001" s="1" t="str">
        <f>IFERROR(__xludf.DUMMYFUNCTION("""COMPUTED_VALUE"""),"")</f>
        <v/>
      </c>
      <c r="V1001" s="1" t="str">
        <f>IFERROR(__xludf.DUMMYFUNCTION("""COMPUTED_VALUE"""),"")</f>
        <v/>
      </c>
      <c r="W1001" s="1" t="str">
        <f>IFERROR(__xludf.DUMMYFUNCTION("""COMPUTED_VALUE"""),"")</f>
        <v/>
      </c>
      <c r="X1001" s="1" t="str">
        <f>IFERROR(__xludf.DUMMYFUNCTION("""COMPUTED_VALUE"""),"")</f>
        <v/>
      </c>
      <c r="Y1001" s="1" t="str">
        <f>IFERROR(__xludf.DUMMYFUNCTION("""COMPUTED_VALUE"""),"")</f>
        <v/>
      </c>
      <c r="Z1001" s="1" t="str">
        <f>IFERROR(__xludf.DUMMYFUNCTION("""COMPUTED_VALUE"""),"Unknown")</f>
        <v>Unknown</v>
      </c>
      <c r="AA1001" s="1" t="str">
        <f>IFERROR(__xludf.DUMMYFUNCTION("""COMPUTED_VALUE"""),"")</f>
        <v/>
      </c>
      <c r="AB1001" s="1" t="str">
        <f>IFERROR(__xludf.DUMMYFUNCTION("""COMPUTED_VALUE"""),"")</f>
        <v/>
      </c>
      <c r="AC1001" s="1" t="str">
        <f>IFERROR(__xludf.DUMMYFUNCTION("""COMPUTED_VALUE"""),"")</f>
        <v/>
      </c>
      <c r="AD1001" s="1" t="str">
        <f>IFERROR(__xludf.DUMMYFUNCTION("""COMPUTED_VALUE"""),"")</f>
        <v/>
      </c>
      <c r="AE1001" s="1" t="str">
        <f>IFERROR(__xludf.DUMMYFUNCTION("""COMPUTED_VALUE"""),"")</f>
        <v/>
      </c>
      <c r="AF1001" s="1" t="str">
        <f>IFERROR(__xludf.DUMMYFUNCTION("""COMPUTED_VALUE"""),"")</f>
        <v/>
      </c>
      <c r="AG1001" s="1" t="str">
        <f>IFERROR(__xludf.DUMMYFUNCTION("""COMPUTED_VALUE"""),"")</f>
        <v/>
      </c>
      <c r="AH1001" s="1" t="str">
        <f>IFERROR(__xludf.DUMMYFUNCTION("""COMPUTED_VALUE"""),"Media Monitoring")</f>
        <v>Media Monitoring</v>
      </c>
      <c r="AI1001" s="2" t="str">
        <f>IFERROR(__xludf.DUMMYFUNCTION("""COMPUTED_VALUE"""),"https://www.datacenterdynamics.com/en/news/soluna-to-develop-two-new-data-centers-in-texas-with-a-combined-capacity-of-350mw/")</f>
        <v>https://www.datacenterdynamics.com/en/news/soluna-to-develop-two-new-data-centers-in-texas-with-a-combined-capacity-of-350mw/</v>
      </c>
      <c r="AJ1001" s="1" t="str">
        <f>IFERROR(__xludf.DUMMYFUNCTION("""COMPUTED_VALUE"""),"")</f>
        <v/>
      </c>
      <c r="AK1001" s="1" t="str">
        <f>IFERROR(__xludf.DUMMYFUNCTION("""COMPUTED_VALUE"""),"")</f>
        <v/>
      </c>
      <c r="AL1001" s="1" t="str">
        <f>IFERROR(__xludf.DUMMYFUNCTION("""COMPUTED_VALUE"""),"")</f>
        <v/>
      </c>
      <c r="AM1001" s="1" t="str">
        <f>IFERROR(__xludf.DUMMYFUNCTION("""COMPUTED_VALUE"""),"")</f>
        <v/>
      </c>
      <c r="AN1001" s="1" t="str">
        <f>IFERROR(__xludf.DUMMYFUNCTION("""COMPUTED_VALUE"""),"")</f>
        <v/>
      </c>
      <c r="AO1001" s="1" t="str">
        <f>IFERROR(__xludf.DUMMYFUNCTION("""COMPUTED_VALUE"""),"")</f>
        <v/>
      </c>
      <c r="AP1001" s="1" t="str">
        <f>IFERROR(__xludf.DUMMYFUNCTION("""COMPUTED_VALUE"""),"")</f>
        <v/>
      </c>
      <c r="AQ1001" s="1" t="str">
        <f>IFERROR(__xludf.DUMMYFUNCTION("""COMPUTED_VALUE"""),"08/30/2025")</f>
        <v>08/30/2025</v>
      </c>
      <c r="AR1001" s="1" t="str">
        <f>IFERROR(__xludf.DUMMYFUNCTION("""COMPUTED_VALUE"""),"08/30/2025")</f>
        <v>08/30/2025</v>
      </c>
    </row>
    <row r="1002">
      <c r="A1002" s="1" t="str">
        <f>IFERROR(__xludf.DUMMYFUNCTION("""COMPUTED_VALUE"""),"Project Rosa (Soluna)")</f>
        <v>Project Rosa (Soluna)</v>
      </c>
      <c r="B1002" s="1" t="str">
        <f>IFERROR(__xludf.DUMMYFUNCTION("""COMPUTED_VALUE"""),"")</f>
        <v/>
      </c>
      <c r="C1002" s="1" t="str">
        <f>IFERROR(__xludf.DUMMYFUNCTION("""COMPUTED_VALUE"""),"near Santa Rosa")</f>
        <v>near Santa Rosa</v>
      </c>
      <c r="D1002" s="1" t="str">
        <f>IFERROR(__xludf.DUMMYFUNCTION("""COMPUTED_VALUE"""),"TX")</f>
        <v>TX</v>
      </c>
      <c r="E1002" s="1" t="str">
        <f>IFERROR(__xludf.DUMMYFUNCTION("""COMPUTED_VALUE"""),"78593")</f>
        <v>78593</v>
      </c>
      <c r="F1002" s="1" t="str">
        <f>IFERROR(__xludf.DUMMYFUNCTION("""COMPUTED_VALUE"""),"Cameron")</f>
        <v>Cameron</v>
      </c>
      <c r="G1002" s="1" t="str">
        <f>IFERROR(__xludf.DUMMYFUNCTION("""COMPUTED_VALUE"""),"26.2419")</f>
        <v>26.2419</v>
      </c>
      <c r="H1002" s="1" t="str">
        <f>IFERROR(__xludf.DUMMYFUNCTION("""COMPUTED_VALUE"""),"-97.8223")</f>
        <v>-97.8223</v>
      </c>
      <c r="I1002" s="1" t="str">
        <f>IFERROR(__xludf.DUMMYFUNCTION("""COMPUTED_VALUE"""),"Approved/Permitted/Under construction")</f>
        <v>Approved/Permitted/Under construction</v>
      </c>
      <c r="J1002" s="1" t="str">
        <f>IFERROR(__xludf.DUMMYFUNCTION("""COMPUTED_VALUE"""),"Low")</f>
        <v>Low</v>
      </c>
      <c r="K1002" s="1" t="str">
        <f>IFERROR(__xludf.DUMMYFUNCTION("""COMPUTED_VALUE"""),"")</f>
        <v/>
      </c>
      <c r="L1002" s="1" t="str">
        <f>IFERROR(__xludf.DUMMYFUNCTION("""COMPUTED_VALUE"""),"")</f>
        <v/>
      </c>
      <c r="M1002" s="1" t="str">
        <f>IFERROR(__xludf.DUMMYFUNCTION("""COMPUTED_VALUE"""),"")</f>
        <v/>
      </c>
      <c r="N1002" s="1" t="str">
        <f>IFERROR(__xludf.DUMMYFUNCTION("""COMPUTED_VALUE"""),"187")</f>
        <v>187</v>
      </c>
      <c r="O1002" s="1" t="str">
        <f>IFERROR(__xludf.DUMMYFUNCTION("""COMPUTED_VALUE"""),"Hyperscale (100-999 MW)")</f>
        <v>Hyperscale (100-999 MW)</v>
      </c>
      <c r="P1002" s="1" t="str">
        <f>IFERROR(__xludf.DUMMYFUNCTION("""COMPUTED_VALUE"""),"")</f>
        <v/>
      </c>
      <c r="Q1002" s="1" t="str">
        <f>IFERROR(__xludf.DUMMYFUNCTION("""COMPUTED_VALUE"""),"")</f>
        <v/>
      </c>
      <c r="R1002" s="1" t="str">
        <f>IFERROR(__xludf.DUMMYFUNCTION("""COMPUTED_VALUE"""),"")</f>
        <v/>
      </c>
      <c r="S1002" s="1" t="str">
        <f>IFERROR(__xludf.DUMMYFUNCTION("""COMPUTED_VALUE"""),"")</f>
        <v/>
      </c>
      <c r="T1002" s="1" t="str">
        <f>IFERROR(__xludf.DUMMYFUNCTION("""COMPUTED_VALUE"""),"")</f>
        <v/>
      </c>
      <c r="U1002" s="1" t="str">
        <f>IFERROR(__xludf.DUMMYFUNCTION("""COMPUTED_VALUE"""),"")</f>
        <v/>
      </c>
      <c r="V1002" s="1" t="str">
        <f>IFERROR(__xludf.DUMMYFUNCTION("""COMPUTED_VALUE"""),"")</f>
        <v/>
      </c>
      <c r="W1002" s="1" t="str">
        <f>IFERROR(__xludf.DUMMYFUNCTION("""COMPUTED_VALUE"""),"")</f>
        <v/>
      </c>
      <c r="X1002" s="1" t="str">
        <f>IFERROR(__xludf.DUMMYFUNCTION("""COMPUTED_VALUE"""),"")</f>
        <v/>
      </c>
      <c r="Y1002" s="1" t="str">
        <f>IFERROR(__xludf.DUMMYFUNCTION("""COMPUTED_VALUE"""),"")</f>
        <v/>
      </c>
      <c r="Z1002" s="1" t="str">
        <f>IFERROR(__xludf.DUMMYFUNCTION("""COMPUTED_VALUE"""),"Unknown")</f>
        <v>Unknown</v>
      </c>
      <c r="AA1002" s="1" t="str">
        <f>IFERROR(__xludf.DUMMYFUNCTION("""COMPUTED_VALUE"""),"")</f>
        <v/>
      </c>
      <c r="AB1002" s="1" t="str">
        <f>IFERROR(__xludf.DUMMYFUNCTION("""COMPUTED_VALUE"""),"")</f>
        <v/>
      </c>
      <c r="AC1002" s="1" t="str">
        <f>IFERROR(__xludf.DUMMYFUNCTION("""COMPUTED_VALUE"""),"")</f>
        <v/>
      </c>
      <c r="AD1002" s="1" t="str">
        <f>IFERROR(__xludf.DUMMYFUNCTION("""COMPUTED_VALUE"""),"")</f>
        <v/>
      </c>
      <c r="AE1002" s="1" t="str">
        <f>IFERROR(__xludf.DUMMYFUNCTION("""COMPUTED_VALUE"""),"")</f>
        <v/>
      </c>
      <c r="AF1002" s="1" t="str">
        <f>IFERROR(__xludf.DUMMYFUNCTION("""COMPUTED_VALUE"""),"")</f>
        <v/>
      </c>
      <c r="AG1002" s="1" t="str">
        <f>IFERROR(__xludf.DUMMYFUNCTION("""COMPUTED_VALUE"""),"")</f>
        <v/>
      </c>
      <c r="AH1002" s="1" t="str">
        <f>IFERROR(__xludf.DUMMYFUNCTION("""COMPUTED_VALUE"""),"Media Monitoring")</f>
        <v>Media Monitoring</v>
      </c>
      <c r="AI1002" s="2" t="str">
        <f>IFERROR(__xludf.DUMMYFUNCTION("""COMPUTED_VALUE"""),"https://www.datacenterdynamics.com/en/news/soluna-to-develop-two-new-data-centers-in-texas-with-a-combined-capacity-of-350mw/")</f>
        <v>https://www.datacenterdynamics.com/en/news/soluna-to-develop-two-new-data-centers-in-texas-with-a-combined-capacity-of-350mw/</v>
      </c>
      <c r="AJ1002" s="1" t="str">
        <f>IFERROR(__xludf.DUMMYFUNCTION("""COMPUTED_VALUE"""),"")</f>
        <v/>
      </c>
      <c r="AK1002" s="1" t="str">
        <f>IFERROR(__xludf.DUMMYFUNCTION("""COMPUTED_VALUE"""),"")</f>
        <v/>
      </c>
      <c r="AL1002" s="1" t="str">
        <f>IFERROR(__xludf.DUMMYFUNCTION("""COMPUTED_VALUE"""),"")</f>
        <v/>
      </c>
      <c r="AM1002" s="1" t="str">
        <f>IFERROR(__xludf.DUMMYFUNCTION("""COMPUTED_VALUE"""),"")</f>
        <v/>
      </c>
      <c r="AN1002" s="1" t="str">
        <f>IFERROR(__xludf.DUMMYFUNCTION("""COMPUTED_VALUE"""),"")</f>
        <v/>
      </c>
      <c r="AO1002" s="1" t="str">
        <f>IFERROR(__xludf.DUMMYFUNCTION("""COMPUTED_VALUE"""),"")</f>
        <v/>
      </c>
      <c r="AP1002" s="1" t="str">
        <f>IFERROR(__xludf.DUMMYFUNCTION("""COMPUTED_VALUE"""),"")</f>
        <v/>
      </c>
      <c r="AQ1002" s="1" t="str">
        <f>IFERROR(__xludf.DUMMYFUNCTION("""COMPUTED_VALUE"""),"08/30/2025")</f>
        <v>08/30/2025</v>
      </c>
      <c r="AR1002" s="1" t="str">
        <f>IFERROR(__xludf.DUMMYFUNCTION("""COMPUTED_VALUE"""),"08/30/2025")</f>
        <v>08/30/2025</v>
      </c>
    </row>
    <row r="1003">
      <c r="A1003" s="1" t="str">
        <f>IFERROR(__xludf.DUMMYFUNCTION("""COMPUTED_VALUE"""),"CloudBurst Data Center")</f>
        <v>CloudBurst Data Center</v>
      </c>
      <c r="B1003" s="1" t="str">
        <f>IFERROR(__xludf.DUMMYFUNCTION("""COMPUTED_VALUE"""),"2955 Francis Harris Ln")</f>
        <v>2955 Francis Harris Ln</v>
      </c>
      <c r="C1003" s="1" t="str">
        <f>IFERROR(__xludf.DUMMYFUNCTION("""COMPUTED_VALUE"""),"New Braunfels")</f>
        <v>New Braunfels</v>
      </c>
      <c r="D1003" s="1" t="str">
        <f>IFERROR(__xludf.DUMMYFUNCTION("""COMPUTED_VALUE"""),"TX")</f>
        <v>TX</v>
      </c>
      <c r="E1003" s="1" t="str">
        <f>IFERROR(__xludf.DUMMYFUNCTION("""COMPUTED_VALUE"""),"78130")</f>
        <v>78130</v>
      </c>
      <c r="F1003" s="1" t="str">
        <f>IFERROR(__xludf.DUMMYFUNCTION("""COMPUTED_VALUE"""),"Hays")</f>
        <v>Hays</v>
      </c>
      <c r="G1003" s="1" t="str">
        <f>IFERROR(__xludf.DUMMYFUNCTION("""COMPUTED_VALUE"""),"29.76201")</f>
        <v>29.76201</v>
      </c>
      <c r="H1003" s="1" t="str">
        <f>IFERROR(__xludf.DUMMYFUNCTION("""COMPUTED_VALUE"""),"-97.9909")</f>
        <v>-97.9909</v>
      </c>
      <c r="I1003" s="1" t="str">
        <f>IFERROR(__xludf.DUMMYFUNCTION("""COMPUTED_VALUE"""),"Proposed")</f>
        <v>Proposed</v>
      </c>
      <c r="J1003" s="1" t="str">
        <f>IFERROR(__xludf.DUMMYFUNCTION("""COMPUTED_VALUE"""),"High")</f>
        <v>High</v>
      </c>
      <c r="K1003" s="1" t="str">
        <f>IFERROR(__xludf.DUMMYFUNCTION("""COMPUTED_VALUE"""),"")</f>
        <v/>
      </c>
      <c r="L1003" s="1" t="str">
        <f>IFERROR(__xludf.DUMMYFUNCTION("""COMPUTED_VALUE"""),"")</f>
        <v/>
      </c>
      <c r="M1003" s="1" t="str">
        <f>IFERROR(__xludf.DUMMYFUNCTION("""COMPUTED_VALUE"""),"")</f>
        <v/>
      </c>
      <c r="N1003" s="1" t="str">
        <f>IFERROR(__xludf.DUMMYFUNCTION("""COMPUTED_VALUE"""),"1200")</f>
        <v>1200</v>
      </c>
      <c r="O1003" s="1" t="str">
        <f>IFERROR(__xludf.DUMMYFUNCTION("""COMPUTED_VALUE"""),"Mega campus (&gt;1,000 MW)")</f>
        <v>Mega campus (&gt;1,000 MW)</v>
      </c>
      <c r="P1003" s="1" t="str">
        <f>IFERROR(__xludf.DUMMYFUNCTION("""COMPUTED_VALUE"""),"")</f>
        <v/>
      </c>
      <c r="Q1003" s="1" t="str">
        <f>IFERROR(__xludf.DUMMYFUNCTION("""COMPUTED_VALUE"""),"")</f>
        <v/>
      </c>
      <c r="R1003" s="1" t="str">
        <f>IFERROR(__xludf.DUMMYFUNCTION("""COMPUTED_VALUE"""),"")</f>
        <v/>
      </c>
      <c r="S1003" s="1" t="str">
        <f>IFERROR(__xludf.DUMMYFUNCTION("""COMPUTED_VALUE"""),"")</f>
        <v/>
      </c>
      <c r="T1003" s="1" t="str">
        <f>IFERROR(__xludf.DUMMYFUNCTION("""COMPUTED_VALUE"""),"")</f>
        <v/>
      </c>
      <c r="U1003" s="1" t="str">
        <f>IFERROR(__xludf.DUMMYFUNCTION("""COMPUTED_VALUE"""),"")</f>
        <v/>
      </c>
      <c r="V1003" s="1" t="str">
        <f>IFERROR(__xludf.DUMMYFUNCTION("""COMPUTED_VALUE"""),"")</f>
        <v/>
      </c>
      <c r="W1003" s="1" t="str">
        <f>IFERROR(__xludf.DUMMYFUNCTION("""COMPUTED_VALUE"""),"96")</f>
        <v>96</v>
      </c>
      <c r="X1003" s="1" t="str">
        <f>IFERROR(__xludf.DUMMYFUNCTION("""COMPUTED_VALUE"""),"")</f>
        <v/>
      </c>
      <c r="Y1003" s="1" t="str">
        <f>IFERROR(__xludf.DUMMYFUNCTION("""COMPUTED_VALUE"""),"")</f>
        <v/>
      </c>
      <c r="Z1003" s="1" t="str">
        <f>IFERROR(__xludf.DUMMYFUNCTION("""COMPUTED_VALUE"""),"Unknown")</f>
        <v>Unknown</v>
      </c>
      <c r="AA1003" s="1" t="str">
        <f>IFERROR(__xludf.DUMMYFUNCTION("""COMPUTED_VALUE"""),"")</f>
        <v/>
      </c>
      <c r="AB1003" s="1" t="str">
        <f>IFERROR(__xludf.DUMMYFUNCTION("""COMPUTED_VALUE"""),"")</f>
        <v/>
      </c>
      <c r="AC1003" s="1" t="str">
        <f>IFERROR(__xludf.DUMMYFUNCTION("""COMPUTED_VALUE"""),"")</f>
        <v/>
      </c>
      <c r="AD1003" s="1" t="str">
        <f>IFERROR(__xludf.DUMMYFUNCTION("""COMPUTED_VALUE"""),"")</f>
        <v/>
      </c>
      <c r="AE1003" s="1" t="str">
        <f>IFERROR(__xludf.DUMMYFUNCTION("""COMPUTED_VALUE"""),"")</f>
        <v/>
      </c>
      <c r="AF1003" s="1" t="str">
        <f>IFERROR(__xludf.DUMMYFUNCTION("""COMPUTED_VALUE"""),"")</f>
        <v/>
      </c>
      <c r="AG1003" s="1" t="str">
        <f>IFERROR(__xludf.DUMMYFUNCTION("""COMPUTED_VALUE"""),"")</f>
        <v/>
      </c>
      <c r="AH1003" s="1" t="str">
        <f>IFERROR(__xludf.DUMMYFUNCTION("""COMPUTED_VALUE"""),"Media Monitoring")</f>
        <v>Media Monitoring</v>
      </c>
      <c r="AI1003" s="2" t="str">
        <f>IFERROR(__xludf.DUMMYFUNCTION("""COMPUTED_VALUE"""),"https://www.yahoo.com/news/hays-county-says-ai-data-231555198.html")</f>
        <v>https://www.yahoo.com/news/hays-county-says-ai-data-231555198.html</v>
      </c>
      <c r="AJ1003" s="2" t="str">
        <f>IFERROR(__xludf.DUMMYFUNCTION("""COMPUTED_VALUE"""),"https://www.facebook.com/statesman/posts/hays-county-residents-packed-a-courtroom-tuesday-to-hear-some-of-the-first-infor/1112782817556071/")</f>
        <v>https://www.facebook.com/statesman/posts/hays-county-residents-packed-a-courtroom-tuesday-to-hear-some-of-the-first-infor/1112782817556071/</v>
      </c>
      <c r="AK1003" s="2" t="str">
        <f>IFERROR(__xludf.DUMMYFUNCTION("""COMPUTED_VALUE"""),"https://www.kut.org/energy-environment/2025-06-04/hays-county-texas-data-center-ai")</f>
        <v>https://www.kut.org/energy-environment/2025-06-04/hays-county-texas-data-center-ai</v>
      </c>
      <c r="AL1003" s="1" t="str">
        <f>IFERROR(__xludf.DUMMYFUNCTION("""COMPUTED_VALUE"""),"")</f>
        <v/>
      </c>
      <c r="AM1003" s="1" t="str">
        <f>IFERROR(__xludf.DUMMYFUNCTION("""COMPUTED_VALUE"""),"")</f>
        <v/>
      </c>
      <c r="AN1003" s="1" t="str">
        <f>IFERROR(__xludf.DUMMYFUNCTION("""COMPUTED_VALUE"""),"")</f>
        <v/>
      </c>
      <c r="AO1003" s="1" t="str">
        <f>IFERROR(__xludf.DUMMYFUNCTION("""COMPUTED_VALUE"""),"")</f>
        <v/>
      </c>
      <c r="AP1003" s="1" t="str">
        <f>IFERROR(__xludf.DUMMYFUNCTION("""COMPUTED_VALUE"""),"")</f>
        <v/>
      </c>
      <c r="AQ1003" s="1" t="str">
        <f>IFERROR(__xludf.DUMMYFUNCTION("""COMPUTED_VALUE"""),"05/24/2025")</f>
        <v>05/24/2025</v>
      </c>
      <c r="AR1003" s="1" t="str">
        <f>IFERROR(__xludf.DUMMYFUNCTION("""COMPUTED_VALUE"""),"05/24/2025")</f>
        <v>05/24/2025</v>
      </c>
    </row>
    <row r="1004">
      <c r="A1004" s="1" t="str">
        <f>IFERROR(__xludf.DUMMYFUNCTION("""COMPUTED_VALUE"""),"APR Energy Data Center")</f>
        <v>APR Energy Data Center</v>
      </c>
      <c r="B1004" s="1" t="str">
        <f>IFERROR(__xludf.DUMMYFUNCTION("""COMPUTED_VALUE"""),"Unknown location")</f>
        <v>Unknown location</v>
      </c>
      <c r="C1004" s="1" t="str">
        <f>IFERROR(__xludf.DUMMYFUNCTION("""COMPUTED_VALUE"""),"Pampa")</f>
        <v>Pampa</v>
      </c>
      <c r="D1004" s="1" t="str">
        <f>IFERROR(__xludf.DUMMYFUNCTION("""COMPUTED_VALUE"""),"TX")</f>
        <v>TX</v>
      </c>
      <c r="E1004" s="1" t="str">
        <f>IFERROR(__xludf.DUMMYFUNCTION("""COMPUTED_VALUE"""),"79065")</f>
        <v>79065</v>
      </c>
      <c r="F1004" s="1" t="str">
        <f>IFERROR(__xludf.DUMMYFUNCTION("""COMPUTED_VALUE"""),"Gray")</f>
        <v>Gray</v>
      </c>
      <c r="G1004" s="1" t="str">
        <f>IFERROR(__xludf.DUMMYFUNCTION("""COMPUTED_VALUE"""),"35.54431")</f>
        <v>35.54431</v>
      </c>
      <c r="H1004" s="1" t="str">
        <f>IFERROR(__xludf.DUMMYFUNCTION("""COMPUTED_VALUE"""),"-101.004")</f>
        <v>-101.004</v>
      </c>
      <c r="I1004" s="1" t="str">
        <f>IFERROR(__xludf.DUMMYFUNCTION("""COMPUTED_VALUE"""),"Proposed")</f>
        <v>Proposed</v>
      </c>
      <c r="J1004" s="1" t="str">
        <f>IFERROR(__xludf.DUMMYFUNCTION("""COMPUTED_VALUE"""),"Medium")</f>
        <v>Medium</v>
      </c>
      <c r="K1004" s="1" t="str">
        <f>IFERROR(__xludf.DUMMYFUNCTION("""COMPUTED_VALUE"""),"")</f>
        <v/>
      </c>
      <c r="L1004" s="1" t="str">
        <f>IFERROR(__xludf.DUMMYFUNCTION("""COMPUTED_VALUE"""),"")</f>
        <v/>
      </c>
      <c r="M1004" s="1" t="str">
        <f>IFERROR(__xludf.DUMMYFUNCTION("""COMPUTED_VALUE"""),"")</f>
        <v/>
      </c>
      <c r="N1004" s="1" t="str">
        <f>IFERROR(__xludf.DUMMYFUNCTION("""COMPUTED_VALUE"""),"")</f>
        <v/>
      </c>
      <c r="O1004" s="1" t="str">
        <f>IFERROR(__xludf.DUMMYFUNCTION("""COMPUTED_VALUE"""),"Unknown")</f>
        <v>Unknown</v>
      </c>
      <c r="P1004" s="1" t="str">
        <f>IFERROR(__xludf.DUMMYFUNCTION("""COMPUTED_VALUE"""),"")</f>
        <v/>
      </c>
      <c r="Q1004" s="1" t="str">
        <f>IFERROR(__xludf.DUMMYFUNCTION("""COMPUTED_VALUE"""),"")</f>
        <v/>
      </c>
      <c r="R1004" s="1" t="str">
        <f>IFERROR(__xludf.DUMMYFUNCTION("""COMPUTED_VALUE"""),"")</f>
        <v/>
      </c>
      <c r="S1004" s="1" t="str">
        <f>IFERROR(__xludf.DUMMYFUNCTION("""COMPUTED_VALUE"""),"")</f>
        <v/>
      </c>
      <c r="T1004" s="1" t="str">
        <f>IFERROR(__xludf.DUMMYFUNCTION("""COMPUTED_VALUE"""),"")</f>
        <v/>
      </c>
      <c r="U1004" s="1" t="str">
        <f>IFERROR(__xludf.DUMMYFUNCTION("""COMPUTED_VALUE"""),"")</f>
        <v/>
      </c>
      <c r="V1004" s="1" t="str">
        <f>IFERROR(__xludf.DUMMYFUNCTION("""COMPUTED_VALUE"""),"")</f>
        <v/>
      </c>
      <c r="W1004" s="1" t="str">
        <f>IFERROR(__xludf.DUMMYFUNCTION("""COMPUTED_VALUE"""),"800")</f>
        <v>800</v>
      </c>
      <c r="X1004" s="1" t="str">
        <f>IFERROR(__xludf.DUMMYFUNCTION("""COMPUTED_VALUE"""),"")</f>
        <v/>
      </c>
      <c r="Y1004" s="1" t="str">
        <f>IFERROR(__xludf.DUMMYFUNCTION("""COMPUTED_VALUE"""),"")</f>
        <v/>
      </c>
      <c r="Z1004" s="1" t="str">
        <f>IFERROR(__xludf.DUMMYFUNCTION("""COMPUTED_VALUE"""),"Unknown")</f>
        <v>Unknown</v>
      </c>
      <c r="AA1004" s="1" t="str">
        <f>IFERROR(__xludf.DUMMYFUNCTION("""COMPUTED_VALUE"""),"")</f>
        <v/>
      </c>
      <c r="AB1004" s="1" t="str">
        <f>IFERROR(__xludf.DUMMYFUNCTION("""COMPUTED_VALUE"""),"")</f>
        <v/>
      </c>
      <c r="AC1004" s="1" t="str">
        <f>IFERROR(__xludf.DUMMYFUNCTION("""COMPUTED_VALUE"""),"")</f>
        <v/>
      </c>
      <c r="AD1004" s="1" t="str">
        <f>IFERROR(__xludf.DUMMYFUNCTION("""COMPUTED_VALUE"""),"")</f>
        <v/>
      </c>
      <c r="AE1004" s="1" t="str">
        <f>IFERROR(__xludf.DUMMYFUNCTION("""COMPUTED_VALUE"""),"")</f>
        <v/>
      </c>
      <c r="AF1004" s="1" t="str">
        <f>IFERROR(__xludf.DUMMYFUNCTION("""COMPUTED_VALUE"""),"")</f>
        <v/>
      </c>
      <c r="AG1004" s="1" t="str">
        <f>IFERROR(__xludf.DUMMYFUNCTION("""COMPUTED_VALUE"""),"Expected to consume up to 1.5 million gallons of water per day. 400 MW of on-site gas turbine power")</f>
        <v>Expected to consume up to 1.5 million gallons of water per day. 400 MW of on-site gas turbine power</v>
      </c>
      <c r="AH1004" s="1" t="str">
        <f>IFERROR(__xludf.DUMMYFUNCTION("""COMPUTED_VALUE"""),"Media Monitoring")</f>
        <v>Media Monitoring</v>
      </c>
      <c r="AI1004" s="2" t="str">
        <f>IFERROR(__xludf.DUMMYFUNCTION("""COMPUTED_VALUE"""),"https://www.datacenterdynamics.com/en/news/apr-energy-obtains-approval-for-800-acre-natural-gas-powered-data-center-in-pampa-texas/")</f>
        <v>https://www.datacenterdynamics.com/en/news/apr-energy-obtains-approval-for-800-acre-natural-gas-powered-data-center-in-pampa-texas/</v>
      </c>
      <c r="AJ1004" s="1" t="str">
        <f>IFERROR(__xludf.DUMMYFUNCTION("""COMPUTED_VALUE"""),"")</f>
        <v/>
      </c>
      <c r="AK1004" s="1" t="str">
        <f>IFERROR(__xludf.DUMMYFUNCTION("""COMPUTED_VALUE"""),"")</f>
        <v/>
      </c>
      <c r="AL1004" s="1" t="str">
        <f>IFERROR(__xludf.DUMMYFUNCTION("""COMPUTED_VALUE"""),"")</f>
        <v/>
      </c>
      <c r="AM1004" s="1" t="str">
        <f>IFERROR(__xludf.DUMMYFUNCTION("""COMPUTED_VALUE"""),"")</f>
        <v/>
      </c>
      <c r="AN1004" s="1" t="str">
        <f>IFERROR(__xludf.DUMMYFUNCTION("""COMPUTED_VALUE"""),"")</f>
        <v/>
      </c>
      <c r="AO1004" s="1" t="str">
        <f>IFERROR(__xludf.DUMMYFUNCTION("""COMPUTED_VALUE"""),"")</f>
        <v/>
      </c>
      <c r="AP1004" s="1" t="str">
        <f>IFERROR(__xludf.DUMMYFUNCTION("""COMPUTED_VALUE"""),"")</f>
        <v/>
      </c>
      <c r="AQ1004" s="1" t="str">
        <f>IFERROR(__xludf.DUMMYFUNCTION("""COMPUTED_VALUE"""),"06/20/2025")</f>
        <v>06/20/2025</v>
      </c>
      <c r="AR1004" s="1" t="str">
        <f>IFERROR(__xludf.DUMMYFUNCTION("""COMPUTED_VALUE"""),"06/20/2025")</f>
        <v>06/20/2025</v>
      </c>
    </row>
    <row r="1005">
      <c r="A1005" s="1" t="str">
        <f>IFERROR(__xludf.DUMMYFUNCTION("""COMPUTED_VALUE"""),"Project Annie (Soluna)")</f>
        <v>Project Annie (Soluna)</v>
      </c>
      <c r="B1005" s="1" t="str">
        <f>IFERROR(__xludf.DUMMYFUNCTION("""COMPUTED_VALUE"""),"near 4210 Old Bonham Rd")</f>
        <v>near 4210 Old Bonham Rd</v>
      </c>
      <c r="C1005" s="1" t="str">
        <f>IFERROR(__xludf.DUMMYFUNCTION("""COMPUTED_VALUE"""),"Paris")</f>
        <v>Paris</v>
      </c>
      <c r="D1005" s="1" t="str">
        <f>IFERROR(__xludf.DUMMYFUNCTION("""COMPUTED_VALUE"""),"TX")</f>
        <v>TX</v>
      </c>
      <c r="E1005" s="1" t="str">
        <f>IFERROR(__xludf.DUMMYFUNCTION("""COMPUTED_VALUE"""),"75460")</f>
        <v>75460</v>
      </c>
      <c r="F1005" s="1" t="str">
        <f>IFERROR(__xludf.DUMMYFUNCTION("""COMPUTED_VALUE"""),"Lamar")</f>
        <v>Lamar</v>
      </c>
      <c r="G1005" s="1" t="str">
        <f>IFERROR(__xludf.DUMMYFUNCTION("""COMPUTED_VALUE"""),"33.65263")</f>
        <v>33.65263</v>
      </c>
      <c r="H1005" s="1" t="str">
        <f>IFERROR(__xludf.DUMMYFUNCTION("""COMPUTED_VALUE"""),"-95.6048")</f>
        <v>-95.6048</v>
      </c>
      <c r="I1005" s="1" t="str">
        <f>IFERROR(__xludf.DUMMYFUNCTION("""COMPUTED_VALUE"""),"Approved/Permitted/Under construction")</f>
        <v>Approved/Permitted/Under construction</v>
      </c>
      <c r="J1005" s="1" t="str">
        <f>IFERROR(__xludf.DUMMYFUNCTION("""COMPUTED_VALUE"""),"Medium")</f>
        <v>Medium</v>
      </c>
      <c r="K1005" s="1" t="str">
        <f>IFERROR(__xludf.DUMMYFUNCTION("""COMPUTED_VALUE"""),"")</f>
        <v/>
      </c>
      <c r="L1005" s="1" t="str">
        <f>IFERROR(__xludf.DUMMYFUNCTION("""COMPUTED_VALUE"""),"")</f>
        <v/>
      </c>
      <c r="M1005" s="1" t="str">
        <f>IFERROR(__xludf.DUMMYFUNCTION("""COMPUTED_VALUE"""),"")</f>
        <v/>
      </c>
      <c r="N1005" s="1" t="str">
        <f>IFERROR(__xludf.DUMMYFUNCTION("""COMPUTED_VALUE"""),"75")</f>
        <v>75</v>
      </c>
      <c r="O1005" s="1" t="str">
        <f>IFERROR(__xludf.DUMMYFUNCTION("""COMPUTED_VALUE"""),"Large (51-99 MW)")</f>
        <v>Large (51-99 MW)</v>
      </c>
      <c r="P1005" s="1" t="str">
        <f>IFERROR(__xludf.DUMMYFUNCTION("""COMPUTED_VALUE"""),"")</f>
        <v/>
      </c>
      <c r="Q1005" s="1" t="str">
        <f>IFERROR(__xludf.DUMMYFUNCTION("""COMPUTED_VALUE"""),"")</f>
        <v/>
      </c>
      <c r="R1005" s="1" t="str">
        <f>IFERROR(__xludf.DUMMYFUNCTION("""COMPUTED_VALUE"""),"")</f>
        <v/>
      </c>
      <c r="S1005" s="1" t="str">
        <f>IFERROR(__xludf.DUMMYFUNCTION("""COMPUTED_VALUE"""),"")</f>
        <v/>
      </c>
      <c r="T1005" s="1" t="str">
        <f>IFERROR(__xludf.DUMMYFUNCTION("""COMPUTED_VALUE"""),"")</f>
        <v/>
      </c>
      <c r="U1005" s="1" t="str">
        <f>IFERROR(__xludf.DUMMYFUNCTION("""COMPUTED_VALUE"""),"")</f>
        <v/>
      </c>
      <c r="V1005" s="1" t="str">
        <f>IFERROR(__xludf.DUMMYFUNCTION("""COMPUTED_VALUE"""),"")</f>
        <v/>
      </c>
      <c r="W1005" s="1" t="str">
        <f>IFERROR(__xludf.DUMMYFUNCTION("""COMPUTED_VALUE"""),"")</f>
        <v/>
      </c>
      <c r="X1005" s="1" t="str">
        <f>IFERROR(__xludf.DUMMYFUNCTION("""COMPUTED_VALUE"""),"")</f>
        <v/>
      </c>
      <c r="Y1005" s="1" t="str">
        <f>IFERROR(__xludf.DUMMYFUNCTION("""COMPUTED_VALUE"""),"")</f>
        <v/>
      </c>
      <c r="Z1005" s="1" t="str">
        <f>IFERROR(__xludf.DUMMYFUNCTION("""COMPUTED_VALUE"""),"Unknown")</f>
        <v>Unknown</v>
      </c>
      <c r="AA1005" s="1" t="str">
        <f>IFERROR(__xludf.DUMMYFUNCTION("""COMPUTED_VALUE"""),"")</f>
        <v/>
      </c>
      <c r="AB1005" s="1" t="str">
        <f>IFERROR(__xludf.DUMMYFUNCTION("""COMPUTED_VALUE"""),"")</f>
        <v/>
      </c>
      <c r="AC1005" s="1" t="str">
        <f>IFERROR(__xludf.DUMMYFUNCTION("""COMPUTED_VALUE"""),"")</f>
        <v/>
      </c>
      <c r="AD1005" s="1" t="str">
        <f>IFERROR(__xludf.DUMMYFUNCTION("""COMPUTED_VALUE"""),"")</f>
        <v/>
      </c>
      <c r="AE1005" s="1" t="str">
        <f>IFERROR(__xludf.DUMMYFUNCTION("""COMPUTED_VALUE"""),"")</f>
        <v/>
      </c>
      <c r="AF1005" s="1" t="str">
        <f>IFERROR(__xludf.DUMMYFUNCTION("""COMPUTED_VALUE"""),"")</f>
        <v/>
      </c>
      <c r="AG1005" s="1" t="str">
        <f>IFERROR(__xludf.DUMMYFUNCTION("""COMPUTED_VALUE"""),"")</f>
        <v/>
      </c>
      <c r="AH1005" s="1" t="str">
        <f>IFERROR(__xludf.DUMMYFUNCTION("""COMPUTED_VALUE"""),"Media Monitoring")</f>
        <v>Media Monitoring</v>
      </c>
      <c r="AI1005" s="2" t="str">
        <f>IFERROR(__xludf.DUMMYFUNCTION("""COMPUTED_VALUE"""),"https://www.monarchprivate.com/impact-investing-projects/view/tyson-nick-solar/")</f>
        <v>https://www.monarchprivate.com/impact-investing-projects/view/tyson-nick-solar/</v>
      </c>
      <c r="AJ1005" s="2" t="str">
        <f>IFERROR(__xludf.DUMMYFUNCTION("""COMPUTED_VALUE"""),"https://www.datacenterdynamics.com/en/news/soluna-to-develop-two-new-data-centers-in-texas-with-a-combined-capacity-of-350mw/")</f>
        <v>https://www.datacenterdynamics.com/en/news/soluna-to-develop-two-new-data-centers-in-texas-with-a-combined-capacity-of-350mw/</v>
      </c>
      <c r="AK1005" s="1" t="str">
        <f>IFERROR(__xludf.DUMMYFUNCTION("""COMPUTED_VALUE"""),"")</f>
        <v/>
      </c>
      <c r="AL1005" s="1" t="str">
        <f>IFERROR(__xludf.DUMMYFUNCTION("""COMPUTED_VALUE"""),"")</f>
        <v/>
      </c>
      <c r="AM1005" s="1" t="str">
        <f>IFERROR(__xludf.DUMMYFUNCTION("""COMPUTED_VALUE"""),"")</f>
        <v/>
      </c>
      <c r="AN1005" s="1" t="str">
        <f>IFERROR(__xludf.DUMMYFUNCTION("""COMPUTED_VALUE"""),"")</f>
        <v/>
      </c>
      <c r="AO1005" s="1" t="str">
        <f>IFERROR(__xludf.DUMMYFUNCTION("""COMPUTED_VALUE"""),"")</f>
        <v/>
      </c>
      <c r="AP1005" s="1" t="str">
        <f>IFERROR(__xludf.DUMMYFUNCTION("""COMPUTED_VALUE"""),"")</f>
        <v/>
      </c>
      <c r="AQ1005" s="1" t="str">
        <f>IFERROR(__xludf.DUMMYFUNCTION("""COMPUTED_VALUE"""),"08/30/2025")</f>
        <v>08/30/2025</v>
      </c>
      <c r="AR1005" s="1" t="str">
        <f>IFERROR(__xludf.DUMMYFUNCTION("""COMPUTED_VALUE"""),"08/30/2025")</f>
        <v>08/30/2025</v>
      </c>
    </row>
    <row r="1006">
      <c r="A1006" s="1" t="str">
        <f>IFERROR(__xludf.DUMMYFUNCTION("""COMPUTED_VALUE"""),"Core Scientific")</f>
        <v>Core Scientific</v>
      </c>
      <c r="B1006" s="1" t="str">
        <f>IFERROR(__xludf.DUMMYFUNCTION("""COMPUTED_VALUE"""),"1851 Farm to Market 2119")</f>
        <v>1851 Farm to Market 2119</v>
      </c>
      <c r="C1006" s="1" t="str">
        <f>IFERROR(__xludf.DUMMYFUNCTION("""COMPUTED_VALUE"""),"Pecos")</f>
        <v>Pecos</v>
      </c>
      <c r="D1006" s="1" t="str">
        <f>IFERROR(__xludf.DUMMYFUNCTION("""COMPUTED_VALUE"""),"TX")</f>
        <v>TX</v>
      </c>
      <c r="E1006" s="1" t="str">
        <f>IFERROR(__xludf.DUMMYFUNCTION("""COMPUTED_VALUE"""),"79772")</f>
        <v>79772</v>
      </c>
      <c r="F1006" s="1" t="str">
        <f>IFERROR(__xludf.DUMMYFUNCTION("""COMPUTED_VALUE"""),"Reeves")</f>
        <v>Reeves</v>
      </c>
      <c r="G1006" s="1" t="str">
        <f>IFERROR(__xludf.DUMMYFUNCTION("""COMPUTED_VALUE"""),"31.533497")</f>
        <v>31.533497</v>
      </c>
      <c r="H1006" s="1" t="str">
        <f>IFERROR(__xludf.DUMMYFUNCTION("""COMPUTED_VALUE"""),"-103.80071")</f>
        <v>-103.80071</v>
      </c>
      <c r="I1006" s="1" t="str">
        <f>IFERROR(__xludf.DUMMYFUNCTION("""COMPUTED_VALUE"""),"Proposed")</f>
        <v>Proposed</v>
      </c>
      <c r="J1006" s="1" t="str">
        <f>IFERROR(__xludf.DUMMYFUNCTION("""COMPUTED_VALUE"""),"High")</f>
        <v>High</v>
      </c>
      <c r="K1006" s="1" t="str">
        <f>IFERROR(__xludf.DUMMYFUNCTION("""COMPUTED_VALUE"""),"AI Data center and solar fam")</f>
        <v>AI Data center and solar fam</v>
      </c>
      <c r="L1006" s="1" t="str">
        <f>IFERROR(__xludf.DUMMYFUNCTION("""COMPUTED_VALUE"""),"Core Scientific")</f>
        <v>Core Scientific</v>
      </c>
      <c r="M1006" s="1" t="str">
        <f>IFERROR(__xludf.DUMMYFUNCTION("""COMPUTED_VALUE"""),"")</f>
        <v/>
      </c>
      <c r="N1006" s="1" t="str">
        <f>IFERROR(__xludf.DUMMYFUNCTION("""COMPUTED_VALUE"""),"300")</f>
        <v>300</v>
      </c>
      <c r="O1006" s="1" t="str">
        <f>IFERROR(__xludf.DUMMYFUNCTION("""COMPUTED_VALUE"""),"Mega campus (&gt;1,000 MW)")</f>
        <v>Mega campus (&gt;1,000 MW)</v>
      </c>
      <c r="P1006" s="1" t="str">
        <f>IFERROR(__xludf.DUMMYFUNCTION("""COMPUTED_VALUE"""),"")</f>
        <v/>
      </c>
      <c r="Q1006" s="1" t="str">
        <f>IFERROR(__xludf.DUMMYFUNCTION("""COMPUTED_VALUE"""),"Yes")</f>
        <v>Yes</v>
      </c>
      <c r="R1006" s="1" t="str">
        <f>IFERROR(__xludf.DUMMYFUNCTION("""COMPUTED_VALUE"""),"")</f>
        <v/>
      </c>
      <c r="S1006" s="1" t="str">
        <f>IFERROR(__xludf.DUMMYFUNCTION("""COMPUTED_VALUE"""),"7+")</f>
        <v>7+</v>
      </c>
      <c r="T1006" s="1" t="str">
        <f>IFERROR(__xludf.DUMMYFUNCTION("""COMPUTED_VALUE"""),"")</f>
        <v/>
      </c>
      <c r="U1006" s="1" t="str">
        <f>IFERROR(__xludf.DUMMYFUNCTION("""COMPUTED_VALUE"""),"")</f>
        <v/>
      </c>
      <c r="V1006" s="1" t="str">
        <f>IFERROR(__xludf.DUMMYFUNCTION("""COMPUTED_VALUE"""),"")</f>
        <v/>
      </c>
      <c r="W1006" s="1" t="str">
        <f>IFERROR(__xludf.DUMMYFUNCTION("""COMPUTED_VALUE"""),"200")</f>
        <v>200</v>
      </c>
      <c r="X1006" s="1" t="str">
        <f>IFERROR(__xludf.DUMMYFUNCTION("""COMPUTED_VALUE"""),"")</f>
        <v/>
      </c>
      <c r="Y1006" s="1" t="str">
        <f>IFERROR(__xludf.DUMMYFUNCTION("""COMPUTED_VALUE"""),"")</f>
        <v/>
      </c>
      <c r="Z1006" s="1" t="str">
        <f>IFERROR(__xludf.DUMMYFUNCTION("""COMPUTED_VALUE"""),"Unknown")</f>
        <v>Unknown</v>
      </c>
      <c r="AA1006" s="1" t="str">
        <f>IFERROR(__xludf.DUMMYFUNCTION("""COMPUTED_VALUE"""),"")</f>
        <v/>
      </c>
      <c r="AB1006" s="1" t="str">
        <f>IFERROR(__xludf.DUMMYFUNCTION("""COMPUTED_VALUE"""),"")</f>
        <v/>
      </c>
      <c r="AC1006" s="1" t="str">
        <f>IFERROR(__xludf.DUMMYFUNCTION("""COMPUTED_VALUE"""),"")</f>
        <v/>
      </c>
      <c r="AD1006" s="1" t="str">
        <f>IFERROR(__xludf.DUMMYFUNCTION("""COMPUTED_VALUE"""),"")</f>
        <v/>
      </c>
      <c r="AE1006" s="1" t="str">
        <f>IFERROR(__xludf.DUMMYFUNCTION("""COMPUTED_VALUE"""),"")</f>
        <v/>
      </c>
      <c r="AF1006" s="1" t="str">
        <f>IFERROR(__xludf.DUMMYFUNCTION("""COMPUTED_VALUE"""),"")</f>
        <v/>
      </c>
      <c r="AG1006" s="1" t="str">
        <f>IFERROR(__xludf.DUMMYFUNCTION("""COMPUTED_VALUE"""),"Transitioning from crypto to AI by 2027. On-site substation")</f>
        <v>Transitioning from crypto to AI by 2027. On-site substation</v>
      </c>
      <c r="AH1006" s="1" t="str">
        <f>IFERROR(__xludf.DUMMYFUNCTION("""COMPUTED_VALUE"""),"Media Monitoring")</f>
        <v>Media Monitoring</v>
      </c>
      <c r="AI1006" s="2" t="str">
        <f>IFERROR(__xludf.DUMMYFUNCTION("""COMPUTED_VALUE"""),"https://www.datacenterdynamics.com/en/news/core-scientific-secures-300mw-capacity-at-pecos-data-center-in-texas-looks-to-behind-the-meter-power/")</f>
        <v>https://www.datacenterdynamics.com/en/news/core-scientific-secures-300mw-capacity-at-pecos-data-center-in-texas-looks-to-behind-the-meter-power/</v>
      </c>
      <c r="AJ1006" s="1" t="str">
        <f>IFERROR(__xludf.DUMMYFUNCTION("""COMPUTED_VALUE"""),"")</f>
        <v/>
      </c>
      <c r="AK1006" s="1" t="str">
        <f>IFERROR(__xludf.DUMMYFUNCTION("""COMPUTED_VALUE"""),"")</f>
        <v/>
      </c>
      <c r="AL1006" s="1" t="str">
        <f>IFERROR(__xludf.DUMMYFUNCTION("""COMPUTED_VALUE"""),"")</f>
        <v/>
      </c>
      <c r="AM1006" s="1" t="str">
        <f>IFERROR(__xludf.DUMMYFUNCTION("""COMPUTED_VALUE"""),"")</f>
        <v/>
      </c>
      <c r="AN1006" s="1" t="str">
        <f>IFERROR(__xludf.DUMMYFUNCTION("""COMPUTED_VALUE"""),"")</f>
        <v/>
      </c>
      <c r="AO1006" s="1" t="str">
        <f>IFERROR(__xludf.DUMMYFUNCTION("""COMPUTED_VALUE"""),"")</f>
        <v/>
      </c>
      <c r="AP1006" s="1" t="str">
        <f>IFERROR(__xludf.DUMMYFUNCTION("""COMPUTED_VALUE"""),"")</f>
        <v/>
      </c>
      <c r="AQ1006" s="1" t="str">
        <f>IFERROR(__xludf.DUMMYFUNCTION("""COMPUTED_VALUE"""),"05/05/2026")</f>
        <v>05/05/2026</v>
      </c>
      <c r="AR1006" s="1" t="str">
        <f>IFERROR(__xludf.DUMMYFUNCTION("""COMPUTED_VALUE"""),"05/05/2026")</f>
        <v>05/05/2026</v>
      </c>
    </row>
    <row r="1007">
      <c r="A1007" s="1" t="str">
        <f>IFERROR(__xludf.DUMMYFUNCTION("""COMPUTED_VALUE"""),"GW Ranch (Pacifico Energy)")</f>
        <v>GW Ranch (Pacifico Energy)</v>
      </c>
      <c r="B1007" s="1" t="str">
        <f>IFERROR(__xludf.DUMMYFUNCTION("""COMPUTED_VALUE"""),"")</f>
        <v/>
      </c>
      <c r="C1007" s="1" t="str">
        <f>IFERROR(__xludf.DUMMYFUNCTION("""COMPUTED_VALUE"""),"Pecos County")</f>
        <v>Pecos County</v>
      </c>
      <c r="D1007" s="1" t="str">
        <f>IFERROR(__xludf.DUMMYFUNCTION("""COMPUTED_VALUE"""),"TX")</f>
        <v>TX</v>
      </c>
      <c r="E1007" s="1" t="str">
        <f>IFERROR(__xludf.DUMMYFUNCTION("""COMPUTED_VALUE"""),"")</f>
        <v/>
      </c>
      <c r="F1007" s="1" t="str">
        <f>IFERROR(__xludf.DUMMYFUNCTION("""COMPUTED_VALUE"""),"Pecos")</f>
        <v>Pecos</v>
      </c>
      <c r="G1007" s="1" t="str">
        <f>IFERROR(__xludf.DUMMYFUNCTION("""COMPUTED_VALUE"""),"31.147247")</f>
        <v>31.147247</v>
      </c>
      <c r="H1007" s="1" t="str">
        <f>IFERROR(__xludf.DUMMYFUNCTION("""COMPUTED_VALUE"""),"-102.89146")</f>
        <v>-102.89146</v>
      </c>
      <c r="I1007" s="1" t="str">
        <f>IFERROR(__xludf.DUMMYFUNCTION("""COMPUTED_VALUE"""),"Proposed")</f>
        <v>Proposed</v>
      </c>
      <c r="J1007" s="1" t="str">
        <f>IFERROR(__xludf.DUMMYFUNCTION("""COMPUTED_VALUE"""),"Medium")</f>
        <v>Medium</v>
      </c>
      <c r="K1007" s="1" t="str">
        <f>IFERROR(__xludf.DUMMYFUNCTION("""COMPUTED_VALUE"""),"")</f>
        <v/>
      </c>
      <c r="L1007" s="1" t="str">
        <f>IFERROR(__xludf.DUMMYFUNCTION("""COMPUTED_VALUE"""),"")</f>
        <v/>
      </c>
      <c r="M1007" s="1" t="str">
        <f>IFERROR(__xludf.DUMMYFUNCTION("""COMPUTED_VALUE"""),"")</f>
        <v/>
      </c>
      <c r="N1007" s="1" t="str">
        <f>IFERROR(__xludf.DUMMYFUNCTION("""COMPUTED_VALUE"""),"5,000")</f>
        <v>5,000</v>
      </c>
      <c r="O1007" s="1" t="str">
        <f>IFERROR(__xludf.DUMMYFUNCTION("""COMPUTED_VALUE"""),"Mega campus (&gt;1,000 MW)")</f>
        <v>Mega campus (&gt;1,000 MW)</v>
      </c>
      <c r="P1007" s="1" t="str">
        <f>IFERROR(__xludf.DUMMYFUNCTION("""COMPUTED_VALUE"""),"")</f>
        <v/>
      </c>
      <c r="Q1007" s="1" t="str">
        <f>IFERROR(__xludf.DUMMYFUNCTION("""COMPUTED_VALUE"""),"")</f>
        <v/>
      </c>
      <c r="R1007" s="1" t="str">
        <f>IFERROR(__xludf.DUMMYFUNCTION("""COMPUTED_VALUE"""),"")</f>
        <v/>
      </c>
      <c r="S1007" s="1" t="str">
        <f>IFERROR(__xludf.DUMMYFUNCTION("""COMPUTED_VALUE"""),"")</f>
        <v/>
      </c>
      <c r="T1007" s="1" t="str">
        <f>IFERROR(__xludf.DUMMYFUNCTION("""COMPUTED_VALUE"""),"")</f>
        <v/>
      </c>
      <c r="U1007" s="1" t="str">
        <f>IFERROR(__xludf.DUMMYFUNCTION("""COMPUTED_VALUE"""),"")</f>
        <v/>
      </c>
      <c r="V1007" s="1" t="str">
        <f>IFERROR(__xludf.DUMMYFUNCTION("""COMPUTED_VALUE"""),"")</f>
        <v/>
      </c>
      <c r="W1007" s="1" t="str">
        <f>IFERROR(__xludf.DUMMYFUNCTION("""COMPUTED_VALUE"""),"8000")</f>
        <v>8000</v>
      </c>
      <c r="X1007" s="1" t="str">
        <f>IFERROR(__xludf.DUMMYFUNCTION("""COMPUTED_VALUE"""),"")</f>
        <v/>
      </c>
      <c r="Y1007" s="1" t="str">
        <f>IFERROR(__xludf.DUMMYFUNCTION("""COMPUTED_VALUE"""),"")</f>
        <v/>
      </c>
      <c r="Z1007" s="1" t="str">
        <f>IFERROR(__xludf.DUMMYFUNCTION("""COMPUTED_VALUE"""),"Unknown")</f>
        <v>Unknown</v>
      </c>
      <c r="AA1007" s="1" t="str">
        <f>IFERROR(__xludf.DUMMYFUNCTION("""COMPUTED_VALUE"""),"")</f>
        <v/>
      </c>
      <c r="AB1007" s="1" t="str">
        <f>IFERROR(__xludf.DUMMYFUNCTION("""COMPUTED_VALUE"""),"")</f>
        <v/>
      </c>
      <c r="AC1007" s="1" t="str">
        <f>IFERROR(__xludf.DUMMYFUNCTION("""COMPUTED_VALUE"""),"")</f>
        <v/>
      </c>
      <c r="AD1007" s="1" t="str">
        <f>IFERROR(__xludf.DUMMYFUNCTION("""COMPUTED_VALUE"""),"")</f>
        <v/>
      </c>
      <c r="AE1007" s="1" t="str">
        <f>IFERROR(__xludf.DUMMYFUNCTION("""COMPUTED_VALUE"""),"")</f>
        <v/>
      </c>
      <c r="AF1007" s="1" t="str">
        <f>IFERROR(__xludf.DUMMYFUNCTION("""COMPUTED_VALUE"""),"")</f>
        <v/>
      </c>
      <c r="AG1007" s="1" t="str">
        <f>IFERROR(__xludf.DUMMYFUNCTION("""COMPUTED_VALUE"""),"Off-grid, also include 1.8GW of energy storage")</f>
        <v>Off-grid, also include 1.8GW of energy storage</v>
      </c>
      <c r="AH1007" s="1" t="str">
        <f>IFERROR(__xludf.DUMMYFUNCTION("""COMPUTED_VALUE"""),"Media Monitoring")</f>
        <v>Media Monitoring</v>
      </c>
      <c r="AI1007" s="2" t="str">
        <f>IFERROR(__xludf.DUMMYFUNCTION("""COMPUTED_VALUE"""),"https://www.datacenterdynamics.com/en/news/pacifico-energy-unveils-5gw-offgrid-natural-gas-project-in-texas-slated-to-serve-a-hyperscale-data-center/")</f>
        <v>https://www.datacenterdynamics.com/en/news/pacifico-energy-unveils-5gw-offgrid-natural-gas-project-in-texas-slated-to-serve-a-hyperscale-data-center/</v>
      </c>
      <c r="AJ1007" s="2" t="str">
        <f>IFERROR(__xludf.DUMMYFUNCTION("""COMPUTED_VALUE"""),"https://www.pacificoenergy.com/gw-ranch")</f>
        <v>https://www.pacificoenergy.com/gw-ranch</v>
      </c>
      <c r="AK1007" s="2" t="str">
        <f>IFERROR(__xludf.DUMMYFUNCTION("""COMPUTED_VALUE"""),"https://finance.yahoo.com/news/pacifico-energy-secures-7-65-120000106.html")</f>
        <v>https://finance.yahoo.com/news/pacifico-energy-secures-7-65-120000106.html</v>
      </c>
      <c r="AL1007" s="1" t="str">
        <f>IFERROR(__xludf.DUMMYFUNCTION("""COMPUTED_VALUE"""),"")</f>
        <v/>
      </c>
      <c r="AM1007" s="1" t="str">
        <f>IFERROR(__xludf.DUMMYFUNCTION("""COMPUTED_VALUE"""),"")</f>
        <v/>
      </c>
      <c r="AN1007" s="1" t="str">
        <f>IFERROR(__xludf.DUMMYFUNCTION("""COMPUTED_VALUE"""),"")</f>
        <v/>
      </c>
      <c r="AO1007" s="1" t="str">
        <f>IFERROR(__xludf.DUMMYFUNCTION("""COMPUTED_VALUE"""),"")</f>
        <v/>
      </c>
      <c r="AP1007" s="1" t="str">
        <f>IFERROR(__xludf.DUMMYFUNCTION("""COMPUTED_VALUE"""),"")</f>
        <v/>
      </c>
      <c r="AQ1007" s="1" t="str">
        <f>IFERROR(__xludf.DUMMYFUNCTION("""COMPUTED_VALUE"""),"08/25/2025")</f>
        <v>08/25/2025</v>
      </c>
      <c r="AR1007" s="1" t="str">
        <f>IFERROR(__xludf.DUMMYFUNCTION("""COMPUTED_VALUE"""),"02/20/2026")</f>
        <v>02/20/2026</v>
      </c>
    </row>
    <row r="1008">
      <c r="A1008" s="1" t="str">
        <f>IFERROR(__xludf.DUMMYFUNCTION("""COMPUTED_VALUE"""),"Skybox - Austin 2")</f>
        <v>Skybox - Austin 2</v>
      </c>
      <c r="B1008" s="1" t="str">
        <f>IFERROR(__xludf.DUMMYFUNCTION("""COMPUTED_VALUE"""),"2515 S Kenney Fort Blvd")</f>
        <v>2515 S Kenney Fort Blvd</v>
      </c>
      <c r="C1008" s="1" t="str">
        <f>IFERROR(__xludf.DUMMYFUNCTION("""COMPUTED_VALUE"""),"Pflugerville")</f>
        <v>Pflugerville</v>
      </c>
      <c r="D1008" s="1" t="str">
        <f>IFERROR(__xludf.DUMMYFUNCTION("""COMPUTED_VALUE"""),"TX")</f>
        <v>TX</v>
      </c>
      <c r="E1008" s="1" t="str">
        <f>IFERROR(__xludf.DUMMYFUNCTION("""COMPUTED_VALUE"""),"78660")</f>
        <v>78660</v>
      </c>
      <c r="F1008" s="1" t="str">
        <f>IFERROR(__xludf.DUMMYFUNCTION("""COMPUTED_VALUE"""),"Travis")</f>
        <v>Travis</v>
      </c>
      <c r="G1008" s="1" t="str">
        <f>IFERROR(__xludf.DUMMYFUNCTION("""COMPUTED_VALUE"""),"30.48241")</f>
        <v>30.48241</v>
      </c>
      <c r="H1008" s="1" t="str">
        <f>IFERROR(__xludf.DUMMYFUNCTION("""COMPUTED_VALUE"""),"-97.6246")</f>
        <v>-97.6246</v>
      </c>
      <c r="I1008" s="1" t="str">
        <f>IFERROR(__xludf.DUMMYFUNCTION("""COMPUTED_VALUE"""),"Approved/Permitted/Under construction")</f>
        <v>Approved/Permitted/Under construction</v>
      </c>
      <c r="J1008" s="1" t="str">
        <f>IFERROR(__xludf.DUMMYFUNCTION("""COMPUTED_VALUE"""),"High")</f>
        <v>High</v>
      </c>
      <c r="K1008" s="1" t="str">
        <f>IFERROR(__xludf.DUMMYFUNCTION("""COMPUTED_VALUE"""),"")</f>
        <v/>
      </c>
      <c r="L1008" s="1" t="str">
        <f>IFERROR(__xludf.DUMMYFUNCTION("""COMPUTED_VALUE"""),"")</f>
        <v/>
      </c>
      <c r="M1008" s="1" t="str">
        <f>IFERROR(__xludf.DUMMYFUNCTION("""COMPUTED_VALUE"""),"")</f>
        <v/>
      </c>
      <c r="N1008" s="1" t="str">
        <f>IFERROR(__xludf.DUMMYFUNCTION("""COMPUTED_VALUE"""),"")</f>
        <v/>
      </c>
      <c r="O1008" s="1" t="str">
        <f>IFERROR(__xludf.DUMMYFUNCTION("""COMPUTED_VALUE"""),"Unknown")</f>
        <v>Unknown</v>
      </c>
      <c r="P1008" s="1" t="str">
        <f>IFERROR(__xludf.DUMMYFUNCTION("""COMPUTED_VALUE"""),"")</f>
        <v/>
      </c>
      <c r="Q1008" s="1" t="str">
        <f>IFERROR(__xludf.DUMMYFUNCTION("""COMPUTED_VALUE"""),"")</f>
        <v/>
      </c>
      <c r="R1008" s="1" t="str">
        <f>IFERROR(__xludf.DUMMYFUNCTION("""COMPUTED_VALUE"""),"")</f>
        <v/>
      </c>
      <c r="S1008" s="1" t="str">
        <f>IFERROR(__xludf.DUMMYFUNCTION("""COMPUTED_VALUE"""),"")</f>
        <v/>
      </c>
      <c r="T1008" s="1" t="str">
        <f>IFERROR(__xludf.DUMMYFUNCTION("""COMPUTED_VALUE"""),"")</f>
        <v/>
      </c>
      <c r="U1008" s="1" t="str">
        <f>IFERROR(__xludf.DUMMYFUNCTION("""COMPUTED_VALUE"""),"")</f>
        <v/>
      </c>
      <c r="V1008" s="1" t="str">
        <f>IFERROR(__xludf.DUMMYFUNCTION("""COMPUTED_VALUE"""),"")</f>
        <v/>
      </c>
      <c r="W1008" s="1" t="str">
        <f>IFERROR(__xludf.DUMMYFUNCTION("""COMPUTED_VALUE"""),"")</f>
        <v/>
      </c>
      <c r="X1008" s="1" t="str">
        <f>IFERROR(__xludf.DUMMYFUNCTION("""COMPUTED_VALUE"""),"$86.4 million")</f>
        <v>$86.4 million</v>
      </c>
      <c r="Y1008" s="1" t="str">
        <f>IFERROR(__xludf.DUMMYFUNCTION("""COMPUTED_VALUE"""),"")</f>
        <v/>
      </c>
      <c r="Z1008" s="1" t="str">
        <f>IFERROR(__xludf.DUMMYFUNCTION("""COMPUTED_VALUE"""),"Unknown")</f>
        <v>Unknown</v>
      </c>
      <c r="AA1008" s="1" t="str">
        <f>IFERROR(__xludf.DUMMYFUNCTION("""COMPUTED_VALUE"""),"")</f>
        <v/>
      </c>
      <c r="AB1008" s="1" t="str">
        <f>IFERROR(__xludf.DUMMYFUNCTION("""COMPUTED_VALUE"""),"")</f>
        <v/>
      </c>
      <c r="AC1008" s="1" t="str">
        <f>IFERROR(__xludf.DUMMYFUNCTION("""COMPUTED_VALUE"""),"")</f>
        <v/>
      </c>
      <c r="AD1008" s="1" t="str">
        <f>IFERROR(__xludf.DUMMYFUNCTION("""COMPUTED_VALUE"""),"")</f>
        <v/>
      </c>
      <c r="AE1008" s="1" t="str">
        <f>IFERROR(__xludf.DUMMYFUNCTION("""COMPUTED_VALUE"""),"")</f>
        <v/>
      </c>
      <c r="AF1008" s="1" t="str">
        <f>IFERROR(__xludf.DUMMYFUNCTION("""COMPUTED_VALUE"""),"")</f>
        <v/>
      </c>
      <c r="AG1008" s="1" t="str">
        <f>IFERROR(__xludf.DUMMYFUNCTION("""COMPUTED_VALUE"""),"")</f>
        <v/>
      </c>
      <c r="AH1008" s="1" t="str">
        <f>IFERROR(__xludf.DUMMYFUNCTION("""COMPUTED_VALUE"""),"Media Monitoring")</f>
        <v>Media Monitoring</v>
      </c>
      <c r="AI1008" s="2" t="str">
        <f>IFERROR(__xludf.DUMMYFUNCTION("""COMPUTED_VALUE"""),"https://www.tdlr.texas.gov/TABS/Search/Project/TABS2024016342")</f>
        <v>https://www.tdlr.texas.gov/TABS/Search/Project/TABS2024016342</v>
      </c>
      <c r="AJ1008" s="2" t="str">
        <f>IFERROR(__xludf.DUMMYFUNCTION("""COMPUTED_VALUE"""),"https://www.mysanantonio.com/business/article/skybox-datacenter-hutto-pflugerville-19411678.php")</f>
        <v>https://www.mysanantonio.com/business/article/skybox-datacenter-hutto-pflugerville-19411678.php</v>
      </c>
      <c r="AK1008" s="1" t="str">
        <f>IFERROR(__xludf.DUMMYFUNCTION("""COMPUTED_VALUE"""),"")</f>
        <v/>
      </c>
      <c r="AL1008" s="1" t="str">
        <f>IFERROR(__xludf.DUMMYFUNCTION("""COMPUTED_VALUE"""),"")</f>
        <v/>
      </c>
      <c r="AM1008" s="1" t="str">
        <f>IFERROR(__xludf.DUMMYFUNCTION("""COMPUTED_VALUE"""),"")</f>
        <v/>
      </c>
      <c r="AN1008" s="1" t="str">
        <f>IFERROR(__xludf.DUMMYFUNCTION("""COMPUTED_VALUE"""),"")</f>
        <v/>
      </c>
      <c r="AO1008" s="1" t="str">
        <f>IFERROR(__xludf.DUMMYFUNCTION("""COMPUTED_VALUE"""),"")</f>
        <v/>
      </c>
      <c r="AP1008" s="1" t="str">
        <f>IFERROR(__xludf.DUMMYFUNCTION("""COMPUTED_VALUE"""),"")</f>
        <v/>
      </c>
      <c r="AQ1008" s="1" t="str">
        <f>IFERROR(__xludf.DUMMYFUNCTION("""COMPUTED_VALUE"""),"09/05/2025")</f>
        <v>09/05/2025</v>
      </c>
      <c r="AR1008" s="1" t="str">
        <f>IFERROR(__xludf.DUMMYFUNCTION("""COMPUTED_VALUE"""),"09/05/2025")</f>
        <v>09/05/2025</v>
      </c>
    </row>
    <row r="1009">
      <c r="A1009" s="1" t="str">
        <f>IFERROR(__xludf.DUMMYFUNCTION("""COMPUTED_VALUE"""),"Cloverleaf Data Center: Project Open Sky")</f>
        <v>Cloverleaf Data Center: Project Open Sky</v>
      </c>
      <c r="B1009" s="1" t="str">
        <f>IFERROR(__xludf.DUMMYFUNCTION("""COMPUTED_VALUE"""),"Btwn Azalea Road NW, Richland Road NW, and Moffat Road NW")</f>
        <v>Btwn Azalea Road NW, Richland Road NW, and Moffat Road NW</v>
      </c>
      <c r="C1009" s="1" t="str">
        <f>IFERROR(__xludf.DUMMYFUNCTION("""COMPUTED_VALUE"""),"Piedmont")</f>
        <v>Piedmont</v>
      </c>
      <c r="D1009" s="1" t="str">
        <f>IFERROR(__xludf.DUMMYFUNCTION("""COMPUTED_VALUE"""),"TX")</f>
        <v>TX</v>
      </c>
      <c r="E1009" s="1" t="str">
        <f>IFERROR(__xludf.DUMMYFUNCTION("""COMPUTED_VALUE"""),"73078")</f>
        <v>73078</v>
      </c>
      <c r="F1009" s="1" t="str">
        <f>IFERROR(__xludf.DUMMYFUNCTION("""COMPUTED_VALUE"""),"Canadian")</f>
        <v>Canadian</v>
      </c>
      <c r="G1009" s="1" t="str">
        <f>IFERROR(__xludf.DUMMYFUNCTION("""COMPUTED_VALUE"""),"35.72121")</f>
        <v>35.72121</v>
      </c>
      <c r="H1009" s="1" t="str">
        <f>IFERROR(__xludf.DUMMYFUNCTION("""COMPUTED_VALUE"""),"-97.787")</f>
        <v>-97.787</v>
      </c>
      <c r="I1009" s="1" t="str">
        <f>IFERROR(__xludf.DUMMYFUNCTION("""COMPUTED_VALUE"""),"Proposed")</f>
        <v>Proposed</v>
      </c>
      <c r="J1009" s="1" t="str">
        <f>IFERROR(__xludf.DUMMYFUNCTION("""COMPUTED_VALUE"""),"High")</f>
        <v>High</v>
      </c>
      <c r="K1009" s="1" t="str">
        <f>IFERROR(__xludf.DUMMYFUNCTION("""COMPUTED_VALUE"""),"")</f>
        <v/>
      </c>
      <c r="L1009" s="1" t="str">
        <f>IFERROR(__xludf.DUMMYFUNCTION("""COMPUTED_VALUE"""),"Cloverleaf")</f>
        <v>Cloverleaf</v>
      </c>
      <c r="M1009" s="1" t="str">
        <f>IFERROR(__xludf.DUMMYFUNCTION("""COMPUTED_VALUE"""),"")</f>
        <v/>
      </c>
      <c r="N1009" s="1" t="str">
        <f>IFERROR(__xludf.DUMMYFUNCTION("""COMPUTED_VALUE"""),"")</f>
        <v/>
      </c>
      <c r="O1009" s="1" t="str">
        <f>IFERROR(__xludf.DUMMYFUNCTION("""COMPUTED_VALUE"""),"Unknown")</f>
        <v>Unknown</v>
      </c>
      <c r="P1009" s="1" t="str">
        <f>IFERROR(__xludf.DUMMYFUNCTION("""COMPUTED_VALUE"""),"")</f>
        <v/>
      </c>
      <c r="Q1009" s="1" t="str">
        <f>IFERROR(__xludf.DUMMYFUNCTION("""COMPUTED_VALUE"""),"")</f>
        <v/>
      </c>
      <c r="R1009" s="1" t="str">
        <f>IFERROR(__xludf.DUMMYFUNCTION("""COMPUTED_VALUE"""),"")</f>
        <v/>
      </c>
      <c r="S1009" s="1" t="str">
        <f>IFERROR(__xludf.DUMMYFUNCTION("""COMPUTED_VALUE"""),"6")</f>
        <v>6</v>
      </c>
      <c r="T1009" s="1" t="str">
        <f>IFERROR(__xludf.DUMMYFUNCTION("""COMPUTED_VALUE"""),"")</f>
        <v/>
      </c>
      <c r="U1009" s="1" t="str">
        <f>IFERROR(__xludf.DUMMYFUNCTION("""COMPUTED_VALUE"""),"")</f>
        <v/>
      </c>
      <c r="V1009" s="1" t="str">
        <f>IFERROR(__xludf.DUMMYFUNCTION("""COMPUTED_VALUE"""),"2,116,800")</f>
        <v>2,116,800</v>
      </c>
      <c r="W1009" s="1" t="str">
        <f>IFERROR(__xludf.DUMMYFUNCTION("""COMPUTED_VALUE"""),"633")</f>
        <v>633</v>
      </c>
      <c r="X1009" s="1" t="str">
        <f>IFERROR(__xludf.DUMMYFUNCTION("""COMPUTED_VALUE"""),"")</f>
        <v/>
      </c>
      <c r="Y1009" s="1" t="str">
        <f>IFERROR(__xludf.DUMMYFUNCTION("""COMPUTED_VALUE"""),"")</f>
        <v/>
      </c>
      <c r="Z1009" s="1" t="str">
        <f>IFERROR(__xludf.DUMMYFUNCTION("""COMPUTED_VALUE"""),"Unknown")</f>
        <v>Unknown</v>
      </c>
      <c r="AA1009" s="1" t="str">
        <f>IFERROR(__xludf.DUMMYFUNCTION("""COMPUTED_VALUE"""),"")</f>
        <v/>
      </c>
      <c r="AB1009" s="1" t="str">
        <f>IFERROR(__xludf.DUMMYFUNCTION("""COMPUTED_VALUE"""),"")</f>
        <v/>
      </c>
      <c r="AC1009" s="1" t="str">
        <f>IFERROR(__xludf.DUMMYFUNCTION("""COMPUTED_VALUE"""),"")</f>
        <v/>
      </c>
      <c r="AD1009" s="1" t="str">
        <f>IFERROR(__xludf.DUMMYFUNCTION("""COMPUTED_VALUE"""),"")</f>
        <v/>
      </c>
      <c r="AE1009" s="1" t="str">
        <f>IFERROR(__xludf.DUMMYFUNCTION("""COMPUTED_VALUE"""),"")</f>
        <v/>
      </c>
      <c r="AF1009" s="1" t="str">
        <f>IFERROR(__xludf.DUMMYFUNCTION("""COMPUTED_VALUE"""),"")</f>
        <v/>
      </c>
      <c r="AG1009" s="1" t="str">
        <f>IFERROR(__xludf.DUMMYFUNCTION("""COMPUTED_VALUE"""),"")</f>
        <v/>
      </c>
      <c r="AH1009" s="1" t="str">
        <f>IFERROR(__xludf.DUMMYFUNCTION("""COMPUTED_VALUE"""),"Media Monitoring")</f>
        <v>Media Monitoring</v>
      </c>
      <c r="AI1009" s="2" t="str">
        <f>IFERROR(__xludf.DUMMYFUNCTION("""COMPUTED_VALUE"""),"https://www.datacenterdynamics.com/en/news/powered-land-company-cloverleaf-proposing-633-acre-data-center-in-canadian-county-oklahoma/													")</f>
        <v>https://www.datacenterdynamics.com/en/news/powered-land-company-cloverleaf-proposing-633-acre-data-center-in-canadian-county-oklahoma/													</v>
      </c>
      <c r="AJ1009" s="1" t="str">
        <f>IFERROR(__xludf.DUMMYFUNCTION("""COMPUTED_VALUE"""),"")</f>
        <v/>
      </c>
      <c r="AK1009" s="1" t="str">
        <f>IFERROR(__xludf.DUMMYFUNCTION("""COMPUTED_VALUE"""),"")</f>
        <v/>
      </c>
      <c r="AL1009" s="1" t="str">
        <f>IFERROR(__xludf.DUMMYFUNCTION("""COMPUTED_VALUE"""),"")</f>
        <v/>
      </c>
      <c r="AM1009" s="1" t="str">
        <f>IFERROR(__xludf.DUMMYFUNCTION("""COMPUTED_VALUE"""),"")</f>
        <v/>
      </c>
      <c r="AN1009" s="1" t="str">
        <f>IFERROR(__xludf.DUMMYFUNCTION("""COMPUTED_VALUE"""),"")</f>
        <v/>
      </c>
      <c r="AO1009" s="1" t="str">
        <f>IFERROR(__xludf.DUMMYFUNCTION("""COMPUTED_VALUE"""),"")</f>
        <v/>
      </c>
      <c r="AP1009" s="1" t="str">
        <f>IFERROR(__xludf.DUMMYFUNCTION("""COMPUTED_VALUE"""),"")</f>
        <v/>
      </c>
      <c r="AQ1009" s="1" t="str">
        <f>IFERROR(__xludf.DUMMYFUNCTION("""COMPUTED_VALUE"""),"05/18/2026")</f>
        <v>05/18/2026</v>
      </c>
      <c r="AR1009" s="1" t="str">
        <f>IFERROR(__xludf.DUMMYFUNCTION("""COMPUTED_VALUE"""),"05/18/2026")</f>
        <v>05/18/2026</v>
      </c>
    </row>
    <row r="1010">
      <c r="A1010" s="1" t="str">
        <f>IFERROR(__xludf.DUMMYFUNCTION("""COMPUTED_VALUE"""),"Aligned DFW1 and DFW2")</f>
        <v>Aligned DFW1 and DFW2</v>
      </c>
      <c r="B1010" s="1" t="str">
        <f>IFERROR(__xludf.DUMMYFUNCTION("""COMPUTED_VALUE"""),"2800 Summit Ave")</f>
        <v>2800 Summit Ave</v>
      </c>
      <c r="C1010" s="1" t="str">
        <f>IFERROR(__xludf.DUMMYFUNCTION("""COMPUTED_VALUE"""),"Plano")</f>
        <v>Plano</v>
      </c>
      <c r="D1010" s="1" t="str">
        <f>IFERROR(__xludf.DUMMYFUNCTION("""COMPUTED_VALUE"""),"TX")</f>
        <v>TX</v>
      </c>
      <c r="E1010" s="1" t="str">
        <f>IFERROR(__xludf.DUMMYFUNCTION("""COMPUTED_VALUE"""),"75074")</f>
        <v>75074</v>
      </c>
      <c r="F1010" s="1" t="str">
        <f>IFERROR(__xludf.DUMMYFUNCTION("""COMPUTED_VALUE"""),"Collin")</f>
        <v>Collin</v>
      </c>
      <c r="G1010" s="1" t="str">
        <f>IFERROR(__xludf.DUMMYFUNCTION("""COMPUTED_VALUE"""),"33.00918")</f>
        <v>33.00918</v>
      </c>
      <c r="H1010" s="1" t="str">
        <f>IFERROR(__xludf.DUMMYFUNCTION("""COMPUTED_VALUE"""),"-96.6745")</f>
        <v>-96.6745</v>
      </c>
      <c r="I1010" s="1" t="str">
        <f>IFERROR(__xludf.DUMMYFUNCTION("""COMPUTED_VALUE"""),"Proposed")</f>
        <v>Proposed</v>
      </c>
      <c r="J1010" s="1" t="str">
        <f>IFERROR(__xludf.DUMMYFUNCTION("""COMPUTED_VALUE"""),"High")</f>
        <v>High</v>
      </c>
      <c r="K1010" s="1" t="str">
        <f>IFERROR(__xludf.DUMMYFUNCTION("""COMPUTED_VALUE"""),"")</f>
        <v/>
      </c>
      <c r="L1010" s="1" t="str">
        <f>IFERROR(__xludf.DUMMYFUNCTION("""COMPUTED_VALUE"""),"")</f>
        <v/>
      </c>
      <c r="M1010" s="1" t="str">
        <f>IFERROR(__xludf.DUMMYFUNCTION("""COMPUTED_VALUE"""),"")</f>
        <v/>
      </c>
      <c r="N1010" s="1" t="str">
        <f>IFERROR(__xludf.DUMMYFUNCTION("""COMPUTED_VALUE"""),"36+")</f>
        <v>36+</v>
      </c>
      <c r="O1010" s="1" t="str">
        <f>IFERROR(__xludf.DUMMYFUNCTION("""COMPUTED_VALUE"""),"Medium (11-50 MW)")</f>
        <v>Medium (11-50 MW)</v>
      </c>
      <c r="P1010" s="1" t="str">
        <f>IFERROR(__xludf.DUMMYFUNCTION("""COMPUTED_VALUE"""),"")</f>
        <v/>
      </c>
      <c r="Q1010" s="1" t="str">
        <f>IFERROR(__xludf.DUMMYFUNCTION("""COMPUTED_VALUE"""),"")</f>
        <v/>
      </c>
      <c r="R1010" s="1" t="str">
        <f>IFERROR(__xludf.DUMMYFUNCTION("""COMPUTED_VALUE"""),"")</f>
        <v/>
      </c>
      <c r="S1010" s="1" t="str">
        <f>IFERROR(__xludf.DUMMYFUNCTION("""COMPUTED_VALUE"""),"")</f>
        <v/>
      </c>
      <c r="T1010" s="1" t="str">
        <f>IFERROR(__xludf.DUMMYFUNCTION("""COMPUTED_VALUE"""),"")</f>
        <v/>
      </c>
      <c r="U1010" s="1" t="str">
        <f>IFERROR(__xludf.DUMMYFUNCTION("""COMPUTED_VALUE"""),"")</f>
        <v/>
      </c>
      <c r="V1010" s="1" t="str">
        <f>IFERROR(__xludf.DUMMYFUNCTION("""COMPUTED_VALUE"""),"285,000")</f>
        <v>285,000</v>
      </c>
      <c r="W1010" s="1" t="str">
        <f>IFERROR(__xludf.DUMMYFUNCTION("""COMPUTED_VALUE"""),"19")</f>
        <v>19</v>
      </c>
      <c r="X1010" s="1" t="str">
        <f>IFERROR(__xludf.DUMMYFUNCTION("""COMPUTED_VALUE"""),"")</f>
        <v/>
      </c>
      <c r="Y1010" s="1" t="str">
        <f>IFERROR(__xludf.DUMMYFUNCTION("""COMPUTED_VALUE"""),"")</f>
        <v/>
      </c>
      <c r="Z1010" s="1" t="str">
        <f>IFERROR(__xludf.DUMMYFUNCTION("""COMPUTED_VALUE"""),"Unknown")</f>
        <v>Unknown</v>
      </c>
      <c r="AA1010" s="1" t="str">
        <f>IFERROR(__xludf.DUMMYFUNCTION("""COMPUTED_VALUE"""),"")</f>
        <v/>
      </c>
      <c r="AB1010" s="1" t="str">
        <f>IFERROR(__xludf.DUMMYFUNCTION("""COMPUTED_VALUE"""),"")</f>
        <v/>
      </c>
      <c r="AC1010" s="1" t="str">
        <f>IFERROR(__xludf.DUMMYFUNCTION("""COMPUTED_VALUE"""),"")</f>
        <v/>
      </c>
      <c r="AD1010" s="1" t="str">
        <f>IFERROR(__xludf.DUMMYFUNCTION("""COMPUTED_VALUE"""),"")</f>
        <v/>
      </c>
      <c r="AE1010" s="1" t="str">
        <f>IFERROR(__xludf.DUMMYFUNCTION("""COMPUTED_VALUE"""),"")</f>
        <v/>
      </c>
      <c r="AF1010" s="1" t="str">
        <f>IFERROR(__xludf.DUMMYFUNCTION("""COMPUTED_VALUE"""),"")</f>
        <v/>
      </c>
      <c r="AG1010" s="1" t="str">
        <f>IFERROR(__xludf.DUMMYFUNCTION("""COMPUTED_VALUE"""),"")</f>
        <v/>
      </c>
      <c r="AH1010" s="1" t="str">
        <f>IFERROR(__xludf.DUMMYFUNCTION("""COMPUTED_VALUE"""),"Media Monitoring")</f>
        <v>Media Monitoring</v>
      </c>
      <c r="AI1010" s="2" t="str">
        <f>IFERROR(__xludf.DUMMYFUNCTION("""COMPUTED_VALUE"""),"https://www.datacenterdynamics.com/en/news/aligned-announces-second-data-center-at-plano-campus-in-texas/")</f>
        <v>https://www.datacenterdynamics.com/en/news/aligned-announces-second-data-center-at-plano-campus-in-texas/</v>
      </c>
      <c r="AJ1010" s="1" t="str">
        <f>IFERROR(__xludf.DUMMYFUNCTION("""COMPUTED_VALUE"""),"")</f>
        <v/>
      </c>
      <c r="AK1010" s="1" t="str">
        <f>IFERROR(__xludf.DUMMYFUNCTION("""COMPUTED_VALUE"""),"")</f>
        <v/>
      </c>
      <c r="AL1010" s="1" t="str">
        <f>IFERROR(__xludf.DUMMYFUNCTION("""COMPUTED_VALUE"""),"")</f>
        <v/>
      </c>
      <c r="AM1010" s="1" t="str">
        <f>IFERROR(__xludf.DUMMYFUNCTION("""COMPUTED_VALUE"""),"")</f>
        <v/>
      </c>
      <c r="AN1010" s="1" t="str">
        <f>IFERROR(__xludf.DUMMYFUNCTION("""COMPUTED_VALUE"""),"")</f>
        <v/>
      </c>
      <c r="AO1010" s="1" t="str">
        <f>IFERROR(__xludf.DUMMYFUNCTION("""COMPUTED_VALUE"""),"")</f>
        <v/>
      </c>
      <c r="AP1010" s="1" t="str">
        <f>IFERROR(__xludf.DUMMYFUNCTION("""COMPUTED_VALUE"""),"")</f>
        <v/>
      </c>
      <c r="AQ1010" s="1" t="str">
        <f>IFERROR(__xludf.DUMMYFUNCTION("""COMPUTED_VALUE"""),"06/19/2025")</f>
        <v>06/19/2025</v>
      </c>
      <c r="AR1010" s="1" t="str">
        <f>IFERROR(__xludf.DUMMYFUNCTION("""COMPUTED_VALUE"""),"06/19/2025")</f>
        <v>06/19/2025</v>
      </c>
    </row>
    <row r="1011">
      <c r="A1011" s="1" t="str">
        <f>IFERROR(__xludf.DUMMYFUNCTION("""COMPUTED_VALUE"""),"CoreWeave Plano")</f>
        <v>CoreWeave Plano</v>
      </c>
      <c r="B1011" s="1" t="str">
        <f>IFERROR(__xludf.DUMMYFUNCTION("""COMPUTED_VALUE"""),"1000 Coit Rd")</f>
        <v>1000 Coit Rd</v>
      </c>
      <c r="C1011" s="1" t="str">
        <f>IFERROR(__xludf.DUMMYFUNCTION("""COMPUTED_VALUE"""),"Plano")</f>
        <v>Plano</v>
      </c>
      <c r="D1011" s="1" t="str">
        <f>IFERROR(__xludf.DUMMYFUNCTION("""COMPUTED_VALUE"""),"TX")</f>
        <v>TX</v>
      </c>
      <c r="E1011" s="1" t="str">
        <f>IFERROR(__xludf.DUMMYFUNCTION("""COMPUTED_VALUE"""),"75075")</f>
        <v>75075</v>
      </c>
      <c r="F1011" s="1" t="str">
        <f>IFERROR(__xludf.DUMMYFUNCTION("""COMPUTED_VALUE"""),"Collin")</f>
        <v>Collin</v>
      </c>
      <c r="G1011" s="1" t="str">
        <f>IFERROR(__xludf.DUMMYFUNCTION("""COMPUTED_VALUE"""),"33.01469")</f>
        <v>33.01469</v>
      </c>
      <c r="H1011" s="1" t="str">
        <f>IFERROR(__xludf.DUMMYFUNCTION("""COMPUTED_VALUE"""),"-96.7651")</f>
        <v>-96.7651</v>
      </c>
      <c r="I1011" s="1" t="str">
        <f>IFERROR(__xludf.DUMMYFUNCTION("""COMPUTED_VALUE"""),"Operating")</f>
        <v>Operating</v>
      </c>
      <c r="J1011" s="1" t="str">
        <f>IFERROR(__xludf.DUMMYFUNCTION("""COMPUTED_VALUE"""),"High")</f>
        <v>High</v>
      </c>
      <c r="K1011" s="1" t="str">
        <f>IFERROR(__xludf.DUMMYFUNCTION("""COMPUTED_VALUE"""),"")</f>
        <v/>
      </c>
      <c r="L1011" s="1" t="str">
        <f>IFERROR(__xludf.DUMMYFUNCTION("""COMPUTED_VALUE"""),"")</f>
        <v/>
      </c>
      <c r="M1011" s="1" t="str">
        <f>IFERROR(__xludf.DUMMYFUNCTION("""COMPUTED_VALUE"""),"")</f>
        <v/>
      </c>
      <c r="N1011" s="1" t="str">
        <f>IFERROR(__xludf.DUMMYFUNCTION("""COMPUTED_VALUE"""),"30")</f>
        <v>30</v>
      </c>
      <c r="O1011" s="1" t="str">
        <f>IFERROR(__xludf.DUMMYFUNCTION("""COMPUTED_VALUE"""),"Medium (11-50 MW)")</f>
        <v>Medium (11-50 MW)</v>
      </c>
      <c r="P1011" s="1" t="str">
        <f>IFERROR(__xludf.DUMMYFUNCTION("""COMPUTED_VALUE"""),"")</f>
        <v/>
      </c>
      <c r="Q1011" s="1" t="str">
        <f>IFERROR(__xludf.DUMMYFUNCTION("""COMPUTED_VALUE"""),"")</f>
        <v/>
      </c>
      <c r="R1011" s="1" t="str">
        <f>IFERROR(__xludf.DUMMYFUNCTION("""COMPUTED_VALUE"""),"")</f>
        <v/>
      </c>
      <c r="S1011" s="1" t="str">
        <f>IFERROR(__xludf.DUMMYFUNCTION("""COMPUTED_VALUE"""),"")</f>
        <v/>
      </c>
      <c r="T1011" s="1" t="str">
        <f>IFERROR(__xludf.DUMMYFUNCTION("""COMPUTED_VALUE"""),"")</f>
        <v/>
      </c>
      <c r="U1011" s="1" t="str">
        <f>IFERROR(__xludf.DUMMYFUNCTION("""COMPUTED_VALUE"""),"")</f>
        <v/>
      </c>
      <c r="V1011" s="1" t="str">
        <f>IFERROR(__xludf.DUMMYFUNCTION("""COMPUTED_VALUE"""),"454,421")</f>
        <v>454,421</v>
      </c>
      <c r="W1011" s="1" t="str">
        <f>IFERROR(__xludf.DUMMYFUNCTION("""COMPUTED_VALUE"""),"24")</f>
        <v>24</v>
      </c>
      <c r="X1011" s="1" t="str">
        <f>IFERROR(__xludf.DUMMYFUNCTION("""COMPUTED_VALUE"""),"")</f>
        <v/>
      </c>
      <c r="Y1011" s="1" t="str">
        <f>IFERROR(__xludf.DUMMYFUNCTION("""COMPUTED_VALUE"""),"")</f>
        <v/>
      </c>
      <c r="Z1011" s="1" t="str">
        <f>IFERROR(__xludf.DUMMYFUNCTION("""COMPUTED_VALUE"""),"Unknown")</f>
        <v>Unknown</v>
      </c>
      <c r="AA1011" s="1" t="str">
        <f>IFERROR(__xludf.DUMMYFUNCTION("""COMPUTED_VALUE"""),"")</f>
        <v/>
      </c>
      <c r="AB1011" s="1" t="str">
        <f>IFERROR(__xludf.DUMMYFUNCTION("""COMPUTED_VALUE"""),"")</f>
        <v/>
      </c>
      <c r="AC1011" s="1" t="str">
        <f>IFERROR(__xludf.DUMMYFUNCTION("""COMPUTED_VALUE"""),"")</f>
        <v/>
      </c>
      <c r="AD1011" s="1" t="str">
        <f>IFERROR(__xludf.DUMMYFUNCTION("""COMPUTED_VALUE"""),"")</f>
        <v/>
      </c>
      <c r="AE1011" s="1" t="str">
        <f>IFERROR(__xludf.DUMMYFUNCTION("""COMPUTED_VALUE"""),"")</f>
        <v/>
      </c>
      <c r="AF1011" s="1" t="str">
        <f>IFERROR(__xludf.DUMMYFUNCTION("""COMPUTED_VALUE"""),"")</f>
        <v/>
      </c>
      <c r="AG1011" s="1" t="str">
        <f>IFERROR(__xludf.DUMMYFUNCTION("""COMPUTED_VALUE"""),"")</f>
        <v/>
      </c>
      <c r="AH1011" s="1" t="str">
        <f>IFERROR(__xludf.DUMMYFUNCTION("""COMPUTED_VALUE"""),"Media Monitoring")</f>
        <v>Media Monitoring</v>
      </c>
      <c r="AI1011" s="2" t="str">
        <f>IFERROR(__xludf.DUMMYFUNCTION("""COMPUTED_VALUE"""),"https://comptroller.texas.gov/taxes/data-centers/data-center-lists.php")</f>
        <v>https://comptroller.texas.gov/taxes/data-centers/data-center-lists.php</v>
      </c>
      <c r="AJ1011" s="1" t="str">
        <f>IFERROR(__xludf.DUMMYFUNCTION("""COMPUTED_VALUE"""),"")</f>
        <v/>
      </c>
      <c r="AK1011" s="1" t="str">
        <f>IFERROR(__xludf.DUMMYFUNCTION("""COMPUTED_VALUE"""),"")</f>
        <v/>
      </c>
      <c r="AL1011" s="1" t="str">
        <f>IFERROR(__xludf.DUMMYFUNCTION("""COMPUTED_VALUE"""),"")</f>
        <v/>
      </c>
      <c r="AM1011" s="1" t="str">
        <f>IFERROR(__xludf.DUMMYFUNCTION("""COMPUTED_VALUE"""),"")</f>
        <v/>
      </c>
      <c r="AN1011" s="1" t="str">
        <f>IFERROR(__xludf.DUMMYFUNCTION("""COMPUTED_VALUE"""),"")</f>
        <v/>
      </c>
      <c r="AO1011" s="1" t="str">
        <f>IFERROR(__xludf.DUMMYFUNCTION("""COMPUTED_VALUE"""),"")</f>
        <v/>
      </c>
      <c r="AP1011" s="1" t="str">
        <f>IFERROR(__xludf.DUMMYFUNCTION("""COMPUTED_VALUE"""),"")</f>
        <v/>
      </c>
      <c r="AQ1011" s="1" t="str">
        <f>IFERROR(__xludf.DUMMYFUNCTION("""COMPUTED_VALUE"""),"08/05/2025")</f>
        <v>08/05/2025</v>
      </c>
      <c r="AR1011" s="1" t="str">
        <f>IFERROR(__xludf.DUMMYFUNCTION("""COMPUTED_VALUE"""),"08/05/2025")</f>
        <v>08/05/2025</v>
      </c>
    </row>
    <row r="1012">
      <c r="A1012" s="1" t="str">
        <f>IFERROR(__xludf.DUMMYFUNCTION("""COMPUTED_VALUE"""),"DataBank Data Centers - Legacy Park Plano")</f>
        <v>DataBank Data Centers - Legacy Park Plano</v>
      </c>
      <c r="B1012" s="1" t="str">
        <f>IFERROR(__xludf.DUMMYFUNCTION("""COMPUTED_VALUE"""),"8375 Dominion Pkwy")</f>
        <v>8375 Dominion Pkwy</v>
      </c>
      <c r="C1012" s="1" t="str">
        <f>IFERROR(__xludf.DUMMYFUNCTION("""COMPUTED_VALUE"""),"Plano")</f>
        <v>Plano</v>
      </c>
      <c r="D1012" s="1" t="str">
        <f>IFERROR(__xludf.DUMMYFUNCTION("""COMPUTED_VALUE"""),"TX")</f>
        <v>TX</v>
      </c>
      <c r="E1012" s="1" t="str">
        <f>IFERROR(__xludf.DUMMYFUNCTION("""COMPUTED_VALUE"""),"75024")</f>
        <v>75024</v>
      </c>
      <c r="F1012" s="1" t="str">
        <f>IFERROR(__xludf.DUMMYFUNCTION("""COMPUTED_VALUE"""),"Collin")</f>
        <v>Collin</v>
      </c>
      <c r="G1012" s="1" t="str">
        <f>IFERROR(__xludf.DUMMYFUNCTION("""COMPUTED_VALUE"""),"33.08736")</f>
        <v>33.08736</v>
      </c>
      <c r="H1012" s="1" t="str">
        <f>IFERROR(__xludf.DUMMYFUNCTION("""COMPUTED_VALUE"""),"-96.8139")</f>
        <v>-96.8139</v>
      </c>
      <c r="I1012" s="1" t="str">
        <f>IFERROR(__xludf.DUMMYFUNCTION("""COMPUTED_VALUE"""),"Operating")</f>
        <v>Operating</v>
      </c>
      <c r="J1012" s="1" t="str">
        <f>IFERROR(__xludf.DUMMYFUNCTION("""COMPUTED_VALUE"""),"High")</f>
        <v>High</v>
      </c>
      <c r="K1012" s="1" t="str">
        <f>IFERROR(__xludf.DUMMYFUNCTION("""COMPUTED_VALUE"""),"")</f>
        <v/>
      </c>
      <c r="L1012" s="1" t="str">
        <f>IFERROR(__xludf.DUMMYFUNCTION("""COMPUTED_VALUE"""),"")</f>
        <v/>
      </c>
      <c r="M1012" s="1" t="str">
        <f>IFERROR(__xludf.DUMMYFUNCTION("""COMPUTED_VALUE"""),"")</f>
        <v/>
      </c>
      <c r="N1012" s="1" t="str">
        <f>IFERROR(__xludf.DUMMYFUNCTION("""COMPUTED_VALUE"""),"")</f>
        <v/>
      </c>
      <c r="O1012" s="1" t="str">
        <f>IFERROR(__xludf.DUMMYFUNCTION("""COMPUTED_VALUE"""),"Unknown")</f>
        <v>Unknown</v>
      </c>
      <c r="P1012" s="1" t="str">
        <f>IFERROR(__xludf.DUMMYFUNCTION("""COMPUTED_VALUE"""),"")</f>
        <v/>
      </c>
      <c r="Q1012" s="1" t="str">
        <f>IFERROR(__xludf.DUMMYFUNCTION("""COMPUTED_VALUE"""),"")</f>
        <v/>
      </c>
      <c r="R1012" s="1" t="str">
        <f>IFERROR(__xludf.DUMMYFUNCTION("""COMPUTED_VALUE"""),"")</f>
        <v/>
      </c>
      <c r="S1012" s="1" t="str">
        <f>IFERROR(__xludf.DUMMYFUNCTION("""COMPUTED_VALUE"""),"")</f>
        <v/>
      </c>
      <c r="T1012" s="1" t="str">
        <f>IFERROR(__xludf.DUMMYFUNCTION("""COMPUTED_VALUE"""),"")</f>
        <v/>
      </c>
      <c r="U1012" s="1" t="str">
        <f>IFERROR(__xludf.DUMMYFUNCTION("""COMPUTED_VALUE"""),"")</f>
        <v/>
      </c>
      <c r="V1012" s="1" t="str">
        <f>IFERROR(__xludf.DUMMYFUNCTION("""COMPUTED_VALUE"""),"")</f>
        <v/>
      </c>
      <c r="W1012" s="1" t="str">
        <f>IFERROR(__xludf.DUMMYFUNCTION("""COMPUTED_VALUE"""),"")</f>
        <v/>
      </c>
      <c r="X1012" s="1" t="str">
        <f>IFERROR(__xludf.DUMMYFUNCTION("""COMPUTED_VALUE"""),"")</f>
        <v/>
      </c>
      <c r="Y1012" s="1" t="str">
        <f>IFERROR(__xludf.DUMMYFUNCTION("""COMPUTED_VALUE"""),"")</f>
        <v/>
      </c>
      <c r="Z1012" s="1" t="str">
        <f>IFERROR(__xludf.DUMMYFUNCTION("""COMPUTED_VALUE"""),"Unknown")</f>
        <v>Unknown</v>
      </c>
      <c r="AA1012" s="1" t="str">
        <f>IFERROR(__xludf.DUMMYFUNCTION("""COMPUTED_VALUE"""),"")</f>
        <v/>
      </c>
      <c r="AB1012" s="1" t="str">
        <f>IFERROR(__xludf.DUMMYFUNCTION("""COMPUTED_VALUE"""),"")</f>
        <v/>
      </c>
      <c r="AC1012" s="1" t="str">
        <f>IFERROR(__xludf.DUMMYFUNCTION("""COMPUTED_VALUE"""),"")</f>
        <v/>
      </c>
      <c r="AD1012" s="1" t="str">
        <f>IFERROR(__xludf.DUMMYFUNCTION("""COMPUTED_VALUE"""),"")</f>
        <v/>
      </c>
      <c r="AE1012" s="1" t="str">
        <f>IFERROR(__xludf.DUMMYFUNCTION("""COMPUTED_VALUE"""),"")</f>
        <v/>
      </c>
      <c r="AF1012" s="1" t="str">
        <f>IFERROR(__xludf.DUMMYFUNCTION("""COMPUTED_VALUE"""),"")</f>
        <v/>
      </c>
      <c r="AG1012" s="1" t="str">
        <f>IFERROR(__xludf.DUMMYFUNCTION("""COMPUTED_VALUE"""),"")</f>
        <v/>
      </c>
      <c r="AH1012" s="1" t="str">
        <f>IFERROR(__xludf.DUMMYFUNCTION("""COMPUTED_VALUE"""),"Media Monitoring")</f>
        <v>Media Monitoring</v>
      </c>
      <c r="AI1012" s="1" t="str">
        <f>IFERROR(__xludf.DUMMYFUNCTION("""COMPUTED_VALUE"""),"")</f>
        <v/>
      </c>
      <c r="AJ1012" s="1" t="str">
        <f>IFERROR(__xludf.DUMMYFUNCTION("""COMPUTED_VALUE"""),"")</f>
        <v/>
      </c>
      <c r="AK1012" s="1" t="str">
        <f>IFERROR(__xludf.DUMMYFUNCTION("""COMPUTED_VALUE"""),"")</f>
        <v/>
      </c>
      <c r="AL1012" s="1" t="str">
        <f>IFERROR(__xludf.DUMMYFUNCTION("""COMPUTED_VALUE"""),"")</f>
        <v/>
      </c>
      <c r="AM1012" s="1" t="str">
        <f>IFERROR(__xludf.DUMMYFUNCTION("""COMPUTED_VALUE"""),"")</f>
        <v/>
      </c>
      <c r="AN1012" s="1" t="str">
        <f>IFERROR(__xludf.DUMMYFUNCTION("""COMPUTED_VALUE"""),"")</f>
        <v/>
      </c>
      <c r="AO1012" s="1" t="str">
        <f>IFERROR(__xludf.DUMMYFUNCTION("""COMPUTED_VALUE"""),"")</f>
        <v/>
      </c>
      <c r="AP1012" s="1" t="str">
        <f>IFERROR(__xludf.DUMMYFUNCTION("""COMPUTED_VALUE"""),"")</f>
        <v/>
      </c>
      <c r="AQ1012" s="1" t="str">
        <f>IFERROR(__xludf.DUMMYFUNCTION("""COMPUTED_VALUE"""),"08/05/2025")</f>
        <v>08/05/2025</v>
      </c>
      <c r="AR1012" s="1" t="str">
        <f>IFERROR(__xludf.DUMMYFUNCTION("""COMPUTED_VALUE"""),"08/05/2025")</f>
        <v>08/05/2025</v>
      </c>
    </row>
    <row r="1013">
      <c r="A1013" s="1" t="str">
        <f>IFERROR(__xludf.DUMMYFUNCTION("""COMPUTED_VALUE"""),"DFW-04 Data Center")</f>
        <v>DFW-04 Data Center</v>
      </c>
      <c r="B1013" s="1" t="str">
        <f>IFERROR(__xludf.DUMMYFUNCTION("""COMPUTED_VALUE"""),"401 North Star Rd")</f>
        <v>401 North Star Rd</v>
      </c>
      <c r="C1013" s="1" t="str">
        <f>IFERROR(__xludf.DUMMYFUNCTION("""COMPUTED_VALUE"""),"Plano")</f>
        <v>Plano</v>
      </c>
      <c r="D1013" s="1" t="str">
        <f>IFERROR(__xludf.DUMMYFUNCTION("""COMPUTED_VALUE"""),"TX")</f>
        <v>TX</v>
      </c>
      <c r="E1013" s="1" t="str">
        <f>IFERROR(__xludf.DUMMYFUNCTION("""COMPUTED_VALUE"""),"75074")</f>
        <v>75074</v>
      </c>
      <c r="F1013" s="1" t="str">
        <f>IFERROR(__xludf.DUMMYFUNCTION("""COMPUTED_VALUE"""),"Collin")</f>
        <v>Collin</v>
      </c>
      <c r="G1013" s="1" t="str">
        <f>IFERROR(__xludf.DUMMYFUNCTION("""COMPUTED_VALUE"""),"33.00439")</f>
        <v>33.00439</v>
      </c>
      <c r="H1013" s="1" t="str">
        <f>IFERROR(__xludf.DUMMYFUNCTION("""COMPUTED_VALUE"""),"-96.6502")</f>
        <v>-96.6502</v>
      </c>
      <c r="I1013" s="1" t="str">
        <f>IFERROR(__xludf.DUMMYFUNCTION("""COMPUTED_VALUE"""),"Operating")</f>
        <v>Operating</v>
      </c>
      <c r="J1013" s="1" t="str">
        <f>IFERROR(__xludf.DUMMYFUNCTION("""COMPUTED_VALUE"""),"High")</f>
        <v>High</v>
      </c>
      <c r="K1013" s="1" t="str">
        <f>IFERROR(__xludf.DUMMYFUNCTION("""COMPUTED_VALUE"""),"")</f>
        <v/>
      </c>
      <c r="L1013" s="1" t="str">
        <f>IFERROR(__xludf.DUMMYFUNCTION("""COMPUTED_VALUE"""),"")</f>
        <v/>
      </c>
      <c r="M1013" s="1" t="str">
        <f>IFERROR(__xludf.DUMMYFUNCTION("""COMPUTED_VALUE"""),"")</f>
        <v/>
      </c>
      <c r="N1013" s="1" t="str">
        <f>IFERROR(__xludf.DUMMYFUNCTION("""COMPUTED_VALUE"""),"")</f>
        <v/>
      </c>
      <c r="O1013" s="1" t="str">
        <f>IFERROR(__xludf.DUMMYFUNCTION("""COMPUTED_VALUE"""),"Unknown")</f>
        <v>Unknown</v>
      </c>
      <c r="P1013" s="1" t="str">
        <f>IFERROR(__xludf.DUMMYFUNCTION("""COMPUTED_VALUE"""),"")</f>
        <v/>
      </c>
      <c r="Q1013" s="1" t="str">
        <f>IFERROR(__xludf.DUMMYFUNCTION("""COMPUTED_VALUE"""),"")</f>
        <v/>
      </c>
      <c r="R1013" s="1" t="str">
        <f>IFERROR(__xludf.DUMMYFUNCTION("""COMPUTED_VALUE"""),"")</f>
        <v/>
      </c>
      <c r="S1013" s="1" t="str">
        <f>IFERROR(__xludf.DUMMYFUNCTION("""COMPUTED_VALUE"""),"")</f>
        <v/>
      </c>
      <c r="T1013" s="1" t="str">
        <f>IFERROR(__xludf.DUMMYFUNCTION("""COMPUTED_VALUE"""),"")</f>
        <v/>
      </c>
      <c r="U1013" s="1" t="str">
        <f>IFERROR(__xludf.DUMMYFUNCTION("""COMPUTED_VALUE"""),"")</f>
        <v/>
      </c>
      <c r="V1013" s="1" t="str">
        <f>IFERROR(__xludf.DUMMYFUNCTION("""COMPUTED_VALUE"""),"425,500")</f>
        <v>425,500</v>
      </c>
      <c r="W1013" s="1" t="str">
        <f>IFERROR(__xludf.DUMMYFUNCTION("""COMPUTED_VALUE"""),"")</f>
        <v/>
      </c>
      <c r="X1013" s="1" t="str">
        <f>IFERROR(__xludf.DUMMYFUNCTION("""COMPUTED_VALUE"""),"$161 million")</f>
        <v>$161 million</v>
      </c>
      <c r="Y1013" s="1" t="str">
        <f>IFERROR(__xludf.DUMMYFUNCTION("""COMPUTED_VALUE"""),"")</f>
        <v/>
      </c>
      <c r="Z1013" s="1" t="str">
        <f>IFERROR(__xludf.DUMMYFUNCTION("""COMPUTED_VALUE"""),"Unknown")</f>
        <v>Unknown</v>
      </c>
      <c r="AA1013" s="1" t="str">
        <f>IFERROR(__xludf.DUMMYFUNCTION("""COMPUTED_VALUE"""),"")</f>
        <v/>
      </c>
      <c r="AB1013" s="1" t="str">
        <f>IFERROR(__xludf.DUMMYFUNCTION("""COMPUTED_VALUE"""),"")</f>
        <v/>
      </c>
      <c r="AC1013" s="1" t="str">
        <f>IFERROR(__xludf.DUMMYFUNCTION("""COMPUTED_VALUE"""),"")</f>
        <v/>
      </c>
      <c r="AD1013" s="1" t="str">
        <f>IFERROR(__xludf.DUMMYFUNCTION("""COMPUTED_VALUE"""),"")</f>
        <v/>
      </c>
      <c r="AE1013" s="1" t="str">
        <f>IFERROR(__xludf.DUMMYFUNCTION("""COMPUTED_VALUE"""),"")</f>
        <v/>
      </c>
      <c r="AF1013" s="1" t="str">
        <f>IFERROR(__xludf.DUMMYFUNCTION("""COMPUTED_VALUE"""),"")</f>
        <v/>
      </c>
      <c r="AG1013" s="1" t="str">
        <f>IFERROR(__xludf.DUMMYFUNCTION("""COMPUTED_VALUE"""),"")</f>
        <v/>
      </c>
      <c r="AH1013" s="1" t="str">
        <f>IFERROR(__xludf.DUMMYFUNCTION("""COMPUTED_VALUE"""),"Media Monitoring")</f>
        <v>Media Monitoring</v>
      </c>
      <c r="AI1013" s="2" t="str">
        <f>IFERROR(__xludf.DUMMYFUNCTION("""COMPUTED_VALUE"""),"https://itbrief.news/story/aligned-lambda-join-forces-on-ai-ready-data-centre-in-texas")</f>
        <v>https://itbrief.news/story/aligned-lambda-join-forces-on-ai-ready-data-centre-in-texas</v>
      </c>
      <c r="AJ1013" s="2" t="str">
        <f>IFERROR(__xludf.DUMMYFUNCTION("""COMPUTED_VALUE"""),"https://www.datacenterdynamics.com/en/news/lambda-cloud-to-take-capacity-at-aligneds-dfw-04-dallas-fort-worth-data-center/")</f>
        <v>https://www.datacenterdynamics.com/en/news/lambda-cloud-to-take-capacity-at-aligneds-dfw-04-dallas-fort-worth-data-center/</v>
      </c>
      <c r="AK1013" s="2" t="str">
        <f>IFERROR(__xludf.DUMMYFUNCTION("""COMPUTED_VALUE"""),"https://aligneddc.com/dallas/")</f>
        <v>https://aligneddc.com/dallas/</v>
      </c>
      <c r="AL1013" s="1" t="str">
        <f>IFERROR(__xludf.DUMMYFUNCTION("""COMPUTED_VALUE"""),"")</f>
        <v/>
      </c>
      <c r="AM1013" s="1" t="str">
        <f>IFERROR(__xludf.DUMMYFUNCTION("""COMPUTED_VALUE"""),"")</f>
        <v/>
      </c>
      <c r="AN1013" s="1" t="str">
        <f>IFERROR(__xludf.DUMMYFUNCTION("""COMPUTED_VALUE"""),"")</f>
        <v/>
      </c>
      <c r="AO1013" s="1" t="str">
        <f>IFERROR(__xludf.DUMMYFUNCTION("""COMPUTED_VALUE"""),"")</f>
        <v/>
      </c>
      <c r="AP1013" s="1" t="str">
        <f>IFERROR(__xludf.DUMMYFUNCTION("""COMPUTED_VALUE"""),"")</f>
        <v/>
      </c>
      <c r="AQ1013" s="1" t="str">
        <f>IFERROR(__xludf.DUMMYFUNCTION("""COMPUTED_VALUE"""),"05/24/2025")</f>
        <v>05/24/2025</v>
      </c>
      <c r="AR1013" s="1" t="str">
        <f>IFERROR(__xludf.DUMMYFUNCTION("""COMPUTED_VALUE"""),"05/24/2025")</f>
        <v>05/24/2025</v>
      </c>
    </row>
    <row r="1014">
      <c r="A1014" s="1" t="str">
        <f>IFERROR(__xludf.DUMMYFUNCTION("""COMPUTED_VALUE"""),"Equinix DA7 Data Center")</f>
        <v>Equinix DA7 Data Center</v>
      </c>
      <c r="B1014" s="1" t="str">
        <f>IFERROR(__xludf.DUMMYFUNCTION("""COMPUTED_VALUE"""),"6653 Pinecrest Dr")</f>
        <v>6653 Pinecrest Dr</v>
      </c>
      <c r="C1014" s="1" t="str">
        <f>IFERROR(__xludf.DUMMYFUNCTION("""COMPUTED_VALUE"""),"Plano")</f>
        <v>Plano</v>
      </c>
      <c r="D1014" s="1" t="str">
        <f>IFERROR(__xludf.DUMMYFUNCTION("""COMPUTED_VALUE"""),"TX")</f>
        <v>TX</v>
      </c>
      <c r="E1014" s="1" t="str">
        <f>IFERROR(__xludf.DUMMYFUNCTION("""COMPUTED_VALUE"""),"75024")</f>
        <v>75024</v>
      </c>
      <c r="F1014" s="1" t="str">
        <f>IFERROR(__xludf.DUMMYFUNCTION("""COMPUTED_VALUE"""),"Collin")</f>
        <v>Collin</v>
      </c>
      <c r="G1014" s="1" t="str">
        <f>IFERROR(__xludf.DUMMYFUNCTION("""COMPUTED_VALUE"""),"33.06499")</f>
        <v>33.06499</v>
      </c>
      <c r="H1014" s="1" t="str">
        <f>IFERROR(__xludf.DUMMYFUNCTION("""COMPUTED_VALUE"""),"-96.8109")</f>
        <v>-96.8109</v>
      </c>
      <c r="I1014" s="1" t="str">
        <f>IFERROR(__xludf.DUMMYFUNCTION("""COMPUTED_VALUE"""),"Operating")</f>
        <v>Operating</v>
      </c>
      <c r="J1014" s="1" t="str">
        <f>IFERROR(__xludf.DUMMYFUNCTION("""COMPUTED_VALUE"""),"High")</f>
        <v>High</v>
      </c>
      <c r="K1014" s="1" t="str">
        <f>IFERROR(__xludf.DUMMYFUNCTION("""COMPUTED_VALUE"""),"")</f>
        <v/>
      </c>
      <c r="L1014" s="1" t="str">
        <f>IFERROR(__xludf.DUMMYFUNCTION("""COMPUTED_VALUE"""),"")</f>
        <v/>
      </c>
      <c r="M1014" s="1" t="str">
        <f>IFERROR(__xludf.DUMMYFUNCTION("""COMPUTED_VALUE"""),"")</f>
        <v/>
      </c>
      <c r="N1014" s="1" t="str">
        <f>IFERROR(__xludf.DUMMYFUNCTION("""COMPUTED_VALUE"""),"")</f>
        <v/>
      </c>
      <c r="O1014" s="1" t="str">
        <f>IFERROR(__xludf.DUMMYFUNCTION("""COMPUTED_VALUE"""),"Unknown")</f>
        <v>Unknown</v>
      </c>
      <c r="P1014" s="1" t="str">
        <f>IFERROR(__xludf.DUMMYFUNCTION("""COMPUTED_VALUE"""),"")</f>
        <v/>
      </c>
      <c r="Q1014" s="1" t="str">
        <f>IFERROR(__xludf.DUMMYFUNCTION("""COMPUTED_VALUE"""),"")</f>
        <v/>
      </c>
      <c r="R1014" s="1" t="str">
        <f>IFERROR(__xludf.DUMMYFUNCTION("""COMPUTED_VALUE"""),"")</f>
        <v/>
      </c>
      <c r="S1014" s="1" t="str">
        <f>IFERROR(__xludf.DUMMYFUNCTION("""COMPUTED_VALUE"""),"")</f>
        <v/>
      </c>
      <c r="T1014" s="1" t="str">
        <f>IFERROR(__xludf.DUMMYFUNCTION("""COMPUTED_VALUE"""),"")</f>
        <v/>
      </c>
      <c r="U1014" s="1" t="str">
        <f>IFERROR(__xludf.DUMMYFUNCTION("""COMPUTED_VALUE"""),"")</f>
        <v/>
      </c>
      <c r="V1014" s="1" t="str">
        <f>IFERROR(__xludf.DUMMYFUNCTION("""COMPUTED_VALUE"""),"37,910")</f>
        <v>37,910</v>
      </c>
      <c r="W1014" s="1" t="str">
        <f>IFERROR(__xludf.DUMMYFUNCTION("""COMPUTED_VALUE"""),"")</f>
        <v/>
      </c>
      <c r="X1014" s="1" t="str">
        <f>IFERROR(__xludf.DUMMYFUNCTION("""COMPUTED_VALUE"""),"")</f>
        <v/>
      </c>
      <c r="Y1014" s="1" t="str">
        <f>IFERROR(__xludf.DUMMYFUNCTION("""COMPUTED_VALUE"""),"")</f>
        <v/>
      </c>
      <c r="Z1014" s="1" t="str">
        <f>IFERROR(__xludf.DUMMYFUNCTION("""COMPUTED_VALUE"""),"Unknown")</f>
        <v>Unknown</v>
      </c>
      <c r="AA1014" s="1" t="str">
        <f>IFERROR(__xludf.DUMMYFUNCTION("""COMPUTED_VALUE"""),"")</f>
        <v/>
      </c>
      <c r="AB1014" s="1" t="str">
        <f>IFERROR(__xludf.DUMMYFUNCTION("""COMPUTED_VALUE"""),"")</f>
        <v/>
      </c>
      <c r="AC1014" s="1" t="str">
        <f>IFERROR(__xludf.DUMMYFUNCTION("""COMPUTED_VALUE"""),"")</f>
        <v/>
      </c>
      <c r="AD1014" s="1" t="str">
        <f>IFERROR(__xludf.DUMMYFUNCTION("""COMPUTED_VALUE"""),"")</f>
        <v/>
      </c>
      <c r="AE1014" s="1" t="str">
        <f>IFERROR(__xludf.DUMMYFUNCTION("""COMPUTED_VALUE"""),"")</f>
        <v/>
      </c>
      <c r="AF1014" s="1" t="str">
        <f>IFERROR(__xludf.DUMMYFUNCTION("""COMPUTED_VALUE"""),"")</f>
        <v/>
      </c>
      <c r="AG1014" s="1" t="str">
        <f>IFERROR(__xludf.DUMMYFUNCTION("""COMPUTED_VALUE"""),"")</f>
        <v/>
      </c>
      <c r="AH1014" s="1" t="str">
        <f>IFERROR(__xludf.DUMMYFUNCTION("""COMPUTED_VALUE"""),"Media Monitoring")</f>
        <v>Media Monitoring</v>
      </c>
      <c r="AI1014" s="1" t="str">
        <f>IFERROR(__xludf.DUMMYFUNCTION("""COMPUTED_VALUE"""),"")</f>
        <v/>
      </c>
      <c r="AJ1014" s="1" t="str">
        <f>IFERROR(__xludf.DUMMYFUNCTION("""COMPUTED_VALUE"""),"")</f>
        <v/>
      </c>
      <c r="AK1014" s="1" t="str">
        <f>IFERROR(__xludf.DUMMYFUNCTION("""COMPUTED_VALUE"""),"")</f>
        <v/>
      </c>
      <c r="AL1014" s="1" t="str">
        <f>IFERROR(__xludf.DUMMYFUNCTION("""COMPUTED_VALUE"""),"")</f>
        <v/>
      </c>
      <c r="AM1014" s="1" t="str">
        <f>IFERROR(__xludf.DUMMYFUNCTION("""COMPUTED_VALUE"""),"")</f>
        <v/>
      </c>
      <c r="AN1014" s="1" t="str">
        <f>IFERROR(__xludf.DUMMYFUNCTION("""COMPUTED_VALUE"""),"")</f>
        <v/>
      </c>
      <c r="AO1014" s="1" t="str">
        <f>IFERROR(__xludf.DUMMYFUNCTION("""COMPUTED_VALUE"""),"")</f>
        <v/>
      </c>
      <c r="AP1014" s="1" t="str">
        <f>IFERROR(__xludf.DUMMYFUNCTION("""COMPUTED_VALUE"""),"")</f>
        <v/>
      </c>
      <c r="AQ1014" s="1" t="str">
        <f>IFERROR(__xludf.DUMMYFUNCTION("""COMPUTED_VALUE"""),"08/05/2025")</f>
        <v>08/05/2025</v>
      </c>
      <c r="AR1014" s="1" t="str">
        <f>IFERROR(__xludf.DUMMYFUNCTION("""COMPUTED_VALUE"""),"08/05/2025")</f>
        <v>08/05/2025</v>
      </c>
    </row>
    <row r="1015">
      <c r="A1015" s="1" t="str">
        <f>IFERROR(__xludf.DUMMYFUNCTION("""COMPUTED_VALUE"""),"Evocative DAL6")</f>
        <v>Evocative DAL6</v>
      </c>
      <c r="B1015" s="1" t="str">
        <f>IFERROR(__xludf.DUMMYFUNCTION("""COMPUTED_VALUE"""),"1221 Coit Rd")</f>
        <v>1221 Coit Rd</v>
      </c>
      <c r="C1015" s="1" t="str">
        <f>IFERROR(__xludf.DUMMYFUNCTION("""COMPUTED_VALUE"""),"Plano")</f>
        <v>Plano</v>
      </c>
      <c r="D1015" s="1" t="str">
        <f>IFERROR(__xludf.DUMMYFUNCTION("""COMPUTED_VALUE"""),"TX")</f>
        <v>TX</v>
      </c>
      <c r="E1015" s="1" t="str">
        <f>IFERROR(__xludf.DUMMYFUNCTION("""COMPUTED_VALUE"""),"75076")</f>
        <v>75076</v>
      </c>
      <c r="F1015" s="1" t="str">
        <f>IFERROR(__xludf.DUMMYFUNCTION("""COMPUTED_VALUE"""),"Collin")</f>
        <v>Collin</v>
      </c>
      <c r="G1015" s="1" t="str">
        <f>IFERROR(__xludf.DUMMYFUNCTION("""COMPUTED_VALUE"""),"33.01578")</f>
        <v>33.01578</v>
      </c>
      <c r="H1015" s="1" t="str">
        <f>IFERROR(__xludf.DUMMYFUNCTION("""COMPUTED_VALUE"""),"-96.7688")</f>
        <v>-96.7688</v>
      </c>
      <c r="I1015" s="1" t="str">
        <f>IFERROR(__xludf.DUMMYFUNCTION("""COMPUTED_VALUE"""),"Operating")</f>
        <v>Operating</v>
      </c>
      <c r="J1015" s="1" t="str">
        <f>IFERROR(__xludf.DUMMYFUNCTION("""COMPUTED_VALUE"""),"High")</f>
        <v>High</v>
      </c>
      <c r="K1015" s="1" t="str">
        <f>IFERROR(__xludf.DUMMYFUNCTION("""COMPUTED_VALUE"""),"")</f>
        <v/>
      </c>
      <c r="L1015" s="1" t="str">
        <f>IFERROR(__xludf.DUMMYFUNCTION("""COMPUTED_VALUE"""),"")</f>
        <v/>
      </c>
      <c r="M1015" s="1" t="str">
        <f>IFERROR(__xludf.DUMMYFUNCTION("""COMPUTED_VALUE"""),"")</f>
        <v/>
      </c>
      <c r="N1015" s="1" t="str">
        <f>IFERROR(__xludf.DUMMYFUNCTION("""COMPUTED_VALUE"""),"12")</f>
        <v>12</v>
      </c>
      <c r="O1015" s="1" t="str">
        <f>IFERROR(__xludf.DUMMYFUNCTION("""COMPUTED_VALUE"""),"Medium (11-50 MW)")</f>
        <v>Medium (11-50 MW)</v>
      </c>
      <c r="P1015" s="1" t="str">
        <f>IFERROR(__xludf.DUMMYFUNCTION("""COMPUTED_VALUE"""),"")</f>
        <v/>
      </c>
      <c r="Q1015" s="1" t="str">
        <f>IFERROR(__xludf.DUMMYFUNCTION("""COMPUTED_VALUE"""),"")</f>
        <v/>
      </c>
      <c r="R1015" s="1" t="str">
        <f>IFERROR(__xludf.DUMMYFUNCTION("""COMPUTED_VALUE"""),"")</f>
        <v/>
      </c>
      <c r="S1015" s="1" t="str">
        <f>IFERROR(__xludf.DUMMYFUNCTION("""COMPUTED_VALUE"""),"")</f>
        <v/>
      </c>
      <c r="T1015" s="1" t="str">
        <f>IFERROR(__xludf.DUMMYFUNCTION("""COMPUTED_VALUE"""),"")</f>
        <v/>
      </c>
      <c r="U1015" s="1" t="str">
        <f>IFERROR(__xludf.DUMMYFUNCTION("""COMPUTED_VALUE"""),"")</f>
        <v/>
      </c>
      <c r="V1015" s="1" t="str">
        <f>IFERROR(__xludf.DUMMYFUNCTION("""COMPUTED_VALUE"""),"111,000")</f>
        <v>111,000</v>
      </c>
      <c r="W1015" s="1" t="str">
        <f>IFERROR(__xludf.DUMMYFUNCTION("""COMPUTED_VALUE"""),"")</f>
        <v/>
      </c>
      <c r="X1015" s="1" t="str">
        <f>IFERROR(__xludf.DUMMYFUNCTION("""COMPUTED_VALUE"""),"")</f>
        <v/>
      </c>
      <c r="Y1015" s="1" t="str">
        <f>IFERROR(__xludf.DUMMYFUNCTION("""COMPUTED_VALUE"""),"")</f>
        <v/>
      </c>
      <c r="Z1015" s="1" t="str">
        <f>IFERROR(__xludf.DUMMYFUNCTION("""COMPUTED_VALUE"""),"Unknown")</f>
        <v>Unknown</v>
      </c>
      <c r="AA1015" s="1" t="str">
        <f>IFERROR(__xludf.DUMMYFUNCTION("""COMPUTED_VALUE"""),"")</f>
        <v/>
      </c>
      <c r="AB1015" s="1" t="str">
        <f>IFERROR(__xludf.DUMMYFUNCTION("""COMPUTED_VALUE"""),"")</f>
        <v/>
      </c>
      <c r="AC1015" s="1" t="str">
        <f>IFERROR(__xludf.DUMMYFUNCTION("""COMPUTED_VALUE"""),"")</f>
        <v/>
      </c>
      <c r="AD1015" s="1" t="str">
        <f>IFERROR(__xludf.DUMMYFUNCTION("""COMPUTED_VALUE"""),"")</f>
        <v/>
      </c>
      <c r="AE1015" s="1" t="str">
        <f>IFERROR(__xludf.DUMMYFUNCTION("""COMPUTED_VALUE"""),"")</f>
        <v/>
      </c>
      <c r="AF1015" s="1" t="str">
        <f>IFERROR(__xludf.DUMMYFUNCTION("""COMPUTED_VALUE"""),"")</f>
        <v/>
      </c>
      <c r="AG1015" s="1" t="str">
        <f>IFERROR(__xludf.DUMMYFUNCTION("""COMPUTED_VALUE"""),"")</f>
        <v/>
      </c>
      <c r="AH1015" s="1" t="str">
        <f>IFERROR(__xludf.DUMMYFUNCTION("""COMPUTED_VALUE"""),"Media Monitoring")</f>
        <v>Media Monitoring</v>
      </c>
      <c r="AI1015" s="1" t="str">
        <f>IFERROR(__xludf.DUMMYFUNCTION("""COMPUTED_VALUE"""),"")</f>
        <v/>
      </c>
      <c r="AJ1015" s="1" t="str">
        <f>IFERROR(__xludf.DUMMYFUNCTION("""COMPUTED_VALUE"""),"")</f>
        <v/>
      </c>
      <c r="AK1015" s="1" t="str">
        <f>IFERROR(__xludf.DUMMYFUNCTION("""COMPUTED_VALUE"""),"")</f>
        <v/>
      </c>
      <c r="AL1015" s="1" t="str">
        <f>IFERROR(__xludf.DUMMYFUNCTION("""COMPUTED_VALUE"""),"")</f>
        <v/>
      </c>
      <c r="AM1015" s="1" t="str">
        <f>IFERROR(__xludf.DUMMYFUNCTION("""COMPUTED_VALUE"""),"")</f>
        <v/>
      </c>
      <c r="AN1015" s="1" t="str">
        <f>IFERROR(__xludf.DUMMYFUNCTION("""COMPUTED_VALUE"""),"")</f>
        <v/>
      </c>
      <c r="AO1015" s="1" t="str">
        <f>IFERROR(__xludf.DUMMYFUNCTION("""COMPUTED_VALUE"""),"")</f>
        <v/>
      </c>
      <c r="AP1015" s="1" t="str">
        <f>IFERROR(__xludf.DUMMYFUNCTION("""COMPUTED_VALUE"""),"")</f>
        <v/>
      </c>
      <c r="AQ1015" s="1" t="str">
        <f>IFERROR(__xludf.DUMMYFUNCTION("""COMPUTED_VALUE"""),"08/05/2025")</f>
        <v>08/05/2025</v>
      </c>
      <c r="AR1015" s="1" t="str">
        <f>IFERROR(__xludf.DUMMYFUNCTION("""COMPUTED_VALUE"""),"08/05/2025")</f>
        <v>08/05/2025</v>
      </c>
    </row>
    <row r="1016">
      <c r="A1016" s="1" t="str">
        <f>IFERROR(__xludf.DUMMYFUNCTION("""COMPUTED_VALUE"""),"Skybox Atlantic Station")</f>
        <v>Skybox Atlantic Station</v>
      </c>
      <c r="B1016" s="1" t="str">
        <f>IFERROR(__xludf.DUMMYFUNCTION("""COMPUTED_VALUE"""),"2300 W Plano Pkwy")</f>
        <v>2300 W Plano Pkwy</v>
      </c>
      <c r="C1016" s="1" t="str">
        <f>IFERROR(__xludf.DUMMYFUNCTION("""COMPUTED_VALUE"""),"Plano")</f>
        <v>Plano</v>
      </c>
      <c r="D1016" s="1" t="str">
        <f>IFERROR(__xludf.DUMMYFUNCTION("""COMPUTED_VALUE"""),"TX")</f>
        <v>TX</v>
      </c>
      <c r="E1016" s="1" t="str">
        <f>IFERROR(__xludf.DUMMYFUNCTION("""COMPUTED_VALUE"""),"75075")</f>
        <v>75075</v>
      </c>
      <c r="F1016" s="1" t="str">
        <f>IFERROR(__xludf.DUMMYFUNCTION("""COMPUTED_VALUE"""),"Collin")</f>
        <v>Collin</v>
      </c>
      <c r="G1016" s="1" t="str">
        <f>IFERROR(__xludf.DUMMYFUNCTION("""COMPUTED_VALUE"""),"33.00508")</f>
        <v>33.00508</v>
      </c>
      <c r="H1016" s="1" t="str">
        <f>IFERROR(__xludf.DUMMYFUNCTION("""COMPUTED_VALUE"""),"-96.7421")</f>
        <v>-96.7421</v>
      </c>
      <c r="I1016" s="1" t="str">
        <f>IFERROR(__xludf.DUMMYFUNCTION("""COMPUTED_VALUE"""),"Operating")</f>
        <v>Operating</v>
      </c>
      <c r="J1016" s="1" t="str">
        <f>IFERROR(__xludf.DUMMYFUNCTION("""COMPUTED_VALUE"""),"High")</f>
        <v>High</v>
      </c>
      <c r="K1016" s="1" t="str">
        <f>IFERROR(__xludf.DUMMYFUNCTION("""COMPUTED_VALUE"""),"")</f>
        <v/>
      </c>
      <c r="L1016" s="1" t="str">
        <f>IFERROR(__xludf.DUMMYFUNCTION("""COMPUTED_VALUE"""),"")</f>
        <v/>
      </c>
      <c r="M1016" s="1" t="str">
        <f>IFERROR(__xludf.DUMMYFUNCTION("""COMPUTED_VALUE"""),"")</f>
        <v/>
      </c>
      <c r="N1016" s="1" t="str">
        <f>IFERROR(__xludf.DUMMYFUNCTION("""COMPUTED_VALUE"""),"100")</f>
        <v>100</v>
      </c>
      <c r="O1016" s="1" t="str">
        <f>IFERROR(__xludf.DUMMYFUNCTION("""COMPUTED_VALUE"""),"Hyperscale (100-999 MW)")</f>
        <v>Hyperscale (100-999 MW)</v>
      </c>
      <c r="P1016" s="1" t="str">
        <f>IFERROR(__xludf.DUMMYFUNCTION("""COMPUTED_VALUE"""),"")</f>
        <v/>
      </c>
      <c r="Q1016" s="1" t="str">
        <f>IFERROR(__xludf.DUMMYFUNCTION("""COMPUTED_VALUE"""),"")</f>
        <v/>
      </c>
      <c r="R1016" s="1" t="str">
        <f>IFERROR(__xludf.DUMMYFUNCTION("""COMPUTED_VALUE"""),"")</f>
        <v/>
      </c>
      <c r="S1016" s="1" t="str">
        <f>IFERROR(__xludf.DUMMYFUNCTION("""COMPUTED_VALUE"""),"")</f>
        <v/>
      </c>
      <c r="T1016" s="1" t="str">
        <f>IFERROR(__xludf.DUMMYFUNCTION("""COMPUTED_VALUE"""),"")</f>
        <v/>
      </c>
      <c r="U1016" s="1" t="str">
        <f>IFERROR(__xludf.DUMMYFUNCTION("""COMPUTED_VALUE"""),"")</f>
        <v/>
      </c>
      <c r="V1016" s="1" t="str">
        <f>IFERROR(__xludf.DUMMYFUNCTION("""COMPUTED_VALUE"""),"")</f>
        <v/>
      </c>
      <c r="W1016" s="1" t="str">
        <f>IFERROR(__xludf.DUMMYFUNCTION("""COMPUTED_VALUE"""),"")</f>
        <v/>
      </c>
      <c r="X1016" s="1" t="str">
        <f>IFERROR(__xludf.DUMMYFUNCTION("""COMPUTED_VALUE"""),"")</f>
        <v/>
      </c>
      <c r="Y1016" s="1" t="str">
        <f>IFERROR(__xludf.DUMMYFUNCTION("""COMPUTED_VALUE"""),"")</f>
        <v/>
      </c>
      <c r="Z1016" s="1" t="str">
        <f>IFERROR(__xludf.DUMMYFUNCTION("""COMPUTED_VALUE"""),"Unknown")</f>
        <v>Unknown</v>
      </c>
      <c r="AA1016" s="1" t="str">
        <f>IFERROR(__xludf.DUMMYFUNCTION("""COMPUTED_VALUE"""),"")</f>
        <v/>
      </c>
      <c r="AB1016" s="1" t="str">
        <f>IFERROR(__xludf.DUMMYFUNCTION("""COMPUTED_VALUE"""),"")</f>
        <v/>
      </c>
      <c r="AC1016" s="1" t="str">
        <f>IFERROR(__xludf.DUMMYFUNCTION("""COMPUTED_VALUE"""),"")</f>
        <v/>
      </c>
      <c r="AD1016" s="1" t="str">
        <f>IFERROR(__xludf.DUMMYFUNCTION("""COMPUTED_VALUE"""),"")</f>
        <v/>
      </c>
      <c r="AE1016" s="1" t="str">
        <f>IFERROR(__xludf.DUMMYFUNCTION("""COMPUTED_VALUE"""),"")</f>
        <v/>
      </c>
      <c r="AF1016" s="1" t="str">
        <f>IFERROR(__xludf.DUMMYFUNCTION("""COMPUTED_VALUE"""),"")</f>
        <v/>
      </c>
      <c r="AG1016" s="1" t="str">
        <f>IFERROR(__xludf.DUMMYFUNCTION("""COMPUTED_VALUE"""),"")</f>
        <v/>
      </c>
      <c r="AH1016" s="1" t="str">
        <f>IFERROR(__xludf.DUMMYFUNCTION("""COMPUTED_VALUE"""),"Media Monitoring")</f>
        <v>Media Monitoring</v>
      </c>
      <c r="AI1016" s="1" t="str">
        <f>IFERROR(__xludf.DUMMYFUNCTION("""COMPUTED_VALUE"""),"")</f>
        <v/>
      </c>
      <c r="AJ1016" s="1" t="str">
        <f>IFERROR(__xludf.DUMMYFUNCTION("""COMPUTED_VALUE"""),"")</f>
        <v/>
      </c>
      <c r="AK1016" s="1" t="str">
        <f>IFERROR(__xludf.DUMMYFUNCTION("""COMPUTED_VALUE"""),"")</f>
        <v/>
      </c>
      <c r="AL1016" s="1" t="str">
        <f>IFERROR(__xludf.DUMMYFUNCTION("""COMPUTED_VALUE"""),"")</f>
        <v/>
      </c>
      <c r="AM1016" s="1" t="str">
        <f>IFERROR(__xludf.DUMMYFUNCTION("""COMPUTED_VALUE"""),"")</f>
        <v/>
      </c>
      <c r="AN1016" s="1" t="str">
        <f>IFERROR(__xludf.DUMMYFUNCTION("""COMPUTED_VALUE"""),"")</f>
        <v/>
      </c>
      <c r="AO1016" s="1" t="str">
        <f>IFERROR(__xludf.DUMMYFUNCTION("""COMPUTED_VALUE"""),"")</f>
        <v/>
      </c>
      <c r="AP1016" s="1" t="str">
        <f>IFERROR(__xludf.DUMMYFUNCTION("""COMPUTED_VALUE"""),"")</f>
        <v/>
      </c>
      <c r="AQ1016" s="1" t="str">
        <f>IFERROR(__xludf.DUMMYFUNCTION("""COMPUTED_VALUE"""),"08/05/2025")</f>
        <v>08/05/2025</v>
      </c>
      <c r="AR1016" s="1" t="str">
        <f>IFERROR(__xludf.DUMMYFUNCTION("""COMPUTED_VALUE"""),"08/05/2025")</f>
        <v>08/05/2025</v>
      </c>
    </row>
    <row r="1017">
      <c r="A1017" s="1" t="str">
        <f>IFERROR(__xludf.DUMMYFUNCTION("""COMPUTED_VALUE"""),"Pyote Data Center")</f>
        <v>Pyote Data Center</v>
      </c>
      <c r="B1017" s="1" t="str">
        <f>IFERROR(__xludf.DUMMYFUNCTION("""COMPUTED_VALUE"""),"Near intersection of I-20 and FM 1927")</f>
        <v>Near intersection of I-20 and FM 1927</v>
      </c>
      <c r="C1017" s="1" t="str">
        <f>IFERROR(__xludf.DUMMYFUNCTION("""COMPUTED_VALUE"""),"Pyote")</f>
        <v>Pyote</v>
      </c>
      <c r="D1017" s="1" t="str">
        <f>IFERROR(__xludf.DUMMYFUNCTION("""COMPUTED_VALUE"""),"TX")</f>
        <v>TX</v>
      </c>
      <c r="E1017" s="1" t="str">
        <f>IFERROR(__xludf.DUMMYFUNCTION("""COMPUTED_VALUE"""),"79777")</f>
        <v>79777</v>
      </c>
      <c r="F1017" s="1" t="str">
        <f>IFERROR(__xludf.DUMMYFUNCTION("""COMPUTED_VALUE"""),"Ward")</f>
        <v>Ward</v>
      </c>
      <c r="G1017" s="1" t="str">
        <f>IFERROR(__xludf.DUMMYFUNCTION("""COMPUTED_VALUE"""),"31.52544")</f>
        <v>31.52544</v>
      </c>
      <c r="H1017" s="1" t="str">
        <f>IFERROR(__xludf.DUMMYFUNCTION("""COMPUTED_VALUE"""),"-103.117")</f>
        <v>-103.117</v>
      </c>
      <c r="I1017" s="1" t="str">
        <f>IFERROR(__xludf.DUMMYFUNCTION("""COMPUTED_VALUE"""),"Operating")</f>
        <v>Operating</v>
      </c>
      <c r="J1017" s="1" t="str">
        <f>IFERROR(__xludf.DUMMYFUNCTION("""COMPUTED_VALUE"""),"Medium")</f>
        <v>Medium</v>
      </c>
      <c r="K1017" s="1" t="str">
        <f>IFERROR(__xludf.DUMMYFUNCTION("""COMPUTED_VALUE"""),"")</f>
        <v/>
      </c>
      <c r="L1017" s="1" t="str">
        <f>IFERROR(__xludf.DUMMYFUNCTION("""COMPUTED_VALUE"""),"")</f>
        <v/>
      </c>
      <c r="M1017" s="1" t="str">
        <f>IFERROR(__xludf.DUMMYFUNCTION("""COMPUTED_VALUE"""),"")</f>
        <v/>
      </c>
      <c r="N1017" s="1" t="str">
        <f>IFERROR(__xludf.DUMMYFUNCTION("""COMPUTED_VALUE"""),"300")</f>
        <v>300</v>
      </c>
      <c r="O1017" s="1" t="str">
        <f>IFERROR(__xludf.DUMMYFUNCTION("""COMPUTED_VALUE"""),"Hyperscale (100-999 MW)")</f>
        <v>Hyperscale (100-999 MW)</v>
      </c>
      <c r="P1017" s="1" t="str">
        <f>IFERROR(__xludf.DUMMYFUNCTION("""COMPUTED_VALUE"""),"")</f>
        <v/>
      </c>
      <c r="Q1017" s="1" t="str">
        <f>IFERROR(__xludf.DUMMYFUNCTION("""COMPUTED_VALUE"""),"")</f>
        <v/>
      </c>
      <c r="R1017" s="1" t="str">
        <f>IFERROR(__xludf.DUMMYFUNCTION("""COMPUTED_VALUE"""),"")</f>
        <v/>
      </c>
      <c r="S1017" s="1" t="str">
        <f>IFERROR(__xludf.DUMMYFUNCTION("""COMPUTED_VALUE"""),"")</f>
        <v/>
      </c>
      <c r="T1017" s="1" t="str">
        <f>IFERROR(__xludf.DUMMYFUNCTION("""COMPUTED_VALUE"""),"")</f>
        <v/>
      </c>
      <c r="U1017" s="1" t="str">
        <f>IFERROR(__xludf.DUMMYFUNCTION("""COMPUTED_VALUE"""),"")</f>
        <v/>
      </c>
      <c r="V1017" s="1" t="str">
        <f>IFERROR(__xludf.DUMMYFUNCTION("""COMPUTED_VALUE"""),"")</f>
        <v/>
      </c>
      <c r="W1017" s="1" t="str">
        <f>IFERROR(__xludf.DUMMYFUNCTION("""COMPUTED_VALUE"""),"")</f>
        <v/>
      </c>
      <c r="X1017" s="1" t="str">
        <f>IFERROR(__xludf.DUMMYFUNCTION("""COMPUTED_VALUE"""),"")</f>
        <v/>
      </c>
      <c r="Y1017" s="1" t="str">
        <f>IFERROR(__xludf.DUMMYFUNCTION("""COMPUTED_VALUE"""),"")</f>
        <v/>
      </c>
      <c r="Z1017" s="1" t="str">
        <f>IFERROR(__xludf.DUMMYFUNCTION("""COMPUTED_VALUE"""),"Unknown")</f>
        <v>Unknown</v>
      </c>
      <c r="AA1017" s="1" t="str">
        <f>IFERROR(__xludf.DUMMYFUNCTION("""COMPUTED_VALUE"""),"")</f>
        <v/>
      </c>
      <c r="AB1017" s="1" t="str">
        <f>IFERROR(__xludf.DUMMYFUNCTION("""COMPUTED_VALUE"""),"")</f>
        <v/>
      </c>
      <c r="AC1017" s="1" t="str">
        <f>IFERROR(__xludf.DUMMYFUNCTION("""COMPUTED_VALUE"""),"")</f>
        <v/>
      </c>
      <c r="AD1017" s="1" t="str">
        <f>IFERROR(__xludf.DUMMYFUNCTION("""COMPUTED_VALUE"""),"")</f>
        <v/>
      </c>
      <c r="AE1017" s="1" t="str">
        <f>IFERROR(__xludf.DUMMYFUNCTION("""COMPUTED_VALUE"""),"")</f>
        <v/>
      </c>
      <c r="AF1017" s="1" t="str">
        <f>IFERROR(__xludf.DUMMYFUNCTION("""COMPUTED_VALUE"""),"")</f>
        <v/>
      </c>
      <c r="AG1017" s="1" t="str">
        <f>IFERROR(__xludf.DUMMYFUNCTION("""COMPUTED_VALUE"""),"Mines bitcoin in addition")</f>
        <v>Mines bitcoin in addition</v>
      </c>
      <c r="AH1017" s="1" t="str">
        <f>IFERROR(__xludf.DUMMYFUNCTION("""COMPUTED_VALUE"""),"Media Monitoring")</f>
        <v>Media Monitoring</v>
      </c>
      <c r="AI1017" s="2" t="str">
        <f>IFERROR(__xludf.DUMMYFUNCTION("""COMPUTED_VALUE"""),"https://genesisdigitalassets.com/our-work-and-impact/")</f>
        <v>https://genesisdigitalassets.com/our-work-and-impact/</v>
      </c>
      <c r="AJ1017" s="1" t="str">
        <f>IFERROR(__xludf.DUMMYFUNCTION("""COMPUTED_VALUE"""),"")</f>
        <v/>
      </c>
      <c r="AK1017" s="1" t="str">
        <f>IFERROR(__xludf.DUMMYFUNCTION("""COMPUTED_VALUE"""),"")</f>
        <v/>
      </c>
      <c r="AL1017" s="1" t="str">
        <f>IFERROR(__xludf.DUMMYFUNCTION("""COMPUTED_VALUE"""),"")</f>
        <v/>
      </c>
      <c r="AM1017" s="1" t="str">
        <f>IFERROR(__xludf.DUMMYFUNCTION("""COMPUTED_VALUE"""),"")</f>
        <v/>
      </c>
      <c r="AN1017" s="1" t="str">
        <f>IFERROR(__xludf.DUMMYFUNCTION("""COMPUTED_VALUE"""),"")</f>
        <v/>
      </c>
      <c r="AO1017" s="1" t="str">
        <f>IFERROR(__xludf.DUMMYFUNCTION("""COMPUTED_VALUE"""),"")</f>
        <v/>
      </c>
      <c r="AP1017" s="1" t="str">
        <f>IFERROR(__xludf.DUMMYFUNCTION("""COMPUTED_VALUE"""),"")</f>
        <v/>
      </c>
      <c r="AQ1017" s="1" t="str">
        <f>IFERROR(__xludf.DUMMYFUNCTION("""COMPUTED_VALUE"""),"08/05/2025")</f>
        <v>08/05/2025</v>
      </c>
      <c r="AR1017" s="1" t="str">
        <f>IFERROR(__xludf.DUMMYFUNCTION("""COMPUTED_VALUE"""),"08/05/2025")</f>
        <v>08/05/2025</v>
      </c>
    </row>
    <row r="1018">
      <c r="A1018" s="1" t="str">
        <f>IFERROR(__xludf.DUMMYFUNCTION("""COMPUTED_VALUE"""),"Core Scientific")</f>
        <v>Core Scientific</v>
      </c>
      <c r="B1018" s="1" t="str">
        <f>IFERROR(__xludf.DUMMYFUNCTION("""COMPUTED_VALUE"""),"Signal Rd")</f>
        <v>Signal Rd</v>
      </c>
      <c r="C1018" s="1" t="str">
        <f>IFERROR(__xludf.DUMMYFUNCTION("""COMPUTED_VALUE"""),"Quinlan")</f>
        <v>Quinlan</v>
      </c>
      <c r="D1018" s="1" t="str">
        <f>IFERROR(__xludf.DUMMYFUNCTION("""COMPUTED_VALUE"""),"TX")</f>
        <v>TX</v>
      </c>
      <c r="E1018" s="1" t="str">
        <f>IFERROR(__xludf.DUMMYFUNCTION("""COMPUTED_VALUE"""),"75474")</f>
        <v>75474</v>
      </c>
      <c r="F1018" s="1" t="str">
        <f>IFERROR(__xludf.DUMMYFUNCTION("""COMPUTED_VALUE"""),"Hunt")</f>
        <v>Hunt</v>
      </c>
      <c r="G1018" s="1" t="str">
        <f>IFERROR(__xludf.DUMMYFUNCTION("""COMPUTED_VALUE"""),"32.988132")</f>
        <v>32.988132</v>
      </c>
      <c r="H1018" s="1" t="str">
        <f>IFERROR(__xludf.DUMMYFUNCTION("""COMPUTED_VALUE"""),"-96.08421")</f>
        <v>-96.08421</v>
      </c>
      <c r="I1018" s="1" t="str">
        <f>IFERROR(__xludf.DUMMYFUNCTION("""COMPUTED_VALUE"""),"Proposed")</f>
        <v>Proposed</v>
      </c>
      <c r="J1018" s="1" t="str">
        <f>IFERROR(__xludf.DUMMYFUNCTION("""COMPUTED_VALUE"""),"Medium")</f>
        <v>Medium</v>
      </c>
      <c r="K1018" s="1" t="str">
        <f>IFERROR(__xludf.DUMMYFUNCTION("""COMPUTED_VALUE"""),"")</f>
        <v/>
      </c>
      <c r="L1018" s="1" t="str">
        <f>IFERROR(__xludf.DUMMYFUNCTION("""COMPUTED_VALUE"""),"")</f>
        <v/>
      </c>
      <c r="M1018" s="1" t="str">
        <f>IFERROR(__xludf.DUMMYFUNCTION("""COMPUTED_VALUE"""),"")</f>
        <v/>
      </c>
      <c r="N1018" s="1" t="str">
        <f>IFERROR(__xludf.DUMMYFUNCTION("""COMPUTED_VALUE"""),"285")</f>
        <v>285</v>
      </c>
      <c r="O1018" s="1" t="str">
        <f>IFERROR(__xludf.DUMMYFUNCTION("""COMPUTED_VALUE"""),"Hyperscale (100-999 MW)")</f>
        <v>Hyperscale (100-999 MW)</v>
      </c>
      <c r="P1018" s="1" t="str">
        <f>IFERROR(__xludf.DUMMYFUNCTION("""COMPUTED_VALUE"""),"")</f>
        <v/>
      </c>
      <c r="Q1018" s="1" t="str">
        <f>IFERROR(__xludf.DUMMYFUNCTION("""COMPUTED_VALUE"""),"")</f>
        <v/>
      </c>
      <c r="R1018" s="1" t="str">
        <f>IFERROR(__xludf.DUMMYFUNCTION("""COMPUTED_VALUE"""),"")</f>
        <v/>
      </c>
      <c r="S1018" s="1" t="str">
        <f>IFERROR(__xludf.DUMMYFUNCTION("""COMPUTED_VALUE"""),"")</f>
        <v/>
      </c>
      <c r="T1018" s="1" t="str">
        <f>IFERROR(__xludf.DUMMYFUNCTION("""COMPUTED_VALUE"""),"")</f>
        <v/>
      </c>
      <c r="U1018" s="1" t="str">
        <f>IFERROR(__xludf.DUMMYFUNCTION("""COMPUTED_VALUE"""),"")</f>
        <v/>
      </c>
      <c r="V1018" s="1" t="str">
        <f>IFERROR(__xludf.DUMMYFUNCTION("""COMPUTED_VALUE"""),"")</f>
        <v/>
      </c>
      <c r="W1018" s="1" t="str">
        <f>IFERROR(__xludf.DUMMYFUNCTION("""COMPUTED_VALUE"""),"265")</f>
        <v>265</v>
      </c>
      <c r="X1018" s="1" t="str">
        <f>IFERROR(__xludf.DUMMYFUNCTION("""COMPUTED_VALUE"""),"")</f>
        <v/>
      </c>
      <c r="Y1018" s="1" t="str">
        <f>IFERROR(__xludf.DUMMYFUNCTION("""COMPUTED_VALUE"""),"2027")</f>
        <v>2027</v>
      </c>
      <c r="Z1018" s="1" t="str">
        <f>IFERROR(__xludf.DUMMYFUNCTION("""COMPUTED_VALUE"""),"Unknown")</f>
        <v>Unknown</v>
      </c>
      <c r="AA1018" s="1" t="str">
        <f>IFERROR(__xludf.DUMMYFUNCTION("""COMPUTED_VALUE"""),"")</f>
        <v/>
      </c>
      <c r="AB1018" s="1" t="str">
        <f>IFERROR(__xludf.DUMMYFUNCTION("""COMPUTED_VALUE"""),"")</f>
        <v/>
      </c>
      <c r="AC1018" s="1" t="str">
        <f>IFERROR(__xludf.DUMMYFUNCTION("""COMPUTED_VALUE"""),"")</f>
        <v/>
      </c>
      <c r="AD1018" s="1" t="str">
        <f>IFERROR(__xludf.DUMMYFUNCTION("""COMPUTED_VALUE"""),"")</f>
        <v/>
      </c>
      <c r="AE1018" s="1" t="str">
        <f>IFERROR(__xludf.DUMMYFUNCTION("""COMPUTED_VALUE"""),"")</f>
        <v/>
      </c>
      <c r="AF1018" s="1" t="str">
        <f>IFERROR(__xludf.DUMMYFUNCTION("""COMPUTED_VALUE"""),"")</f>
        <v/>
      </c>
      <c r="AG1018" s="1" t="str">
        <f>IFERROR(__xludf.DUMMYFUNCTION("""COMPUTED_VALUE"""),"")</f>
        <v/>
      </c>
      <c r="AH1018" s="1" t="str">
        <f>IFERROR(__xludf.DUMMYFUNCTION("""COMPUTED_VALUE"""),"Media Monitoring")</f>
        <v>Media Monitoring</v>
      </c>
      <c r="AI1018" s="2" t="str">
        <f>IFERROR(__xludf.DUMMYFUNCTION("""COMPUTED_VALUE"""),"https://www.datacenterdynamics.com/en/news/core-scientific-buys-land-outside-dallas-texas-for-285mw-data-center-campus/")</f>
        <v>https://www.datacenterdynamics.com/en/news/core-scientific-buys-land-outside-dallas-texas-for-285mw-data-center-campus/</v>
      </c>
      <c r="AJ1018" s="1" t="str">
        <f>IFERROR(__xludf.DUMMYFUNCTION("""COMPUTED_VALUE"""),"")</f>
        <v/>
      </c>
      <c r="AK1018" s="1" t="str">
        <f>IFERROR(__xludf.DUMMYFUNCTION("""COMPUTED_VALUE"""),"")</f>
        <v/>
      </c>
      <c r="AL1018" s="1" t="str">
        <f>IFERROR(__xludf.DUMMYFUNCTION("""COMPUTED_VALUE"""),"")</f>
        <v/>
      </c>
      <c r="AM1018" s="1" t="str">
        <f>IFERROR(__xludf.DUMMYFUNCTION("""COMPUTED_VALUE"""),"")</f>
        <v/>
      </c>
      <c r="AN1018" s="1" t="str">
        <f>IFERROR(__xludf.DUMMYFUNCTION("""COMPUTED_VALUE"""),"")</f>
        <v/>
      </c>
      <c r="AO1018" s="1" t="str">
        <f>IFERROR(__xludf.DUMMYFUNCTION("""COMPUTED_VALUE"""),"")</f>
        <v/>
      </c>
      <c r="AP1018" s="1" t="str">
        <f>IFERROR(__xludf.DUMMYFUNCTION("""COMPUTED_VALUE"""),"")</f>
        <v/>
      </c>
      <c r="AQ1018" s="1" t="str">
        <f>IFERROR(__xludf.DUMMYFUNCTION("""COMPUTED_VALUE"""),"03/19/2026")</f>
        <v>03/19/2026</v>
      </c>
      <c r="AR1018" s="1" t="str">
        <f>IFERROR(__xludf.DUMMYFUNCTION("""COMPUTED_VALUE"""),"03/19/2026")</f>
        <v>03/19/2026</v>
      </c>
    </row>
    <row r="1019">
      <c r="A1019" s="1" t="str">
        <f>IFERROR(__xludf.DUMMYFUNCTION("""COMPUTED_VALUE"""),"Databank: DFW11 and DFW12")</f>
        <v>Databank: DFW11 and DFW12</v>
      </c>
      <c r="B1019" s="1" t="str">
        <f>IFERROR(__xludf.DUMMYFUNCTION("""COMPUTED_VALUE"""),"Stainback Rd")</f>
        <v>Stainback Rd</v>
      </c>
      <c r="C1019" s="1" t="str">
        <f>IFERROR(__xludf.DUMMYFUNCTION("""COMPUTED_VALUE"""),"Red Oak")</f>
        <v>Red Oak</v>
      </c>
      <c r="D1019" s="1" t="str">
        <f>IFERROR(__xludf.DUMMYFUNCTION("""COMPUTED_VALUE"""),"TX")</f>
        <v>TX</v>
      </c>
      <c r="E1019" s="1" t="str">
        <f>IFERROR(__xludf.DUMMYFUNCTION("""COMPUTED_VALUE"""),"75154")</f>
        <v>75154</v>
      </c>
      <c r="F1019" s="1" t="str">
        <f>IFERROR(__xludf.DUMMYFUNCTION("""COMPUTED_VALUE"""),"Ellis")</f>
        <v>Ellis</v>
      </c>
      <c r="G1019" s="1" t="str">
        <f>IFERROR(__xludf.DUMMYFUNCTION("""COMPUTED_VALUE"""),"32.53531")</f>
        <v>32.53531</v>
      </c>
      <c r="H1019" s="1" t="str">
        <f>IFERROR(__xludf.DUMMYFUNCTION("""COMPUTED_VALUE"""),"-96.7339")</f>
        <v>-96.7339</v>
      </c>
      <c r="I1019" s="1" t="str">
        <f>IFERROR(__xludf.DUMMYFUNCTION("""COMPUTED_VALUE"""),"Proposed")</f>
        <v>Proposed</v>
      </c>
      <c r="J1019" s="1" t="str">
        <f>IFERROR(__xludf.DUMMYFUNCTION("""COMPUTED_VALUE"""),"Medium")</f>
        <v>Medium</v>
      </c>
      <c r="K1019" s="1" t="str">
        <f>IFERROR(__xludf.DUMMYFUNCTION("""COMPUTED_VALUE"""),"")</f>
        <v/>
      </c>
      <c r="L1019" s="1" t="str">
        <f>IFERROR(__xludf.DUMMYFUNCTION("""COMPUTED_VALUE"""),"")</f>
        <v/>
      </c>
      <c r="M1019" s="1" t="str">
        <f>IFERROR(__xludf.DUMMYFUNCTION("""COMPUTED_VALUE"""),"")</f>
        <v/>
      </c>
      <c r="N1019" s="1" t="str">
        <f>IFERROR(__xludf.DUMMYFUNCTION("""COMPUTED_VALUE"""),"480")</f>
        <v>480</v>
      </c>
      <c r="O1019" s="1" t="str">
        <f>IFERROR(__xludf.DUMMYFUNCTION("""COMPUTED_VALUE"""),"Hyperscale (100-999 MW)")</f>
        <v>Hyperscale (100-999 MW)</v>
      </c>
      <c r="P1019" s="1" t="str">
        <f>IFERROR(__xludf.DUMMYFUNCTION("""COMPUTED_VALUE"""),"")</f>
        <v/>
      </c>
      <c r="Q1019" s="1" t="str">
        <f>IFERROR(__xludf.DUMMYFUNCTION("""COMPUTED_VALUE"""),"")</f>
        <v/>
      </c>
      <c r="R1019" s="1" t="str">
        <f>IFERROR(__xludf.DUMMYFUNCTION("""COMPUTED_VALUE"""),"")</f>
        <v/>
      </c>
      <c r="S1019" s="1" t="str">
        <f>IFERROR(__xludf.DUMMYFUNCTION("""COMPUTED_VALUE"""),"")</f>
        <v/>
      </c>
      <c r="T1019" s="1" t="str">
        <f>IFERROR(__xludf.DUMMYFUNCTION("""COMPUTED_VALUE"""),"")</f>
        <v/>
      </c>
      <c r="U1019" s="1" t="str">
        <f>IFERROR(__xludf.DUMMYFUNCTION("""COMPUTED_VALUE"""),"")</f>
        <v/>
      </c>
      <c r="V1019" s="1" t="str">
        <f>IFERROR(__xludf.DUMMYFUNCTION("""COMPUTED_VALUE"""),"950,000")</f>
        <v>950,000</v>
      </c>
      <c r="W1019" s="1" t="str">
        <f>IFERROR(__xludf.DUMMYFUNCTION("""COMPUTED_VALUE"""),"")</f>
        <v/>
      </c>
      <c r="X1019" s="1" t="str">
        <f>IFERROR(__xludf.DUMMYFUNCTION("""COMPUTED_VALUE"""),"$325 million")</f>
        <v>$325 million</v>
      </c>
      <c r="Y1019" s="1" t="str">
        <f>IFERROR(__xludf.DUMMYFUNCTION("""COMPUTED_VALUE"""),"")</f>
        <v/>
      </c>
      <c r="Z1019" s="1" t="str">
        <f>IFERROR(__xludf.DUMMYFUNCTION("""COMPUTED_VALUE"""),"Unknown")</f>
        <v>Unknown</v>
      </c>
      <c r="AA1019" s="1" t="str">
        <f>IFERROR(__xludf.DUMMYFUNCTION("""COMPUTED_VALUE"""),"")</f>
        <v/>
      </c>
      <c r="AB1019" s="1" t="str">
        <f>IFERROR(__xludf.DUMMYFUNCTION("""COMPUTED_VALUE"""),"")</f>
        <v/>
      </c>
      <c r="AC1019" s="1" t="str">
        <f>IFERROR(__xludf.DUMMYFUNCTION("""COMPUTED_VALUE"""),"")</f>
        <v/>
      </c>
      <c r="AD1019" s="1" t="str">
        <f>IFERROR(__xludf.DUMMYFUNCTION("""COMPUTED_VALUE"""),"")</f>
        <v/>
      </c>
      <c r="AE1019" s="1" t="str">
        <f>IFERROR(__xludf.DUMMYFUNCTION("""COMPUTED_VALUE"""),"")</f>
        <v/>
      </c>
      <c r="AF1019" s="1" t="str">
        <f>IFERROR(__xludf.DUMMYFUNCTION("""COMPUTED_VALUE"""),"")</f>
        <v/>
      </c>
      <c r="AG1019" s="1" t="str">
        <f>IFERROR(__xludf.DUMMYFUNCTION("""COMPUTED_VALUE"""),"")</f>
        <v/>
      </c>
      <c r="AH1019" s="1" t="str">
        <f>IFERROR(__xludf.DUMMYFUNCTION("""COMPUTED_VALUE"""),"Media Monitoring")</f>
        <v>Media Monitoring</v>
      </c>
      <c r="AI1019" s="2" t="str">
        <f>IFERROR(__xludf.DUMMYFUNCTION("""COMPUTED_VALUE"""),"https://www.datacenterdynamics.com/en/news/databank-files-to-develop-two-more-data-centers-at-upcoming-red-oak-texas-campus/")</f>
        <v>https://www.datacenterdynamics.com/en/news/databank-files-to-develop-two-more-data-centers-at-upcoming-red-oak-texas-campus/</v>
      </c>
      <c r="AJ1019" s="1" t="str">
        <f>IFERROR(__xludf.DUMMYFUNCTION("""COMPUTED_VALUE"""),"")</f>
        <v/>
      </c>
      <c r="AK1019" s="1" t="str">
        <f>IFERROR(__xludf.DUMMYFUNCTION("""COMPUTED_VALUE"""),"")</f>
        <v/>
      </c>
      <c r="AL1019" s="1" t="str">
        <f>IFERROR(__xludf.DUMMYFUNCTION("""COMPUTED_VALUE"""),"")</f>
        <v/>
      </c>
      <c r="AM1019" s="1" t="str">
        <f>IFERROR(__xludf.DUMMYFUNCTION("""COMPUTED_VALUE"""),"")</f>
        <v/>
      </c>
      <c r="AN1019" s="1" t="str">
        <f>IFERROR(__xludf.DUMMYFUNCTION("""COMPUTED_VALUE"""),"")</f>
        <v/>
      </c>
      <c r="AO1019" s="1" t="str">
        <f>IFERROR(__xludf.DUMMYFUNCTION("""COMPUTED_VALUE"""),"")</f>
        <v/>
      </c>
      <c r="AP1019" s="1" t="str">
        <f>IFERROR(__xludf.DUMMYFUNCTION("""COMPUTED_VALUE"""),"")</f>
        <v/>
      </c>
      <c r="AQ1019" s="1" t="str">
        <f>IFERROR(__xludf.DUMMYFUNCTION("""COMPUTED_VALUE"""),"06/21/2025")</f>
        <v>06/21/2025</v>
      </c>
      <c r="AR1019" s="1" t="str">
        <f>IFERROR(__xludf.DUMMYFUNCTION("""COMPUTED_VALUE"""),"06/21/2025")</f>
        <v>06/21/2025</v>
      </c>
    </row>
    <row r="1020">
      <c r="A1020" s="1" t="str">
        <f>IFERROR(__xludf.DUMMYFUNCTION("""COMPUTED_VALUE"""),"Google Data Center")</f>
        <v>Google Data Center</v>
      </c>
      <c r="B1020" s="1" t="str">
        <f>IFERROR(__xludf.DUMMYFUNCTION("""COMPUTED_VALUE"""),"330 Austin Blvd")</f>
        <v>330 Austin Blvd</v>
      </c>
      <c r="C1020" s="1" t="str">
        <f>IFERROR(__xludf.DUMMYFUNCTION("""COMPUTED_VALUE"""),"Red Oak")</f>
        <v>Red Oak</v>
      </c>
      <c r="D1020" s="1" t="str">
        <f>IFERROR(__xludf.DUMMYFUNCTION("""COMPUTED_VALUE"""),"TX")</f>
        <v>TX</v>
      </c>
      <c r="E1020" s="1" t="str">
        <f>IFERROR(__xludf.DUMMYFUNCTION("""COMPUTED_VALUE"""),"75154")</f>
        <v>75154</v>
      </c>
      <c r="F1020" s="1" t="str">
        <f>IFERROR(__xludf.DUMMYFUNCTION("""COMPUTED_VALUE"""),"Ellis")</f>
        <v>Ellis</v>
      </c>
      <c r="G1020" s="1" t="str">
        <f>IFERROR(__xludf.DUMMYFUNCTION("""COMPUTED_VALUE"""),"32.53763")</f>
        <v>32.53763</v>
      </c>
      <c r="H1020" s="1" t="str">
        <f>IFERROR(__xludf.DUMMYFUNCTION("""COMPUTED_VALUE"""),"-96.7968")</f>
        <v>-96.7968</v>
      </c>
      <c r="I1020" s="1" t="str">
        <f>IFERROR(__xludf.DUMMYFUNCTION("""COMPUTED_VALUE"""),"Proposed")</f>
        <v>Proposed</v>
      </c>
      <c r="J1020" s="1" t="str">
        <f>IFERROR(__xludf.DUMMYFUNCTION("""COMPUTED_VALUE"""),"High")</f>
        <v>High</v>
      </c>
      <c r="K1020" s="1" t="str">
        <f>IFERROR(__xludf.DUMMYFUNCTION("""COMPUTED_VALUE"""),"")</f>
        <v/>
      </c>
      <c r="L1020" s="1" t="str">
        <f>IFERROR(__xludf.DUMMYFUNCTION("""COMPUTED_VALUE"""),"Google")</f>
        <v>Google</v>
      </c>
      <c r="M1020" s="1" t="str">
        <f>IFERROR(__xludf.DUMMYFUNCTION("""COMPUTED_VALUE"""),"")</f>
        <v/>
      </c>
      <c r="N1020" s="1" t="str">
        <f>IFERROR(__xludf.DUMMYFUNCTION("""COMPUTED_VALUE"""),"")</f>
        <v/>
      </c>
      <c r="O1020" s="1" t="str">
        <f>IFERROR(__xludf.DUMMYFUNCTION("""COMPUTED_VALUE"""),"Unknown")</f>
        <v>Unknown</v>
      </c>
      <c r="P1020" s="1" t="str">
        <f>IFERROR(__xludf.DUMMYFUNCTION("""COMPUTED_VALUE"""),"")</f>
        <v/>
      </c>
      <c r="Q1020" s="1" t="str">
        <f>IFERROR(__xludf.DUMMYFUNCTION("""COMPUTED_VALUE"""),"")</f>
        <v/>
      </c>
      <c r="R1020" s="1" t="str">
        <f>IFERROR(__xludf.DUMMYFUNCTION("""COMPUTED_VALUE"""),"")</f>
        <v/>
      </c>
      <c r="S1020" s="1" t="str">
        <f>IFERROR(__xludf.DUMMYFUNCTION("""COMPUTED_VALUE"""),"")</f>
        <v/>
      </c>
      <c r="T1020" s="1" t="str">
        <f>IFERROR(__xludf.DUMMYFUNCTION("""COMPUTED_VALUE"""),"")</f>
        <v/>
      </c>
      <c r="U1020" s="1" t="str">
        <f>IFERROR(__xludf.DUMMYFUNCTION("""COMPUTED_VALUE"""),"")</f>
        <v/>
      </c>
      <c r="V1020" s="1" t="str">
        <f>IFERROR(__xludf.DUMMYFUNCTION("""COMPUTED_VALUE"""),"")</f>
        <v/>
      </c>
      <c r="W1020" s="1" t="str">
        <f>IFERROR(__xludf.DUMMYFUNCTION("""COMPUTED_VALUE"""),"")</f>
        <v/>
      </c>
      <c r="X1020" s="1" t="str">
        <f>IFERROR(__xludf.DUMMYFUNCTION("""COMPUTED_VALUE"""),"$600 million")</f>
        <v>$600 million</v>
      </c>
      <c r="Y1020" s="1" t="str">
        <f>IFERROR(__xludf.DUMMYFUNCTION("""COMPUTED_VALUE"""),"")</f>
        <v/>
      </c>
      <c r="Z1020" s="1" t="str">
        <f>IFERROR(__xludf.DUMMYFUNCTION("""COMPUTED_VALUE"""),"Unknown")</f>
        <v>Unknown</v>
      </c>
      <c r="AA1020" s="1" t="str">
        <f>IFERROR(__xludf.DUMMYFUNCTION("""COMPUTED_VALUE"""),"")</f>
        <v/>
      </c>
      <c r="AB1020" s="1" t="str">
        <f>IFERROR(__xludf.DUMMYFUNCTION("""COMPUTED_VALUE"""),"")</f>
        <v/>
      </c>
      <c r="AC1020" s="1" t="str">
        <f>IFERROR(__xludf.DUMMYFUNCTION("""COMPUTED_VALUE"""),"")</f>
        <v/>
      </c>
      <c r="AD1020" s="1" t="str">
        <f>IFERROR(__xludf.DUMMYFUNCTION("""COMPUTED_VALUE"""),"")</f>
        <v/>
      </c>
      <c r="AE1020" s="1" t="str">
        <f>IFERROR(__xludf.DUMMYFUNCTION("""COMPUTED_VALUE"""),"")</f>
        <v/>
      </c>
      <c r="AF1020" s="1" t="str">
        <f>IFERROR(__xludf.DUMMYFUNCTION("""COMPUTED_VALUE"""),"")</f>
        <v/>
      </c>
      <c r="AG1020" s="1" t="str">
        <f>IFERROR(__xludf.DUMMYFUNCTION("""COMPUTED_VALUE"""),"")</f>
        <v/>
      </c>
      <c r="AH1020" s="1" t="str">
        <f>IFERROR(__xludf.DUMMYFUNCTION("""COMPUTED_VALUE"""),"Media Monitoring")</f>
        <v>Media Monitoring</v>
      </c>
      <c r="AI1020" s="2" t="str">
        <f>IFERROR(__xludf.DUMMYFUNCTION("""COMPUTED_VALUE"""),"https://www.datacenterdynamics.com/en/news/google-announces-plans-for-red-oak-data-center-campus-in-texas/")</f>
        <v>https://www.datacenterdynamics.com/en/news/google-announces-plans-for-red-oak-data-center-campus-in-texas/</v>
      </c>
      <c r="AJ1020" s="1" t="str">
        <f>IFERROR(__xludf.DUMMYFUNCTION("""COMPUTED_VALUE"""),"")</f>
        <v/>
      </c>
      <c r="AK1020" s="1" t="str">
        <f>IFERROR(__xludf.DUMMYFUNCTION("""COMPUTED_VALUE"""),"")</f>
        <v/>
      </c>
      <c r="AL1020" s="1" t="str">
        <f>IFERROR(__xludf.DUMMYFUNCTION("""COMPUTED_VALUE"""),"")</f>
        <v/>
      </c>
      <c r="AM1020" s="1" t="str">
        <f>IFERROR(__xludf.DUMMYFUNCTION("""COMPUTED_VALUE"""),"")</f>
        <v/>
      </c>
      <c r="AN1020" s="1" t="str">
        <f>IFERROR(__xludf.DUMMYFUNCTION("""COMPUTED_VALUE"""),"")</f>
        <v/>
      </c>
      <c r="AO1020" s="1" t="str">
        <f>IFERROR(__xludf.DUMMYFUNCTION("""COMPUTED_VALUE"""),"")</f>
        <v/>
      </c>
      <c r="AP1020" s="1" t="str">
        <f>IFERROR(__xludf.DUMMYFUNCTION("""COMPUTED_VALUE"""),"")</f>
        <v/>
      </c>
      <c r="AQ1020" s="1" t="str">
        <f>IFERROR(__xludf.DUMMYFUNCTION("""COMPUTED_VALUE"""),"05/25/2025")</f>
        <v>05/25/2025</v>
      </c>
      <c r="AR1020" s="1" t="str">
        <f>IFERROR(__xludf.DUMMYFUNCTION("""COMPUTED_VALUE"""),"05/25/2025")</f>
        <v>05/25/2025</v>
      </c>
    </row>
    <row r="1021">
      <c r="A1021" s="1" t="str">
        <f>IFERROR(__xludf.DUMMYFUNCTION("""COMPUTED_VALUE"""),"Red Oak Data Center 2")</f>
        <v>Red Oak Data Center 2</v>
      </c>
      <c r="B1021" s="1" t="str">
        <f>IFERROR(__xludf.DUMMYFUNCTION("""COMPUTED_VALUE"""),"156 N. Austin Blvd")</f>
        <v>156 N. Austin Blvd</v>
      </c>
      <c r="C1021" s="1" t="str">
        <f>IFERROR(__xludf.DUMMYFUNCTION("""COMPUTED_VALUE"""),"Red Oak")</f>
        <v>Red Oak</v>
      </c>
      <c r="D1021" s="1" t="str">
        <f>IFERROR(__xludf.DUMMYFUNCTION("""COMPUTED_VALUE"""),"TX")</f>
        <v>TX</v>
      </c>
      <c r="E1021" s="1" t="str">
        <f>IFERROR(__xludf.DUMMYFUNCTION("""COMPUTED_VALUE"""),"75154")</f>
        <v>75154</v>
      </c>
      <c r="F1021" s="1" t="str">
        <f>IFERROR(__xludf.DUMMYFUNCTION("""COMPUTED_VALUE"""),"Ellis")</f>
        <v>Ellis</v>
      </c>
      <c r="G1021" s="1" t="str">
        <f>IFERROR(__xludf.DUMMYFUNCTION("""COMPUTED_VALUE"""),"32.53665")</f>
        <v>32.53665</v>
      </c>
      <c r="H1021" s="1" t="str">
        <f>IFERROR(__xludf.DUMMYFUNCTION("""COMPUTED_VALUE"""),"-96.79767")</f>
        <v>-96.79767</v>
      </c>
      <c r="I1021" s="1" t="str">
        <f>IFERROR(__xludf.DUMMYFUNCTION("""COMPUTED_VALUE"""),"Operating")</f>
        <v>Operating</v>
      </c>
      <c r="J1021" s="1" t="str">
        <f>IFERROR(__xludf.DUMMYFUNCTION("""COMPUTED_VALUE"""),"High")</f>
        <v>High</v>
      </c>
      <c r="K1021" s="1" t="str">
        <f>IFERROR(__xludf.DUMMYFUNCTION("""COMPUTED_VALUE"""),"")</f>
        <v/>
      </c>
      <c r="L1021" s="1" t="str">
        <f>IFERROR(__xludf.DUMMYFUNCTION("""COMPUTED_VALUE"""),"Google")</f>
        <v>Google</v>
      </c>
      <c r="M1021" s="1" t="str">
        <f>IFERROR(__xludf.DUMMYFUNCTION("""COMPUTED_VALUE"""),"")</f>
        <v/>
      </c>
      <c r="N1021" s="1" t="str">
        <f>IFERROR(__xludf.DUMMYFUNCTION("""COMPUTED_VALUE"""),"")</f>
        <v/>
      </c>
      <c r="O1021" s="1" t="str">
        <f>IFERROR(__xludf.DUMMYFUNCTION("""COMPUTED_VALUE"""),"Unknown")</f>
        <v>Unknown</v>
      </c>
      <c r="P1021" s="1" t="str">
        <f>IFERROR(__xludf.DUMMYFUNCTION("""COMPUTED_VALUE"""),"")</f>
        <v/>
      </c>
      <c r="Q1021" s="1" t="str">
        <f>IFERROR(__xludf.DUMMYFUNCTION("""COMPUTED_VALUE"""),"")</f>
        <v/>
      </c>
      <c r="R1021" s="1" t="str">
        <f>IFERROR(__xludf.DUMMYFUNCTION("""COMPUTED_VALUE"""),"")</f>
        <v/>
      </c>
      <c r="S1021" s="1" t="str">
        <f>IFERROR(__xludf.DUMMYFUNCTION("""COMPUTED_VALUE"""),"")</f>
        <v/>
      </c>
      <c r="T1021" s="1" t="str">
        <f>IFERROR(__xludf.DUMMYFUNCTION("""COMPUTED_VALUE"""),"")</f>
        <v/>
      </c>
      <c r="U1021" s="1" t="str">
        <f>IFERROR(__xludf.DUMMYFUNCTION("""COMPUTED_VALUE"""),"")</f>
        <v/>
      </c>
      <c r="V1021" s="1" t="str">
        <f>IFERROR(__xludf.DUMMYFUNCTION("""COMPUTED_VALUE"""),"285,000")</f>
        <v>285,000</v>
      </c>
      <c r="W1021" s="1" t="str">
        <f>IFERROR(__xludf.DUMMYFUNCTION("""COMPUTED_VALUE"""),"166")</f>
        <v>166</v>
      </c>
      <c r="X1021" s="1" t="str">
        <f>IFERROR(__xludf.DUMMYFUNCTION("""COMPUTED_VALUE"""),"")</f>
        <v/>
      </c>
      <c r="Y1021" s="1" t="str">
        <f>IFERROR(__xludf.DUMMYFUNCTION("""COMPUTED_VALUE"""),"")</f>
        <v/>
      </c>
      <c r="Z1021" s="1" t="str">
        <f>IFERROR(__xludf.DUMMYFUNCTION("""COMPUTED_VALUE"""),"Unknown")</f>
        <v>Unknown</v>
      </c>
      <c r="AA1021" s="1" t="str">
        <f>IFERROR(__xludf.DUMMYFUNCTION("""COMPUTED_VALUE"""),"")</f>
        <v/>
      </c>
      <c r="AB1021" s="1" t="str">
        <f>IFERROR(__xludf.DUMMYFUNCTION("""COMPUTED_VALUE"""),"")</f>
        <v/>
      </c>
      <c r="AC1021" s="1" t="str">
        <f>IFERROR(__xludf.DUMMYFUNCTION("""COMPUTED_VALUE"""),"")</f>
        <v/>
      </c>
      <c r="AD1021" s="1" t="str">
        <f>IFERROR(__xludf.DUMMYFUNCTION("""COMPUTED_VALUE"""),"")</f>
        <v/>
      </c>
      <c r="AE1021" s="1" t="str">
        <f>IFERROR(__xludf.DUMMYFUNCTION("""COMPUTED_VALUE"""),"")</f>
        <v/>
      </c>
      <c r="AF1021" s="1" t="str">
        <f>IFERROR(__xludf.DUMMYFUNCTION("""COMPUTED_VALUE"""),"")</f>
        <v/>
      </c>
      <c r="AG1021" s="1" t="str">
        <f>IFERROR(__xludf.DUMMYFUNCTION("""COMPUTED_VALUE"""),"")</f>
        <v/>
      </c>
      <c r="AH1021" s="1" t="str">
        <f>IFERROR(__xludf.DUMMYFUNCTION("""COMPUTED_VALUE"""),"Media Monitoring")</f>
        <v>Media Monitoring</v>
      </c>
      <c r="AI1021" s="2" t="str">
        <f>IFERROR(__xludf.DUMMYFUNCTION("""COMPUTED_VALUE"""),"https://comptroller.texas.gov/taxes/data-centers/data-center-lists.php")</f>
        <v>https://comptroller.texas.gov/taxes/data-centers/data-center-lists.php</v>
      </c>
      <c r="AJ1021" s="2" t="str">
        <f>IFERROR(__xludf.DUMMYFUNCTION("""COMPUTED_VALUE"""),"https://baxtel.com/data-center/google-red-oak-tx")</f>
        <v>https://baxtel.com/data-center/google-red-oak-tx</v>
      </c>
      <c r="AK1021" s="1" t="str">
        <f>IFERROR(__xludf.DUMMYFUNCTION("""COMPUTED_VALUE"""),"")</f>
        <v/>
      </c>
      <c r="AL1021" s="1" t="str">
        <f>IFERROR(__xludf.DUMMYFUNCTION("""COMPUTED_VALUE"""),"")</f>
        <v/>
      </c>
      <c r="AM1021" s="1" t="str">
        <f>IFERROR(__xludf.DUMMYFUNCTION("""COMPUTED_VALUE"""),"")</f>
        <v/>
      </c>
      <c r="AN1021" s="1" t="str">
        <f>IFERROR(__xludf.DUMMYFUNCTION("""COMPUTED_VALUE"""),"")</f>
        <v/>
      </c>
      <c r="AO1021" s="1" t="str">
        <f>IFERROR(__xludf.DUMMYFUNCTION("""COMPUTED_VALUE"""),"")</f>
        <v/>
      </c>
      <c r="AP1021" s="1" t="str">
        <f>IFERROR(__xludf.DUMMYFUNCTION("""COMPUTED_VALUE"""),"")</f>
        <v/>
      </c>
      <c r="AQ1021" s="1" t="str">
        <f>IFERROR(__xludf.DUMMYFUNCTION("""COMPUTED_VALUE"""),"02/24/2026")</f>
        <v>02/24/2026</v>
      </c>
      <c r="AR1021" s="1" t="str">
        <f>IFERROR(__xludf.DUMMYFUNCTION("""COMPUTED_VALUE"""),"02/24/2026")</f>
        <v>02/24/2026</v>
      </c>
    </row>
    <row r="1022">
      <c r="A1022" s="1" t="str">
        <f>IFERROR(__xludf.DUMMYFUNCTION("""COMPUTED_VALUE"""),"Red Oak Data Center Campus")</f>
        <v>Red Oak Data Center Campus</v>
      </c>
      <c r="B1022" s="1" t="str">
        <f>IFERROR(__xludf.DUMMYFUNCTION("""COMPUTED_VALUE"""),"481 Austin Blvd")</f>
        <v>481 Austin Blvd</v>
      </c>
      <c r="C1022" s="1" t="str">
        <f>IFERROR(__xludf.DUMMYFUNCTION("""COMPUTED_VALUE"""),"Red Oak")</f>
        <v>Red Oak</v>
      </c>
      <c r="D1022" s="1" t="str">
        <f>IFERROR(__xludf.DUMMYFUNCTION("""COMPUTED_VALUE"""),"TX")</f>
        <v>TX</v>
      </c>
      <c r="E1022" s="1" t="str">
        <f>IFERROR(__xludf.DUMMYFUNCTION("""COMPUTED_VALUE"""),"75154")</f>
        <v>75154</v>
      </c>
      <c r="F1022" s="1" t="str">
        <f>IFERROR(__xludf.DUMMYFUNCTION("""COMPUTED_VALUE"""),"Ellis")</f>
        <v>Ellis</v>
      </c>
      <c r="G1022" s="1" t="str">
        <f>IFERROR(__xludf.DUMMYFUNCTION("""COMPUTED_VALUE"""),"32.54188")</f>
        <v>32.54188</v>
      </c>
      <c r="H1022" s="1" t="str">
        <f>IFERROR(__xludf.DUMMYFUNCTION("""COMPUTED_VALUE"""),"-96.7998")</f>
        <v>-96.7998</v>
      </c>
      <c r="I1022" s="1" t="str">
        <f>IFERROR(__xludf.DUMMYFUNCTION("""COMPUTED_VALUE"""),"Approved/Permitted/Under construction")</f>
        <v>Approved/Permitted/Under construction</v>
      </c>
      <c r="J1022" s="1" t="str">
        <f>IFERROR(__xludf.DUMMYFUNCTION("""COMPUTED_VALUE"""),"High")</f>
        <v>High</v>
      </c>
      <c r="K1022" s="1" t="str">
        <f>IFERROR(__xludf.DUMMYFUNCTION("""COMPUTED_VALUE"""),"")</f>
        <v/>
      </c>
      <c r="L1022" s="1" t="str">
        <f>IFERROR(__xludf.DUMMYFUNCTION("""COMPUTED_VALUE"""),"")</f>
        <v/>
      </c>
      <c r="M1022" s="1" t="str">
        <f>IFERROR(__xludf.DUMMYFUNCTION("""COMPUTED_VALUE"""),"")</f>
        <v/>
      </c>
      <c r="N1022" s="1" t="str">
        <f>IFERROR(__xludf.DUMMYFUNCTION("""COMPUTED_VALUE"""),"350")</f>
        <v>350</v>
      </c>
      <c r="O1022" s="1" t="str">
        <f>IFERROR(__xludf.DUMMYFUNCTION("""COMPUTED_VALUE"""),"Hyperscale (100-999 MW)")</f>
        <v>Hyperscale (100-999 MW)</v>
      </c>
      <c r="P1022" s="1" t="str">
        <f>IFERROR(__xludf.DUMMYFUNCTION("""COMPUTED_VALUE"""),"")</f>
        <v/>
      </c>
      <c r="Q1022" s="1" t="str">
        <f>IFERROR(__xludf.DUMMYFUNCTION("""COMPUTED_VALUE"""),"")</f>
        <v/>
      </c>
      <c r="R1022" s="1" t="str">
        <f>IFERROR(__xludf.DUMMYFUNCTION("""COMPUTED_VALUE"""),"")</f>
        <v/>
      </c>
      <c r="S1022" s="1" t="str">
        <f>IFERROR(__xludf.DUMMYFUNCTION("""COMPUTED_VALUE"""),"")</f>
        <v/>
      </c>
      <c r="T1022" s="1" t="str">
        <f>IFERROR(__xludf.DUMMYFUNCTION("""COMPUTED_VALUE"""),"")</f>
        <v/>
      </c>
      <c r="U1022" s="1" t="str">
        <f>IFERROR(__xludf.DUMMYFUNCTION("""COMPUTED_VALUE"""),"")</f>
        <v/>
      </c>
      <c r="V1022" s="1" t="str">
        <f>IFERROR(__xludf.DUMMYFUNCTION("""COMPUTED_VALUE"""),"981,000")</f>
        <v>981,000</v>
      </c>
      <c r="W1022" s="1" t="str">
        <f>IFERROR(__xludf.DUMMYFUNCTION("""COMPUTED_VALUE"""),"225")</f>
        <v>225</v>
      </c>
      <c r="X1022" s="1" t="str">
        <f>IFERROR(__xludf.DUMMYFUNCTION("""COMPUTED_VALUE"""),"")</f>
        <v/>
      </c>
      <c r="Y1022" s="1" t="str">
        <f>IFERROR(__xludf.DUMMYFUNCTION("""COMPUTED_VALUE"""),"")</f>
        <v/>
      </c>
      <c r="Z1022" s="1" t="str">
        <f>IFERROR(__xludf.DUMMYFUNCTION("""COMPUTED_VALUE"""),"Unknown")</f>
        <v>Unknown</v>
      </c>
      <c r="AA1022" s="1" t="str">
        <f>IFERROR(__xludf.DUMMYFUNCTION("""COMPUTED_VALUE"""),"")</f>
        <v/>
      </c>
      <c r="AB1022" s="1" t="str">
        <f>IFERROR(__xludf.DUMMYFUNCTION("""COMPUTED_VALUE"""),"")</f>
        <v/>
      </c>
      <c r="AC1022" s="1" t="str">
        <f>IFERROR(__xludf.DUMMYFUNCTION("""COMPUTED_VALUE"""),"")</f>
        <v/>
      </c>
      <c r="AD1022" s="1" t="str">
        <f>IFERROR(__xludf.DUMMYFUNCTION("""COMPUTED_VALUE"""),"")</f>
        <v/>
      </c>
      <c r="AE1022" s="1" t="str">
        <f>IFERROR(__xludf.DUMMYFUNCTION("""COMPUTED_VALUE"""),"")</f>
        <v/>
      </c>
      <c r="AF1022" s="1" t="str">
        <f>IFERROR(__xludf.DUMMYFUNCTION("""COMPUTED_VALUE"""),"")</f>
        <v/>
      </c>
      <c r="AG1022" s="1" t="str">
        <f>IFERROR(__xludf.DUMMYFUNCTION("""COMPUTED_VALUE"""),"")</f>
        <v/>
      </c>
      <c r="AH1022" s="1" t="str">
        <f>IFERROR(__xludf.DUMMYFUNCTION("""COMPUTED_VALUE"""),"Media Monitoring")</f>
        <v>Media Monitoring</v>
      </c>
      <c r="AI1022" s="2" t="str">
        <f>IFERROR(__xludf.DUMMYFUNCTION("""COMPUTED_VALUE"""),"https://www.datacenterdynamics.com/en/news/compass-buys-land-second-dallas-campus/")</f>
        <v>https://www.datacenterdynamics.com/en/news/compass-buys-land-second-dallas-campus/</v>
      </c>
      <c r="AJ1022" s="2" t="str">
        <f>IFERROR(__xludf.DUMMYFUNCTION("""COMPUTED_VALUE"""),"https://www.tdlr.texas.gov/TABS/Search/Project/TABS2020019741")</f>
        <v>https://www.tdlr.texas.gov/TABS/Search/Project/TABS2020019741</v>
      </c>
      <c r="AK1022" s="1" t="str">
        <f>IFERROR(__xludf.DUMMYFUNCTION("""COMPUTED_VALUE"""),"")</f>
        <v/>
      </c>
      <c r="AL1022" s="1" t="str">
        <f>IFERROR(__xludf.DUMMYFUNCTION("""COMPUTED_VALUE"""),"")</f>
        <v/>
      </c>
      <c r="AM1022" s="1" t="str">
        <f>IFERROR(__xludf.DUMMYFUNCTION("""COMPUTED_VALUE"""),"")</f>
        <v/>
      </c>
      <c r="AN1022" s="1" t="str">
        <f>IFERROR(__xludf.DUMMYFUNCTION("""COMPUTED_VALUE"""),"")</f>
        <v/>
      </c>
      <c r="AO1022" s="1" t="str">
        <f>IFERROR(__xludf.DUMMYFUNCTION("""COMPUTED_VALUE"""),"")</f>
        <v/>
      </c>
      <c r="AP1022" s="1" t="str">
        <f>IFERROR(__xludf.DUMMYFUNCTION("""COMPUTED_VALUE"""),"")</f>
        <v/>
      </c>
      <c r="AQ1022" s="1" t="str">
        <f>IFERROR(__xludf.DUMMYFUNCTION("""COMPUTED_VALUE"""),"05/25/2025")</f>
        <v>05/25/2025</v>
      </c>
      <c r="AR1022" s="1" t="str">
        <f>IFERROR(__xludf.DUMMYFUNCTION("""COMPUTED_VALUE"""),"05/25/2025")</f>
        <v>05/25/2025</v>
      </c>
    </row>
    <row r="1023">
      <c r="A1023" s="1" t="str">
        <f>IFERROR(__xludf.DUMMYFUNCTION("""COMPUTED_VALUE"""),"1210 Integrity Drive (DFW18)")</f>
        <v>1210 Integrity Drive (DFW18)</v>
      </c>
      <c r="B1023" s="1" t="str">
        <f>IFERROR(__xludf.DUMMYFUNCTION("""COMPUTED_VALUE"""),"1210 Integrity Dr")</f>
        <v>1210 Integrity Dr</v>
      </c>
      <c r="C1023" s="1" t="str">
        <f>IFERROR(__xludf.DUMMYFUNCTION("""COMPUTED_VALUE"""),"Richardson")</f>
        <v>Richardson</v>
      </c>
      <c r="D1023" s="1" t="str">
        <f>IFERROR(__xludf.DUMMYFUNCTION("""COMPUTED_VALUE"""),"TX")</f>
        <v>TX</v>
      </c>
      <c r="E1023" s="1" t="str">
        <f>IFERROR(__xludf.DUMMYFUNCTION("""COMPUTED_VALUE"""),"75081")</f>
        <v>75081</v>
      </c>
      <c r="F1023" s="1" t="str">
        <f>IFERROR(__xludf.DUMMYFUNCTION("""COMPUTED_VALUE"""),"Dallas")</f>
        <v>Dallas</v>
      </c>
      <c r="G1023" s="1" t="str">
        <f>IFERROR(__xludf.DUMMYFUNCTION("""COMPUTED_VALUE"""),"32.96639")</f>
        <v>32.96639</v>
      </c>
      <c r="H1023" s="1" t="str">
        <f>IFERROR(__xludf.DUMMYFUNCTION("""COMPUTED_VALUE"""),"-96.7138")</f>
        <v>-96.7138</v>
      </c>
      <c r="I1023" s="1" t="str">
        <f>IFERROR(__xludf.DUMMYFUNCTION("""COMPUTED_VALUE"""),"Proposed")</f>
        <v>Proposed</v>
      </c>
      <c r="J1023" s="1" t="str">
        <f>IFERROR(__xludf.DUMMYFUNCTION("""COMPUTED_VALUE"""),"High")</f>
        <v>High</v>
      </c>
      <c r="K1023" s="1" t="str">
        <f>IFERROR(__xludf.DUMMYFUNCTION("""COMPUTED_VALUE"""),"")</f>
        <v/>
      </c>
      <c r="L1023" s="1" t="str">
        <f>IFERROR(__xludf.DUMMYFUNCTION("""COMPUTED_VALUE"""),"")</f>
        <v/>
      </c>
      <c r="M1023" s="1" t="str">
        <f>IFERROR(__xludf.DUMMYFUNCTION("""COMPUTED_VALUE"""),"")</f>
        <v/>
      </c>
      <c r="N1023" s="1" t="str">
        <f>IFERROR(__xludf.DUMMYFUNCTION("""COMPUTED_VALUE"""),"100")</f>
        <v>100</v>
      </c>
      <c r="O1023" s="1" t="str">
        <f>IFERROR(__xludf.DUMMYFUNCTION("""COMPUTED_VALUE"""),"Hyperscale (100-999 MW)")</f>
        <v>Hyperscale (100-999 MW)</v>
      </c>
      <c r="P1023" s="1" t="str">
        <f>IFERROR(__xludf.DUMMYFUNCTION("""COMPUTED_VALUE"""),"")</f>
        <v/>
      </c>
      <c r="Q1023" s="1" t="str">
        <f>IFERROR(__xludf.DUMMYFUNCTION("""COMPUTED_VALUE"""),"")</f>
        <v/>
      </c>
      <c r="R1023" s="1" t="str">
        <f>IFERROR(__xludf.DUMMYFUNCTION("""COMPUTED_VALUE"""),"")</f>
        <v/>
      </c>
      <c r="S1023" s="1" t="str">
        <f>IFERROR(__xludf.DUMMYFUNCTION("""COMPUTED_VALUE"""),"")</f>
        <v/>
      </c>
      <c r="T1023" s="1" t="str">
        <f>IFERROR(__xludf.DUMMYFUNCTION("""COMPUTED_VALUE"""),"")</f>
        <v/>
      </c>
      <c r="U1023" s="1" t="str">
        <f>IFERROR(__xludf.DUMMYFUNCTION("""COMPUTED_VALUE"""),"")</f>
        <v/>
      </c>
      <c r="V1023" s="1" t="str">
        <f>IFERROR(__xludf.DUMMYFUNCTION("""COMPUTED_VALUE"""),"")</f>
        <v/>
      </c>
      <c r="W1023" s="1" t="str">
        <f>IFERROR(__xludf.DUMMYFUNCTION("""COMPUTED_VALUE"""),"8")</f>
        <v>8</v>
      </c>
      <c r="X1023" s="1" t="str">
        <f>IFERROR(__xludf.DUMMYFUNCTION("""COMPUTED_VALUE"""),"")</f>
        <v/>
      </c>
      <c r="Y1023" s="1" t="str">
        <f>IFERROR(__xludf.DUMMYFUNCTION("""COMPUTED_VALUE"""),"")</f>
        <v/>
      </c>
      <c r="Z1023" s="1" t="str">
        <f>IFERROR(__xludf.DUMMYFUNCTION("""COMPUTED_VALUE"""),"Unknown")</f>
        <v>Unknown</v>
      </c>
      <c r="AA1023" s="1" t="str">
        <f>IFERROR(__xludf.DUMMYFUNCTION("""COMPUTED_VALUE"""),"")</f>
        <v/>
      </c>
      <c r="AB1023" s="1" t="str">
        <f>IFERROR(__xludf.DUMMYFUNCTION("""COMPUTED_VALUE"""),"")</f>
        <v/>
      </c>
      <c r="AC1023" s="1" t="str">
        <f>IFERROR(__xludf.DUMMYFUNCTION("""COMPUTED_VALUE"""),"")</f>
        <v/>
      </c>
      <c r="AD1023" s="1" t="str">
        <f>IFERROR(__xludf.DUMMYFUNCTION("""COMPUTED_VALUE"""),"")</f>
        <v/>
      </c>
      <c r="AE1023" s="1" t="str">
        <f>IFERROR(__xludf.DUMMYFUNCTION("""COMPUTED_VALUE"""),"")</f>
        <v/>
      </c>
      <c r="AF1023" s="1" t="str">
        <f>IFERROR(__xludf.DUMMYFUNCTION("""COMPUTED_VALUE"""),"")</f>
        <v/>
      </c>
      <c r="AG1023" s="1" t="str">
        <f>IFERROR(__xludf.DUMMYFUNCTION("""COMPUTED_VALUE"""),"")</f>
        <v/>
      </c>
      <c r="AH1023" s="1" t="str">
        <f>IFERROR(__xludf.DUMMYFUNCTION("""COMPUTED_VALUE"""),"Media Monitoring")</f>
        <v>Media Monitoring</v>
      </c>
      <c r="AI1023" s="1" t="str">
        <f>IFERROR(__xludf.DUMMYFUNCTION("""COMPUTED_VALUE"""),"")</f>
        <v/>
      </c>
      <c r="AJ1023" s="1" t="str">
        <f>IFERROR(__xludf.DUMMYFUNCTION("""COMPUTED_VALUE"""),"")</f>
        <v/>
      </c>
      <c r="AK1023" s="1" t="str">
        <f>IFERROR(__xludf.DUMMYFUNCTION("""COMPUTED_VALUE"""),"")</f>
        <v/>
      </c>
      <c r="AL1023" s="1" t="str">
        <f>IFERROR(__xludf.DUMMYFUNCTION("""COMPUTED_VALUE"""),"")</f>
        <v/>
      </c>
      <c r="AM1023" s="1" t="str">
        <f>IFERROR(__xludf.DUMMYFUNCTION("""COMPUTED_VALUE"""),"")</f>
        <v/>
      </c>
      <c r="AN1023" s="1" t="str">
        <f>IFERROR(__xludf.DUMMYFUNCTION("""COMPUTED_VALUE"""),"")</f>
        <v/>
      </c>
      <c r="AO1023" s="1" t="str">
        <f>IFERROR(__xludf.DUMMYFUNCTION("""COMPUTED_VALUE"""),"")</f>
        <v/>
      </c>
      <c r="AP1023" s="1" t="str">
        <f>IFERROR(__xludf.DUMMYFUNCTION("""COMPUTED_VALUE"""),"")</f>
        <v/>
      </c>
      <c r="AQ1023" s="1" t="str">
        <f>IFERROR(__xludf.DUMMYFUNCTION("""COMPUTED_VALUE"""),"08/05/2025")</f>
        <v>08/05/2025</v>
      </c>
      <c r="AR1023" s="1" t="str">
        <f>IFERROR(__xludf.DUMMYFUNCTION("""COMPUTED_VALUE"""),"08/05/2025")</f>
        <v>08/05/2025</v>
      </c>
    </row>
    <row r="1024">
      <c r="A1024" s="1" t="str">
        <f>IFERROR(__xludf.DUMMYFUNCTION("""COMPUTED_VALUE"""),"1232 Alma Road Data Center")</f>
        <v>1232 Alma Road Data Center</v>
      </c>
      <c r="B1024" s="1" t="str">
        <f>IFERROR(__xludf.DUMMYFUNCTION("""COMPUTED_VALUE"""),"1232 Alma Road")</f>
        <v>1232 Alma Road</v>
      </c>
      <c r="C1024" s="1" t="str">
        <f>IFERROR(__xludf.DUMMYFUNCTION("""COMPUTED_VALUE"""),"Richardson")</f>
        <v>Richardson</v>
      </c>
      <c r="D1024" s="1" t="str">
        <f>IFERROR(__xludf.DUMMYFUNCTION("""COMPUTED_VALUE"""),"TX")</f>
        <v>TX</v>
      </c>
      <c r="E1024" s="1" t="str">
        <f>IFERROR(__xludf.DUMMYFUNCTION("""COMPUTED_VALUE"""),"75081")</f>
        <v>75081</v>
      </c>
      <c r="F1024" s="1" t="str">
        <f>IFERROR(__xludf.DUMMYFUNCTION("""COMPUTED_VALUE"""),"Dallas")</f>
        <v>Dallas</v>
      </c>
      <c r="G1024" s="1" t="str">
        <f>IFERROR(__xludf.DUMMYFUNCTION("""COMPUTED_VALUE"""),"32.96619")</f>
        <v>32.96619</v>
      </c>
      <c r="H1024" s="1" t="str">
        <f>IFERROR(__xludf.DUMMYFUNCTION("""COMPUTED_VALUE"""),"-96.7159")</f>
        <v>-96.7159</v>
      </c>
      <c r="I1024" s="1" t="str">
        <f>IFERROR(__xludf.DUMMYFUNCTION("""COMPUTED_VALUE"""),"Operating")</f>
        <v>Operating</v>
      </c>
      <c r="J1024" s="1" t="str">
        <f>IFERROR(__xludf.DUMMYFUNCTION("""COMPUTED_VALUE"""),"High")</f>
        <v>High</v>
      </c>
      <c r="K1024" s="1" t="str">
        <f>IFERROR(__xludf.DUMMYFUNCTION("""COMPUTED_VALUE"""),"")</f>
        <v/>
      </c>
      <c r="L1024" s="1" t="str">
        <f>IFERROR(__xludf.DUMMYFUNCTION("""COMPUTED_VALUE"""),"")</f>
        <v/>
      </c>
      <c r="M1024" s="1" t="str">
        <f>IFERROR(__xludf.DUMMYFUNCTION("""COMPUTED_VALUE"""),"")</f>
        <v/>
      </c>
      <c r="N1024" s="1" t="str">
        <f>IFERROR(__xludf.DUMMYFUNCTION("""COMPUTED_VALUE"""),"6.7")</f>
        <v>6.7</v>
      </c>
      <c r="O1024" s="1" t="str">
        <f>IFERROR(__xludf.DUMMYFUNCTION("""COMPUTED_VALUE"""),"Small (0-10 MW)")</f>
        <v>Small (0-10 MW)</v>
      </c>
      <c r="P1024" s="1" t="str">
        <f>IFERROR(__xludf.DUMMYFUNCTION("""COMPUTED_VALUE"""),"")</f>
        <v/>
      </c>
      <c r="Q1024" s="1" t="str">
        <f>IFERROR(__xludf.DUMMYFUNCTION("""COMPUTED_VALUE"""),"")</f>
        <v/>
      </c>
      <c r="R1024" s="1" t="str">
        <f>IFERROR(__xludf.DUMMYFUNCTION("""COMPUTED_VALUE"""),"")</f>
        <v/>
      </c>
      <c r="S1024" s="1" t="str">
        <f>IFERROR(__xludf.DUMMYFUNCTION("""COMPUTED_VALUE"""),"")</f>
        <v/>
      </c>
      <c r="T1024" s="1" t="str">
        <f>IFERROR(__xludf.DUMMYFUNCTION("""COMPUTED_VALUE"""),"")</f>
        <v/>
      </c>
      <c r="U1024" s="1" t="str">
        <f>IFERROR(__xludf.DUMMYFUNCTION("""COMPUTED_VALUE"""),"")</f>
        <v/>
      </c>
      <c r="V1024" s="1" t="str">
        <f>IFERROR(__xludf.DUMMYFUNCTION("""COMPUTED_VALUE"""),"105,726")</f>
        <v>105,726</v>
      </c>
      <c r="W1024" s="1" t="str">
        <f>IFERROR(__xludf.DUMMYFUNCTION("""COMPUTED_VALUE"""),"")</f>
        <v/>
      </c>
      <c r="X1024" s="1" t="str">
        <f>IFERROR(__xludf.DUMMYFUNCTION("""COMPUTED_VALUE"""),"")</f>
        <v/>
      </c>
      <c r="Y1024" s="1" t="str">
        <f>IFERROR(__xludf.DUMMYFUNCTION("""COMPUTED_VALUE"""),"")</f>
        <v/>
      </c>
      <c r="Z1024" s="1" t="str">
        <f>IFERROR(__xludf.DUMMYFUNCTION("""COMPUTED_VALUE"""),"Unknown")</f>
        <v>Unknown</v>
      </c>
      <c r="AA1024" s="1" t="str">
        <f>IFERROR(__xludf.DUMMYFUNCTION("""COMPUTED_VALUE"""),"")</f>
        <v/>
      </c>
      <c r="AB1024" s="1" t="str">
        <f>IFERROR(__xludf.DUMMYFUNCTION("""COMPUTED_VALUE"""),"")</f>
        <v/>
      </c>
      <c r="AC1024" s="1" t="str">
        <f>IFERROR(__xludf.DUMMYFUNCTION("""COMPUTED_VALUE"""),"")</f>
        <v/>
      </c>
      <c r="AD1024" s="1" t="str">
        <f>IFERROR(__xludf.DUMMYFUNCTION("""COMPUTED_VALUE"""),"")</f>
        <v/>
      </c>
      <c r="AE1024" s="1" t="str">
        <f>IFERROR(__xludf.DUMMYFUNCTION("""COMPUTED_VALUE"""),"")</f>
        <v/>
      </c>
      <c r="AF1024" s="1" t="str">
        <f>IFERROR(__xludf.DUMMYFUNCTION("""COMPUTED_VALUE"""),"")</f>
        <v/>
      </c>
      <c r="AG1024" s="1" t="str">
        <f>IFERROR(__xludf.DUMMYFUNCTION("""COMPUTED_VALUE"""),"")</f>
        <v/>
      </c>
      <c r="AH1024" s="1" t="str">
        <f>IFERROR(__xludf.DUMMYFUNCTION("""COMPUTED_VALUE"""),"Media Monitoring")</f>
        <v>Media Monitoring</v>
      </c>
      <c r="AI1024" s="1" t="str">
        <f>IFERROR(__xludf.DUMMYFUNCTION("""COMPUTED_VALUE"""),"")</f>
        <v/>
      </c>
      <c r="AJ1024" s="1" t="str">
        <f>IFERROR(__xludf.DUMMYFUNCTION("""COMPUTED_VALUE"""),"")</f>
        <v/>
      </c>
      <c r="AK1024" s="1" t="str">
        <f>IFERROR(__xludf.DUMMYFUNCTION("""COMPUTED_VALUE"""),"")</f>
        <v/>
      </c>
      <c r="AL1024" s="1" t="str">
        <f>IFERROR(__xludf.DUMMYFUNCTION("""COMPUTED_VALUE"""),"")</f>
        <v/>
      </c>
      <c r="AM1024" s="1" t="str">
        <f>IFERROR(__xludf.DUMMYFUNCTION("""COMPUTED_VALUE"""),"")</f>
        <v/>
      </c>
      <c r="AN1024" s="1" t="str">
        <f>IFERROR(__xludf.DUMMYFUNCTION("""COMPUTED_VALUE"""),"")</f>
        <v/>
      </c>
      <c r="AO1024" s="1" t="str">
        <f>IFERROR(__xludf.DUMMYFUNCTION("""COMPUTED_VALUE"""),"")</f>
        <v/>
      </c>
      <c r="AP1024" s="1" t="str">
        <f>IFERROR(__xludf.DUMMYFUNCTION("""COMPUTED_VALUE"""),"")</f>
        <v/>
      </c>
      <c r="AQ1024" s="1" t="str">
        <f>IFERROR(__xludf.DUMMYFUNCTION("""COMPUTED_VALUE"""),"08/05/2025")</f>
        <v>08/05/2025</v>
      </c>
      <c r="AR1024" s="1" t="str">
        <f>IFERROR(__xludf.DUMMYFUNCTION("""COMPUTED_VALUE"""),"08/05/2025")</f>
        <v>08/05/2025</v>
      </c>
    </row>
    <row r="1025">
      <c r="A1025" s="1" t="str">
        <f>IFERROR(__xludf.DUMMYFUNCTION("""COMPUTED_VALUE"""),"365 Data Centers - Richardson")</f>
        <v>365 Data Centers - Richardson</v>
      </c>
      <c r="B1025" s="1" t="str">
        <f>IFERROR(__xludf.DUMMYFUNCTION("""COMPUTED_VALUE"""),"1001 East Campbell Rd")</f>
        <v>1001 East Campbell Rd</v>
      </c>
      <c r="C1025" s="1" t="str">
        <f>IFERROR(__xludf.DUMMYFUNCTION("""COMPUTED_VALUE"""),"Richardson")</f>
        <v>Richardson</v>
      </c>
      <c r="D1025" s="1" t="str">
        <f>IFERROR(__xludf.DUMMYFUNCTION("""COMPUTED_VALUE"""),"TX")</f>
        <v>TX</v>
      </c>
      <c r="E1025" s="1" t="str">
        <f>IFERROR(__xludf.DUMMYFUNCTION("""COMPUTED_VALUE"""),"75081")</f>
        <v>75081</v>
      </c>
      <c r="F1025" s="1" t="str">
        <f>IFERROR(__xludf.DUMMYFUNCTION("""COMPUTED_VALUE"""),"Dallas")</f>
        <v>Dallas</v>
      </c>
      <c r="G1025" s="1" t="str">
        <f>IFERROR(__xludf.DUMMYFUNCTION("""COMPUTED_VALUE"""),"32.97615")</f>
        <v>32.97615</v>
      </c>
      <c r="H1025" s="1" t="str">
        <f>IFERROR(__xludf.DUMMYFUNCTION("""COMPUTED_VALUE"""),"-96.7073")</f>
        <v>-96.7073</v>
      </c>
      <c r="I1025" s="1" t="str">
        <f>IFERROR(__xludf.DUMMYFUNCTION("""COMPUTED_VALUE"""),"Operating")</f>
        <v>Operating</v>
      </c>
      <c r="J1025" s="1" t="str">
        <f>IFERROR(__xludf.DUMMYFUNCTION("""COMPUTED_VALUE"""),"High")</f>
        <v>High</v>
      </c>
      <c r="K1025" s="1" t="str">
        <f>IFERROR(__xludf.DUMMYFUNCTION("""COMPUTED_VALUE"""),"")</f>
        <v/>
      </c>
      <c r="L1025" s="1" t="str">
        <f>IFERROR(__xludf.DUMMYFUNCTION("""COMPUTED_VALUE"""),"")</f>
        <v/>
      </c>
      <c r="M1025" s="1" t="str">
        <f>IFERROR(__xludf.DUMMYFUNCTION("""COMPUTED_VALUE"""),"")</f>
        <v/>
      </c>
      <c r="N1025" s="1" t="str">
        <f>IFERROR(__xludf.DUMMYFUNCTION("""COMPUTED_VALUE"""),"6.2")</f>
        <v>6.2</v>
      </c>
      <c r="O1025" s="1" t="str">
        <f>IFERROR(__xludf.DUMMYFUNCTION("""COMPUTED_VALUE"""),"Small (0-10 MW)")</f>
        <v>Small (0-10 MW)</v>
      </c>
      <c r="P1025" s="1" t="str">
        <f>IFERROR(__xludf.DUMMYFUNCTION("""COMPUTED_VALUE"""),"")</f>
        <v/>
      </c>
      <c r="Q1025" s="1" t="str">
        <f>IFERROR(__xludf.DUMMYFUNCTION("""COMPUTED_VALUE"""),"")</f>
        <v/>
      </c>
      <c r="R1025" s="1" t="str">
        <f>IFERROR(__xludf.DUMMYFUNCTION("""COMPUTED_VALUE"""),"")</f>
        <v/>
      </c>
      <c r="S1025" s="1" t="str">
        <f>IFERROR(__xludf.DUMMYFUNCTION("""COMPUTED_VALUE"""),"")</f>
        <v/>
      </c>
      <c r="T1025" s="1" t="str">
        <f>IFERROR(__xludf.DUMMYFUNCTION("""COMPUTED_VALUE"""),"")</f>
        <v/>
      </c>
      <c r="U1025" s="1" t="str">
        <f>IFERROR(__xludf.DUMMYFUNCTION("""COMPUTED_VALUE"""),"")</f>
        <v/>
      </c>
      <c r="V1025" s="1" t="str">
        <f>IFERROR(__xludf.DUMMYFUNCTION("""COMPUTED_VALUE"""),"75,100")</f>
        <v>75,100</v>
      </c>
      <c r="W1025" s="1" t="str">
        <f>IFERROR(__xludf.DUMMYFUNCTION("""COMPUTED_VALUE"""),"")</f>
        <v/>
      </c>
      <c r="X1025" s="1" t="str">
        <f>IFERROR(__xludf.DUMMYFUNCTION("""COMPUTED_VALUE"""),"")</f>
        <v/>
      </c>
      <c r="Y1025" s="1" t="str">
        <f>IFERROR(__xludf.DUMMYFUNCTION("""COMPUTED_VALUE"""),"")</f>
        <v/>
      </c>
      <c r="Z1025" s="1" t="str">
        <f>IFERROR(__xludf.DUMMYFUNCTION("""COMPUTED_VALUE"""),"Unknown")</f>
        <v>Unknown</v>
      </c>
      <c r="AA1025" s="1" t="str">
        <f>IFERROR(__xludf.DUMMYFUNCTION("""COMPUTED_VALUE"""),"")</f>
        <v/>
      </c>
      <c r="AB1025" s="1" t="str">
        <f>IFERROR(__xludf.DUMMYFUNCTION("""COMPUTED_VALUE"""),"")</f>
        <v/>
      </c>
      <c r="AC1025" s="1" t="str">
        <f>IFERROR(__xludf.DUMMYFUNCTION("""COMPUTED_VALUE"""),"")</f>
        <v/>
      </c>
      <c r="AD1025" s="1" t="str">
        <f>IFERROR(__xludf.DUMMYFUNCTION("""COMPUTED_VALUE"""),"")</f>
        <v/>
      </c>
      <c r="AE1025" s="1" t="str">
        <f>IFERROR(__xludf.DUMMYFUNCTION("""COMPUTED_VALUE"""),"")</f>
        <v/>
      </c>
      <c r="AF1025" s="1" t="str">
        <f>IFERROR(__xludf.DUMMYFUNCTION("""COMPUTED_VALUE"""),"")</f>
        <v/>
      </c>
      <c r="AG1025" s="1" t="str">
        <f>IFERROR(__xludf.DUMMYFUNCTION("""COMPUTED_VALUE"""),"")</f>
        <v/>
      </c>
      <c r="AH1025" s="1" t="str">
        <f>IFERROR(__xludf.DUMMYFUNCTION("""COMPUTED_VALUE"""),"Media Monitoring")</f>
        <v>Media Monitoring</v>
      </c>
      <c r="AI1025" s="1" t="str">
        <f>IFERROR(__xludf.DUMMYFUNCTION("""COMPUTED_VALUE"""),"")</f>
        <v/>
      </c>
      <c r="AJ1025" s="1" t="str">
        <f>IFERROR(__xludf.DUMMYFUNCTION("""COMPUTED_VALUE"""),"")</f>
        <v/>
      </c>
      <c r="AK1025" s="1" t="str">
        <f>IFERROR(__xludf.DUMMYFUNCTION("""COMPUTED_VALUE"""),"")</f>
        <v/>
      </c>
      <c r="AL1025" s="1" t="str">
        <f>IFERROR(__xludf.DUMMYFUNCTION("""COMPUTED_VALUE"""),"")</f>
        <v/>
      </c>
      <c r="AM1025" s="1" t="str">
        <f>IFERROR(__xludf.DUMMYFUNCTION("""COMPUTED_VALUE"""),"")</f>
        <v/>
      </c>
      <c r="AN1025" s="1" t="str">
        <f>IFERROR(__xludf.DUMMYFUNCTION("""COMPUTED_VALUE"""),"")</f>
        <v/>
      </c>
      <c r="AO1025" s="1" t="str">
        <f>IFERROR(__xludf.DUMMYFUNCTION("""COMPUTED_VALUE"""),"")</f>
        <v/>
      </c>
      <c r="AP1025" s="1" t="str">
        <f>IFERROR(__xludf.DUMMYFUNCTION("""COMPUTED_VALUE"""),"")</f>
        <v/>
      </c>
      <c r="AQ1025" s="1" t="str">
        <f>IFERROR(__xludf.DUMMYFUNCTION("""COMPUTED_VALUE"""),"08/05/2025")</f>
        <v>08/05/2025</v>
      </c>
      <c r="AR1025" s="1" t="str">
        <f>IFERROR(__xludf.DUMMYFUNCTION("""COMPUTED_VALUE"""),"08/05/2025")</f>
        <v>08/05/2025</v>
      </c>
    </row>
    <row r="1026">
      <c r="A1026" s="1" t="str">
        <f>IFERROR(__xludf.DUMMYFUNCTION("""COMPUTED_VALUE"""),"850 E. Collins Boulevard (DFW28)")</f>
        <v>850 E. Collins Boulevard (DFW28)</v>
      </c>
      <c r="B1026" s="1" t="str">
        <f>IFERROR(__xludf.DUMMYFUNCTION("""COMPUTED_VALUE"""),"850 E. Collins Boulevard")</f>
        <v>850 E. Collins Boulevard</v>
      </c>
      <c r="C1026" s="1" t="str">
        <f>IFERROR(__xludf.DUMMYFUNCTION("""COMPUTED_VALUE"""),"Richardson")</f>
        <v>Richardson</v>
      </c>
      <c r="D1026" s="1" t="str">
        <f>IFERROR(__xludf.DUMMYFUNCTION("""COMPUTED_VALUE"""),"TX")</f>
        <v>TX</v>
      </c>
      <c r="E1026" s="1" t="str">
        <f>IFERROR(__xludf.DUMMYFUNCTION("""COMPUTED_VALUE"""),"75081")</f>
        <v>75081</v>
      </c>
      <c r="F1026" s="1" t="str">
        <f>IFERROR(__xludf.DUMMYFUNCTION("""COMPUTED_VALUE"""),"Dallas")</f>
        <v>Dallas</v>
      </c>
      <c r="G1026" s="1" t="str">
        <f>IFERROR(__xludf.DUMMYFUNCTION("""COMPUTED_VALUE"""),"32.96746")</f>
        <v>32.96746</v>
      </c>
      <c r="H1026" s="1" t="str">
        <f>IFERROR(__xludf.DUMMYFUNCTION("""COMPUTED_VALUE"""),"-96.7132")</f>
        <v>-96.7132</v>
      </c>
      <c r="I1026" s="1" t="str">
        <f>IFERROR(__xludf.DUMMYFUNCTION("""COMPUTED_VALUE"""),"Operating")</f>
        <v>Operating</v>
      </c>
      <c r="J1026" s="1" t="str">
        <f>IFERROR(__xludf.DUMMYFUNCTION("""COMPUTED_VALUE"""),"High")</f>
        <v>High</v>
      </c>
      <c r="K1026" s="1" t="str">
        <f>IFERROR(__xludf.DUMMYFUNCTION("""COMPUTED_VALUE"""),"")</f>
        <v/>
      </c>
      <c r="L1026" s="1" t="str">
        <f>IFERROR(__xludf.DUMMYFUNCTION("""COMPUTED_VALUE"""),"")</f>
        <v/>
      </c>
      <c r="M1026" s="1" t="str">
        <f>IFERROR(__xludf.DUMMYFUNCTION("""COMPUTED_VALUE"""),"")</f>
        <v/>
      </c>
      <c r="N1026" s="1" t="str">
        <f>IFERROR(__xludf.DUMMYFUNCTION("""COMPUTED_VALUE"""),"6.8")</f>
        <v>6.8</v>
      </c>
      <c r="O1026" s="1" t="str">
        <f>IFERROR(__xludf.DUMMYFUNCTION("""COMPUTED_VALUE"""),"Small (0-10 MW)")</f>
        <v>Small (0-10 MW)</v>
      </c>
      <c r="P1026" s="1" t="str">
        <f>IFERROR(__xludf.DUMMYFUNCTION("""COMPUTED_VALUE"""),"")</f>
        <v/>
      </c>
      <c r="Q1026" s="1" t="str">
        <f>IFERROR(__xludf.DUMMYFUNCTION("""COMPUTED_VALUE"""),"")</f>
        <v/>
      </c>
      <c r="R1026" s="1" t="str">
        <f>IFERROR(__xludf.DUMMYFUNCTION("""COMPUTED_VALUE"""),"")</f>
        <v/>
      </c>
      <c r="S1026" s="1" t="str">
        <f>IFERROR(__xludf.DUMMYFUNCTION("""COMPUTED_VALUE"""),"")</f>
        <v/>
      </c>
      <c r="T1026" s="1" t="str">
        <f>IFERROR(__xludf.DUMMYFUNCTION("""COMPUTED_VALUE"""),"")</f>
        <v/>
      </c>
      <c r="U1026" s="1" t="str">
        <f>IFERROR(__xludf.DUMMYFUNCTION("""COMPUTED_VALUE"""),"")</f>
        <v/>
      </c>
      <c r="V1026" s="1" t="str">
        <f>IFERROR(__xludf.DUMMYFUNCTION("""COMPUTED_VALUE"""),"121,000")</f>
        <v>121,000</v>
      </c>
      <c r="W1026" s="1" t="str">
        <f>IFERROR(__xludf.DUMMYFUNCTION("""COMPUTED_VALUE"""),"")</f>
        <v/>
      </c>
      <c r="X1026" s="1" t="str">
        <f>IFERROR(__xludf.DUMMYFUNCTION("""COMPUTED_VALUE"""),"")</f>
        <v/>
      </c>
      <c r="Y1026" s="1" t="str">
        <f>IFERROR(__xludf.DUMMYFUNCTION("""COMPUTED_VALUE"""),"")</f>
        <v/>
      </c>
      <c r="Z1026" s="1" t="str">
        <f>IFERROR(__xludf.DUMMYFUNCTION("""COMPUTED_VALUE"""),"Unknown")</f>
        <v>Unknown</v>
      </c>
      <c r="AA1026" s="1" t="str">
        <f>IFERROR(__xludf.DUMMYFUNCTION("""COMPUTED_VALUE"""),"")</f>
        <v/>
      </c>
      <c r="AB1026" s="1" t="str">
        <f>IFERROR(__xludf.DUMMYFUNCTION("""COMPUTED_VALUE"""),"")</f>
        <v/>
      </c>
      <c r="AC1026" s="1" t="str">
        <f>IFERROR(__xludf.DUMMYFUNCTION("""COMPUTED_VALUE"""),"")</f>
        <v/>
      </c>
      <c r="AD1026" s="1" t="str">
        <f>IFERROR(__xludf.DUMMYFUNCTION("""COMPUTED_VALUE"""),"")</f>
        <v/>
      </c>
      <c r="AE1026" s="1" t="str">
        <f>IFERROR(__xludf.DUMMYFUNCTION("""COMPUTED_VALUE"""),"")</f>
        <v/>
      </c>
      <c r="AF1026" s="1" t="str">
        <f>IFERROR(__xludf.DUMMYFUNCTION("""COMPUTED_VALUE"""),"")</f>
        <v/>
      </c>
      <c r="AG1026" s="1" t="str">
        <f>IFERROR(__xludf.DUMMYFUNCTION("""COMPUTED_VALUE"""),"")</f>
        <v/>
      </c>
      <c r="AH1026" s="1" t="str">
        <f>IFERROR(__xludf.DUMMYFUNCTION("""COMPUTED_VALUE"""),"Media Monitoring")</f>
        <v>Media Monitoring</v>
      </c>
      <c r="AI1026" s="1" t="str">
        <f>IFERROR(__xludf.DUMMYFUNCTION("""COMPUTED_VALUE"""),"")</f>
        <v/>
      </c>
      <c r="AJ1026" s="1" t="str">
        <f>IFERROR(__xludf.DUMMYFUNCTION("""COMPUTED_VALUE"""),"")</f>
        <v/>
      </c>
      <c r="AK1026" s="1" t="str">
        <f>IFERROR(__xludf.DUMMYFUNCTION("""COMPUTED_VALUE"""),"")</f>
        <v/>
      </c>
      <c r="AL1026" s="1" t="str">
        <f>IFERROR(__xludf.DUMMYFUNCTION("""COMPUTED_VALUE"""),"")</f>
        <v/>
      </c>
      <c r="AM1026" s="1" t="str">
        <f>IFERROR(__xludf.DUMMYFUNCTION("""COMPUTED_VALUE"""),"")</f>
        <v/>
      </c>
      <c r="AN1026" s="1" t="str">
        <f>IFERROR(__xludf.DUMMYFUNCTION("""COMPUTED_VALUE"""),"")</f>
        <v/>
      </c>
      <c r="AO1026" s="1" t="str">
        <f>IFERROR(__xludf.DUMMYFUNCTION("""COMPUTED_VALUE"""),"")</f>
        <v/>
      </c>
      <c r="AP1026" s="1" t="str">
        <f>IFERROR(__xludf.DUMMYFUNCTION("""COMPUTED_VALUE"""),"")</f>
        <v/>
      </c>
      <c r="AQ1026" s="1" t="str">
        <f>IFERROR(__xludf.DUMMYFUNCTION("""COMPUTED_VALUE"""),"08/05/2025")</f>
        <v>08/05/2025</v>
      </c>
      <c r="AR1026" s="1" t="str">
        <f>IFERROR(__xludf.DUMMYFUNCTION("""COMPUTED_VALUE"""),"08/05/2025")</f>
        <v>08/05/2025</v>
      </c>
    </row>
    <row r="1027">
      <c r="A1027" s="1" t="str">
        <f>IFERROR(__xludf.DUMMYFUNCTION("""COMPUTED_VALUE"""),"Richardson Data Center")</f>
        <v>Richardson Data Center</v>
      </c>
      <c r="B1027" s="1" t="str">
        <f>IFERROR(__xludf.DUMMYFUNCTION("""COMPUTED_VALUE"""),"1501 E Lookout Dr")</f>
        <v>1501 E Lookout Dr</v>
      </c>
      <c r="C1027" s="1" t="str">
        <f>IFERROR(__xludf.DUMMYFUNCTION("""COMPUTED_VALUE"""),"Richardson")</f>
        <v>Richardson</v>
      </c>
      <c r="D1027" s="1" t="str">
        <f>IFERROR(__xludf.DUMMYFUNCTION("""COMPUTED_VALUE"""),"TX")</f>
        <v>TX</v>
      </c>
      <c r="E1027" s="1" t="str">
        <f>IFERROR(__xludf.DUMMYFUNCTION("""COMPUTED_VALUE"""),"75082")</f>
        <v>75082</v>
      </c>
      <c r="F1027" s="1" t="str">
        <f>IFERROR(__xludf.DUMMYFUNCTION("""COMPUTED_VALUE"""),"Dallas")</f>
        <v>Dallas</v>
      </c>
      <c r="G1027" s="1" t="str">
        <f>IFERROR(__xludf.DUMMYFUNCTION("""COMPUTED_VALUE"""),"32.98529")</f>
        <v>32.98529</v>
      </c>
      <c r="H1027" s="1" t="str">
        <f>IFERROR(__xludf.DUMMYFUNCTION("""COMPUTED_VALUE"""),"-96.6969")</f>
        <v>-96.6969</v>
      </c>
      <c r="I1027" s="1" t="str">
        <f>IFERROR(__xludf.DUMMYFUNCTION("""COMPUTED_VALUE"""),"Operating")</f>
        <v>Operating</v>
      </c>
      <c r="J1027" s="1" t="str">
        <f>IFERROR(__xludf.DUMMYFUNCTION("""COMPUTED_VALUE"""),"High")</f>
        <v>High</v>
      </c>
      <c r="K1027" s="1" t="str">
        <f>IFERROR(__xludf.DUMMYFUNCTION("""COMPUTED_VALUE"""),"")</f>
        <v/>
      </c>
      <c r="L1027" s="1" t="str">
        <f>IFERROR(__xludf.DUMMYFUNCTION("""COMPUTED_VALUE"""),"")</f>
        <v/>
      </c>
      <c r="M1027" s="1" t="str">
        <f>IFERROR(__xludf.DUMMYFUNCTION("""COMPUTED_VALUE"""),"")</f>
        <v/>
      </c>
      <c r="N1027" s="1" t="str">
        <f>IFERROR(__xludf.DUMMYFUNCTION("""COMPUTED_VALUE"""),"24")</f>
        <v>24</v>
      </c>
      <c r="O1027" s="1" t="str">
        <f>IFERROR(__xludf.DUMMYFUNCTION("""COMPUTED_VALUE"""),"Medium (11-50 MW)")</f>
        <v>Medium (11-50 MW)</v>
      </c>
      <c r="P1027" s="1" t="str">
        <f>IFERROR(__xludf.DUMMYFUNCTION("""COMPUTED_VALUE"""),"")</f>
        <v/>
      </c>
      <c r="Q1027" s="1" t="str">
        <f>IFERROR(__xludf.DUMMYFUNCTION("""COMPUTED_VALUE"""),"")</f>
        <v/>
      </c>
      <c r="R1027" s="1" t="str">
        <f>IFERROR(__xludf.DUMMYFUNCTION("""COMPUTED_VALUE"""),"")</f>
        <v/>
      </c>
      <c r="S1027" s="1" t="str">
        <f>IFERROR(__xludf.DUMMYFUNCTION("""COMPUTED_VALUE"""),"")</f>
        <v/>
      </c>
      <c r="T1027" s="1" t="str">
        <f>IFERROR(__xludf.DUMMYFUNCTION("""COMPUTED_VALUE"""),"")</f>
        <v/>
      </c>
      <c r="U1027" s="1" t="str">
        <f>IFERROR(__xludf.DUMMYFUNCTION("""COMPUTED_VALUE"""),"")</f>
        <v/>
      </c>
      <c r="V1027" s="1" t="str">
        <f>IFERROR(__xludf.DUMMYFUNCTION("""COMPUTED_VALUE"""),"130,000")</f>
        <v>130,000</v>
      </c>
      <c r="W1027" s="1" t="str">
        <f>IFERROR(__xludf.DUMMYFUNCTION("""COMPUTED_VALUE"""),"")</f>
        <v/>
      </c>
      <c r="X1027" s="1" t="str">
        <f>IFERROR(__xludf.DUMMYFUNCTION("""COMPUTED_VALUE"""),"")</f>
        <v/>
      </c>
      <c r="Y1027" s="1" t="str">
        <f>IFERROR(__xludf.DUMMYFUNCTION("""COMPUTED_VALUE"""),"")</f>
        <v/>
      </c>
      <c r="Z1027" s="1" t="str">
        <f>IFERROR(__xludf.DUMMYFUNCTION("""COMPUTED_VALUE"""),"Unknown")</f>
        <v>Unknown</v>
      </c>
      <c r="AA1027" s="1" t="str">
        <f>IFERROR(__xludf.DUMMYFUNCTION("""COMPUTED_VALUE"""),"")</f>
        <v/>
      </c>
      <c r="AB1027" s="1" t="str">
        <f>IFERROR(__xludf.DUMMYFUNCTION("""COMPUTED_VALUE"""),"")</f>
        <v/>
      </c>
      <c r="AC1027" s="1" t="str">
        <f>IFERROR(__xludf.DUMMYFUNCTION("""COMPUTED_VALUE"""),"")</f>
        <v/>
      </c>
      <c r="AD1027" s="1" t="str">
        <f>IFERROR(__xludf.DUMMYFUNCTION("""COMPUTED_VALUE"""),"")</f>
        <v/>
      </c>
      <c r="AE1027" s="1" t="str">
        <f>IFERROR(__xludf.DUMMYFUNCTION("""COMPUTED_VALUE"""),"")</f>
        <v/>
      </c>
      <c r="AF1027" s="1" t="str">
        <f>IFERROR(__xludf.DUMMYFUNCTION("""COMPUTED_VALUE"""),"")</f>
        <v/>
      </c>
      <c r="AG1027" s="1" t="str">
        <f>IFERROR(__xludf.DUMMYFUNCTION("""COMPUTED_VALUE"""),"")</f>
        <v/>
      </c>
      <c r="AH1027" s="1" t="str">
        <f>IFERROR(__xludf.DUMMYFUNCTION("""COMPUTED_VALUE"""),"Media Monitoring")</f>
        <v>Media Monitoring</v>
      </c>
      <c r="AI1027" s="2" t="str">
        <f>IFERROR(__xludf.DUMMYFUNCTION("""COMPUTED_VALUE"""),"https://www.datacenterdynamics.com/en/news/prime-and-vantage-buy-land-phoenix-arizona/")</f>
        <v>https://www.datacenterdynamics.com/en/news/prime-and-vantage-buy-land-phoenix-arizona/</v>
      </c>
      <c r="AJ1027" s="1" t="str">
        <f>IFERROR(__xludf.DUMMYFUNCTION("""COMPUTED_VALUE"""),"")</f>
        <v/>
      </c>
      <c r="AK1027" s="1" t="str">
        <f>IFERROR(__xludf.DUMMYFUNCTION("""COMPUTED_VALUE"""),"")</f>
        <v/>
      </c>
      <c r="AL1027" s="1" t="str">
        <f>IFERROR(__xludf.DUMMYFUNCTION("""COMPUTED_VALUE"""),"")</f>
        <v/>
      </c>
      <c r="AM1027" s="1" t="str">
        <f>IFERROR(__xludf.DUMMYFUNCTION("""COMPUTED_VALUE"""),"")</f>
        <v/>
      </c>
      <c r="AN1027" s="1" t="str">
        <f>IFERROR(__xludf.DUMMYFUNCTION("""COMPUTED_VALUE"""),"")</f>
        <v/>
      </c>
      <c r="AO1027" s="1" t="str">
        <f>IFERROR(__xludf.DUMMYFUNCTION("""COMPUTED_VALUE"""),"")</f>
        <v/>
      </c>
      <c r="AP1027" s="1" t="str">
        <f>IFERROR(__xludf.DUMMYFUNCTION("""COMPUTED_VALUE"""),"")</f>
        <v/>
      </c>
      <c r="AQ1027" s="1" t="str">
        <f>IFERROR(__xludf.DUMMYFUNCTION("""COMPUTED_VALUE"""),"05/28/2025")</f>
        <v>05/28/2025</v>
      </c>
      <c r="AR1027" s="1" t="str">
        <f>IFERROR(__xludf.DUMMYFUNCTION("""COMPUTED_VALUE"""),"05/28/2025")</f>
        <v>05/28/2025</v>
      </c>
    </row>
    <row r="1028">
      <c r="A1028" s="1" t="str">
        <f>IFERROR(__xludf.DUMMYFUNCTION("""COMPUTED_VALUE"""),"Cipher Data Center")</f>
        <v>Cipher Data Center</v>
      </c>
      <c r="B1028" s="1" t="str">
        <f>IFERROR(__xludf.DUMMYFUNCTION("""COMPUTED_VALUE"""),"near Sandy Creek Power Plant")</f>
        <v>near Sandy Creek Power Plant</v>
      </c>
      <c r="C1028" s="1" t="str">
        <f>IFERROR(__xludf.DUMMYFUNCTION("""COMPUTED_VALUE"""),"Riesel")</f>
        <v>Riesel</v>
      </c>
      <c r="D1028" s="1" t="str">
        <f>IFERROR(__xludf.DUMMYFUNCTION("""COMPUTED_VALUE"""),"TX")</f>
        <v>TX</v>
      </c>
      <c r="E1028" s="1" t="str">
        <f>IFERROR(__xludf.DUMMYFUNCTION("""COMPUTED_VALUE"""),"76682")</f>
        <v>76682</v>
      </c>
      <c r="F1028" s="1" t="str">
        <f>IFERROR(__xludf.DUMMYFUNCTION("""COMPUTED_VALUE""")," McLennan")</f>
        <v> McLennan</v>
      </c>
      <c r="G1028" s="1" t="str">
        <f>IFERROR(__xludf.DUMMYFUNCTION("""COMPUTED_VALUE"""),"31.47631")</f>
        <v>31.47631</v>
      </c>
      <c r="H1028" s="1" t="str">
        <f>IFERROR(__xludf.DUMMYFUNCTION("""COMPUTED_VALUE"""),"-96.96844")</f>
        <v>-96.96844</v>
      </c>
      <c r="I1028" s="1" t="str">
        <f>IFERROR(__xludf.DUMMYFUNCTION("""COMPUTED_VALUE"""),"Proposed")</f>
        <v>Proposed</v>
      </c>
      <c r="J1028" s="1" t="str">
        <f>IFERROR(__xludf.DUMMYFUNCTION("""COMPUTED_VALUE"""),"Medium")</f>
        <v>Medium</v>
      </c>
      <c r="K1028" s="1" t="str">
        <f>IFERROR(__xludf.DUMMYFUNCTION("""COMPUTED_VALUE"""),"AI")</f>
        <v>AI</v>
      </c>
      <c r="L1028" s="1" t="str">
        <f>IFERROR(__xludf.DUMMYFUNCTION("""COMPUTED_VALUE"""),"Cipher")</f>
        <v>Cipher</v>
      </c>
      <c r="M1028" s="1" t="str">
        <f>IFERROR(__xludf.DUMMYFUNCTION("""COMPUTED_VALUE"""),"")</f>
        <v/>
      </c>
      <c r="N1028" s="1" t="str">
        <f>IFERROR(__xludf.DUMMYFUNCTION("""COMPUTED_VALUE"""),"500")</f>
        <v>500</v>
      </c>
      <c r="O1028" s="1" t="str">
        <f>IFERROR(__xludf.DUMMYFUNCTION("""COMPUTED_VALUE"""),"Hyperscale (100-999 MW)")</f>
        <v>Hyperscale (100-999 MW)</v>
      </c>
      <c r="P1028" s="1" t="str">
        <f>IFERROR(__xludf.DUMMYFUNCTION("""COMPUTED_VALUE"""),"Coal")</f>
        <v>Coal</v>
      </c>
      <c r="Q1028" s="1" t="str">
        <f>IFERROR(__xludf.DUMMYFUNCTION("""COMPUTED_VALUE"""),"")</f>
        <v/>
      </c>
      <c r="R1028" s="1" t="str">
        <f>IFERROR(__xludf.DUMMYFUNCTION("""COMPUTED_VALUE"""),"")</f>
        <v/>
      </c>
      <c r="S1028" s="1" t="str">
        <f>IFERROR(__xludf.DUMMYFUNCTION("""COMPUTED_VALUE"""),"")</f>
        <v/>
      </c>
      <c r="T1028" s="1" t="str">
        <f>IFERROR(__xludf.DUMMYFUNCTION("""COMPUTED_VALUE"""),"")</f>
        <v/>
      </c>
      <c r="U1028" s="1" t="str">
        <f>IFERROR(__xludf.DUMMYFUNCTION("""COMPUTED_VALUE"""),"")</f>
        <v/>
      </c>
      <c r="V1028" s="1" t="str">
        <f>IFERROR(__xludf.DUMMYFUNCTION("""COMPUTED_VALUE"""),"")</f>
        <v/>
      </c>
      <c r="W1028" s="1" t="str">
        <f>IFERROR(__xludf.DUMMYFUNCTION("""COMPUTED_VALUE"""),"")</f>
        <v/>
      </c>
      <c r="X1028" s="1" t="str">
        <f>IFERROR(__xludf.DUMMYFUNCTION("""COMPUTED_VALUE"""),"")</f>
        <v/>
      </c>
      <c r="Y1028" s="1" t="str">
        <f>IFERROR(__xludf.DUMMYFUNCTION("""COMPUTED_VALUE"""),"2028")</f>
        <v>2028</v>
      </c>
      <c r="Z1028" s="1" t="str">
        <f>IFERROR(__xludf.DUMMYFUNCTION("""COMPUTED_VALUE"""),"Unknown")</f>
        <v>Unknown</v>
      </c>
      <c r="AA1028" s="1" t="str">
        <f>IFERROR(__xludf.DUMMYFUNCTION("""COMPUTED_VALUE"""),"")</f>
        <v/>
      </c>
      <c r="AB1028" s="1" t="str">
        <f>IFERROR(__xludf.DUMMYFUNCTION("""COMPUTED_VALUE"""),"")</f>
        <v/>
      </c>
      <c r="AC1028" s="1" t="str">
        <f>IFERROR(__xludf.DUMMYFUNCTION("""COMPUTED_VALUE"""),"")</f>
        <v/>
      </c>
      <c r="AD1028" s="1" t="str">
        <f>IFERROR(__xludf.DUMMYFUNCTION("""COMPUTED_VALUE"""),"")</f>
        <v/>
      </c>
      <c r="AE1028" s="1" t="str">
        <f>IFERROR(__xludf.DUMMYFUNCTION("""COMPUTED_VALUE"""),"")</f>
        <v/>
      </c>
      <c r="AF1028" s="1" t="str">
        <f>IFERROR(__xludf.DUMMYFUNCTION("""COMPUTED_VALUE"""),"")</f>
        <v/>
      </c>
      <c r="AG1028" s="1" t="str">
        <f>IFERROR(__xludf.DUMMYFUNCTION("""COMPUTED_VALUE"""),"")</f>
        <v/>
      </c>
      <c r="AH1028" s="1" t="str">
        <f>IFERROR(__xludf.DUMMYFUNCTION("""COMPUTED_VALUE"""),"Media Monitoring")</f>
        <v>Media Monitoring</v>
      </c>
      <c r="AI1028" s="2" t="str">
        <f>IFERROR(__xludf.DUMMYFUNCTION("""COMPUTED_VALUE"""),"https://www.datacenterdynamics.com/en/news/cipher-looks-to-build-500mw-campus-near-coal-plant-outside-waco-texas/")</f>
        <v>https://www.datacenterdynamics.com/en/news/cipher-looks-to-build-500mw-campus-near-coal-plant-outside-waco-texas/</v>
      </c>
      <c r="AJ1028" s="1" t="str">
        <f>IFERROR(__xludf.DUMMYFUNCTION("""COMPUTED_VALUE"""),"")</f>
        <v/>
      </c>
      <c r="AK1028" s="1" t="str">
        <f>IFERROR(__xludf.DUMMYFUNCTION("""COMPUTED_VALUE"""),"")</f>
        <v/>
      </c>
      <c r="AL1028" s="1" t="str">
        <f>IFERROR(__xludf.DUMMYFUNCTION("""COMPUTED_VALUE"""),"")</f>
        <v/>
      </c>
      <c r="AM1028" s="1" t="str">
        <f>IFERROR(__xludf.DUMMYFUNCTION("""COMPUTED_VALUE"""),"")</f>
        <v/>
      </c>
      <c r="AN1028" s="1" t="str">
        <f>IFERROR(__xludf.DUMMYFUNCTION("""COMPUTED_VALUE"""),"")</f>
        <v/>
      </c>
      <c r="AO1028" s="1" t="str">
        <f>IFERROR(__xludf.DUMMYFUNCTION("""COMPUTED_VALUE"""),"")</f>
        <v/>
      </c>
      <c r="AP1028" s="1" t="str">
        <f>IFERROR(__xludf.DUMMYFUNCTION("""COMPUTED_VALUE"""),"")</f>
        <v/>
      </c>
      <c r="AQ1028" s="1" t="str">
        <f>IFERROR(__xludf.DUMMYFUNCTION("""COMPUTED_VALUE"""),"06/11/2026")</f>
        <v>06/11/2026</v>
      </c>
      <c r="AR1028" s="1" t="str">
        <f>IFERROR(__xludf.DUMMYFUNCTION("""COMPUTED_VALUE"""),"06/11/2026")</f>
        <v>06/11/2026</v>
      </c>
    </row>
    <row r="1029">
      <c r="A1029" s="1" t="str">
        <f>IFERROR(__xludf.DUMMYFUNCTION("""COMPUTED_VALUE"""),"CORNERSTONE SOUTHWEST DATA CENTER")</f>
        <v>CORNERSTONE SOUTHWEST DATA CENTER</v>
      </c>
      <c r="B1029" s="1" t="str">
        <f>IFERROR(__xludf.DUMMYFUNCTION("""COMPUTED_VALUE"""),"931 LITSEY RD")</f>
        <v>931 LITSEY RD</v>
      </c>
      <c r="C1029" s="1" t="str">
        <f>IFERROR(__xludf.DUMMYFUNCTION("""COMPUTED_VALUE"""),"ROANOKE")</f>
        <v>ROANOKE</v>
      </c>
      <c r="D1029" s="1" t="str">
        <f>IFERROR(__xludf.DUMMYFUNCTION("""COMPUTED_VALUE"""),"TX")</f>
        <v>TX</v>
      </c>
      <c r="E1029" s="1" t="str">
        <f>IFERROR(__xludf.DUMMYFUNCTION("""COMPUTED_VALUE"""),"76262")</f>
        <v>76262</v>
      </c>
      <c r="F1029" s="1" t="str">
        <f>IFERROR(__xludf.DUMMYFUNCTION("""COMPUTED_VALUE"""),"Denton")</f>
        <v>Denton</v>
      </c>
      <c r="G1029" s="1" t="str">
        <f>IFERROR(__xludf.DUMMYFUNCTION("""COMPUTED_VALUE"""),"33.00576")</f>
        <v>33.00576</v>
      </c>
      <c r="H1029" s="1" t="str">
        <f>IFERROR(__xludf.DUMMYFUNCTION("""COMPUTED_VALUE"""),"-97.2459")</f>
        <v>-97.2459</v>
      </c>
      <c r="I1029" s="1" t="str">
        <f>IFERROR(__xludf.DUMMYFUNCTION("""COMPUTED_VALUE"""),"Operating")</f>
        <v>Operating</v>
      </c>
      <c r="J1029" s="1" t="str">
        <f>IFERROR(__xludf.DUMMYFUNCTION("""COMPUTED_VALUE"""),"High")</f>
        <v>High</v>
      </c>
      <c r="K1029" s="1" t="str">
        <f>IFERROR(__xludf.DUMMYFUNCTION("""COMPUTED_VALUE"""),"")</f>
        <v/>
      </c>
      <c r="L1029" s="1" t="str">
        <f>IFERROR(__xludf.DUMMYFUNCTION("""COMPUTED_VALUE"""),"")</f>
        <v/>
      </c>
      <c r="M1029" s="1" t="str">
        <f>IFERROR(__xludf.DUMMYFUNCTION("""COMPUTED_VALUE"""),"")</f>
        <v/>
      </c>
      <c r="N1029" s="1" t="str">
        <f>IFERROR(__xludf.DUMMYFUNCTION("""COMPUTED_VALUE"""),"")</f>
        <v/>
      </c>
      <c r="O1029" s="1" t="str">
        <f>IFERROR(__xludf.DUMMYFUNCTION("""COMPUTED_VALUE"""),"Unknown")</f>
        <v>Unknown</v>
      </c>
      <c r="P1029" s="1" t="str">
        <f>IFERROR(__xludf.DUMMYFUNCTION("""COMPUTED_VALUE"""),"")</f>
        <v/>
      </c>
      <c r="Q1029" s="1" t="str">
        <f>IFERROR(__xludf.DUMMYFUNCTION("""COMPUTED_VALUE"""),"")</f>
        <v/>
      </c>
      <c r="R1029" s="1" t="str">
        <f>IFERROR(__xludf.DUMMYFUNCTION("""COMPUTED_VALUE"""),"")</f>
        <v/>
      </c>
      <c r="S1029" s="1" t="str">
        <f>IFERROR(__xludf.DUMMYFUNCTION("""COMPUTED_VALUE"""),"")</f>
        <v/>
      </c>
      <c r="T1029" s="1" t="str">
        <f>IFERROR(__xludf.DUMMYFUNCTION("""COMPUTED_VALUE"""),"")</f>
        <v/>
      </c>
      <c r="U1029" s="1" t="str">
        <f>IFERROR(__xludf.DUMMYFUNCTION("""COMPUTED_VALUE"""),"")</f>
        <v/>
      </c>
      <c r="V1029" s="1" t="str">
        <f>IFERROR(__xludf.DUMMYFUNCTION("""COMPUTED_VALUE"""),"")</f>
        <v/>
      </c>
      <c r="W1029" s="1" t="str">
        <f>IFERROR(__xludf.DUMMYFUNCTION("""COMPUTED_VALUE"""),"")</f>
        <v/>
      </c>
      <c r="X1029" s="1" t="str">
        <f>IFERROR(__xludf.DUMMYFUNCTION("""COMPUTED_VALUE"""),"")</f>
        <v/>
      </c>
      <c r="Y1029" s="1" t="str">
        <f>IFERROR(__xludf.DUMMYFUNCTION("""COMPUTED_VALUE"""),"")</f>
        <v/>
      </c>
      <c r="Z1029" s="1" t="str">
        <f>IFERROR(__xludf.DUMMYFUNCTION("""COMPUTED_VALUE"""),"Unknown")</f>
        <v>Unknown</v>
      </c>
      <c r="AA1029" s="1" t="str">
        <f>IFERROR(__xludf.DUMMYFUNCTION("""COMPUTED_VALUE"""),"")</f>
        <v/>
      </c>
      <c r="AB1029" s="1" t="str">
        <f>IFERROR(__xludf.DUMMYFUNCTION("""COMPUTED_VALUE"""),"")</f>
        <v/>
      </c>
      <c r="AC1029" s="1" t="str">
        <f>IFERROR(__xludf.DUMMYFUNCTION("""COMPUTED_VALUE"""),"")</f>
        <v/>
      </c>
      <c r="AD1029" s="1" t="str">
        <f>IFERROR(__xludf.DUMMYFUNCTION("""COMPUTED_VALUE"""),"")</f>
        <v/>
      </c>
      <c r="AE1029" s="1" t="str">
        <f>IFERROR(__xludf.DUMMYFUNCTION("""COMPUTED_VALUE"""),"")</f>
        <v/>
      </c>
      <c r="AF1029" s="1" t="str">
        <f>IFERROR(__xludf.DUMMYFUNCTION("""COMPUTED_VALUE"""),"")</f>
        <v/>
      </c>
      <c r="AG1029" s="1" t="str">
        <f>IFERROR(__xludf.DUMMYFUNCTION("""COMPUTED_VALUE"""),"FULLY REGULATED")</f>
        <v>FULLY REGULATED</v>
      </c>
      <c r="AH1029" s="1" t="str">
        <f>IFERROR(__xludf.DUMMYFUNCTION("""COMPUTED_VALUE"""),"Media Monitoring")</f>
        <v>Media Monitoring</v>
      </c>
      <c r="AI1029" s="2" t="str">
        <f>IFERROR(__xludf.DUMMYFUNCTION("""COMPUTED_VALUE"""),"https://gis-tceq.opendata.arcgis.com/datasets/daece6e3181140f69093ab69cf9ae0ba/explore?layer=0&amp;showTable=true")</f>
        <v>https://gis-tceq.opendata.arcgis.com/datasets/daece6e3181140f69093ab69cf9ae0ba/explore?layer=0&amp;showTable=true</v>
      </c>
      <c r="AJ1029" s="1" t="str">
        <f>IFERROR(__xludf.DUMMYFUNCTION("""COMPUTED_VALUE"""),"")</f>
        <v/>
      </c>
      <c r="AK1029" s="1" t="str">
        <f>IFERROR(__xludf.DUMMYFUNCTION("""COMPUTED_VALUE"""),"")</f>
        <v/>
      </c>
      <c r="AL1029" s="1" t="str">
        <f>IFERROR(__xludf.DUMMYFUNCTION("""COMPUTED_VALUE"""),"")</f>
        <v/>
      </c>
      <c r="AM1029" s="1" t="str">
        <f>IFERROR(__xludf.DUMMYFUNCTION("""COMPUTED_VALUE"""),"")</f>
        <v/>
      </c>
      <c r="AN1029" s="1" t="str">
        <f>IFERROR(__xludf.DUMMYFUNCTION("""COMPUTED_VALUE"""),"")</f>
        <v/>
      </c>
      <c r="AO1029" s="1" t="str">
        <f>IFERROR(__xludf.DUMMYFUNCTION("""COMPUTED_VALUE"""),"")</f>
        <v/>
      </c>
      <c r="AP1029" s="1" t="str">
        <f>IFERROR(__xludf.DUMMYFUNCTION("""COMPUTED_VALUE"""),"")</f>
        <v/>
      </c>
      <c r="AQ1029" s="1" t="str">
        <f>IFERROR(__xludf.DUMMYFUNCTION("""COMPUTED_VALUE"""),"08/05/2025")</f>
        <v>08/05/2025</v>
      </c>
      <c r="AR1029" s="1" t="str">
        <f>IFERROR(__xludf.DUMMYFUNCTION("""COMPUTED_VALUE"""),"08/05/2025")</f>
        <v>08/05/2025</v>
      </c>
    </row>
    <row r="1030">
      <c r="A1030" s="1" t="str">
        <f>IFERROR(__xludf.DUMMYFUNCTION("""COMPUTED_VALUE"""),"Beacon Point Data Center")</f>
        <v>Beacon Point Data Center</v>
      </c>
      <c r="B1030" s="1" t="str">
        <f>IFERROR(__xludf.DUMMYFUNCTION("""COMPUTED_VALUE"""),"Nueces County (near Robstown)")</f>
        <v>Nueces County (near Robstown)</v>
      </c>
      <c r="C1030" s="1" t="str">
        <f>IFERROR(__xludf.DUMMYFUNCTION("""COMPUTED_VALUE"""),"Robstown")</f>
        <v>Robstown</v>
      </c>
      <c r="D1030" s="1" t="str">
        <f>IFERROR(__xludf.DUMMYFUNCTION("""COMPUTED_VALUE"""),"TX")</f>
        <v>TX</v>
      </c>
      <c r="E1030" s="1" t="str">
        <f>IFERROR(__xludf.DUMMYFUNCTION("""COMPUTED_VALUE"""),"78380")</f>
        <v>78380</v>
      </c>
      <c r="F1030" s="1" t="str">
        <f>IFERROR(__xludf.DUMMYFUNCTION("""COMPUTED_VALUE"""),"Nueces")</f>
        <v>Nueces</v>
      </c>
      <c r="G1030" s="1" t="str">
        <f>IFERROR(__xludf.DUMMYFUNCTION("""COMPUTED_VALUE"""),"27.7903")</f>
        <v>27.7903</v>
      </c>
      <c r="H1030" s="1" t="str">
        <f>IFERROR(__xludf.DUMMYFUNCTION("""COMPUTED_VALUE"""),"-97.67")</f>
        <v>-97.67</v>
      </c>
      <c r="I1030" s="1" t="str">
        <f>IFERROR(__xludf.DUMMYFUNCTION("""COMPUTED_VALUE"""),"Proposed")</f>
        <v>Proposed</v>
      </c>
      <c r="J1030" s="1" t="str">
        <f>IFERROR(__xludf.DUMMYFUNCTION("""COMPUTED_VALUE"""),"Medium")</f>
        <v>Medium</v>
      </c>
      <c r="K1030" s="1" t="str">
        <f>IFERROR(__xludf.DUMMYFUNCTION("""COMPUTED_VALUE"""),"Crytomine/AI")</f>
        <v>Crytomine/AI</v>
      </c>
      <c r="L1030" s="1" t="str">
        <f>IFERROR(__xludf.DUMMYFUNCTION("""COMPUTED_VALUE"""),"Hut 8 ")</f>
        <v>Hut 8 </v>
      </c>
      <c r="M1030" s="1" t="str">
        <f>IFERROR(__xludf.DUMMYFUNCTION("""COMPUTED_VALUE"""),"")</f>
        <v/>
      </c>
      <c r="N1030" s="1" t="str">
        <f>IFERROR(__xludf.DUMMYFUNCTION("""COMPUTED_VALUE"""),"352")</f>
        <v>352</v>
      </c>
      <c r="O1030" s="1" t="str">
        <f>IFERROR(__xludf.DUMMYFUNCTION("""COMPUTED_VALUE"""),"Hyperscale (100-999 MW)")</f>
        <v>Hyperscale (100-999 MW)</v>
      </c>
      <c r="P1030" s="1" t="str">
        <f>IFERROR(__xludf.DUMMYFUNCTION("""COMPUTED_VALUE"""),"")</f>
        <v/>
      </c>
      <c r="Q1030" s="1" t="str">
        <f>IFERROR(__xludf.DUMMYFUNCTION("""COMPUTED_VALUE"""),"")</f>
        <v/>
      </c>
      <c r="R1030" s="1" t="str">
        <f>IFERROR(__xludf.DUMMYFUNCTION("""COMPUTED_VALUE"""),"")</f>
        <v/>
      </c>
      <c r="S1030" s="1" t="str">
        <f>IFERROR(__xludf.DUMMYFUNCTION("""COMPUTED_VALUE"""),"")</f>
        <v/>
      </c>
      <c r="T1030" s="1" t="str">
        <f>IFERROR(__xludf.DUMMYFUNCTION("""COMPUTED_VALUE"""),"")</f>
        <v/>
      </c>
      <c r="U1030" s="1" t="str">
        <f>IFERROR(__xludf.DUMMYFUNCTION("""COMPUTED_VALUE"""),"")</f>
        <v/>
      </c>
      <c r="V1030" s="1" t="str">
        <f>IFERROR(__xludf.DUMMYFUNCTION("""COMPUTED_VALUE"""),"")</f>
        <v/>
      </c>
      <c r="W1030" s="1" t="str">
        <f>IFERROR(__xludf.DUMMYFUNCTION("""COMPUTED_VALUE"""),"")</f>
        <v/>
      </c>
      <c r="X1030" s="1" t="str">
        <f>IFERROR(__xludf.DUMMYFUNCTION("""COMPUTED_VALUE"""),"9.8 Billion")</f>
        <v>9.8 Billion</v>
      </c>
      <c r="Y1030" s="1" t="str">
        <f>IFERROR(__xludf.DUMMYFUNCTION("""COMPUTED_VALUE"""),"")</f>
        <v/>
      </c>
      <c r="Z1030" s="1" t="str">
        <f>IFERROR(__xludf.DUMMYFUNCTION("""COMPUTED_VALUE"""),"Unknown")</f>
        <v>Unknown</v>
      </c>
      <c r="AA1030" s="1" t="str">
        <f>IFERROR(__xludf.DUMMYFUNCTION("""COMPUTED_VALUE"""),"")</f>
        <v/>
      </c>
      <c r="AB1030" s="1" t="str">
        <f>IFERROR(__xludf.DUMMYFUNCTION("""COMPUTED_VALUE"""),"")</f>
        <v/>
      </c>
      <c r="AC1030" s="1" t="str">
        <f>IFERROR(__xludf.DUMMYFUNCTION("""COMPUTED_VALUE"""),"")</f>
        <v/>
      </c>
      <c r="AD1030" s="1" t="str">
        <f>IFERROR(__xludf.DUMMYFUNCTION("""COMPUTED_VALUE"""),"")</f>
        <v/>
      </c>
      <c r="AE1030" s="1" t="str">
        <f>IFERROR(__xludf.DUMMYFUNCTION("""COMPUTED_VALUE"""),"")</f>
        <v/>
      </c>
      <c r="AF1030" s="1" t="str">
        <f>IFERROR(__xludf.DUMMYFUNCTION("""COMPUTED_VALUE"""),"")</f>
        <v/>
      </c>
      <c r="AG1030" s="1" t="str">
        <f>IFERROR(__xludf.DUMMYFUNCTION("""COMPUTED_VALUE"""),"")</f>
        <v/>
      </c>
      <c r="AH1030" s="1" t="str">
        <f>IFERROR(__xludf.DUMMYFUNCTION("""COMPUTED_VALUE"""),"Media Monitoring")</f>
        <v>Media Monitoring</v>
      </c>
      <c r="AI1030" s="2" t="str">
        <f>IFERROR(__xludf.DUMMYFUNCTION("""COMPUTED_VALUE"""),"https://www.datacenterdynamics.com/en/news/hut-8-signs-352mw-data-center-lease-in-texas-with-investment-grade-tenant/")</f>
        <v>https://www.datacenterdynamics.com/en/news/hut-8-signs-352mw-data-center-lease-in-texas-with-investment-grade-tenant/</v>
      </c>
      <c r="AJ1030" s="1" t="str">
        <f>IFERROR(__xludf.DUMMYFUNCTION("""COMPUTED_VALUE"""),"")</f>
        <v/>
      </c>
      <c r="AK1030" s="1" t="str">
        <f>IFERROR(__xludf.DUMMYFUNCTION("""COMPUTED_VALUE"""),"")</f>
        <v/>
      </c>
      <c r="AL1030" s="1" t="str">
        <f>IFERROR(__xludf.DUMMYFUNCTION("""COMPUTED_VALUE"""),"")</f>
        <v/>
      </c>
      <c r="AM1030" s="1" t="str">
        <f>IFERROR(__xludf.DUMMYFUNCTION("""COMPUTED_VALUE"""),"")</f>
        <v/>
      </c>
      <c r="AN1030" s="1" t="str">
        <f>IFERROR(__xludf.DUMMYFUNCTION("""COMPUTED_VALUE"""),"")</f>
        <v/>
      </c>
      <c r="AO1030" s="1" t="str">
        <f>IFERROR(__xludf.DUMMYFUNCTION("""COMPUTED_VALUE"""),"")</f>
        <v/>
      </c>
      <c r="AP1030" s="1" t="str">
        <f>IFERROR(__xludf.DUMMYFUNCTION("""COMPUTED_VALUE"""),"")</f>
        <v/>
      </c>
      <c r="AQ1030" s="1" t="str">
        <f>IFERROR(__xludf.DUMMYFUNCTION("""COMPUTED_VALUE"""),"05/08/2026")</f>
        <v>05/08/2026</v>
      </c>
      <c r="AR1030" s="1" t="str">
        <f>IFERROR(__xludf.DUMMYFUNCTION("""COMPUTED_VALUE"""),"05/08/2026")</f>
        <v>05/08/2026</v>
      </c>
    </row>
    <row r="1031">
      <c r="A1031" s="1" t="str">
        <f>IFERROR(__xludf.DUMMYFUNCTION("""COMPUTED_VALUE"""),"Advanced Micro Devices Data Center")</f>
        <v>Advanced Micro Devices Data Center</v>
      </c>
      <c r="B1031" s="1" t="str">
        <f>IFERROR(__xludf.DUMMYFUNCTION("""COMPUTED_VALUE"""),"2721 Charles Martin Hall Rd")</f>
        <v>2721 Charles Martin Hall Rd</v>
      </c>
      <c r="C1031" s="1" t="str">
        <f>IFERROR(__xludf.DUMMYFUNCTION("""COMPUTED_VALUE"""),"Rockdale")</f>
        <v>Rockdale</v>
      </c>
      <c r="D1031" s="1" t="str">
        <f>IFERROR(__xludf.DUMMYFUNCTION("""COMPUTED_VALUE"""),"TX")</f>
        <v>TX</v>
      </c>
      <c r="E1031" s="1" t="str">
        <f>IFERROR(__xludf.DUMMYFUNCTION("""COMPUTED_VALUE"""),"76567")</f>
        <v>76567</v>
      </c>
      <c r="F1031" s="1" t="str">
        <f>IFERROR(__xludf.DUMMYFUNCTION("""COMPUTED_VALUE"""),"Milam")</f>
        <v>Milam</v>
      </c>
      <c r="G1031" s="1" t="str">
        <f>IFERROR(__xludf.DUMMYFUNCTION("""COMPUTED_VALUE"""),"30.56359")</f>
        <v>30.56359</v>
      </c>
      <c r="H1031" s="1" t="str">
        <f>IFERROR(__xludf.DUMMYFUNCTION("""COMPUTED_VALUE"""),"-97.08498")</f>
        <v>-97.08498</v>
      </c>
      <c r="I1031" s="1" t="str">
        <f>IFERROR(__xludf.DUMMYFUNCTION("""COMPUTED_VALUE"""),"Expanding")</f>
        <v>Expanding</v>
      </c>
      <c r="J1031" s="1" t="str">
        <f>IFERROR(__xludf.DUMMYFUNCTION("""COMPUTED_VALUE"""),"High")</f>
        <v>High</v>
      </c>
      <c r="K1031" s="1" t="str">
        <f>IFERROR(__xludf.DUMMYFUNCTION("""COMPUTED_VALUE"""),"")</f>
        <v/>
      </c>
      <c r="L1031" s="1" t="str">
        <f>IFERROR(__xludf.DUMMYFUNCTION("""COMPUTED_VALUE"""),"Riot")</f>
        <v>Riot</v>
      </c>
      <c r="M1031" s="1" t="str">
        <f>IFERROR(__xludf.DUMMYFUNCTION("""COMPUTED_VALUE"""),"")</f>
        <v/>
      </c>
      <c r="N1031" s="1" t="str">
        <f>IFERROR(__xludf.DUMMYFUNCTION("""COMPUTED_VALUE"""),"25-200")</f>
        <v>25-200</v>
      </c>
      <c r="O1031" s="1" t="str">
        <f>IFERROR(__xludf.DUMMYFUNCTION("""COMPUTED_VALUE"""),"Hyperscale (100-999 MW)")</f>
        <v>Hyperscale (100-999 MW)</v>
      </c>
      <c r="P1031" s="1" t="str">
        <f>IFERROR(__xludf.DUMMYFUNCTION("""COMPUTED_VALUE"""),"")</f>
        <v/>
      </c>
      <c r="Q1031" s="1" t="str">
        <f>IFERROR(__xludf.DUMMYFUNCTION("""COMPUTED_VALUE"""),"")</f>
        <v/>
      </c>
      <c r="R1031" s="1" t="str">
        <f>IFERROR(__xludf.DUMMYFUNCTION("""COMPUTED_VALUE"""),"")</f>
        <v/>
      </c>
      <c r="S1031" s="1" t="str">
        <f>IFERROR(__xludf.DUMMYFUNCTION("""COMPUTED_VALUE"""),"")</f>
        <v/>
      </c>
      <c r="T1031" s="1" t="str">
        <f>IFERROR(__xludf.DUMMYFUNCTION("""COMPUTED_VALUE"""),"")</f>
        <v/>
      </c>
      <c r="U1031" s="1" t="str">
        <f>IFERROR(__xludf.DUMMYFUNCTION("""COMPUTED_VALUE"""),"")</f>
        <v/>
      </c>
      <c r="V1031" s="1" t="str">
        <f>IFERROR(__xludf.DUMMYFUNCTION("""COMPUTED_VALUE"""),"")</f>
        <v/>
      </c>
      <c r="W1031" s="1" t="str">
        <f>IFERROR(__xludf.DUMMYFUNCTION("""COMPUTED_VALUE"""),"")</f>
        <v/>
      </c>
      <c r="X1031" s="1" t="str">
        <f>IFERROR(__xludf.DUMMYFUNCTION("""COMPUTED_VALUE"""),"$89.8 million")</f>
        <v>$89.8 million</v>
      </c>
      <c r="Y1031" s="1" t="str">
        <f>IFERROR(__xludf.DUMMYFUNCTION("""COMPUTED_VALUE"""),"2026")</f>
        <v>2026</v>
      </c>
      <c r="Z1031" s="1" t="str">
        <f>IFERROR(__xludf.DUMMYFUNCTION("""COMPUTED_VALUE"""),"Unknown")</f>
        <v>Unknown</v>
      </c>
      <c r="AA1031" s="1" t="str">
        <f>IFERROR(__xludf.DUMMYFUNCTION("""COMPUTED_VALUE"""),"")</f>
        <v/>
      </c>
      <c r="AB1031" s="1" t="str">
        <f>IFERROR(__xludf.DUMMYFUNCTION("""COMPUTED_VALUE"""),"")</f>
        <v/>
      </c>
      <c r="AC1031" s="1" t="str">
        <f>IFERROR(__xludf.DUMMYFUNCTION("""COMPUTED_VALUE"""),"")</f>
        <v/>
      </c>
      <c r="AD1031" s="1" t="str">
        <f>IFERROR(__xludf.DUMMYFUNCTION("""COMPUTED_VALUE"""),"")</f>
        <v/>
      </c>
      <c r="AE1031" s="1" t="str">
        <f>IFERROR(__xludf.DUMMYFUNCTION("""COMPUTED_VALUE"""),"")</f>
        <v/>
      </c>
      <c r="AF1031" s="1" t="str">
        <f>IFERROR(__xludf.DUMMYFUNCTION("""COMPUTED_VALUE"""),"")</f>
        <v/>
      </c>
      <c r="AG1031" s="1" t="str">
        <f>IFERROR(__xludf.DUMMYFUNCTION("""COMPUTED_VALUE"""),"Bitcoin operator expanding to HPC")</f>
        <v>Bitcoin operator expanding to HPC</v>
      </c>
      <c r="AH1031" s="1" t="str">
        <f>IFERROR(__xludf.DUMMYFUNCTION("""COMPUTED_VALUE"""),"Media Monitoring")</f>
        <v>Media Monitoring</v>
      </c>
      <c r="AI1031" s="1" t="str">
        <f>IFERROR(__xludf.DUMMYFUNCTION("""COMPUTED_VALUE"""),"")</f>
        <v/>
      </c>
      <c r="AJ1031" s="1" t="str">
        <f>IFERROR(__xludf.DUMMYFUNCTION("""COMPUTED_VALUE"""),"")</f>
        <v/>
      </c>
      <c r="AK1031" s="1" t="str">
        <f>IFERROR(__xludf.DUMMYFUNCTION("""COMPUTED_VALUE"""),"")</f>
        <v/>
      </c>
      <c r="AL1031" s="1" t="str">
        <f>IFERROR(__xludf.DUMMYFUNCTION("""COMPUTED_VALUE"""),"")</f>
        <v/>
      </c>
      <c r="AM1031" s="1" t="str">
        <f>IFERROR(__xludf.DUMMYFUNCTION("""COMPUTED_VALUE"""),"")</f>
        <v/>
      </c>
      <c r="AN1031" s="1" t="str">
        <f>IFERROR(__xludf.DUMMYFUNCTION("""COMPUTED_VALUE"""),"")</f>
        <v/>
      </c>
      <c r="AO1031" s="1" t="str">
        <f>IFERROR(__xludf.DUMMYFUNCTION("""COMPUTED_VALUE"""),"")</f>
        <v/>
      </c>
      <c r="AP1031" s="1" t="str">
        <f>IFERROR(__xludf.DUMMYFUNCTION("""COMPUTED_VALUE"""),"")</f>
        <v/>
      </c>
      <c r="AQ1031" s="1" t="str">
        <f>IFERROR(__xludf.DUMMYFUNCTION("""COMPUTED_VALUE"""),"01/19/2026")</f>
        <v>01/19/2026</v>
      </c>
      <c r="AR1031" s="1" t="str">
        <f>IFERROR(__xludf.DUMMYFUNCTION("""COMPUTED_VALUE"""),"01/19/2026")</f>
        <v>01/19/2026</v>
      </c>
    </row>
    <row r="1032">
      <c r="A1032" s="1" t="str">
        <f>IFERROR(__xludf.DUMMYFUNCTION("""COMPUTED_VALUE"""),"Sabey Data Center")</f>
        <v>Sabey Data Center</v>
      </c>
      <c r="B1032" s="1" t="str">
        <f>IFERROR(__xludf.DUMMYFUNCTION("""COMPUTED_VALUE"""),"1300 Louis Henna Blvd")</f>
        <v>1300 Louis Henna Blvd</v>
      </c>
      <c r="C1032" s="1" t="str">
        <f>IFERROR(__xludf.DUMMYFUNCTION("""COMPUTED_VALUE"""),"Round Rock")</f>
        <v>Round Rock</v>
      </c>
      <c r="D1032" s="1" t="str">
        <f>IFERROR(__xludf.DUMMYFUNCTION("""COMPUTED_VALUE"""),"TX")</f>
        <v>TX</v>
      </c>
      <c r="E1032" s="1" t="str">
        <f>IFERROR(__xludf.DUMMYFUNCTION("""COMPUTED_VALUE"""),"78664")</f>
        <v>78664</v>
      </c>
      <c r="F1032" s="1" t="str">
        <f>IFERROR(__xludf.DUMMYFUNCTION("""COMPUTED_VALUE"""),"Williamson")</f>
        <v>Williamson</v>
      </c>
      <c r="G1032" s="1" t="str">
        <f>IFERROR(__xludf.DUMMYFUNCTION("""COMPUTED_VALUE"""),"30.48796")</f>
        <v>30.48796</v>
      </c>
      <c r="H1032" s="1" t="str">
        <f>IFERROR(__xludf.DUMMYFUNCTION("""COMPUTED_VALUE"""),"-97.6468")</f>
        <v>-97.6468</v>
      </c>
      <c r="I1032" s="1" t="str">
        <f>IFERROR(__xludf.DUMMYFUNCTION("""COMPUTED_VALUE"""),"Operating")</f>
        <v>Operating</v>
      </c>
      <c r="J1032" s="1" t="str">
        <f>IFERROR(__xludf.DUMMYFUNCTION("""COMPUTED_VALUE"""),"High")</f>
        <v>High</v>
      </c>
      <c r="K1032" s="1" t="str">
        <f>IFERROR(__xludf.DUMMYFUNCTION("""COMPUTED_VALUE"""),"")</f>
        <v/>
      </c>
      <c r="L1032" s="1" t="str">
        <f>IFERROR(__xludf.DUMMYFUNCTION("""COMPUTED_VALUE"""),"")</f>
        <v/>
      </c>
      <c r="M1032" s="1" t="str">
        <f>IFERROR(__xludf.DUMMYFUNCTION("""COMPUTED_VALUE"""),"")</f>
        <v/>
      </c>
      <c r="N1032" s="1" t="str">
        <f>IFERROR(__xludf.DUMMYFUNCTION("""COMPUTED_VALUE"""),"")</f>
        <v/>
      </c>
      <c r="O1032" s="1" t="str">
        <f>IFERROR(__xludf.DUMMYFUNCTION("""COMPUTED_VALUE"""),"Unknown")</f>
        <v>Unknown</v>
      </c>
      <c r="P1032" s="1" t="str">
        <f>IFERROR(__xludf.DUMMYFUNCTION("""COMPUTED_VALUE"""),"")</f>
        <v/>
      </c>
      <c r="Q1032" s="1" t="str">
        <f>IFERROR(__xludf.DUMMYFUNCTION("""COMPUTED_VALUE"""),"")</f>
        <v/>
      </c>
      <c r="R1032" s="1" t="str">
        <f>IFERROR(__xludf.DUMMYFUNCTION("""COMPUTED_VALUE"""),"")</f>
        <v/>
      </c>
      <c r="S1032" s="1" t="str">
        <f>IFERROR(__xludf.DUMMYFUNCTION("""COMPUTED_VALUE"""),"")</f>
        <v/>
      </c>
      <c r="T1032" s="1" t="str">
        <f>IFERROR(__xludf.DUMMYFUNCTION("""COMPUTED_VALUE"""),"")</f>
        <v/>
      </c>
      <c r="U1032" s="1" t="str">
        <f>IFERROR(__xludf.DUMMYFUNCTION("""COMPUTED_VALUE"""),"")</f>
        <v/>
      </c>
      <c r="V1032" s="1" t="str">
        <f>IFERROR(__xludf.DUMMYFUNCTION("""COMPUTED_VALUE"""),"")</f>
        <v/>
      </c>
      <c r="W1032" s="1" t="str">
        <f>IFERROR(__xludf.DUMMYFUNCTION("""COMPUTED_VALUE"""),"")</f>
        <v/>
      </c>
      <c r="X1032" s="1" t="str">
        <f>IFERROR(__xludf.DUMMYFUNCTION("""COMPUTED_VALUE"""),"")</f>
        <v/>
      </c>
      <c r="Y1032" s="1" t="str">
        <f>IFERROR(__xludf.DUMMYFUNCTION("""COMPUTED_VALUE"""),"")</f>
        <v/>
      </c>
      <c r="Z1032" s="1" t="str">
        <f>IFERROR(__xludf.DUMMYFUNCTION("""COMPUTED_VALUE"""),"Unknown")</f>
        <v>Unknown</v>
      </c>
      <c r="AA1032" s="1" t="str">
        <f>IFERROR(__xludf.DUMMYFUNCTION("""COMPUTED_VALUE"""),"")</f>
        <v/>
      </c>
      <c r="AB1032" s="1" t="str">
        <f>IFERROR(__xludf.DUMMYFUNCTION("""COMPUTED_VALUE"""),"")</f>
        <v/>
      </c>
      <c r="AC1032" s="1" t="str">
        <f>IFERROR(__xludf.DUMMYFUNCTION("""COMPUTED_VALUE"""),"")</f>
        <v/>
      </c>
      <c r="AD1032" s="1" t="str">
        <f>IFERROR(__xludf.DUMMYFUNCTION("""COMPUTED_VALUE"""),"")</f>
        <v/>
      </c>
      <c r="AE1032" s="1" t="str">
        <f>IFERROR(__xludf.DUMMYFUNCTION("""COMPUTED_VALUE"""),"")</f>
        <v/>
      </c>
      <c r="AF1032" s="1" t="str">
        <f>IFERROR(__xludf.DUMMYFUNCTION("""COMPUTED_VALUE"""),"")</f>
        <v/>
      </c>
      <c r="AG1032" s="1" t="str">
        <f>IFERROR(__xludf.DUMMYFUNCTION("""COMPUTED_VALUE"""),"")</f>
        <v/>
      </c>
      <c r="AH1032" s="1" t="str">
        <f>IFERROR(__xludf.DUMMYFUNCTION("""COMPUTED_VALUE"""),"Media Monitoring")</f>
        <v>Media Monitoring</v>
      </c>
      <c r="AI1032" s="1" t="str">
        <f>IFERROR(__xludf.DUMMYFUNCTION("""COMPUTED_VALUE"""),"")</f>
        <v/>
      </c>
      <c r="AJ1032" s="1" t="str">
        <f>IFERROR(__xludf.DUMMYFUNCTION("""COMPUTED_VALUE"""),"")</f>
        <v/>
      </c>
      <c r="AK1032" s="1" t="str">
        <f>IFERROR(__xludf.DUMMYFUNCTION("""COMPUTED_VALUE"""),"")</f>
        <v/>
      </c>
      <c r="AL1032" s="1" t="str">
        <f>IFERROR(__xludf.DUMMYFUNCTION("""COMPUTED_VALUE"""),"")</f>
        <v/>
      </c>
      <c r="AM1032" s="1" t="str">
        <f>IFERROR(__xludf.DUMMYFUNCTION("""COMPUTED_VALUE"""),"")</f>
        <v/>
      </c>
      <c r="AN1032" s="1" t="str">
        <f>IFERROR(__xludf.DUMMYFUNCTION("""COMPUTED_VALUE"""),"")</f>
        <v/>
      </c>
      <c r="AO1032" s="1" t="str">
        <f>IFERROR(__xludf.DUMMYFUNCTION("""COMPUTED_VALUE"""),"")</f>
        <v/>
      </c>
      <c r="AP1032" s="1" t="str">
        <f>IFERROR(__xludf.DUMMYFUNCTION("""COMPUTED_VALUE"""),"")</f>
        <v/>
      </c>
      <c r="AQ1032" s="1" t="str">
        <f>IFERROR(__xludf.DUMMYFUNCTION("""COMPUTED_VALUE"""),"08/05/2025")</f>
        <v>08/05/2025</v>
      </c>
      <c r="AR1032" s="1" t="str">
        <f>IFERROR(__xludf.DUMMYFUNCTION("""COMPUTED_VALUE"""),"08/05/2025")</f>
        <v>08/05/2025</v>
      </c>
    </row>
    <row r="1033">
      <c r="A1033" s="1" t="str">
        <f>IFERROR(__xludf.DUMMYFUNCTION("""COMPUTED_VALUE"""),"Skybox Round Rock Data Center")</f>
        <v>Skybox Round Rock Data Center</v>
      </c>
      <c r="B1033" s="1" t="str">
        <f>IFERROR(__xludf.DUMMYFUNCTION("""COMPUTED_VALUE"""),"2601 E. Old Settlers Boulevard")</f>
        <v>2601 E. Old Settlers Boulevard</v>
      </c>
      <c r="C1033" s="1" t="str">
        <f>IFERROR(__xludf.DUMMYFUNCTION("""COMPUTED_VALUE"""),"Round Rock")</f>
        <v>Round Rock</v>
      </c>
      <c r="D1033" s="1" t="str">
        <f>IFERROR(__xludf.DUMMYFUNCTION("""COMPUTED_VALUE"""),"TX")</f>
        <v>TX</v>
      </c>
      <c r="E1033" s="1" t="str">
        <f>IFERROR(__xludf.DUMMYFUNCTION("""COMPUTED_VALUE"""),"78665")</f>
        <v>78665</v>
      </c>
      <c r="F1033" s="1" t="str">
        <f>IFERROR(__xludf.DUMMYFUNCTION("""COMPUTED_VALUE"""),"Williamson")</f>
        <v>Williamson</v>
      </c>
      <c r="G1033" s="1" t="str">
        <f>IFERROR(__xludf.DUMMYFUNCTION("""COMPUTED_VALUE"""),"30.5489")</f>
        <v>30.5489</v>
      </c>
      <c r="H1033" s="1" t="str">
        <f>IFERROR(__xludf.DUMMYFUNCTION("""COMPUTED_VALUE"""),"-97.6441")</f>
        <v>-97.6441</v>
      </c>
      <c r="I1033" s="1" t="str">
        <f>IFERROR(__xludf.DUMMYFUNCTION("""COMPUTED_VALUE"""),"Approved/Permitted/Under construction")</f>
        <v>Approved/Permitted/Under construction</v>
      </c>
      <c r="J1033" s="1" t="str">
        <f>IFERROR(__xludf.DUMMYFUNCTION("""COMPUTED_VALUE"""),"High")</f>
        <v>High</v>
      </c>
      <c r="K1033" s="1" t="str">
        <f>IFERROR(__xludf.DUMMYFUNCTION("""COMPUTED_VALUE"""),"")</f>
        <v/>
      </c>
      <c r="L1033" s="1" t="str">
        <f>IFERROR(__xludf.DUMMYFUNCTION("""COMPUTED_VALUE"""),"Skybox Datacenters")</f>
        <v>Skybox Datacenters</v>
      </c>
      <c r="M1033" s="1" t="str">
        <f>IFERROR(__xludf.DUMMYFUNCTION("""COMPUTED_VALUE"""),"")</f>
        <v/>
      </c>
      <c r="N1033" s="1" t="str">
        <f>IFERROR(__xludf.DUMMYFUNCTION("""COMPUTED_VALUE"""),"40")</f>
        <v>40</v>
      </c>
      <c r="O1033" s="1" t="str">
        <f>IFERROR(__xludf.DUMMYFUNCTION("""COMPUTED_VALUE"""),"Medium (11-50 MW)")</f>
        <v>Medium (11-50 MW)</v>
      </c>
      <c r="P1033" s="1" t="str">
        <f>IFERROR(__xludf.DUMMYFUNCTION("""COMPUTED_VALUE"""),"")</f>
        <v/>
      </c>
      <c r="Q1033" s="1" t="str">
        <f>IFERROR(__xludf.DUMMYFUNCTION("""COMPUTED_VALUE"""),"")</f>
        <v/>
      </c>
      <c r="R1033" s="1" t="str">
        <f>IFERROR(__xludf.DUMMYFUNCTION("""COMPUTED_VALUE"""),"")</f>
        <v/>
      </c>
      <c r="S1033" s="1" t="str">
        <f>IFERROR(__xludf.DUMMYFUNCTION("""COMPUTED_VALUE"""),"")</f>
        <v/>
      </c>
      <c r="T1033" s="1" t="str">
        <f>IFERROR(__xludf.DUMMYFUNCTION("""COMPUTED_VALUE"""),"")</f>
        <v/>
      </c>
      <c r="U1033" s="1" t="str">
        <f>IFERROR(__xludf.DUMMYFUNCTION("""COMPUTED_VALUE"""),"Closed loop")</f>
        <v>Closed loop</v>
      </c>
      <c r="V1033" s="1" t="str">
        <f>IFERROR(__xludf.DUMMYFUNCTION("""COMPUTED_VALUE"""),"150,000")</f>
        <v>150,000</v>
      </c>
      <c r="W1033" s="1" t="str">
        <f>IFERROR(__xludf.DUMMYFUNCTION("""COMPUTED_VALUE"""),"30")</f>
        <v>30</v>
      </c>
      <c r="X1033" s="1" t="str">
        <f>IFERROR(__xludf.DUMMYFUNCTION("""COMPUTED_VALUE"""),"")</f>
        <v/>
      </c>
      <c r="Y1033" s="1" t="str">
        <f>IFERROR(__xludf.DUMMYFUNCTION("""COMPUTED_VALUE"""),"")</f>
        <v/>
      </c>
      <c r="Z1033" s="1" t="str">
        <f>IFERROR(__xludf.DUMMYFUNCTION("""COMPUTED_VALUE"""),"Yes")</f>
        <v>Yes</v>
      </c>
      <c r="AA1033" s="1" t="str">
        <f>IFERROR(__xludf.DUMMYFUNCTION("""COMPUTED_VALUE"""),"")</f>
        <v/>
      </c>
      <c r="AB1033" s="1" t="str">
        <f>IFERROR(__xludf.DUMMYFUNCTION("""COMPUTED_VALUE"""),"")</f>
        <v/>
      </c>
      <c r="AC1033" s="1" t="str">
        <f>IFERROR(__xludf.DUMMYFUNCTION("""COMPUTED_VALUE"""),"")</f>
        <v/>
      </c>
      <c r="AD1033" s="2" t="str">
        <f>IFERROR(__xludf.DUMMYFUNCTION("""COMPUTED_VALUE"""),"https://protectroundrock.org/")</f>
        <v>https://protectroundrock.org/</v>
      </c>
      <c r="AE1033" s="1" t="str">
        <f>IFERROR(__xludf.DUMMYFUNCTION("""COMPUTED_VALUE"""),"")</f>
        <v/>
      </c>
      <c r="AF1033" s="1" t="str">
        <f>IFERROR(__xludf.DUMMYFUNCTION("""COMPUTED_VALUE"""),"")</f>
        <v/>
      </c>
      <c r="AG1033" s="1" t="str">
        <f>IFERROR(__xludf.DUMMYFUNCTION("""COMPUTED_VALUE"""),"The city council voted on and unanimously approved rezoning of 30 acres for the proposal on Feb 12th 2026")</f>
        <v>The city council voted on and unanimously approved rezoning of 30 acres for the proposal on Feb 12th 2026</v>
      </c>
      <c r="AH1033" s="1" t="str">
        <f>IFERROR(__xludf.DUMMYFUNCTION("""COMPUTED_VALUE"""),"Crowdsourced")</f>
        <v>Crowdsourced</v>
      </c>
      <c r="AI1033" s="2" t="str">
        <f>IFERROR(__xludf.DUMMYFUNCTION("""COMPUTED_VALUE"""),"https://www.roundrocktexas.gov/city-departments/administration/data-centers-in-round-rock/")</f>
        <v>https://www.roundrocktexas.gov/city-departments/administration/data-centers-in-round-rock/</v>
      </c>
      <c r="AJ1033" s="2" t="str">
        <f>IFERROR(__xludf.DUMMYFUNCTION("""COMPUTED_VALUE"""),"https://cbsaustin.com/news/local/round-rock-council-hears-hours-of-testimony-thursday-on-skybox-rezoning-plan")</f>
        <v>https://cbsaustin.com/news/local/round-rock-council-hears-hours-of-testimony-thursday-on-skybox-rezoning-plan</v>
      </c>
      <c r="AK1033" s="1" t="str">
        <f>IFERROR(__xludf.DUMMYFUNCTION("""COMPUTED_VALUE"""),"")</f>
        <v/>
      </c>
      <c r="AL1033" s="1" t="str">
        <f>IFERROR(__xludf.DUMMYFUNCTION("""COMPUTED_VALUE"""),"")</f>
        <v/>
      </c>
      <c r="AM1033" s="1" t="str">
        <f>IFERROR(__xludf.DUMMYFUNCTION("""COMPUTED_VALUE"""),"")</f>
        <v/>
      </c>
      <c r="AN1033" s="1" t="str">
        <f>IFERROR(__xludf.DUMMYFUNCTION("""COMPUTED_VALUE"""),"")</f>
        <v/>
      </c>
      <c r="AO1033" s="1" t="str">
        <f>IFERROR(__xludf.DUMMYFUNCTION("""COMPUTED_VALUE"""),"")</f>
        <v/>
      </c>
      <c r="AP1033" s="1" t="str">
        <f>IFERROR(__xludf.DUMMYFUNCTION("""COMPUTED_VALUE"""),"")</f>
        <v/>
      </c>
      <c r="AQ1033" s="1" t="str">
        <f>IFERROR(__xludf.DUMMYFUNCTION("""COMPUTED_VALUE"""),"02/13/2026")</f>
        <v>02/13/2026</v>
      </c>
      <c r="AR1033" s="1" t="str">
        <f>IFERROR(__xludf.DUMMYFUNCTION("""COMPUTED_VALUE"""),"02/25/2026")</f>
        <v>02/25/2026</v>
      </c>
    </row>
    <row r="1034">
      <c r="A1034" s="1" t="str">
        <f>IFERROR(__xludf.DUMMYFUNCTION("""COMPUTED_VALUE"""),"Skybox Data Center")</f>
        <v>Skybox Data Center</v>
      </c>
      <c r="B1034" s="1" t="str">
        <f>IFERROR(__xludf.DUMMYFUNCTION("""COMPUTED_VALUE"""),"South of US-67, west of City Farm Rd")</f>
        <v>South of US-67, west of City Farm Rd</v>
      </c>
      <c r="C1034" s="1" t="str">
        <f>IFERROR(__xludf.DUMMYFUNCTION("""COMPUTED_VALUE"""),"San Angelo")</f>
        <v>San Angelo</v>
      </c>
      <c r="D1034" s="1" t="str">
        <f>IFERROR(__xludf.DUMMYFUNCTION("""COMPUTED_VALUE"""),"TX")</f>
        <v>TX</v>
      </c>
      <c r="E1034" s="1" t="str">
        <f>IFERROR(__xludf.DUMMYFUNCTION("""COMPUTED_VALUE"""),"76905")</f>
        <v>76905</v>
      </c>
      <c r="F1034" s="1" t="str">
        <f>IFERROR(__xludf.DUMMYFUNCTION("""COMPUTED_VALUE"""),"Tom Green")</f>
        <v>Tom Green</v>
      </c>
      <c r="G1034" s="1" t="str">
        <f>IFERROR(__xludf.DUMMYFUNCTION("""COMPUTED_VALUE"""),"31.52764")</f>
        <v>31.52764</v>
      </c>
      <c r="H1034" s="1" t="str">
        <f>IFERROR(__xludf.DUMMYFUNCTION("""COMPUTED_VALUE"""),"-100.33235")</f>
        <v>-100.33235</v>
      </c>
      <c r="I1034" s="1" t="str">
        <f>IFERROR(__xludf.DUMMYFUNCTION("""COMPUTED_VALUE"""),"Proposed")</f>
        <v>Proposed</v>
      </c>
      <c r="J1034" s="1" t="str">
        <f>IFERROR(__xludf.DUMMYFUNCTION("""COMPUTED_VALUE"""),"High")</f>
        <v>High</v>
      </c>
      <c r="K1034" s="1" t="str">
        <f>IFERROR(__xludf.DUMMYFUNCTION("""COMPUTED_VALUE"""),"")</f>
        <v/>
      </c>
      <c r="L1034" s="1" t="str">
        <f>IFERROR(__xludf.DUMMYFUNCTION("""COMPUTED_VALUE"""),"")</f>
        <v/>
      </c>
      <c r="M1034" s="1" t="str">
        <f>IFERROR(__xludf.DUMMYFUNCTION("""COMPUTED_VALUE"""),"")</f>
        <v/>
      </c>
      <c r="N1034" s="1" t="str">
        <f>IFERROR(__xludf.DUMMYFUNCTION("""COMPUTED_VALUE"""),"")</f>
        <v/>
      </c>
      <c r="O1034" s="1" t="str">
        <f>IFERROR(__xludf.DUMMYFUNCTION("""COMPUTED_VALUE"""),"Hyperscale (100-999 MW)")</f>
        <v>Hyperscale (100-999 MW)</v>
      </c>
      <c r="P1034" s="1" t="str">
        <f>IFERROR(__xludf.DUMMYFUNCTION("""COMPUTED_VALUE"""),"Grid (unspecified mix)")</f>
        <v>Grid (unspecified mix)</v>
      </c>
      <c r="Q1034" s="1" t="str">
        <f>IFERROR(__xludf.DUMMYFUNCTION("""COMPUTED_VALUE"""),"")</f>
        <v/>
      </c>
      <c r="R1034" s="1" t="str">
        <f>IFERROR(__xludf.DUMMYFUNCTION("""COMPUTED_VALUE"""),"")</f>
        <v/>
      </c>
      <c r="S1034" s="1" t="str">
        <f>IFERROR(__xludf.DUMMYFUNCTION("""COMPUTED_VALUE"""),"6")</f>
        <v>6</v>
      </c>
      <c r="T1034" s="1" t="str">
        <f>IFERROR(__xludf.DUMMYFUNCTION("""COMPUTED_VALUE"""),"")</f>
        <v/>
      </c>
      <c r="U1034" s="1" t="str">
        <f>IFERROR(__xludf.DUMMYFUNCTION("""COMPUTED_VALUE"""),"")</f>
        <v/>
      </c>
      <c r="V1034" s="1" t="str">
        <f>IFERROR(__xludf.DUMMYFUNCTION("""COMPUTED_VALUE"""),"1,488,000")</f>
        <v>1,488,000</v>
      </c>
      <c r="W1034" s="1" t="str">
        <f>IFERROR(__xludf.DUMMYFUNCTION("""COMPUTED_VALUE"""),"350")</f>
        <v>350</v>
      </c>
      <c r="X1034" s="1" t="str">
        <f>IFERROR(__xludf.DUMMYFUNCTION("""COMPUTED_VALUE"""),"")</f>
        <v/>
      </c>
      <c r="Y1034" s="1" t="str">
        <f>IFERROR(__xludf.DUMMYFUNCTION("""COMPUTED_VALUE"""),"")</f>
        <v/>
      </c>
      <c r="Z1034" s="1" t="str">
        <f>IFERROR(__xludf.DUMMYFUNCTION("""COMPUTED_VALUE"""),"Unknown")</f>
        <v>Unknown</v>
      </c>
      <c r="AA1034" s="1" t="str">
        <f>IFERROR(__xludf.DUMMYFUNCTION("""COMPUTED_VALUE"""),"")</f>
        <v/>
      </c>
      <c r="AB1034" s="1" t="str">
        <f>IFERROR(__xludf.DUMMYFUNCTION("""COMPUTED_VALUE"""),"")</f>
        <v/>
      </c>
      <c r="AC1034" s="1" t="str">
        <f>IFERROR(__xludf.DUMMYFUNCTION("""COMPUTED_VALUE"""),"")</f>
        <v/>
      </c>
      <c r="AD1034" s="1" t="str">
        <f>IFERROR(__xludf.DUMMYFUNCTION("""COMPUTED_VALUE"""),"")</f>
        <v/>
      </c>
      <c r="AE1034" s="1" t="str">
        <f>IFERROR(__xludf.DUMMYFUNCTION("""COMPUTED_VALUE"""),"")</f>
        <v/>
      </c>
      <c r="AF1034" s="1" t="str">
        <f>IFERROR(__xludf.DUMMYFUNCTION("""COMPUTED_VALUE"""),"")</f>
        <v/>
      </c>
      <c r="AG1034" s="1" t="str">
        <f>IFERROR(__xludf.DUMMYFUNCTION("""COMPUTED_VALUE"""),"")</f>
        <v/>
      </c>
      <c r="AH1034" s="1" t="str">
        <f>IFERROR(__xludf.DUMMYFUNCTION("""COMPUTED_VALUE"""),"Media Monitoring")</f>
        <v>Media Monitoring</v>
      </c>
      <c r="AI1034" s="2" t="str">
        <f>IFERROR(__xludf.DUMMYFUNCTION("""COMPUTED_VALUE"""),"https://www.datacenterdynamics.com/en/news/skybox-eyes-six-building-data-center-campus-in-san-angelo-texas/")</f>
        <v>https://www.datacenterdynamics.com/en/news/skybox-eyes-six-building-data-center-campus-in-san-angelo-texas/</v>
      </c>
      <c r="AJ1034" s="1" t="str">
        <f>IFERROR(__xludf.DUMMYFUNCTION("""COMPUTED_VALUE"""),"")</f>
        <v/>
      </c>
      <c r="AK1034" s="1" t="str">
        <f>IFERROR(__xludf.DUMMYFUNCTION("""COMPUTED_VALUE"""),"")</f>
        <v/>
      </c>
      <c r="AL1034" s="1" t="str">
        <f>IFERROR(__xludf.DUMMYFUNCTION("""COMPUTED_VALUE"""),"")</f>
        <v/>
      </c>
      <c r="AM1034" s="1" t="str">
        <f>IFERROR(__xludf.DUMMYFUNCTION("""COMPUTED_VALUE"""),"")</f>
        <v/>
      </c>
      <c r="AN1034" s="1" t="str">
        <f>IFERROR(__xludf.DUMMYFUNCTION("""COMPUTED_VALUE"""),"")</f>
        <v/>
      </c>
      <c r="AO1034" s="1" t="str">
        <f>IFERROR(__xludf.DUMMYFUNCTION("""COMPUTED_VALUE"""),"")</f>
        <v/>
      </c>
      <c r="AP1034" s="1" t="str">
        <f>IFERROR(__xludf.DUMMYFUNCTION("""COMPUTED_VALUE"""),"")</f>
        <v/>
      </c>
      <c r="AQ1034" s="1" t="str">
        <f>IFERROR(__xludf.DUMMYFUNCTION("""COMPUTED_VALUE"""),"01/06/2026")</f>
        <v>01/06/2026</v>
      </c>
      <c r="AR1034" s="1" t="str">
        <f>IFERROR(__xludf.DUMMYFUNCTION("""COMPUTED_VALUE"""),"01/06/2026")</f>
        <v>01/06/2026</v>
      </c>
    </row>
    <row r="1035">
      <c r="A1035" s="1" t="str">
        <f>IFERROR(__xludf.DUMMYFUNCTION("""COMPUTED_VALUE"""),"AWS  (COPT Potranco)")</f>
        <v>AWS  (COPT Potranco)</v>
      </c>
      <c r="B1035" s="1" t="str">
        <f>IFERROR(__xludf.DUMMYFUNCTION("""COMPUTED_VALUE"""),"1535 NW Crossroads")</f>
        <v>1535 NW Crossroads</v>
      </c>
      <c r="C1035" s="1" t="str">
        <f>IFERROR(__xludf.DUMMYFUNCTION("""COMPUTED_VALUE"""),"San Antonio")</f>
        <v>San Antonio</v>
      </c>
      <c r="D1035" s="1" t="str">
        <f>IFERROR(__xludf.DUMMYFUNCTION("""COMPUTED_VALUE"""),"TX")</f>
        <v>TX</v>
      </c>
      <c r="E1035" s="1" t="str">
        <f>IFERROR(__xludf.DUMMYFUNCTION("""COMPUTED_VALUE"""),"78251")</f>
        <v>78251</v>
      </c>
      <c r="F1035" s="1" t="str">
        <f>IFERROR(__xludf.DUMMYFUNCTION("""COMPUTED_VALUE"""),"Bexar")</f>
        <v>Bexar</v>
      </c>
      <c r="G1035" s="1" t="str">
        <f>IFERROR(__xludf.DUMMYFUNCTION("""COMPUTED_VALUE"""),"29.450628")</f>
        <v>29.450628</v>
      </c>
      <c r="H1035" s="1" t="str">
        <f>IFERROR(__xludf.DUMMYFUNCTION("""COMPUTED_VALUE"""),"-98.637535")</f>
        <v>-98.637535</v>
      </c>
      <c r="I1035" s="1" t="str">
        <f>IFERROR(__xludf.DUMMYFUNCTION("""COMPUTED_VALUE"""),"Proposed")</f>
        <v>Proposed</v>
      </c>
      <c r="J1035" s="1" t="str">
        <f>IFERROR(__xludf.DUMMYFUNCTION("""COMPUTED_VALUE"""),"High")</f>
        <v>High</v>
      </c>
      <c r="K1035" s="1" t="str">
        <f>IFERROR(__xludf.DUMMYFUNCTION("""COMPUTED_VALUE"""),"")</f>
        <v/>
      </c>
      <c r="L1035" s="1" t="str">
        <f>IFERROR(__xludf.DUMMYFUNCTION("""COMPUTED_VALUE"""),"")</f>
        <v/>
      </c>
      <c r="M1035" s="1" t="str">
        <f>IFERROR(__xludf.DUMMYFUNCTION("""COMPUTED_VALUE"""),"")</f>
        <v/>
      </c>
      <c r="N1035" s="1" t="str">
        <f>IFERROR(__xludf.DUMMYFUNCTION("""COMPUTED_VALUE"""),"")</f>
        <v/>
      </c>
      <c r="O1035" s="1" t="str">
        <f>IFERROR(__xludf.DUMMYFUNCTION("""COMPUTED_VALUE"""),"Unknown")</f>
        <v>Unknown</v>
      </c>
      <c r="P1035" s="1" t="str">
        <f>IFERROR(__xludf.DUMMYFUNCTION("""COMPUTED_VALUE"""),"")</f>
        <v/>
      </c>
      <c r="Q1035" s="1" t="str">
        <f>IFERROR(__xludf.DUMMYFUNCTION("""COMPUTED_VALUE"""),"")</f>
        <v/>
      </c>
      <c r="R1035" s="1" t="str">
        <f>IFERROR(__xludf.DUMMYFUNCTION("""COMPUTED_VALUE"""),"")</f>
        <v/>
      </c>
      <c r="S1035" s="1" t="str">
        <f>IFERROR(__xludf.DUMMYFUNCTION("""COMPUTED_VALUE"""),"")</f>
        <v/>
      </c>
      <c r="T1035" s="1" t="str">
        <f>IFERROR(__xludf.DUMMYFUNCTION("""COMPUTED_VALUE"""),"")</f>
        <v/>
      </c>
      <c r="U1035" s="1" t="str">
        <f>IFERROR(__xludf.DUMMYFUNCTION("""COMPUTED_VALUE"""),"")</f>
        <v/>
      </c>
      <c r="V1035" s="1" t="str">
        <f>IFERROR(__xludf.DUMMYFUNCTION("""COMPUTED_VALUE"""),"141,979")</f>
        <v>141,979</v>
      </c>
      <c r="W1035" s="1" t="str">
        <f>IFERROR(__xludf.DUMMYFUNCTION("""COMPUTED_VALUE"""),"")</f>
        <v/>
      </c>
      <c r="X1035" s="1" t="str">
        <f>IFERROR(__xludf.DUMMYFUNCTION("""COMPUTED_VALUE"""),"")</f>
        <v/>
      </c>
      <c r="Y1035" s="1" t="str">
        <f>IFERROR(__xludf.DUMMYFUNCTION("""COMPUTED_VALUE"""),"2027")</f>
        <v>2027</v>
      </c>
      <c r="Z1035" s="1" t="str">
        <f>IFERROR(__xludf.DUMMYFUNCTION("""COMPUTED_VALUE"""),"Unknown")</f>
        <v>Unknown</v>
      </c>
      <c r="AA1035" s="1" t="str">
        <f>IFERROR(__xludf.DUMMYFUNCTION("""COMPUTED_VALUE"""),"")</f>
        <v/>
      </c>
      <c r="AB1035" s="1" t="str">
        <f>IFERROR(__xludf.DUMMYFUNCTION("""COMPUTED_VALUE"""),"")</f>
        <v/>
      </c>
      <c r="AC1035" s="1" t="str">
        <f>IFERROR(__xludf.DUMMYFUNCTION("""COMPUTED_VALUE"""),"")</f>
        <v/>
      </c>
      <c r="AD1035" s="1" t="str">
        <f>IFERROR(__xludf.DUMMYFUNCTION("""COMPUTED_VALUE"""),"")</f>
        <v/>
      </c>
      <c r="AE1035" s="1" t="str">
        <f>IFERROR(__xludf.DUMMYFUNCTION("""COMPUTED_VALUE"""),"")</f>
        <v/>
      </c>
      <c r="AF1035" s="1" t="str">
        <f>IFERROR(__xludf.DUMMYFUNCTION("""COMPUTED_VALUE"""),"")</f>
        <v/>
      </c>
      <c r="AG1035" s="1" t="str">
        <f>IFERROR(__xludf.DUMMYFUNCTION("""COMPUTED_VALUE"""),"")</f>
        <v/>
      </c>
      <c r="AH1035" s="1" t="str">
        <f>IFERROR(__xludf.DUMMYFUNCTION("""COMPUTED_VALUE"""),"Media Monitoring")</f>
        <v>Media Monitoring</v>
      </c>
      <c r="AI1035" s="2" t="str">
        <f>IFERROR(__xludf.DUMMYFUNCTION("""COMPUTED_VALUE"""),"https://www.datacenterdynamics.com/en/news/aws-files-to-develop-data-centers-in-san-antonio-texas/")</f>
        <v>https://www.datacenterdynamics.com/en/news/aws-files-to-develop-data-centers-in-san-antonio-texas/</v>
      </c>
      <c r="AJ1035" s="1" t="str">
        <f>IFERROR(__xludf.DUMMYFUNCTION("""COMPUTED_VALUE"""),"")</f>
        <v/>
      </c>
      <c r="AK1035" s="1" t="str">
        <f>IFERROR(__xludf.DUMMYFUNCTION("""COMPUTED_VALUE"""),"")</f>
        <v/>
      </c>
      <c r="AL1035" s="1" t="str">
        <f>IFERROR(__xludf.DUMMYFUNCTION("""COMPUTED_VALUE"""),"")</f>
        <v/>
      </c>
      <c r="AM1035" s="1" t="str">
        <f>IFERROR(__xludf.DUMMYFUNCTION("""COMPUTED_VALUE"""),"")</f>
        <v/>
      </c>
      <c r="AN1035" s="1" t="str">
        <f>IFERROR(__xludf.DUMMYFUNCTION("""COMPUTED_VALUE"""),"")</f>
        <v/>
      </c>
      <c r="AO1035" s="1" t="str">
        <f>IFERROR(__xludf.DUMMYFUNCTION("""COMPUTED_VALUE"""),"")</f>
        <v/>
      </c>
      <c r="AP1035" s="1" t="str">
        <f>IFERROR(__xludf.DUMMYFUNCTION("""COMPUTED_VALUE"""),"")</f>
        <v/>
      </c>
      <c r="AQ1035" s="1" t="str">
        <f>IFERROR(__xludf.DUMMYFUNCTION("""COMPUTED_VALUE"""),"03/19/2026")</f>
        <v>03/19/2026</v>
      </c>
      <c r="AR1035" s="1" t="str">
        <f>IFERROR(__xludf.DUMMYFUNCTION("""COMPUTED_VALUE"""),"03/19/2026")</f>
        <v>03/19/2026</v>
      </c>
    </row>
    <row r="1036">
      <c r="A1036" s="1" t="str">
        <f>IFERROR(__xludf.DUMMYFUNCTION("""COMPUTED_VALUE"""),"AWS Rockfish 1")</f>
        <v>AWS Rockfish 1</v>
      </c>
      <c r="B1036" s="1" t="str">
        <f>IFERROR(__xludf.DUMMYFUNCTION("""COMPUTED_VALUE"""),"11625 Old Corpus Christi Hwy")</f>
        <v>11625 Old Corpus Christi Hwy</v>
      </c>
      <c r="C1036" s="1" t="str">
        <f>IFERROR(__xludf.DUMMYFUNCTION("""COMPUTED_VALUE"""),"San Antonio")</f>
        <v>San Antonio</v>
      </c>
      <c r="D1036" s="1" t="str">
        <f>IFERROR(__xludf.DUMMYFUNCTION("""COMPUTED_VALUE"""),"TX")</f>
        <v>TX</v>
      </c>
      <c r="E1036" s="1" t="str">
        <f>IFERROR(__xludf.DUMMYFUNCTION("""COMPUTED_VALUE"""),"78223")</f>
        <v>78223</v>
      </c>
      <c r="F1036" s="1" t="str">
        <f>IFERROR(__xludf.DUMMYFUNCTION("""COMPUTED_VALUE"""),"Bexar")</f>
        <v>Bexar</v>
      </c>
      <c r="G1036" s="1" t="str">
        <f>IFERROR(__xludf.DUMMYFUNCTION("""COMPUTED_VALUE"""),"29.3019")</f>
        <v>29.3019</v>
      </c>
      <c r="H1036" s="1" t="str">
        <f>IFERROR(__xludf.DUMMYFUNCTION("""COMPUTED_VALUE"""),"-98.3888")</f>
        <v>-98.3888</v>
      </c>
      <c r="I1036" s="1" t="str">
        <f>IFERROR(__xludf.DUMMYFUNCTION("""COMPUTED_VALUE"""),"Approved/Permitted/Under construction")</f>
        <v>Approved/Permitted/Under construction</v>
      </c>
      <c r="J1036" s="1" t="str">
        <f>IFERROR(__xludf.DUMMYFUNCTION("""COMPUTED_VALUE"""),"High")</f>
        <v>High</v>
      </c>
      <c r="K1036" s="1" t="str">
        <f>IFERROR(__xludf.DUMMYFUNCTION("""COMPUTED_VALUE"""),"")</f>
        <v/>
      </c>
      <c r="L1036" s="1" t="str">
        <f>IFERROR(__xludf.DUMMYFUNCTION("""COMPUTED_VALUE"""),"")</f>
        <v/>
      </c>
      <c r="M1036" s="1" t="str">
        <f>IFERROR(__xludf.DUMMYFUNCTION("""COMPUTED_VALUE"""),"")</f>
        <v/>
      </c>
      <c r="N1036" s="1" t="str">
        <f>IFERROR(__xludf.DUMMYFUNCTION("""COMPUTED_VALUE"""),"")</f>
        <v/>
      </c>
      <c r="O1036" s="1" t="str">
        <f>IFERROR(__xludf.DUMMYFUNCTION("""COMPUTED_VALUE"""),"Unknown")</f>
        <v>Unknown</v>
      </c>
      <c r="P1036" s="1" t="str">
        <f>IFERROR(__xludf.DUMMYFUNCTION("""COMPUTED_VALUE"""),"")</f>
        <v/>
      </c>
      <c r="Q1036" s="1" t="str">
        <f>IFERROR(__xludf.DUMMYFUNCTION("""COMPUTED_VALUE"""),"")</f>
        <v/>
      </c>
      <c r="R1036" s="1" t="str">
        <f>IFERROR(__xludf.DUMMYFUNCTION("""COMPUTED_VALUE"""),"")</f>
        <v/>
      </c>
      <c r="S1036" s="1" t="str">
        <f>IFERROR(__xludf.DUMMYFUNCTION("""COMPUTED_VALUE"""),"")</f>
        <v/>
      </c>
      <c r="T1036" s="1" t="str">
        <f>IFERROR(__xludf.DUMMYFUNCTION("""COMPUTED_VALUE"""),"")</f>
        <v/>
      </c>
      <c r="U1036" s="1" t="str">
        <f>IFERROR(__xludf.DUMMYFUNCTION("""COMPUTED_VALUE"""),"")</f>
        <v/>
      </c>
      <c r="V1036" s="1" t="str">
        <f>IFERROR(__xludf.DUMMYFUNCTION("""COMPUTED_VALUE"""),"109,600")</f>
        <v>109,600</v>
      </c>
      <c r="W1036" s="1" t="str">
        <f>IFERROR(__xludf.DUMMYFUNCTION("""COMPUTED_VALUE"""),"")</f>
        <v/>
      </c>
      <c r="X1036" s="1" t="str">
        <f>IFERROR(__xludf.DUMMYFUNCTION("""COMPUTED_VALUE"""),"$56 million")</f>
        <v>$56 million</v>
      </c>
      <c r="Y1036" s="1" t="str">
        <f>IFERROR(__xludf.DUMMYFUNCTION("""COMPUTED_VALUE"""),"")</f>
        <v/>
      </c>
      <c r="Z1036" s="1" t="str">
        <f>IFERROR(__xludf.DUMMYFUNCTION("""COMPUTED_VALUE"""),"Unknown")</f>
        <v>Unknown</v>
      </c>
      <c r="AA1036" s="1" t="str">
        <f>IFERROR(__xludf.DUMMYFUNCTION("""COMPUTED_VALUE"""),"")</f>
        <v/>
      </c>
      <c r="AB1036" s="1" t="str">
        <f>IFERROR(__xludf.DUMMYFUNCTION("""COMPUTED_VALUE"""),"")</f>
        <v/>
      </c>
      <c r="AC1036" s="1" t="str">
        <f>IFERROR(__xludf.DUMMYFUNCTION("""COMPUTED_VALUE"""),"")</f>
        <v/>
      </c>
      <c r="AD1036" s="1" t="str">
        <f>IFERROR(__xludf.DUMMYFUNCTION("""COMPUTED_VALUE"""),"")</f>
        <v/>
      </c>
      <c r="AE1036" s="1" t="str">
        <f>IFERROR(__xludf.DUMMYFUNCTION("""COMPUTED_VALUE"""),"")</f>
        <v/>
      </c>
      <c r="AF1036" s="1" t="str">
        <f>IFERROR(__xludf.DUMMYFUNCTION("""COMPUTED_VALUE"""),"")</f>
        <v/>
      </c>
      <c r="AG1036" s="1" t="str">
        <f>IFERROR(__xludf.DUMMYFUNCTION("""COMPUTED_VALUE"""),"")</f>
        <v/>
      </c>
      <c r="AH1036" s="1" t="str">
        <f>IFERROR(__xludf.DUMMYFUNCTION("""COMPUTED_VALUE"""),"Media Monitoring")</f>
        <v>Media Monitoring</v>
      </c>
      <c r="AI1036" s="2" t="str">
        <f>IFERROR(__xludf.DUMMYFUNCTION("""COMPUTED_VALUE"""),"https://www.datacenterdynamics.com/en/news/aws-rockfish-planning-documents-reveal-three-amazon-data-centers-in-texas/")</f>
        <v>https://www.datacenterdynamics.com/en/news/aws-rockfish-planning-documents-reveal-three-amazon-data-centers-in-texas/</v>
      </c>
      <c r="AJ1036" s="1" t="str">
        <f>IFERROR(__xludf.DUMMYFUNCTION("""COMPUTED_VALUE"""),"")</f>
        <v/>
      </c>
      <c r="AK1036" s="1" t="str">
        <f>IFERROR(__xludf.DUMMYFUNCTION("""COMPUTED_VALUE"""),"")</f>
        <v/>
      </c>
      <c r="AL1036" s="1" t="str">
        <f>IFERROR(__xludf.DUMMYFUNCTION("""COMPUTED_VALUE"""),"")</f>
        <v/>
      </c>
      <c r="AM1036" s="1" t="str">
        <f>IFERROR(__xludf.DUMMYFUNCTION("""COMPUTED_VALUE"""),"")</f>
        <v/>
      </c>
      <c r="AN1036" s="1" t="str">
        <f>IFERROR(__xludf.DUMMYFUNCTION("""COMPUTED_VALUE"""),"")</f>
        <v/>
      </c>
      <c r="AO1036" s="1" t="str">
        <f>IFERROR(__xludf.DUMMYFUNCTION("""COMPUTED_VALUE"""),"")</f>
        <v/>
      </c>
      <c r="AP1036" s="1" t="str">
        <f>IFERROR(__xludf.DUMMYFUNCTION("""COMPUTED_VALUE"""),"")</f>
        <v/>
      </c>
      <c r="AQ1036" s="1" t="str">
        <f>IFERROR(__xludf.DUMMYFUNCTION("""COMPUTED_VALUE"""),"07/28/2025")</f>
        <v>07/28/2025</v>
      </c>
      <c r="AR1036" s="1" t="str">
        <f>IFERROR(__xludf.DUMMYFUNCTION("""COMPUTED_VALUE"""),"07/28/2025")</f>
        <v>07/28/2025</v>
      </c>
    </row>
    <row r="1037">
      <c r="A1037" s="1" t="str">
        <f>IFERROR(__xludf.DUMMYFUNCTION("""COMPUTED_VALUE"""),"AWS Rockfish 2")</f>
        <v>AWS Rockfish 2</v>
      </c>
      <c r="B1037" s="1" t="str">
        <f>IFERROR(__xludf.DUMMYFUNCTION("""COMPUTED_VALUE"""),"7400 Potranco Road")</f>
        <v>7400 Potranco Road</v>
      </c>
      <c r="C1037" s="1" t="str">
        <f>IFERROR(__xludf.DUMMYFUNCTION("""COMPUTED_VALUE"""),"San Antonio")</f>
        <v>San Antonio</v>
      </c>
      <c r="D1037" s="1" t="str">
        <f>IFERROR(__xludf.DUMMYFUNCTION("""COMPUTED_VALUE"""),"TX")</f>
        <v>TX</v>
      </c>
      <c r="E1037" s="1" t="str">
        <f>IFERROR(__xludf.DUMMYFUNCTION("""COMPUTED_VALUE"""),"78251")</f>
        <v>78251</v>
      </c>
      <c r="F1037" s="1" t="str">
        <f>IFERROR(__xludf.DUMMYFUNCTION("""COMPUTED_VALUE"""),"Bexar")</f>
        <v>Bexar</v>
      </c>
      <c r="G1037" s="1" t="str">
        <f>IFERROR(__xludf.DUMMYFUNCTION("""COMPUTED_VALUE"""),"29.45094")</f>
        <v>29.45094</v>
      </c>
      <c r="H1037" s="1" t="str">
        <f>IFERROR(__xludf.DUMMYFUNCTION("""COMPUTED_VALUE"""),"-98.6388")</f>
        <v>-98.6388</v>
      </c>
      <c r="I1037" s="1" t="str">
        <f>IFERROR(__xludf.DUMMYFUNCTION("""COMPUTED_VALUE"""),"Approved/Permitted/Under construction")</f>
        <v>Approved/Permitted/Under construction</v>
      </c>
      <c r="J1037" s="1" t="str">
        <f>IFERROR(__xludf.DUMMYFUNCTION("""COMPUTED_VALUE"""),"High")</f>
        <v>High</v>
      </c>
      <c r="K1037" s="1" t="str">
        <f>IFERROR(__xludf.DUMMYFUNCTION("""COMPUTED_VALUE"""),"")</f>
        <v/>
      </c>
      <c r="L1037" s="1" t="str">
        <f>IFERROR(__xludf.DUMMYFUNCTION("""COMPUTED_VALUE"""),"")</f>
        <v/>
      </c>
      <c r="M1037" s="1" t="str">
        <f>IFERROR(__xludf.DUMMYFUNCTION("""COMPUTED_VALUE"""),"")</f>
        <v/>
      </c>
      <c r="N1037" s="1" t="str">
        <f>IFERROR(__xludf.DUMMYFUNCTION("""COMPUTED_VALUE"""),"")</f>
        <v/>
      </c>
      <c r="O1037" s="1" t="str">
        <f>IFERROR(__xludf.DUMMYFUNCTION("""COMPUTED_VALUE"""),"Unknown")</f>
        <v>Unknown</v>
      </c>
      <c r="P1037" s="1" t="str">
        <f>IFERROR(__xludf.DUMMYFUNCTION("""COMPUTED_VALUE"""),"")</f>
        <v/>
      </c>
      <c r="Q1037" s="1" t="str">
        <f>IFERROR(__xludf.DUMMYFUNCTION("""COMPUTED_VALUE"""),"")</f>
        <v/>
      </c>
      <c r="R1037" s="1" t="str">
        <f>IFERROR(__xludf.DUMMYFUNCTION("""COMPUTED_VALUE"""),"")</f>
        <v/>
      </c>
      <c r="S1037" s="1" t="str">
        <f>IFERROR(__xludf.DUMMYFUNCTION("""COMPUTED_VALUE"""),"")</f>
        <v/>
      </c>
      <c r="T1037" s="1" t="str">
        <f>IFERROR(__xludf.DUMMYFUNCTION("""COMPUTED_VALUE"""),"")</f>
        <v/>
      </c>
      <c r="U1037" s="1" t="str">
        <f>IFERROR(__xludf.DUMMYFUNCTION("""COMPUTED_VALUE"""),"")</f>
        <v/>
      </c>
      <c r="V1037" s="1" t="str">
        <f>IFERROR(__xludf.DUMMYFUNCTION("""COMPUTED_VALUE"""),"109,600")</f>
        <v>109,600</v>
      </c>
      <c r="W1037" s="1" t="str">
        <f>IFERROR(__xludf.DUMMYFUNCTION("""COMPUTED_VALUE"""),"")</f>
        <v/>
      </c>
      <c r="X1037" s="1" t="str">
        <f>IFERROR(__xludf.DUMMYFUNCTION("""COMPUTED_VALUE"""),"$31 million")</f>
        <v>$31 million</v>
      </c>
      <c r="Y1037" s="1" t="str">
        <f>IFERROR(__xludf.DUMMYFUNCTION("""COMPUTED_VALUE"""),"")</f>
        <v/>
      </c>
      <c r="Z1037" s="1" t="str">
        <f>IFERROR(__xludf.DUMMYFUNCTION("""COMPUTED_VALUE"""),"Unknown")</f>
        <v>Unknown</v>
      </c>
      <c r="AA1037" s="1" t="str">
        <f>IFERROR(__xludf.DUMMYFUNCTION("""COMPUTED_VALUE"""),"")</f>
        <v/>
      </c>
      <c r="AB1037" s="1" t="str">
        <f>IFERROR(__xludf.DUMMYFUNCTION("""COMPUTED_VALUE"""),"")</f>
        <v/>
      </c>
      <c r="AC1037" s="1" t="str">
        <f>IFERROR(__xludf.DUMMYFUNCTION("""COMPUTED_VALUE"""),"")</f>
        <v/>
      </c>
      <c r="AD1037" s="1" t="str">
        <f>IFERROR(__xludf.DUMMYFUNCTION("""COMPUTED_VALUE"""),"")</f>
        <v/>
      </c>
      <c r="AE1037" s="1" t="str">
        <f>IFERROR(__xludf.DUMMYFUNCTION("""COMPUTED_VALUE"""),"")</f>
        <v/>
      </c>
      <c r="AF1037" s="1" t="str">
        <f>IFERROR(__xludf.DUMMYFUNCTION("""COMPUTED_VALUE"""),"")</f>
        <v/>
      </c>
      <c r="AG1037" s="1" t="str">
        <f>IFERROR(__xludf.DUMMYFUNCTION("""COMPUTED_VALUE"""),"")</f>
        <v/>
      </c>
      <c r="AH1037" s="1" t="str">
        <f>IFERROR(__xludf.DUMMYFUNCTION("""COMPUTED_VALUE"""),"Media Monitoring")</f>
        <v>Media Monitoring</v>
      </c>
      <c r="AI1037" s="2" t="str">
        <f>IFERROR(__xludf.DUMMYFUNCTION("""COMPUTED_VALUE"""),"https://www.tdlr.texas.gov/TABS/Search/Project/TABS2021003294")</f>
        <v>https://www.tdlr.texas.gov/TABS/Search/Project/TABS2021003294</v>
      </c>
      <c r="AJ1037" s="2" t="str">
        <f>IFERROR(__xludf.DUMMYFUNCTION("""COMPUTED_VALUE"""),"https://www.datacenterdynamics.com/en/news/aws-rockfish-planning-documents-reveal-three-amazon-data-centers-in-texas/")</f>
        <v>https://www.datacenterdynamics.com/en/news/aws-rockfish-planning-documents-reveal-three-amazon-data-centers-in-texas/</v>
      </c>
      <c r="AK1037" s="1" t="str">
        <f>IFERROR(__xludf.DUMMYFUNCTION("""COMPUTED_VALUE"""),"")</f>
        <v/>
      </c>
      <c r="AL1037" s="1" t="str">
        <f>IFERROR(__xludf.DUMMYFUNCTION("""COMPUTED_VALUE"""),"")</f>
        <v/>
      </c>
      <c r="AM1037" s="1" t="str">
        <f>IFERROR(__xludf.DUMMYFUNCTION("""COMPUTED_VALUE"""),"")</f>
        <v/>
      </c>
      <c r="AN1037" s="1" t="str">
        <f>IFERROR(__xludf.DUMMYFUNCTION("""COMPUTED_VALUE"""),"")</f>
        <v/>
      </c>
      <c r="AO1037" s="1" t="str">
        <f>IFERROR(__xludf.DUMMYFUNCTION("""COMPUTED_VALUE"""),"")</f>
        <v/>
      </c>
      <c r="AP1037" s="1" t="str">
        <f>IFERROR(__xludf.DUMMYFUNCTION("""COMPUTED_VALUE"""),"")</f>
        <v/>
      </c>
      <c r="AQ1037" s="1" t="str">
        <f>IFERROR(__xludf.DUMMYFUNCTION("""COMPUTED_VALUE"""),"07/28/2025")</f>
        <v>07/28/2025</v>
      </c>
      <c r="AR1037" s="1" t="str">
        <f>IFERROR(__xludf.DUMMYFUNCTION("""COMPUTED_VALUE"""),"07/28/2025")</f>
        <v>07/28/2025</v>
      </c>
    </row>
    <row r="1038">
      <c r="A1038" s="1" t="str">
        <f>IFERROR(__xludf.DUMMYFUNCTION("""COMPUTED_VALUE"""),"AWS Rockfish 3")</f>
        <v>AWS Rockfish 3</v>
      </c>
      <c r="B1038" s="1" t="str">
        <f>IFERROR(__xludf.DUMMYFUNCTION("""COMPUTED_VALUE"""),"TX-211 &amp; Potranco Road")</f>
        <v>TX-211 &amp; Potranco Road</v>
      </c>
      <c r="C1038" s="1" t="str">
        <f>IFERROR(__xludf.DUMMYFUNCTION("""COMPUTED_VALUE"""),"San Antonio")</f>
        <v>San Antonio</v>
      </c>
      <c r="D1038" s="1" t="str">
        <f>IFERROR(__xludf.DUMMYFUNCTION("""COMPUTED_VALUE"""),"TX")</f>
        <v>TX</v>
      </c>
      <c r="E1038" s="1" t="str">
        <f>IFERROR(__xludf.DUMMYFUNCTION("""COMPUTED_VALUE"""),"78245")</f>
        <v>78245</v>
      </c>
      <c r="F1038" s="1" t="str">
        <f>IFERROR(__xludf.DUMMYFUNCTION("""COMPUTED_VALUE"""),"Bexar")</f>
        <v>Bexar</v>
      </c>
      <c r="G1038" s="1" t="str">
        <f>IFERROR(__xludf.DUMMYFUNCTION("""COMPUTED_VALUE"""),"29.42085")</f>
        <v>29.42085</v>
      </c>
      <c r="H1038" s="1" t="str">
        <f>IFERROR(__xludf.DUMMYFUNCTION("""COMPUTED_VALUE"""),"-98.7818")</f>
        <v>-98.7818</v>
      </c>
      <c r="I1038" s="1" t="str">
        <f>IFERROR(__xludf.DUMMYFUNCTION("""COMPUTED_VALUE"""),"Approved/Permitted/Under construction")</f>
        <v>Approved/Permitted/Under construction</v>
      </c>
      <c r="J1038" s="1" t="str">
        <f>IFERROR(__xludf.DUMMYFUNCTION("""COMPUTED_VALUE"""),"Medium")</f>
        <v>Medium</v>
      </c>
      <c r="K1038" s="1" t="str">
        <f>IFERROR(__xludf.DUMMYFUNCTION("""COMPUTED_VALUE"""),"")</f>
        <v/>
      </c>
      <c r="L1038" s="1" t="str">
        <f>IFERROR(__xludf.DUMMYFUNCTION("""COMPUTED_VALUE"""),"")</f>
        <v/>
      </c>
      <c r="M1038" s="1" t="str">
        <f>IFERROR(__xludf.DUMMYFUNCTION("""COMPUTED_VALUE"""),"")</f>
        <v/>
      </c>
      <c r="N1038" s="1" t="str">
        <f>IFERROR(__xludf.DUMMYFUNCTION("""COMPUTED_VALUE"""),"")</f>
        <v/>
      </c>
      <c r="O1038" s="1" t="str">
        <f>IFERROR(__xludf.DUMMYFUNCTION("""COMPUTED_VALUE"""),"Unknown")</f>
        <v>Unknown</v>
      </c>
      <c r="P1038" s="1" t="str">
        <f>IFERROR(__xludf.DUMMYFUNCTION("""COMPUTED_VALUE"""),"")</f>
        <v/>
      </c>
      <c r="Q1038" s="1" t="str">
        <f>IFERROR(__xludf.DUMMYFUNCTION("""COMPUTED_VALUE"""),"")</f>
        <v/>
      </c>
      <c r="R1038" s="1" t="str">
        <f>IFERROR(__xludf.DUMMYFUNCTION("""COMPUTED_VALUE"""),"")</f>
        <v/>
      </c>
      <c r="S1038" s="1" t="str">
        <f>IFERROR(__xludf.DUMMYFUNCTION("""COMPUTED_VALUE"""),"")</f>
        <v/>
      </c>
      <c r="T1038" s="1" t="str">
        <f>IFERROR(__xludf.DUMMYFUNCTION("""COMPUTED_VALUE"""),"")</f>
        <v/>
      </c>
      <c r="U1038" s="1" t="str">
        <f>IFERROR(__xludf.DUMMYFUNCTION("""COMPUTED_VALUE"""),"")</f>
        <v/>
      </c>
      <c r="V1038" s="1" t="str">
        <f>IFERROR(__xludf.DUMMYFUNCTION("""COMPUTED_VALUE"""),"109,600")</f>
        <v>109,600</v>
      </c>
      <c r="W1038" s="1" t="str">
        <f>IFERROR(__xludf.DUMMYFUNCTION("""COMPUTED_VALUE"""),"")</f>
        <v/>
      </c>
      <c r="X1038" s="1" t="str">
        <f>IFERROR(__xludf.DUMMYFUNCTION("""COMPUTED_VALUE"""),"$55.9 million")</f>
        <v>$55.9 million</v>
      </c>
      <c r="Y1038" s="1" t="str">
        <f>IFERROR(__xludf.DUMMYFUNCTION("""COMPUTED_VALUE"""),"")</f>
        <v/>
      </c>
      <c r="Z1038" s="1" t="str">
        <f>IFERROR(__xludf.DUMMYFUNCTION("""COMPUTED_VALUE"""),"Unknown")</f>
        <v>Unknown</v>
      </c>
      <c r="AA1038" s="1" t="str">
        <f>IFERROR(__xludf.DUMMYFUNCTION("""COMPUTED_VALUE"""),"")</f>
        <v/>
      </c>
      <c r="AB1038" s="1" t="str">
        <f>IFERROR(__xludf.DUMMYFUNCTION("""COMPUTED_VALUE"""),"")</f>
        <v/>
      </c>
      <c r="AC1038" s="1" t="str">
        <f>IFERROR(__xludf.DUMMYFUNCTION("""COMPUTED_VALUE"""),"")</f>
        <v/>
      </c>
      <c r="AD1038" s="1" t="str">
        <f>IFERROR(__xludf.DUMMYFUNCTION("""COMPUTED_VALUE"""),"")</f>
        <v/>
      </c>
      <c r="AE1038" s="1" t="str">
        <f>IFERROR(__xludf.DUMMYFUNCTION("""COMPUTED_VALUE"""),"")</f>
        <v/>
      </c>
      <c r="AF1038" s="1" t="str">
        <f>IFERROR(__xludf.DUMMYFUNCTION("""COMPUTED_VALUE"""),"")</f>
        <v/>
      </c>
      <c r="AG1038" s="1" t="str">
        <f>IFERROR(__xludf.DUMMYFUNCTION("""COMPUTED_VALUE"""),"")</f>
        <v/>
      </c>
      <c r="AH1038" s="1" t="str">
        <f>IFERROR(__xludf.DUMMYFUNCTION("""COMPUTED_VALUE"""),"Media Monitoring")</f>
        <v>Media Monitoring</v>
      </c>
      <c r="AI1038" s="2" t="str">
        <f>IFERROR(__xludf.DUMMYFUNCTION("""COMPUTED_VALUE"""),"https://www.datacenterdynamics.com/en/news/aws-rockfish-planning-documents-reveal-three-amazon-data-centers-in-texas/")</f>
        <v>https://www.datacenterdynamics.com/en/news/aws-rockfish-planning-documents-reveal-three-amazon-data-centers-in-texas/</v>
      </c>
      <c r="AJ1038" s="1" t="str">
        <f>IFERROR(__xludf.DUMMYFUNCTION("""COMPUTED_VALUE"""),"")</f>
        <v/>
      </c>
      <c r="AK1038" s="1" t="str">
        <f>IFERROR(__xludf.DUMMYFUNCTION("""COMPUTED_VALUE"""),"")</f>
        <v/>
      </c>
      <c r="AL1038" s="1" t="str">
        <f>IFERROR(__xludf.DUMMYFUNCTION("""COMPUTED_VALUE"""),"")</f>
        <v/>
      </c>
      <c r="AM1038" s="1" t="str">
        <f>IFERROR(__xludf.DUMMYFUNCTION("""COMPUTED_VALUE"""),"")</f>
        <v/>
      </c>
      <c r="AN1038" s="1" t="str">
        <f>IFERROR(__xludf.DUMMYFUNCTION("""COMPUTED_VALUE"""),"")</f>
        <v/>
      </c>
      <c r="AO1038" s="1" t="str">
        <f>IFERROR(__xludf.DUMMYFUNCTION("""COMPUTED_VALUE"""),"")</f>
        <v/>
      </c>
      <c r="AP1038" s="1" t="str">
        <f>IFERROR(__xludf.DUMMYFUNCTION("""COMPUTED_VALUE"""),"")</f>
        <v/>
      </c>
      <c r="AQ1038" s="1" t="str">
        <f>IFERROR(__xludf.DUMMYFUNCTION("""COMPUTED_VALUE"""),"07/28/2025")</f>
        <v>07/28/2025</v>
      </c>
      <c r="AR1038" s="1" t="str">
        <f>IFERROR(__xludf.DUMMYFUNCTION("""COMPUTED_VALUE"""),"07/28/2025")</f>
        <v>07/28/2025</v>
      </c>
    </row>
    <row r="1039">
      <c r="A1039" s="1" t="str">
        <f>IFERROR(__xludf.DUMMYFUNCTION("""COMPUTED_VALUE"""),"Chevron Data Center ")</f>
        <v>Chevron Data Center </v>
      </c>
      <c r="B1039" s="1" t="str">
        <f>IFERROR(__xludf.DUMMYFUNCTION("""COMPUTED_VALUE"""),"5200 Rogers Rd")</f>
        <v>5200 Rogers Rd</v>
      </c>
      <c r="C1039" s="1" t="str">
        <f>IFERROR(__xludf.DUMMYFUNCTION("""COMPUTED_VALUE"""),"San Antonio")</f>
        <v>San Antonio</v>
      </c>
      <c r="D1039" s="1" t="str">
        <f>IFERROR(__xludf.DUMMYFUNCTION("""COMPUTED_VALUE"""),"TX")</f>
        <v>TX</v>
      </c>
      <c r="E1039" s="1" t="str">
        <f>IFERROR(__xludf.DUMMYFUNCTION("""COMPUTED_VALUE"""),"78251")</f>
        <v>78251</v>
      </c>
      <c r="F1039" s="1" t="str">
        <f>IFERROR(__xludf.DUMMYFUNCTION("""COMPUTED_VALUE"""),"Bexar")</f>
        <v>Bexar</v>
      </c>
      <c r="G1039" s="1" t="str">
        <f>IFERROR(__xludf.DUMMYFUNCTION("""COMPUTED_VALUE"""),"29.48045")</f>
        <v>29.48045</v>
      </c>
      <c r="H1039" s="1" t="str">
        <f>IFERROR(__xludf.DUMMYFUNCTION("""COMPUTED_VALUE"""),"-98.6963")</f>
        <v>-98.6963</v>
      </c>
      <c r="I1039" s="1" t="str">
        <f>IFERROR(__xludf.DUMMYFUNCTION("""COMPUTED_VALUE"""),"Operating")</f>
        <v>Operating</v>
      </c>
      <c r="J1039" s="1" t="str">
        <f>IFERROR(__xludf.DUMMYFUNCTION("""COMPUTED_VALUE"""),"High")</f>
        <v>High</v>
      </c>
      <c r="K1039" s="1" t="str">
        <f>IFERROR(__xludf.DUMMYFUNCTION("""COMPUTED_VALUE"""),"")</f>
        <v/>
      </c>
      <c r="L1039" s="1" t="str">
        <f>IFERROR(__xludf.DUMMYFUNCTION("""COMPUTED_VALUE"""),"")</f>
        <v/>
      </c>
      <c r="M1039" s="1" t="str">
        <f>IFERROR(__xludf.DUMMYFUNCTION("""COMPUTED_VALUE"""),"")</f>
        <v/>
      </c>
      <c r="N1039" s="1" t="str">
        <f>IFERROR(__xludf.DUMMYFUNCTION("""COMPUTED_VALUE"""),"")</f>
        <v/>
      </c>
      <c r="O1039" s="1" t="str">
        <f>IFERROR(__xludf.DUMMYFUNCTION("""COMPUTED_VALUE"""),"Unknown")</f>
        <v>Unknown</v>
      </c>
      <c r="P1039" s="1" t="str">
        <f>IFERROR(__xludf.DUMMYFUNCTION("""COMPUTED_VALUE"""),"")</f>
        <v/>
      </c>
      <c r="Q1039" s="1" t="str">
        <f>IFERROR(__xludf.DUMMYFUNCTION("""COMPUTED_VALUE"""),"")</f>
        <v/>
      </c>
      <c r="R1039" s="1" t="str">
        <f>IFERROR(__xludf.DUMMYFUNCTION("""COMPUTED_VALUE"""),"")</f>
        <v/>
      </c>
      <c r="S1039" s="1" t="str">
        <f>IFERROR(__xludf.DUMMYFUNCTION("""COMPUTED_VALUE"""),"")</f>
        <v/>
      </c>
      <c r="T1039" s="1" t="str">
        <f>IFERROR(__xludf.DUMMYFUNCTION("""COMPUTED_VALUE"""),"")</f>
        <v/>
      </c>
      <c r="U1039" s="1" t="str">
        <f>IFERROR(__xludf.DUMMYFUNCTION("""COMPUTED_VALUE"""),"")</f>
        <v/>
      </c>
      <c r="V1039" s="1" t="str">
        <f>IFERROR(__xludf.DUMMYFUNCTION("""COMPUTED_VALUE"""),"")</f>
        <v/>
      </c>
      <c r="W1039" s="1" t="str">
        <f>IFERROR(__xludf.DUMMYFUNCTION("""COMPUTED_VALUE"""),"")</f>
        <v/>
      </c>
      <c r="X1039" s="1" t="str">
        <f>IFERROR(__xludf.DUMMYFUNCTION("""COMPUTED_VALUE"""),"")</f>
        <v/>
      </c>
      <c r="Y1039" s="1" t="str">
        <f>IFERROR(__xludf.DUMMYFUNCTION("""COMPUTED_VALUE"""),"")</f>
        <v/>
      </c>
      <c r="Z1039" s="1" t="str">
        <f>IFERROR(__xludf.DUMMYFUNCTION("""COMPUTED_VALUE"""),"Unknown")</f>
        <v>Unknown</v>
      </c>
      <c r="AA1039" s="1" t="str">
        <f>IFERROR(__xludf.DUMMYFUNCTION("""COMPUTED_VALUE"""),"")</f>
        <v/>
      </c>
      <c r="AB1039" s="1" t="str">
        <f>IFERROR(__xludf.DUMMYFUNCTION("""COMPUTED_VALUE"""),"")</f>
        <v/>
      </c>
      <c r="AC1039" s="1" t="str">
        <f>IFERROR(__xludf.DUMMYFUNCTION("""COMPUTED_VALUE"""),"")</f>
        <v/>
      </c>
      <c r="AD1039" s="1" t="str">
        <f>IFERROR(__xludf.DUMMYFUNCTION("""COMPUTED_VALUE"""),"")</f>
        <v/>
      </c>
      <c r="AE1039" s="1" t="str">
        <f>IFERROR(__xludf.DUMMYFUNCTION("""COMPUTED_VALUE"""),"")</f>
        <v/>
      </c>
      <c r="AF1039" s="1" t="str">
        <f>IFERROR(__xludf.DUMMYFUNCTION("""COMPUTED_VALUE"""),"")</f>
        <v/>
      </c>
      <c r="AG1039" s="1" t="str">
        <f>IFERROR(__xludf.DUMMYFUNCTION("""COMPUTED_VALUE"""),"FULLY REGULATED")</f>
        <v>FULLY REGULATED</v>
      </c>
      <c r="AH1039" s="1" t="str">
        <f>IFERROR(__xludf.DUMMYFUNCTION("""COMPUTED_VALUE"""),"Media Monitoring")</f>
        <v>Media Monitoring</v>
      </c>
      <c r="AI1039" s="1" t="str">
        <f>IFERROR(__xludf.DUMMYFUNCTION("""COMPUTED_VALUE"""),"")</f>
        <v/>
      </c>
      <c r="AJ1039" s="1" t="str">
        <f>IFERROR(__xludf.DUMMYFUNCTION("""COMPUTED_VALUE"""),"")</f>
        <v/>
      </c>
      <c r="AK1039" s="1" t="str">
        <f>IFERROR(__xludf.DUMMYFUNCTION("""COMPUTED_VALUE"""),"")</f>
        <v/>
      </c>
      <c r="AL1039" s="1" t="str">
        <f>IFERROR(__xludf.DUMMYFUNCTION("""COMPUTED_VALUE"""),"")</f>
        <v/>
      </c>
      <c r="AM1039" s="1" t="str">
        <f>IFERROR(__xludf.DUMMYFUNCTION("""COMPUTED_VALUE"""),"")</f>
        <v/>
      </c>
      <c r="AN1039" s="1" t="str">
        <f>IFERROR(__xludf.DUMMYFUNCTION("""COMPUTED_VALUE"""),"")</f>
        <v/>
      </c>
      <c r="AO1039" s="1" t="str">
        <f>IFERROR(__xludf.DUMMYFUNCTION("""COMPUTED_VALUE"""),"")</f>
        <v/>
      </c>
      <c r="AP1039" s="1" t="str">
        <f>IFERROR(__xludf.DUMMYFUNCTION("""COMPUTED_VALUE"""),"")</f>
        <v/>
      </c>
      <c r="AQ1039" s="1" t="str">
        <f>IFERROR(__xludf.DUMMYFUNCTION("""COMPUTED_VALUE"""),"06/24/2025")</f>
        <v>06/24/2025</v>
      </c>
      <c r="AR1039" s="1" t="str">
        <f>IFERROR(__xludf.DUMMYFUNCTION("""COMPUTED_VALUE"""),"06/24/2025")</f>
        <v>06/24/2025</v>
      </c>
    </row>
    <row r="1040">
      <c r="A1040" s="1" t="str">
        <f>IFERROR(__xludf.DUMMYFUNCTION("""COMPUTED_VALUE"""),"CITICORP DATA SYSTEMS")</f>
        <v>CITICORP DATA SYSTEMS</v>
      </c>
      <c r="B1040" s="1" t="str">
        <f>IFERROR(__xludf.DUMMYFUNCTION("""COMPUTED_VALUE"""),"100 CITIBANK DR")</f>
        <v>100 CITIBANK DR</v>
      </c>
      <c r="C1040" s="1" t="str">
        <f>IFERROR(__xludf.DUMMYFUNCTION("""COMPUTED_VALUE"""),"San Antonio")</f>
        <v>San Antonio</v>
      </c>
      <c r="D1040" s="1" t="str">
        <f>IFERROR(__xludf.DUMMYFUNCTION("""COMPUTED_VALUE"""),"TX")</f>
        <v>TX</v>
      </c>
      <c r="E1040" s="1" t="str">
        <f>IFERROR(__xludf.DUMMYFUNCTION("""COMPUTED_VALUE"""),"78245")</f>
        <v>78245</v>
      </c>
      <c r="F1040" s="1" t="str">
        <f>IFERROR(__xludf.DUMMYFUNCTION("""COMPUTED_VALUE"""),"Bexar")</f>
        <v>Bexar</v>
      </c>
      <c r="G1040" s="1" t="str">
        <f>IFERROR(__xludf.DUMMYFUNCTION("""COMPUTED_VALUE"""),"29.41341")</f>
        <v>29.41341</v>
      </c>
      <c r="H1040" s="1" t="str">
        <f>IFERROR(__xludf.DUMMYFUNCTION("""COMPUTED_VALUE"""),"-98.7773")</f>
        <v>-98.7773</v>
      </c>
      <c r="I1040" s="1" t="str">
        <f>IFERROR(__xludf.DUMMYFUNCTION("""COMPUTED_VALUE"""),"Operating")</f>
        <v>Operating</v>
      </c>
      <c r="J1040" s="1" t="str">
        <f>IFERROR(__xludf.DUMMYFUNCTION("""COMPUTED_VALUE"""),"High")</f>
        <v>High</v>
      </c>
      <c r="K1040" s="1" t="str">
        <f>IFERROR(__xludf.DUMMYFUNCTION("""COMPUTED_VALUE"""),"")</f>
        <v/>
      </c>
      <c r="L1040" s="1" t="str">
        <f>IFERROR(__xludf.DUMMYFUNCTION("""COMPUTED_VALUE"""),"")</f>
        <v/>
      </c>
      <c r="M1040" s="1" t="str">
        <f>IFERROR(__xludf.DUMMYFUNCTION("""COMPUTED_VALUE"""),"")</f>
        <v/>
      </c>
      <c r="N1040" s="1" t="str">
        <f>IFERROR(__xludf.DUMMYFUNCTION("""COMPUTED_VALUE"""),"")</f>
        <v/>
      </c>
      <c r="O1040" s="1" t="str">
        <f>IFERROR(__xludf.DUMMYFUNCTION("""COMPUTED_VALUE"""),"Unknown")</f>
        <v>Unknown</v>
      </c>
      <c r="P1040" s="1" t="str">
        <f>IFERROR(__xludf.DUMMYFUNCTION("""COMPUTED_VALUE"""),"")</f>
        <v/>
      </c>
      <c r="Q1040" s="1" t="str">
        <f>IFERROR(__xludf.DUMMYFUNCTION("""COMPUTED_VALUE"""),"")</f>
        <v/>
      </c>
      <c r="R1040" s="1" t="str">
        <f>IFERROR(__xludf.DUMMYFUNCTION("""COMPUTED_VALUE"""),"")</f>
        <v/>
      </c>
      <c r="S1040" s="1" t="str">
        <f>IFERROR(__xludf.DUMMYFUNCTION("""COMPUTED_VALUE"""),"")</f>
        <v/>
      </c>
      <c r="T1040" s="1" t="str">
        <f>IFERROR(__xludf.DUMMYFUNCTION("""COMPUTED_VALUE"""),"")</f>
        <v/>
      </c>
      <c r="U1040" s="1" t="str">
        <f>IFERROR(__xludf.DUMMYFUNCTION("""COMPUTED_VALUE"""),"")</f>
        <v/>
      </c>
      <c r="V1040" s="1" t="str">
        <f>IFERROR(__xludf.DUMMYFUNCTION("""COMPUTED_VALUE"""),"")</f>
        <v/>
      </c>
      <c r="W1040" s="1" t="str">
        <f>IFERROR(__xludf.DUMMYFUNCTION("""COMPUTED_VALUE"""),"")</f>
        <v/>
      </c>
      <c r="X1040" s="1" t="str">
        <f>IFERROR(__xludf.DUMMYFUNCTION("""COMPUTED_VALUE"""),"")</f>
        <v/>
      </c>
      <c r="Y1040" s="1" t="str">
        <f>IFERROR(__xludf.DUMMYFUNCTION("""COMPUTED_VALUE"""),"")</f>
        <v/>
      </c>
      <c r="Z1040" s="1" t="str">
        <f>IFERROR(__xludf.DUMMYFUNCTION("""COMPUTED_VALUE"""),"Unknown")</f>
        <v>Unknown</v>
      </c>
      <c r="AA1040" s="1" t="str">
        <f>IFERROR(__xludf.DUMMYFUNCTION("""COMPUTED_VALUE"""),"")</f>
        <v/>
      </c>
      <c r="AB1040" s="1" t="str">
        <f>IFERROR(__xludf.DUMMYFUNCTION("""COMPUTED_VALUE"""),"")</f>
        <v/>
      </c>
      <c r="AC1040" s="1" t="str">
        <f>IFERROR(__xludf.DUMMYFUNCTION("""COMPUTED_VALUE"""),"")</f>
        <v/>
      </c>
      <c r="AD1040" s="1" t="str">
        <f>IFERROR(__xludf.DUMMYFUNCTION("""COMPUTED_VALUE"""),"")</f>
        <v/>
      </c>
      <c r="AE1040" s="1" t="str">
        <f>IFERROR(__xludf.DUMMYFUNCTION("""COMPUTED_VALUE"""),"")</f>
        <v/>
      </c>
      <c r="AF1040" s="1" t="str">
        <f>IFERROR(__xludf.DUMMYFUNCTION("""COMPUTED_VALUE"""),"")</f>
        <v/>
      </c>
      <c r="AG1040" s="1" t="str">
        <f>IFERROR(__xludf.DUMMYFUNCTION("""COMPUTED_VALUE"""),"EMERG POWER GENERATOR")</f>
        <v>EMERG POWER GENERATOR</v>
      </c>
      <c r="AH1040" s="1" t="str">
        <f>IFERROR(__xludf.DUMMYFUNCTION("""COMPUTED_VALUE"""),"Media Monitoring")</f>
        <v>Media Monitoring</v>
      </c>
      <c r="AI1040" s="2" t="str">
        <f>IFERROR(__xludf.DUMMYFUNCTION("""COMPUTED_VALUE"""),"https://gis-tceq.opendata.arcgis.com/datasets/daece6e3181140f69093ab69cf9ae0ba/explore?layer=0&amp;showTable=true")</f>
        <v>https://gis-tceq.opendata.arcgis.com/datasets/daece6e3181140f69093ab69cf9ae0ba/explore?layer=0&amp;showTable=true</v>
      </c>
      <c r="AJ1040" s="1" t="str">
        <f>IFERROR(__xludf.DUMMYFUNCTION("""COMPUTED_VALUE"""),"")</f>
        <v/>
      </c>
      <c r="AK1040" s="1" t="str">
        <f>IFERROR(__xludf.DUMMYFUNCTION("""COMPUTED_VALUE"""),"")</f>
        <v/>
      </c>
      <c r="AL1040" s="1" t="str">
        <f>IFERROR(__xludf.DUMMYFUNCTION("""COMPUTED_VALUE"""),"")</f>
        <v/>
      </c>
      <c r="AM1040" s="1" t="str">
        <f>IFERROR(__xludf.DUMMYFUNCTION("""COMPUTED_VALUE"""),"")</f>
        <v/>
      </c>
      <c r="AN1040" s="1" t="str">
        <f>IFERROR(__xludf.DUMMYFUNCTION("""COMPUTED_VALUE"""),"")</f>
        <v/>
      </c>
      <c r="AO1040" s="1" t="str">
        <f>IFERROR(__xludf.DUMMYFUNCTION("""COMPUTED_VALUE"""),"")</f>
        <v/>
      </c>
      <c r="AP1040" s="1" t="str">
        <f>IFERROR(__xludf.DUMMYFUNCTION("""COMPUTED_VALUE"""),"")</f>
        <v/>
      </c>
      <c r="AQ1040" s="1" t="str">
        <f>IFERROR(__xludf.DUMMYFUNCTION("""COMPUTED_VALUE"""),"08/05/2025")</f>
        <v>08/05/2025</v>
      </c>
      <c r="AR1040" s="1" t="str">
        <f>IFERROR(__xludf.DUMMYFUNCTION("""COMPUTED_VALUE"""),"08/05/2025")</f>
        <v>08/05/2025</v>
      </c>
    </row>
    <row r="1041">
      <c r="A1041" s="1" t="str">
        <f>IFERROR(__xludf.DUMMYFUNCTION("""COMPUTED_VALUE"""),"CyrusOne Data Center")</f>
        <v>CyrusOne Data Center</v>
      </c>
      <c r="B1041" s="1" t="str">
        <f>IFERROR(__xludf.DUMMYFUNCTION("""COMPUTED_VALUE"""),"9999 Westover Hills Blvd")</f>
        <v>9999 Westover Hills Blvd</v>
      </c>
      <c r="C1041" s="1" t="str">
        <f>IFERROR(__xludf.DUMMYFUNCTION("""COMPUTED_VALUE"""),"San Antonio")</f>
        <v>San Antonio</v>
      </c>
      <c r="D1041" s="1" t="str">
        <f>IFERROR(__xludf.DUMMYFUNCTION("""COMPUTED_VALUE"""),"TX")</f>
        <v>TX</v>
      </c>
      <c r="E1041" s="1" t="str">
        <f>IFERROR(__xludf.DUMMYFUNCTION("""COMPUTED_VALUE"""),"78251")</f>
        <v>78251</v>
      </c>
      <c r="F1041" s="1" t="str">
        <f>IFERROR(__xludf.DUMMYFUNCTION("""COMPUTED_VALUE"""),"Bexar")</f>
        <v>Bexar</v>
      </c>
      <c r="G1041" s="1" t="str">
        <f>IFERROR(__xludf.DUMMYFUNCTION("""COMPUTED_VALUE"""),"29.46616")</f>
        <v>29.46616</v>
      </c>
      <c r="H1041" s="1" t="str">
        <f>IFERROR(__xludf.DUMMYFUNCTION("""COMPUTED_VALUE"""),"-98.6885")</f>
        <v>-98.6885</v>
      </c>
      <c r="I1041" s="1" t="str">
        <f>IFERROR(__xludf.DUMMYFUNCTION("""COMPUTED_VALUE"""),"Operating")</f>
        <v>Operating</v>
      </c>
      <c r="J1041" s="1" t="str">
        <f>IFERROR(__xludf.DUMMYFUNCTION("""COMPUTED_VALUE"""),"High")</f>
        <v>High</v>
      </c>
      <c r="K1041" s="1" t="str">
        <f>IFERROR(__xludf.DUMMYFUNCTION("""COMPUTED_VALUE"""),"")</f>
        <v/>
      </c>
      <c r="L1041" s="1" t="str">
        <f>IFERROR(__xludf.DUMMYFUNCTION("""COMPUTED_VALUE"""),"")</f>
        <v/>
      </c>
      <c r="M1041" s="1" t="str">
        <f>IFERROR(__xludf.DUMMYFUNCTION("""COMPUTED_VALUE"""),"")</f>
        <v/>
      </c>
      <c r="N1041" s="1" t="str">
        <f>IFERROR(__xludf.DUMMYFUNCTION("""COMPUTED_VALUE"""),"")</f>
        <v/>
      </c>
      <c r="O1041" s="1" t="str">
        <f>IFERROR(__xludf.DUMMYFUNCTION("""COMPUTED_VALUE"""),"Unknown")</f>
        <v>Unknown</v>
      </c>
      <c r="P1041" s="1" t="str">
        <f>IFERROR(__xludf.DUMMYFUNCTION("""COMPUTED_VALUE"""),"")</f>
        <v/>
      </c>
      <c r="Q1041" s="1" t="str">
        <f>IFERROR(__xludf.DUMMYFUNCTION("""COMPUTED_VALUE"""),"")</f>
        <v/>
      </c>
      <c r="R1041" s="1" t="str">
        <f>IFERROR(__xludf.DUMMYFUNCTION("""COMPUTED_VALUE"""),"")</f>
        <v/>
      </c>
      <c r="S1041" s="1" t="str">
        <f>IFERROR(__xludf.DUMMYFUNCTION("""COMPUTED_VALUE"""),"")</f>
        <v/>
      </c>
      <c r="T1041" s="1" t="str">
        <f>IFERROR(__xludf.DUMMYFUNCTION("""COMPUTED_VALUE"""),"")</f>
        <v/>
      </c>
      <c r="U1041" s="1" t="str">
        <f>IFERROR(__xludf.DUMMYFUNCTION("""COMPUTED_VALUE"""),"")</f>
        <v/>
      </c>
      <c r="V1041" s="1" t="str">
        <f>IFERROR(__xludf.DUMMYFUNCTION("""COMPUTED_VALUE"""),"")</f>
        <v/>
      </c>
      <c r="W1041" s="1" t="str">
        <f>IFERROR(__xludf.DUMMYFUNCTION("""COMPUTED_VALUE"""),"")</f>
        <v/>
      </c>
      <c r="X1041" s="1" t="str">
        <f>IFERROR(__xludf.DUMMYFUNCTION("""COMPUTED_VALUE"""),"")</f>
        <v/>
      </c>
      <c r="Y1041" s="1" t="str">
        <f>IFERROR(__xludf.DUMMYFUNCTION("""COMPUTED_VALUE"""),"")</f>
        <v/>
      </c>
      <c r="Z1041" s="1" t="str">
        <f>IFERROR(__xludf.DUMMYFUNCTION("""COMPUTED_VALUE"""),"Unknown")</f>
        <v>Unknown</v>
      </c>
      <c r="AA1041" s="1" t="str">
        <f>IFERROR(__xludf.DUMMYFUNCTION("""COMPUTED_VALUE"""),"")</f>
        <v/>
      </c>
      <c r="AB1041" s="1" t="str">
        <f>IFERROR(__xludf.DUMMYFUNCTION("""COMPUTED_VALUE"""),"")</f>
        <v/>
      </c>
      <c r="AC1041" s="1" t="str">
        <f>IFERROR(__xludf.DUMMYFUNCTION("""COMPUTED_VALUE"""),"")</f>
        <v/>
      </c>
      <c r="AD1041" s="1" t="str">
        <f>IFERROR(__xludf.DUMMYFUNCTION("""COMPUTED_VALUE"""),"")</f>
        <v/>
      </c>
      <c r="AE1041" s="1" t="str">
        <f>IFERROR(__xludf.DUMMYFUNCTION("""COMPUTED_VALUE"""),"")</f>
        <v/>
      </c>
      <c r="AF1041" s="1" t="str">
        <f>IFERROR(__xludf.DUMMYFUNCTION("""COMPUTED_VALUE"""),"")</f>
        <v/>
      </c>
      <c r="AG1041" s="1" t="str">
        <f>IFERROR(__xludf.DUMMYFUNCTION("""COMPUTED_VALUE"""),"")</f>
        <v/>
      </c>
      <c r="AH1041" s="1" t="str">
        <f>IFERROR(__xludf.DUMMYFUNCTION("""COMPUTED_VALUE"""),"Media Monitoring")</f>
        <v>Media Monitoring</v>
      </c>
      <c r="AI1041" s="1" t="str">
        <f>IFERROR(__xludf.DUMMYFUNCTION("""COMPUTED_VALUE"""),"")</f>
        <v/>
      </c>
      <c r="AJ1041" s="1" t="str">
        <f>IFERROR(__xludf.DUMMYFUNCTION("""COMPUTED_VALUE"""),"")</f>
        <v/>
      </c>
      <c r="AK1041" s="1" t="str">
        <f>IFERROR(__xludf.DUMMYFUNCTION("""COMPUTED_VALUE"""),"")</f>
        <v/>
      </c>
      <c r="AL1041" s="1" t="str">
        <f>IFERROR(__xludf.DUMMYFUNCTION("""COMPUTED_VALUE"""),"")</f>
        <v/>
      </c>
      <c r="AM1041" s="1" t="str">
        <f>IFERROR(__xludf.DUMMYFUNCTION("""COMPUTED_VALUE"""),"")</f>
        <v/>
      </c>
      <c r="AN1041" s="1" t="str">
        <f>IFERROR(__xludf.DUMMYFUNCTION("""COMPUTED_VALUE"""),"")</f>
        <v/>
      </c>
      <c r="AO1041" s="1" t="str">
        <f>IFERROR(__xludf.DUMMYFUNCTION("""COMPUTED_VALUE"""),"")</f>
        <v/>
      </c>
      <c r="AP1041" s="1" t="str">
        <f>IFERROR(__xludf.DUMMYFUNCTION("""COMPUTED_VALUE"""),"")</f>
        <v/>
      </c>
      <c r="AQ1041" s="1" t="str">
        <f>IFERROR(__xludf.DUMMYFUNCTION("""COMPUTED_VALUE"""),"08/05/2025")</f>
        <v>08/05/2025</v>
      </c>
      <c r="AR1041" s="1" t="str">
        <f>IFERROR(__xludf.DUMMYFUNCTION("""COMPUTED_VALUE"""),"08/05/2025")</f>
        <v>08/05/2025</v>
      </c>
    </row>
    <row r="1042">
      <c r="A1042" s="1" t="str">
        <f>IFERROR(__xludf.DUMMYFUNCTION("""COMPUTED_VALUE"""),"H5 Data Center")</f>
        <v>H5 Data Center</v>
      </c>
      <c r="B1042" s="1" t="str">
        <f>IFERROR(__xludf.DUMMYFUNCTION("""COMPUTED_VALUE"""),"100 Taylor St")</f>
        <v>100 Taylor St</v>
      </c>
      <c r="C1042" s="1" t="str">
        <f>IFERROR(__xludf.DUMMYFUNCTION("""COMPUTED_VALUE"""),"San Antonio")</f>
        <v>San Antonio</v>
      </c>
      <c r="D1042" s="1" t="str">
        <f>IFERROR(__xludf.DUMMYFUNCTION("""COMPUTED_VALUE"""),"TX")</f>
        <v>TX</v>
      </c>
      <c r="E1042" s="1" t="str">
        <f>IFERROR(__xludf.DUMMYFUNCTION("""COMPUTED_VALUE"""),"78205")</f>
        <v>78205</v>
      </c>
      <c r="F1042" s="1" t="str">
        <f>IFERROR(__xludf.DUMMYFUNCTION("""COMPUTED_VALUE"""),"Bexar")</f>
        <v>Bexar</v>
      </c>
      <c r="G1042" s="1" t="str">
        <f>IFERROR(__xludf.DUMMYFUNCTION("""COMPUTED_VALUE"""),"29.42938")</f>
        <v>29.42938</v>
      </c>
      <c r="H1042" s="1" t="str">
        <f>IFERROR(__xludf.DUMMYFUNCTION("""COMPUTED_VALUE"""),"-98.4868")</f>
        <v>-98.4868</v>
      </c>
      <c r="I1042" s="1" t="str">
        <f>IFERROR(__xludf.DUMMYFUNCTION("""COMPUTED_VALUE"""),"Operating")</f>
        <v>Operating</v>
      </c>
      <c r="J1042" s="1" t="str">
        <f>IFERROR(__xludf.DUMMYFUNCTION("""COMPUTED_VALUE"""),"High")</f>
        <v>High</v>
      </c>
      <c r="K1042" s="1" t="str">
        <f>IFERROR(__xludf.DUMMYFUNCTION("""COMPUTED_VALUE"""),"")</f>
        <v/>
      </c>
      <c r="L1042" s="1" t="str">
        <f>IFERROR(__xludf.DUMMYFUNCTION("""COMPUTED_VALUE"""),"")</f>
        <v/>
      </c>
      <c r="M1042" s="1" t="str">
        <f>IFERROR(__xludf.DUMMYFUNCTION("""COMPUTED_VALUE"""),"")</f>
        <v/>
      </c>
      <c r="N1042" s="1" t="str">
        <f>IFERROR(__xludf.DUMMYFUNCTION("""COMPUTED_VALUE"""),"")</f>
        <v/>
      </c>
      <c r="O1042" s="1" t="str">
        <f>IFERROR(__xludf.DUMMYFUNCTION("""COMPUTED_VALUE"""),"Unknown")</f>
        <v>Unknown</v>
      </c>
      <c r="P1042" s="1" t="str">
        <f>IFERROR(__xludf.DUMMYFUNCTION("""COMPUTED_VALUE"""),"")</f>
        <v/>
      </c>
      <c r="Q1042" s="1" t="str">
        <f>IFERROR(__xludf.DUMMYFUNCTION("""COMPUTED_VALUE"""),"")</f>
        <v/>
      </c>
      <c r="R1042" s="1" t="str">
        <f>IFERROR(__xludf.DUMMYFUNCTION("""COMPUTED_VALUE"""),"")</f>
        <v/>
      </c>
      <c r="S1042" s="1" t="str">
        <f>IFERROR(__xludf.DUMMYFUNCTION("""COMPUTED_VALUE"""),"")</f>
        <v/>
      </c>
      <c r="T1042" s="1" t="str">
        <f>IFERROR(__xludf.DUMMYFUNCTION("""COMPUTED_VALUE"""),"")</f>
        <v/>
      </c>
      <c r="U1042" s="1" t="str">
        <f>IFERROR(__xludf.DUMMYFUNCTION("""COMPUTED_VALUE"""),"")</f>
        <v/>
      </c>
      <c r="V1042" s="1" t="str">
        <f>IFERROR(__xludf.DUMMYFUNCTION("""COMPUTED_VALUE"""),"")</f>
        <v/>
      </c>
      <c r="W1042" s="1" t="str">
        <f>IFERROR(__xludf.DUMMYFUNCTION("""COMPUTED_VALUE"""),"")</f>
        <v/>
      </c>
      <c r="X1042" s="1" t="str">
        <f>IFERROR(__xludf.DUMMYFUNCTION("""COMPUTED_VALUE"""),"")</f>
        <v/>
      </c>
      <c r="Y1042" s="1" t="str">
        <f>IFERROR(__xludf.DUMMYFUNCTION("""COMPUTED_VALUE"""),"")</f>
        <v/>
      </c>
      <c r="Z1042" s="1" t="str">
        <f>IFERROR(__xludf.DUMMYFUNCTION("""COMPUTED_VALUE"""),"Unknown")</f>
        <v>Unknown</v>
      </c>
      <c r="AA1042" s="1" t="str">
        <f>IFERROR(__xludf.DUMMYFUNCTION("""COMPUTED_VALUE"""),"")</f>
        <v/>
      </c>
      <c r="AB1042" s="1" t="str">
        <f>IFERROR(__xludf.DUMMYFUNCTION("""COMPUTED_VALUE"""),"")</f>
        <v/>
      </c>
      <c r="AC1042" s="1" t="str">
        <f>IFERROR(__xludf.DUMMYFUNCTION("""COMPUTED_VALUE"""),"")</f>
        <v/>
      </c>
      <c r="AD1042" s="1" t="str">
        <f>IFERROR(__xludf.DUMMYFUNCTION("""COMPUTED_VALUE"""),"")</f>
        <v/>
      </c>
      <c r="AE1042" s="1" t="str">
        <f>IFERROR(__xludf.DUMMYFUNCTION("""COMPUTED_VALUE"""),"")</f>
        <v/>
      </c>
      <c r="AF1042" s="1" t="str">
        <f>IFERROR(__xludf.DUMMYFUNCTION("""COMPUTED_VALUE"""),"")</f>
        <v/>
      </c>
      <c r="AG1042" s="1" t="str">
        <f>IFERROR(__xludf.DUMMYFUNCTION("""COMPUTED_VALUE"""),"")</f>
        <v/>
      </c>
      <c r="AH1042" s="1" t="str">
        <f>IFERROR(__xludf.DUMMYFUNCTION("""COMPUTED_VALUE"""),"Media Monitoring")</f>
        <v>Media Monitoring</v>
      </c>
      <c r="AI1042" s="1" t="str">
        <f>IFERROR(__xludf.DUMMYFUNCTION("""COMPUTED_VALUE"""),"")</f>
        <v/>
      </c>
      <c r="AJ1042" s="1" t="str">
        <f>IFERROR(__xludf.DUMMYFUNCTION("""COMPUTED_VALUE"""),"")</f>
        <v/>
      </c>
      <c r="AK1042" s="1" t="str">
        <f>IFERROR(__xludf.DUMMYFUNCTION("""COMPUTED_VALUE"""),"")</f>
        <v/>
      </c>
      <c r="AL1042" s="1" t="str">
        <f>IFERROR(__xludf.DUMMYFUNCTION("""COMPUTED_VALUE"""),"")</f>
        <v/>
      </c>
      <c r="AM1042" s="1" t="str">
        <f>IFERROR(__xludf.DUMMYFUNCTION("""COMPUTED_VALUE"""),"")</f>
        <v/>
      </c>
      <c r="AN1042" s="1" t="str">
        <f>IFERROR(__xludf.DUMMYFUNCTION("""COMPUTED_VALUE"""),"")</f>
        <v/>
      </c>
      <c r="AO1042" s="1" t="str">
        <f>IFERROR(__xludf.DUMMYFUNCTION("""COMPUTED_VALUE"""),"")</f>
        <v/>
      </c>
      <c r="AP1042" s="1" t="str">
        <f>IFERROR(__xludf.DUMMYFUNCTION("""COMPUTED_VALUE"""),"")</f>
        <v/>
      </c>
      <c r="AQ1042" s="1" t="str">
        <f>IFERROR(__xludf.DUMMYFUNCTION("""COMPUTED_VALUE"""),"08/05/2025")</f>
        <v>08/05/2025</v>
      </c>
      <c r="AR1042" s="1" t="str">
        <f>IFERROR(__xludf.DUMMYFUNCTION("""COMPUTED_VALUE"""),"08/05/2025")</f>
        <v>08/05/2025</v>
      </c>
    </row>
    <row r="1043">
      <c r="A1043" s="1" t="str">
        <f>IFERROR(__xludf.DUMMYFUNCTION("""COMPUTED_VALUE"""),"LOWES DATA CENTER")</f>
        <v>LOWES DATA CENTER</v>
      </c>
      <c r="B1043" s="1" t="str">
        <f>IFERROR(__xludf.DUMMYFUNCTION("""COMPUTED_VALUE"""),"10045 ROGERS RUN")</f>
        <v>10045 ROGERS RUN</v>
      </c>
      <c r="C1043" s="1" t="str">
        <f>IFERROR(__xludf.DUMMYFUNCTION("""COMPUTED_VALUE"""),"San Antonio")</f>
        <v>San Antonio</v>
      </c>
      <c r="D1043" s="1" t="str">
        <f>IFERROR(__xludf.DUMMYFUNCTION("""COMPUTED_VALUE"""),"TX")</f>
        <v>TX</v>
      </c>
      <c r="E1043" s="1" t="str">
        <f>IFERROR(__xludf.DUMMYFUNCTION("""COMPUTED_VALUE"""),"78251")</f>
        <v>78251</v>
      </c>
      <c r="F1043" s="1" t="str">
        <f>IFERROR(__xludf.DUMMYFUNCTION("""COMPUTED_VALUE"""),"Bexar")</f>
        <v>Bexar</v>
      </c>
      <c r="G1043" s="1" t="str">
        <f>IFERROR(__xludf.DUMMYFUNCTION("""COMPUTED_VALUE"""),"29.47334")</f>
        <v>29.47334</v>
      </c>
      <c r="H1043" s="1" t="str">
        <f>IFERROR(__xludf.DUMMYFUNCTION("""COMPUTED_VALUE"""),"-98.69")</f>
        <v>-98.69</v>
      </c>
      <c r="I1043" s="1" t="str">
        <f>IFERROR(__xludf.DUMMYFUNCTION("""COMPUTED_VALUE"""),"Operating")</f>
        <v>Operating</v>
      </c>
      <c r="J1043" s="1" t="str">
        <f>IFERROR(__xludf.DUMMYFUNCTION("""COMPUTED_VALUE"""),"High")</f>
        <v>High</v>
      </c>
      <c r="K1043" s="1" t="str">
        <f>IFERROR(__xludf.DUMMYFUNCTION("""COMPUTED_VALUE"""),"")</f>
        <v/>
      </c>
      <c r="L1043" s="1" t="str">
        <f>IFERROR(__xludf.DUMMYFUNCTION("""COMPUTED_VALUE"""),"")</f>
        <v/>
      </c>
      <c r="M1043" s="1" t="str">
        <f>IFERROR(__xludf.DUMMYFUNCTION("""COMPUTED_VALUE"""),"")</f>
        <v/>
      </c>
      <c r="N1043" s="1" t="str">
        <f>IFERROR(__xludf.DUMMYFUNCTION("""COMPUTED_VALUE"""),"")</f>
        <v/>
      </c>
      <c r="O1043" s="1" t="str">
        <f>IFERROR(__xludf.DUMMYFUNCTION("""COMPUTED_VALUE"""),"Unknown")</f>
        <v>Unknown</v>
      </c>
      <c r="P1043" s="1" t="str">
        <f>IFERROR(__xludf.DUMMYFUNCTION("""COMPUTED_VALUE"""),"")</f>
        <v/>
      </c>
      <c r="Q1043" s="1" t="str">
        <f>IFERROR(__xludf.DUMMYFUNCTION("""COMPUTED_VALUE"""),"")</f>
        <v/>
      </c>
      <c r="R1043" s="1" t="str">
        <f>IFERROR(__xludf.DUMMYFUNCTION("""COMPUTED_VALUE"""),"")</f>
        <v/>
      </c>
      <c r="S1043" s="1" t="str">
        <f>IFERROR(__xludf.DUMMYFUNCTION("""COMPUTED_VALUE"""),"")</f>
        <v/>
      </c>
      <c r="T1043" s="1" t="str">
        <f>IFERROR(__xludf.DUMMYFUNCTION("""COMPUTED_VALUE"""),"")</f>
        <v/>
      </c>
      <c r="U1043" s="1" t="str">
        <f>IFERROR(__xludf.DUMMYFUNCTION("""COMPUTED_VALUE"""),"")</f>
        <v/>
      </c>
      <c r="V1043" s="1" t="str">
        <f>IFERROR(__xludf.DUMMYFUNCTION("""COMPUTED_VALUE"""),"")</f>
        <v/>
      </c>
      <c r="W1043" s="1" t="str">
        <f>IFERROR(__xludf.DUMMYFUNCTION("""COMPUTED_VALUE"""),"")</f>
        <v/>
      </c>
      <c r="X1043" s="1" t="str">
        <f>IFERROR(__xludf.DUMMYFUNCTION("""COMPUTED_VALUE"""),"")</f>
        <v/>
      </c>
      <c r="Y1043" s="1" t="str">
        <f>IFERROR(__xludf.DUMMYFUNCTION("""COMPUTED_VALUE"""),"")</f>
        <v/>
      </c>
      <c r="Z1043" s="1" t="str">
        <f>IFERROR(__xludf.DUMMYFUNCTION("""COMPUTED_VALUE"""),"Unknown")</f>
        <v>Unknown</v>
      </c>
      <c r="AA1043" s="1" t="str">
        <f>IFERROR(__xludf.DUMMYFUNCTION("""COMPUTED_VALUE"""),"")</f>
        <v/>
      </c>
      <c r="AB1043" s="1" t="str">
        <f>IFERROR(__xludf.DUMMYFUNCTION("""COMPUTED_VALUE"""),"")</f>
        <v/>
      </c>
      <c r="AC1043" s="1" t="str">
        <f>IFERROR(__xludf.DUMMYFUNCTION("""COMPUTED_VALUE"""),"")</f>
        <v/>
      </c>
      <c r="AD1043" s="1" t="str">
        <f>IFERROR(__xludf.DUMMYFUNCTION("""COMPUTED_VALUE"""),"")</f>
        <v/>
      </c>
      <c r="AE1043" s="1" t="str">
        <f>IFERROR(__xludf.DUMMYFUNCTION("""COMPUTED_VALUE"""),"")</f>
        <v/>
      </c>
      <c r="AF1043" s="1" t="str">
        <f>IFERROR(__xludf.DUMMYFUNCTION("""COMPUTED_VALUE"""),"")</f>
        <v/>
      </c>
      <c r="AG1043" s="1" t="str">
        <f>IFERROR(__xludf.DUMMYFUNCTION("""COMPUTED_VALUE"""),"FULLY REGULATED")</f>
        <v>FULLY REGULATED</v>
      </c>
      <c r="AH1043" s="1" t="str">
        <f>IFERROR(__xludf.DUMMYFUNCTION("""COMPUTED_VALUE"""),"Media Monitoring")</f>
        <v>Media Monitoring</v>
      </c>
      <c r="AI1043" s="2" t="str">
        <f>IFERROR(__xludf.DUMMYFUNCTION("""COMPUTED_VALUE"""),"https://gis-tceq.opendata.arcgis.com/datasets/daece6e3181140f69093ab69cf9ae0ba/explore?layer=0&amp;showTable=true")</f>
        <v>https://gis-tceq.opendata.arcgis.com/datasets/daece6e3181140f69093ab69cf9ae0ba/explore?layer=0&amp;showTable=true</v>
      </c>
      <c r="AJ1043" s="1" t="str">
        <f>IFERROR(__xludf.DUMMYFUNCTION("""COMPUTED_VALUE"""),"")</f>
        <v/>
      </c>
      <c r="AK1043" s="1" t="str">
        <f>IFERROR(__xludf.DUMMYFUNCTION("""COMPUTED_VALUE"""),"")</f>
        <v/>
      </c>
      <c r="AL1043" s="1" t="str">
        <f>IFERROR(__xludf.DUMMYFUNCTION("""COMPUTED_VALUE"""),"")</f>
        <v/>
      </c>
      <c r="AM1043" s="1" t="str">
        <f>IFERROR(__xludf.DUMMYFUNCTION("""COMPUTED_VALUE"""),"")</f>
        <v/>
      </c>
      <c r="AN1043" s="1" t="str">
        <f>IFERROR(__xludf.DUMMYFUNCTION("""COMPUTED_VALUE"""),"")</f>
        <v/>
      </c>
      <c r="AO1043" s="1" t="str">
        <f>IFERROR(__xludf.DUMMYFUNCTION("""COMPUTED_VALUE"""),"")</f>
        <v/>
      </c>
      <c r="AP1043" s="1" t="str">
        <f>IFERROR(__xludf.DUMMYFUNCTION("""COMPUTED_VALUE"""),"")</f>
        <v/>
      </c>
      <c r="AQ1043" s="1" t="str">
        <f>IFERROR(__xludf.DUMMYFUNCTION("""COMPUTED_VALUE"""),"08/05/2025")</f>
        <v>08/05/2025</v>
      </c>
      <c r="AR1043" s="1" t="str">
        <f>IFERROR(__xludf.DUMMYFUNCTION("""COMPUTED_VALUE"""),"08/05/2025")</f>
        <v>08/05/2025</v>
      </c>
    </row>
    <row r="1044">
      <c r="A1044" s="1" t="str">
        <f>IFERROR(__xludf.DUMMYFUNCTION("""COMPUTED_VALUE"""),"Microsoft Data Center")</f>
        <v>Microsoft Data Center</v>
      </c>
      <c r="B1044" s="1" t="str">
        <f>IFERROR(__xludf.DUMMYFUNCTION("""COMPUTED_VALUE"""),"~3543 W Loop 1604 N Acc Rd")</f>
        <v>~3543 W Loop 1604 N Acc Rd</v>
      </c>
      <c r="C1044" s="1" t="str">
        <f>IFERROR(__xludf.DUMMYFUNCTION("""COMPUTED_VALUE"""),"San Antonio")</f>
        <v>San Antonio</v>
      </c>
      <c r="D1044" s="1" t="str">
        <f>IFERROR(__xludf.DUMMYFUNCTION("""COMPUTED_VALUE"""),"TX")</f>
        <v>TX</v>
      </c>
      <c r="E1044" s="1" t="str">
        <f>IFERROR(__xludf.DUMMYFUNCTION("""COMPUTED_VALUE"""),"78253")</f>
        <v>78253</v>
      </c>
      <c r="F1044" s="1" t="str">
        <f>IFERROR(__xludf.DUMMYFUNCTION("""COMPUTED_VALUE"""),"Bexar")</f>
        <v>Bexar</v>
      </c>
      <c r="G1044" s="1" t="str">
        <f>IFERROR(__xludf.DUMMYFUNCTION("""COMPUTED_VALUE"""),"29.46696")</f>
        <v>29.46696</v>
      </c>
      <c r="H1044" s="1" t="str">
        <f>IFERROR(__xludf.DUMMYFUNCTION("""COMPUTED_VALUE"""),"-98.7134")</f>
        <v>-98.7134</v>
      </c>
      <c r="I1044" s="1" t="str">
        <f>IFERROR(__xludf.DUMMYFUNCTION("""COMPUTED_VALUE"""),"Proposed")</f>
        <v>Proposed</v>
      </c>
      <c r="J1044" s="1" t="str">
        <f>IFERROR(__xludf.DUMMYFUNCTION("""COMPUTED_VALUE"""),"Medium")</f>
        <v>Medium</v>
      </c>
      <c r="K1044" s="1" t="str">
        <f>IFERROR(__xludf.DUMMYFUNCTION("""COMPUTED_VALUE"""),"")</f>
        <v/>
      </c>
      <c r="L1044" s="1" t="str">
        <f>IFERROR(__xludf.DUMMYFUNCTION("""COMPUTED_VALUE"""),"Microsoft")</f>
        <v>Microsoft</v>
      </c>
      <c r="M1044" s="1" t="str">
        <f>IFERROR(__xludf.DUMMYFUNCTION("""COMPUTED_VALUE"""),"")</f>
        <v/>
      </c>
      <c r="N1044" s="1" t="str">
        <f>IFERROR(__xludf.DUMMYFUNCTION("""COMPUTED_VALUE"""),"")</f>
        <v/>
      </c>
      <c r="O1044" s="1" t="str">
        <f>IFERROR(__xludf.DUMMYFUNCTION("""COMPUTED_VALUE"""),"Unknown")</f>
        <v>Unknown</v>
      </c>
      <c r="P1044" s="1" t="str">
        <f>IFERROR(__xludf.DUMMYFUNCTION("""COMPUTED_VALUE"""),"")</f>
        <v/>
      </c>
      <c r="Q1044" s="1" t="str">
        <f>IFERROR(__xludf.DUMMYFUNCTION("""COMPUTED_VALUE"""),"")</f>
        <v/>
      </c>
      <c r="R1044" s="1" t="str">
        <f>IFERROR(__xludf.DUMMYFUNCTION("""COMPUTED_VALUE"""),"")</f>
        <v/>
      </c>
      <c r="S1044" s="1" t="str">
        <f>IFERROR(__xludf.DUMMYFUNCTION("""COMPUTED_VALUE"""),"2")</f>
        <v>2</v>
      </c>
      <c r="T1044" s="1" t="str">
        <f>IFERROR(__xludf.DUMMYFUNCTION("""COMPUTED_VALUE"""),"")</f>
        <v/>
      </c>
      <c r="U1044" s="1" t="str">
        <f>IFERROR(__xludf.DUMMYFUNCTION("""COMPUTED_VALUE"""),"")</f>
        <v/>
      </c>
      <c r="V1044" s="1" t="str">
        <f>IFERROR(__xludf.DUMMYFUNCTION("""COMPUTED_VALUE"""),"390,000")</f>
        <v>390,000</v>
      </c>
      <c r="W1044" s="1" t="str">
        <f>IFERROR(__xludf.DUMMYFUNCTION("""COMPUTED_VALUE"""),"90")</f>
        <v>90</v>
      </c>
      <c r="X1044" s="1" t="str">
        <f>IFERROR(__xludf.DUMMYFUNCTION("""COMPUTED_VALUE"""),"")</f>
        <v/>
      </c>
      <c r="Y1044" s="1" t="str">
        <f>IFERROR(__xludf.DUMMYFUNCTION("""COMPUTED_VALUE"""),"")</f>
        <v/>
      </c>
      <c r="Z1044" s="1" t="str">
        <f>IFERROR(__xludf.DUMMYFUNCTION("""COMPUTED_VALUE"""),"Unknown")</f>
        <v>Unknown</v>
      </c>
      <c r="AA1044" s="1" t="str">
        <f>IFERROR(__xludf.DUMMYFUNCTION("""COMPUTED_VALUE"""),"")</f>
        <v/>
      </c>
      <c r="AB1044" s="1" t="str">
        <f>IFERROR(__xludf.DUMMYFUNCTION("""COMPUTED_VALUE"""),"")</f>
        <v/>
      </c>
      <c r="AC1044" s="1" t="str">
        <f>IFERROR(__xludf.DUMMYFUNCTION("""COMPUTED_VALUE"""),"")</f>
        <v/>
      </c>
      <c r="AD1044" s="1" t="str">
        <f>IFERROR(__xludf.DUMMYFUNCTION("""COMPUTED_VALUE"""),"")</f>
        <v/>
      </c>
      <c r="AE1044" s="1" t="str">
        <f>IFERROR(__xludf.DUMMYFUNCTION("""COMPUTED_VALUE"""),"")</f>
        <v/>
      </c>
      <c r="AF1044" s="1" t="str">
        <f>IFERROR(__xludf.DUMMYFUNCTION("""COMPUTED_VALUE"""),"")</f>
        <v/>
      </c>
      <c r="AG1044" s="1" t="str">
        <f>IFERROR(__xludf.DUMMYFUNCTION("""COMPUTED_VALUE"""),"")</f>
        <v/>
      </c>
      <c r="AH1044" s="1" t="str">
        <f>IFERROR(__xludf.DUMMYFUNCTION("""COMPUTED_VALUE"""),"Media Monitoring")</f>
        <v>Media Monitoring</v>
      </c>
      <c r="AI1044" s="2" t="str">
        <f>IFERROR(__xludf.DUMMYFUNCTION("""COMPUTED_VALUE"""),"https://www.expressnews.com/business/article/san-antonio-microsoft-west-side-data-centers-21061920.php")</f>
        <v>https://www.expressnews.com/business/article/san-antonio-microsoft-west-side-data-centers-21061920.php</v>
      </c>
      <c r="AJ1044" s="1" t="str">
        <f>IFERROR(__xludf.DUMMYFUNCTION("""COMPUTED_VALUE"""),"")</f>
        <v/>
      </c>
      <c r="AK1044" s="1" t="str">
        <f>IFERROR(__xludf.DUMMYFUNCTION("""COMPUTED_VALUE"""),"")</f>
        <v/>
      </c>
      <c r="AL1044" s="1" t="str">
        <f>IFERROR(__xludf.DUMMYFUNCTION("""COMPUTED_VALUE"""),"")</f>
        <v/>
      </c>
      <c r="AM1044" s="1" t="str">
        <f>IFERROR(__xludf.DUMMYFUNCTION("""COMPUTED_VALUE"""),"")</f>
        <v/>
      </c>
      <c r="AN1044" s="1" t="str">
        <f>IFERROR(__xludf.DUMMYFUNCTION("""COMPUTED_VALUE"""),"")</f>
        <v/>
      </c>
      <c r="AO1044" s="1" t="str">
        <f>IFERROR(__xludf.DUMMYFUNCTION("""COMPUTED_VALUE"""),"")</f>
        <v/>
      </c>
      <c r="AP1044" s="1" t="str">
        <f>IFERROR(__xludf.DUMMYFUNCTION("""COMPUTED_VALUE"""),"")</f>
        <v/>
      </c>
      <c r="AQ1044" s="1" t="str">
        <f>IFERROR(__xludf.DUMMYFUNCTION("""COMPUTED_VALUE"""),"09/23/2025")</f>
        <v>09/23/2025</v>
      </c>
      <c r="AR1044" s="1" t="str">
        <f>IFERROR(__xludf.DUMMYFUNCTION("""COMPUTED_VALUE"""),"09/23/2025")</f>
        <v>09/23/2025</v>
      </c>
    </row>
    <row r="1045">
      <c r="A1045" s="1" t="str">
        <f>IFERROR(__xludf.DUMMYFUNCTION("""COMPUTED_VALUE"""),"Microsoft Data Center: SAT14")</f>
        <v>Microsoft Data Center: SAT14</v>
      </c>
      <c r="B1045" s="1" t="str">
        <f>IFERROR(__xludf.DUMMYFUNCTION("""COMPUTED_VALUE"""),"3545 Wiseman Blvd")</f>
        <v>3545 Wiseman Blvd</v>
      </c>
      <c r="C1045" s="1" t="str">
        <f>IFERROR(__xludf.DUMMYFUNCTION("""COMPUTED_VALUE"""),"San Antonio")</f>
        <v>San Antonio</v>
      </c>
      <c r="D1045" s="1" t="str">
        <f>IFERROR(__xludf.DUMMYFUNCTION("""COMPUTED_VALUE"""),"TX")</f>
        <v>TX</v>
      </c>
      <c r="E1045" s="1" t="str">
        <f>IFERROR(__xludf.DUMMYFUNCTION("""COMPUTED_VALUE"""),"78251")</f>
        <v>78251</v>
      </c>
      <c r="F1045" s="1" t="str">
        <f>IFERROR(__xludf.DUMMYFUNCTION("""COMPUTED_VALUE"""),"Bexar")</f>
        <v>Bexar</v>
      </c>
      <c r="G1045" s="1" t="str">
        <f>IFERROR(__xludf.DUMMYFUNCTION("""COMPUTED_VALUE"""),"29.47118")</f>
        <v>29.47118</v>
      </c>
      <c r="H1045" s="1" t="str">
        <f>IFERROR(__xludf.DUMMYFUNCTION("""COMPUTED_VALUE"""),"-98.6785")</f>
        <v>-98.6785</v>
      </c>
      <c r="I1045" s="1" t="str">
        <f>IFERROR(__xludf.DUMMYFUNCTION("""COMPUTED_VALUE"""),"Proposed")</f>
        <v>Proposed</v>
      </c>
      <c r="J1045" s="1" t="str">
        <f>IFERROR(__xludf.DUMMYFUNCTION("""COMPUTED_VALUE"""),"High")</f>
        <v>High</v>
      </c>
      <c r="K1045" s="1" t="str">
        <f>IFERROR(__xludf.DUMMYFUNCTION("""COMPUTED_VALUE"""),"")</f>
        <v/>
      </c>
      <c r="L1045" s="1" t="str">
        <f>IFERROR(__xludf.DUMMYFUNCTION("""COMPUTED_VALUE"""),"Microsoft")</f>
        <v>Microsoft</v>
      </c>
      <c r="M1045" s="1" t="str">
        <f>IFERROR(__xludf.DUMMYFUNCTION("""COMPUTED_VALUE"""),"")</f>
        <v/>
      </c>
      <c r="N1045" s="1" t="str">
        <f>IFERROR(__xludf.DUMMYFUNCTION("""COMPUTED_VALUE"""),"")</f>
        <v/>
      </c>
      <c r="O1045" s="1" t="str">
        <f>IFERROR(__xludf.DUMMYFUNCTION("""COMPUTED_VALUE"""),"Unknown")</f>
        <v>Unknown</v>
      </c>
      <c r="P1045" s="1" t="str">
        <f>IFERROR(__xludf.DUMMYFUNCTION("""COMPUTED_VALUE"""),"")</f>
        <v/>
      </c>
      <c r="Q1045" s="1" t="str">
        <f>IFERROR(__xludf.DUMMYFUNCTION("""COMPUTED_VALUE"""),"")</f>
        <v/>
      </c>
      <c r="R1045" s="1" t="str">
        <f>IFERROR(__xludf.DUMMYFUNCTION("""COMPUTED_VALUE"""),"")</f>
        <v/>
      </c>
      <c r="S1045" s="1" t="str">
        <f>IFERROR(__xludf.DUMMYFUNCTION("""COMPUTED_VALUE"""),"")</f>
        <v/>
      </c>
      <c r="T1045" s="1" t="str">
        <f>IFERROR(__xludf.DUMMYFUNCTION("""COMPUTED_VALUE"""),"")</f>
        <v/>
      </c>
      <c r="U1045" s="1" t="str">
        <f>IFERROR(__xludf.DUMMYFUNCTION("""COMPUTED_VALUE"""),"")</f>
        <v/>
      </c>
      <c r="V1045" s="1" t="str">
        <f>IFERROR(__xludf.DUMMYFUNCTION("""COMPUTED_VALUE"""),"350,000")</f>
        <v>350,000</v>
      </c>
      <c r="W1045" s="1" t="str">
        <f>IFERROR(__xludf.DUMMYFUNCTION("""COMPUTED_VALUE"""),"")</f>
        <v/>
      </c>
      <c r="X1045" s="1" t="str">
        <f>IFERROR(__xludf.DUMMYFUNCTION("""COMPUTED_VALUE"""),"$200 million")</f>
        <v>$200 million</v>
      </c>
      <c r="Y1045" s="1" t="str">
        <f>IFERROR(__xludf.DUMMYFUNCTION("""COMPUTED_VALUE"""),"")</f>
        <v/>
      </c>
      <c r="Z1045" s="1" t="str">
        <f>IFERROR(__xludf.DUMMYFUNCTION("""COMPUTED_VALUE"""),"Unknown")</f>
        <v>Unknown</v>
      </c>
      <c r="AA1045" s="1" t="str">
        <f>IFERROR(__xludf.DUMMYFUNCTION("""COMPUTED_VALUE"""),"")</f>
        <v/>
      </c>
      <c r="AB1045" s="1" t="str">
        <f>IFERROR(__xludf.DUMMYFUNCTION("""COMPUTED_VALUE"""),"")</f>
        <v/>
      </c>
      <c r="AC1045" s="1" t="str">
        <f>IFERROR(__xludf.DUMMYFUNCTION("""COMPUTED_VALUE"""),"")</f>
        <v/>
      </c>
      <c r="AD1045" s="1" t="str">
        <f>IFERROR(__xludf.DUMMYFUNCTION("""COMPUTED_VALUE"""),"")</f>
        <v/>
      </c>
      <c r="AE1045" s="1" t="str">
        <f>IFERROR(__xludf.DUMMYFUNCTION("""COMPUTED_VALUE"""),"")</f>
        <v/>
      </c>
      <c r="AF1045" s="1" t="str">
        <f>IFERROR(__xludf.DUMMYFUNCTION("""COMPUTED_VALUE"""),"")</f>
        <v/>
      </c>
      <c r="AG1045" s="1" t="str">
        <f>IFERROR(__xludf.DUMMYFUNCTION("""COMPUTED_VALUE"""),"")</f>
        <v/>
      </c>
      <c r="AH1045" s="1" t="str">
        <f>IFERROR(__xludf.DUMMYFUNCTION("""COMPUTED_VALUE"""),"Media Monitoring")</f>
        <v>Media Monitoring</v>
      </c>
      <c r="AI1045" s="2" t="str">
        <f>IFERROR(__xludf.DUMMYFUNCTION("""COMPUTED_VALUE"""),"https://www.datacenterdynamics.com/en/news/vantage-buys-two-land-plots-in-san-antonio-texas/")</f>
        <v>https://www.datacenterdynamics.com/en/news/vantage-buys-two-land-plots-in-san-antonio-texas/</v>
      </c>
      <c r="AJ1045" s="1" t="str">
        <f>IFERROR(__xludf.DUMMYFUNCTION("""COMPUTED_VALUE"""),"")</f>
        <v/>
      </c>
      <c r="AK1045" s="1" t="str">
        <f>IFERROR(__xludf.DUMMYFUNCTION("""COMPUTED_VALUE"""),"")</f>
        <v/>
      </c>
      <c r="AL1045" s="1" t="str">
        <f>IFERROR(__xludf.DUMMYFUNCTION("""COMPUTED_VALUE"""),"")</f>
        <v/>
      </c>
      <c r="AM1045" s="1" t="str">
        <f>IFERROR(__xludf.DUMMYFUNCTION("""COMPUTED_VALUE"""),"")</f>
        <v/>
      </c>
      <c r="AN1045" s="1" t="str">
        <f>IFERROR(__xludf.DUMMYFUNCTION("""COMPUTED_VALUE"""),"")</f>
        <v/>
      </c>
      <c r="AO1045" s="1" t="str">
        <f>IFERROR(__xludf.DUMMYFUNCTION("""COMPUTED_VALUE"""),"")</f>
        <v/>
      </c>
      <c r="AP1045" s="1" t="str">
        <f>IFERROR(__xludf.DUMMYFUNCTION("""COMPUTED_VALUE"""),"")</f>
        <v/>
      </c>
      <c r="AQ1045" s="1" t="str">
        <f>IFERROR(__xludf.DUMMYFUNCTION("""COMPUTED_VALUE"""),"07/28/2025")</f>
        <v>07/28/2025</v>
      </c>
      <c r="AR1045" s="1" t="str">
        <f>IFERROR(__xludf.DUMMYFUNCTION("""COMPUTED_VALUE"""),"07/28/2025")</f>
        <v>07/28/2025</v>
      </c>
    </row>
    <row r="1046">
      <c r="A1046" s="1" t="str">
        <f>IFERROR(__xludf.DUMMYFUNCTION("""COMPUTED_VALUE"""),"Microsoft Data Center: SAT15")</f>
        <v>Microsoft Data Center: SAT15</v>
      </c>
      <c r="B1046" s="1" t="str">
        <f>IFERROR(__xludf.DUMMYFUNCTION("""COMPUTED_VALUE"""),"3555 Westover Link")</f>
        <v>3555 Westover Link</v>
      </c>
      <c r="C1046" s="1" t="str">
        <f>IFERROR(__xludf.DUMMYFUNCTION("""COMPUTED_VALUE"""),"San Antonio")</f>
        <v>San Antonio</v>
      </c>
      <c r="D1046" s="1" t="str">
        <f>IFERROR(__xludf.DUMMYFUNCTION("""COMPUTED_VALUE"""),"TX")</f>
        <v>TX</v>
      </c>
      <c r="E1046" s="1" t="str">
        <f>IFERROR(__xludf.DUMMYFUNCTION("""COMPUTED_VALUE"""),"78251")</f>
        <v>78251</v>
      </c>
      <c r="F1046" s="1" t="str">
        <f>IFERROR(__xludf.DUMMYFUNCTION("""COMPUTED_VALUE"""),"Bexar")</f>
        <v>Bexar</v>
      </c>
      <c r="G1046" s="1" t="str">
        <f>IFERROR(__xludf.DUMMYFUNCTION("""COMPUTED_VALUE"""),"29.46977")</f>
        <v>29.46977</v>
      </c>
      <c r="H1046" s="1" t="str">
        <f>IFERROR(__xludf.DUMMYFUNCTION("""COMPUTED_VALUE"""),"-98.7015")</f>
        <v>-98.7015</v>
      </c>
      <c r="I1046" s="1" t="str">
        <f>IFERROR(__xludf.DUMMYFUNCTION("""COMPUTED_VALUE"""),"Proposed")</f>
        <v>Proposed</v>
      </c>
      <c r="J1046" s="1" t="str">
        <f>IFERROR(__xludf.DUMMYFUNCTION("""COMPUTED_VALUE"""),"High")</f>
        <v>High</v>
      </c>
      <c r="K1046" s="1" t="str">
        <f>IFERROR(__xludf.DUMMYFUNCTION("""COMPUTED_VALUE"""),"")</f>
        <v/>
      </c>
      <c r="L1046" s="1" t="str">
        <f>IFERROR(__xludf.DUMMYFUNCTION("""COMPUTED_VALUE"""),"Microsoft")</f>
        <v>Microsoft</v>
      </c>
      <c r="M1046" s="1" t="str">
        <f>IFERROR(__xludf.DUMMYFUNCTION("""COMPUTED_VALUE"""),"")</f>
        <v/>
      </c>
      <c r="N1046" s="1" t="str">
        <f>IFERROR(__xludf.DUMMYFUNCTION("""COMPUTED_VALUE"""),"")</f>
        <v/>
      </c>
      <c r="O1046" s="1" t="str">
        <f>IFERROR(__xludf.DUMMYFUNCTION("""COMPUTED_VALUE"""),"Unknown")</f>
        <v>Unknown</v>
      </c>
      <c r="P1046" s="1" t="str">
        <f>IFERROR(__xludf.DUMMYFUNCTION("""COMPUTED_VALUE"""),"")</f>
        <v/>
      </c>
      <c r="Q1046" s="1" t="str">
        <f>IFERROR(__xludf.DUMMYFUNCTION("""COMPUTED_VALUE"""),"")</f>
        <v/>
      </c>
      <c r="R1046" s="1" t="str">
        <f>IFERROR(__xludf.DUMMYFUNCTION("""COMPUTED_VALUE"""),"")</f>
        <v/>
      </c>
      <c r="S1046" s="1" t="str">
        <f>IFERROR(__xludf.DUMMYFUNCTION("""COMPUTED_VALUE"""),"")</f>
        <v/>
      </c>
      <c r="T1046" s="1" t="str">
        <f>IFERROR(__xludf.DUMMYFUNCTION("""COMPUTED_VALUE"""),"")</f>
        <v/>
      </c>
      <c r="U1046" s="1" t="str">
        <f>IFERROR(__xludf.DUMMYFUNCTION("""COMPUTED_VALUE"""),"")</f>
        <v/>
      </c>
      <c r="V1046" s="1" t="str">
        <f>IFERROR(__xludf.DUMMYFUNCTION("""COMPUTED_VALUE"""),"245,000")</f>
        <v>245,000</v>
      </c>
      <c r="W1046" s="1" t="str">
        <f>IFERROR(__xludf.DUMMYFUNCTION("""COMPUTED_VALUE"""),"")</f>
        <v/>
      </c>
      <c r="X1046" s="1" t="str">
        <f>IFERROR(__xludf.DUMMYFUNCTION("""COMPUTED_VALUE"""),"$215.9 million")</f>
        <v>$215.9 million</v>
      </c>
      <c r="Y1046" s="1" t="str">
        <f>IFERROR(__xludf.DUMMYFUNCTION("""COMPUTED_VALUE"""),"")</f>
        <v/>
      </c>
      <c r="Z1046" s="1" t="str">
        <f>IFERROR(__xludf.DUMMYFUNCTION("""COMPUTED_VALUE"""),"Unknown")</f>
        <v>Unknown</v>
      </c>
      <c r="AA1046" s="1" t="str">
        <f>IFERROR(__xludf.DUMMYFUNCTION("""COMPUTED_VALUE"""),"")</f>
        <v/>
      </c>
      <c r="AB1046" s="1" t="str">
        <f>IFERROR(__xludf.DUMMYFUNCTION("""COMPUTED_VALUE"""),"")</f>
        <v/>
      </c>
      <c r="AC1046" s="1" t="str">
        <f>IFERROR(__xludf.DUMMYFUNCTION("""COMPUTED_VALUE"""),"")</f>
        <v/>
      </c>
      <c r="AD1046" s="1" t="str">
        <f>IFERROR(__xludf.DUMMYFUNCTION("""COMPUTED_VALUE"""),"")</f>
        <v/>
      </c>
      <c r="AE1046" s="1" t="str">
        <f>IFERROR(__xludf.DUMMYFUNCTION("""COMPUTED_VALUE"""),"")</f>
        <v/>
      </c>
      <c r="AF1046" s="1" t="str">
        <f>IFERROR(__xludf.DUMMYFUNCTION("""COMPUTED_VALUE"""),"")</f>
        <v/>
      </c>
      <c r="AG1046" s="1" t="str">
        <f>IFERROR(__xludf.DUMMYFUNCTION("""COMPUTED_VALUE"""),"")</f>
        <v/>
      </c>
      <c r="AH1046" s="1" t="str">
        <f>IFERROR(__xludf.DUMMYFUNCTION("""COMPUTED_VALUE"""),"Media Monitoring")</f>
        <v>Media Monitoring</v>
      </c>
      <c r="AI1046" s="2" t="str">
        <f>IFERROR(__xludf.DUMMYFUNCTION("""COMPUTED_VALUE"""),"https://www.datacenterdynamics.com/en/news/microsoft-planning-another-data-center-in-san-antonio-texas/")</f>
        <v>https://www.datacenterdynamics.com/en/news/microsoft-planning-another-data-center-in-san-antonio-texas/</v>
      </c>
      <c r="AJ1046" s="1" t="str">
        <f>IFERROR(__xludf.DUMMYFUNCTION("""COMPUTED_VALUE"""),"")</f>
        <v/>
      </c>
      <c r="AK1046" s="1" t="str">
        <f>IFERROR(__xludf.DUMMYFUNCTION("""COMPUTED_VALUE"""),"")</f>
        <v/>
      </c>
      <c r="AL1046" s="1" t="str">
        <f>IFERROR(__xludf.DUMMYFUNCTION("""COMPUTED_VALUE"""),"")</f>
        <v/>
      </c>
      <c r="AM1046" s="1" t="str">
        <f>IFERROR(__xludf.DUMMYFUNCTION("""COMPUTED_VALUE"""),"")</f>
        <v/>
      </c>
      <c r="AN1046" s="1" t="str">
        <f>IFERROR(__xludf.DUMMYFUNCTION("""COMPUTED_VALUE"""),"")</f>
        <v/>
      </c>
      <c r="AO1046" s="1" t="str">
        <f>IFERROR(__xludf.DUMMYFUNCTION("""COMPUTED_VALUE"""),"")</f>
        <v/>
      </c>
      <c r="AP1046" s="1" t="str">
        <f>IFERROR(__xludf.DUMMYFUNCTION("""COMPUTED_VALUE"""),"")</f>
        <v/>
      </c>
      <c r="AQ1046" s="1" t="str">
        <f>IFERROR(__xludf.DUMMYFUNCTION("""COMPUTED_VALUE"""),"07/28/2025")</f>
        <v>07/28/2025</v>
      </c>
      <c r="AR1046" s="1" t="str">
        <f>IFERROR(__xludf.DUMMYFUNCTION("""COMPUTED_VALUE"""),"07/28/2025")</f>
        <v>07/28/2025</v>
      </c>
    </row>
    <row r="1047">
      <c r="A1047" s="1" t="str">
        <f>IFERROR(__xludf.DUMMYFUNCTION("""COMPUTED_VALUE"""),"Microsoft Data Center: SAT46")</f>
        <v>Microsoft Data Center: SAT46</v>
      </c>
      <c r="B1047" s="1" t="str">
        <f>IFERROR(__xludf.DUMMYFUNCTION("""COMPUTED_VALUE"""),"15000 Lambda Drive")</f>
        <v>15000 Lambda Drive</v>
      </c>
      <c r="C1047" s="1" t="str">
        <f>IFERROR(__xludf.DUMMYFUNCTION("""COMPUTED_VALUE"""),"San Antonio")</f>
        <v>San Antonio</v>
      </c>
      <c r="D1047" s="1" t="str">
        <f>IFERROR(__xludf.DUMMYFUNCTION("""COMPUTED_VALUE"""),"TX")</f>
        <v>TX</v>
      </c>
      <c r="E1047" s="1" t="str">
        <f>IFERROR(__xludf.DUMMYFUNCTION("""COMPUTED_VALUE"""),"78245")</f>
        <v>78245</v>
      </c>
      <c r="F1047" s="1" t="str">
        <f>IFERROR(__xludf.DUMMYFUNCTION("""COMPUTED_VALUE"""),"Bexar")</f>
        <v>Bexar</v>
      </c>
      <c r="G1047" s="1" t="str">
        <f>IFERROR(__xludf.DUMMYFUNCTION("""COMPUTED_VALUE"""),"29.41427")</f>
        <v>29.41427</v>
      </c>
      <c r="H1047" s="1" t="str">
        <f>IFERROR(__xludf.DUMMYFUNCTION("""COMPUTED_VALUE"""),"-98.8029")</f>
        <v>-98.8029</v>
      </c>
      <c r="I1047" s="1" t="str">
        <f>IFERROR(__xludf.DUMMYFUNCTION("""COMPUTED_VALUE"""),"Operating")</f>
        <v>Operating</v>
      </c>
      <c r="J1047" s="1" t="str">
        <f>IFERROR(__xludf.DUMMYFUNCTION("""COMPUTED_VALUE"""),"High")</f>
        <v>High</v>
      </c>
      <c r="K1047" s="1" t="str">
        <f>IFERROR(__xludf.DUMMYFUNCTION("""COMPUTED_VALUE"""),"")</f>
        <v/>
      </c>
      <c r="L1047" s="1" t="str">
        <f>IFERROR(__xludf.DUMMYFUNCTION("""COMPUTED_VALUE"""),"Microsoft")</f>
        <v>Microsoft</v>
      </c>
      <c r="M1047" s="1" t="str">
        <f>IFERROR(__xludf.DUMMYFUNCTION("""COMPUTED_VALUE"""),"")</f>
        <v/>
      </c>
      <c r="N1047" s="1" t="str">
        <f>IFERROR(__xludf.DUMMYFUNCTION("""COMPUTED_VALUE"""),"")</f>
        <v/>
      </c>
      <c r="O1047" s="1" t="str">
        <f>IFERROR(__xludf.DUMMYFUNCTION("""COMPUTED_VALUE"""),"Unknown")</f>
        <v>Unknown</v>
      </c>
      <c r="P1047" s="1" t="str">
        <f>IFERROR(__xludf.DUMMYFUNCTION("""COMPUTED_VALUE"""),"")</f>
        <v/>
      </c>
      <c r="Q1047" s="1" t="str">
        <f>IFERROR(__xludf.DUMMYFUNCTION("""COMPUTED_VALUE"""),"")</f>
        <v/>
      </c>
      <c r="R1047" s="1" t="str">
        <f>IFERROR(__xludf.DUMMYFUNCTION("""COMPUTED_VALUE"""),"")</f>
        <v/>
      </c>
      <c r="S1047" s="1" t="str">
        <f>IFERROR(__xludf.DUMMYFUNCTION("""COMPUTED_VALUE"""),"")</f>
        <v/>
      </c>
      <c r="T1047" s="1" t="str">
        <f>IFERROR(__xludf.DUMMYFUNCTION("""COMPUTED_VALUE"""),"")</f>
        <v/>
      </c>
      <c r="U1047" s="1" t="str">
        <f>IFERROR(__xludf.DUMMYFUNCTION("""COMPUTED_VALUE"""),"")</f>
        <v/>
      </c>
      <c r="V1047" s="1" t="str">
        <f>IFERROR(__xludf.DUMMYFUNCTION("""COMPUTED_VALUE"""),"1,000,000")</f>
        <v>1,000,000</v>
      </c>
      <c r="W1047" s="1" t="str">
        <f>IFERROR(__xludf.DUMMYFUNCTION("""COMPUTED_VALUE"""),"")</f>
        <v/>
      </c>
      <c r="X1047" s="1" t="str">
        <f>IFERROR(__xludf.DUMMYFUNCTION("""COMPUTED_VALUE"""),"$215.9 million")</f>
        <v>$215.9 million</v>
      </c>
      <c r="Y1047" s="1" t="str">
        <f>IFERROR(__xludf.DUMMYFUNCTION("""COMPUTED_VALUE"""),"")</f>
        <v/>
      </c>
      <c r="Z1047" s="1" t="str">
        <f>IFERROR(__xludf.DUMMYFUNCTION("""COMPUTED_VALUE"""),"Unknown")</f>
        <v>Unknown</v>
      </c>
      <c r="AA1047" s="1" t="str">
        <f>IFERROR(__xludf.DUMMYFUNCTION("""COMPUTED_VALUE"""),"")</f>
        <v/>
      </c>
      <c r="AB1047" s="1" t="str">
        <f>IFERROR(__xludf.DUMMYFUNCTION("""COMPUTED_VALUE"""),"")</f>
        <v/>
      </c>
      <c r="AC1047" s="1" t="str">
        <f>IFERROR(__xludf.DUMMYFUNCTION("""COMPUTED_VALUE"""),"")</f>
        <v/>
      </c>
      <c r="AD1047" s="1" t="str">
        <f>IFERROR(__xludf.DUMMYFUNCTION("""COMPUTED_VALUE"""),"")</f>
        <v/>
      </c>
      <c r="AE1047" s="1" t="str">
        <f>IFERROR(__xludf.DUMMYFUNCTION("""COMPUTED_VALUE"""),"")</f>
        <v/>
      </c>
      <c r="AF1047" s="1" t="str">
        <f>IFERROR(__xludf.DUMMYFUNCTION("""COMPUTED_VALUE"""),"")</f>
        <v/>
      </c>
      <c r="AG1047" s="1" t="str">
        <f>IFERROR(__xludf.DUMMYFUNCTION("""COMPUTED_VALUE"""),"")</f>
        <v/>
      </c>
      <c r="AH1047" s="1" t="str">
        <f>IFERROR(__xludf.DUMMYFUNCTION("""COMPUTED_VALUE"""),"Media Monitoring")</f>
        <v>Media Monitoring</v>
      </c>
      <c r="AI1047" s="2" t="str">
        <f>IFERROR(__xludf.DUMMYFUNCTION("""COMPUTED_VALUE"""),"https://www.datacenterdynamics.com/en/news/vantage-buys-two-land-plots-in-san-antonio-texas/")</f>
        <v>https://www.datacenterdynamics.com/en/news/vantage-buys-two-land-plots-in-san-antonio-texas/</v>
      </c>
      <c r="AJ1047" s="2" t="str">
        <f>IFERROR(__xludf.DUMMYFUNCTION("""COMPUTED_VALUE"""),"https://www.datacenterdynamics.com/en/news/vantage-buys-two-land-plots-in-san-antonio-texas/")</f>
        <v>https://www.datacenterdynamics.com/en/news/vantage-buys-two-land-plots-in-san-antonio-texas/</v>
      </c>
      <c r="AK1047" s="2" t="str">
        <f>IFERROR(__xludf.DUMMYFUNCTION("""COMPUTED_VALUE"""),"https://www.datacenterdynamics.com/en/news/vantage-files-to-build-another-data-center-in-san-antonio-texas/")</f>
        <v>https://www.datacenterdynamics.com/en/news/vantage-files-to-build-another-data-center-in-san-antonio-texas/</v>
      </c>
      <c r="AL1047" s="1" t="str">
        <f>IFERROR(__xludf.DUMMYFUNCTION("""COMPUTED_VALUE"""),"")</f>
        <v/>
      </c>
      <c r="AM1047" s="1" t="str">
        <f>IFERROR(__xludf.DUMMYFUNCTION("""COMPUTED_VALUE"""),"")</f>
        <v/>
      </c>
      <c r="AN1047" s="1" t="str">
        <f>IFERROR(__xludf.DUMMYFUNCTION("""COMPUTED_VALUE"""),"")</f>
        <v/>
      </c>
      <c r="AO1047" s="1" t="str">
        <f>IFERROR(__xludf.DUMMYFUNCTION("""COMPUTED_VALUE"""),"")</f>
        <v/>
      </c>
      <c r="AP1047" s="1" t="str">
        <f>IFERROR(__xludf.DUMMYFUNCTION("""COMPUTED_VALUE"""),"")</f>
        <v/>
      </c>
      <c r="AQ1047" s="1" t="str">
        <f>IFERROR(__xludf.DUMMYFUNCTION("""COMPUTED_VALUE"""),"07/28/2025")</f>
        <v>07/28/2025</v>
      </c>
      <c r="AR1047" s="1" t="str">
        <f>IFERROR(__xludf.DUMMYFUNCTION("""COMPUTED_VALUE"""),"10/16/2025")</f>
        <v>10/16/2025</v>
      </c>
    </row>
    <row r="1048">
      <c r="A1048" s="1" t="str">
        <f>IFERROR(__xludf.DUMMYFUNCTION("""COMPUTED_VALUE"""),"MICROSOFT SAN ANTONIO DATA CENTER")</f>
        <v>MICROSOFT SAN ANTONIO DATA CENTER</v>
      </c>
      <c r="B1048" s="1" t="str">
        <f>IFERROR(__xludf.DUMMYFUNCTION("""COMPUTED_VALUE"""),"5150 ROGERS RD")</f>
        <v>5150 ROGERS RD</v>
      </c>
      <c r="C1048" s="1" t="str">
        <f>IFERROR(__xludf.DUMMYFUNCTION("""COMPUTED_VALUE"""),"San Antonio")</f>
        <v>San Antonio</v>
      </c>
      <c r="D1048" s="1" t="str">
        <f>IFERROR(__xludf.DUMMYFUNCTION("""COMPUTED_VALUE"""),"TX")</f>
        <v>TX</v>
      </c>
      <c r="E1048" s="1" t="str">
        <f>IFERROR(__xludf.DUMMYFUNCTION("""COMPUTED_VALUE"""),"78251")</f>
        <v>78251</v>
      </c>
      <c r="F1048" s="1" t="str">
        <f>IFERROR(__xludf.DUMMYFUNCTION("""COMPUTED_VALUE"""),"Bexar")</f>
        <v>Bexar</v>
      </c>
      <c r="G1048" s="1" t="str">
        <f>IFERROR(__xludf.DUMMYFUNCTION("""COMPUTED_VALUE"""),"29.47843")</f>
        <v>29.47843</v>
      </c>
      <c r="H1048" s="1" t="str">
        <f>IFERROR(__xludf.DUMMYFUNCTION("""COMPUTED_VALUE"""),"-98.693")</f>
        <v>-98.693</v>
      </c>
      <c r="I1048" s="1" t="str">
        <f>IFERROR(__xludf.DUMMYFUNCTION("""COMPUTED_VALUE"""),"Operating")</f>
        <v>Operating</v>
      </c>
      <c r="J1048" s="1" t="str">
        <f>IFERROR(__xludf.DUMMYFUNCTION("""COMPUTED_VALUE"""),"High")</f>
        <v>High</v>
      </c>
      <c r="K1048" s="1" t="str">
        <f>IFERROR(__xludf.DUMMYFUNCTION("""COMPUTED_VALUE"""),"")</f>
        <v/>
      </c>
      <c r="L1048" s="1" t="str">
        <f>IFERROR(__xludf.DUMMYFUNCTION("""COMPUTED_VALUE"""),"Microsoft")</f>
        <v>Microsoft</v>
      </c>
      <c r="M1048" s="1" t="str">
        <f>IFERROR(__xludf.DUMMYFUNCTION("""COMPUTED_VALUE"""),"")</f>
        <v/>
      </c>
      <c r="N1048" s="1" t="str">
        <f>IFERROR(__xludf.DUMMYFUNCTION("""COMPUTED_VALUE"""),"")</f>
        <v/>
      </c>
      <c r="O1048" s="1" t="str">
        <f>IFERROR(__xludf.DUMMYFUNCTION("""COMPUTED_VALUE"""),"Unknown")</f>
        <v>Unknown</v>
      </c>
      <c r="P1048" s="1" t="str">
        <f>IFERROR(__xludf.DUMMYFUNCTION("""COMPUTED_VALUE"""),"")</f>
        <v/>
      </c>
      <c r="Q1048" s="1" t="str">
        <f>IFERROR(__xludf.DUMMYFUNCTION("""COMPUTED_VALUE"""),"")</f>
        <v/>
      </c>
      <c r="R1048" s="1" t="str">
        <f>IFERROR(__xludf.DUMMYFUNCTION("""COMPUTED_VALUE"""),"")</f>
        <v/>
      </c>
      <c r="S1048" s="1" t="str">
        <f>IFERROR(__xludf.DUMMYFUNCTION("""COMPUTED_VALUE"""),"")</f>
        <v/>
      </c>
      <c r="T1048" s="1" t="str">
        <f>IFERROR(__xludf.DUMMYFUNCTION("""COMPUTED_VALUE"""),"")</f>
        <v/>
      </c>
      <c r="U1048" s="1" t="str">
        <f>IFERROR(__xludf.DUMMYFUNCTION("""COMPUTED_VALUE"""),"")</f>
        <v/>
      </c>
      <c r="V1048" s="1" t="str">
        <f>IFERROR(__xludf.DUMMYFUNCTION("""COMPUTED_VALUE"""),"")</f>
        <v/>
      </c>
      <c r="W1048" s="1" t="str">
        <f>IFERROR(__xludf.DUMMYFUNCTION("""COMPUTED_VALUE"""),"")</f>
        <v/>
      </c>
      <c r="X1048" s="1" t="str">
        <f>IFERROR(__xludf.DUMMYFUNCTION("""COMPUTED_VALUE"""),"")</f>
        <v/>
      </c>
      <c r="Y1048" s="1" t="str">
        <f>IFERROR(__xludf.DUMMYFUNCTION("""COMPUTED_VALUE"""),"")</f>
        <v/>
      </c>
      <c r="Z1048" s="1" t="str">
        <f>IFERROR(__xludf.DUMMYFUNCTION("""COMPUTED_VALUE"""),"Unknown")</f>
        <v>Unknown</v>
      </c>
      <c r="AA1048" s="1" t="str">
        <f>IFERROR(__xludf.DUMMYFUNCTION("""COMPUTED_VALUE"""),"")</f>
        <v/>
      </c>
      <c r="AB1048" s="1" t="str">
        <f>IFERROR(__xludf.DUMMYFUNCTION("""COMPUTED_VALUE"""),"")</f>
        <v/>
      </c>
      <c r="AC1048" s="1" t="str">
        <f>IFERROR(__xludf.DUMMYFUNCTION("""COMPUTED_VALUE"""),"")</f>
        <v/>
      </c>
      <c r="AD1048" s="1" t="str">
        <f>IFERROR(__xludf.DUMMYFUNCTION("""COMPUTED_VALUE"""),"")</f>
        <v/>
      </c>
      <c r="AE1048" s="1" t="str">
        <f>IFERROR(__xludf.DUMMYFUNCTION("""COMPUTED_VALUE"""),"")</f>
        <v/>
      </c>
      <c r="AF1048" s="1" t="str">
        <f>IFERROR(__xludf.DUMMYFUNCTION("""COMPUTED_VALUE"""),"")</f>
        <v/>
      </c>
      <c r="AG1048" s="1" t="str">
        <f>IFERROR(__xludf.DUMMYFUNCTION("""COMPUTED_VALUE"""),"FULLY REGULATED")</f>
        <v>FULLY REGULATED</v>
      </c>
      <c r="AH1048" s="1" t="str">
        <f>IFERROR(__xludf.DUMMYFUNCTION("""COMPUTED_VALUE"""),"Media Monitoring")</f>
        <v>Media Monitoring</v>
      </c>
      <c r="AI1048" s="2" t="str">
        <f>IFERROR(__xludf.DUMMYFUNCTION("""COMPUTED_VALUE"""),"https://gis-tceq.opendata.arcgis.com/datasets/daece6e3181140f69093ab69cf9ae0ba/explore?layer=0&amp;showTable=true")</f>
        <v>https://gis-tceq.opendata.arcgis.com/datasets/daece6e3181140f69093ab69cf9ae0ba/explore?layer=0&amp;showTable=true</v>
      </c>
      <c r="AJ1048" s="1" t="str">
        <f>IFERROR(__xludf.DUMMYFUNCTION("""COMPUTED_VALUE"""),"")</f>
        <v/>
      </c>
      <c r="AK1048" s="1" t="str">
        <f>IFERROR(__xludf.DUMMYFUNCTION("""COMPUTED_VALUE"""),"")</f>
        <v/>
      </c>
      <c r="AL1048" s="1" t="str">
        <f>IFERROR(__xludf.DUMMYFUNCTION("""COMPUTED_VALUE"""),"")</f>
        <v/>
      </c>
      <c r="AM1048" s="1" t="str">
        <f>IFERROR(__xludf.DUMMYFUNCTION("""COMPUTED_VALUE"""),"")</f>
        <v/>
      </c>
      <c r="AN1048" s="1" t="str">
        <f>IFERROR(__xludf.DUMMYFUNCTION("""COMPUTED_VALUE"""),"")</f>
        <v/>
      </c>
      <c r="AO1048" s="1" t="str">
        <f>IFERROR(__xludf.DUMMYFUNCTION("""COMPUTED_VALUE"""),"")</f>
        <v/>
      </c>
      <c r="AP1048" s="1" t="str">
        <f>IFERROR(__xludf.DUMMYFUNCTION("""COMPUTED_VALUE"""),"")</f>
        <v/>
      </c>
      <c r="AQ1048" s="1" t="str">
        <f>IFERROR(__xludf.DUMMYFUNCTION("""COMPUTED_VALUE"""),"08/05/2025")</f>
        <v>08/05/2025</v>
      </c>
      <c r="AR1048" s="1" t="str">
        <f>IFERROR(__xludf.DUMMYFUNCTION("""COMPUTED_VALUE"""),"08/05/2025")</f>
        <v>08/05/2025</v>
      </c>
    </row>
    <row r="1049">
      <c r="A1049" s="1" t="str">
        <f>IFERROR(__xludf.DUMMYFUNCTION("""COMPUTED_VALUE"""),"MICROSOFT SAN ANTONIO DATA CENTER")</f>
        <v>MICROSOFT SAN ANTONIO DATA CENTER</v>
      </c>
      <c r="B1049" s="1" t="str">
        <f>IFERROR(__xludf.DUMMYFUNCTION("""COMPUTED_VALUE"""),"")</f>
        <v/>
      </c>
      <c r="C1049" s="1" t="str">
        <f>IFERROR(__xludf.DUMMYFUNCTION("""COMPUTED_VALUE"""),"San Antonio")</f>
        <v>San Antonio</v>
      </c>
      <c r="D1049" s="1" t="str">
        <f>IFERROR(__xludf.DUMMYFUNCTION("""COMPUTED_VALUE"""),"TX")</f>
        <v>TX</v>
      </c>
      <c r="E1049" s="1" t="str">
        <f>IFERROR(__xludf.DUMMYFUNCTION("""COMPUTED_VALUE"""),"78251")</f>
        <v>78251</v>
      </c>
      <c r="F1049" s="1" t="str">
        <f>IFERROR(__xludf.DUMMYFUNCTION("""COMPUTED_VALUE"""),"Bexar")</f>
        <v>Bexar</v>
      </c>
      <c r="G1049" s="1" t="str">
        <f>IFERROR(__xludf.DUMMYFUNCTION("""COMPUTED_VALUE"""),"29.47843")</f>
        <v>29.47843</v>
      </c>
      <c r="H1049" s="1" t="str">
        <f>IFERROR(__xludf.DUMMYFUNCTION("""COMPUTED_VALUE"""),"-98.693")</f>
        <v>-98.693</v>
      </c>
      <c r="I1049" s="1" t="str">
        <f>IFERROR(__xludf.DUMMYFUNCTION("""COMPUTED_VALUE"""),"Operating")</f>
        <v>Operating</v>
      </c>
      <c r="J1049" s="1" t="str">
        <f>IFERROR(__xludf.DUMMYFUNCTION("""COMPUTED_VALUE"""),"High")</f>
        <v>High</v>
      </c>
      <c r="K1049" s="1" t="str">
        <f>IFERROR(__xludf.DUMMYFUNCTION("""COMPUTED_VALUE"""),"")</f>
        <v/>
      </c>
      <c r="L1049" s="1" t="str">
        <f>IFERROR(__xludf.DUMMYFUNCTION("""COMPUTED_VALUE"""),"Microsoft")</f>
        <v>Microsoft</v>
      </c>
      <c r="M1049" s="1" t="str">
        <f>IFERROR(__xludf.DUMMYFUNCTION("""COMPUTED_VALUE"""),"")</f>
        <v/>
      </c>
      <c r="N1049" s="1" t="str">
        <f>IFERROR(__xludf.DUMMYFUNCTION("""COMPUTED_VALUE"""),"")</f>
        <v/>
      </c>
      <c r="O1049" s="1" t="str">
        <f>IFERROR(__xludf.DUMMYFUNCTION("""COMPUTED_VALUE"""),"Unknown")</f>
        <v>Unknown</v>
      </c>
      <c r="P1049" s="1" t="str">
        <f>IFERROR(__xludf.DUMMYFUNCTION("""COMPUTED_VALUE"""),"")</f>
        <v/>
      </c>
      <c r="Q1049" s="1" t="str">
        <f>IFERROR(__xludf.DUMMYFUNCTION("""COMPUTED_VALUE"""),"")</f>
        <v/>
      </c>
      <c r="R1049" s="1" t="str">
        <f>IFERROR(__xludf.DUMMYFUNCTION("""COMPUTED_VALUE"""),"")</f>
        <v/>
      </c>
      <c r="S1049" s="1" t="str">
        <f>IFERROR(__xludf.DUMMYFUNCTION("""COMPUTED_VALUE"""),"")</f>
        <v/>
      </c>
      <c r="T1049" s="1" t="str">
        <f>IFERROR(__xludf.DUMMYFUNCTION("""COMPUTED_VALUE"""),"")</f>
        <v/>
      </c>
      <c r="U1049" s="1" t="str">
        <f>IFERROR(__xludf.DUMMYFUNCTION("""COMPUTED_VALUE"""),"")</f>
        <v/>
      </c>
      <c r="V1049" s="1" t="str">
        <f>IFERROR(__xludf.DUMMYFUNCTION("""COMPUTED_VALUE"""),"")</f>
        <v/>
      </c>
      <c r="W1049" s="1" t="str">
        <f>IFERROR(__xludf.DUMMYFUNCTION("""COMPUTED_VALUE"""),"")</f>
        <v/>
      </c>
      <c r="X1049" s="1" t="str">
        <f>IFERROR(__xludf.DUMMYFUNCTION("""COMPUTED_VALUE"""),"")</f>
        <v/>
      </c>
      <c r="Y1049" s="1" t="str">
        <f>IFERROR(__xludf.DUMMYFUNCTION("""COMPUTED_VALUE"""),"")</f>
        <v/>
      </c>
      <c r="Z1049" s="1" t="str">
        <f>IFERROR(__xludf.DUMMYFUNCTION("""COMPUTED_VALUE"""),"Unknown")</f>
        <v>Unknown</v>
      </c>
      <c r="AA1049" s="1" t="str">
        <f>IFERROR(__xludf.DUMMYFUNCTION("""COMPUTED_VALUE"""),"")</f>
        <v/>
      </c>
      <c r="AB1049" s="1" t="str">
        <f>IFERROR(__xludf.DUMMYFUNCTION("""COMPUTED_VALUE"""),"")</f>
        <v/>
      </c>
      <c r="AC1049" s="1" t="str">
        <f>IFERROR(__xludf.DUMMYFUNCTION("""COMPUTED_VALUE"""),"")</f>
        <v/>
      </c>
      <c r="AD1049" s="1" t="str">
        <f>IFERROR(__xludf.DUMMYFUNCTION("""COMPUTED_VALUE"""),"")</f>
        <v/>
      </c>
      <c r="AE1049" s="1" t="str">
        <f>IFERROR(__xludf.DUMMYFUNCTION("""COMPUTED_VALUE"""),"")</f>
        <v/>
      </c>
      <c r="AF1049" s="1" t="str">
        <f>IFERROR(__xludf.DUMMYFUNCTION("""COMPUTED_VALUE"""),"")</f>
        <v/>
      </c>
      <c r="AG1049" s="1" t="str">
        <f>IFERROR(__xludf.DUMMYFUNCTION("""COMPUTED_VALUE"""),"EMERG POWER GENERATOR")</f>
        <v>EMERG POWER GENERATOR</v>
      </c>
      <c r="AH1049" s="1" t="str">
        <f>IFERROR(__xludf.DUMMYFUNCTION("""COMPUTED_VALUE"""),"Media Monitoring")</f>
        <v>Media Monitoring</v>
      </c>
      <c r="AI1049" s="2" t="str">
        <f>IFERROR(__xludf.DUMMYFUNCTION("""COMPUTED_VALUE"""),"https://gis-tceq.opendata.arcgis.com/datasets/daece6e3181140f69093ab69cf9ae0ba/explore?layer=0&amp;showTable=true")</f>
        <v>https://gis-tceq.opendata.arcgis.com/datasets/daece6e3181140f69093ab69cf9ae0ba/explore?layer=0&amp;showTable=true</v>
      </c>
      <c r="AJ1049" s="1" t="str">
        <f>IFERROR(__xludf.DUMMYFUNCTION("""COMPUTED_VALUE"""),"")</f>
        <v/>
      </c>
      <c r="AK1049" s="1" t="str">
        <f>IFERROR(__xludf.DUMMYFUNCTION("""COMPUTED_VALUE"""),"")</f>
        <v/>
      </c>
      <c r="AL1049" s="1" t="str">
        <f>IFERROR(__xludf.DUMMYFUNCTION("""COMPUTED_VALUE"""),"")</f>
        <v/>
      </c>
      <c r="AM1049" s="1" t="str">
        <f>IFERROR(__xludf.DUMMYFUNCTION("""COMPUTED_VALUE"""),"")</f>
        <v/>
      </c>
      <c r="AN1049" s="1" t="str">
        <f>IFERROR(__xludf.DUMMYFUNCTION("""COMPUTED_VALUE"""),"")</f>
        <v/>
      </c>
      <c r="AO1049" s="1" t="str">
        <f>IFERROR(__xludf.DUMMYFUNCTION("""COMPUTED_VALUE"""),"")</f>
        <v/>
      </c>
      <c r="AP1049" s="1" t="str">
        <f>IFERROR(__xludf.DUMMYFUNCTION("""COMPUTED_VALUE"""),"")</f>
        <v/>
      </c>
      <c r="AQ1049" s="1" t="str">
        <f>IFERROR(__xludf.DUMMYFUNCTION("""COMPUTED_VALUE"""),"08/05/2025")</f>
        <v>08/05/2025</v>
      </c>
      <c r="AR1049" s="1" t="str">
        <f>IFERROR(__xludf.DUMMYFUNCTION("""COMPUTED_VALUE"""),"08/05/2025")</f>
        <v>08/05/2025</v>
      </c>
    </row>
    <row r="1050">
      <c r="A1050" s="1" t="str">
        <f>IFERROR(__xludf.DUMMYFUNCTION("""COMPUTED_VALUE"""),"NSA Texas Cryptology Center")</f>
        <v>NSA Texas Cryptology Center</v>
      </c>
      <c r="B1050" s="1" t="str">
        <f>IFERROR(__xludf.DUMMYFUNCTION("""COMPUTED_VALUE"""),"Sony Pl")</f>
        <v>Sony Pl</v>
      </c>
      <c r="C1050" s="1" t="str">
        <f>IFERROR(__xludf.DUMMYFUNCTION("""COMPUTED_VALUE"""),"San Antonio")</f>
        <v>San Antonio</v>
      </c>
      <c r="D1050" s="1" t="str">
        <f>IFERROR(__xludf.DUMMYFUNCTION("""COMPUTED_VALUE"""),"TX")</f>
        <v>TX</v>
      </c>
      <c r="E1050" s="1" t="str">
        <f>IFERROR(__xludf.DUMMYFUNCTION("""COMPUTED_VALUE"""),"78251")</f>
        <v>78251</v>
      </c>
      <c r="F1050" s="1" t="str">
        <f>IFERROR(__xludf.DUMMYFUNCTION("""COMPUTED_VALUE"""),"Bexar")</f>
        <v>Bexar</v>
      </c>
      <c r="G1050" s="1" t="str">
        <f>IFERROR(__xludf.DUMMYFUNCTION("""COMPUTED_VALUE"""),"29.44724")</f>
        <v>29.44724</v>
      </c>
      <c r="H1050" s="1" t="str">
        <f>IFERROR(__xludf.DUMMYFUNCTION("""COMPUTED_VALUE"""),"-98.6421")</f>
        <v>-98.6421</v>
      </c>
      <c r="I1050" s="1" t="str">
        <f>IFERROR(__xludf.DUMMYFUNCTION("""COMPUTED_VALUE"""),"Approved/Permitted/Under construction")</f>
        <v>Approved/Permitted/Under construction</v>
      </c>
      <c r="J1050" s="1" t="str">
        <f>IFERROR(__xludf.DUMMYFUNCTION("""COMPUTED_VALUE"""),"High")</f>
        <v>High</v>
      </c>
      <c r="K1050" s="1" t="str">
        <f>IFERROR(__xludf.DUMMYFUNCTION("""COMPUTED_VALUE"""),"")</f>
        <v/>
      </c>
      <c r="L1050" s="1" t="str">
        <f>IFERROR(__xludf.DUMMYFUNCTION("""COMPUTED_VALUE"""),"")</f>
        <v/>
      </c>
      <c r="M1050" s="1" t="str">
        <f>IFERROR(__xludf.DUMMYFUNCTION("""COMPUTED_VALUE"""),"")</f>
        <v/>
      </c>
      <c r="N1050" s="1" t="str">
        <f>IFERROR(__xludf.DUMMYFUNCTION("""COMPUTED_VALUE"""),"")</f>
        <v/>
      </c>
      <c r="O1050" s="1" t="str">
        <f>IFERROR(__xludf.DUMMYFUNCTION("""COMPUTED_VALUE"""),"Unknown")</f>
        <v>Unknown</v>
      </c>
      <c r="P1050" s="1" t="str">
        <f>IFERROR(__xludf.DUMMYFUNCTION("""COMPUTED_VALUE"""),"")</f>
        <v/>
      </c>
      <c r="Q1050" s="1" t="str">
        <f>IFERROR(__xludf.DUMMYFUNCTION("""COMPUTED_VALUE"""),"")</f>
        <v/>
      </c>
      <c r="R1050" s="1" t="str">
        <f>IFERROR(__xludf.DUMMYFUNCTION("""COMPUTED_VALUE"""),"")</f>
        <v/>
      </c>
      <c r="S1050" s="1" t="str">
        <f>IFERROR(__xludf.DUMMYFUNCTION("""COMPUTED_VALUE"""),"")</f>
        <v/>
      </c>
      <c r="T1050" s="1" t="str">
        <f>IFERROR(__xludf.DUMMYFUNCTION("""COMPUTED_VALUE"""),"")</f>
        <v/>
      </c>
      <c r="U1050" s="1" t="str">
        <f>IFERROR(__xludf.DUMMYFUNCTION("""COMPUTED_VALUE"""),"")</f>
        <v/>
      </c>
      <c r="V1050" s="1" t="str">
        <f>IFERROR(__xludf.DUMMYFUNCTION("""COMPUTED_VALUE"""),"")</f>
        <v/>
      </c>
      <c r="W1050" s="1" t="str">
        <f>IFERROR(__xludf.DUMMYFUNCTION("""COMPUTED_VALUE"""),"")</f>
        <v/>
      </c>
      <c r="X1050" s="1" t="str">
        <f>IFERROR(__xludf.DUMMYFUNCTION("""COMPUTED_VALUE"""),"")</f>
        <v/>
      </c>
      <c r="Y1050" s="1" t="str">
        <f>IFERROR(__xludf.DUMMYFUNCTION("""COMPUTED_VALUE"""),"")</f>
        <v/>
      </c>
      <c r="Z1050" s="1" t="str">
        <f>IFERROR(__xludf.DUMMYFUNCTION("""COMPUTED_VALUE"""),"Unknown")</f>
        <v>Unknown</v>
      </c>
      <c r="AA1050" s="1" t="str">
        <f>IFERROR(__xludf.DUMMYFUNCTION("""COMPUTED_VALUE"""),"")</f>
        <v/>
      </c>
      <c r="AB1050" s="1" t="str">
        <f>IFERROR(__xludf.DUMMYFUNCTION("""COMPUTED_VALUE"""),"")</f>
        <v/>
      </c>
      <c r="AC1050" s="1" t="str">
        <f>IFERROR(__xludf.DUMMYFUNCTION("""COMPUTED_VALUE"""),"")</f>
        <v/>
      </c>
      <c r="AD1050" s="1" t="str">
        <f>IFERROR(__xludf.DUMMYFUNCTION("""COMPUTED_VALUE"""),"")</f>
        <v/>
      </c>
      <c r="AE1050" s="1" t="str">
        <f>IFERROR(__xludf.DUMMYFUNCTION("""COMPUTED_VALUE"""),"")</f>
        <v/>
      </c>
      <c r="AF1050" s="1" t="str">
        <f>IFERROR(__xludf.DUMMYFUNCTION("""COMPUTED_VALUE"""),"")</f>
        <v/>
      </c>
      <c r="AG1050" s="1" t="str">
        <f>IFERROR(__xludf.DUMMYFUNCTION("""COMPUTED_VALUE"""),"")</f>
        <v/>
      </c>
      <c r="AH1050" s="1" t="str">
        <f>IFERROR(__xludf.DUMMYFUNCTION("""COMPUTED_VALUE"""),"Media Monitoring")</f>
        <v>Media Monitoring</v>
      </c>
      <c r="AI1050" s="1" t="str">
        <f>IFERROR(__xludf.DUMMYFUNCTION("""COMPUTED_VALUE"""),"")</f>
        <v/>
      </c>
      <c r="AJ1050" s="1" t="str">
        <f>IFERROR(__xludf.DUMMYFUNCTION("""COMPUTED_VALUE"""),"")</f>
        <v/>
      </c>
      <c r="AK1050" s="1" t="str">
        <f>IFERROR(__xludf.DUMMYFUNCTION("""COMPUTED_VALUE"""),"")</f>
        <v/>
      </c>
      <c r="AL1050" s="1" t="str">
        <f>IFERROR(__xludf.DUMMYFUNCTION("""COMPUTED_VALUE"""),"")</f>
        <v/>
      </c>
      <c r="AM1050" s="1" t="str">
        <f>IFERROR(__xludf.DUMMYFUNCTION("""COMPUTED_VALUE"""),"")</f>
        <v/>
      </c>
      <c r="AN1050" s="1" t="str">
        <f>IFERROR(__xludf.DUMMYFUNCTION("""COMPUTED_VALUE"""),"")</f>
        <v/>
      </c>
      <c r="AO1050" s="1" t="str">
        <f>IFERROR(__xludf.DUMMYFUNCTION("""COMPUTED_VALUE"""),"")</f>
        <v/>
      </c>
      <c r="AP1050" s="1" t="str">
        <f>IFERROR(__xludf.DUMMYFUNCTION("""COMPUTED_VALUE"""),"")</f>
        <v/>
      </c>
      <c r="AQ1050" s="1" t="str">
        <f>IFERROR(__xludf.DUMMYFUNCTION("""COMPUTED_VALUE"""),"08/05/2025")</f>
        <v>08/05/2025</v>
      </c>
      <c r="AR1050" s="1" t="str">
        <f>IFERROR(__xludf.DUMMYFUNCTION("""COMPUTED_VALUE"""),"08/05/2025")</f>
        <v>08/05/2025</v>
      </c>
    </row>
    <row r="1051">
      <c r="A1051" s="1" t="str">
        <f>IFERROR(__xludf.DUMMYFUNCTION("""COMPUTED_VALUE"""),"QTS San Antonio")</f>
        <v>QTS San Antonio</v>
      </c>
      <c r="B1051" s="1" t="str">
        <f>IFERROR(__xludf.DUMMYFUNCTION("""COMPUTED_VALUE"""),"8535 Potranco Rd")</f>
        <v>8535 Potranco Rd</v>
      </c>
      <c r="C1051" s="1" t="str">
        <f>IFERROR(__xludf.DUMMYFUNCTION("""COMPUTED_VALUE"""),"San Antonio")</f>
        <v>San Antonio</v>
      </c>
      <c r="D1051" s="1" t="str">
        <f>IFERROR(__xludf.DUMMYFUNCTION("""COMPUTED_VALUE"""),"TX")</f>
        <v>TX</v>
      </c>
      <c r="E1051" s="1" t="str">
        <f>IFERROR(__xludf.DUMMYFUNCTION("""COMPUTED_VALUE"""),"78251")</f>
        <v>78251</v>
      </c>
      <c r="F1051" s="1" t="str">
        <f>IFERROR(__xludf.DUMMYFUNCTION("""COMPUTED_VALUE"""),"Bexar")</f>
        <v>Bexar</v>
      </c>
      <c r="G1051" s="1" t="str">
        <f>IFERROR(__xludf.DUMMYFUNCTION("""COMPUTED_VALUE"""),"29.44862")</f>
        <v>29.44862</v>
      </c>
      <c r="H1051" s="1" t="str">
        <f>IFERROR(__xludf.DUMMYFUNCTION("""COMPUTED_VALUE"""),"-98.6509")</f>
        <v>-98.6509</v>
      </c>
      <c r="I1051" s="1" t="str">
        <f>IFERROR(__xludf.DUMMYFUNCTION("""COMPUTED_VALUE"""),"Operating")</f>
        <v>Operating</v>
      </c>
      <c r="J1051" s="1" t="str">
        <f>IFERROR(__xludf.DUMMYFUNCTION("""COMPUTED_VALUE"""),"High")</f>
        <v>High</v>
      </c>
      <c r="K1051" s="1" t="str">
        <f>IFERROR(__xludf.DUMMYFUNCTION("""COMPUTED_VALUE"""),"")</f>
        <v/>
      </c>
      <c r="L1051" s="1" t="str">
        <f>IFERROR(__xludf.DUMMYFUNCTION("""COMPUTED_VALUE"""),"")</f>
        <v/>
      </c>
      <c r="M1051" s="1" t="str">
        <f>IFERROR(__xludf.DUMMYFUNCTION("""COMPUTED_VALUE"""),"")</f>
        <v/>
      </c>
      <c r="N1051" s="1" t="str">
        <f>IFERROR(__xludf.DUMMYFUNCTION("""COMPUTED_VALUE"""),"")</f>
        <v/>
      </c>
      <c r="O1051" s="1" t="str">
        <f>IFERROR(__xludf.DUMMYFUNCTION("""COMPUTED_VALUE"""),"Unknown")</f>
        <v>Unknown</v>
      </c>
      <c r="P1051" s="1" t="str">
        <f>IFERROR(__xludf.DUMMYFUNCTION("""COMPUTED_VALUE"""),"")</f>
        <v/>
      </c>
      <c r="Q1051" s="1" t="str">
        <f>IFERROR(__xludf.DUMMYFUNCTION("""COMPUTED_VALUE"""),"")</f>
        <v/>
      </c>
      <c r="R1051" s="1" t="str">
        <f>IFERROR(__xludf.DUMMYFUNCTION("""COMPUTED_VALUE"""),"")</f>
        <v/>
      </c>
      <c r="S1051" s="1" t="str">
        <f>IFERROR(__xludf.DUMMYFUNCTION("""COMPUTED_VALUE"""),"")</f>
        <v/>
      </c>
      <c r="T1051" s="1" t="str">
        <f>IFERROR(__xludf.DUMMYFUNCTION("""COMPUTED_VALUE"""),"")</f>
        <v/>
      </c>
      <c r="U1051" s="1" t="str">
        <f>IFERROR(__xludf.DUMMYFUNCTION("""COMPUTED_VALUE"""),"")</f>
        <v/>
      </c>
      <c r="V1051" s="1" t="str">
        <f>IFERROR(__xludf.DUMMYFUNCTION("""COMPUTED_VALUE"""),"")</f>
        <v/>
      </c>
      <c r="W1051" s="1" t="str">
        <f>IFERROR(__xludf.DUMMYFUNCTION("""COMPUTED_VALUE"""),"")</f>
        <v/>
      </c>
      <c r="X1051" s="1" t="str">
        <f>IFERROR(__xludf.DUMMYFUNCTION("""COMPUTED_VALUE"""),"")</f>
        <v/>
      </c>
      <c r="Y1051" s="1" t="str">
        <f>IFERROR(__xludf.DUMMYFUNCTION("""COMPUTED_VALUE"""),"")</f>
        <v/>
      </c>
      <c r="Z1051" s="1" t="str">
        <f>IFERROR(__xludf.DUMMYFUNCTION("""COMPUTED_VALUE"""),"Unknown")</f>
        <v>Unknown</v>
      </c>
      <c r="AA1051" s="1" t="str">
        <f>IFERROR(__xludf.DUMMYFUNCTION("""COMPUTED_VALUE"""),"")</f>
        <v/>
      </c>
      <c r="AB1051" s="1" t="str">
        <f>IFERROR(__xludf.DUMMYFUNCTION("""COMPUTED_VALUE"""),"")</f>
        <v/>
      </c>
      <c r="AC1051" s="1" t="str">
        <f>IFERROR(__xludf.DUMMYFUNCTION("""COMPUTED_VALUE"""),"")</f>
        <v/>
      </c>
      <c r="AD1051" s="1" t="str">
        <f>IFERROR(__xludf.DUMMYFUNCTION("""COMPUTED_VALUE"""),"")</f>
        <v/>
      </c>
      <c r="AE1051" s="1" t="str">
        <f>IFERROR(__xludf.DUMMYFUNCTION("""COMPUTED_VALUE"""),"")</f>
        <v/>
      </c>
      <c r="AF1051" s="1" t="str">
        <f>IFERROR(__xludf.DUMMYFUNCTION("""COMPUTED_VALUE"""),"")</f>
        <v/>
      </c>
      <c r="AG1051" s="1" t="str">
        <f>IFERROR(__xludf.DUMMYFUNCTION("""COMPUTED_VALUE"""),"")</f>
        <v/>
      </c>
      <c r="AH1051" s="1" t="str">
        <f>IFERROR(__xludf.DUMMYFUNCTION("""COMPUTED_VALUE"""),"Media Monitoring")</f>
        <v>Media Monitoring</v>
      </c>
      <c r="AI1051" s="1" t="str">
        <f>IFERROR(__xludf.DUMMYFUNCTION("""COMPUTED_VALUE"""),"")</f>
        <v/>
      </c>
      <c r="AJ1051" s="1" t="str">
        <f>IFERROR(__xludf.DUMMYFUNCTION("""COMPUTED_VALUE"""),"")</f>
        <v/>
      </c>
      <c r="AK1051" s="1" t="str">
        <f>IFERROR(__xludf.DUMMYFUNCTION("""COMPUTED_VALUE"""),"")</f>
        <v/>
      </c>
      <c r="AL1051" s="1" t="str">
        <f>IFERROR(__xludf.DUMMYFUNCTION("""COMPUTED_VALUE"""),"")</f>
        <v/>
      </c>
      <c r="AM1051" s="1" t="str">
        <f>IFERROR(__xludf.DUMMYFUNCTION("""COMPUTED_VALUE"""),"")</f>
        <v/>
      </c>
      <c r="AN1051" s="1" t="str">
        <f>IFERROR(__xludf.DUMMYFUNCTION("""COMPUTED_VALUE"""),"")</f>
        <v/>
      </c>
      <c r="AO1051" s="1" t="str">
        <f>IFERROR(__xludf.DUMMYFUNCTION("""COMPUTED_VALUE"""),"")</f>
        <v/>
      </c>
      <c r="AP1051" s="1" t="str">
        <f>IFERROR(__xludf.DUMMYFUNCTION("""COMPUTED_VALUE"""),"")</f>
        <v/>
      </c>
      <c r="AQ1051" s="1" t="str">
        <f>IFERROR(__xludf.DUMMYFUNCTION("""COMPUTED_VALUE"""),"08/05/2025")</f>
        <v>08/05/2025</v>
      </c>
      <c r="AR1051" s="1" t="str">
        <f>IFERROR(__xludf.DUMMYFUNCTION("""COMPUTED_VALUE"""),"08/05/2025")</f>
        <v>08/05/2025</v>
      </c>
    </row>
    <row r="1052">
      <c r="A1052" s="1" t="str">
        <f>IFERROR(__xludf.DUMMYFUNCTION("""COMPUTED_VALUE"""),"SAT 80-82 Data Center Campus")</f>
        <v>SAT 80-82 Data Center Campus</v>
      </c>
      <c r="B1052" s="1" t="str">
        <f>IFERROR(__xludf.DUMMYFUNCTION("""COMPUTED_VALUE"""),"8844 FM1957 (Potranco Rd)")</f>
        <v>8844 FM1957 (Potranco Rd)</v>
      </c>
      <c r="C1052" s="1" t="str">
        <f>IFERROR(__xludf.DUMMYFUNCTION("""COMPUTED_VALUE"""),"San Antonio")</f>
        <v>San Antonio</v>
      </c>
      <c r="D1052" s="1" t="str">
        <f>IFERROR(__xludf.DUMMYFUNCTION("""COMPUTED_VALUE"""),"TX")</f>
        <v>TX</v>
      </c>
      <c r="E1052" s="1" t="str">
        <f>IFERROR(__xludf.DUMMYFUNCTION("""COMPUTED_VALUE"""),"78253")</f>
        <v>78253</v>
      </c>
      <c r="F1052" s="1" t="str">
        <f>IFERROR(__xludf.DUMMYFUNCTION("""COMPUTED_VALUE"""),"Medina")</f>
        <v>Medina</v>
      </c>
      <c r="G1052" s="1" t="str">
        <f>IFERROR(__xludf.DUMMYFUNCTION("""COMPUTED_VALUE"""),"29.43363")</f>
        <v>29.43363</v>
      </c>
      <c r="H1052" s="1" t="str">
        <f>IFERROR(__xludf.DUMMYFUNCTION("""COMPUTED_VALUE"""),"-98.8263")</f>
        <v>-98.8263</v>
      </c>
      <c r="I1052" s="1" t="str">
        <f>IFERROR(__xludf.DUMMYFUNCTION("""COMPUTED_VALUE"""),"Proposed")</f>
        <v>Proposed</v>
      </c>
      <c r="J1052" s="1" t="str">
        <f>IFERROR(__xludf.DUMMYFUNCTION("""COMPUTED_VALUE"""),"High")</f>
        <v>High</v>
      </c>
      <c r="K1052" s="1" t="str">
        <f>IFERROR(__xludf.DUMMYFUNCTION("""COMPUTED_VALUE"""),"")</f>
        <v/>
      </c>
      <c r="L1052" s="1" t="str">
        <f>IFERROR(__xludf.DUMMYFUNCTION("""COMPUTED_VALUE"""),"Microsoft")</f>
        <v>Microsoft</v>
      </c>
      <c r="M1052" s="1" t="str">
        <f>IFERROR(__xludf.DUMMYFUNCTION("""COMPUTED_VALUE"""),"")</f>
        <v/>
      </c>
      <c r="N1052" s="1" t="str">
        <f>IFERROR(__xludf.DUMMYFUNCTION("""COMPUTED_VALUE"""),"")</f>
        <v/>
      </c>
      <c r="O1052" s="1" t="str">
        <f>IFERROR(__xludf.DUMMYFUNCTION("""COMPUTED_VALUE"""),"Unknown")</f>
        <v>Unknown</v>
      </c>
      <c r="P1052" s="1" t="str">
        <f>IFERROR(__xludf.DUMMYFUNCTION("""COMPUTED_VALUE"""),"")</f>
        <v/>
      </c>
      <c r="Q1052" s="1" t="str">
        <f>IFERROR(__xludf.DUMMYFUNCTION("""COMPUTED_VALUE"""),"")</f>
        <v/>
      </c>
      <c r="R1052" s="1" t="str">
        <f>IFERROR(__xludf.DUMMYFUNCTION("""COMPUTED_VALUE"""),"")</f>
        <v/>
      </c>
      <c r="S1052" s="1" t="str">
        <f>IFERROR(__xludf.DUMMYFUNCTION("""COMPUTED_VALUE"""),"")</f>
        <v/>
      </c>
      <c r="T1052" s="1" t="str">
        <f>IFERROR(__xludf.DUMMYFUNCTION("""COMPUTED_VALUE"""),"")</f>
        <v/>
      </c>
      <c r="U1052" s="1" t="str">
        <f>IFERROR(__xludf.DUMMYFUNCTION("""COMPUTED_VALUE"""),"")</f>
        <v/>
      </c>
      <c r="V1052" s="1" t="str">
        <f>IFERROR(__xludf.DUMMYFUNCTION("""COMPUTED_VALUE"""),"")</f>
        <v/>
      </c>
      <c r="W1052" s="1" t="str">
        <f>IFERROR(__xludf.DUMMYFUNCTION("""COMPUTED_VALUE"""),"206")</f>
        <v>206</v>
      </c>
      <c r="X1052" s="1" t="str">
        <f>IFERROR(__xludf.DUMMYFUNCTION("""COMPUTED_VALUE"""),"")</f>
        <v/>
      </c>
      <c r="Y1052" s="1" t="str">
        <f>IFERROR(__xludf.DUMMYFUNCTION("""COMPUTED_VALUE"""),"")</f>
        <v/>
      </c>
      <c r="Z1052" s="1" t="str">
        <f>IFERROR(__xludf.DUMMYFUNCTION("""COMPUTED_VALUE"""),"Unknown")</f>
        <v>Unknown</v>
      </c>
      <c r="AA1052" s="1" t="str">
        <f>IFERROR(__xludf.DUMMYFUNCTION("""COMPUTED_VALUE"""),"")</f>
        <v/>
      </c>
      <c r="AB1052" s="1" t="str">
        <f>IFERROR(__xludf.DUMMYFUNCTION("""COMPUTED_VALUE"""),"")</f>
        <v/>
      </c>
      <c r="AC1052" s="1" t="str">
        <f>IFERROR(__xludf.DUMMYFUNCTION("""COMPUTED_VALUE"""),"")</f>
        <v/>
      </c>
      <c r="AD1052" s="1" t="str">
        <f>IFERROR(__xludf.DUMMYFUNCTION("""COMPUTED_VALUE"""),"")</f>
        <v/>
      </c>
      <c r="AE1052" s="1" t="str">
        <f>IFERROR(__xludf.DUMMYFUNCTION("""COMPUTED_VALUE"""),"")</f>
        <v/>
      </c>
      <c r="AF1052" s="1" t="str">
        <f>IFERROR(__xludf.DUMMYFUNCTION("""COMPUTED_VALUE"""),"")</f>
        <v/>
      </c>
      <c r="AG1052" s="1" t="str">
        <f>IFERROR(__xludf.DUMMYFUNCTION("""COMPUTED_VALUE"""),"")</f>
        <v/>
      </c>
      <c r="AH1052" s="1" t="str">
        <f>IFERROR(__xludf.DUMMYFUNCTION("""COMPUTED_VALUE"""),"Media Monitoring")</f>
        <v>Media Monitoring</v>
      </c>
      <c r="AI1052" s="2" t="str">
        <f>IFERROR(__xludf.DUMMYFUNCTION("""COMPUTED_VALUE"""),"https://www.datacenterdynamics.com/en/news/microsoft-files-for-data-center-campus-outside-san-antonio/")</f>
        <v>https://www.datacenterdynamics.com/en/news/microsoft-files-for-data-center-campus-outside-san-antonio/</v>
      </c>
      <c r="AJ1052" s="1" t="str">
        <f>IFERROR(__xludf.DUMMYFUNCTION("""COMPUTED_VALUE"""),"")</f>
        <v/>
      </c>
      <c r="AK1052" s="1" t="str">
        <f>IFERROR(__xludf.DUMMYFUNCTION("""COMPUTED_VALUE"""),"")</f>
        <v/>
      </c>
      <c r="AL1052" s="1" t="str">
        <f>IFERROR(__xludf.DUMMYFUNCTION("""COMPUTED_VALUE"""),"")</f>
        <v/>
      </c>
      <c r="AM1052" s="1" t="str">
        <f>IFERROR(__xludf.DUMMYFUNCTION("""COMPUTED_VALUE"""),"")</f>
        <v/>
      </c>
      <c r="AN1052" s="1" t="str">
        <f>IFERROR(__xludf.DUMMYFUNCTION("""COMPUTED_VALUE"""),"")</f>
        <v/>
      </c>
      <c r="AO1052" s="1" t="str">
        <f>IFERROR(__xludf.DUMMYFUNCTION("""COMPUTED_VALUE"""),"")</f>
        <v/>
      </c>
      <c r="AP1052" s="1" t="str">
        <f>IFERROR(__xludf.DUMMYFUNCTION("""COMPUTED_VALUE"""),"")</f>
        <v/>
      </c>
      <c r="AQ1052" s="1" t="str">
        <f>IFERROR(__xludf.DUMMYFUNCTION("""COMPUTED_VALUE"""),"08/05/2025")</f>
        <v>08/05/2025</v>
      </c>
      <c r="AR1052" s="1" t="str">
        <f>IFERROR(__xludf.DUMMYFUNCTION("""COMPUTED_VALUE"""),"08/05/2025")</f>
        <v>08/05/2025</v>
      </c>
    </row>
    <row r="1053">
      <c r="A1053" s="1" t="str">
        <f>IFERROR(__xludf.DUMMYFUNCTION("""COMPUTED_VALUE"""),"Stream Data Center")</f>
        <v>Stream Data Center</v>
      </c>
      <c r="B1053" s="1" t="str">
        <f>IFERROR(__xludf.DUMMYFUNCTION("""COMPUTED_VALUE"""),"9550 Westover Hills Blvd, San Antonio, TX")</f>
        <v>9550 Westover Hills Blvd, San Antonio, TX</v>
      </c>
      <c r="C1053" s="1" t="str">
        <f>IFERROR(__xludf.DUMMYFUNCTION("""COMPUTED_VALUE"""),"San Antonio")</f>
        <v>San Antonio</v>
      </c>
      <c r="D1053" s="1" t="str">
        <f>IFERROR(__xludf.DUMMYFUNCTION("""COMPUTED_VALUE"""),"TX")</f>
        <v>TX</v>
      </c>
      <c r="E1053" s="1" t="str">
        <f>IFERROR(__xludf.DUMMYFUNCTION("""COMPUTED_VALUE"""),"78251")</f>
        <v>78251</v>
      </c>
      <c r="F1053" s="1" t="str">
        <f>IFERROR(__xludf.DUMMYFUNCTION("""COMPUTED_VALUE"""),"Bexar")</f>
        <v>Bexar</v>
      </c>
      <c r="G1053" s="1" t="str">
        <f>IFERROR(__xludf.DUMMYFUNCTION("""COMPUTED_VALUE"""),"29.47177")</f>
        <v>29.47177</v>
      </c>
      <c r="H1053" s="1" t="str">
        <f>IFERROR(__xludf.DUMMYFUNCTION("""COMPUTED_VALUE"""),"-98.6716")</f>
        <v>-98.6716</v>
      </c>
      <c r="I1053" s="1" t="str">
        <f>IFERROR(__xludf.DUMMYFUNCTION("""COMPUTED_VALUE"""),"Operating")</f>
        <v>Operating</v>
      </c>
      <c r="J1053" s="1" t="str">
        <f>IFERROR(__xludf.DUMMYFUNCTION("""COMPUTED_VALUE"""),"High")</f>
        <v>High</v>
      </c>
      <c r="K1053" s="1" t="str">
        <f>IFERROR(__xludf.DUMMYFUNCTION("""COMPUTED_VALUE"""),"")</f>
        <v/>
      </c>
      <c r="L1053" s="1" t="str">
        <f>IFERROR(__xludf.DUMMYFUNCTION("""COMPUTED_VALUE"""),"")</f>
        <v/>
      </c>
      <c r="M1053" s="1" t="str">
        <f>IFERROR(__xludf.DUMMYFUNCTION("""COMPUTED_VALUE"""),"")</f>
        <v/>
      </c>
      <c r="N1053" s="1" t="str">
        <f>IFERROR(__xludf.DUMMYFUNCTION("""COMPUTED_VALUE"""),"")</f>
        <v/>
      </c>
      <c r="O1053" s="1" t="str">
        <f>IFERROR(__xludf.DUMMYFUNCTION("""COMPUTED_VALUE"""),"Unknown")</f>
        <v>Unknown</v>
      </c>
      <c r="P1053" s="1" t="str">
        <f>IFERROR(__xludf.DUMMYFUNCTION("""COMPUTED_VALUE"""),"")</f>
        <v/>
      </c>
      <c r="Q1053" s="1" t="str">
        <f>IFERROR(__xludf.DUMMYFUNCTION("""COMPUTED_VALUE"""),"")</f>
        <v/>
      </c>
      <c r="R1053" s="1" t="str">
        <f>IFERROR(__xludf.DUMMYFUNCTION("""COMPUTED_VALUE"""),"")</f>
        <v/>
      </c>
      <c r="S1053" s="1" t="str">
        <f>IFERROR(__xludf.DUMMYFUNCTION("""COMPUTED_VALUE"""),"")</f>
        <v/>
      </c>
      <c r="T1053" s="1" t="str">
        <f>IFERROR(__xludf.DUMMYFUNCTION("""COMPUTED_VALUE"""),"")</f>
        <v/>
      </c>
      <c r="U1053" s="1" t="str">
        <f>IFERROR(__xludf.DUMMYFUNCTION("""COMPUTED_VALUE"""),"")</f>
        <v/>
      </c>
      <c r="V1053" s="1" t="str">
        <f>IFERROR(__xludf.DUMMYFUNCTION("""COMPUTED_VALUE"""),"")</f>
        <v/>
      </c>
      <c r="W1053" s="1" t="str">
        <f>IFERROR(__xludf.DUMMYFUNCTION("""COMPUTED_VALUE"""),"")</f>
        <v/>
      </c>
      <c r="X1053" s="1" t="str">
        <f>IFERROR(__xludf.DUMMYFUNCTION("""COMPUTED_VALUE"""),"")</f>
        <v/>
      </c>
      <c r="Y1053" s="1" t="str">
        <f>IFERROR(__xludf.DUMMYFUNCTION("""COMPUTED_VALUE"""),"")</f>
        <v/>
      </c>
      <c r="Z1053" s="1" t="str">
        <f>IFERROR(__xludf.DUMMYFUNCTION("""COMPUTED_VALUE"""),"Unknown")</f>
        <v>Unknown</v>
      </c>
      <c r="AA1053" s="1" t="str">
        <f>IFERROR(__xludf.DUMMYFUNCTION("""COMPUTED_VALUE"""),"")</f>
        <v/>
      </c>
      <c r="AB1053" s="1" t="str">
        <f>IFERROR(__xludf.DUMMYFUNCTION("""COMPUTED_VALUE"""),"")</f>
        <v/>
      </c>
      <c r="AC1053" s="1" t="str">
        <f>IFERROR(__xludf.DUMMYFUNCTION("""COMPUTED_VALUE"""),"")</f>
        <v/>
      </c>
      <c r="AD1053" s="1" t="str">
        <f>IFERROR(__xludf.DUMMYFUNCTION("""COMPUTED_VALUE"""),"")</f>
        <v/>
      </c>
      <c r="AE1053" s="1" t="str">
        <f>IFERROR(__xludf.DUMMYFUNCTION("""COMPUTED_VALUE"""),"")</f>
        <v/>
      </c>
      <c r="AF1053" s="1" t="str">
        <f>IFERROR(__xludf.DUMMYFUNCTION("""COMPUTED_VALUE"""),"")</f>
        <v/>
      </c>
      <c r="AG1053" s="1" t="str">
        <f>IFERROR(__xludf.DUMMYFUNCTION("""COMPUTED_VALUE"""),"")</f>
        <v/>
      </c>
      <c r="AH1053" s="1" t="str">
        <f>IFERROR(__xludf.DUMMYFUNCTION("""COMPUTED_VALUE"""),"Media Monitoring")</f>
        <v>Media Monitoring</v>
      </c>
      <c r="AI1053" s="1" t="str">
        <f>IFERROR(__xludf.DUMMYFUNCTION("""COMPUTED_VALUE"""),"")</f>
        <v/>
      </c>
      <c r="AJ1053" s="1" t="str">
        <f>IFERROR(__xludf.DUMMYFUNCTION("""COMPUTED_VALUE"""),"")</f>
        <v/>
      </c>
      <c r="AK1053" s="1" t="str">
        <f>IFERROR(__xludf.DUMMYFUNCTION("""COMPUTED_VALUE"""),"")</f>
        <v/>
      </c>
      <c r="AL1053" s="1" t="str">
        <f>IFERROR(__xludf.DUMMYFUNCTION("""COMPUTED_VALUE"""),"")</f>
        <v/>
      </c>
      <c r="AM1053" s="1" t="str">
        <f>IFERROR(__xludf.DUMMYFUNCTION("""COMPUTED_VALUE"""),"")</f>
        <v/>
      </c>
      <c r="AN1053" s="1" t="str">
        <f>IFERROR(__xludf.DUMMYFUNCTION("""COMPUTED_VALUE"""),"")</f>
        <v/>
      </c>
      <c r="AO1053" s="1" t="str">
        <f>IFERROR(__xludf.DUMMYFUNCTION("""COMPUTED_VALUE"""),"")</f>
        <v/>
      </c>
      <c r="AP1053" s="1" t="str">
        <f>IFERROR(__xludf.DUMMYFUNCTION("""COMPUTED_VALUE"""),"")</f>
        <v/>
      </c>
      <c r="AQ1053" s="1" t="str">
        <f>IFERROR(__xludf.DUMMYFUNCTION("""COMPUTED_VALUE"""),"08/05/2025")</f>
        <v>08/05/2025</v>
      </c>
      <c r="AR1053" s="1" t="str">
        <f>IFERROR(__xludf.DUMMYFUNCTION("""COMPUTED_VALUE"""),"08/05/2025")</f>
        <v>08/05/2025</v>
      </c>
    </row>
    <row r="1054">
      <c r="A1054" s="1" t="str">
        <f>IFERROR(__xludf.DUMMYFUNCTION("""COMPUTED_VALUE"""),"TX11: Vantage Data Center")</f>
        <v>TX11: Vantage Data Center</v>
      </c>
      <c r="B1054" s="1" t="str">
        <f>IFERROR(__xludf.DUMMYFUNCTION("""COMPUTED_VALUE"""),"14720 Omicron Drive")</f>
        <v>14720 Omicron Drive</v>
      </c>
      <c r="C1054" s="1" t="str">
        <f>IFERROR(__xludf.DUMMYFUNCTION("""COMPUTED_VALUE"""),"San Antonio")</f>
        <v>San Antonio</v>
      </c>
      <c r="D1054" s="1" t="str">
        <f>IFERROR(__xludf.DUMMYFUNCTION("""COMPUTED_VALUE"""),"TX")</f>
        <v>TX</v>
      </c>
      <c r="E1054" s="1" t="str">
        <f>IFERROR(__xludf.DUMMYFUNCTION("""COMPUTED_VALUE"""),"78245")</f>
        <v>78245</v>
      </c>
      <c r="F1054" s="1" t="str">
        <f>IFERROR(__xludf.DUMMYFUNCTION("""COMPUTED_VALUE"""),"Bexar")</f>
        <v>Bexar</v>
      </c>
      <c r="G1054" s="1" t="str">
        <f>IFERROR(__xludf.DUMMYFUNCTION("""COMPUTED_VALUE"""),"29.4181")</f>
        <v>29.4181</v>
      </c>
      <c r="H1054" s="1" t="str">
        <f>IFERROR(__xludf.DUMMYFUNCTION("""COMPUTED_VALUE"""),"-98.7897")</f>
        <v>-98.7897</v>
      </c>
      <c r="I1054" s="1" t="str">
        <f>IFERROR(__xludf.DUMMYFUNCTION("""COMPUTED_VALUE"""),"Proposed")</f>
        <v>Proposed</v>
      </c>
      <c r="J1054" s="1" t="str">
        <f>IFERROR(__xludf.DUMMYFUNCTION("""COMPUTED_VALUE"""),"High")</f>
        <v>High</v>
      </c>
      <c r="K1054" s="1" t="str">
        <f>IFERROR(__xludf.DUMMYFUNCTION("""COMPUTED_VALUE"""),"")</f>
        <v/>
      </c>
      <c r="L1054" s="1" t="str">
        <f>IFERROR(__xludf.DUMMYFUNCTION("""COMPUTED_VALUE"""),"")</f>
        <v/>
      </c>
      <c r="M1054" s="1" t="str">
        <f>IFERROR(__xludf.DUMMYFUNCTION("""COMPUTED_VALUE"""),"")</f>
        <v/>
      </c>
      <c r="N1054" s="1" t="str">
        <f>IFERROR(__xludf.DUMMYFUNCTION("""COMPUTED_VALUE"""),"32")</f>
        <v>32</v>
      </c>
      <c r="O1054" s="1" t="str">
        <f>IFERROR(__xludf.DUMMYFUNCTION("""COMPUTED_VALUE"""),"Medium (11-50 MW)")</f>
        <v>Medium (11-50 MW)</v>
      </c>
      <c r="P1054" s="1" t="str">
        <f>IFERROR(__xludf.DUMMYFUNCTION("""COMPUTED_VALUE"""),"")</f>
        <v/>
      </c>
      <c r="Q1054" s="1" t="str">
        <f>IFERROR(__xludf.DUMMYFUNCTION("""COMPUTED_VALUE"""),"")</f>
        <v/>
      </c>
      <c r="R1054" s="1" t="str">
        <f>IFERROR(__xludf.DUMMYFUNCTION("""COMPUTED_VALUE"""),"")</f>
        <v/>
      </c>
      <c r="S1054" s="1" t="str">
        <f>IFERROR(__xludf.DUMMYFUNCTION("""COMPUTED_VALUE"""),"")</f>
        <v/>
      </c>
      <c r="T1054" s="1" t="str">
        <f>IFERROR(__xludf.DUMMYFUNCTION("""COMPUTED_VALUE"""),"")</f>
        <v/>
      </c>
      <c r="U1054" s="1" t="str">
        <f>IFERROR(__xludf.DUMMYFUNCTION("""COMPUTED_VALUE"""),"")</f>
        <v/>
      </c>
      <c r="V1054" s="1" t="str">
        <f>IFERROR(__xludf.DUMMYFUNCTION("""COMPUTED_VALUE"""),"242,667")</f>
        <v>242,667</v>
      </c>
      <c r="W1054" s="1" t="str">
        <f>IFERROR(__xludf.DUMMYFUNCTION("""COMPUTED_VALUE"""),"58")</f>
        <v>58</v>
      </c>
      <c r="X1054" s="1" t="str">
        <f>IFERROR(__xludf.DUMMYFUNCTION("""COMPUTED_VALUE"""),"$96 million")</f>
        <v>$96 million</v>
      </c>
      <c r="Y1054" s="1" t="str">
        <f>IFERROR(__xludf.DUMMYFUNCTION("""COMPUTED_VALUE"""),"2026")</f>
        <v>2026</v>
      </c>
      <c r="Z1054" s="1" t="str">
        <f>IFERROR(__xludf.DUMMYFUNCTION("""COMPUTED_VALUE"""),"Unknown")</f>
        <v>Unknown</v>
      </c>
      <c r="AA1054" s="1" t="str">
        <f>IFERROR(__xludf.DUMMYFUNCTION("""COMPUTED_VALUE"""),"")</f>
        <v/>
      </c>
      <c r="AB1054" s="1" t="str">
        <f>IFERROR(__xludf.DUMMYFUNCTION("""COMPUTED_VALUE"""),"")</f>
        <v/>
      </c>
      <c r="AC1054" s="1" t="str">
        <f>IFERROR(__xludf.DUMMYFUNCTION("""COMPUTED_VALUE"""),"")</f>
        <v/>
      </c>
      <c r="AD1054" s="1" t="str">
        <f>IFERROR(__xludf.DUMMYFUNCTION("""COMPUTED_VALUE"""),"")</f>
        <v/>
      </c>
      <c r="AE1054" s="1" t="str">
        <f>IFERROR(__xludf.DUMMYFUNCTION("""COMPUTED_VALUE"""),"")</f>
        <v/>
      </c>
      <c r="AF1054" s="1" t="str">
        <f>IFERROR(__xludf.DUMMYFUNCTION("""COMPUTED_VALUE"""),"")</f>
        <v/>
      </c>
      <c r="AG1054" s="1" t="str">
        <f>IFERROR(__xludf.DUMMYFUNCTION("""COMPUTED_VALUE"""),"")</f>
        <v/>
      </c>
      <c r="AH1054" s="1" t="str">
        <f>IFERROR(__xludf.DUMMYFUNCTION("""COMPUTED_VALUE"""),"Media Monitoring")</f>
        <v>Media Monitoring</v>
      </c>
      <c r="AI1054" s="2" t="str">
        <f>IFERROR(__xludf.DUMMYFUNCTION("""COMPUTED_VALUE"""),"https://www.datacenterdynamics.com/en/news/vantage-files-plans-for-san-antonio-data-center/")</f>
        <v>https://www.datacenterdynamics.com/en/news/vantage-files-plans-for-san-antonio-data-center/</v>
      </c>
      <c r="AJ1054" s="2" t="str">
        <f>IFERROR(__xludf.DUMMYFUNCTION("""COMPUTED_VALUE"""),"https://www.datacenterdynamics.com/en/news/vantage-buys-two-land-plots-in-san-antonio-texas/")</f>
        <v>https://www.datacenterdynamics.com/en/news/vantage-buys-two-land-plots-in-san-antonio-texas/</v>
      </c>
      <c r="AK1054" s="1" t="str">
        <f>IFERROR(__xludf.DUMMYFUNCTION("""COMPUTED_VALUE"""),"")</f>
        <v/>
      </c>
      <c r="AL1054" s="1" t="str">
        <f>IFERROR(__xludf.DUMMYFUNCTION("""COMPUTED_VALUE"""),"")</f>
        <v/>
      </c>
      <c r="AM1054" s="1" t="str">
        <f>IFERROR(__xludf.DUMMYFUNCTION("""COMPUTED_VALUE"""),"")</f>
        <v/>
      </c>
      <c r="AN1054" s="1" t="str">
        <f>IFERROR(__xludf.DUMMYFUNCTION("""COMPUTED_VALUE"""),"")</f>
        <v/>
      </c>
      <c r="AO1054" s="1" t="str">
        <f>IFERROR(__xludf.DUMMYFUNCTION("""COMPUTED_VALUE"""),"")</f>
        <v/>
      </c>
      <c r="AP1054" s="1" t="str">
        <f>IFERROR(__xludf.DUMMYFUNCTION("""COMPUTED_VALUE"""),"")</f>
        <v/>
      </c>
      <c r="AQ1054" s="1" t="str">
        <f>IFERROR(__xludf.DUMMYFUNCTION("""COMPUTED_VALUE"""),"07/28/2025")</f>
        <v>07/28/2025</v>
      </c>
      <c r="AR1054" s="1" t="str">
        <f>IFERROR(__xludf.DUMMYFUNCTION("""COMPUTED_VALUE"""),"07/28/2025")</f>
        <v>07/28/2025</v>
      </c>
    </row>
    <row r="1055">
      <c r="A1055" s="1" t="str">
        <f>IFERROR(__xludf.DUMMYFUNCTION("""COMPUTED_VALUE"""),"TX12: Vantage Data Center")</f>
        <v>TX12: Vantage Data Center</v>
      </c>
      <c r="B1055" s="1" t="str">
        <f>IFERROR(__xludf.DUMMYFUNCTION("""COMPUTED_VALUE"""),"17420 Omicron Drive")</f>
        <v>17420 Omicron Drive</v>
      </c>
      <c r="C1055" s="1" t="str">
        <f>IFERROR(__xludf.DUMMYFUNCTION("""COMPUTED_VALUE"""),"San Antonio")</f>
        <v>San Antonio</v>
      </c>
      <c r="D1055" s="1" t="str">
        <f>IFERROR(__xludf.DUMMYFUNCTION("""COMPUTED_VALUE"""),"TX")</f>
        <v>TX</v>
      </c>
      <c r="E1055" s="1" t="str">
        <f>IFERROR(__xludf.DUMMYFUNCTION("""COMPUTED_VALUE"""),"78245")</f>
        <v>78245</v>
      </c>
      <c r="F1055" s="1" t="str">
        <f>IFERROR(__xludf.DUMMYFUNCTION("""COMPUTED_VALUE"""),"Medina")</f>
        <v>Medina</v>
      </c>
      <c r="G1055" s="1" t="str">
        <f>IFERROR(__xludf.DUMMYFUNCTION("""COMPUTED_VALUE"""),"29.42026")</f>
        <v>29.42026</v>
      </c>
      <c r="H1055" s="1" t="str">
        <f>IFERROR(__xludf.DUMMYFUNCTION("""COMPUTED_VALUE"""),"-98.8087")</f>
        <v>-98.8087</v>
      </c>
      <c r="I1055" s="1" t="str">
        <f>IFERROR(__xludf.DUMMYFUNCTION("""COMPUTED_VALUE"""),"Proposed")</f>
        <v>Proposed</v>
      </c>
      <c r="J1055" s="1" t="str">
        <f>IFERROR(__xludf.DUMMYFUNCTION("""COMPUTED_VALUE"""),"High")</f>
        <v>High</v>
      </c>
      <c r="K1055" s="1" t="str">
        <f>IFERROR(__xludf.DUMMYFUNCTION("""COMPUTED_VALUE"""),"")</f>
        <v/>
      </c>
      <c r="L1055" s="1" t="str">
        <f>IFERROR(__xludf.DUMMYFUNCTION("""COMPUTED_VALUE"""),"")</f>
        <v/>
      </c>
      <c r="M1055" s="1" t="str">
        <f>IFERROR(__xludf.DUMMYFUNCTION("""COMPUTED_VALUE"""),"")</f>
        <v/>
      </c>
      <c r="N1055" s="1" t="str">
        <f>IFERROR(__xludf.DUMMYFUNCTION("""COMPUTED_VALUE"""),"96")</f>
        <v>96</v>
      </c>
      <c r="O1055" s="1" t="str">
        <f>IFERROR(__xludf.DUMMYFUNCTION("""COMPUTED_VALUE"""),"Large (51-99 MW)")</f>
        <v>Large (51-99 MW)</v>
      </c>
      <c r="P1055" s="1" t="str">
        <f>IFERROR(__xludf.DUMMYFUNCTION("""COMPUTED_VALUE"""),"")</f>
        <v/>
      </c>
      <c r="Q1055" s="1" t="str">
        <f>IFERROR(__xludf.DUMMYFUNCTION("""COMPUTED_VALUE"""),"")</f>
        <v/>
      </c>
      <c r="R1055" s="1" t="str">
        <f>IFERROR(__xludf.DUMMYFUNCTION("""COMPUTED_VALUE"""),"")</f>
        <v/>
      </c>
      <c r="S1055" s="1" t="str">
        <f>IFERROR(__xludf.DUMMYFUNCTION("""COMPUTED_VALUE"""),"")</f>
        <v/>
      </c>
      <c r="T1055" s="1" t="str">
        <f>IFERROR(__xludf.DUMMYFUNCTION("""COMPUTED_VALUE"""),"")</f>
        <v/>
      </c>
      <c r="U1055" s="1" t="str">
        <f>IFERROR(__xludf.DUMMYFUNCTION("""COMPUTED_VALUE"""),"")</f>
        <v/>
      </c>
      <c r="V1055" s="1" t="str">
        <f>IFERROR(__xludf.DUMMYFUNCTION("""COMPUTED_VALUE"""),"432,800")</f>
        <v>432,800</v>
      </c>
      <c r="W1055" s="1" t="str">
        <f>IFERROR(__xludf.DUMMYFUNCTION("""COMPUTED_VALUE"""),"")</f>
        <v/>
      </c>
      <c r="X1055" s="1" t="str">
        <f>IFERROR(__xludf.DUMMYFUNCTION("""COMPUTED_VALUE"""),"")</f>
        <v/>
      </c>
      <c r="Y1055" s="1" t="str">
        <f>IFERROR(__xludf.DUMMYFUNCTION("""COMPUTED_VALUE"""),"2027")</f>
        <v>2027</v>
      </c>
      <c r="Z1055" s="1" t="str">
        <f>IFERROR(__xludf.DUMMYFUNCTION("""COMPUTED_VALUE"""),"Unknown")</f>
        <v>Unknown</v>
      </c>
      <c r="AA1055" s="1" t="str">
        <f>IFERROR(__xludf.DUMMYFUNCTION("""COMPUTED_VALUE"""),"")</f>
        <v/>
      </c>
      <c r="AB1055" s="1" t="str">
        <f>IFERROR(__xludf.DUMMYFUNCTION("""COMPUTED_VALUE"""),"")</f>
        <v/>
      </c>
      <c r="AC1055" s="1" t="str">
        <f>IFERROR(__xludf.DUMMYFUNCTION("""COMPUTED_VALUE"""),"")</f>
        <v/>
      </c>
      <c r="AD1055" s="1" t="str">
        <f>IFERROR(__xludf.DUMMYFUNCTION("""COMPUTED_VALUE"""),"")</f>
        <v/>
      </c>
      <c r="AE1055" s="1" t="str">
        <f>IFERROR(__xludf.DUMMYFUNCTION("""COMPUTED_VALUE"""),"")</f>
        <v/>
      </c>
      <c r="AF1055" s="1" t="str">
        <f>IFERROR(__xludf.DUMMYFUNCTION("""COMPUTED_VALUE"""),"")</f>
        <v/>
      </c>
      <c r="AG1055" s="1" t="str">
        <f>IFERROR(__xludf.DUMMYFUNCTION("""COMPUTED_VALUE"""),"")</f>
        <v/>
      </c>
      <c r="AH1055" s="1" t="str">
        <f>IFERROR(__xludf.DUMMYFUNCTION("""COMPUTED_VALUE"""),"Media Monitoring")</f>
        <v>Media Monitoring</v>
      </c>
      <c r="AI1055" s="2" t="str">
        <f>IFERROR(__xludf.DUMMYFUNCTION("""COMPUTED_VALUE"""),"https://www.datacenterdynamics.com/en/news/vantage-files-to-build-second-san-antonio-data-center-in-texas/")</f>
        <v>https://www.datacenterdynamics.com/en/news/vantage-files-to-build-second-san-antonio-data-center-in-texas/</v>
      </c>
      <c r="AJ1055" s="1" t="str">
        <f>IFERROR(__xludf.DUMMYFUNCTION("""COMPUTED_VALUE"""),"")</f>
        <v/>
      </c>
      <c r="AK1055" s="1" t="str">
        <f>IFERROR(__xludf.DUMMYFUNCTION("""COMPUTED_VALUE"""),"")</f>
        <v/>
      </c>
      <c r="AL1055" s="1" t="str">
        <f>IFERROR(__xludf.DUMMYFUNCTION("""COMPUTED_VALUE"""),"")</f>
        <v/>
      </c>
      <c r="AM1055" s="1" t="str">
        <f>IFERROR(__xludf.DUMMYFUNCTION("""COMPUTED_VALUE"""),"")</f>
        <v/>
      </c>
      <c r="AN1055" s="1" t="str">
        <f>IFERROR(__xludf.DUMMYFUNCTION("""COMPUTED_VALUE"""),"")</f>
        <v/>
      </c>
      <c r="AO1055" s="1" t="str">
        <f>IFERROR(__xludf.DUMMYFUNCTION("""COMPUTED_VALUE"""),"")</f>
        <v/>
      </c>
      <c r="AP1055" s="1" t="str">
        <f>IFERROR(__xludf.DUMMYFUNCTION("""COMPUTED_VALUE"""),"")</f>
        <v/>
      </c>
      <c r="AQ1055" s="1" t="str">
        <f>IFERROR(__xludf.DUMMYFUNCTION("""COMPUTED_VALUE"""),"09/23/2025")</f>
        <v>09/23/2025</v>
      </c>
      <c r="AR1055" s="1" t="str">
        <f>IFERROR(__xludf.DUMMYFUNCTION("""COMPUTED_VALUE"""),"09/23/2025")</f>
        <v>09/23/2025</v>
      </c>
    </row>
    <row r="1056">
      <c r="A1056" s="1" t="str">
        <f>IFERROR(__xludf.DUMMYFUNCTION("""COMPUTED_VALUE"""),"TX21: Vantage Data Center")</f>
        <v>TX21: Vantage Data Center</v>
      </c>
      <c r="B1056" s="1" t="str">
        <f>IFERROR(__xludf.DUMMYFUNCTION("""COMPUTED_VALUE"""),"Intersection Hwy 151 and Wiseman Blvd")</f>
        <v>Intersection Hwy 151 and Wiseman Blvd</v>
      </c>
      <c r="C1056" s="1" t="str">
        <f>IFERROR(__xludf.DUMMYFUNCTION("""COMPUTED_VALUE"""),"San Antonio")</f>
        <v>San Antonio</v>
      </c>
      <c r="D1056" s="1" t="str">
        <f>IFERROR(__xludf.DUMMYFUNCTION("""COMPUTED_VALUE"""),"TX")</f>
        <v>TX</v>
      </c>
      <c r="E1056" s="1" t="str">
        <f>IFERROR(__xludf.DUMMYFUNCTION("""COMPUTED_VALUE"""),"78251")</f>
        <v>78251</v>
      </c>
      <c r="F1056" s="1" t="str">
        <f>IFERROR(__xludf.DUMMYFUNCTION("""COMPUTED_VALUE"""),"Bexar")</f>
        <v>Bexar</v>
      </c>
      <c r="G1056" s="1" t="str">
        <f>IFERROR(__xludf.DUMMYFUNCTION("""COMPUTED_VALUE"""),"29.47603")</f>
        <v>29.47603</v>
      </c>
      <c r="H1056" s="1" t="str">
        <f>IFERROR(__xludf.DUMMYFUNCTION("""COMPUTED_VALUE"""),"-98.6976")</f>
        <v>-98.6976</v>
      </c>
      <c r="I1056" s="1" t="str">
        <f>IFERROR(__xludf.DUMMYFUNCTION("""COMPUTED_VALUE"""),"Proposed")</f>
        <v>Proposed</v>
      </c>
      <c r="J1056" s="1" t="str">
        <f>IFERROR(__xludf.DUMMYFUNCTION("""COMPUTED_VALUE"""),"High")</f>
        <v>High</v>
      </c>
      <c r="K1056" s="1" t="str">
        <f>IFERROR(__xludf.DUMMYFUNCTION("""COMPUTED_VALUE"""),"")</f>
        <v/>
      </c>
      <c r="L1056" s="1" t="str">
        <f>IFERROR(__xludf.DUMMYFUNCTION("""COMPUTED_VALUE"""),"")</f>
        <v/>
      </c>
      <c r="M1056" s="1" t="str">
        <f>IFERROR(__xludf.DUMMYFUNCTION("""COMPUTED_VALUE"""),"")</f>
        <v/>
      </c>
      <c r="N1056" s="1" t="str">
        <f>IFERROR(__xludf.DUMMYFUNCTION("""COMPUTED_VALUE"""),"")</f>
        <v/>
      </c>
      <c r="O1056" s="1" t="str">
        <f>IFERROR(__xludf.DUMMYFUNCTION("""COMPUTED_VALUE"""),"Unknown")</f>
        <v>Unknown</v>
      </c>
      <c r="P1056" s="1" t="str">
        <f>IFERROR(__xludf.DUMMYFUNCTION("""COMPUTED_VALUE"""),"")</f>
        <v/>
      </c>
      <c r="Q1056" s="1" t="str">
        <f>IFERROR(__xludf.DUMMYFUNCTION("""COMPUTED_VALUE"""),"")</f>
        <v/>
      </c>
      <c r="R1056" s="1" t="str">
        <f>IFERROR(__xludf.DUMMYFUNCTION("""COMPUTED_VALUE"""),"")</f>
        <v/>
      </c>
      <c r="S1056" s="1" t="str">
        <f>IFERROR(__xludf.DUMMYFUNCTION("""COMPUTED_VALUE"""),"")</f>
        <v/>
      </c>
      <c r="T1056" s="1" t="str">
        <f>IFERROR(__xludf.DUMMYFUNCTION("""COMPUTED_VALUE"""),"")</f>
        <v/>
      </c>
      <c r="U1056" s="1" t="str">
        <f>IFERROR(__xludf.DUMMYFUNCTION("""COMPUTED_VALUE"""),"")</f>
        <v/>
      </c>
      <c r="V1056" s="1" t="str">
        <f>IFERROR(__xludf.DUMMYFUNCTION("""COMPUTED_VALUE"""),"360,000")</f>
        <v>360,000</v>
      </c>
      <c r="W1056" s="1" t="str">
        <f>IFERROR(__xludf.DUMMYFUNCTION("""COMPUTED_VALUE"""),"31")</f>
        <v>31</v>
      </c>
      <c r="X1056" s="1" t="str">
        <f>IFERROR(__xludf.DUMMYFUNCTION("""COMPUTED_VALUE"""),"$157 miillion")</f>
        <v>$157 miillion</v>
      </c>
      <c r="Y1056" s="1" t="str">
        <f>IFERROR(__xludf.DUMMYFUNCTION("""COMPUTED_VALUE"""),"2025")</f>
        <v>2025</v>
      </c>
      <c r="Z1056" s="1" t="str">
        <f>IFERROR(__xludf.DUMMYFUNCTION("""COMPUTED_VALUE"""),"Unknown")</f>
        <v>Unknown</v>
      </c>
      <c r="AA1056" s="1" t="str">
        <f>IFERROR(__xludf.DUMMYFUNCTION("""COMPUTED_VALUE"""),"")</f>
        <v/>
      </c>
      <c r="AB1056" s="1" t="str">
        <f>IFERROR(__xludf.DUMMYFUNCTION("""COMPUTED_VALUE"""),"")</f>
        <v/>
      </c>
      <c r="AC1056" s="1" t="str">
        <f>IFERROR(__xludf.DUMMYFUNCTION("""COMPUTED_VALUE"""),"")</f>
        <v/>
      </c>
      <c r="AD1056" s="1" t="str">
        <f>IFERROR(__xludf.DUMMYFUNCTION("""COMPUTED_VALUE"""),"")</f>
        <v/>
      </c>
      <c r="AE1056" s="1" t="str">
        <f>IFERROR(__xludf.DUMMYFUNCTION("""COMPUTED_VALUE"""),"")</f>
        <v/>
      </c>
      <c r="AF1056" s="1" t="str">
        <f>IFERROR(__xludf.DUMMYFUNCTION("""COMPUTED_VALUE"""),"")</f>
        <v/>
      </c>
      <c r="AG1056" s="1" t="str">
        <f>IFERROR(__xludf.DUMMYFUNCTION("""COMPUTED_VALUE"""),"")</f>
        <v/>
      </c>
      <c r="AH1056" s="1" t="str">
        <f>IFERROR(__xludf.DUMMYFUNCTION("""COMPUTED_VALUE"""),"Media Monitoring")</f>
        <v>Media Monitoring</v>
      </c>
      <c r="AI1056" s="2" t="str">
        <f>IFERROR(__xludf.DUMMYFUNCTION("""COMPUTED_VALUE"""),"https://www.datacenterdynamics.com/en/news/vantage-buys-two-land-plots-in-san-antonio-texas/")</f>
        <v>https://www.datacenterdynamics.com/en/news/vantage-buys-two-land-plots-in-san-antonio-texas/</v>
      </c>
      <c r="AJ1056" s="1" t="str">
        <f>IFERROR(__xludf.DUMMYFUNCTION("""COMPUTED_VALUE"""),"")</f>
        <v/>
      </c>
      <c r="AK1056" s="1" t="str">
        <f>IFERROR(__xludf.DUMMYFUNCTION("""COMPUTED_VALUE"""),"")</f>
        <v/>
      </c>
      <c r="AL1056" s="1" t="str">
        <f>IFERROR(__xludf.DUMMYFUNCTION("""COMPUTED_VALUE"""),"")</f>
        <v/>
      </c>
      <c r="AM1056" s="1" t="str">
        <f>IFERROR(__xludf.DUMMYFUNCTION("""COMPUTED_VALUE"""),"")</f>
        <v/>
      </c>
      <c r="AN1056" s="1" t="str">
        <f>IFERROR(__xludf.DUMMYFUNCTION("""COMPUTED_VALUE"""),"")</f>
        <v/>
      </c>
      <c r="AO1056" s="1" t="str">
        <f>IFERROR(__xludf.DUMMYFUNCTION("""COMPUTED_VALUE"""),"")</f>
        <v/>
      </c>
      <c r="AP1056" s="1" t="str">
        <f>IFERROR(__xludf.DUMMYFUNCTION("""COMPUTED_VALUE"""),"")</f>
        <v/>
      </c>
      <c r="AQ1056" s="1" t="str">
        <f>IFERROR(__xludf.DUMMYFUNCTION("""COMPUTED_VALUE"""),"07/28/2025")</f>
        <v>07/28/2025</v>
      </c>
      <c r="AR1056" s="1" t="str">
        <f>IFERROR(__xludf.DUMMYFUNCTION("""COMPUTED_VALUE"""),"10/16/2025")</f>
        <v>10/16/2025</v>
      </c>
    </row>
    <row r="1057">
      <c r="A1057" s="1" t="str">
        <f>IFERROR(__xludf.DUMMYFUNCTION("""COMPUTED_VALUE"""),"TX22: Vantage Data Center")</f>
        <v>TX22: Vantage Data Center</v>
      </c>
      <c r="B1057" s="1" t="str">
        <f>IFERROR(__xludf.DUMMYFUNCTION("""COMPUTED_VALUE"""),"5207 Rogers Rd")</f>
        <v>5207 Rogers Rd</v>
      </c>
      <c r="C1057" s="1" t="str">
        <f>IFERROR(__xludf.DUMMYFUNCTION("""COMPUTED_VALUE"""),"San Antonio")</f>
        <v>San Antonio</v>
      </c>
      <c r="D1057" s="1" t="str">
        <f>IFERROR(__xludf.DUMMYFUNCTION("""COMPUTED_VALUE"""),"TX")</f>
        <v>TX</v>
      </c>
      <c r="E1057" s="1" t="str">
        <f>IFERROR(__xludf.DUMMYFUNCTION("""COMPUTED_VALUE"""),"78251")</f>
        <v>78251</v>
      </c>
      <c r="F1057" s="1" t="str">
        <f>IFERROR(__xludf.DUMMYFUNCTION("""COMPUTED_VALUE"""),"Bexar")</f>
        <v>Bexar</v>
      </c>
      <c r="G1057" s="1" t="str">
        <f>IFERROR(__xludf.DUMMYFUNCTION("""COMPUTED_VALUE"""),"29.479109")</f>
        <v>29.479109</v>
      </c>
      <c r="H1057" s="1" t="str">
        <f>IFERROR(__xludf.DUMMYFUNCTION("""COMPUTED_VALUE"""),"-98.697105")</f>
        <v>-98.697105</v>
      </c>
      <c r="I1057" s="1" t="str">
        <f>IFERROR(__xludf.DUMMYFUNCTION("""COMPUTED_VALUE"""),"Proposed")</f>
        <v>Proposed</v>
      </c>
      <c r="J1057" s="1" t="str">
        <f>IFERROR(__xludf.DUMMYFUNCTION("""COMPUTED_VALUE"""),"High")</f>
        <v>High</v>
      </c>
      <c r="K1057" s="1" t="str">
        <f>IFERROR(__xludf.DUMMYFUNCTION("""COMPUTED_VALUE"""),"")</f>
        <v/>
      </c>
      <c r="L1057" s="1" t="str">
        <f>IFERROR(__xludf.DUMMYFUNCTION("""COMPUTED_VALUE"""),"")</f>
        <v/>
      </c>
      <c r="M1057" s="1" t="str">
        <f>IFERROR(__xludf.DUMMYFUNCTION("""COMPUTED_VALUE"""),"")</f>
        <v/>
      </c>
      <c r="N1057" s="1" t="str">
        <f>IFERROR(__xludf.DUMMYFUNCTION("""COMPUTED_VALUE"""),"")</f>
        <v/>
      </c>
      <c r="O1057" s="1" t="str">
        <f>IFERROR(__xludf.DUMMYFUNCTION("""COMPUTED_VALUE"""),"Unknown")</f>
        <v>Unknown</v>
      </c>
      <c r="P1057" s="1" t="str">
        <f>IFERROR(__xludf.DUMMYFUNCTION("""COMPUTED_VALUE"""),"")</f>
        <v/>
      </c>
      <c r="Q1057" s="1" t="str">
        <f>IFERROR(__xludf.DUMMYFUNCTION("""COMPUTED_VALUE"""),"")</f>
        <v/>
      </c>
      <c r="R1057" s="1" t="str">
        <f>IFERROR(__xludf.DUMMYFUNCTION("""COMPUTED_VALUE"""),"")</f>
        <v/>
      </c>
      <c r="S1057" s="1" t="str">
        <f>IFERROR(__xludf.DUMMYFUNCTION("""COMPUTED_VALUE"""),"")</f>
        <v/>
      </c>
      <c r="T1057" s="1" t="str">
        <f>IFERROR(__xludf.DUMMYFUNCTION("""COMPUTED_VALUE"""),"")</f>
        <v/>
      </c>
      <c r="U1057" s="1" t="str">
        <f>IFERROR(__xludf.DUMMYFUNCTION("""COMPUTED_VALUE"""),"")</f>
        <v/>
      </c>
      <c r="V1057" s="1" t="str">
        <f>IFERROR(__xludf.DUMMYFUNCTION("""COMPUTED_VALUE"""),"214,525")</f>
        <v>214,525</v>
      </c>
      <c r="W1057" s="1" t="str">
        <f>IFERROR(__xludf.DUMMYFUNCTION("""COMPUTED_VALUE"""),"")</f>
        <v/>
      </c>
      <c r="X1057" s="1" t="str">
        <f>IFERROR(__xludf.DUMMYFUNCTION("""COMPUTED_VALUE"""),"$272 million")</f>
        <v>$272 million</v>
      </c>
      <c r="Y1057" s="1" t="str">
        <f>IFERROR(__xludf.DUMMYFUNCTION("""COMPUTED_VALUE"""),"2027")</f>
        <v>2027</v>
      </c>
      <c r="Z1057" s="1" t="str">
        <f>IFERROR(__xludf.DUMMYFUNCTION("""COMPUTED_VALUE"""),"Unknown")</f>
        <v>Unknown</v>
      </c>
      <c r="AA1057" s="1" t="str">
        <f>IFERROR(__xludf.DUMMYFUNCTION("""COMPUTED_VALUE"""),"")</f>
        <v/>
      </c>
      <c r="AB1057" s="1" t="str">
        <f>IFERROR(__xludf.DUMMYFUNCTION("""COMPUTED_VALUE"""),"")</f>
        <v/>
      </c>
      <c r="AC1057" s="1" t="str">
        <f>IFERROR(__xludf.DUMMYFUNCTION("""COMPUTED_VALUE"""),"")</f>
        <v/>
      </c>
      <c r="AD1057" s="1" t="str">
        <f>IFERROR(__xludf.DUMMYFUNCTION("""COMPUTED_VALUE"""),"")</f>
        <v/>
      </c>
      <c r="AE1057" s="1" t="str">
        <f>IFERROR(__xludf.DUMMYFUNCTION("""COMPUTED_VALUE"""),"")</f>
        <v/>
      </c>
      <c r="AF1057" s="1" t="str">
        <f>IFERROR(__xludf.DUMMYFUNCTION("""COMPUTED_VALUE"""),"")</f>
        <v/>
      </c>
      <c r="AG1057" s="1" t="str">
        <f>IFERROR(__xludf.DUMMYFUNCTION("""COMPUTED_VALUE"""),"")</f>
        <v/>
      </c>
      <c r="AH1057" s="1" t="str">
        <f>IFERROR(__xludf.DUMMYFUNCTION("""COMPUTED_VALUE"""),"Media Monitoring")</f>
        <v>Media Monitoring</v>
      </c>
      <c r="AI1057" s="2" t="str">
        <f>IFERROR(__xludf.DUMMYFUNCTION("""COMPUTED_VALUE"""),"https://www.datacenterdynamics.com/en/news/vantage-files-to-build-another-data-center-in-san-antonio-texas/")</f>
        <v>https://www.datacenterdynamics.com/en/news/vantage-files-to-build-another-data-center-in-san-antonio-texas/</v>
      </c>
      <c r="AJ1057" s="2" t="str">
        <f>IFERROR(__xludf.DUMMYFUNCTION("""COMPUTED_VALUE"""),"https://www.datacenterdynamics.com/en/news/vantage-files-to-build-another-data-center-in-san-antonio-texas/")</f>
        <v>https://www.datacenterdynamics.com/en/news/vantage-files-to-build-another-data-center-in-san-antonio-texas/</v>
      </c>
      <c r="AK1057" s="1" t="str">
        <f>IFERROR(__xludf.DUMMYFUNCTION("""COMPUTED_VALUE"""),"")</f>
        <v/>
      </c>
      <c r="AL1057" s="1" t="str">
        <f>IFERROR(__xludf.DUMMYFUNCTION("""COMPUTED_VALUE"""),"")</f>
        <v/>
      </c>
      <c r="AM1057" s="1" t="str">
        <f>IFERROR(__xludf.DUMMYFUNCTION("""COMPUTED_VALUE"""),"")</f>
        <v/>
      </c>
      <c r="AN1057" s="1" t="str">
        <f>IFERROR(__xludf.DUMMYFUNCTION("""COMPUTED_VALUE"""),"")</f>
        <v/>
      </c>
      <c r="AO1057" s="1" t="str">
        <f>IFERROR(__xludf.DUMMYFUNCTION("""COMPUTED_VALUE"""),"")</f>
        <v/>
      </c>
      <c r="AP1057" s="1" t="str">
        <f>IFERROR(__xludf.DUMMYFUNCTION("""COMPUTED_VALUE"""),"")</f>
        <v/>
      </c>
      <c r="AQ1057" s="1" t="str">
        <f>IFERROR(__xludf.DUMMYFUNCTION("""COMPUTED_VALUE"""),"10/16/2025")</f>
        <v>10/16/2025</v>
      </c>
      <c r="AR1057" s="1" t="str">
        <f>IFERROR(__xludf.DUMMYFUNCTION("""COMPUTED_VALUE"""),"10/16/2025")</f>
        <v>10/16/2025</v>
      </c>
    </row>
    <row r="1058">
      <c r="A1058" s="1" t="str">
        <f>IFERROR(__xludf.DUMMYFUNCTION("""COMPUTED_VALUE"""),"CloudBurst ")</f>
        <v>CloudBurst </v>
      </c>
      <c r="B1058" s="1" t="str">
        <f>IFERROR(__xludf.DUMMYFUNCTION("""COMPUTED_VALUE"""),"~1200 Francis Harris Ln")</f>
        <v>~1200 Francis Harris Ln</v>
      </c>
      <c r="C1058" s="1" t="str">
        <f>IFERROR(__xludf.DUMMYFUNCTION("""COMPUTED_VALUE"""),"San Marcos")</f>
        <v>San Marcos</v>
      </c>
      <c r="D1058" s="1" t="str">
        <f>IFERROR(__xludf.DUMMYFUNCTION("""COMPUTED_VALUE"""),"TX")</f>
        <v>TX</v>
      </c>
      <c r="E1058" s="1" t="str">
        <f>IFERROR(__xludf.DUMMYFUNCTION("""COMPUTED_VALUE"""),"78666")</f>
        <v>78666</v>
      </c>
      <c r="F1058" s="1" t="str">
        <f>IFERROR(__xludf.DUMMYFUNCTION("""COMPUTED_VALUE"""),"Guadalupe")</f>
        <v>Guadalupe</v>
      </c>
      <c r="G1058" s="1" t="str">
        <f>IFERROR(__xludf.DUMMYFUNCTION("""COMPUTED_VALUE"""),"29.766788")</f>
        <v>29.766788</v>
      </c>
      <c r="H1058" s="1" t="str">
        <f>IFERROR(__xludf.DUMMYFUNCTION("""COMPUTED_VALUE"""),"-97.98101")</f>
        <v>-97.98101</v>
      </c>
      <c r="I1058" s="1" t="str">
        <f>IFERROR(__xludf.DUMMYFUNCTION("""COMPUTED_VALUE"""),"Proposed")</f>
        <v>Proposed</v>
      </c>
      <c r="J1058" s="1" t="str">
        <f>IFERROR(__xludf.DUMMYFUNCTION("""COMPUTED_VALUE"""),"High")</f>
        <v>High</v>
      </c>
      <c r="K1058" s="1" t="str">
        <f>IFERROR(__xludf.DUMMYFUNCTION("""COMPUTED_VALUE"""),"")</f>
        <v/>
      </c>
      <c r="L1058" s="1" t="str">
        <f>IFERROR(__xludf.DUMMYFUNCTION("""COMPUTED_VALUE"""),"CloudBurst")</f>
        <v>CloudBurst</v>
      </c>
      <c r="M1058" s="1" t="str">
        <f>IFERROR(__xludf.DUMMYFUNCTION("""COMPUTED_VALUE"""),"")</f>
        <v/>
      </c>
      <c r="N1058" s="1" t="str">
        <f>IFERROR(__xludf.DUMMYFUNCTION("""COMPUTED_VALUE"""),"")</f>
        <v/>
      </c>
      <c r="O1058" s="1" t="str">
        <f>IFERROR(__xludf.DUMMYFUNCTION("""COMPUTED_VALUE"""),"Hyperscale (100-999 MW)")</f>
        <v>Hyperscale (100-999 MW)</v>
      </c>
      <c r="P1058" s="1" t="str">
        <f>IFERROR(__xludf.DUMMYFUNCTION("""COMPUTED_VALUE"""),"")</f>
        <v/>
      </c>
      <c r="Q1058" s="1" t="str">
        <f>IFERROR(__xludf.DUMMYFUNCTION("""COMPUTED_VALUE"""),"")</f>
        <v/>
      </c>
      <c r="R1058" s="1" t="str">
        <f>IFERROR(__xludf.DUMMYFUNCTION("""COMPUTED_VALUE"""),"")</f>
        <v/>
      </c>
      <c r="S1058" s="1" t="str">
        <f>IFERROR(__xludf.DUMMYFUNCTION("""COMPUTED_VALUE"""),"10-12")</f>
        <v>10-12</v>
      </c>
      <c r="T1058" s="1" t="str">
        <f>IFERROR(__xludf.DUMMYFUNCTION("""COMPUTED_VALUE"""),"")</f>
        <v/>
      </c>
      <c r="U1058" s="1" t="str">
        <f>IFERROR(__xludf.DUMMYFUNCTION("""COMPUTED_VALUE"""),"")</f>
        <v/>
      </c>
      <c r="V1058" s="1" t="str">
        <f>IFERROR(__xludf.DUMMYFUNCTION("""COMPUTED_VALUE"""),"3,000,000")</f>
        <v>3,000,000</v>
      </c>
      <c r="W1058" s="1" t="str">
        <f>IFERROR(__xludf.DUMMYFUNCTION("""COMPUTED_VALUE"""),"706")</f>
        <v>706</v>
      </c>
      <c r="X1058" s="1" t="str">
        <f>IFERROR(__xludf.DUMMYFUNCTION("""COMPUTED_VALUE"""),"$14.5 billion")</f>
        <v>$14.5 billion</v>
      </c>
      <c r="Y1058" s="1" t="str">
        <f>IFERROR(__xludf.DUMMYFUNCTION("""COMPUTED_VALUE"""),"")</f>
        <v/>
      </c>
      <c r="Z1058" s="1" t="str">
        <f>IFERROR(__xludf.DUMMYFUNCTION("""COMPUTED_VALUE"""),"Unknown")</f>
        <v>Unknown</v>
      </c>
      <c r="AA1058" s="1" t="str">
        <f>IFERROR(__xludf.DUMMYFUNCTION("""COMPUTED_VALUE"""),"")</f>
        <v/>
      </c>
      <c r="AB1058" s="1" t="str">
        <f>IFERROR(__xludf.DUMMYFUNCTION("""COMPUTED_VALUE"""),"")</f>
        <v/>
      </c>
      <c r="AC1058" s="1" t="str">
        <f>IFERROR(__xludf.DUMMYFUNCTION("""COMPUTED_VALUE"""),"")</f>
        <v/>
      </c>
      <c r="AD1058" s="1" t="str">
        <f>IFERROR(__xludf.DUMMYFUNCTION("""COMPUTED_VALUE"""),"")</f>
        <v/>
      </c>
      <c r="AE1058" s="1" t="str">
        <f>IFERROR(__xludf.DUMMYFUNCTION("""COMPUTED_VALUE"""),"")</f>
        <v/>
      </c>
      <c r="AF1058" s="1" t="str">
        <f>IFERROR(__xludf.DUMMYFUNCTION("""COMPUTED_VALUE"""),"")</f>
        <v/>
      </c>
      <c r="AG1058" s="1" t="str">
        <f>IFERROR(__xludf.DUMMYFUNCTION("""COMPUTED_VALUE"""),"")</f>
        <v/>
      </c>
      <c r="AH1058" s="1" t="str">
        <f>IFERROR(__xludf.DUMMYFUNCTION("""COMPUTED_VALUE"""),"Media Monitoring")</f>
        <v>Media Monitoring</v>
      </c>
      <c r="AI1058" s="2" t="str">
        <f>IFERROR(__xludf.DUMMYFUNCTION("""COMPUTED_VALUE"""),"https://www.datacenterdynamics.com/en/news/706-acre-data-center-approved-for-development-outside-san-antonio-texas/")</f>
        <v>https://www.datacenterdynamics.com/en/news/706-acre-data-center-approved-for-development-outside-san-antonio-texas/</v>
      </c>
      <c r="AJ1058" s="1" t="str">
        <f>IFERROR(__xludf.DUMMYFUNCTION("""COMPUTED_VALUE"""),"")</f>
        <v/>
      </c>
      <c r="AK1058" s="1" t="str">
        <f>IFERROR(__xludf.DUMMYFUNCTION("""COMPUTED_VALUE"""),"")</f>
        <v/>
      </c>
      <c r="AL1058" s="1" t="str">
        <f>IFERROR(__xludf.DUMMYFUNCTION("""COMPUTED_VALUE"""),"")</f>
        <v/>
      </c>
      <c r="AM1058" s="1" t="str">
        <f>IFERROR(__xludf.DUMMYFUNCTION("""COMPUTED_VALUE"""),"")</f>
        <v/>
      </c>
      <c r="AN1058" s="1" t="str">
        <f>IFERROR(__xludf.DUMMYFUNCTION("""COMPUTED_VALUE"""),"")</f>
        <v/>
      </c>
      <c r="AO1058" s="1" t="str">
        <f>IFERROR(__xludf.DUMMYFUNCTION("""COMPUTED_VALUE"""),"")</f>
        <v/>
      </c>
      <c r="AP1058" s="1" t="str">
        <f>IFERROR(__xludf.DUMMYFUNCTION("""COMPUTED_VALUE"""),"")</f>
        <v/>
      </c>
      <c r="AQ1058" s="1" t="str">
        <f>IFERROR(__xludf.DUMMYFUNCTION("""COMPUTED_VALUE"""),"05/12/2026")</f>
        <v>05/12/2026</v>
      </c>
      <c r="AR1058" s="1" t="str">
        <f>IFERROR(__xludf.DUMMYFUNCTION("""COMPUTED_VALUE"""),"05/12/2026")</f>
        <v>05/12/2026</v>
      </c>
    </row>
    <row r="1059">
      <c r="A1059" s="1" t="str">
        <f>IFERROR(__xludf.DUMMYFUNCTION("""COMPUTED_VALUE"""),"Highlander SM One LLC")</f>
        <v>Highlander SM One LLC</v>
      </c>
      <c r="B1059" s="1" t="str">
        <f>IFERROR(__xludf.DUMMYFUNCTION("""COMPUTED_VALUE"""),"904 Francis Harris Ln")</f>
        <v>904 Francis Harris Ln</v>
      </c>
      <c r="C1059" s="1" t="str">
        <f>IFERROR(__xludf.DUMMYFUNCTION("""COMPUTED_VALUE"""),"San Marcos")</f>
        <v>San Marcos</v>
      </c>
      <c r="D1059" s="1" t="str">
        <f>IFERROR(__xludf.DUMMYFUNCTION("""COMPUTED_VALUE"""),"TX")</f>
        <v>TX</v>
      </c>
      <c r="E1059" s="1" t="str">
        <f>IFERROR(__xludf.DUMMYFUNCTION("""COMPUTED_VALUE"""),"78666")</f>
        <v>78666</v>
      </c>
      <c r="F1059" s="1" t="str">
        <f>IFERROR(__xludf.DUMMYFUNCTION("""COMPUTED_VALUE"""),"Guadalupe")</f>
        <v>Guadalupe</v>
      </c>
      <c r="G1059" s="1" t="str">
        <f>IFERROR(__xludf.DUMMYFUNCTION("""COMPUTED_VALUE"""),"29.79031")</f>
        <v>29.79031</v>
      </c>
      <c r="H1059" s="1" t="str">
        <f>IFERROR(__xludf.DUMMYFUNCTION("""COMPUTED_VALUE"""),"-97.9952")</f>
        <v>-97.9952</v>
      </c>
      <c r="I1059" s="1" t="str">
        <f>IFERROR(__xludf.DUMMYFUNCTION("""COMPUTED_VALUE"""),"Suspended")</f>
        <v>Suspended</v>
      </c>
      <c r="J1059" s="1" t="str">
        <f>IFERROR(__xludf.DUMMYFUNCTION("""COMPUTED_VALUE"""),"High")</f>
        <v>High</v>
      </c>
      <c r="K1059" s="1" t="str">
        <f>IFERROR(__xludf.DUMMYFUNCTION("""COMPUTED_VALUE"""),"")</f>
        <v/>
      </c>
      <c r="L1059" s="1" t="str">
        <f>IFERROR(__xludf.DUMMYFUNCTION("""COMPUTED_VALUE"""),"")</f>
        <v/>
      </c>
      <c r="M1059" s="1" t="str">
        <f>IFERROR(__xludf.DUMMYFUNCTION("""COMPUTED_VALUE"""),"")</f>
        <v/>
      </c>
      <c r="N1059" s="1" t="str">
        <f>IFERROR(__xludf.DUMMYFUNCTION("""COMPUTED_VALUE"""),"")</f>
        <v/>
      </c>
      <c r="O1059" s="1" t="str">
        <f>IFERROR(__xludf.DUMMYFUNCTION("""COMPUTED_VALUE"""),"Unknown")</f>
        <v>Unknown</v>
      </c>
      <c r="P1059" s="1" t="str">
        <f>IFERROR(__xludf.DUMMYFUNCTION("""COMPUTED_VALUE"""),"")</f>
        <v/>
      </c>
      <c r="Q1059" s="1" t="str">
        <f>IFERROR(__xludf.DUMMYFUNCTION("""COMPUTED_VALUE"""),"")</f>
        <v/>
      </c>
      <c r="R1059" s="1" t="str">
        <f>IFERROR(__xludf.DUMMYFUNCTION("""COMPUTED_VALUE"""),"")</f>
        <v/>
      </c>
      <c r="S1059" s="1" t="str">
        <f>IFERROR(__xludf.DUMMYFUNCTION("""COMPUTED_VALUE"""),"")</f>
        <v/>
      </c>
      <c r="T1059" s="1" t="str">
        <f>IFERROR(__xludf.DUMMYFUNCTION("""COMPUTED_VALUE"""),"")</f>
        <v/>
      </c>
      <c r="U1059" s="1" t="str">
        <f>IFERROR(__xludf.DUMMYFUNCTION("""COMPUTED_VALUE"""),"")</f>
        <v/>
      </c>
      <c r="V1059" s="1" t="str">
        <f>IFERROR(__xludf.DUMMYFUNCTION("""COMPUTED_VALUE"""),"")</f>
        <v/>
      </c>
      <c r="W1059" s="1" t="str">
        <f>IFERROR(__xludf.DUMMYFUNCTION("""COMPUTED_VALUE"""),"180")</f>
        <v>180</v>
      </c>
      <c r="X1059" s="1" t="str">
        <f>IFERROR(__xludf.DUMMYFUNCTION("""COMPUTED_VALUE"""),"")</f>
        <v/>
      </c>
      <c r="Y1059" s="1" t="str">
        <f>IFERROR(__xludf.DUMMYFUNCTION("""COMPUTED_VALUE"""),"")</f>
        <v/>
      </c>
      <c r="Z1059" s="1" t="str">
        <f>IFERROR(__xludf.DUMMYFUNCTION("""COMPUTED_VALUE"""),"Unknown")</f>
        <v>Unknown</v>
      </c>
      <c r="AA1059" s="1" t="str">
        <f>IFERROR(__xludf.DUMMYFUNCTION("""COMPUTED_VALUE"""),"")</f>
        <v/>
      </c>
      <c r="AB1059" s="1" t="str">
        <f>IFERROR(__xludf.DUMMYFUNCTION("""COMPUTED_VALUE"""),"")</f>
        <v/>
      </c>
      <c r="AC1059" s="1" t="str">
        <f>IFERROR(__xludf.DUMMYFUNCTION("""COMPUTED_VALUE"""),"")</f>
        <v/>
      </c>
      <c r="AD1059" s="1" t="str">
        <f>IFERROR(__xludf.DUMMYFUNCTION("""COMPUTED_VALUE"""),"")</f>
        <v/>
      </c>
      <c r="AE1059" s="1" t="str">
        <f>IFERROR(__xludf.DUMMYFUNCTION("""COMPUTED_VALUE"""),"")</f>
        <v/>
      </c>
      <c r="AF1059" s="1" t="str">
        <f>IFERROR(__xludf.DUMMYFUNCTION("""COMPUTED_VALUE"""),"")</f>
        <v/>
      </c>
      <c r="AG1059" s="1" t="str">
        <f>IFERROR(__xludf.DUMMYFUNCTION("""COMPUTED_VALUE"""),"")</f>
        <v/>
      </c>
      <c r="AH1059" s="1" t="str">
        <f>IFERROR(__xludf.DUMMYFUNCTION("""COMPUTED_VALUE"""),"Media Monitoring")</f>
        <v>Media Monitoring</v>
      </c>
      <c r="AI1059" s="2" t="str">
        <f>IFERROR(__xludf.DUMMYFUNCTION("""COMPUTED_VALUE"""),"https://www.datacenterdynamics.com/en/news/data-center-proposed-for-200-acre-site-in-san-marcos-texas/")</f>
        <v>https://www.datacenterdynamics.com/en/news/data-center-proposed-for-200-acre-site-in-san-marcos-texas/</v>
      </c>
      <c r="AJ1059" s="2" t="str">
        <f>IFERROR(__xludf.DUMMYFUNCTION("""COMPUTED_VALUE"""),"https://www.datacenterdynamics.com/en/news/data-center-proposal-rejected-in-san-marcos-texas/")</f>
        <v>https://www.datacenterdynamics.com/en/news/data-center-proposal-rejected-in-san-marcos-texas/</v>
      </c>
      <c r="AK1059" s="1" t="str">
        <f>IFERROR(__xludf.DUMMYFUNCTION("""COMPUTED_VALUE"""),"")</f>
        <v/>
      </c>
      <c r="AL1059" s="1" t="str">
        <f>IFERROR(__xludf.DUMMYFUNCTION("""COMPUTED_VALUE"""),"")</f>
        <v/>
      </c>
      <c r="AM1059" s="1" t="str">
        <f>IFERROR(__xludf.DUMMYFUNCTION("""COMPUTED_VALUE"""),"")</f>
        <v/>
      </c>
      <c r="AN1059" s="1" t="str">
        <f>IFERROR(__xludf.DUMMYFUNCTION("""COMPUTED_VALUE"""),"")</f>
        <v/>
      </c>
      <c r="AO1059" s="1" t="str">
        <f>IFERROR(__xludf.DUMMYFUNCTION("""COMPUTED_VALUE"""),"")</f>
        <v/>
      </c>
      <c r="AP1059" s="1" t="str">
        <f>IFERROR(__xludf.DUMMYFUNCTION("""COMPUTED_VALUE"""),"")</f>
        <v/>
      </c>
      <c r="AQ1059" s="1" t="str">
        <f>IFERROR(__xludf.DUMMYFUNCTION("""COMPUTED_VALUE"""),"08/21/2025")</f>
        <v>08/21/2025</v>
      </c>
      <c r="AR1059" s="1" t="str">
        <f>IFERROR(__xludf.DUMMYFUNCTION("""COMPUTED_VALUE"""),"08/21/2025")</f>
        <v>08/21/2025</v>
      </c>
    </row>
    <row r="1060">
      <c r="A1060" s="1" t="str">
        <f>IFERROR(__xludf.DUMMYFUNCTION("""COMPUTED_VALUE"""),"Project Kati 1 and 2 (Soluna)")</f>
        <v>Project Kati 1 and 2 (Soluna)</v>
      </c>
      <c r="B1060" s="1" t="str">
        <f>IFERROR(__xludf.DUMMYFUNCTION("""COMPUTED_VALUE"""),"WC County Line Rd &amp; FM 1420")</f>
        <v>WC County Line Rd &amp; FM 1420</v>
      </c>
      <c r="C1060" s="1" t="str">
        <f>IFERROR(__xludf.DUMMYFUNCTION("""COMPUTED_VALUE"""),"Santa Monica")</f>
        <v>Santa Monica</v>
      </c>
      <c r="D1060" s="1" t="str">
        <f>IFERROR(__xludf.DUMMYFUNCTION("""COMPUTED_VALUE"""),"TX")</f>
        <v>TX</v>
      </c>
      <c r="E1060" s="1" t="str">
        <f>IFERROR(__xludf.DUMMYFUNCTION("""COMPUTED_VALUE"""),"78965")</f>
        <v>78965</v>
      </c>
      <c r="F1060" s="1" t="str">
        <f>IFERROR(__xludf.DUMMYFUNCTION("""COMPUTED_VALUE"""),"Willacy")</f>
        <v>Willacy</v>
      </c>
      <c r="G1060" s="1" t="str">
        <f>IFERROR(__xludf.DUMMYFUNCTION("""COMPUTED_VALUE"""),"26.37778")</f>
        <v>26.37778</v>
      </c>
      <c r="H1060" s="1" t="str">
        <f>IFERROR(__xludf.DUMMYFUNCTION("""COMPUTED_VALUE"""),"-97.5874")</f>
        <v>-97.5874</v>
      </c>
      <c r="I1060" s="1" t="str">
        <f>IFERROR(__xludf.DUMMYFUNCTION("""COMPUTED_VALUE"""),"Approved/Permitted/Under construction")</f>
        <v>Approved/Permitted/Under construction</v>
      </c>
      <c r="J1060" s="1" t="str">
        <f>IFERROR(__xludf.DUMMYFUNCTION("""COMPUTED_VALUE"""),"Medium")</f>
        <v>Medium</v>
      </c>
      <c r="K1060" s="1" t="str">
        <f>IFERROR(__xludf.DUMMYFUNCTION("""COMPUTED_VALUE"""),"")</f>
        <v/>
      </c>
      <c r="L1060" s="1" t="str">
        <f>IFERROR(__xludf.DUMMYFUNCTION("""COMPUTED_VALUE"""),"")</f>
        <v/>
      </c>
      <c r="M1060" s="1" t="str">
        <f>IFERROR(__xludf.DUMMYFUNCTION("""COMPUTED_VALUE"""),"")</f>
        <v/>
      </c>
      <c r="N1060" s="1" t="str">
        <f>IFERROR(__xludf.DUMMYFUNCTION("""COMPUTED_VALUE"""),"166")</f>
        <v>166</v>
      </c>
      <c r="O1060" s="1" t="str">
        <f>IFERROR(__xludf.DUMMYFUNCTION("""COMPUTED_VALUE"""),"Hyperscale (100-999 MW)")</f>
        <v>Hyperscale (100-999 MW)</v>
      </c>
      <c r="P1060" s="1" t="str">
        <f>IFERROR(__xludf.DUMMYFUNCTION("""COMPUTED_VALUE"""),"")</f>
        <v/>
      </c>
      <c r="Q1060" s="1" t="str">
        <f>IFERROR(__xludf.DUMMYFUNCTION("""COMPUTED_VALUE"""),"")</f>
        <v/>
      </c>
      <c r="R1060" s="1" t="str">
        <f>IFERROR(__xludf.DUMMYFUNCTION("""COMPUTED_VALUE"""),"")</f>
        <v/>
      </c>
      <c r="S1060" s="1" t="str">
        <f>IFERROR(__xludf.DUMMYFUNCTION("""COMPUTED_VALUE"""),"")</f>
        <v/>
      </c>
      <c r="T1060" s="1" t="str">
        <f>IFERROR(__xludf.DUMMYFUNCTION("""COMPUTED_VALUE"""),"")</f>
        <v/>
      </c>
      <c r="U1060" s="1" t="str">
        <f>IFERROR(__xludf.DUMMYFUNCTION("""COMPUTED_VALUE"""),"")</f>
        <v/>
      </c>
      <c r="V1060" s="1" t="str">
        <f>IFERROR(__xludf.DUMMYFUNCTION("""COMPUTED_VALUE"""),"")</f>
        <v/>
      </c>
      <c r="W1060" s="1" t="str">
        <f>IFERROR(__xludf.DUMMYFUNCTION("""COMPUTED_VALUE"""),"50")</f>
        <v>50</v>
      </c>
      <c r="X1060" s="1" t="str">
        <f>IFERROR(__xludf.DUMMYFUNCTION("""COMPUTED_VALUE"""),"")</f>
        <v/>
      </c>
      <c r="Y1060" s="1" t="str">
        <f>IFERROR(__xludf.DUMMYFUNCTION("""COMPUTED_VALUE"""),"")</f>
        <v/>
      </c>
      <c r="Z1060" s="1" t="str">
        <f>IFERROR(__xludf.DUMMYFUNCTION("""COMPUTED_VALUE"""),"Unknown")</f>
        <v>Unknown</v>
      </c>
      <c r="AA1060" s="1" t="str">
        <f>IFERROR(__xludf.DUMMYFUNCTION("""COMPUTED_VALUE"""),"")</f>
        <v/>
      </c>
      <c r="AB1060" s="1" t="str">
        <f>IFERROR(__xludf.DUMMYFUNCTION("""COMPUTED_VALUE"""),"")</f>
        <v/>
      </c>
      <c r="AC1060" s="1" t="str">
        <f>IFERROR(__xludf.DUMMYFUNCTION("""COMPUTED_VALUE"""),"")</f>
        <v/>
      </c>
      <c r="AD1060" s="1" t="str">
        <f>IFERROR(__xludf.DUMMYFUNCTION("""COMPUTED_VALUE"""),"")</f>
        <v/>
      </c>
      <c r="AE1060" s="1" t="str">
        <f>IFERROR(__xludf.DUMMYFUNCTION("""COMPUTED_VALUE"""),"")</f>
        <v/>
      </c>
      <c r="AF1060" s="1" t="str">
        <f>IFERROR(__xludf.DUMMYFUNCTION("""COMPUTED_VALUE"""),"")</f>
        <v/>
      </c>
      <c r="AG1060" s="1" t="str">
        <f>IFERROR(__xludf.DUMMYFUNCTION("""COMPUTED_VALUE"""),"")</f>
        <v/>
      </c>
      <c r="AH1060" s="1" t="str">
        <f>IFERROR(__xludf.DUMMYFUNCTION("""COMPUTED_VALUE"""),"Media Monitoring")</f>
        <v>Media Monitoring</v>
      </c>
      <c r="AI1060" s="2" t="str">
        <f>IFERROR(__xludf.DUMMYFUNCTION("""COMPUTED_VALUE"""),"https://www.datacenterdynamics.com/en/news/soluna-to-develop-two-new-data-centers-in-texas-with-a-combined-capacity-of-350mw/")</f>
        <v>https://www.datacenterdynamics.com/en/news/soluna-to-develop-two-new-data-centers-in-texas-with-a-combined-capacity-of-350mw/</v>
      </c>
      <c r="AJ1060" s="2" t="str">
        <f>IFERROR(__xludf.DUMMYFUNCTION("""COMPUTED_VALUE"""),"https://www.datacenterdynamics.com/en/news/soluna-partners-with-metrobloks-for-texas-campus/")</f>
        <v>https://www.datacenterdynamics.com/en/news/soluna-partners-with-metrobloks-for-texas-campus/</v>
      </c>
      <c r="AK1060" s="1" t="str">
        <f>IFERROR(__xludf.DUMMYFUNCTION("""COMPUTED_VALUE"""),"")</f>
        <v/>
      </c>
      <c r="AL1060" s="1" t="str">
        <f>IFERROR(__xludf.DUMMYFUNCTION("""COMPUTED_VALUE"""),"")</f>
        <v/>
      </c>
      <c r="AM1060" s="1" t="str">
        <f>IFERROR(__xludf.DUMMYFUNCTION("""COMPUTED_VALUE"""),"")</f>
        <v/>
      </c>
      <c r="AN1060" s="1" t="str">
        <f>IFERROR(__xludf.DUMMYFUNCTION("""COMPUTED_VALUE"""),"")</f>
        <v/>
      </c>
      <c r="AO1060" s="1" t="str">
        <f>IFERROR(__xludf.DUMMYFUNCTION("""COMPUTED_VALUE"""),"")</f>
        <v/>
      </c>
      <c r="AP1060" s="1" t="str">
        <f>IFERROR(__xludf.DUMMYFUNCTION("""COMPUTED_VALUE"""),"")</f>
        <v/>
      </c>
      <c r="AQ1060" s="1" t="str">
        <f>IFERROR(__xludf.DUMMYFUNCTION("""COMPUTED_VALUE"""),"08/30/2025")</f>
        <v>08/30/2025</v>
      </c>
      <c r="AR1060" s="1" t="str">
        <f>IFERROR(__xludf.DUMMYFUNCTION("""COMPUTED_VALUE"""),"01/19/2026")</f>
        <v>01/19/2026</v>
      </c>
    </row>
    <row r="1061">
      <c r="A1061" s="1" t="str">
        <f>IFERROR(__xludf.DUMMYFUNCTION("""COMPUTED_VALUE"""),"Project Dorothy 1A and 1B (Soluna)")</f>
        <v>Project Dorothy 1A and 1B (Soluna)</v>
      </c>
      <c r="B1061" s="1" t="str">
        <f>IFERROR(__xludf.DUMMYFUNCTION("""COMPUTED_VALUE"""),"9985 Co Rd F")</f>
        <v>9985 Co Rd F</v>
      </c>
      <c r="C1061" s="1" t="str">
        <f>IFERROR(__xludf.DUMMYFUNCTION("""COMPUTED_VALUE"""),"Silverton")</f>
        <v>Silverton</v>
      </c>
      <c r="D1061" s="1" t="str">
        <f>IFERROR(__xludf.DUMMYFUNCTION("""COMPUTED_VALUE"""),"TX")</f>
        <v>TX</v>
      </c>
      <c r="E1061" s="1" t="str">
        <f>IFERROR(__xludf.DUMMYFUNCTION("""COMPUTED_VALUE"""),"79257")</f>
        <v>79257</v>
      </c>
      <c r="F1061" s="1" t="str">
        <f>IFERROR(__xludf.DUMMYFUNCTION("""COMPUTED_VALUE"""),"Briscoe")</f>
        <v>Briscoe</v>
      </c>
      <c r="G1061" s="1" t="str">
        <f>IFERROR(__xludf.DUMMYFUNCTION("""COMPUTED_VALUE"""),"34.39186")</f>
        <v>34.39186</v>
      </c>
      <c r="H1061" s="1" t="str">
        <f>IFERROR(__xludf.DUMMYFUNCTION("""COMPUTED_VALUE"""),"-101.315926")</f>
        <v>-101.315926</v>
      </c>
      <c r="I1061" s="1" t="str">
        <f>IFERROR(__xludf.DUMMYFUNCTION("""COMPUTED_VALUE"""),"Operating")</f>
        <v>Operating</v>
      </c>
      <c r="J1061" s="1" t="str">
        <f>IFERROR(__xludf.DUMMYFUNCTION("""COMPUTED_VALUE"""),"High")</f>
        <v>High</v>
      </c>
      <c r="K1061" s="1" t="str">
        <f>IFERROR(__xludf.DUMMYFUNCTION("""COMPUTED_VALUE"""),"")</f>
        <v/>
      </c>
      <c r="L1061" s="1" t="str">
        <f>IFERROR(__xludf.DUMMYFUNCTION("""COMPUTED_VALUE"""),"")</f>
        <v/>
      </c>
      <c r="M1061" s="1" t="str">
        <f>IFERROR(__xludf.DUMMYFUNCTION("""COMPUTED_VALUE"""),"")</f>
        <v/>
      </c>
      <c r="N1061" s="1" t="str">
        <f>IFERROR(__xludf.DUMMYFUNCTION("""COMPUTED_VALUE"""),"50")</f>
        <v>50</v>
      </c>
      <c r="O1061" s="1" t="str">
        <f>IFERROR(__xludf.DUMMYFUNCTION("""COMPUTED_VALUE"""),"Medium (11-50 MW)")</f>
        <v>Medium (11-50 MW)</v>
      </c>
      <c r="P1061" s="1" t="str">
        <f>IFERROR(__xludf.DUMMYFUNCTION("""COMPUTED_VALUE"""),"")</f>
        <v/>
      </c>
      <c r="Q1061" s="1" t="str">
        <f>IFERROR(__xludf.DUMMYFUNCTION("""COMPUTED_VALUE"""),"")</f>
        <v/>
      </c>
      <c r="R1061" s="1" t="str">
        <f>IFERROR(__xludf.DUMMYFUNCTION("""COMPUTED_VALUE"""),"")</f>
        <v/>
      </c>
      <c r="S1061" s="1" t="str">
        <f>IFERROR(__xludf.DUMMYFUNCTION("""COMPUTED_VALUE"""),"")</f>
        <v/>
      </c>
      <c r="T1061" s="1" t="str">
        <f>IFERROR(__xludf.DUMMYFUNCTION("""COMPUTED_VALUE"""),"")</f>
        <v/>
      </c>
      <c r="U1061" s="1" t="str">
        <f>IFERROR(__xludf.DUMMYFUNCTION("""COMPUTED_VALUE"""),"")</f>
        <v/>
      </c>
      <c r="V1061" s="1" t="str">
        <f>IFERROR(__xludf.DUMMYFUNCTION("""COMPUTED_VALUE"""),"")</f>
        <v/>
      </c>
      <c r="W1061" s="1" t="str">
        <f>IFERROR(__xludf.DUMMYFUNCTION("""COMPUTED_VALUE"""),"")</f>
        <v/>
      </c>
      <c r="X1061" s="1" t="str">
        <f>IFERROR(__xludf.DUMMYFUNCTION("""COMPUTED_VALUE"""),"")</f>
        <v/>
      </c>
      <c r="Y1061" s="1" t="str">
        <f>IFERROR(__xludf.DUMMYFUNCTION("""COMPUTED_VALUE"""),"")</f>
        <v/>
      </c>
      <c r="Z1061" s="1" t="str">
        <f>IFERROR(__xludf.DUMMYFUNCTION("""COMPUTED_VALUE"""),"Unknown")</f>
        <v>Unknown</v>
      </c>
      <c r="AA1061" s="1" t="str">
        <f>IFERROR(__xludf.DUMMYFUNCTION("""COMPUTED_VALUE"""),"")</f>
        <v/>
      </c>
      <c r="AB1061" s="1" t="str">
        <f>IFERROR(__xludf.DUMMYFUNCTION("""COMPUTED_VALUE"""),"")</f>
        <v/>
      </c>
      <c r="AC1061" s="1" t="str">
        <f>IFERROR(__xludf.DUMMYFUNCTION("""COMPUTED_VALUE"""),"")</f>
        <v/>
      </c>
      <c r="AD1061" s="1" t="str">
        <f>IFERROR(__xludf.DUMMYFUNCTION("""COMPUTED_VALUE"""),"")</f>
        <v/>
      </c>
      <c r="AE1061" s="1" t="str">
        <f>IFERROR(__xludf.DUMMYFUNCTION("""COMPUTED_VALUE"""),"")</f>
        <v/>
      </c>
      <c r="AF1061" s="1" t="str">
        <f>IFERROR(__xludf.DUMMYFUNCTION("""COMPUTED_VALUE"""),"")</f>
        <v/>
      </c>
      <c r="AG1061" s="1" t="str">
        <f>IFERROR(__xludf.DUMMYFUNCTION("""COMPUTED_VALUE"""),"")</f>
        <v/>
      </c>
      <c r="AH1061" s="1" t="str">
        <f>IFERROR(__xludf.DUMMYFUNCTION("""COMPUTED_VALUE"""),"Media Monitoring")</f>
        <v>Media Monitoring</v>
      </c>
      <c r="AI1061" s="2" t="str">
        <f>IFERROR(__xludf.DUMMYFUNCTION("""COMPUTED_VALUE"""),"https://www.datacenterdynamics.com/en/news/soluna-to-develop-two-new-data-centers-in-texas-with-a-combined-capacity-of-350mw/")</f>
        <v>https://www.datacenterdynamics.com/en/news/soluna-to-develop-two-new-data-centers-in-texas-with-a-combined-capacity-of-350mw/</v>
      </c>
      <c r="AJ1061" s="1" t="str">
        <f>IFERROR(__xludf.DUMMYFUNCTION("""COMPUTED_VALUE"""),"")</f>
        <v/>
      </c>
      <c r="AK1061" s="1" t="str">
        <f>IFERROR(__xludf.DUMMYFUNCTION("""COMPUTED_VALUE"""),"")</f>
        <v/>
      </c>
      <c r="AL1061" s="1" t="str">
        <f>IFERROR(__xludf.DUMMYFUNCTION("""COMPUTED_VALUE"""),"")</f>
        <v/>
      </c>
      <c r="AM1061" s="1" t="str">
        <f>IFERROR(__xludf.DUMMYFUNCTION("""COMPUTED_VALUE"""),"")</f>
        <v/>
      </c>
      <c r="AN1061" s="1" t="str">
        <f>IFERROR(__xludf.DUMMYFUNCTION("""COMPUTED_VALUE"""),"")</f>
        <v/>
      </c>
      <c r="AO1061" s="1" t="str">
        <f>IFERROR(__xludf.DUMMYFUNCTION("""COMPUTED_VALUE"""),"")</f>
        <v/>
      </c>
      <c r="AP1061" s="1" t="str">
        <f>IFERROR(__xludf.DUMMYFUNCTION("""COMPUTED_VALUE"""),"")</f>
        <v/>
      </c>
      <c r="AQ1061" s="1" t="str">
        <f>IFERROR(__xludf.DUMMYFUNCTION("""COMPUTED_VALUE"""),"08/30/2025")</f>
        <v>08/30/2025</v>
      </c>
      <c r="AR1061" s="1" t="str">
        <f>IFERROR(__xludf.DUMMYFUNCTION("""COMPUTED_VALUE"""),"05/28/2026")</f>
        <v>05/28/2026</v>
      </c>
    </row>
    <row r="1062">
      <c r="A1062" s="1" t="str">
        <f>IFERROR(__xludf.DUMMYFUNCTION("""COMPUTED_VALUE"""),"Project Dorothy 2 (Soluna)")</f>
        <v>Project Dorothy 2 (Soluna)</v>
      </c>
      <c r="B1062" s="1" t="str">
        <f>IFERROR(__xludf.DUMMYFUNCTION("""COMPUTED_VALUE"""),"9981 Co Rd F")</f>
        <v>9981 Co Rd F</v>
      </c>
      <c r="C1062" s="1" t="str">
        <f>IFERROR(__xludf.DUMMYFUNCTION("""COMPUTED_VALUE"""),"Silverton")</f>
        <v>Silverton</v>
      </c>
      <c r="D1062" s="1" t="str">
        <f>IFERROR(__xludf.DUMMYFUNCTION("""COMPUTED_VALUE"""),"TX")</f>
        <v>TX</v>
      </c>
      <c r="E1062" s="1" t="str">
        <f>IFERROR(__xludf.DUMMYFUNCTION("""COMPUTED_VALUE"""),"79258")</f>
        <v>79258</v>
      </c>
      <c r="F1062" s="1" t="str">
        <f>IFERROR(__xludf.DUMMYFUNCTION("""COMPUTED_VALUE"""),"Briscoe")</f>
        <v>Briscoe</v>
      </c>
      <c r="G1062" s="1" t="str">
        <f>IFERROR(__xludf.DUMMYFUNCTION("""COMPUTED_VALUE"""),"34.39169")</f>
        <v>34.39169</v>
      </c>
      <c r="H1062" s="1" t="str">
        <f>IFERROR(__xludf.DUMMYFUNCTION("""COMPUTED_VALUE"""),"-101.314964")</f>
        <v>-101.314964</v>
      </c>
      <c r="I1062" s="1" t="str">
        <f>IFERROR(__xludf.DUMMYFUNCTION("""COMPUTED_VALUE"""),"Approved/Permitted/Under construction")</f>
        <v>Approved/Permitted/Under construction</v>
      </c>
      <c r="J1062" s="1" t="str">
        <f>IFERROR(__xludf.DUMMYFUNCTION("""COMPUTED_VALUE"""),"High")</f>
        <v>High</v>
      </c>
      <c r="K1062" s="1" t="str">
        <f>IFERROR(__xludf.DUMMYFUNCTION("""COMPUTED_VALUE"""),"")</f>
        <v/>
      </c>
      <c r="L1062" s="1" t="str">
        <f>IFERROR(__xludf.DUMMYFUNCTION("""COMPUTED_VALUE"""),"")</f>
        <v/>
      </c>
      <c r="M1062" s="1" t="str">
        <f>IFERROR(__xludf.DUMMYFUNCTION("""COMPUTED_VALUE"""),"")</f>
        <v/>
      </c>
      <c r="N1062" s="1" t="str">
        <f>IFERROR(__xludf.DUMMYFUNCTION("""COMPUTED_VALUE"""),"48")</f>
        <v>48</v>
      </c>
      <c r="O1062" s="1" t="str">
        <f>IFERROR(__xludf.DUMMYFUNCTION("""COMPUTED_VALUE"""),"Medium (11-50 MW)")</f>
        <v>Medium (11-50 MW)</v>
      </c>
      <c r="P1062" s="1" t="str">
        <f>IFERROR(__xludf.DUMMYFUNCTION("""COMPUTED_VALUE"""),"")</f>
        <v/>
      </c>
      <c r="Q1062" s="1" t="str">
        <f>IFERROR(__xludf.DUMMYFUNCTION("""COMPUTED_VALUE"""),"")</f>
        <v/>
      </c>
      <c r="R1062" s="1" t="str">
        <f>IFERROR(__xludf.DUMMYFUNCTION("""COMPUTED_VALUE"""),"")</f>
        <v/>
      </c>
      <c r="S1062" s="1" t="str">
        <f>IFERROR(__xludf.DUMMYFUNCTION("""COMPUTED_VALUE"""),"")</f>
        <v/>
      </c>
      <c r="T1062" s="1" t="str">
        <f>IFERROR(__xludf.DUMMYFUNCTION("""COMPUTED_VALUE"""),"")</f>
        <v/>
      </c>
      <c r="U1062" s="1" t="str">
        <f>IFERROR(__xludf.DUMMYFUNCTION("""COMPUTED_VALUE"""),"")</f>
        <v/>
      </c>
      <c r="V1062" s="1" t="str">
        <f>IFERROR(__xludf.DUMMYFUNCTION("""COMPUTED_VALUE"""),"")</f>
        <v/>
      </c>
      <c r="W1062" s="1" t="str">
        <f>IFERROR(__xludf.DUMMYFUNCTION("""COMPUTED_VALUE"""),"")</f>
        <v/>
      </c>
      <c r="X1062" s="1" t="str">
        <f>IFERROR(__xludf.DUMMYFUNCTION("""COMPUTED_VALUE"""),"")</f>
        <v/>
      </c>
      <c r="Y1062" s="1" t="str">
        <f>IFERROR(__xludf.DUMMYFUNCTION("""COMPUTED_VALUE"""),"")</f>
        <v/>
      </c>
      <c r="Z1062" s="1" t="str">
        <f>IFERROR(__xludf.DUMMYFUNCTION("""COMPUTED_VALUE"""),"Unknown")</f>
        <v>Unknown</v>
      </c>
      <c r="AA1062" s="1" t="str">
        <f>IFERROR(__xludf.DUMMYFUNCTION("""COMPUTED_VALUE"""),"")</f>
        <v/>
      </c>
      <c r="AB1062" s="1" t="str">
        <f>IFERROR(__xludf.DUMMYFUNCTION("""COMPUTED_VALUE"""),"")</f>
        <v/>
      </c>
      <c r="AC1062" s="1" t="str">
        <f>IFERROR(__xludf.DUMMYFUNCTION("""COMPUTED_VALUE"""),"")</f>
        <v/>
      </c>
      <c r="AD1062" s="1" t="str">
        <f>IFERROR(__xludf.DUMMYFUNCTION("""COMPUTED_VALUE"""),"")</f>
        <v/>
      </c>
      <c r="AE1062" s="1" t="str">
        <f>IFERROR(__xludf.DUMMYFUNCTION("""COMPUTED_VALUE"""),"")</f>
        <v/>
      </c>
      <c r="AF1062" s="1" t="str">
        <f>IFERROR(__xludf.DUMMYFUNCTION("""COMPUTED_VALUE"""),"")</f>
        <v/>
      </c>
      <c r="AG1062" s="1" t="str">
        <f>IFERROR(__xludf.DUMMYFUNCTION("""COMPUTED_VALUE"""),"")</f>
        <v/>
      </c>
      <c r="AH1062" s="1" t="str">
        <f>IFERROR(__xludf.DUMMYFUNCTION("""COMPUTED_VALUE"""),"Media Monitoring")</f>
        <v>Media Monitoring</v>
      </c>
      <c r="AI1062" s="2" t="str">
        <f>IFERROR(__xludf.DUMMYFUNCTION("""COMPUTED_VALUE"""),"https://www.datacenterdynamics.com/en/news/soluna-to-develop-two-new-data-centers-in-texas-with-a-combined-capacity-of-350mw/")</f>
        <v>https://www.datacenterdynamics.com/en/news/soluna-to-develop-two-new-data-centers-in-texas-with-a-combined-capacity-of-350mw/</v>
      </c>
      <c r="AJ1062" s="1" t="str">
        <f>IFERROR(__xludf.DUMMYFUNCTION("""COMPUTED_VALUE"""),"")</f>
        <v/>
      </c>
      <c r="AK1062" s="1" t="str">
        <f>IFERROR(__xludf.DUMMYFUNCTION("""COMPUTED_VALUE"""),"")</f>
        <v/>
      </c>
      <c r="AL1062" s="1" t="str">
        <f>IFERROR(__xludf.DUMMYFUNCTION("""COMPUTED_VALUE"""),"")</f>
        <v/>
      </c>
      <c r="AM1062" s="1" t="str">
        <f>IFERROR(__xludf.DUMMYFUNCTION("""COMPUTED_VALUE"""),"")</f>
        <v/>
      </c>
      <c r="AN1062" s="1" t="str">
        <f>IFERROR(__xludf.DUMMYFUNCTION("""COMPUTED_VALUE"""),"")</f>
        <v/>
      </c>
      <c r="AO1062" s="1" t="str">
        <f>IFERROR(__xludf.DUMMYFUNCTION("""COMPUTED_VALUE"""),"")</f>
        <v/>
      </c>
      <c r="AP1062" s="1" t="str">
        <f>IFERROR(__xludf.DUMMYFUNCTION("""COMPUTED_VALUE"""),"")</f>
        <v/>
      </c>
      <c r="AQ1062" s="1" t="str">
        <f>IFERROR(__xludf.DUMMYFUNCTION("""COMPUTED_VALUE"""),"08/30/2025")</f>
        <v>08/30/2025</v>
      </c>
      <c r="AR1062" s="1" t="str">
        <f>IFERROR(__xludf.DUMMYFUNCTION("""COMPUTED_VALUE"""),"05/28/2026")</f>
        <v>05/28/2026</v>
      </c>
    </row>
    <row r="1063">
      <c r="A1063" s="1" t="str">
        <f>IFERROR(__xludf.DUMMYFUNCTION("""COMPUTED_VALUE"""),"Oppidan Data Center")</f>
        <v>Oppidan Data Center</v>
      </c>
      <c r="B1063" s="1" t="str">
        <f>IFERROR(__xludf.DUMMYFUNCTION("""COMPUTED_VALUE"""),"9879 N Loop Dr")</f>
        <v>9879 N Loop Dr</v>
      </c>
      <c r="C1063" s="1" t="str">
        <f>IFERROR(__xludf.DUMMYFUNCTION("""COMPUTED_VALUE"""),"Socorro")</f>
        <v>Socorro</v>
      </c>
      <c r="D1063" s="1" t="str">
        <f>IFERROR(__xludf.DUMMYFUNCTION("""COMPUTED_VALUE"""),"TX")</f>
        <v>TX</v>
      </c>
      <c r="E1063" s="1" t="str">
        <f>IFERROR(__xludf.DUMMYFUNCTION("""COMPUTED_VALUE"""),"79927")</f>
        <v>79927</v>
      </c>
      <c r="F1063" s="1" t="str">
        <f>IFERROR(__xludf.DUMMYFUNCTION("""COMPUTED_VALUE"""),"El Paso")</f>
        <v>El Paso</v>
      </c>
      <c r="G1063" s="1" t="str">
        <f>IFERROR(__xludf.DUMMYFUNCTION("""COMPUTED_VALUE"""),"31.67769")</f>
        <v>31.67769</v>
      </c>
      <c r="H1063" s="1" t="str">
        <f>IFERROR(__xludf.DUMMYFUNCTION("""COMPUTED_VALUE"""),"-106.289")</f>
        <v>-106.289</v>
      </c>
      <c r="I1063" s="1" t="str">
        <f>IFERROR(__xludf.DUMMYFUNCTION("""COMPUTED_VALUE"""),"Proposed")</f>
        <v>Proposed</v>
      </c>
      <c r="J1063" s="1" t="str">
        <f>IFERROR(__xludf.DUMMYFUNCTION("""COMPUTED_VALUE"""),"High")</f>
        <v>High</v>
      </c>
      <c r="K1063" s="1" t="str">
        <f>IFERROR(__xludf.DUMMYFUNCTION("""COMPUTED_VALUE"""),"")</f>
        <v/>
      </c>
      <c r="L1063" s="1" t="str">
        <f>IFERROR(__xludf.DUMMYFUNCTION("""COMPUTED_VALUE"""),"")</f>
        <v/>
      </c>
      <c r="M1063" s="1" t="str">
        <f>IFERROR(__xludf.DUMMYFUNCTION("""COMPUTED_VALUE"""),"")</f>
        <v/>
      </c>
      <c r="N1063" s="1" t="str">
        <f>IFERROR(__xludf.DUMMYFUNCTION("""COMPUTED_VALUE"""),"5")</f>
        <v>5</v>
      </c>
      <c r="O1063" s="1" t="str">
        <f>IFERROR(__xludf.DUMMYFUNCTION("""COMPUTED_VALUE"""),"Small (0-10 MW)")</f>
        <v>Small (0-10 MW)</v>
      </c>
      <c r="P1063" s="1" t="str">
        <f>IFERROR(__xludf.DUMMYFUNCTION("""COMPUTED_VALUE"""),"")</f>
        <v/>
      </c>
      <c r="Q1063" s="1" t="str">
        <f>IFERROR(__xludf.DUMMYFUNCTION("""COMPUTED_VALUE"""),"")</f>
        <v/>
      </c>
      <c r="R1063" s="1" t="str">
        <f>IFERROR(__xludf.DUMMYFUNCTION("""COMPUTED_VALUE"""),"")</f>
        <v/>
      </c>
      <c r="S1063" s="1" t="str">
        <f>IFERROR(__xludf.DUMMYFUNCTION("""COMPUTED_VALUE"""),"")</f>
        <v/>
      </c>
      <c r="T1063" s="1" t="str">
        <f>IFERROR(__xludf.DUMMYFUNCTION("""COMPUTED_VALUE"""),"")</f>
        <v/>
      </c>
      <c r="U1063" s="1" t="str">
        <f>IFERROR(__xludf.DUMMYFUNCTION("""COMPUTED_VALUE"""),"")</f>
        <v/>
      </c>
      <c r="V1063" s="1" t="str">
        <f>IFERROR(__xludf.DUMMYFUNCTION("""COMPUTED_VALUE"""),"61,555")</f>
        <v>61,555</v>
      </c>
      <c r="W1063" s="1" t="str">
        <f>IFERROR(__xludf.DUMMYFUNCTION("""COMPUTED_VALUE"""),"")</f>
        <v/>
      </c>
      <c r="X1063" s="1" t="str">
        <f>IFERROR(__xludf.DUMMYFUNCTION("""COMPUTED_VALUE"""),"$27.1 million")</f>
        <v>$27.1 million</v>
      </c>
      <c r="Y1063" s="1" t="str">
        <f>IFERROR(__xludf.DUMMYFUNCTION("""COMPUTED_VALUE"""),"")</f>
        <v/>
      </c>
      <c r="Z1063" s="1" t="str">
        <f>IFERROR(__xludf.DUMMYFUNCTION("""COMPUTED_VALUE"""),"Unknown")</f>
        <v>Unknown</v>
      </c>
      <c r="AA1063" s="1" t="str">
        <f>IFERROR(__xludf.DUMMYFUNCTION("""COMPUTED_VALUE"""),"")</f>
        <v/>
      </c>
      <c r="AB1063" s="1" t="str">
        <f>IFERROR(__xludf.DUMMYFUNCTION("""COMPUTED_VALUE"""),"")</f>
        <v/>
      </c>
      <c r="AC1063" s="1" t="str">
        <f>IFERROR(__xludf.DUMMYFUNCTION("""COMPUTED_VALUE"""),"")</f>
        <v/>
      </c>
      <c r="AD1063" s="1" t="str">
        <f>IFERROR(__xludf.DUMMYFUNCTION("""COMPUTED_VALUE"""),"")</f>
        <v/>
      </c>
      <c r="AE1063" s="1" t="str">
        <f>IFERROR(__xludf.DUMMYFUNCTION("""COMPUTED_VALUE"""),"")</f>
        <v/>
      </c>
      <c r="AF1063" s="1" t="str">
        <f>IFERROR(__xludf.DUMMYFUNCTION("""COMPUTED_VALUE"""),"")</f>
        <v/>
      </c>
      <c r="AG1063" s="1" t="str">
        <f>IFERROR(__xludf.DUMMYFUNCTION("""COMPUTED_VALUE"""),"")</f>
        <v/>
      </c>
      <c r="AH1063" s="1" t="str">
        <f>IFERROR(__xludf.DUMMYFUNCTION("""COMPUTED_VALUE"""),"Media Monitoring")</f>
        <v>Media Monitoring</v>
      </c>
      <c r="AI1063" s="2" t="str">
        <f>IFERROR(__xludf.DUMMYFUNCTION("""COMPUTED_VALUE"""),"https://www.datacenterdynamics.com/en/news/oppidan-files-for-5mw-data-center-in-el-paso-texas/")</f>
        <v>https://www.datacenterdynamics.com/en/news/oppidan-files-for-5mw-data-center-in-el-paso-texas/</v>
      </c>
      <c r="AJ1063" s="1" t="str">
        <f>IFERROR(__xludf.DUMMYFUNCTION("""COMPUTED_VALUE"""),"")</f>
        <v/>
      </c>
      <c r="AK1063" s="1" t="str">
        <f>IFERROR(__xludf.DUMMYFUNCTION("""COMPUTED_VALUE"""),"")</f>
        <v/>
      </c>
      <c r="AL1063" s="1" t="str">
        <f>IFERROR(__xludf.DUMMYFUNCTION("""COMPUTED_VALUE"""),"")</f>
        <v/>
      </c>
      <c r="AM1063" s="1" t="str">
        <f>IFERROR(__xludf.DUMMYFUNCTION("""COMPUTED_VALUE"""),"")</f>
        <v/>
      </c>
      <c r="AN1063" s="1" t="str">
        <f>IFERROR(__xludf.DUMMYFUNCTION("""COMPUTED_VALUE"""),"")</f>
        <v/>
      </c>
      <c r="AO1063" s="1" t="str">
        <f>IFERROR(__xludf.DUMMYFUNCTION("""COMPUTED_VALUE"""),"")</f>
        <v/>
      </c>
      <c r="AP1063" s="1" t="str">
        <f>IFERROR(__xludf.DUMMYFUNCTION("""COMPUTED_VALUE"""),"")</f>
        <v/>
      </c>
      <c r="AQ1063" s="1" t="str">
        <f>IFERROR(__xludf.DUMMYFUNCTION("""COMPUTED_VALUE"""),"08/12/2025")</f>
        <v>08/12/2025</v>
      </c>
      <c r="AR1063" s="1" t="str">
        <f>IFERROR(__xludf.DUMMYFUNCTION("""COMPUTED_VALUE"""),"08/12/2025")</f>
        <v>08/12/2025</v>
      </c>
    </row>
    <row r="1064">
      <c r="A1064" s="1" t="str">
        <f>IFERROR(__xludf.DUMMYFUNCTION("""COMPUTED_VALUE"""),"Sugar Land Data Center")</f>
        <v>Sugar Land Data Center</v>
      </c>
      <c r="B1064" s="1" t="str">
        <f>IFERROR(__xludf.DUMMYFUNCTION("""COMPUTED_VALUE"""),"8306 Hwy 90 Alt")</f>
        <v>8306 Hwy 90 Alt</v>
      </c>
      <c r="C1064" s="1" t="str">
        <f>IFERROR(__xludf.DUMMYFUNCTION("""COMPUTED_VALUE"""),"Sugar Land")</f>
        <v>Sugar Land</v>
      </c>
      <c r="D1064" s="1" t="str">
        <f>IFERROR(__xludf.DUMMYFUNCTION("""COMPUTED_VALUE"""),"TX")</f>
        <v>TX</v>
      </c>
      <c r="E1064" s="1" t="str">
        <f>IFERROR(__xludf.DUMMYFUNCTION("""COMPUTED_VALUE"""),"77478")</f>
        <v>77478</v>
      </c>
      <c r="F1064" s="1" t="str">
        <f>IFERROR(__xludf.DUMMYFUNCTION("""COMPUTED_VALUE"""),"Fort Bend")</f>
        <v>Fort Bend</v>
      </c>
      <c r="G1064" s="1" t="str">
        <f>IFERROR(__xludf.DUMMYFUNCTION("""COMPUTED_VALUE"""),"29.62003")</f>
        <v>29.62003</v>
      </c>
      <c r="H1064" s="1" t="str">
        <f>IFERROR(__xludf.DUMMYFUNCTION("""COMPUTED_VALUE"""),"-95.6306")</f>
        <v>-95.6306</v>
      </c>
      <c r="I1064" s="1" t="str">
        <f>IFERROR(__xludf.DUMMYFUNCTION("""COMPUTED_VALUE"""),"Operating")</f>
        <v>Operating</v>
      </c>
      <c r="J1064" s="1" t="str">
        <f>IFERROR(__xludf.DUMMYFUNCTION("""COMPUTED_VALUE"""),"High")</f>
        <v>High</v>
      </c>
      <c r="K1064" s="1" t="str">
        <f>IFERROR(__xludf.DUMMYFUNCTION("""COMPUTED_VALUE"""),"")</f>
        <v/>
      </c>
      <c r="L1064" s="1" t="str">
        <f>IFERROR(__xludf.DUMMYFUNCTION("""COMPUTED_VALUE"""),"")</f>
        <v/>
      </c>
      <c r="M1064" s="1" t="str">
        <f>IFERROR(__xludf.DUMMYFUNCTION("""COMPUTED_VALUE"""),"")</f>
        <v/>
      </c>
      <c r="N1064" s="1" t="str">
        <f>IFERROR(__xludf.DUMMYFUNCTION("""COMPUTED_VALUE"""),"")</f>
        <v/>
      </c>
      <c r="O1064" s="1" t="str">
        <f>IFERROR(__xludf.DUMMYFUNCTION("""COMPUTED_VALUE"""),"Unknown")</f>
        <v>Unknown</v>
      </c>
      <c r="P1064" s="1" t="str">
        <f>IFERROR(__xludf.DUMMYFUNCTION("""COMPUTED_VALUE"""),"")</f>
        <v/>
      </c>
      <c r="Q1064" s="1" t="str">
        <f>IFERROR(__xludf.DUMMYFUNCTION("""COMPUTED_VALUE"""),"")</f>
        <v/>
      </c>
      <c r="R1064" s="1" t="str">
        <f>IFERROR(__xludf.DUMMYFUNCTION("""COMPUTED_VALUE"""),"")</f>
        <v/>
      </c>
      <c r="S1064" s="1" t="str">
        <f>IFERROR(__xludf.DUMMYFUNCTION("""COMPUTED_VALUE"""),"")</f>
        <v/>
      </c>
      <c r="T1064" s="1" t="str">
        <f>IFERROR(__xludf.DUMMYFUNCTION("""COMPUTED_VALUE"""),"")</f>
        <v/>
      </c>
      <c r="U1064" s="1" t="str">
        <f>IFERROR(__xludf.DUMMYFUNCTION("""COMPUTED_VALUE"""),"")</f>
        <v/>
      </c>
      <c r="V1064" s="1" t="str">
        <f>IFERROR(__xludf.DUMMYFUNCTION("""COMPUTED_VALUE"""),"38,370")</f>
        <v>38,370</v>
      </c>
      <c r="W1064" s="1" t="str">
        <f>IFERROR(__xludf.DUMMYFUNCTION("""COMPUTED_VALUE"""),"")</f>
        <v/>
      </c>
      <c r="X1064" s="1" t="str">
        <f>IFERROR(__xludf.DUMMYFUNCTION("""COMPUTED_VALUE"""),"")</f>
        <v/>
      </c>
      <c r="Y1064" s="1" t="str">
        <f>IFERROR(__xludf.DUMMYFUNCTION("""COMPUTED_VALUE"""),"")</f>
        <v/>
      </c>
      <c r="Z1064" s="1" t="str">
        <f>IFERROR(__xludf.DUMMYFUNCTION("""COMPUTED_VALUE"""),"Unknown")</f>
        <v>Unknown</v>
      </c>
      <c r="AA1064" s="1" t="str">
        <f>IFERROR(__xludf.DUMMYFUNCTION("""COMPUTED_VALUE"""),"")</f>
        <v/>
      </c>
      <c r="AB1064" s="1" t="str">
        <f>IFERROR(__xludf.DUMMYFUNCTION("""COMPUTED_VALUE"""),"")</f>
        <v/>
      </c>
      <c r="AC1064" s="1" t="str">
        <f>IFERROR(__xludf.DUMMYFUNCTION("""COMPUTED_VALUE"""),"")</f>
        <v/>
      </c>
      <c r="AD1064" s="1" t="str">
        <f>IFERROR(__xludf.DUMMYFUNCTION("""COMPUTED_VALUE"""),"")</f>
        <v/>
      </c>
      <c r="AE1064" s="1" t="str">
        <f>IFERROR(__xludf.DUMMYFUNCTION("""COMPUTED_VALUE"""),"")</f>
        <v/>
      </c>
      <c r="AF1064" s="1" t="str">
        <f>IFERROR(__xludf.DUMMYFUNCTION("""COMPUTED_VALUE"""),"")</f>
        <v/>
      </c>
      <c r="AG1064" s="1" t="str">
        <f>IFERROR(__xludf.DUMMYFUNCTION("""COMPUTED_VALUE"""),"")</f>
        <v/>
      </c>
      <c r="AH1064" s="1" t="str">
        <f>IFERROR(__xludf.DUMMYFUNCTION("""COMPUTED_VALUE"""),"Media Monitoring")</f>
        <v>Media Monitoring</v>
      </c>
      <c r="AI1064" s="2" t="str">
        <f>IFERROR(__xludf.DUMMYFUNCTION("""COMPUTED_VALUE"""),"https://invest.jll.com/us/en/listings/special-purpose-facility/8-asset-switch-portfolio")</f>
        <v>https://invest.jll.com/us/en/listings/special-purpose-facility/8-asset-switch-portfolio</v>
      </c>
      <c r="AJ1064" s="1" t="str">
        <f>IFERROR(__xludf.DUMMYFUNCTION("""COMPUTED_VALUE"""),"")</f>
        <v/>
      </c>
      <c r="AK1064" s="1" t="str">
        <f>IFERROR(__xludf.DUMMYFUNCTION("""COMPUTED_VALUE"""),"")</f>
        <v/>
      </c>
      <c r="AL1064" s="1" t="str">
        <f>IFERROR(__xludf.DUMMYFUNCTION("""COMPUTED_VALUE"""),"")</f>
        <v/>
      </c>
      <c r="AM1064" s="1" t="str">
        <f>IFERROR(__xludf.DUMMYFUNCTION("""COMPUTED_VALUE"""),"")</f>
        <v/>
      </c>
      <c r="AN1064" s="1" t="str">
        <f>IFERROR(__xludf.DUMMYFUNCTION("""COMPUTED_VALUE"""),"")</f>
        <v/>
      </c>
      <c r="AO1064" s="1" t="str">
        <f>IFERROR(__xludf.DUMMYFUNCTION("""COMPUTED_VALUE"""),"")</f>
        <v/>
      </c>
      <c r="AP1064" s="1" t="str">
        <f>IFERROR(__xludf.DUMMYFUNCTION("""COMPUTED_VALUE"""),"")</f>
        <v/>
      </c>
      <c r="AQ1064" s="1" t="str">
        <f>IFERROR(__xludf.DUMMYFUNCTION("""COMPUTED_VALUE"""),"05/27/2025")</f>
        <v>05/27/2025</v>
      </c>
      <c r="AR1064" s="1" t="str">
        <f>IFERROR(__xludf.DUMMYFUNCTION("""COMPUTED_VALUE"""),"05/27/2025")</f>
        <v>05/27/2025</v>
      </c>
    </row>
    <row r="1065">
      <c r="A1065" s="1" t="str">
        <f>IFERROR(__xludf.DUMMYFUNCTION("""COMPUTED_VALUE"""),"MSB Global Services Matrix Data Center")</f>
        <v>MSB Global Services Matrix Data Center</v>
      </c>
      <c r="B1065" s="1" t="str">
        <f>IFERROR(__xludf.DUMMYFUNCTION("""COMPUTED_VALUE"""),"")</f>
        <v/>
      </c>
      <c r="C1065" s="1" t="str">
        <f>IFERROR(__xludf.DUMMYFUNCTION("""COMPUTED_VALUE"""),"Sulphur Springs")</f>
        <v>Sulphur Springs</v>
      </c>
      <c r="D1065" s="1" t="str">
        <f>IFERROR(__xludf.DUMMYFUNCTION("""COMPUTED_VALUE"""),"TX")</f>
        <v>TX</v>
      </c>
      <c r="E1065" s="1" t="str">
        <f>IFERROR(__xludf.DUMMYFUNCTION("""COMPUTED_VALUE"""),"75482")</f>
        <v>75482</v>
      </c>
      <c r="F1065" s="1" t="str">
        <f>IFERROR(__xludf.DUMMYFUNCTION("""COMPUTED_VALUE"""),"Hopkins")</f>
        <v>Hopkins</v>
      </c>
      <c r="G1065" s="1" t="str">
        <f>IFERROR(__xludf.DUMMYFUNCTION("""COMPUTED_VALUE"""),"33.08515")</f>
        <v>33.08515</v>
      </c>
      <c r="H1065" s="1" t="str">
        <f>IFERROR(__xludf.DUMMYFUNCTION("""COMPUTED_VALUE"""),"-95.546")</f>
        <v>-95.546</v>
      </c>
      <c r="I1065" s="1" t="str">
        <f>IFERROR(__xludf.DUMMYFUNCTION("""COMPUTED_VALUE"""),"Proposed")</f>
        <v>Proposed</v>
      </c>
      <c r="J1065" s="1" t="str">
        <f>IFERROR(__xludf.DUMMYFUNCTION("""COMPUTED_VALUE"""),"High")</f>
        <v>High</v>
      </c>
      <c r="K1065" s="1" t="str">
        <f>IFERROR(__xludf.DUMMYFUNCTION("""COMPUTED_VALUE"""),"")</f>
        <v/>
      </c>
      <c r="L1065" s="1" t="str">
        <f>IFERROR(__xludf.DUMMYFUNCTION("""COMPUTED_VALUE"""),"")</f>
        <v/>
      </c>
      <c r="M1065" s="1" t="str">
        <f>IFERROR(__xludf.DUMMYFUNCTION("""COMPUTED_VALUE"""),"")</f>
        <v/>
      </c>
      <c r="N1065" s="1" t="str">
        <f>IFERROR(__xludf.DUMMYFUNCTION("""COMPUTED_VALUE"""),"3000")</f>
        <v>3000</v>
      </c>
      <c r="O1065" s="1" t="str">
        <f>IFERROR(__xludf.DUMMYFUNCTION("""COMPUTED_VALUE"""),"Mega campus (&gt;1,000 MW)")</f>
        <v>Mega campus (&gt;1,000 MW)</v>
      </c>
      <c r="P1065" s="1" t="str">
        <f>IFERROR(__xludf.DUMMYFUNCTION("""COMPUTED_VALUE"""),"")</f>
        <v/>
      </c>
      <c r="Q1065" s="1" t="str">
        <f>IFERROR(__xludf.DUMMYFUNCTION("""COMPUTED_VALUE"""),"")</f>
        <v/>
      </c>
      <c r="R1065" s="1" t="str">
        <f>IFERROR(__xludf.DUMMYFUNCTION("""COMPUTED_VALUE"""),"")</f>
        <v/>
      </c>
      <c r="S1065" s="1" t="str">
        <f>IFERROR(__xludf.DUMMYFUNCTION("""COMPUTED_VALUE"""),"30")</f>
        <v>30</v>
      </c>
      <c r="T1065" s="1" t="str">
        <f>IFERROR(__xludf.DUMMYFUNCTION("""COMPUTED_VALUE"""),"")</f>
        <v/>
      </c>
      <c r="U1065" s="1" t="str">
        <f>IFERROR(__xludf.DUMMYFUNCTION("""COMPUTED_VALUE"""),"")</f>
        <v/>
      </c>
      <c r="V1065" s="1" t="str">
        <f>IFERROR(__xludf.DUMMYFUNCTION("""COMPUTED_VALUE"""),"")</f>
        <v/>
      </c>
      <c r="W1065" s="1" t="str">
        <f>IFERROR(__xludf.DUMMYFUNCTION("""COMPUTED_VALUE"""),"1677")</f>
        <v>1677</v>
      </c>
      <c r="X1065" s="1" t="str">
        <f>IFERROR(__xludf.DUMMYFUNCTION("""COMPUTED_VALUE"""),"")</f>
        <v/>
      </c>
      <c r="Y1065" s="1" t="str">
        <f>IFERROR(__xludf.DUMMYFUNCTION("""COMPUTED_VALUE"""),"")</f>
        <v/>
      </c>
      <c r="Z1065" s="1" t="str">
        <f>IFERROR(__xludf.DUMMYFUNCTION("""COMPUTED_VALUE"""),"Unknown")</f>
        <v>Unknown</v>
      </c>
      <c r="AA1065" s="1" t="str">
        <f>IFERROR(__xludf.DUMMYFUNCTION("""COMPUTED_VALUE"""),"")</f>
        <v/>
      </c>
      <c r="AB1065" s="1" t="str">
        <f>IFERROR(__xludf.DUMMYFUNCTION("""COMPUTED_VALUE"""),"")</f>
        <v/>
      </c>
      <c r="AC1065" s="1" t="str">
        <f>IFERROR(__xludf.DUMMYFUNCTION("""COMPUTED_VALUE"""),"")</f>
        <v/>
      </c>
      <c r="AD1065" s="1" t="str">
        <f>IFERROR(__xludf.DUMMYFUNCTION("""COMPUTED_VALUE"""),"")</f>
        <v/>
      </c>
      <c r="AE1065" s="1" t="str">
        <f>IFERROR(__xludf.DUMMYFUNCTION("""COMPUTED_VALUE"""),"")</f>
        <v/>
      </c>
      <c r="AF1065" s="1" t="str">
        <f>IFERROR(__xludf.DUMMYFUNCTION("""COMPUTED_VALUE"""),"")</f>
        <v/>
      </c>
      <c r="AG1065" s="1" t="str">
        <f>IFERROR(__xludf.DUMMYFUNCTION("""COMPUTED_VALUE"""),"Hyperscale facility")</f>
        <v>Hyperscale facility</v>
      </c>
      <c r="AH1065" s="1" t="str">
        <f>IFERROR(__xludf.DUMMYFUNCTION("""COMPUTED_VALUE"""),"Media Monitoring")</f>
        <v>Media Monitoring</v>
      </c>
      <c r="AI1065" s="2" t="str">
        <f>IFERROR(__xludf.DUMMYFUNCTION("""COMPUTED_VALUE"""),"https://msbglobalservices.com/matrix-data-center-campus-breaks-ground-in-sulphur-springs-tx-a-new-era-for-net-zero-ai-infrastructure/")</f>
        <v>https://msbglobalservices.com/matrix-data-center-campus-breaks-ground-in-sulphur-springs-tx-a-new-era-for-net-zero-ai-infrastructure/</v>
      </c>
      <c r="AJ1065" s="2" t="str">
        <f>IFERROR(__xludf.DUMMYFUNCTION("""COMPUTED_VALUE"""),"https://www.ketk.com/news/local-news/30-ai-data-centers-to-be-built-at-sulphur-springs-campus/")</f>
        <v>https://www.ketk.com/news/local-news/30-ai-data-centers-to-be-built-at-sulphur-springs-campus/</v>
      </c>
      <c r="AK1065" s="1" t="str">
        <f>IFERROR(__xludf.DUMMYFUNCTION("""COMPUTED_VALUE"""),"")</f>
        <v/>
      </c>
      <c r="AL1065" s="1" t="str">
        <f>IFERROR(__xludf.DUMMYFUNCTION("""COMPUTED_VALUE"""),"")</f>
        <v/>
      </c>
      <c r="AM1065" s="1" t="str">
        <f>IFERROR(__xludf.DUMMYFUNCTION("""COMPUTED_VALUE"""),"")</f>
        <v/>
      </c>
      <c r="AN1065" s="1" t="str">
        <f>IFERROR(__xludf.DUMMYFUNCTION("""COMPUTED_VALUE"""),"")</f>
        <v/>
      </c>
      <c r="AO1065" s="1" t="str">
        <f>IFERROR(__xludf.DUMMYFUNCTION("""COMPUTED_VALUE"""),"")</f>
        <v/>
      </c>
      <c r="AP1065" s="1" t="str">
        <f>IFERROR(__xludf.DUMMYFUNCTION("""COMPUTED_VALUE"""),"")</f>
        <v/>
      </c>
      <c r="AQ1065" s="1" t="str">
        <f>IFERROR(__xludf.DUMMYFUNCTION("""COMPUTED_VALUE"""),"09/23/2025")</f>
        <v>09/23/2025</v>
      </c>
      <c r="AR1065" s="1" t="str">
        <f>IFERROR(__xludf.DUMMYFUNCTION("""COMPUTED_VALUE"""),"09/23/2025")</f>
        <v>09/23/2025</v>
      </c>
    </row>
    <row r="1066">
      <c r="A1066" s="1" t="str">
        <f>IFERROR(__xludf.DUMMYFUNCTION("""COMPUTED_VALUE"""),"Sweetwater 1 and 2")</f>
        <v>Sweetwater 1 and 2</v>
      </c>
      <c r="B1066" s="1" t="str">
        <f>IFERROR(__xludf.DUMMYFUNCTION("""COMPUTED_VALUE"""),"Fisher County")</f>
        <v>Fisher County</v>
      </c>
      <c r="C1066" s="1" t="str">
        <f>IFERROR(__xludf.DUMMYFUNCTION("""COMPUTED_VALUE"""),"Sweetwater")</f>
        <v>Sweetwater</v>
      </c>
      <c r="D1066" s="1" t="str">
        <f>IFERROR(__xludf.DUMMYFUNCTION("""COMPUTED_VALUE"""),"TX")</f>
        <v>TX</v>
      </c>
      <c r="E1066" s="1" t="str">
        <f>IFERROR(__xludf.DUMMYFUNCTION("""COMPUTED_VALUE"""),"")</f>
        <v/>
      </c>
      <c r="F1066" s="1" t="str">
        <f>IFERROR(__xludf.DUMMYFUNCTION("""COMPUTED_VALUE"""),"Fisher")</f>
        <v>Fisher</v>
      </c>
      <c r="G1066" s="1" t="str">
        <f>IFERROR(__xludf.DUMMYFUNCTION("""COMPUTED_VALUE"""),"32.533386")</f>
        <v>32.533386</v>
      </c>
      <c r="H1066" s="1" t="str">
        <f>IFERROR(__xludf.DUMMYFUNCTION("""COMPUTED_VALUE"""),"-100.40961")</f>
        <v>-100.40961</v>
      </c>
      <c r="I1066" s="1" t="str">
        <f>IFERROR(__xludf.DUMMYFUNCTION("""COMPUTED_VALUE"""),"Proposed")</f>
        <v>Proposed</v>
      </c>
      <c r="J1066" s="1" t="str">
        <f>IFERROR(__xludf.DUMMYFUNCTION("""COMPUTED_VALUE"""),"Medium")</f>
        <v>Medium</v>
      </c>
      <c r="K1066" s="1" t="str">
        <f>IFERROR(__xludf.DUMMYFUNCTION("""COMPUTED_VALUE"""),"")</f>
        <v/>
      </c>
      <c r="L1066" s="1" t="str">
        <f>IFERROR(__xludf.DUMMYFUNCTION("""COMPUTED_VALUE"""),"IREN")</f>
        <v>IREN</v>
      </c>
      <c r="M1066" s="1" t="str">
        <f>IFERROR(__xludf.DUMMYFUNCTION("""COMPUTED_VALUE"""),"")</f>
        <v/>
      </c>
      <c r="N1066" s="1" t="str">
        <f>IFERROR(__xludf.DUMMYFUNCTION("""COMPUTED_VALUE"""),"2000")</f>
        <v>2000</v>
      </c>
      <c r="O1066" s="1" t="str">
        <f>IFERROR(__xludf.DUMMYFUNCTION("""COMPUTED_VALUE"""),"Mega campus (&gt;1,000 MW)")</f>
        <v>Mega campus (&gt;1,000 MW)</v>
      </c>
      <c r="P1066" s="1" t="str">
        <f>IFERROR(__xludf.DUMMYFUNCTION("""COMPUTED_VALUE"""),"")</f>
        <v/>
      </c>
      <c r="Q1066" s="1" t="str">
        <f>IFERROR(__xludf.DUMMYFUNCTION("""COMPUTED_VALUE"""),"")</f>
        <v/>
      </c>
      <c r="R1066" s="1" t="str">
        <f>IFERROR(__xludf.DUMMYFUNCTION("""COMPUTED_VALUE"""),"")</f>
        <v/>
      </c>
      <c r="S1066" s="1" t="str">
        <f>IFERROR(__xludf.DUMMYFUNCTION("""COMPUTED_VALUE"""),"")</f>
        <v/>
      </c>
      <c r="T1066" s="1" t="str">
        <f>IFERROR(__xludf.DUMMYFUNCTION("""COMPUTED_VALUE"""),"")</f>
        <v/>
      </c>
      <c r="U1066" s="1" t="str">
        <f>IFERROR(__xludf.DUMMYFUNCTION("""COMPUTED_VALUE"""),"")</f>
        <v/>
      </c>
      <c r="V1066" s="1" t="str">
        <f>IFERROR(__xludf.DUMMYFUNCTION("""COMPUTED_VALUE"""),"")</f>
        <v/>
      </c>
      <c r="W1066" s="1" t="str">
        <f>IFERROR(__xludf.DUMMYFUNCTION("""COMPUTED_VALUE"""),"500")</f>
        <v>500</v>
      </c>
      <c r="X1066" s="1" t="str">
        <f>IFERROR(__xludf.DUMMYFUNCTION("""COMPUTED_VALUE"""),"")</f>
        <v/>
      </c>
      <c r="Y1066" s="1" t="str">
        <f>IFERROR(__xludf.DUMMYFUNCTION("""COMPUTED_VALUE"""),"2028")</f>
        <v>2028</v>
      </c>
      <c r="Z1066" s="1" t="str">
        <f>IFERROR(__xludf.DUMMYFUNCTION("""COMPUTED_VALUE"""),"Unknown")</f>
        <v>Unknown</v>
      </c>
      <c r="AA1066" s="1" t="str">
        <f>IFERROR(__xludf.DUMMYFUNCTION("""COMPUTED_VALUE"""),"")</f>
        <v/>
      </c>
      <c r="AB1066" s="1" t="str">
        <f>IFERROR(__xludf.DUMMYFUNCTION("""COMPUTED_VALUE"""),"")</f>
        <v/>
      </c>
      <c r="AC1066" s="1" t="str">
        <f>IFERROR(__xludf.DUMMYFUNCTION("""COMPUTED_VALUE"""),"")</f>
        <v/>
      </c>
      <c r="AD1066" s="1" t="str">
        <f>IFERROR(__xludf.DUMMYFUNCTION("""COMPUTED_VALUE"""),"")</f>
        <v/>
      </c>
      <c r="AE1066" s="1" t="str">
        <f>IFERROR(__xludf.DUMMYFUNCTION("""COMPUTED_VALUE"""),"")</f>
        <v/>
      </c>
      <c r="AF1066" s="1" t="str">
        <f>IFERROR(__xludf.DUMMYFUNCTION("""COMPUTED_VALUE"""),"")</f>
        <v/>
      </c>
      <c r="AG1066" s="1" t="str">
        <f>IFERROR(__xludf.DUMMYFUNCTION("""COMPUTED_VALUE"""),"Bitcoin and AI")</f>
        <v>Bitcoin and AI</v>
      </c>
      <c r="AH1066" s="1" t="str">
        <f>IFERROR(__xludf.DUMMYFUNCTION("""COMPUTED_VALUE"""),"Media Monitoring")</f>
        <v>Media Monitoring</v>
      </c>
      <c r="AI1066" s="2" t="str">
        <f>IFERROR(__xludf.DUMMYFUNCTION("""COMPUTED_VALUE"""),"https://www.datacenterdynamics.com/en/news/iren-plans-75mw-liquid-cooled-ai-data-center-in-texas/")</f>
        <v>https://www.datacenterdynamics.com/en/news/iren-plans-75mw-liquid-cooled-ai-data-center-in-texas/</v>
      </c>
      <c r="AJ1066" s="1" t="str">
        <f>IFERROR(__xludf.DUMMYFUNCTION("""COMPUTED_VALUE"""),"")</f>
        <v/>
      </c>
      <c r="AK1066" s="1" t="str">
        <f>IFERROR(__xludf.DUMMYFUNCTION("""COMPUTED_VALUE"""),"")</f>
        <v/>
      </c>
      <c r="AL1066" s="1" t="str">
        <f>IFERROR(__xludf.DUMMYFUNCTION("""COMPUTED_VALUE"""),"")</f>
        <v/>
      </c>
      <c r="AM1066" s="1" t="str">
        <f>IFERROR(__xludf.DUMMYFUNCTION("""COMPUTED_VALUE"""),"")</f>
        <v/>
      </c>
      <c r="AN1066" s="1" t="str">
        <f>IFERROR(__xludf.DUMMYFUNCTION("""COMPUTED_VALUE"""),"")</f>
        <v/>
      </c>
      <c r="AO1066" s="1" t="str">
        <f>IFERROR(__xludf.DUMMYFUNCTION("""COMPUTED_VALUE"""),"")</f>
        <v/>
      </c>
      <c r="AP1066" s="1" t="str">
        <f>IFERROR(__xludf.DUMMYFUNCTION("""COMPUTED_VALUE"""),"")</f>
        <v/>
      </c>
      <c r="AQ1066" s="1" t="str">
        <f>IFERROR(__xludf.DUMMYFUNCTION("""COMPUTED_VALUE"""),"11/24/2025")</f>
        <v>11/24/2025</v>
      </c>
      <c r="AR1066" s="1" t="str">
        <f>IFERROR(__xludf.DUMMYFUNCTION("""COMPUTED_VALUE"""),"11/24/2025")</f>
        <v>11/24/2025</v>
      </c>
    </row>
    <row r="1067">
      <c r="A1067" s="1" t="str">
        <f>IFERROR(__xludf.DUMMYFUNCTION("""COMPUTED_VALUE"""),"Blueprint Projects ")</f>
        <v>Blueprint Projects </v>
      </c>
      <c r="B1067" s="1" t="str">
        <f>IFERROR(__xludf.DUMMYFUNCTION("""COMPUTED_VALUE"""),"1601 Martin Luther King Jr. Dr")</f>
        <v>1601 Martin Luther King Jr. Dr</v>
      </c>
      <c r="C1067" s="1" t="str">
        <f>IFERROR(__xludf.DUMMYFUNCTION("""COMPUTED_VALUE"""),"Taylor")</f>
        <v>Taylor</v>
      </c>
      <c r="D1067" s="1" t="str">
        <f>IFERROR(__xludf.DUMMYFUNCTION("""COMPUTED_VALUE"""),"TX")</f>
        <v>TX</v>
      </c>
      <c r="E1067" s="1" t="str">
        <f>IFERROR(__xludf.DUMMYFUNCTION("""COMPUTED_VALUE"""),"76574")</f>
        <v>76574</v>
      </c>
      <c r="F1067" s="1" t="str">
        <f>IFERROR(__xludf.DUMMYFUNCTION("""COMPUTED_VALUE"""),"Williamson")</f>
        <v>Williamson</v>
      </c>
      <c r="G1067" s="1" t="str">
        <f>IFERROR(__xludf.DUMMYFUNCTION("""COMPUTED_VALUE"""),"30.56745")</f>
        <v>30.56745</v>
      </c>
      <c r="H1067" s="1" t="str">
        <f>IFERROR(__xludf.DUMMYFUNCTION("""COMPUTED_VALUE"""),"-97.38766")</f>
        <v>-97.38766</v>
      </c>
      <c r="I1067" s="1" t="str">
        <f>IFERROR(__xludf.DUMMYFUNCTION("""COMPUTED_VALUE"""),"Approved/Permitted/Under construction")</f>
        <v>Approved/Permitted/Under construction</v>
      </c>
      <c r="J1067" s="1" t="str">
        <f>IFERROR(__xludf.DUMMYFUNCTION("""COMPUTED_VALUE"""),"High")</f>
        <v>High</v>
      </c>
      <c r="K1067" s="1" t="str">
        <f>IFERROR(__xludf.DUMMYFUNCTION("""COMPUTED_VALUE"""),"")</f>
        <v/>
      </c>
      <c r="L1067" s="1" t="str">
        <f>IFERROR(__xludf.DUMMYFUNCTION("""COMPUTED_VALUE"""),"Blueprint Project")</f>
        <v>Blueprint Project</v>
      </c>
      <c r="M1067" s="1" t="str">
        <f>IFERROR(__xludf.DUMMYFUNCTION("""COMPUTED_VALUE"""),"")</f>
        <v/>
      </c>
      <c r="N1067" s="1" t="str">
        <f>IFERROR(__xludf.DUMMYFUNCTION("""COMPUTED_VALUE"""),"30")</f>
        <v>30</v>
      </c>
      <c r="O1067" s="1" t="str">
        <f>IFERROR(__xludf.DUMMYFUNCTION("""COMPUTED_VALUE"""),"Large (51-99 MW)")</f>
        <v>Large (51-99 MW)</v>
      </c>
      <c r="P1067" s="1" t="str">
        <f>IFERROR(__xludf.DUMMYFUNCTION("""COMPUTED_VALUE"""),"")</f>
        <v/>
      </c>
      <c r="Q1067" s="1" t="str">
        <f>IFERROR(__xludf.DUMMYFUNCTION("""COMPUTED_VALUE"""),"")</f>
        <v/>
      </c>
      <c r="R1067" s="1" t="str">
        <f>IFERROR(__xludf.DUMMYFUNCTION("""COMPUTED_VALUE"""),"")</f>
        <v/>
      </c>
      <c r="S1067" s="1" t="str">
        <f>IFERROR(__xludf.DUMMYFUNCTION("""COMPUTED_VALUE"""),"")</f>
        <v/>
      </c>
      <c r="T1067" s="1" t="str">
        <f>IFERROR(__xludf.DUMMYFUNCTION("""COMPUTED_VALUE"""),"")</f>
        <v/>
      </c>
      <c r="U1067" s="1" t="str">
        <f>IFERROR(__xludf.DUMMYFUNCTION("""COMPUTED_VALUE"""),"")</f>
        <v/>
      </c>
      <c r="V1067" s="1" t="str">
        <f>IFERROR(__xludf.DUMMYFUNCTION("""COMPUTED_VALUE"""),"135,000")</f>
        <v>135,000</v>
      </c>
      <c r="W1067" s="1" t="str">
        <f>IFERROR(__xludf.DUMMYFUNCTION("""COMPUTED_VALUE"""),"52")</f>
        <v>52</v>
      </c>
      <c r="X1067" s="1" t="str">
        <f>IFERROR(__xludf.DUMMYFUNCTION("""COMPUTED_VALUE"""),"")</f>
        <v/>
      </c>
      <c r="Y1067" s="1" t="str">
        <f>IFERROR(__xludf.DUMMYFUNCTION("""COMPUTED_VALUE"""),"")</f>
        <v/>
      </c>
      <c r="Z1067" s="1" t="str">
        <f>IFERROR(__xludf.DUMMYFUNCTION("""COMPUTED_VALUE"""),"Yes")</f>
        <v>Yes</v>
      </c>
      <c r="AA1067" s="1" t="str">
        <f>IFERROR(__xludf.DUMMYFUNCTION("""COMPUTED_VALUE"""),"")</f>
        <v/>
      </c>
      <c r="AB1067" s="1" t="str">
        <f>IFERROR(__xludf.DUMMYFUNCTION("""COMPUTED_VALUE"""),"")</f>
        <v/>
      </c>
      <c r="AC1067" s="1" t="str">
        <f>IFERROR(__xludf.DUMMYFUNCTION("""COMPUTED_VALUE"""),"")</f>
        <v/>
      </c>
      <c r="AD1067" s="1" t="str">
        <f>IFERROR(__xludf.DUMMYFUNCTION("""COMPUTED_VALUE"""),"")</f>
        <v/>
      </c>
      <c r="AE1067" s="1" t="str">
        <f>IFERROR(__xludf.DUMMYFUNCTION("""COMPUTED_VALUE"""),"")</f>
        <v/>
      </c>
      <c r="AF1067" s="1" t="str">
        <f>IFERROR(__xludf.DUMMYFUNCTION("""COMPUTED_VALUE"""),"")</f>
        <v/>
      </c>
      <c r="AG1067" s="1" t="str">
        <f>IFERROR(__xludf.DUMMYFUNCTION("""COMPUTED_VALUE"""),"")</f>
        <v/>
      </c>
      <c r="AH1067" s="1" t="str">
        <f>IFERROR(__xludf.DUMMYFUNCTION("""COMPUTED_VALUE"""),"Media Monitoring")</f>
        <v>Media Monitoring</v>
      </c>
      <c r="AI1067" s="2" t="str">
        <f>IFERROR(__xludf.DUMMYFUNCTION("""COMPUTED_VALUE"""),"https://www.datacenterdynamics.com/en/news/360mw-data-center-to-be-built-outside-austin-texas/")</f>
        <v>https://www.datacenterdynamics.com/en/news/360mw-data-center-to-be-built-outside-austin-texas/</v>
      </c>
      <c r="AJ1067" s="2" t="str">
        <f>IFERROR(__xludf.DUMMYFUNCTION("""COMPUTED_VALUE"""),"https://www.datacenterdynamics.com/en/news/blueprint-projects-gets-greenlight-for-data-center-in-taylor-texas/")</f>
        <v>https://www.datacenterdynamics.com/en/news/blueprint-projects-gets-greenlight-for-data-center-in-taylor-texas/</v>
      </c>
      <c r="AK1067" s="2" t="str">
        <f>IFERROR(__xludf.DUMMYFUNCTION("""COMPUTED_VALUE"""),"https://www.taylortx.gov/1293/Blueprint-Projects-Data-Center")</f>
        <v>https://www.taylortx.gov/1293/Blueprint-Projects-Data-Center</v>
      </c>
      <c r="AL1067" s="2" t="str">
        <f>IFERROR(__xludf.DUMMYFUNCTION("""COMPUTED_VALUE"""),"https://www.404media.co/a-farmer-donated-land-to-turn-into-a-park-the-city-is-building-a-massive-data-center-instead/")</f>
        <v>https://www.404media.co/a-farmer-donated-land-to-turn-into-a-park-the-city-is-building-a-massive-data-center-instead/</v>
      </c>
      <c r="AM1067" s="1" t="str">
        <f>IFERROR(__xludf.DUMMYFUNCTION("""COMPUTED_VALUE"""),"")</f>
        <v/>
      </c>
      <c r="AN1067" s="1" t="str">
        <f>IFERROR(__xludf.DUMMYFUNCTION("""COMPUTED_VALUE"""),"")</f>
        <v/>
      </c>
      <c r="AO1067" s="1" t="str">
        <f>IFERROR(__xludf.DUMMYFUNCTION("""COMPUTED_VALUE"""),"")</f>
        <v/>
      </c>
      <c r="AP1067" s="1" t="str">
        <f>IFERROR(__xludf.DUMMYFUNCTION("""COMPUTED_VALUE"""),"")</f>
        <v/>
      </c>
      <c r="AQ1067" s="1" t="str">
        <f>IFERROR(__xludf.DUMMYFUNCTION("""COMPUTED_VALUE"""),"04/01/2026")</f>
        <v>04/01/2026</v>
      </c>
      <c r="AR1067" s="1" t="str">
        <f>IFERROR(__xludf.DUMMYFUNCTION("""COMPUTED_VALUE"""),"06/08/2026")</f>
        <v>06/08/2026</v>
      </c>
    </row>
    <row r="1068">
      <c r="A1068" s="1" t="str">
        <f>IFERROR(__xludf.DUMMYFUNCTION("""COMPUTED_VALUE"""),"Project Comal")</f>
        <v>Project Comal</v>
      </c>
      <c r="B1068" s="1" t="str">
        <f>IFERROR(__xludf.DUMMYFUNCTION("""COMPUTED_VALUE"""),"1051 County Road 401")</f>
        <v>1051 County Road 401</v>
      </c>
      <c r="C1068" s="1" t="str">
        <f>IFERROR(__xludf.DUMMYFUNCTION("""COMPUTED_VALUE"""),"Taylor")</f>
        <v>Taylor</v>
      </c>
      <c r="D1068" s="1" t="str">
        <f>IFERROR(__xludf.DUMMYFUNCTION("""COMPUTED_VALUE"""),"TX")</f>
        <v>TX</v>
      </c>
      <c r="E1068" s="1" t="str">
        <f>IFERROR(__xludf.DUMMYFUNCTION("""COMPUTED_VALUE"""),"76574")</f>
        <v>76574</v>
      </c>
      <c r="F1068" s="1" t="str">
        <f>IFERROR(__xludf.DUMMYFUNCTION("""COMPUTED_VALUE"""),"Williamson")</f>
        <v>Williamson</v>
      </c>
      <c r="G1068" s="1" t="str">
        <f>IFERROR(__xludf.DUMMYFUNCTION("""COMPUTED_VALUE"""),"30.546633")</f>
        <v>30.546633</v>
      </c>
      <c r="H1068" s="1" t="str">
        <f>IFERROR(__xludf.DUMMYFUNCTION("""COMPUTED_VALUE"""),"-97.4439")</f>
        <v>-97.4439</v>
      </c>
      <c r="I1068" s="1" t="str">
        <f>IFERROR(__xludf.DUMMYFUNCTION("""COMPUTED_VALUE"""),"Approved/Permitted/Under construction")</f>
        <v>Approved/Permitted/Under construction</v>
      </c>
      <c r="J1068" s="1" t="str">
        <f>IFERROR(__xludf.DUMMYFUNCTION("""COMPUTED_VALUE"""),"High")</f>
        <v>High</v>
      </c>
      <c r="K1068" s="1" t="str">
        <f>IFERROR(__xludf.DUMMYFUNCTION("""COMPUTED_VALUE"""),"")</f>
        <v/>
      </c>
      <c r="L1068" s="1" t="str">
        <f>IFERROR(__xludf.DUMMYFUNCTION("""COMPUTED_VALUE"""),"KDC")</f>
        <v>KDC</v>
      </c>
      <c r="M1068" s="1" t="str">
        <f>IFERROR(__xludf.DUMMYFUNCTION("""COMPUTED_VALUE"""),"")</f>
        <v/>
      </c>
      <c r="N1068" s="1" t="str">
        <f>IFERROR(__xludf.DUMMYFUNCTION("""COMPUTED_VALUE"""),"360")</f>
        <v>360</v>
      </c>
      <c r="O1068" s="1" t="str">
        <f>IFERROR(__xludf.DUMMYFUNCTION("""COMPUTED_VALUE"""),"Hyperscale (100-999 MW)")</f>
        <v>Hyperscale (100-999 MW)</v>
      </c>
      <c r="P1068" s="1" t="str">
        <f>IFERROR(__xludf.DUMMYFUNCTION("""COMPUTED_VALUE"""),"")</f>
        <v/>
      </c>
      <c r="Q1068" s="1" t="str">
        <f>IFERROR(__xludf.DUMMYFUNCTION("""COMPUTED_VALUE"""),"")</f>
        <v/>
      </c>
      <c r="R1068" s="1" t="str">
        <f>IFERROR(__xludf.DUMMYFUNCTION("""COMPUTED_VALUE"""),"")</f>
        <v/>
      </c>
      <c r="S1068" s="1" t="str">
        <f>IFERROR(__xludf.DUMMYFUNCTION("""COMPUTED_VALUE"""),"6")</f>
        <v>6</v>
      </c>
      <c r="T1068" s="1" t="str">
        <f>IFERROR(__xludf.DUMMYFUNCTION("""COMPUTED_VALUE"""),"")</f>
        <v/>
      </c>
      <c r="U1068" s="1" t="str">
        <f>IFERROR(__xludf.DUMMYFUNCTION("""COMPUTED_VALUE"""),"")</f>
        <v/>
      </c>
      <c r="V1068" s="1" t="str">
        <f>IFERROR(__xludf.DUMMYFUNCTION("""COMPUTED_VALUE"""),"")</f>
        <v/>
      </c>
      <c r="W1068" s="1" t="str">
        <f>IFERROR(__xludf.DUMMYFUNCTION("""COMPUTED_VALUE"""),"220")</f>
        <v>220</v>
      </c>
      <c r="X1068" s="1" t="str">
        <f>IFERROR(__xludf.DUMMYFUNCTION("""COMPUTED_VALUE"""),"")</f>
        <v/>
      </c>
      <c r="Y1068" s="1" t="str">
        <f>IFERROR(__xludf.DUMMYFUNCTION("""COMPUTED_VALUE"""),"")</f>
        <v/>
      </c>
      <c r="Z1068" s="1" t="str">
        <f>IFERROR(__xludf.DUMMYFUNCTION("""COMPUTED_VALUE"""),"Unknown")</f>
        <v>Unknown</v>
      </c>
      <c r="AA1068" s="1" t="str">
        <f>IFERROR(__xludf.DUMMYFUNCTION("""COMPUTED_VALUE"""),"")</f>
        <v/>
      </c>
      <c r="AB1068" s="1" t="str">
        <f>IFERROR(__xludf.DUMMYFUNCTION("""COMPUTED_VALUE"""),"")</f>
        <v/>
      </c>
      <c r="AC1068" s="1" t="str">
        <f>IFERROR(__xludf.DUMMYFUNCTION("""COMPUTED_VALUE"""),"")</f>
        <v/>
      </c>
      <c r="AD1068" s="1" t="str">
        <f>IFERROR(__xludf.DUMMYFUNCTION("""COMPUTED_VALUE"""),"")</f>
        <v/>
      </c>
      <c r="AE1068" s="1" t="str">
        <f>IFERROR(__xludf.DUMMYFUNCTION("""COMPUTED_VALUE"""),"")</f>
        <v/>
      </c>
      <c r="AF1068" s="1" t="str">
        <f>IFERROR(__xludf.DUMMYFUNCTION("""COMPUTED_VALUE"""),"")</f>
        <v/>
      </c>
      <c r="AG1068" s="1" t="str">
        <f>IFERROR(__xludf.DUMMYFUNCTION("""COMPUTED_VALUE"""),"Plus 2 substations")</f>
        <v>Plus 2 substations</v>
      </c>
      <c r="AH1068" s="1" t="str">
        <f>IFERROR(__xludf.DUMMYFUNCTION("""COMPUTED_VALUE"""),"Media Monitoring")</f>
        <v>Media Monitoring</v>
      </c>
      <c r="AI1068" s="2" t="str">
        <f>IFERROR(__xludf.DUMMYFUNCTION("""COMPUTED_VALUE"""),"https://www.datacenterdynamics.com/en/news/360mw-data-center-to-be-built-outside-austin-texas/")</f>
        <v>https://www.datacenterdynamics.com/en/news/360mw-data-center-to-be-built-outside-austin-texas/</v>
      </c>
      <c r="AJ1068" s="2" t="str">
        <f>IFERROR(__xludf.DUMMYFUNCTION("""COMPUTED_VALUE"""),"https://www.statesman.com/business/technology/article/taylor-data-center-samsung-22153681.php")</f>
        <v>https://www.statesman.com/business/technology/article/taylor-data-center-samsung-22153681.php</v>
      </c>
      <c r="AK1068" s="1" t="str">
        <f>IFERROR(__xludf.DUMMYFUNCTION("""COMPUTED_VALUE"""),"")</f>
        <v/>
      </c>
      <c r="AL1068" s="1" t="str">
        <f>IFERROR(__xludf.DUMMYFUNCTION("""COMPUTED_VALUE"""),"")</f>
        <v/>
      </c>
      <c r="AM1068" s="1" t="str">
        <f>IFERROR(__xludf.DUMMYFUNCTION("""COMPUTED_VALUE"""),"")</f>
        <v/>
      </c>
      <c r="AN1068" s="1" t="str">
        <f>IFERROR(__xludf.DUMMYFUNCTION("""COMPUTED_VALUE"""),"")</f>
        <v/>
      </c>
      <c r="AO1068" s="1" t="str">
        <f>IFERROR(__xludf.DUMMYFUNCTION("""COMPUTED_VALUE"""),"")</f>
        <v/>
      </c>
      <c r="AP1068" s="1" t="str">
        <f>IFERROR(__xludf.DUMMYFUNCTION("""COMPUTED_VALUE"""),"")</f>
        <v/>
      </c>
      <c r="AQ1068" s="1" t="str">
        <f>IFERROR(__xludf.DUMMYFUNCTION("""COMPUTED_VALUE"""),"04/01/2026")</f>
        <v>04/01/2026</v>
      </c>
      <c r="AR1068" s="1" t="str">
        <f>IFERROR(__xludf.DUMMYFUNCTION("""COMPUTED_VALUE"""),"06/08/2026")</f>
        <v>06/08/2026</v>
      </c>
    </row>
    <row r="1069">
      <c r="A1069" s="1" t="str">
        <f>IFERROR(__xludf.DUMMYFUNCTION("""COMPUTED_VALUE"""),"Meta Data Center")</f>
        <v>Meta Data Center</v>
      </c>
      <c r="B1069" s="1" t="str">
        <f>IFERROR(__xludf.DUMMYFUNCTION("""COMPUTED_VALUE"""),"3103 Industrial Blvd")</f>
        <v>3103 Industrial Blvd</v>
      </c>
      <c r="C1069" s="1" t="str">
        <f>IFERROR(__xludf.DUMMYFUNCTION("""COMPUTED_VALUE"""),"Temple")</f>
        <v>Temple</v>
      </c>
      <c r="D1069" s="1" t="str">
        <f>IFERROR(__xludf.DUMMYFUNCTION("""COMPUTED_VALUE"""),"TX")</f>
        <v>TX</v>
      </c>
      <c r="E1069" s="1" t="str">
        <f>IFERROR(__xludf.DUMMYFUNCTION("""COMPUTED_VALUE"""),"76504")</f>
        <v>76504</v>
      </c>
      <c r="F1069" s="1" t="str">
        <f>IFERROR(__xludf.DUMMYFUNCTION("""COMPUTED_VALUE"""),"Bell")</f>
        <v>Bell</v>
      </c>
      <c r="G1069" s="1" t="str">
        <f>IFERROR(__xludf.DUMMYFUNCTION("""COMPUTED_VALUE"""),"31.13252")</f>
        <v>31.13252</v>
      </c>
      <c r="H1069" s="1" t="str">
        <f>IFERROR(__xludf.DUMMYFUNCTION("""COMPUTED_VALUE"""),"-97.3644")</f>
        <v>-97.3644</v>
      </c>
      <c r="I1069" s="1" t="str">
        <f>IFERROR(__xludf.DUMMYFUNCTION("""COMPUTED_VALUE"""),"Approved/Permitted/Under construction")</f>
        <v>Approved/Permitted/Under construction</v>
      </c>
      <c r="J1069" s="1" t="str">
        <f>IFERROR(__xludf.DUMMYFUNCTION("""COMPUTED_VALUE"""),"High")</f>
        <v>High</v>
      </c>
      <c r="K1069" s="1" t="str">
        <f>IFERROR(__xludf.DUMMYFUNCTION("""COMPUTED_VALUE"""),"")</f>
        <v/>
      </c>
      <c r="L1069" s="1" t="str">
        <f>IFERROR(__xludf.DUMMYFUNCTION("""COMPUTED_VALUE"""),"Meta")</f>
        <v>Meta</v>
      </c>
      <c r="M1069" s="1" t="str">
        <f>IFERROR(__xludf.DUMMYFUNCTION("""COMPUTED_VALUE"""),"")</f>
        <v/>
      </c>
      <c r="N1069" s="1" t="str">
        <f>IFERROR(__xludf.DUMMYFUNCTION("""COMPUTED_VALUE"""),"152")</f>
        <v>152</v>
      </c>
      <c r="O1069" s="1" t="str">
        <f>IFERROR(__xludf.DUMMYFUNCTION("""COMPUTED_VALUE"""),"Hyperscale (100-999 MW)")</f>
        <v>Hyperscale (100-999 MW)</v>
      </c>
      <c r="P1069" s="1" t="str">
        <f>IFERROR(__xludf.DUMMYFUNCTION("""COMPUTED_VALUE"""),"")</f>
        <v/>
      </c>
      <c r="Q1069" s="1" t="str">
        <f>IFERROR(__xludf.DUMMYFUNCTION("""COMPUTED_VALUE"""),"")</f>
        <v/>
      </c>
      <c r="R1069" s="1" t="str">
        <f>IFERROR(__xludf.DUMMYFUNCTION("""COMPUTED_VALUE"""),"")</f>
        <v/>
      </c>
      <c r="S1069" s="1" t="str">
        <f>IFERROR(__xludf.DUMMYFUNCTION("""COMPUTED_VALUE"""),"")</f>
        <v/>
      </c>
      <c r="T1069" s="1" t="str">
        <f>IFERROR(__xludf.DUMMYFUNCTION("""COMPUTED_VALUE"""),"")</f>
        <v/>
      </c>
      <c r="U1069" s="1" t="str">
        <f>IFERROR(__xludf.DUMMYFUNCTION("""COMPUTED_VALUE"""),"")</f>
        <v/>
      </c>
      <c r="V1069" s="1" t="str">
        <f>IFERROR(__xludf.DUMMYFUNCTION("""COMPUTED_VALUE"""),"900,000")</f>
        <v>900,000</v>
      </c>
      <c r="W1069" s="1" t="str">
        <f>IFERROR(__xludf.DUMMYFUNCTION("""COMPUTED_VALUE"""),"384")</f>
        <v>384</v>
      </c>
      <c r="X1069" s="1" t="str">
        <f>IFERROR(__xludf.DUMMYFUNCTION("""COMPUTED_VALUE"""),"$800 million")</f>
        <v>$800 million</v>
      </c>
      <c r="Y1069" s="1" t="str">
        <f>IFERROR(__xludf.DUMMYFUNCTION("""COMPUTED_VALUE"""),"")</f>
        <v/>
      </c>
      <c r="Z1069" s="1" t="str">
        <f>IFERROR(__xludf.DUMMYFUNCTION("""COMPUTED_VALUE"""),"Unknown")</f>
        <v>Unknown</v>
      </c>
      <c r="AA1069" s="1" t="str">
        <f>IFERROR(__xludf.DUMMYFUNCTION("""COMPUTED_VALUE"""),"")</f>
        <v/>
      </c>
      <c r="AB1069" s="1" t="str">
        <f>IFERROR(__xludf.DUMMYFUNCTION("""COMPUTED_VALUE"""),"")</f>
        <v/>
      </c>
      <c r="AC1069" s="1" t="str">
        <f>IFERROR(__xludf.DUMMYFUNCTION("""COMPUTED_VALUE"""),"")</f>
        <v/>
      </c>
      <c r="AD1069" s="1" t="str">
        <f>IFERROR(__xludf.DUMMYFUNCTION("""COMPUTED_VALUE"""),"")</f>
        <v/>
      </c>
      <c r="AE1069" s="1" t="str">
        <f>IFERROR(__xludf.DUMMYFUNCTION("""COMPUTED_VALUE"""),"")</f>
        <v/>
      </c>
      <c r="AF1069" s="1" t="str">
        <f>IFERROR(__xludf.DUMMYFUNCTION("""COMPUTED_VALUE"""),"")</f>
        <v/>
      </c>
      <c r="AG1069" s="1" t="str">
        <f>IFERROR(__xludf.DUMMYFUNCTION("""COMPUTED_VALUE"""),"")</f>
        <v/>
      </c>
      <c r="AH1069" s="1" t="str">
        <f>IFERROR(__xludf.DUMMYFUNCTION("""COMPUTED_VALUE"""),"Media Monitoring")</f>
        <v>Media Monitoring</v>
      </c>
      <c r="AI1069" s="2" t="str">
        <f>IFERROR(__xludf.DUMMYFUNCTION("""COMPUTED_VALUE"""),"https://rbnenergy.com/i-know-places-tech-giants-may-be-the-surest-bets-for-data-center-power-demand")</f>
        <v>https://rbnenergy.com/i-know-places-tech-giants-may-be-the-surest-bets-for-data-center-power-demand</v>
      </c>
      <c r="AJ1069" s="2" t="str">
        <f>IFERROR(__xludf.DUMMYFUNCTION("""COMPUTED_VALUE"""),"https://trerc.tamu.edu/news-talk/development-underway-on-metas-temple-data-center/")</f>
        <v>https://trerc.tamu.edu/news-talk/development-underway-on-metas-temple-data-center/</v>
      </c>
      <c r="AK1069" s="2" t="str">
        <f>IFERROR(__xludf.DUMMYFUNCTION("""COMPUTED_VALUE"""),"https://jedunn.com/projects/meta-temple-data-center/")</f>
        <v>https://jedunn.com/projects/meta-temple-data-center/</v>
      </c>
      <c r="AL1069" s="1" t="str">
        <f>IFERROR(__xludf.DUMMYFUNCTION("""COMPUTED_VALUE"""),"")</f>
        <v/>
      </c>
      <c r="AM1069" s="1" t="str">
        <f>IFERROR(__xludf.DUMMYFUNCTION("""COMPUTED_VALUE"""),"")</f>
        <v/>
      </c>
      <c r="AN1069" s="1" t="str">
        <f>IFERROR(__xludf.DUMMYFUNCTION("""COMPUTED_VALUE"""),"")</f>
        <v/>
      </c>
      <c r="AO1069" s="1" t="str">
        <f>IFERROR(__xludf.DUMMYFUNCTION("""COMPUTED_VALUE"""),"")</f>
        <v/>
      </c>
      <c r="AP1069" s="1" t="str">
        <f>IFERROR(__xludf.DUMMYFUNCTION("""COMPUTED_VALUE"""),"")</f>
        <v/>
      </c>
      <c r="AQ1069" s="1" t="str">
        <f>IFERROR(__xludf.DUMMYFUNCTION("""COMPUTED_VALUE"""),"08/14/2025")</f>
        <v>08/14/2025</v>
      </c>
      <c r="AR1069" s="1" t="str">
        <f>IFERROR(__xludf.DUMMYFUNCTION("""COMPUTED_VALUE"""),"08/14/2025")</f>
        <v>08/14/2025</v>
      </c>
    </row>
    <row r="1070">
      <c r="A1070" s="1" t="str">
        <f>IFERROR(__xludf.DUMMYFUNCTION("""COMPUTED_VALUE"""),"Polmer Data Center")</f>
        <v>Polmer Data Center</v>
      </c>
      <c r="B1070" s="1" t="str">
        <f>IFERROR(__xludf.DUMMYFUNCTION("""COMPUTED_VALUE"""),"~3800 Industrial Blvd")</f>
        <v>~3800 Industrial Blvd</v>
      </c>
      <c r="C1070" s="1" t="str">
        <f>IFERROR(__xludf.DUMMYFUNCTION("""COMPUTED_VALUE"""),"Temple")</f>
        <v>Temple</v>
      </c>
      <c r="D1070" s="1" t="str">
        <f>IFERROR(__xludf.DUMMYFUNCTION("""COMPUTED_VALUE"""),"TX")</f>
        <v>TX</v>
      </c>
      <c r="E1070" s="1" t="str">
        <f>IFERROR(__xludf.DUMMYFUNCTION("""COMPUTED_VALUE"""),"76502")</f>
        <v>76502</v>
      </c>
      <c r="F1070" s="1" t="str">
        <f>IFERROR(__xludf.DUMMYFUNCTION("""COMPUTED_VALUE"""),"Bell")</f>
        <v>Bell</v>
      </c>
      <c r="G1070" s="1" t="str">
        <f>IFERROR(__xludf.DUMMYFUNCTION("""COMPUTED_VALUE"""),"31.13391")</f>
        <v>31.13391</v>
      </c>
      <c r="H1070" s="1" t="str">
        <f>IFERROR(__xludf.DUMMYFUNCTION("""COMPUTED_VALUE"""),"-97.3723")</f>
        <v>-97.3723</v>
      </c>
      <c r="I1070" s="1" t="str">
        <f>IFERROR(__xludf.DUMMYFUNCTION("""COMPUTED_VALUE"""),"Approved/Permitted/Under construction")</f>
        <v>Approved/Permitted/Under construction</v>
      </c>
      <c r="J1070" s="1" t="str">
        <f>IFERROR(__xludf.DUMMYFUNCTION("""COMPUTED_VALUE"""),"High")</f>
        <v>High</v>
      </c>
      <c r="K1070" s="1" t="str">
        <f>IFERROR(__xludf.DUMMYFUNCTION("""COMPUTED_VALUE"""),"")</f>
        <v/>
      </c>
      <c r="L1070" s="1" t="str">
        <f>IFERROR(__xludf.DUMMYFUNCTION("""COMPUTED_VALUE"""),"")</f>
        <v/>
      </c>
      <c r="M1070" s="1" t="str">
        <f>IFERROR(__xludf.DUMMYFUNCTION("""COMPUTED_VALUE"""),"")</f>
        <v/>
      </c>
      <c r="N1070" s="1" t="str">
        <f>IFERROR(__xludf.DUMMYFUNCTION("""COMPUTED_VALUE"""),"")</f>
        <v/>
      </c>
      <c r="O1070" s="1" t="str">
        <f>IFERROR(__xludf.DUMMYFUNCTION("""COMPUTED_VALUE"""),"Unknown")</f>
        <v>Unknown</v>
      </c>
      <c r="P1070" s="1" t="str">
        <f>IFERROR(__xludf.DUMMYFUNCTION("""COMPUTED_VALUE"""),"")</f>
        <v/>
      </c>
      <c r="Q1070" s="1" t="str">
        <f>IFERROR(__xludf.DUMMYFUNCTION("""COMPUTED_VALUE"""),"")</f>
        <v/>
      </c>
      <c r="R1070" s="1" t="str">
        <f>IFERROR(__xludf.DUMMYFUNCTION("""COMPUTED_VALUE"""),"")</f>
        <v/>
      </c>
      <c r="S1070" s="1" t="str">
        <f>IFERROR(__xludf.DUMMYFUNCTION("""COMPUTED_VALUE"""),"")</f>
        <v/>
      </c>
      <c r="T1070" s="1" t="str">
        <f>IFERROR(__xludf.DUMMYFUNCTION("""COMPUTED_VALUE"""),"")</f>
        <v/>
      </c>
      <c r="U1070" s="1" t="str">
        <f>IFERROR(__xludf.DUMMYFUNCTION("""COMPUTED_VALUE"""),"")</f>
        <v/>
      </c>
      <c r="V1070" s="1" t="str">
        <f>IFERROR(__xludf.DUMMYFUNCTION("""COMPUTED_VALUE"""),"")</f>
        <v/>
      </c>
      <c r="W1070" s="1" t="str">
        <f>IFERROR(__xludf.DUMMYFUNCTION("""COMPUTED_VALUE"""),"")</f>
        <v/>
      </c>
      <c r="X1070" s="1" t="str">
        <f>IFERROR(__xludf.DUMMYFUNCTION("""COMPUTED_VALUE"""),"")</f>
        <v/>
      </c>
      <c r="Y1070" s="1" t="str">
        <f>IFERROR(__xludf.DUMMYFUNCTION("""COMPUTED_VALUE"""),"")</f>
        <v/>
      </c>
      <c r="Z1070" s="1" t="str">
        <f>IFERROR(__xludf.DUMMYFUNCTION("""COMPUTED_VALUE"""),"Unknown")</f>
        <v>Unknown</v>
      </c>
      <c r="AA1070" s="1" t="str">
        <f>IFERROR(__xludf.DUMMYFUNCTION("""COMPUTED_VALUE"""),"")</f>
        <v/>
      </c>
      <c r="AB1070" s="1" t="str">
        <f>IFERROR(__xludf.DUMMYFUNCTION("""COMPUTED_VALUE"""),"")</f>
        <v/>
      </c>
      <c r="AC1070" s="1" t="str">
        <f>IFERROR(__xludf.DUMMYFUNCTION("""COMPUTED_VALUE"""),"")</f>
        <v/>
      </c>
      <c r="AD1070" s="1" t="str">
        <f>IFERROR(__xludf.DUMMYFUNCTION("""COMPUTED_VALUE"""),"")</f>
        <v/>
      </c>
      <c r="AE1070" s="1" t="str">
        <f>IFERROR(__xludf.DUMMYFUNCTION("""COMPUTED_VALUE"""),"")</f>
        <v/>
      </c>
      <c r="AF1070" s="1" t="str">
        <f>IFERROR(__xludf.DUMMYFUNCTION("""COMPUTED_VALUE"""),"")</f>
        <v/>
      </c>
      <c r="AG1070" s="1" t="str">
        <f>IFERROR(__xludf.DUMMYFUNCTION("""COMPUTED_VALUE"""),"")</f>
        <v/>
      </c>
      <c r="AH1070" s="1" t="str">
        <f>IFERROR(__xludf.DUMMYFUNCTION("""COMPUTED_VALUE"""),"Media Monitoring")</f>
        <v>Media Monitoring</v>
      </c>
      <c r="AI1070" s="2" t="str">
        <f>IFERROR(__xludf.DUMMYFUNCTION("""COMPUTED_VALUE"""),"https://dgtlinfra.com/polmer-800m-temple-texas-data-center/")</f>
        <v>https://dgtlinfra.com/polmer-800m-temple-texas-data-center/</v>
      </c>
      <c r="AJ1070" s="2" t="str">
        <f>IFERROR(__xludf.DUMMYFUNCTION("""COMPUTED_VALUE"""),"https://www.tdlr.texas.gov/TABS/Search/Project/TABS2025007641")</f>
        <v>https://www.tdlr.texas.gov/TABS/Search/Project/TABS2025007641</v>
      </c>
      <c r="AK1070" s="1" t="str">
        <f>IFERROR(__xludf.DUMMYFUNCTION("""COMPUTED_VALUE"""),"")</f>
        <v/>
      </c>
      <c r="AL1070" s="1" t="str">
        <f>IFERROR(__xludf.DUMMYFUNCTION("""COMPUTED_VALUE"""),"")</f>
        <v/>
      </c>
      <c r="AM1070" s="1" t="str">
        <f>IFERROR(__xludf.DUMMYFUNCTION("""COMPUTED_VALUE"""),"")</f>
        <v/>
      </c>
      <c r="AN1070" s="1" t="str">
        <f>IFERROR(__xludf.DUMMYFUNCTION("""COMPUTED_VALUE"""),"")</f>
        <v/>
      </c>
      <c r="AO1070" s="1" t="str">
        <f>IFERROR(__xludf.DUMMYFUNCTION("""COMPUTED_VALUE"""),"")</f>
        <v/>
      </c>
      <c r="AP1070" s="1" t="str">
        <f>IFERROR(__xludf.DUMMYFUNCTION("""COMPUTED_VALUE"""),"")</f>
        <v/>
      </c>
      <c r="AQ1070" s="1" t="str">
        <f>IFERROR(__xludf.DUMMYFUNCTION("""COMPUTED_VALUE"""),"08/05/2025")</f>
        <v>08/05/2025</v>
      </c>
      <c r="AR1070" s="1" t="str">
        <f>IFERROR(__xludf.DUMMYFUNCTION("""COMPUTED_VALUE"""),"08/05/2025")</f>
        <v>08/05/2025</v>
      </c>
    </row>
    <row r="1071">
      <c r="A1071" s="1" t="str">
        <f>IFERROR(__xludf.DUMMYFUNCTION("""COMPUTED_VALUE"""),"Rowan Digital Infrastructure Data Center")</f>
        <v>Rowan Digital Infrastructure Data Center</v>
      </c>
      <c r="B1071" s="1" t="str">
        <f>IFERROR(__xludf.DUMMYFUNCTION("""COMPUTED_VALUE"""),"~1601 Bob White Rd")</f>
        <v>~1601 Bob White Rd</v>
      </c>
      <c r="C1071" s="1" t="str">
        <f>IFERROR(__xludf.DUMMYFUNCTION("""COMPUTED_VALUE"""),"Temple")</f>
        <v>Temple</v>
      </c>
      <c r="D1071" s="1" t="str">
        <f>IFERROR(__xludf.DUMMYFUNCTION("""COMPUTED_VALUE"""),"TX")</f>
        <v>TX</v>
      </c>
      <c r="E1071" s="1" t="str">
        <f>IFERROR(__xludf.DUMMYFUNCTION("""COMPUTED_VALUE"""),"76501")</f>
        <v>76501</v>
      </c>
      <c r="F1071" s="1" t="str">
        <f>IFERROR(__xludf.DUMMYFUNCTION("""COMPUTED_VALUE"""),"Bell")</f>
        <v>Bell</v>
      </c>
      <c r="G1071" s="1" t="str">
        <f>IFERROR(__xludf.DUMMYFUNCTION("""COMPUTED_VALUE"""),"31.06445")</f>
        <v>31.06445</v>
      </c>
      <c r="H1071" s="1" t="str">
        <f>IFERROR(__xludf.DUMMYFUNCTION("""COMPUTED_VALUE"""),"-97.2875")</f>
        <v>-97.2875</v>
      </c>
      <c r="I1071" s="1" t="str">
        <f>IFERROR(__xludf.DUMMYFUNCTION("""COMPUTED_VALUE"""),"Approved/Permitted/Under construction")</f>
        <v>Approved/Permitted/Under construction</v>
      </c>
      <c r="J1071" s="1" t="str">
        <f>IFERROR(__xludf.DUMMYFUNCTION("""COMPUTED_VALUE"""),"High")</f>
        <v>High</v>
      </c>
      <c r="K1071" s="1" t="str">
        <f>IFERROR(__xludf.DUMMYFUNCTION("""COMPUTED_VALUE"""),"")</f>
        <v/>
      </c>
      <c r="L1071" s="1" t="str">
        <f>IFERROR(__xludf.DUMMYFUNCTION("""COMPUTED_VALUE"""),"")</f>
        <v/>
      </c>
      <c r="M1071" s="1" t="str">
        <f>IFERROR(__xludf.DUMMYFUNCTION("""COMPUTED_VALUE"""),"")</f>
        <v/>
      </c>
      <c r="N1071" s="1" t="str">
        <f>IFERROR(__xludf.DUMMYFUNCTION("""COMPUTED_VALUE"""),"300")</f>
        <v>300</v>
      </c>
      <c r="O1071" s="1" t="str">
        <f>IFERROR(__xludf.DUMMYFUNCTION("""COMPUTED_VALUE"""),"Hyperscale (100-999 MW)")</f>
        <v>Hyperscale (100-999 MW)</v>
      </c>
      <c r="P1071" s="1" t="str">
        <f>IFERROR(__xludf.DUMMYFUNCTION("""COMPUTED_VALUE"""),"")</f>
        <v/>
      </c>
      <c r="Q1071" s="1" t="str">
        <f>IFERROR(__xludf.DUMMYFUNCTION("""COMPUTED_VALUE"""),"")</f>
        <v/>
      </c>
      <c r="R1071" s="1" t="str">
        <f>IFERROR(__xludf.DUMMYFUNCTION("""COMPUTED_VALUE"""),"")</f>
        <v/>
      </c>
      <c r="S1071" s="1" t="str">
        <f>IFERROR(__xludf.DUMMYFUNCTION("""COMPUTED_VALUE"""),"")</f>
        <v/>
      </c>
      <c r="T1071" s="1" t="str">
        <f>IFERROR(__xludf.DUMMYFUNCTION("""COMPUTED_VALUE"""),"")</f>
        <v/>
      </c>
      <c r="U1071" s="1" t="str">
        <f>IFERROR(__xludf.DUMMYFUNCTION("""COMPUTED_VALUE"""),"")</f>
        <v/>
      </c>
      <c r="V1071" s="1" t="str">
        <f>IFERROR(__xludf.DUMMYFUNCTION("""COMPUTED_VALUE"""),"")</f>
        <v/>
      </c>
      <c r="W1071" s="1" t="str">
        <f>IFERROR(__xludf.DUMMYFUNCTION("""COMPUTED_VALUE"""),"700")</f>
        <v>700</v>
      </c>
      <c r="X1071" s="1" t="str">
        <f>IFERROR(__xludf.DUMMYFUNCTION("""COMPUTED_VALUE"""),"$1.2 billion")</f>
        <v>$1.2 billion</v>
      </c>
      <c r="Y1071" s="1" t="str">
        <f>IFERROR(__xludf.DUMMYFUNCTION("""COMPUTED_VALUE"""),"")</f>
        <v/>
      </c>
      <c r="Z1071" s="1" t="str">
        <f>IFERROR(__xludf.DUMMYFUNCTION("""COMPUTED_VALUE"""),"Yes")</f>
        <v>Yes</v>
      </c>
      <c r="AA1071" s="1" t="str">
        <f>IFERROR(__xludf.DUMMYFUNCTION("""COMPUTED_VALUE"""),"")</f>
        <v/>
      </c>
      <c r="AB1071" s="1" t="str">
        <f>IFERROR(__xludf.DUMMYFUNCTION("""COMPUTED_VALUE"""),"")</f>
        <v/>
      </c>
      <c r="AC1071" s="1" t="str">
        <f>IFERROR(__xludf.DUMMYFUNCTION("""COMPUTED_VALUE"""),"")</f>
        <v/>
      </c>
      <c r="AD1071" s="1" t="str">
        <f>IFERROR(__xludf.DUMMYFUNCTION("""COMPUTED_VALUE"""),"")</f>
        <v/>
      </c>
      <c r="AE1071" s="1" t="str">
        <f>IFERROR(__xludf.DUMMYFUNCTION("""COMPUTED_VALUE"""),"")</f>
        <v/>
      </c>
      <c r="AF1071" s="1" t="str">
        <f>IFERROR(__xludf.DUMMYFUNCTION("""COMPUTED_VALUE"""),"")</f>
        <v/>
      </c>
      <c r="AG1071" s="1" t="str">
        <f>IFERROR(__xludf.DUMMYFUNCTION("""COMPUTED_VALUE"""),"Are both these sites part of a single development by Rowan?")</f>
        <v>Are both these sites part of a single development by Rowan?</v>
      </c>
      <c r="AH1071" s="1" t="str">
        <f>IFERROR(__xludf.DUMMYFUNCTION("""COMPUTED_VALUE"""),"Media Monitoring")</f>
        <v>Media Monitoring</v>
      </c>
      <c r="AI1071" s="2" t="str">
        <f>IFERROR(__xludf.DUMMYFUNCTION("""COMPUTED_VALUE"""),"https://www.bizjournals.com/austin/news/2025/09/15/rowan-temple-data-center-campus-austin-market-meta.html")</f>
        <v>https://www.bizjournals.com/austin/news/2025/09/15/rowan-temple-data-center-campus-austin-market-meta.html</v>
      </c>
      <c r="AJ1071" s="2" t="str">
        <f>IFERROR(__xludf.DUMMYFUNCTION("""COMPUTED_VALUE"""),"https://www.rowantemple.com/faqs")</f>
        <v>https://www.rowantemple.com/faqs</v>
      </c>
      <c r="AK1071" s="2" t="str">
        <f>IFERROR(__xludf.DUMMYFUNCTION("""COMPUTED_VALUE"""),"https://www.datacenterdynamics.com/en/news/rowan-starts-work-on-300mw-data-center-in-temple-texas/")</f>
        <v>https://www.datacenterdynamics.com/en/news/rowan-starts-work-on-300mw-data-center-in-temple-texas/</v>
      </c>
      <c r="AL1071" s="2" t="str">
        <f>IFERROR(__xludf.DUMMYFUNCTION("""COMPUTED_VALUE"""),"https://www.kcentv.com/article/news/local/temple-city-council-moves-forward-plan-data-center/500-8ae0ede9-cbff-4d47-a390-209ecb44043e")</f>
        <v>https://www.kcentv.com/article/news/local/temple-city-council-moves-forward-plan-data-center/500-8ae0ede9-cbff-4d47-a390-209ecb44043e</v>
      </c>
      <c r="AM1071" s="2" t="str">
        <f>IFERROR(__xludf.DUMMYFUNCTION("""COMPUTED_VALUE"""),"https://www.datacenterdynamics.com/en/news/rowan-closes-3bn-green-financing-for-texas-data-center-campus/")</f>
        <v>https://www.datacenterdynamics.com/en/news/rowan-closes-3bn-green-financing-for-texas-data-center-campus/</v>
      </c>
      <c r="AN1071" s="1" t="str">
        <f>IFERROR(__xludf.DUMMYFUNCTION("""COMPUTED_VALUE"""),"")</f>
        <v/>
      </c>
      <c r="AO1071" s="1" t="str">
        <f>IFERROR(__xludf.DUMMYFUNCTION("""COMPUTED_VALUE"""),"")</f>
        <v/>
      </c>
      <c r="AP1071" s="1" t="str">
        <f>IFERROR(__xludf.DUMMYFUNCTION("""COMPUTED_VALUE"""),"")</f>
        <v/>
      </c>
      <c r="AQ1071" s="1" t="str">
        <f>IFERROR(__xludf.DUMMYFUNCTION("""COMPUTED_VALUE"""),"09/17/2025")</f>
        <v>09/17/2025</v>
      </c>
      <c r="AR1071" s="1" t="str">
        <f>IFERROR(__xludf.DUMMYFUNCTION("""COMPUTED_VALUE"""),"06/12/2026")</f>
        <v>06/12/2026</v>
      </c>
    </row>
    <row r="1072">
      <c r="A1072" s="1" t="str">
        <f>IFERROR(__xludf.DUMMYFUNCTION("""COMPUTED_VALUE"""),"Rowan Digital Infrastructure Data Center")</f>
        <v>Rowan Digital Infrastructure Data Center</v>
      </c>
      <c r="B1072" s="1" t="str">
        <f>IFERROR(__xludf.DUMMYFUNCTION("""COMPUTED_VALUE"""),"2810 Bob White Rd")</f>
        <v>2810 Bob White Rd</v>
      </c>
      <c r="C1072" s="1" t="str">
        <f>IFERROR(__xludf.DUMMYFUNCTION("""COMPUTED_VALUE"""),"Temple")</f>
        <v>Temple</v>
      </c>
      <c r="D1072" s="1" t="str">
        <f>IFERROR(__xludf.DUMMYFUNCTION("""COMPUTED_VALUE"""),"TX")</f>
        <v>TX</v>
      </c>
      <c r="E1072" s="1" t="str">
        <f>IFERROR(__xludf.DUMMYFUNCTION("""COMPUTED_VALUE"""),"76501")</f>
        <v>76501</v>
      </c>
      <c r="F1072" s="1" t="str">
        <f>IFERROR(__xludf.DUMMYFUNCTION("""COMPUTED_VALUE"""),"Bell")</f>
        <v>Bell</v>
      </c>
      <c r="G1072" s="1" t="str">
        <f>IFERROR(__xludf.DUMMYFUNCTION("""COMPUTED_VALUE"""),"31.05745")</f>
        <v>31.05745</v>
      </c>
      <c r="H1072" s="1" t="str">
        <f>IFERROR(__xludf.DUMMYFUNCTION("""COMPUTED_VALUE"""),"-97.2979")</f>
        <v>-97.2979</v>
      </c>
      <c r="I1072" s="1" t="str">
        <f>IFERROR(__xludf.DUMMYFUNCTION("""COMPUTED_VALUE"""),"Approved/Permitted/Under construction")</f>
        <v>Approved/Permitted/Under construction</v>
      </c>
      <c r="J1072" s="1" t="str">
        <f>IFERROR(__xludf.DUMMYFUNCTION("""COMPUTED_VALUE"""),"High")</f>
        <v>High</v>
      </c>
      <c r="K1072" s="1" t="str">
        <f>IFERROR(__xludf.DUMMYFUNCTION("""COMPUTED_VALUE"""),"")</f>
        <v/>
      </c>
      <c r="L1072" s="1" t="str">
        <f>IFERROR(__xludf.DUMMYFUNCTION("""COMPUTED_VALUE"""),"")</f>
        <v/>
      </c>
      <c r="M1072" s="1" t="str">
        <f>IFERROR(__xludf.DUMMYFUNCTION("""COMPUTED_VALUE"""),"")</f>
        <v/>
      </c>
      <c r="N1072" s="1" t="str">
        <f>IFERROR(__xludf.DUMMYFUNCTION("""COMPUTED_VALUE"""),"300")</f>
        <v>300</v>
      </c>
      <c r="O1072" s="1" t="str">
        <f>IFERROR(__xludf.DUMMYFUNCTION("""COMPUTED_VALUE"""),"Hyperscale (100-999 MW)")</f>
        <v>Hyperscale (100-999 MW)</v>
      </c>
      <c r="P1072" s="1" t="str">
        <f>IFERROR(__xludf.DUMMYFUNCTION("""COMPUTED_VALUE"""),"")</f>
        <v/>
      </c>
      <c r="Q1072" s="1" t="str">
        <f>IFERROR(__xludf.DUMMYFUNCTION("""COMPUTED_VALUE"""),"")</f>
        <v/>
      </c>
      <c r="R1072" s="1" t="str">
        <f>IFERROR(__xludf.DUMMYFUNCTION("""COMPUTED_VALUE"""),"")</f>
        <v/>
      </c>
      <c r="S1072" s="1" t="str">
        <f>IFERROR(__xludf.DUMMYFUNCTION("""COMPUTED_VALUE"""),"")</f>
        <v/>
      </c>
      <c r="T1072" s="1" t="str">
        <f>IFERROR(__xludf.DUMMYFUNCTION("""COMPUTED_VALUE"""),"")</f>
        <v/>
      </c>
      <c r="U1072" s="1" t="str">
        <f>IFERROR(__xludf.DUMMYFUNCTION("""COMPUTED_VALUE"""),"")</f>
        <v/>
      </c>
      <c r="V1072" s="1" t="str">
        <f>IFERROR(__xludf.DUMMYFUNCTION("""COMPUTED_VALUE"""),"")</f>
        <v/>
      </c>
      <c r="W1072" s="1" t="str">
        <f>IFERROR(__xludf.DUMMYFUNCTION("""COMPUTED_VALUE"""),"")</f>
        <v/>
      </c>
      <c r="X1072" s="1" t="str">
        <f>IFERROR(__xludf.DUMMYFUNCTION("""COMPUTED_VALUE"""),"$700 million")</f>
        <v>$700 million</v>
      </c>
      <c r="Y1072" s="1" t="str">
        <f>IFERROR(__xludf.DUMMYFUNCTION("""COMPUTED_VALUE"""),"")</f>
        <v/>
      </c>
      <c r="Z1072" s="1" t="str">
        <f>IFERROR(__xludf.DUMMYFUNCTION("""COMPUTED_VALUE"""),"Unknown")</f>
        <v>Unknown</v>
      </c>
      <c r="AA1072" s="1" t="str">
        <f>IFERROR(__xludf.DUMMYFUNCTION("""COMPUTED_VALUE"""),"")</f>
        <v/>
      </c>
      <c r="AB1072" s="1" t="str">
        <f>IFERROR(__xludf.DUMMYFUNCTION("""COMPUTED_VALUE"""),"")</f>
        <v/>
      </c>
      <c r="AC1072" s="1" t="str">
        <f>IFERROR(__xludf.DUMMYFUNCTION("""COMPUTED_VALUE"""),"")</f>
        <v/>
      </c>
      <c r="AD1072" s="1" t="str">
        <f>IFERROR(__xludf.DUMMYFUNCTION("""COMPUTED_VALUE"""),"")</f>
        <v/>
      </c>
      <c r="AE1072" s="1" t="str">
        <f>IFERROR(__xludf.DUMMYFUNCTION("""COMPUTED_VALUE"""),"")</f>
        <v/>
      </c>
      <c r="AF1072" s="1" t="str">
        <f>IFERROR(__xludf.DUMMYFUNCTION("""COMPUTED_VALUE"""),"")</f>
        <v/>
      </c>
      <c r="AG1072" s="1" t="str">
        <f>IFERROR(__xludf.DUMMYFUNCTION("""COMPUTED_VALUE"""),"")</f>
        <v/>
      </c>
      <c r="AH1072" s="1" t="str">
        <f>IFERROR(__xludf.DUMMYFUNCTION("""COMPUTED_VALUE"""),"Media Monitoring")</f>
        <v>Media Monitoring</v>
      </c>
      <c r="AI1072" s="2" t="str">
        <f>IFERROR(__xludf.DUMMYFUNCTION("""COMPUTED_VALUE"""),"https://www.rowantemple.com/faqs")</f>
        <v>https://www.rowantemple.com/faqs</v>
      </c>
      <c r="AJ1072" s="2" t="str">
        <f>IFERROR(__xludf.DUMMYFUNCTION("""COMPUTED_VALUE"""),"https://www.kcentv.com/video/news/local/700-million-data-center-coming-to-temple/500-f7b6d768-127b-4b2d-aacb-b83bf46572cb")</f>
        <v>https://www.kcentv.com/video/news/local/700-million-data-center-coming-to-temple/500-f7b6d768-127b-4b2d-aacb-b83bf46572cb</v>
      </c>
      <c r="AK1072" s="1" t="str">
        <f>IFERROR(__xludf.DUMMYFUNCTION("""COMPUTED_VALUE"""),"")</f>
        <v/>
      </c>
      <c r="AL1072" s="1" t="str">
        <f>IFERROR(__xludf.DUMMYFUNCTION("""COMPUTED_VALUE"""),"")</f>
        <v/>
      </c>
      <c r="AM1072" s="1" t="str">
        <f>IFERROR(__xludf.DUMMYFUNCTION("""COMPUTED_VALUE"""),"")</f>
        <v/>
      </c>
      <c r="AN1072" s="1" t="str">
        <f>IFERROR(__xludf.DUMMYFUNCTION("""COMPUTED_VALUE"""),"")</f>
        <v/>
      </c>
      <c r="AO1072" s="1" t="str">
        <f>IFERROR(__xludf.DUMMYFUNCTION("""COMPUTED_VALUE"""),"")</f>
        <v/>
      </c>
      <c r="AP1072" s="1" t="str">
        <f>IFERROR(__xludf.DUMMYFUNCTION("""COMPUTED_VALUE"""),"")</f>
        <v/>
      </c>
      <c r="AQ1072" s="1" t="str">
        <f>IFERROR(__xludf.DUMMYFUNCTION("""COMPUTED_VALUE"""),"09/23/2025")</f>
        <v>09/23/2025</v>
      </c>
      <c r="AR1072" s="1" t="str">
        <f>IFERROR(__xludf.DUMMYFUNCTION("""COMPUTED_VALUE"""),"09/23/2025")</f>
        <v>09/23/2025</v>
      </c>
    </row>
    <row r="1073">
      <c r="A1073" s="1" t="str">
        <f>IFERROR(__xludf.DUMMYFUNCTION("""COMPUTED_VALUE"""),"Texarkana Data center")</f>
        <v>Texarkana Data center</v>
      </c>
      <c r="B1073" s="1" t="str">
        <f>IFERROR(__xludf.DUMMYFUNCTION("""COMPUTED_VALUE"""),"507 Olive St")</f>
        <v>507 Olive St</v>
      </c>
      <c r="C1073" s="1" t="str">
        <f>IFERROR(__xludf.DUMMYFUNCTION("""COMPUTED_VALUE"""),"Texarkana")</f>
        <v>Texarkana</v>
      </c>
      <c r="D1073" s="1" t="str">
        <f>IFERROR(__xludf.DUMMYFUNCTION("""COMPUTED_VALUE"""),"TX")</f>
        <v>TX</v>
      </c>
      <c r="E1073" s="1" t="str">
        <f>IFERROR(__xludf.DUMMYFUNCTION("""COMPUTED_VALUE"""),"75501")</f>
        <v>75501</v>
      </c>
      <c r="F1073" s="1" t="str">
        <f>IFERROR(__xludf.DUMMYFUNCTION("""COMPUTED_VALUE"""),"Bowie")</f>
        <v>Bowie</v>
      </c>
      <c r="G1073" s="1" t="str">
        <f>IFERROR(__xludf.DUMMYFUNCTION("""COMPUTED_VALUE"""),"33.4248")</f>
        <v>33.4248</v>
      </c>
      <c r="H1073" s="1" t="str">
        <f>IFERROR(__xludf.DUMMYFUNCTION("""COMPUTED_VALUE"""),"-94.044")</f>
        <v>-94.044</v>
      </c>
      <c r="I1073" s="1" t="str">
        <f>IFERROR(__xludf.DUMMYFUNCTION("""COMPUTED_VALUE"""),"Operating")</f>
        <v>Operating</v>
      </c>
      <c r="J1073" s="1" t="str">
        <f>IFERROR(__xludf.DUMMYFUNCTION("""COMPUTED_VALUE"""),"High")</f>
        <v>High</v>
      </c>
      <c r="K1073" s="1" t="str">
        <f>IFERROR(__xludf.DUMMYFUNCTION("""COMPUTED_VALUE"""),"")</f>
        <v/>
      </c>
      <c r="L1073" s="1" t="str">
        <f>IFERROR(__xludf.DUMMYFUNCTION("""COMPUTED_VALUE"""),"")</f>
        <v/>
      </c>
      <c r="M1073" s="1" t="str">
        <f>IFERROR(__xludf.DUMMYFUNCTION("""COMPUTED_VALUE"""),"")</f>
        <v/>
      </c>
      <c r="N1073" s="1" t="str">
        <f>IFERROR(__xludf.DUMMYFUNCTION("""COMPUTED_VALUE"""),"")</f>
        <v/>
      </c>
      <c r="O1073" s="1" t="str">
        <f>IFERROR(__xludf.DUMMYFUNCTION("""COMPUTED_VALUE"""),"Unknown")</f>
        <v>Unknown</v>
      </c>
      <c r="P1073" s="1" t="str">
        <f>IFERROR(__xludf.DUMMYFUNCTION("""COMPUTED_VALUE"""),"")</f>
        <v/>
      </c>
      <c r="Q1073" s="1" t="str">
        <f>IFERROR(__xludf.DUMMYFUNCTION("""COMPUTED_VALUE"""),"")</f>
        <v/>
      </c>
      <c r="R1073" s="1" t="str">
        <f>IFERROR(__xludf.DUMMYFUNCTION("""COMPUTED_VALUE"""),"")</f>
        <v/>
      </c>
      <c r="S1073" s="1" t="str">
        <f>IFERROR(__xludf.DUMMYFUNCTION("""COMPUTED_VALUE"""),"")</f>
        <v/>
      </c>
      <c r="T1073" s="1" t="str">
        <f>IFERROR(__xludf.DUMMYFUNCTION("""COMPUTED_VALUE"""),"")</f>
        <v/>
      </c>
      <c r="U1073" s="1" t="str">
        <f>IFERROR(__xludf.DUMMYFUNCTION("""COMPUTED_VALUE"""),"")</f>
        <v/>
      </c>
      <c r="V1073" s="1" t="str">
        <f>IFERROR(__xludf.DUMMYFUNCTION("""COMPUTED_VALUE"""),"67,500")</f>
        <v>67,500</v>
      </c>
      <c r="W1073" s="1" t="str">
        <f>IFERROR(__xludf.DUMMYFUNCTION("""COMPUTED_VALUE"""),"")</f>
        <v/>
      </c>
      <c r="X1073" s="1" t="str">
        <f>IFERROR(__xludf.DUMMYFUNCTION("""COMPUTED_VALUE"""),"")</f>
        <v/>
      </c>
      <c r="Y1073" s="1" t="str">
        <f>IFERROR(__xludf.DUMMYFUNCTION("""COMPUTED_VALUE"""),"")</f>
        <v/>
      </c>
      <c r="Z1073" s="1" t="str">
        <f>IFERROR(__xludf.DUMMYFUNCTION("""COMPUTED_VALUE"""),"Unknown")</f>
        <v>Unknown</v>
      </c>
      <c r="AA1073" s="1" t="str">
        <f>IFERROR(__xludf.DUMMYFUNCTION("""COMPUTED_VALUE"""),"")</f>
        <v/>
      </c>
      <c r="AB1073" s="1" t="str">
        <f>IFERROR(__xludf.DUMMYFUNCTION("""COMPUTED_VALUE"""),"")</f>
        <v/>
      </c>
      <c r="AC1073" s="1" t="str">
        <f>IFERROR(__xludf.DUMMYFUNCTION("""COMPUTED_VALUE"""),"")</f>
        <v/>
      </c>
      <c r="AD1073" s="1" t="str">
        <f>IFERROR(__xludf.DUMMYFUNCTION("""COMPUTED_VALUE"""),"")</f>
        <v/>
      </c>
      <c r="AE1073" s="1" t="str">
        <f>IFERROR(__xludf.DUMMYFUNCTION("""COMPUTED_VALUE"""),"")</f>
        <v/>
      </c>
      <c r="AF1073" s="1" t="str">
        <f>IFERROR(__xludf.DUMMYFUNCTION("""COMPUTED_VALUE"""),"")</f>
        <v/>
      </c>
      <c r="AG1073" s="1" t="str">
        <f>IFERROR(__xludf.DUMMYFUNCTION("""COMPUTED_VALUE"""),"")</f>
        <v/>
      </c>
      <c r="AH1073" s="1" t="str">
        <f>IFERROR(__xludf.DUMMYFUNCTION("""COMPUTED_VALUE"""),"Media Monitoring")</f>
        <v>Media Monitoring</v>
      </c>
      <c r="AI1073" s="2" t="str">
        <f>IFERROR(__xludf.DUMMYFUNCTION("""COMPUTED_VALUE"""),"https://invest.jll.com/us/en/listings/special-purpose-facility/8-asset-switch-portfolio")</f>
        <v>https://invest.jll.com/us/en/listings/special-purpose-facility/8-asset-switch-portfolio</v>
      </c>
      <c r="AJ1073" s="1" t="str">
        <f>IFERROR(__xludf.DUMMYFUNCTION("""COMPUTED_VALUE"""),"")</f>
        <v/>
      </c>
      <c r="AK1073" s="1" t="str">
        <f>IFERROR(__xludf.DUMMYFUNCTION("""COMPUTED_VALUE"""),"")</f>
        <v/>
      </c>
      <c r="AL1073" s="1" t="str">
        <f>IFERROR(__xludf.DUMMYFUNCTION("""COMPUTED_VALUE"""),"")</f>
        <v/>
      </c>
      <c r="AM1073" s="1" t="str">
        <f>IFERROR(__xludf.DUMMYFUNCTION("""COMPUTED_VALUE"""),"")</f>
        <v/>
      </c>
      <c r="AN1073" s="1" t="str">
        <f>IFERROR(__xludf.DUMMYFUNCTION("""COMPUTED_VALUE"""),"")</f>
        <v/>
      </c>
      <c r="AO1073" s="1" t="str">
        <f>IFERROR(__xludf.DUMMYFUNCTION("""COMPUTED_VALUE"""),"")</f>
        <v/>
      </c>
      <c r="AP1073" s="1" t="str">
        <f>IFERROR(__xludf.DUMMYFUNCTION("""COMPUTED_VALUE"""),"")</f>
        <v/>
      </c>
      <c r="AQ1073" s="1" t="str">
        <f>IFERROR(__xludf.DUMMYFUNCTION("""COMPUTED_VALUE"""),"05/27/2025")</f>
        <v>05/27/2025</v>
      </c>
      <c r="AR1073" s="1" t="str">
        <f>IFERROR(__xludf.DUMMYFUNCTION("""COMPUTED_VALUE"""),"05/27/2025")</f>
        <v>05/27/2025</v>
      </c>
    </row>
    <row r="1074">
      <c r="A1074" s="1" t="str">
        <f>IFERROR(__xludf.DUMMYFUNCTION("""COMPUTED_VALUE"""),"Huge Data Center development")</f>
        <v>Huge Data Center development</v>
      </c>
      <c r="B1074" s="1" t="str">
        <f>IFERROR(__xludf.DUMMYFUNCTION("""COMPUTED_VALUE"""),"")</f>
        <v/>
      </c>
      <c r="C1074" s="1" t="str">
        <f>IFERROR(__xludf.DUMMYFUNCTION("""COMPUTED_VALUE"""),"Texas panhandle, location unknown")</f>
        <v>Texas panhandle, location unknown</v>
      </c>
      <c r="D1074" s="1" t="str">
        <f>IFERROR(__xludf.DUMMYFUNCTION("""COMPUTED_VALUE"""),"TX")</f>
        <v>TX</v>
      </c>
      <c r="E1074" s="1" t="str">
        <f>IFERROR(__xludf.DUMMYFUNCTION("""COMPUTED_VALUE"""),"")</f>
        <v/>
      </c>
      <c r="F1074" s="1" t="str">
        <f>IFERROR(__xludf.DUMMYFUNCTION("""COMPUTED_VALUE"""),"Carson")</f>
        <v>Carson</v>
      </c>
      <c r="G1074" s="1" t="str">
        <f>IFERROR(__xludf.DUMMYFUNCTION("""COMPUTED_VALUE"""),"35.48043")</f>
        <v>35.48043</v>
      </c>
      <c r="H1074" s="1" t="str">
        <f>IFERROR(__xludf.DUMMYFUNCTION("""COMPUTED_VALUE"""),"-101.622")</f>
        <v>-101.622</v>
      </c>
      <c r="I1074" s="1" t="str">
        <f>IFERROR(__xludf.DUMMYFUNCTION("""COMPUTED_VALUE"""),"Proposed")</f>
        <v>Proposed</v>
      </c>
      <c r="J1074" s="1" t="str">
        <f>IFERROR(__xludf.DUMMYFUNCTION("""COMPUTED_VALUE"""),"Low")</f>
        <v>Low</v>
      </c>
      <c r="K1074" s="1" t="str">
        <f>IFERROR(__xludf.DUMMYFUNCTION("""COMPUTED_VALUE"""),"")</f>
        <v/>
      </c>
      <c r="L1074" s="1" t="str">
        <f>IFERROR(__xludf.DUMMYFUNCTION("""COMPUTED_VALUE"""),"")</f>
        <v/>
      </c>
      <c r="M1074" s="1" t="str">
        <f>IFERROR(__xludf.DUMMYFUNCTION("""COMPUTED_VALUE"""),"")</f>
        <v/>
      </c>
      <c r="N1074" s="1" t="str">
        <f>IFERROR(__xludf.DUMMYFUNCTION("""COMPUTED_VALUE"""),"")</f>
        <v/>
      </c>
      <c r="O1074" s="1" t="str">
        <f>IFERROR(__xludf.DUMMYFUNCTION("""COMPUTED_VALUE"""),"Unknown")</f>
        <v>Unknown</v>
      </c>
      <c r="P1074" s="1" t="str">
        <f>IFERROR(__xludf.DUMMYFUNCTION("""COMPUTED_VALUE"""),"")</f>
        <v/>
      </c>
      <c r="Q1074" s="1" t="str">
        <f>IFERROR(__xludf.DUMMYFUNCTION("""COMPUTED_VALUE"""),"")</f>
        <v/>
      </c>
      <c r="R1074" s="1" t="str">
        <f>IFERROR(__xludf.DUMMYFUNCTION("""COMPUTED_VALUE"""),"")</f>
        <v/>
      </c>
      <c r="S1074" s="1" t="str">
        <f>IFERROR(__xludf.DUMMYFUNCTION("""COMPUTED_VALUE"""),"")</f>
        <v/>
      </c>
      <c r="T1074" s="1" t="str">
        <f>IFERROR(__xludf.DUMMYFUNCTION("""COMPUTED_VALUE"""),"")</f>
        <v/>
      </c>
      <c r="U1074" s="1" t="str">
        <f>IFERROR(__xludf.DUMMYFUNCTION("""COMPUTED_VALUE"""),"")</f>
        <v/>
      </c>
      <c r="V1074" s="1" t="str">
        <f>IFERROR(__xludf.DUMMYFUNCTION("""COMPUTED_VALUE"""),"")</f>
        <v/>
      </c>
      <c r="W1074" s="1" t="str">
        <f>IFERROR(__xludf.DUMMYFUNCTION("""COMPUTED_VALUE"""),"5000")</f>
        <v>5000</v>
      </c>
      <c r="X1074" s="1" t="str">
        <f>IFERROR(__xludf.DUMMYFUNCTION("""COMPUTED_VALUE"""),"")</f>
        <v/>
      </c>
      <c r="Y1074" s="1" t="str">
        <f>IFERROR(__xludf.DUMMYFUNCTION("""COMPUTED_VALUE"""),"")</f>
        <v/>
      </c>
      <c r="Z1074" s="1" t="str">
        <f>IFERROR(__xludf.DUMMYFUNCTION("""COMPUTED_VALUE"""),"Unknown")</f>
        <v>Unknown</v>
      </c>
      <c r="AA1074" s="1" t="str">
        <f>IFERROR(__xludf.DUMMYFUNCTION("""COMPUTED_VALUE"""),"")</f>
        <v/>
      </c>
      <c r="AB1074" s="1" t="str">
        <f>IFERROR(__xludf.DUMMYFUNCTION("""COMPUTED_VALUE"""),"")</f>
        <v/>
      </c>
      <c r="AC1074" s="1" t="str">
        <f>IFERROR(__xludf.DUMMYFUNCTION("""COMPUTED_VALUE"""),"")</f>
        <v/>
      </c>
      <c r="AD1074" s="1" t="str">
        <f>IFERROR(__xludf.DUMMYFUNCTION("""COMPUTED_VALUE"""),"")</f>
        <v/>
      </c>
      <c r="AE1074" s="1" t="str">
        <f>IFERROR(__xludf.DUMMYFUNCTION("""COMPUTED_VALUE"""),"")</f>
        <v/>
      </c>
      <c r="AF1074" s="1" t="str">
        <f>IFERROR(__xludf.DUMMYFUNCTION("""COMPUTED_VALUE"""),"")</f>
        <v/>
      </c>
      <c r="AG1074" s="1" t="str">
        <f>IFERROR(__xludf.DUMMYFUNCTION("""COMPUTED_VALUE"""),"")</f>
        <v/>
      </c>
      <c r="AH1074" s="1" t="str">
        <f>IFERROR(__xludf.DUMMYFUNCTION("""COMPUTED_VALUE"""),"Media Monitoring")</f>
        <v>Media Monitoring</v>
      </c>
      <c r="AI1074" s="2" t="str">
        <f>IFERROR(__xludf.DUMMYFUNCTION("""COMPUTED_VALUE"""),"https://www.datacenterdynamics.com/en/news/5000-acre-plot-listed-for-sale-for-data-center-development-in-the-texas-panhandle/")</f>
        <v>https://www.datacenterdynamics.com/en/news/5000-acre-plot-listed-for-sale-for-data-center-development-in-the-texas-panhandle/</v>
      </c>
      <c r="AJ1074" s="1" t="str">
        <f>IFERROR(__xludf.DUMMYFUNCTION("""COMPUTED_VALUE"""),"")</f>
        <v/>
      </c>
      <c r="AK1074" s="1" t="str">
        <f>IFERROR(__xludf.DUMMYFUNCTION("""COMPUTED_VALUE"""),"")</f>
        <v/>
      </c>
      <c r="AL1074" s="1" t="str">
        <f>IFERROR(__xludf.DUMMYFUNCTION("""COMPUTED_VALUE"""),"")</f>
        <v/>
      </c>
      <c r="AM1074" s="1" t="str">
        <f>IFERROR(__xludf.DUMMYFUNCTION("""COMPUTED_VALUE"""),"")</f>
        <v/>
      </c>
      <c r="AN1074" s="1" t="str">
        <f>IFERROR(__xludf.DUMMYFUNCTION("""COMPUTED_VALUE"""),"")</f>
        <v/>
      </c>
      <c r="AO1074" s="1" t="str">
        <f>IFERROR(__xludf.DUMMYFUNCTION("""COMPUTED_VALUE"""),"")</f>
        <v/>
      </c>
      <c r="AP1074" s="1" t="str">
        <f>IFERROR(__xludf.DUMMYFUNCTION("""COMPUTED_VALUE"""),"")</f>
        <v/>
      </c>
      <c r="AQ1074" s="1" t="str">
        <f>IFERROR(__xludf.DUMMYFUNCTION("""COMPUTED_VALUE"""),"06/20/2025")</f>
        <v>06/20/2025</v>
      </c>
      <c r="AR1074" s="1" t="str">
        <f>IFERROR(__xludf.DUMMYFUNCTION("""COMPUTED_VALUE"""),"06/20/2025")</f>
        <v>06/20/2025</v>
      </c>
    </row>
    <row r="1075">
      <c r="A1075" s="1" t="str">
        <f>IFERROR(__xludf.DUMMYFUNCTION("""COMPUTED_VALUE"""),"Comanche Circle Data Centers")</f>
        <v>Comanche Circle Data Centers</v>
      </c>
      <c r="B1075" s="1" t="str">
        <f>IFERROR(__xludf.DUMMYFUNCTION("""COMPUTED_VALUE"""),"near Comanche Peak Nuclear Power Plant")</f>
        <v>near Comanche Peak Nuclear Power Plant</v>
      </c>
      <c r="C1075" s="1" t="str">
        <f>IFERROR(__xludf.DUMMYFUNCTION("""COMPUTED_VALUE"""),"Tolar")</f>
        <v>Tolar</v>
      </c>
      <c r="D1075" s="1" t="str">
        <f>IFERROR(__xludf.DUMMYFUNCTION("""COMPUTED_VALUE"""),"TX")</f>
        <v>TX</v>
      </c>
      <c r="E1075" s="1" t="str">
        <f>IFERROR(__xludf.DUMMYFUNCTION("""COMPUTED_VALUE"""),"76476")</f>
        <v>76476</v>
      </c>
      <c r="F1075" s="1" t="str">
        <f>IFERROR(__xludf.DUMMYFUNCTION("""COMPUTED_VALUE"""),"Hood")</f>
        <v>Hood</v>
      </c>
      <c r="G1075" s="1" t="str">
        <f>IFERROR(__xludf.DUMMYFUNCTION("""COMPUTED_VALUE"""),"32.312485")</f>
        <v>32.312485</v>
      </c>
      <c r="H1075" s="1" t="str">
        <f>IFERROR(__xludf.DUMMYFUNCTION("""COMPUTED_VALUE"""),"-97.827065")</f>
        <v>-97.827065</v>
      </c>
      <c r="I1075" s="1" t="str">
        <f>IFERROR(__xludf.DUMMYFUNCTION("""COMPUTED_VALUE"""),"Approved/Permitted/Under construction")</f>
        <v>Approved/Permitted/Under construction</v>
      </c>
      <c r="J1075" s="1" t="str">
        <f>IFERROR(__xludf.DUMMYFUNCTION("""COMPUTED_VALUE"""),"Medium")</f>
        <v>Medium</v>
      </c>
      <c r="K1075" s="1" t="str">
        <f>IFERROR(__xludf.DUMMYFUNCTION("""COMPUTED_VALUE"""),"")</f>
        <v/>
      </c>
      <c r="L1075" s="1" t="str">
        <f>IFERROR(__xludf.DUMMYFUNCTION("""COMPUTED_VALUE"""),"Sailfish Digital Ventures")</f>
        <v>Sailfish Digital Ventures</v>
      </c>
      <c r="M1075" s="1" t="str">
        <f>IFERROR(__xludf.DUMMYFUNCTION("""COMPUTED_VALUE"""),"")</f>
        <v/>
      </c>
      <c r="N1075" s="1" t="str">
        <f>IFERROR(__xludf.DUMMYFUNCTION("""COMPUTED_VALUE"""),"600")</f>
        <v>600</v>
      </c>
      <c r="O1075" s="1" t="str">
        <f>IFERROR(__xludf.DUMMYFUNCTION("""COMPUTED_VALUE"""),"Mega campus (&gt;1,000 MW)")</f>
        <v>Mega campus (&gt;1,000 MW)</v>
      </c>
      <c r="P1075" s="1" t="str">
        <f>IFERROR(__xludf.DUMMYFUNCTION("""COMPUTED_VALUE"""),"")</f>
        <v/>
      </c>
      <c r="Q1075" s="1" t="str">
        <f>IFERROR(__xludf.DUMMYFUNCTION("""COMPUTED_VALUE"""),"")</f>
        <v/>
      </c>
      <c r="R1075" s="1" t="str">
        <f>IFERROR(__xludf.DUMMYFUNCTION("""COMPUTED_VALUE"""),"")</f>
        <v/>
      </c>
      <c r="S1075" s="1" t="str">
        <f>IFERROR(__xludf.DUMMYFUNCTION("""COMPUTED_VALUE"""),"30")</f>
        <v>30</v>
      </c>
      <c r="T1075" s="1" t="str">
        <f>IFERROR(__xludf.DUMMYFUNCTION("""COMPUTED_VALUE"""),"")</f>
        <v/>
      </c>
      <c r="U1075" s="1" t="str">
        <f>IFERROR(__xludf.DUMMYFUNCTION("""COMPUTED_VALUE"""),"")</f>
        <v/>
      </c>
      <c r="V1075" s="1" t="str">
        <f>IFERROR(__xludf.DUMMYFUNCTION("""COMPUTED_VALUE"""),"5,500,000")</f>
        <v>5,500,000</v>
      </c>
      <c r="W1075" s="1" t="str">
        <f>IFERROR(__xludf.DUMMYFUNCTION("""COMPUTED_VALUE"""),"2000")</f>
        <v>2000</v>
      </c>
      <c r="X1075" s="1" t="str">
        <f>IFERROR(__xludf.DUMMYFUNCTION("""COMPUTED_VALUE"""),"")</f>
        <v/>
      </c>
      <c r="Y1075" s="1" t="str">
        <f>IFERROR(__xludf.DUMMYFUNCTION("""COMPUTED_VALUE"""),"")</f>
        <v/>
      </c>
      <c r="Z1075" s="1" t="str">
        <f>IFERROR(__xludf.DUMMYFUNCTION("""COMPUTED_VALUE"""),"Yes")</f>
        <v>Yes</v>
      </c>
      <c r="AA1075" s="1" t="str">
        <f>IFERROR(__xludf.DUMMYFUNCTION("""COMPUTED_VALUE"""),"")</f>
        <v/>
      </c>
      <c r="AB1075" s="1" t="str">
        <f>IFERROR(__xludf.DUMMYFUNCTION("""COMPUTED_VALUE"""),"")</f>
        <v/>
      </c>
      <c r="AC1075" s="1" t="str">
        <f>IFERROR(__xludf.DUMMYFUNCTION("""COMPUTED_VALUE"""),"")</f>
        <v/>
      </c>
      <c r="AD1075" s="1" t="str">
        <f>IFERROR(__xludf.DUMMYFUNCTION("""COMPUTED_VALUE"""),"")</f>
        <v/>
      </c>
      <c r="AE1075" s="1" t="str">
        <f>IFERROR(__xludf.DUMMYFUNCTION("""COMPUTED_VALUE"""),"")</f>
        <v/>
      </c>
      <c r="AF1075" s="1" t="str">
        <f>IFERROR(__xludf.DUMMYFUNCTION("""COMPUTED_VALUE"""),"")</f>
        <v/>
      </c>
      <c r="AG1075" s="1" t="str">
        <f>IFERROR(__xludf.DUMMYFUNCTION("""COMPUTED_VALUE"""),"")</f>
        <v/>
      </c>
      <c r="AH1075" s="1" t="str">
        <f>IFERROR(__xludf.DUMMYFUNCTION("""COMPUTED_VALUE"""),"Media Monitoring")</f>
        <v>Media Monitoring</v>
      </c>
      <c r="AI1075" s="2" t="str">
        <f>IFERROR(__xludf.DUMMYFUNCTION("""COMPUTED_VALUE"""),"https://www.nbcdfw.com/news/local/hood-county-residents-concerned-about-proposed-data-center/3967981/")</f>
        <v>https://www.nbcdfw.com/news/local/hood-county-residents-concerned-about-proposed-data-center/3967981/</v>
      </c>
      <c r="AJ1075" s="2" t="str">
        <f>IFERROR(__xludf.DUMMYFUNCTION("""COMPUTED_VALUE"""),"https://www.youtube.com/watch?v=8ecYhZEItYA")</f>
        <v>https://www.youtube.com/watch?v=8ecYhZEItYA</v>
      </c>
      <c r="AK1075" s="2" t="str">
        <f>IFERROR(__xludf.DUMMYFUNCTION("""COMPUTED_VALUE"""),"https://www.texastribune.org/2026/06/02/texas-data-centers-hood-county-local-control-rural-water-power/")</f>
        <v>https://www.texastribune.org/2026/06/02/texas-data-centers-hood-county-local-control-rural-water-power/</v>
      </c>
      <c r="AL1075" s="2" t="str">
        <f>IFERROR(__xludf.DUMMYFUNCTION("""COMPUTED_VALUE"""),"https://www.keranews.org/government/2026-06-09/hood-county-approves-comanche-circle-data-center-without-conditions-after-contentious-meeting")</f>
        <v>https://www.keranews.org/government/2026-06-09/hood-county-approves-comanche-circle-data-center-without-conditions-after-contentious-meeting</v>
      </c>
      <c r="AM1075" s="1" t="str">
        <f>IFERROR(__xludf.DUMMYFUNCTION("""COMPUTED_VALUE"""),"")</f>
        <v/>
      </c>
      <c r="AN1075" s="1" t="str">
        <f>IFERROR(__xludf.DUMMYFUNCTION("""COMPUTED_VALUE"""),"")</f>
        <v/>
      </c>
      <c r="AO1075" s="1" t="str">
        <f>IFERROR(__xludf.DUMMYFUNCTION("""COMPUTED_VALUE"""),"")</f>
        <v/>
      </c>
      <c r="AP1075" s="1" t="str">
        <f>IFERROR(__xludf.DUMMYFUNCTION("""COMPUTED_VALUE"""),"")</f>
        <v/>
      </c>
      <c r="AQ1075" s="1" t="str">
        <f>IFERROR(__xludf.DUMMYFUNCTION("""COMPUTED_VALUE"""),"07/01/2026")</f>
        <v>07/01/2026</v>
      </c>
      <c r="AR1075" s="1" t="str">
        <f>IFERROR(__xludf.DUMMYFUNCTION("""COMPUTED_VALUE"""),"07/01/2026")</f>
        <v>07/01/2026</v>
      </c>
    </row>
    <row r="1076">
      <c r="A1076" s="1" t="str">
        <f>IFERROR(__xludf.DUMMYFUNCTION("""COMPUTED_VALUE"""),"Vulcan Core LLC Bitcoin")</f>
        <v>Vulcan Core LLC Bitcoin</v>
      </c>
      <c r="B1076" s="1" t="str">
        <f>IFERROR(__xludf.DUMMYFUNCTION("""COMPUTED_VALUE"""),"1105 W. Erwin St")</f>
        <v>1105 W. Erwin St</v>
      </c>
      <c r="C1076" s="1" t="str">
        <f>IFERROR(__xludf.DUMMYFUNCTION("""COMPUTED_VALUE"""),"Tyler")</f>
        <v>Tyler</v>
      </c>
      <c r="D1076" s="1" t="str">
        <f>IFERROR(__xludf.DUMMYFUNCTION("""COMPUTED_VALUE"""),"TX")</f>
        <v>TX</v>
      </c>
      <c r="E1076" s="1" t="str">
        <f>IFERROR(__xludf.DUMMYFUNCTION("""COMPUTED_VALUE"""),"75702")</f>
        <v>75702</v>
      </c>
      <c r="F1076" s="1" t="str">
        <f>IFERROR(__xludf.DUMMYFUNCTION("""COMPUTED_VALUE"""),"Smith")</f>
        <v>Smith</v>
      </c>
      <c r="G1076" s="1" t="str">
        <f>IFERROR(__xludf.DUMMYFUNCTION("""COMPUTED_VALUE"""),"32.35096")</f>
        <v>32.35096</v>
      </c>
      <c r="H1076" s="1" t="str">
        <f>IFERROR(__xludf.DUMMYFUNCTION("""COMPUTED_VALUE"""),"-95.31266")</f>
        <v>-95.31266</v>
      </c>
      <c r="I1076" s="1" t="str">
        <f>IFERROR(__xludf.DUMMYFUNCTION("""COMPUTED_VALUE"""),"Cancelled")</f>
        <v>Cancelled</v>
      </c>
      <c r="J1076" s="1" t="str">
        <f>IFERROR(__xludf.DUMMYFUNCTION("""COMPUTED_VALUE"""),"High")</f>
        <v>High</v>
      </c>
      <c r="K1076" s="1" t="str">
        <f>IFERROR(__xludf.DUMMYFUNCTION("""COMPUTED_VALUE"""),"")</f>
        <v/>
      </c>
      <c r="L1076" s="1" t="str">
        <f>IFERROR(__xludf.DUMMYFUNCTION("""COMPUTED_VALUE"""),"Vulcan Core LLC")</f>
        <v>Vulcan Core LLC</v>
      </c>
      <c r="M1076" s="1" t="str">
        <f>IFERROR(__xludf.DUMMYFUNCTION("""COMPUTED_VALUE"""),"")</f>
        <v/>
      </c>
      <c r="N1076" s="1" t="str">
        <f>IFERROR(__xludf.DUMMYFUNCTION("""COMPUTED_VALUE"""),"12")</f>
        <v>12</v>
      </c>
      <c r="O1076" s="1" t="str">
        <f>IFERROR(__xludf.DUMMYFUNCTION("""COMPUTED_VALUE"""),"Medium (11-50 MW)")</f>
        <v>Medium (11-50 MW)</v>
      </c>
      <c r="P1076" s="1" t="str">
        <f>IFERROR(__xludf.DUMMYFUNCTION("""COMPUTED_VALUE"""),"")</f>
        <v/>
      </c>
      <c r="Q1076" s="1" t="str">
        <f>IFERROR(__xludf.DUMMYFUNCTION("""COMPUTED_VALUE"""),"")</f>
        <v/>
      </c>
      <c r="R1076" s="1" t="str">
        <f>IFERROR(__xludf.DUMMYFUNCTION("""COMPUTED_VALUE"""),"")</f>
        <v/>
      </c>
      <c r="S1076" s="1" t="str">
        <f>IFERROR(__xludf.DUMMYFUNCTION("""COMPUTED_VALUE"""),"")</f>
        <v/>
      </c>
      <c r="T1076" s="1" t="str">
        <f>IFERROR(__xludf.DUMMYFUNCTION("""COMPUTED_VALUE"""),"")</f>
        <v/>
      </c>
      <c r="U1076" s="1" t="str">
        <f>IFERROR(__xludf.DUMMYFUNCTION("""COMPUTED_VALUE"""),"Closed loop")</f>
        <v>Closed loop</v>
      </c>
      <c r="V1076" s="1" t="str">
        <f>IFERROR(__xludf.DUMMYFUNCTION("""COMPUTED_VALUE"""),"8090")</f>
        <v>8090</v>
      </c>
      <c r="W1076" s="1" t="str">
        <f>IFERROR(__xludf.DUMMYFUNCTION("""COMPUTED_VALUE"""),"2")</f>
        <v>2</v>
      </c>
      <c r="X1076" s="1" t="str">
        <f>IFERROR(__xludf.DUMMYFUNCTION("""COMPUTED_VALUE"""),"")</f>
        <v/>
      </c>
      <c r="Y1076" s="1" t="str">
        <f>IFERROR(__xludf.DUMMYFUNCTION("""COMPUTED_VALUE"""),"")</f>
        <v/>
      </c>
      <c r="Z1076" s="1" t="str">
        <f>IFERROR(__xludf.DUMMYFUNCTION("""COMPUTED_VALUE"""),"Yes")</f>
        <v>Yes</v>
      </c>
      <c r="AA1076" s="1" t="str">
        <f>IFERROR(__xludf.DUMMYFUNCTION("""COMPUTED_VALUE"""),"")</f>
        <v/>
      </c>
      <c r="AB1076" s="1" t="str">
        <f>IFERROR(__xludf.DUMMYFUNCTION("""COMPUTED_VALUE"""),"Organized Advocacy")</f>
        <v>Organized Advocacy</v>
      </c>
      <c r="AC1076" s="1" t="str">
        <f>IFERROR(__xludf.DUMMYFUNCTION("""COMPUTED_VALUE"""),"")</f>
        <v/>
      </c>
      <c r="AD1076" s="1" t="str">
        <f>IFERROR(__xludf.DUMMYFUNCTION("""COMPUTED_VALUE"""),"")</f>
        <v/>
      </c>
      <c r="AE1076" s="1" t="str">
        <f>IFERROR(__xludf.DUMMYFUNCTION("""COMPUTED_VALUE"""),"")</f>
        <v/>
      </c>
      <c r="AF1076" s="1" t="str">
        <f>IFERROR(__xludf.DUMMYFUNCTION("""COMPUTED_VALUE"""),"")</f>
        <v/>
      </c>
      <c r="AG1076" s="1" t="str">
        <f>IFERROR(__xludf.DUMMYFUNCTION("""COMPUTED_VALUE"""),"Permit denied, 5-2")</f>
        <v>Permit denied, 5-2</v>
      </c>
      <c r="AH1076" s="1" t="str">
        <f>IFERROR(__xludf.DUMMYFUNCTION("""COMPUTED_VALUE"""),"Media Monitoring")</f>
        <v>Media Monitoring</v>
      </c>
      <c r="AI1076" s="2" t="str">
        <f>IFERROR(__xludf.DUMMYFUNCTION("""COMPUTED_VALUE"""),"https://www.datacenterdynamics.com/en/news/tyler-texas-rejects-bitcoin-mining-data-center/")</f>
        <v>https://www.datacenterdynamics.com/en/news/tyler-texas-rejects-bitcoin-mining-data-center/</v>
      </c>
      <c r="AJ1076" s="1" t="str">
        <f>IFERROR(__xludf.DUMMYFUNCTION("""COMPUTED_VALUE"""),"")</f>
        <v/>
      </c>
      <c r="AK1076" s="1" t="str">
        <f>IFERROR(__xludf.DUMMYFUNCTION("""COMPUTED_VALUE"""),"")</f>
        <v/>
      </c>
      <c r="AL1076" s="1" t="str">
        <f>IFERROR(__xludf.DUMMYFUNCTION("""COMPUTED_VALUE"""),"")</f>
        <v/>
      </c>
      <c r="AM1076" s="1" t="str">
        <f>IFERROR(__xludf.DUMMYFUNCTION("""COMPUTED_VALUE"""),"")</f>
        <v/>
      </c>
      <c r="AN1076" s="1" t="str">
        <f>IFERROR(__xludf.DUMMYFUNCTION("""COMPUTED_VALUE"""),"")</f>
        <v/>
      </c>
      <c r="AO1076" s="1" t="str">
        <f>IFERROR(__xludf.DUMMYFUNCTION("""COMPUTED_VALUE"""),"")</f>
        <v/>
      </c>
      <c r="AP1076" s="1" t="str">
        <f>IFERROR(__xludf.DUMMYFUNCTION("""COMPUTED_VALUE"""),"")</f>
        <v/>
      </c>
      <c r="AQ1076" s="1" t="str">
        <f>IFERROR(__xludf.DUMMYFUNCTION("""COMPUTED_VALUE"""),"07/12/2026")</f>
        <v>07/12/2026</v>
      </c>
      <c r="AR1076" s="1" t="str">
        <f>IFERROR(__xludf.DUMMYFUNCTION("""COMPUTED_VALUE"""),"07/12/2026")</f>
        <v>07/12/2026</v>
      </c>
    </row>
    <row r="1077">
      <c r="A1077" s="1" t="str">
        <f>IFERROR(__xludf.DUMMYFUNCTION("""COMPUTED_VALUE"""),"PowerHouse Data Centers")</f>
        <v>PowerHouse Data Centers</v>
      </c>
      <c r="B1077" s="1" t="str">
        <f>IFERROR(__xludf.DUMMYFUNCTION("""COMPUTED_VALUE"""),"Caldwell Valley Technology Park, Farm to Market Road 2720")</f>
        <v>Caldwell Valley Technology Park, Farm to Market Road 2720</v>
      </c>
      <c r="C1077" s="1" t="str">
        <f>IFERROR(__xludf.DUMMYFUNCTION("""COMPUTED_VALUE"""),"Uhland")</f>
        <v>Uhland</v>
      </c>
      <c r="D1077" s="1" t="str">
        <f>IFERROR(__xludf.DUMMYFUNCTION("""COMPUTED_VALUE"""),"TX")</f>
        <v>TX</v>
      </c>
      <c r="E1077" s="1" t="str">
        <f>IFERROR(__xludf.DUMMYFUNCTION("""COMPUTED_VALUE"""),"78640")</f>
        <v>78640</v>
      </c>
      <c r="F1077" s="1" t="str">
        <f>IFERROR(__xludf.DUMMYFUNCTION("""COMPUTED_VALUE"""),"Caldwell")</f>
        <v>Caldwell</v>
      </c>
      <c r="G1077" s="1" t="str">
        <f>IFERROR(__xludf.DUMMYFUNCTION("""COMPUTED_VALUE"""),"29.919367")</f>
        <v>29.919367</v>
      </c>
      <c r="H1077" s="1" t="str">
        <f>IFERROR(__xludf.DUMMYFUNCTION("""COMPUTED_VALUE"""),"-97.772064")</f>
        <v>-97.772064</v>
      </c>
      <c r="I1077" s="1" t="str">
        <f>IFERROR(__xludf.DUMMYFUNCTION("""COMPUTED_VALUE"""),"Proposed")</f>
        <v>Proposed</v>
      </c>
      <c r="J1077" s="1" t="str">
        <f>IFERROR(__xludf.DUMMYFUNCTION("""COMPUTED_VALUE"""),"Medium")</f>
        <v>Medium</v>
      </c>
      <c r="K1077" s="1" t="str">
        <f>IFERROR(__xludf.DUMMYFUNCTION("""COMPUTED_VALUE"""),"")</f>
        <v/>
      </c>
      <c r="L1077" s="1" t="str">
        <f>IFERROR(__xludf.DUMMYFUNCTION("""COMPUTED_VALUE"""),"")</f>
        <v/>
      </c>
      <c r="M1077" s="1" t="str">
        <f>IFERROR(__xludf.DUMMYFUNCTION("""COMPUTED_VALUE"""),"")</f>
        <v/>
      </c>
      <c r="N1077" s="1" t="str">
        <f>IFERROR(__xludf.DUMMYFUNCTION("""COMPUTED_VALUE"""),"")</f>
        <v/>
      </c>
      <c r="O1077" s="1" t="str">
        <f>IFERROR(__xludf.DUMMYFUNCTION("""COMPUTED_VALUE"""),"Hyperscale (100-999 MW)")</f>
        <v>Hyperscale (100-999 MW)</v>
      </c>
      <c r="P1077" s="1" t="str">
        <f>IFERROR(__xludf.DUMMYFUNCTION("""COMPUTED_VALUE"""),"")</f>
        <v/>
      </c>
      <c r="Q1077" s="1" t="str">
        <f>IFERROR(__xludf.DUMMYFUNCTION("""COMPUTED_VALUE"""),"")</f>
        <v/>
      </c>
      <c r="R1077" s="1" t="str">
        <f>IFERROR(__xludf.DUMMYFUNCTION("""COMPUTED_VALUE"""),"")</f>
        <v/>
      </c>
      <c r="S1077" s="1" t="str">
        <f>IFERROR(__xludf.DUMMYFUNCTION("""COMPUTED_VALUE"""),"")</f>
        <v/>
      </c>
      <c r="T1077" s="1" t="str">
        <f>IFERROR(__xludf.DUMMYFUNCTION("""COMPUTED_VALUE"""),"")</f>
        <v/>
      </c>
      <c r="U1077" s="1" t="str">
        <f>IFERROR(__xludf.DUMMYFUNCTION("""COMPUTED_VALUE"""),"")</f>
        <v/>
      </c>
      <c r="V1077" s="1" t="str">
        <f>IFERROR(__xludf.DUMMYFUNCTION("""COMPUTED_VALUE"""),"")</f>
        <v/>
      </c>
      <c r="W1077" s="1" t="str">
        <f>IFERROR(__xludf.DUMMYFUNCTION("""COMPUTED_VALUE"""),"500")</f>
        <v>500</v>
      </c>
      <c r="X1077" s="1" t="str">
        <f>IFERROR(__xludf.DUMMYFUNCTION("""COMPUTED_VALUE"""),"")</f>
        <v/>
      </c>
      <c r="Y1077" s="1" t="str">
        <f>IFERROR(__xludf.DUMMYFUNCTION("""COMPUTED_VALUE"""),"")</f>
        <v/>
      </c>
      <c r="Z1077" s="1" t="str">
        <f>IFERROR(__xludf.DUMMYFUNCTION("""COMPUTED_VALUE"""),"Unknown")</f>
        <v>Unknown</v>
      </c>
      <c r="AA1077" s="1" t="str">
        <f>IFERROR(__xludf.DUMMYFUNCTION("""COMPUTED_VALUE"""),"")</f>
        <v/>
      </c>
      <c r="AB1077" s="1" t="str">
        <f>IFERROR(__xludf.DUMMYFUNCTION("""COMPUTED_VALUE"""),"")</f>
        <v/>
      </c>
      <c r="AC1077" s="1" t="str">
        <f>IFERROR(__xludf.DUMMYFUNCTION("""COMPUTED_VALUE"""),"")</f>
        <v/>
      </c>
      <c r="AD1077" s="1" t="str">
        <f>IFERROR(__xludf.DUMMYFUNCTION("""COMPUTED_VALUE"""),"")</f>
        <v/>
      </c>
      <c r="AE1077" s="1" t="str">
        <f>IFERROR(__xludf.DUMMYFUNCTION("""COMPUTED_VALUE"""),"")</f>
        <v/>
      </c>
      <c r="AF1077" s="1" t="str">
        <f>IFERROR(__xludf.DUMMYFUNCTION("""COMPUTED_VALUE"""),"")</f>
        <v/>
      </c>
      <c r="AG1077" s="1" t="str">
        <f>IFERROR(__xludf.DUMMYFUNCTION("""COMPUTED_VALUE"""),"Site can supposedly support up to 4 GW")</f>
        <v>Site can supposedly support up to 4 GW</v>
      </c>
      <c r="AH1077" s="1" t="str">
        <f>IFERROR(__xludf.DUMMYFUNCTION("""COMPUTED_VALUE"""),"Media Monitoring")</f>
        <v>Media Monitoring</v>
      </c>
      <c r="AI1077" s="2" t="str">
        <f>IFERROR(__xludf.DUMMYFUNCTION("""COMPUTED_VALUE"""),"https://www.datacenterdynamics.com/en/news/powerhouse-looking-to-build-500-acre-data-center-near-austin-texas/")</f>
        <v>https://www.datacenterdynamics.com/en/news/powerhouse-looking-to-build-500-acre-data-center-near-austin-texas/</v>
      </c>
      <c r="AJ1077" s="2" t="str">
        <f>IFERROR(__xludf.DUMMYFUNCTION("""COMPUTED_VALUE"""),"https://www.datacentermap.com/usa/texas/austin/tract-uhland/")</f>
        <v>https://www.datacentermap.com/usa/texas/austin/tract-uhland/</v>
      </c>
      <c r="AK1077" s="1" t="str">
        <f>IFERROR(__xludf.DUMMYFUNCTION("""COMPUTED_VALUE"""),"")</f>
        <v/>
      </c>
      <c r="AL1077" s="1" t="str">
        <f>IFERROR(__xludf.DUMMYFUNCTION("""COMPUTED_VALUE"""),"")</f>
        <v/>
      </c>
      <c r="AM1077" s="1" t="str">
        <f>IFERROR(__xludf.DUMMYFUNCTION("""COMPUTED_VALUE"""),"")</f>
        <v/>
      </c>
      <c r="AN1077" s="1" t="str">
        <f>IFERROR(__xludf.DUMMYFUNCTION("""COMPUTED_VALUE"""),"")</f>
        <v/>
      </c>
      <c r="AO1077" s="1" t="str">
        <f>IFERROR(__xludf.DUMMYFUNCTION("""COMPUTED_VALUE"""),"")</f>
        <v/>
      </c>
      <c r="AP1077" s="1" t="str">
        <f>IFERROR(__xludf.DUMMYFUNCTION("""COMPUTED_VALUE"""),"")</f>
        <v/>
      </c>
      <c r="AQ1077" s="1" t="str">
        <f>IFERROR(__xludf.DUMMYFUNCTION("""COMPUTED_VALUE"""),"05/12/2026")</f>
        <v>05/12/2026</v>
      </c>
      <c r="AR1077" s="1" t="str">
        <f>IFERROR(__xludf.DUMMYFUNCTION("""COMPUTED_VALUE"""),"05/12/2026")</f>
        <v>05/12/2026</v>
      </c>
    </row>
    <row r="1078">
      <c r="A1078" s="1" t="str">
        <f>IFERROR(__xludf.DUMMYFUNCTION("""COMPUTED_VALUE"""),"Black Mountain Power Data Center")</f>
        <v>Black Mountain Power Data Center</v>
      </c>
      <c r="B1078" s="1" t="str">
        <f>IFERROR(__xludf.DUMMYFUNCTION("""COMPUTED_VALUE"""),"Watson Rd")</f>
        <v>Watson Rd</v>
      </c>
      <c r="C1078" s="1" t="str">
        <f>IFERROR(__xludf.DUMMYFUNCTION("""COMPUTED_VALUE"""),"Van Ormy/ San Antonio")</f>
        <v>Van Ormy/ San Antonio</v>
      </c>
      <c r="D1078" s="1" t="str">
        <f>IFERROR(__xludf.DUMMYFUNCTION("""COMPUTED_VALUE"""),"TX")</f>
        <v>TX</v>
      </c>
      <c r="E1078" s="1" t="str">
        <f>IFERROR(__xludf.DUMMYFUNCTION("""COMPUTED_VALUE"""),"78073")</f>
        <v>78073</v>
      </c>
      <c r="F1078" s="1" t="str">
        <f>IFERROR(__xludf.DUMMYFUNCTION("""COMPUTED_VALUE"""),"Bexar")</f>
        <v>Bexar</v>
      </c>
      <c r="G1078" s="1" t="str">
        <f>IFERROR(__xludf.DUMMYFUNCTION("""COMPUTED_VALUE"""),"29.270124")</f>
        <v>29.270124</v>
      </c>
      <c r="H1078" s="1" t="str">
        <f>IFERROR(__xludf.DUMMYFUNCTION("""COMPUTED_VALUE"""),"-98.57086")</f>
        <v>-98.57086</v>
      </c>
      <c r="I1078" s="1" t="str">
        <f>IFERROR(__xludf.DUMMYFUNCTION("""COMPUTED_VALUE"""),"Proposed")</f>
        <v>Proposed</v>
      </c>
      <c r="J1078" s="1" t="str">
        <f>IFERROR(__xludf.DUMMYFUNCTION("""COMPUTED_VALUE"""),"Medium")</f>
        <v>Medium</v>
      </c>
      <c r="K1078" s="1" t="str">
        <f>IFERROR(__xludf.DUMMYFUNCTION("""COMPUTED_VALUE"""),"")</f>
        <v/>
      </c>
      <c r="L1078" s="1" t="str">
        <f>IFERROR(__xludf.DUMMYFUNCTION("""COMPUTED_VALUE"""),"Black Mountain Power")</f>
        <v>Black Mountain Power</v>
      </c>
      <c r="M1078" s="1" t="str">
        <f>IFERROR(__xludf.DUMMYFUNCTION("""COMPUTED_VALUE"""),"")</f>
        <v/>
      </c>
      <c r="N1078" s="1" t="str">
        <f>IFERROR(__xludf.DUMMYFUNCTION("""COMPUTED_VALUE"""),"")</f>
        <v/>
      </c>
      <c r="O1078" s="1" t="str">
        <f>IFERROR(__xludf.DUMMYFUNCTION("""COMPUTED_VALUE"""),"Unknown")</f>
        <v>Unknown</v>
      </c>
      <c r="P1078" s="1" t="str">
        <f>IFERROR(__xludf.DUMMYFUNCTION("""COMPUTED_VALUE"""),"")</f>
        <v/>
      </c>
      <c r="Q1078" s="1" t="str">
        <f>IFERROR(__xludf.DUMMYFUNCTION("""COMPUTED_VALUE"""),"")</f>
        <v/>
      </c>
      <c r="R1078" s="1" t="str">
        <f>IFERROR(__xludf.DUMMYFUNCTION("""COMPUTED_VALUE"""),"")</f>
        <v/>
      </c>
      <c r="S1078" s="1" t="str">
        <f>IFERROR(__xludf.DUMMYFUNCTION("""COMPUTED_VALUE"""),"")</f>
        <v/>
      </c>
      <c r="T1078" s="1" t="str">
        <f>IFERROR(__xludf.DUMMYFUNCTION("""COMPUTED_VALUE"""),"")</f>
        <v/>
      </c>
      <c r="U1078" s="1" t="str">
        <f>IFERROR(__xludf.DUMMYFUNCTION("""COMPUTED_VALUE"""),"")</f>
        <v/>
      </c>
      <c r="V1078" s="1" t="str">
        <f>IFERROR(__xludf.DUMMYFUNCTION("""COMPUTED_VALUE"""),"")</f>
        <v/>
      </c>
      <c r="W1078" s="1" t="str">
        <f>IFERROR(__xludf.DUMMYFUNCTION("""COMPUTED_VALUE"""),"432")</f>
        <v>432</v>
      </c>
      <c r="X1078" s="1" t="str">
        <f>IFERROR(__xludf.DUMMYFUNCTION("""COMPUTED_VALUE"""),"")</f>
        <v/>
      </c>
      <c r="Y1078" s="1" t="str">
        <f>IFERROR(__xludf.DUMMYFUNCTION("""COMPUTED_VALUE"""),"")</f>
        <v/>
      </c>
      <c r="Z1078" s="1" t="str">
        <f>IFERROR(__xludf.DUMMYFUNCTION("""COMPUTED_VALUE"""),"Unknown")</f>
        <v>Unknown</v>
      </c>
      <c r="AA1078" s="1" t="str">
        <f>IFERROR(__xludf.DUMMYFUNCTION("""COMPUTED_VALUE"""),"")</f>
        <v/>
      </c>
      <c r="AB1078" s="1" t="str">
        <f>IFERROR(__xludf.DUMMYFUNCTION("""COMPUTED_VALUE"""),"")</f>
        <v/>
      </c>
      <c r="AC1078" s="1" t="str">
        <f>IFERROR(__xludf.DUMMYFUNCTION("""COMPUTED_VALUE"""),"")</f>
        <v/>
      </c>
      <c r="AD1078" s="1" t="str">
        <f>IFERROR(__xludf.DUMMYFUNCTION("""COMPUTED_VALUE"""),"")</f>
        <v/>
      </c>
      <c r="AE1078" s="1" t="str">
        <f>IFERROR(__xludf.DUMMYFUNCTION("""COMPUTED_VALUE"""),"")</f>
        <v/>
      </c>
      <c r="AF1078" s="1" t="str">
        <f>IFERROR(__xludf.DUMMYFUNCTION("""COMPUTED_VALUE"""),"")</f>
        <v/>
      </c>
      <c r="AG1078" s="1" t="str">
        <f>IFERROR(__xludf.DUMMYFUNCTION("""COMPUTED_VALUE"""),"")</f>
        <v/>
      </c>
      <c r="AH1078" s="1" t="str">
        <f>IFERROR(__xludf.DUMMYFUNCTION("""COMPUTED_VALUE"""),"Media Monitoring")</f>
        <v>Media Monitoring</v>
      </c>
      <c r="AI1078" s="2" t="str">
        <f>IFERROR(__xludf.DUMMYFUNCTION("""COMPUTED_VALUE"""),"https://www.datacenterdynamics.com/en/news/black-mountain-power-buys-432-acres-in-san-antonio-texas/")</f>
        <v>https://www.datacenterdynamics.com/en/news/black-mountain-power-buys-432-acres-in-san-antonio-texas/</v>
      </c>
      <c r="AJ1078" s="1" t="str">
        <f>IFERROR(__xludf.DUMMYFUNCTION("""COMPUTED_VALUE"""),"")</f>
        <v/>
      </c>
      <c r="AK1078" s="1" t="str">
        <f>IFERROR(__xludf.DUMMYFUNCTION("""COMPUTED_VALUE"""),"")</f>
        <v/>
      </c>
      <c r="AL1078" s="1" t="str">
        <f>IFERROR(__xludf.DUMMYFUNCTION("""COMPUTED_VALUE"""),"")</f>
        <v/>
      </c>
      <c r="AM1078" s="1" t="str">
        <f>IFERROR(__xludf.DUMMYFUNCTION("""COMPUTED_VALUE"""),"")</f>
        <v/>
      </c>
      <c r="AN1078" s="1" t="str">
        <f>IFERROR(__xludf.DUMMYFUNCTION("""COMPUTED_VALUE"""),"")</f>
        <v/>
      </c>
      <c r="AO1078" s="1" t="str">
        <f>IFERROR(__xludf.DUMMYFUNCTION("""COMPUTED_VALUE"""),"")</f>
        <v/>
      </c>
      <c r="AP1078" s="1" t="str">
        <f>IFERROR(__xludf.DUMMYFUNCTION("""COMPUTED_VALUE"""),"")</f>
        <v/>
      </c>
      <c r="AQ1078" s="1" t="str">
        <f>IFERROR(__xludf.DUMMYFUNCTION("""COMPUTED_VALUE"""),"02/15/2026")</f>
        <v>02/15/2026</v>
      </c>
      <c r="AR1078" s="1" t="str">
        <f>IFERROR(__xludf.DUMMYFUNCTION("""COMPUTED_VALUE"""),"02/15/2026")</f>
        <v>02/15/2026</v>
      </c>
    </row>
    <row r="1079">
      <c r="A1079" s="1" t="str">
        <f>IFERROR(__xludf.DUMMYFUNCTION("""COMPUTED_VALUE"""),"Midlothian 1 Data Center")</f>
        <v>Midlothian 1 Data Center</v>
      </c>
      <c r="B1079" s="1" t="str">
        <f>IFERROR(__xludf.DUMMYFUNCTION("""COMPUTED_VALUE"""),"Farm-to-Market 157")</f>
        <v>Farm-to-Market 157</v>
      </c>
      <c r="C1079" s="1" t="str">
        <f>IFERROR(__xludf.DUMMYFUNCTION("""COMPUTED_VALUE"""),"Venus")</f>
        <v>Venus</v>
      </c>
      <c r="D1079" s="1" t="str">
        <f>IFERROR(__xludf.DUMMYFUNCTION("""COMPUTED_VALUE"""),"TX")</f>
        <v>TX</v>
      </c>
      <c r="E1079" s="1" t="str">
        <f>IFERROR(__xludf.DUMMYFUNCTION("""COMPUTED_VALUE"""),"76084")</f>
        <v>76084</v>
      </c>
      <c r="F1079" s="1" t="str">
        <f>IFERROR(__xludf.DUMMYFUNCTION("""COMPUTED_VALUE"""),"Ellis")</f>
        <v>Ellis</v>
      </c>
      <c r="G1079" s="1" t="str">
        <f>IFERROR(__xludf.DUMMYFUNCTION("""COMPUTED_VALUE"""),"32.4049")</f>
        <v>32.4049</v>
      </c>
      <c r="H1079" s="1" t="str">
        <f>IFERROR(__xludf.DUMMYFUNCTION("""COMPUTED_VALUE"""),"-97.0522")</f>
        <v>-97.0522</v>
      </c>
      <c r="I1079" s="1" t="str">
        <f>IFERROR(__xludf.DUMMYFUNCTION("""COMPUTED_VALUE"""),"Proposed")</f>
        <v>Proposed</v>
      </c>
      <c r="J1079" s="1" t="str">
        <f>IFERROR(__xludf.DUMMYFUNCTION("""COMPUTED_VALUE"""),"High")</f>
        <v>High</v>
      </c>
      <c r="K1079" s="1" t="str">
        <f>IFERROR(__xludf.DUMMYFUNCTION("""COMPUTED_VALUE"""),"")</f>
        <v/>
      </c>
      <c r="L1079" s="1" t="str">
        <f>IFERROR(__xludf.DUMMYFUNCTION("""COMPUTED_VALUE"""),"")</f>
        <v/>
      </c>
      <c r="M1079" s="1" t="str">
        <f>IFERROR(__xludf.DUMMYFUNCTION("""COMPUTED_VALUE"""),"")</f>
        <v/>
      </c>
      <c r="N1079" s="1" t="str">
        <f>IFERROR(__xludf.DUMMYFUNCTION("""COMPUTED_VALUE"""),"")</f>
        <v/>
      </c>
      <c r="O1079" s="1" t="str">
        <f>IFERROR(__xludf.DUMMYFUNCTION("""COMPUTED_VALUE"""),"Unknown")</f>
        <v>Unknown</v>
      </c>
      <c r="P1079" s="1" t="str">
        <f>IFERROR(__xludf.DUMMYFUNCTION("""COMPUTED_VALUE"""),"")</f>
        <v/>
      </c>
      <c r="Q1079" s="1" t="str">
        <f>IFERROR(__xludf.DUMMYFUNCTION("""COMPUTED_VALUE"""),"")</f>
        <v/>
      </c>
      <c r="R1079" s="1" t="str">
        <f>IFERROR(__xludf.DUMMYFUNCTION("""COMPUTED_VALUE"""),"")</f>
        <v/>
      </c>
      <c r="S1079" s="1" t="str">
        <f>IFERROR(__xludf.DUMMYFUNCTION("""COMPUTED_VALUE"""),"")</f>
        <v/>
      </c>
      <c r="T1079" s="1" t="str">
        <f>IFERROR(__xludf.DUMMYFUNCTION("""COMPUTED_VALUE"""),"")</f>
        <v/>
      </c>
      <c r="U1079" s="1" t="str">
        <f>IFERROR(__xludf.DUMMYFUNCTION("""COMPUTED_VALUE"""),"")</f>
        <v/>
      </c>
      <c r="V1079" s="1" t="str">
        <f>IFERROR(__xludf.DUMMYFUNCTION("""COMPUTED_VALUE"""),"")</f>
        <v/>
      </c>
      <c r="W1079" s="1" t="str">
        <f>IFERROR(__xludf.DUMMYFUNCTION("""COMPUTED_VALUE"""),"")</f>
        <v/>
      </c>
      <c r="X1079" s="1" t="str">
        <f>IFERROR(__xludf.DUMMYFUNCTION("""COMPUTED_VALUE"""),"")</f>
        <v/>
      </c>
      <c r="Y1079" s="1" t="str">
        <f>IFERROR(__xludf.DUMMYFUNCTION("""COMPUTED_VALUE"""),"")</f>
        <v/>
      </c>
      <c r="Z1079" s="1" t="str">
        <f>IFERROR(__xludf.DUMMYFUNCTION("""COMPUTED_VALUE"""),"Unknown")</f>
        <v>Unknown</v>
      </c>
      <c r="AA1079" s="1" t="str">
        <f>IFERROR(__xludf.DUMMYFUNCTION("""COMPUTED_VALUE"""),"")</f>
        <v/>
      </c>
      <c r="AB1079" s="1" t="str">
        <f>IFERROR(__xludf.DUMMYFUNCTION("""COMPUTED_VALUE"""),"")</f>
        <v/>
      </c>
      <c r="AC1079" s="1" t="str">
        <f>IFERROR(__xludf.DUMMYFUNCTION("""COMPUTED_VALUE"""),"")</f>
        <v/>
      </c>
      <c r="AD1079" s="1" t="str">
        <f>IFERROR(__xludf.DUMMYFUNCTION("""COMPUTED_VALUE"""),"")</f>
        <v/>
      </c>
      <c r="AE1079" s="1" t="str">
        <f>IFERROR(__xludf.DUMMYFUNCTION("""COMPUTED_VALUE"""),"")</f>
        <v/>
      </c>
      <c r="AF1079" s="1" t="str">
        <f>IFERROR(__xludf.DUMMYFUNCTION("""COMPUTED_VALUE"""),"")</f>
        <v/>
      </c>
      <c r="AG1079" s="1" t="str">
        <f>IFERROR(__xludf.DUMMYFUNCTION("""COMPUTED_VALUE"""),"")</f>
        <v/>
      </c>
      <c r="AH1079" s="1" t="str">
        <f>IFERROR(__xludf.DUMMYFUNCTION("""COMPUTED_VALUE"""),"Media Monitoring")</f>
        <v>Media Monitoring</v>
      </c>
      <c r="AI1079" s="2" t="str">
        <f>IFERROR(__xludf.DUMMYFUNCTION("""COMPUTED_VALUE"""),"https://8888cre.com/Data-center-land-for-sale-in-tax-incentive-zone-data-center-land-for-sale-with-power-substation-access-megawatt-powerline-near-Dallas-Texas-Fort-Worth-TX.pdf")</f>
        <v>https://8888cre.com/Data-center-land-for-sale-in-tax-incentive-zone-data-center-land-for-sale-with-power-substation-access-megawatt-powerline-near-Dallas-Texas-Fort-Worth-TX.pdf</v>
      </c>
      <c r="AJ1079" s="1" t="str">
        <f>IFERROR(__xludf.DUMMYFUNCTION("""COMPUTED_VALUE"""),"")</f>
        <v/>
      </c>
      <c r="AK1079" s="1" t="str">
        <f>IFERROR(__xludf.DUMMYFUNCTION("""COMPUTED_VALUE"""),"")</f>
        <v/>
      </c>
      <c r="AL1079" s="1" t="str">
        <f>IFERROR(__xludf.DUMMYFUNCTION("""COMPUTED_VALUE"""),"")</f>
        <v/>
      </c>
      <c r="AM1079" s="1" t="str">
        <f>IFERROR(__xludf.DUMMYFUNCTION("""COMPUTED_VALUE"""),"")</f>
        <v/>
      </c>
      <c r="AN1079" s="1" t="str">
        <f>IFERROR(__xludf.DUMMYFUNCTION("""COMPUTED_VALUE"""),"")</f>
        <v/>
      </c>
      <c r="AO1079" s="1" t="str">
        <f>IFERROR(__xludf.DUMMYFUNCTION("""COMPUTED_VALUE"""),"")</f>
        <v/>
      </c>
      <c r="AP1079" s="1" t="str">
        <f>IFERROR(__xludf.DUMMYFUNCTION("""COMPUTED_VALUE"""),"")</f>
        <v/>
      </c>
      <c r="AQ1079" s="1" t="str">
        <f>IFERROR(__xludf.DUMMYFUNCTION("""COMPUTED_VALUE"""),"05/25/2025")</f>
        <v>05/25/2025</v>
      </c>
      <c r="AR1079" s="1" t="str">
        <f>IFERROR(__xludf.DUMMYFUNCTION("""COMPUTED_VALUE"""),"05/25/2025")</f>
        <v>05/25/2025</v>
      </c>
    </row>
    <row r="1080">
      <c r="A1080" s="1" t="str">
        <f>IFERROR(__xludf.DUMMYFUNCTION("""COMPUTED_VALUE"""),"Midlothian 2 Data Center")</f>
        <v>Midlothian 2 Data Center</v>
      </c>
      <c r="B1080" s="1" t="str">
        <f>IFERROR(__xludf.DUMMYFUNCTION("""COMPUTED_VALUE"""),"Farm-to-Market 157")</f>
        <v>Farm-to-Market 157</v>
      </c>
      <c r="C1080" s="1" t="str">
        <f>IFERROR(__xludf.DUMMYFUNCTION("""COMPUTED_VALUE"""),"Venus")</f>
        <v>Venus</v>
      </c>
      <c r="D1080" s="1" t="str">
        <f>IFERROR(__xludf.DUMMYFUNCTION("""COMPUTED_VALUE"""),"TX")</f>
        <v>TX</v>
      </c>
      <c r="E1080" s="1" t="str">
        <f>IFERROR(__xludf.DUMMYFUNCTION("""COMPUTED_VALUE"""),"76084")</f>
        <v>76084</v>
      </c>
      <c r="F1080" s="1" t="str">
        <f>IFERROR(__xludf.DUMMYFUNCTION("""COMPUTED_VALUE"""),"Ellis")</f>
        <v>Ellis</v>
      </c>
      <c r="G1080" s="1" t="str">
        <f>IFERROR(__xludf.DUMMYFUNCTION("""COMPUTED_VALUE"""),"32.3897")</f>
        <v>32.3897</v>
      </c>
      <c r="H1080" s="1" t="str">
        <f>IFERROR(__xludf.DUMMYFUNCTION("""COMPUTED_VALUE"""),"-97.05")</f>
        <v>-97.05</v>
      </c>
      <c r="I1080" s="1" t="str">
        <f>IFERROR(__xludf.DUMMYFUNCTION("""COMPUTED_VALUE"""),"Proposed")</f>
        <v>Proposed</v>
      </c>
      <c r="J1080" s="1" t="str">
        <f>IFERROR(__xludf.DUMMYFUNCTION("""COMPUTED_VALUE"""),"High")</f>
        <v>High</v>
      </c>
      <c r="K1080" s="1" t="str">
        <f>IFERROR(__xludf.DUMMYFUNCTION("""COMPUTED_VALUE"""),"")</f>
        <v/>
      </c>
      <c r="L1080" s="1" t="str">
        <f>IFERROR(__xludf.DUMMYFUNCTION("""COMPUTED_VALUE"""),"")</f>
        <v/>
      </c>
      <c r="M1080" s="1" t="str">
        <f>IFERROR(__xludf.DUMMYFUNCTION("""COMPUTED_VALUE"""),"")</f>
        <v/>
      </c>
      <c r="N1080" s="1" t="str">
        <f>IFERROR(__xludf.DUMMYFUNCTION("""COMPUTED_VALUE"""),"")</f>
        <v/>
      </c>
      <c r="O1080" s="1" t="str">
        <f>IFERROR(__xludf.DUMMYFUNCTION("""COMPUTED_VALUE"""),"Unknown")</f>
        <v>Unknown</v>
      </c>
      <c r="P1080" s="1" t="str">
        <f>IFERROR(__xludf.DUMMYFUNCTION("""COMPUTED_VALUE"""),"")</f>
        <v/>
      </c>
      <c r="Q1080" s="1" t="str">
        <f>IFERROR(__xludf.DUMMYFUNCTION("""COMPUTED_VALUE"""),"")</f>
        <v/>
      </c>
      <c r="R1080" s="1" t="str">
        <f>IFERROR(__xludf.DUMMYFUNCTION("""COMPUTED_VALUE"""),"")</f>
        <v/>
      </c>
      <c r="S1080" s="1" t="str">
        <f>IFERROR(__xludf.DUMMYFUNCTION("""COMPUTED_VALUE"""),"")</f>
        <v/>
      </c>
      <c r="T1080" s="1" t="str">
        <f>IFERROR(__xludf.DUMMYFUNCTION("""COMPUTED_VALUE"""),"")</f>
        <v/>
      </c>
      <c r="U1080" s="1" t="str">
        <f>IFERROR(__xludf.DUMMYFUNCTION("""COMPUTED_VALUE"""),"")</f>
        <v/>
      </c>
      <c r="V1080" s="1" t="str">
        <f>IFERROR(__xludf.DUMMYFUNCTION("""COMPUTED_VALUE"""),"")</f>
        <v/>
      </c>
      <c r="W1080" s="1" t="str">
        <f>IFERROR(__xludf.DUMMYFUNCTION("""COMPUTED_VALUE"""),"")</f>
        <v/>
      </c>
      <c r="X1080" s="1" t="str">
        <f>IFERROR(__xludf.DUMMYFUNCTION("""COMPUTED_VALUE"""),"")</f>
        <v/>
      </c>
      <c r="Y1080" s="1" t="str">
        <f>IFERROR(__xludf.DUMMYFUNCTION("""COMPUTED_VALUE"""),"")</f>
        <v/>
      </c>
      <c r="Z1080" s="1" t="str">
        <f>IFERROR(__xludf.DUMMYFUNCTION("""COMPUTED_VALUE"""),"Unknown")</f>
        <v>Unknown</v>
      </c>
      <c r="AA1080" s="1" t="str">
        <f>IFERROR(__xludf.DUMMYFUNCTION("""COMPUTED_VALUE"""),"")</f>
        <v/>
      </c>
      <c r="AB1080" s="1" t="str">
        <f>IFERROR(__xludf.DUMMYFUNCTION("""COMPUTED_VALUE"""),"")</f>
        <v/>
      </c>
      <c r="AC1080" s="1" t="str">
        <f>IFERROR(__xludf.DUMMYFUNCTION("""COMPUTED_VALUE"""),"")</f>
        <v/>
      </c>
      <c r="AD1080" s="1" t="str">
        <f>IFERROR(__xludf.DUMMYFUNCTION("""COMPUTED_VALUE"""),"")</f>
        <v/>
      </c>
      <c r="AE1080" s="1" t="str">
        <f>IFERROR(__xludf.DUMMYFUNCTION("""COMPUTED_VALUE"""),"")</f>
        <v/>
      </c>
      <c r="AF1080" s="1" t="str">
        <f>IFERROR(__xludf.DUMMYFUNCTION("""COMPUTED_VALUE"""),"")</f>
        <v/>
      </c>
      <c r="AG1080" s="1" t="str">
        <f>IFERROR(__xludf.DUMMYFUNCTION("""COMPUTED_VALUE"""),"")</f>
        <v/>
      </c>
      <c r="AH1080" s="1" t="str">
        <f>IFERROR(__xludf.DUMMYFUNCTION("""COMPUTED_VALUE"""),"Media Monitoring")</f>
        <v>Media Monitoring</v>
      </c>
      <c r="AI1080" s="2" t="str">
        <f>IFERROR(__xludf.DUMMYFUNCTION("""COMPUTED_VALUE"""),"https://8888cre.com/Data-center-land-for-sale-in-tax-incentive-zone-data-center-land-for-sale-with-power-substation-access-megawatt-powerline-near-Dallas-Texas-Fort-Worth-TX.pdf")</f>
        <v>https://8888cre.com/Data-center-land-for-sale-in-tax-incentive-zone-data-center-land-for-sale-with-power-substation-access-megawatt-powerline-near-Dallas-Texas-Fort-Worth-TX.pdf</v>
      </c>
      <c r="AJ1080" s="1" t="str">
        <f>IFERROR(__xludf.DUMMYFUNCTION("""COMPUTED_VALUE"""),"")</f>
        <v/>
      </c>
      <c r="AK1080" s="1" t="str">
        <f>IFERROR(__xludf.DUMMYFUNCTION("""COMPUTED_VALUE"""),"")</f>
        <v/>
      </c>
      <c r="AL1080" s="1" t="str">
        <f>IFERROR(__xludf.DUMMYFUNCTION("""COMPUTED_VALUE"""),"")</f>
        <v/>
      </c>
      <c r="AM1080" s="1" t="str">
        <f>IFERROR(__xludf.DUMMYFUNCTION("""COMPUTED_VALUE"""),"")</f>
        <v/>
      </c>
      <c r="AN1080" s="1" t="str">
        <f>IFERROR(__xludf.DUMMYFUNCTION("""COMPUTED_VALUE"""),"")</f>
        <v/>
      </c>
      <c r="AO1080" s="1" t="str">
        <f>IFERROR(__xludf.DUMMYFUNCTION("""COMPUTED_VALUE"""),"")</f>
        <v/>
      </c>
      <c r="AP1080" s="1" t="str">
        <f>IFERROR(__xludf.DUMMYFUNCTION("""COMPUTED_VALUE"""),"")</f>
        <v/>
      </c>
      <c r="AQ1080" s="1" t="str">
        <f>IFERROR(__xludf.DUMMYFUNCTION("""COMPUTED_VALUE"""),"05/25/2025")</f>
        <v>05/25/2025</v>
      </c>
      <c r="AR1080" s="1" t="str">
        <f>IFERROR(__xludf.DUMMYFUNCTION("""COMPUTED_VALUE"""),"05/25/2025")</f>
        <v>05/25/2025</v>
      </c>
    </row>
    <row r="1081">
      <c r="A1081" s="1" t="str">
        <f>IFERROR(__xludf.DUMMYFUNCTION("""COMPUTED_VALUE"""),"Midlothian 3 Data Center")</f>
        <v>Midlothian 3 Data Center</v>
      </c>
      <c r="B1081" s="1" t="str">
        <f>IFERROR(__xludf.DUMMYFUNCTION("""COMPUTED_VALUE"""),"Farm-to-Market 157")</f>
        <v>Farm-to-Market 157</v>
      </c>
      <c r="C1081" s="1" t="str">
        <f>IFERROR(__xludf.DUMMYFUNCTION("""COMPUTED_VALUE"""),"Venus")</f>
        <v>Venus</v>
      </c>
      <c r="D1081" s="1" t="str">
        <f>IFERROR(__xludf.DUMMYFUNCTION("""COMPUTED_VALUE"""),"TX")</f>
        <v>TX</v>
      </c>
      <c r="E1081" s="1" t="str">
        <f>IFERROR(__xludf.DUMMYFUNCTION("""COMPUTED_VALUE"""),"76084")</f>
        <v>76084</v>
      </c>
      <c r="F1081" s="1" t="str">
        <f>IFERROR(__xludf.DUMMYFUNCTION("""COMPUTED_VALUE"""),"Ellis")</f>
        <v>Ellis</v>
      </c>
      <c r="G1081" s="1" t="str">
        <f>IFERROR(__xludf.DUMMYFUNCTION("""COMPUTED_VALUE"""),"32.3862")</f>
        <v>32.3862</v>
      </c>
      <c r="H1081" s="1" t="str">
        <f>IFERROR(__xludf.DUMMYFUNCTION("""COMPUTED_VALUE"""),"-97.064")</f>
        <v>-97.064</v>
      </c>
      <c r="I1081" s="1" t="str">
        <f>IFERROR(__xludf.DUMMYFUNCTION("""COMPUTED_VALUE"""),"Proposed")</f>
        <v>Proposed</v>
      </c>
      <c r="J1081" s="1" t="str">
        <f>IFERROR(__xludf.DUMMYFUNCTION("""COMPUTED_VALUE"""),"High")</f>
        <v>High</v>
      </c>
      <c r="K1081" s="1" t="str">
        <f>IFERROR(__xludf.DUMMYFUNCTION("""COMPUTED_VALUE"""),"")</f>
        <v/>
      </c>
      <c r="L1081" s="1" t="str">
        <f>IFERROR(__xludf.DUMMYFUNCTION("""COMPUTED_VALUE"""),"")</f>
        <v/>
      </c>
      <c r="M1081" s="1" t="str">
        <f>IFERROR(__xludf.DUMMYFUNCTION("""COMPUTED_VALUE"""),"")</f>
        <v/>
      </c>
      <c r="N1081" s="1" t="str">
        <f>IFERROR(__xludf.DUMMYFUNCTION("""COMPUTED_VALUE"""),"")</f>
        <v/>
      </c>
      <c r="O1081" s="1" t="str">
        <f>IFERROR(__xludf.DUMMYFUNCTION("""COMPUTED_VALUE"""),"Unknown")</f>
        <v>Unknown</v>
      </c>
      <c r="P1081" s="1" t="str">
        <f>IFERROR(__xludf.DUMMYFUNCTION("""COMPUTED_VALUE"""),"")</f>
        <v/>
      </c>
      <c r="Q1081" s="1" t="str">
        <f>IFERROR(__xludf.DUMMYFUNCTION("""COMPUTED_VALUE"""),"")</f>
        <v/>
      </c>
      <c r="R1081" s="1" t="str">
        <f>IFERROR(__xludf.DUMMYFUNCTION("""COMPUTED_VALUE"""),"")</f>
        <v/>
      </c>
      <c r="S1081" s="1" t="str">
        <f>IFERROR(__xludf.DUMMYFUNCTION("""COMPUTED_VALUE"""),"")</f>
        <v/>
      </c>
      <c r="T1081" s="1" t="str">
        <f>IFERROR(__xludf.DUMMYFUNCTION("""COMPUTED_VALUE"""),"")</f>
        <v/>
      </c>
      <c r="U1081" s="1" t="str">
        <f>IFERROR(__xludf.DUMMYFUNCTION("""COMPUTED_VALUE"""),"")</f>
        <v/>
      </c>
      <c r="V1081" s="1" t="str">
        <f>IFERROR(__xludf.DUMMYFUNCTION("""COMPUTED_VALUE"""),"")</f>
        <v/>
      </c>
      <c r="W1081" s="1" t="str">
        <f>IFERROR(__xludf.DUMMYFUNCTION("""COMPUTED_VALUE"""),"")</f>
        <v/>
      </c>
      <c r="X1081" s="1" t="str">
        <f>IFERROR(__xludf.DUMMYFUNCTION("""COMPUTED_VALUE"""),"")</f>
        <v/>
      </c>
      <c r="Y1081" s="1" t="str">
        <f>IFERROR(__xludf.DUMMYFUNCTION("""COMPUTED_VALUE"""),"")</f>
        <v/>
      </c>
      <c r="Z1081" s="1" t="str">
        <f>IFERROR(__xludf.DUMMYFUNCTION("""COMPUTED_VALUE"""),"Unknown")</f>
        <v>Unknown</v>
      </c>
      <c r="AA1081" s="1" t="str">
        <f>IFERROR(__xludf.DUMMYFUNCTION("""COMPUTED_VALUE"""),"")</f>
        <v/>
      </c>
      <c r="AB1081" s="1" t="str">
        <f>IFERROR(__xludf.DUMMYFUNCTION("""COMPUTED_VALUE"""),"")</f>
        <v/>
      </c>
      <c r="AC1081" s="1" t="str">
        <f>IFERROR(__xludf.DUMMYFUNCTION("""COMPUTED_VALUE"""),"")</f>
        <v/>
      </c>
      <c r="AD1081" s="1" t="str">
        <f>IFERROR(__xludf.DUMMYFUNCTION("""COMPUTED_VALUE"""),"")</f>
        <v/>
      </c>
      <c r="AE1081" s="1" t="str">
        <f>IFERROR(__xludf.DUMMYFUNCTION("""COMPUTED_VALUE"""),"")</f>
        <v/>
      </c>
      <c r="AF1081" s="1" t="str">
        <f>IFERROR(__xludf.DUMMYFUNCTION("""COMPUTED_VALUE"""),"")</f>
        <v/>
      </c>
      <c r="AG1081" s="1" t="str">
        <f>IFERROR(__xludf.DUMMYFUNCTION("""COMPUTED_VALUE"""),"")</f>
        <v/>
      </c>
      <c r="AH1081" s="1" t="str">
        <f>IFERROR(__xludf.DUMMYFUNCTION("""COMPUTED_VALUE"""),"Media Monitoring")</f>
        <v>Media Monitoring</v>
      </c>
      <c r="AI1081" s="2" t="str">
        <f>IFERROR(__xludf.DUMMYFUNCTION("""COMPUTED_VALUE"""),"https://8888cre.com/Data-center-land-for-sale-in-tax-incentive-zone-data-center-land-for-sale-with-power-substation-access-megawatt-powerline-near-Dallas-Texas-Fort-Worth-TX.pdf")</f>
        <v>https://8888cre.com/Data-center-land-for-sale-in-tax-incentive-zone-data-center-land-for-sale-with-power-substation-access-megawatt-powerline-near-Dallas-Texas-Fort-Worth-TX.pdf</v>
      </c>
      <c r="AJ1081" s="1" t="str">
        <f>IFERROR(__xludf.DUMMYFUNCTION("""COMPUTED_VALUE"""),"")</f>
        <v/>
      </c>
      <c r="AK1081" s="1" t="str">
        <f>IFERROR(__xludf.DUMMYFUNCTION("""COMPUTED_VALUE"""),"")</f>
        <v/>
      </c>
      <c r="AL1081" s="1" t="str">
        <f>IFERROR(__xludf.DUMMYFUNCTION("""COMPUTED_VALUE"""),"")</f>
        <v/>
      </c>
      <c r="AM1081" s="1" t="str">
        <f>IFERROR(__xludf.DUMMYFUNCTION("""COMPUTED_VALUE"""),"")</f>
        <v/>
      </c>
      <c r="AN1081" s="1" t="str">
        <f>IFERROR(__xludf.DUMMYFUNCTION("""COMPUTED_VALUE"""),"")</f>
        <v/>
      </c>
      <c r="AO1081" s="1" t="str">
        <f>IFERROR(__xludf.DUMMYFUNCTION("""COMPUTED_VALUE"""),"")</f>
        <v/>
      </c>
      <c r="AP1081" s="1" t="str">
        <f>IFERROR(__xludf.DUMMYFUNCTION("""COMPUTED_VALUE"""),"")</f>
        <v/>
      </c>
      <c r="AQ1081" s="1" t="str">
        <f>IFERROR(__xludf.DUMMYFUNCTION("""COMPUTED_VALUE"""),"05/25/2025")</f>
        <v>05/25/2025</v>
      </c>
      <c r="AR1081" s="1" t="str">
        <f>IFERROR(__xludf.DUMMYFUNCTION("""COMPUTED_VALUE"""),"05/25/2025")</f>
        <v>05/25/2025</v>
      </c>
    </row>
    <row r="1082">
      <c r="A1082" s="1" t="str">
        <f>IFERROR(__xludf.DUMMYFUNCTION("""COMPUTED_VALUE"""),"Midlothian 4 Data Center")</f>
        <v>Midlothian 4 Data Center</v>
      </c>
      <c r="B1082" s="1" t="str">
        <f>IFERROR(__xludf.DUMMYFUNCTION("""COMPUTED_VALUE"""),"Farm-to-Market 157")</f>
        <v>Farm-to-Market 157</v>
      </c>
      <c r="C1082" s="1" t="str">
        <f>IFERROR(__xludf.DUMMYFUNCTION("""COMPUTED_VALUE"""),"Venus")</f>
        <v>Venus</v>
      </c>
      <c r="D1082" s="1" t="str">
        <f>IFERROR(__xludf.DUMMYFUNCTION("""COMPUTED_VALUE"""),"TX")</f>
        <v>TX</v>
      </c>
      <c r="E1082" s="1" t="str">
        <f>IFERROR(__xludf.DUMMYFUNCTION("""COMPUTED_VALUE"""),"76084")</f>
        <v>76084</v>
      </c>
      <c r="F1082" s="1" t="str">
        <f>IFERROR(__xludf.DUMMYFUNCTION("""COMPUTED_VALUE"""),"Ellis")</f>
        <v>Ellis</v>
      </c>
      <c r="G1082" s="1" t="str">
        <f>IFERROR(__xludf.DUMMYFUNCTION("""COMPUTED_VALUE"""),"32.3862")</f>
        <v>32.3862</v>
      </c>
      <c r="H1082" s="1" t="str">
        <f>IFERROR(__xludf.DUMMYFUNCTION("""COMPUTED_VALUE"""),"-97.064")</f>
        <v>-97.064</v>
      </c>
      <c r="I1082" s="1" t="str">
        <f>IFERROR(__xludf.DUMMYFUNCTION("""COMPUTED_VALUE"""),"Proposed")</f>
        <v>Proposed</v>
      </c>
      <c r="J1082" s="1" t="str">
        <f>IFERROR(__xludf.DUMMYFUNCTION("""COMPUTED_VALUE"""),"High")</f>
        <v>High</v>
      </c>
      <c r="K1082" s="1" t="str">
        <f>IFERROR(__xludf.DUMMYFUNCTION("""COMPUTED_VALUE"""),"")</f>
        <v/>
      </c>
      <c r="L1082" s="1" t="str">
        <f>IFERROR(__xludf.DUMMYFUNCTION("""COMPUTED_VALUE"""),"")</f>
        <v/>
      </c>
      <c r="M1082" s="1" t="str">
        <f>IFERROR(__xludf.DUMMYFUNCTION("""COMPUTED_VALUE"""),"")</f>
        <v/>
      </c>
      <c r="N1082" s="1" t="str">
        <f>IFERROR(__xludf.DUMMYFUNCTION("""COMPUTED_VALUE"""),"")</f>
        <v/>
      </c>
      <c r="O1082" s="1" t="str">
        <f>IFERROR(__xludf.DUMMYFUNCTION("""COMPUTED_VALUE"""),"Unknown")</f>
        <v>Unknown</v>
      </c>
      <c r="P1082" s="1" t="str">
        <f>IFERROR(__xludf.DUMMYFUNCTION("""COMPUTED_VALUE"""),"")</f>
        <v/>
      </c>
      <c r="Q1082" s="1" t="str">
        <f>IFERROR(__xludf.DUMMYFUNCTION("""COMPUTED_VALUE"""),"")</f>
        <v/>
      </c>
      <c r="R1082" s="1" t="str">
        <f>IFERROR(__xludf.DUMMYFUNCTION("""COMPUTED_VALUE"""),"")</f>
        <v/>
      </c>
      <c r="S1082" s="1" t="str">
        <f>IFERROR(__xludf.DUMMYFUNCTION("""COMPUTED_VALUE"""),"")</f>
        <v/>
      </c>
      <c r="T1082" s="1" t="str">
        <f>IFERROR(__xludf.DUMMYFUNCTION("""COMPUTED_VALUE"""),"")</f>
        <v/>
      </c>
      <c r="U1082" s="1" t="str">
        <f>IFERROR(__xludf.DUMMYFUNCTION("""COMPUTED_VALUE"""),"")</f>
        <v/>
      </c>
      <c r="V1082" s="1" t="str">
        <f>IFERROR(__xludf.DUMMYFUNCTION("""COMPUTED_VALUE"""),"")</f>
        <v/>
      </c>
      <c r="W1082" s="1" t="str">
        <f>IFERROR(__xludf.DUMMYFUNCTION("""COMPUTED_VALUE"""),"")</f>
        <v/>
      </c>
      <c r="X1082" s="1" t="str">
        <f>IFERROR(__xludf.DUMMYFUNCTION("""COMPUTED_VALUE"""),"")</f>
        <v/>
      </c>
      <c r="Y1082" s="1" t="str">
        <f>IFERROR(__xludf.DUMMYFUNCTION("""COMPUTED_VALUE"""),"")</f>
        <v/>
      </c>
      <c r="Z1082" s="1" t="str">
        <f>IFERROR(__xludf.DUMMYFUNCTION("""COMPUTED_VALUE"""),"Unknown")</f>
        <v>Unknown</v>
      </c>
      <c r="AA1082" s="1" t="str">
        <f>IFERROR(__xludf.DUMMYFUNCTION("""COMPUTED_VALUE"""),"")</f>
        <v/>
      </c>
      <c r="AB1082" s="1" t="str">
        <f>IFERROR(__xludf.DUMMYFUNCTION("""COMPUTED_VALUE"""),"")</f>
        <v/>
      </c>
      <c r="AC1082" s="1" t="str">
        <f>IFERROR(__xludf.DUMMYFUNCTION("""COMPUTED_VALUE"""),"")</f>
        <v/>
      </c>
      <c r="AD1082" s="1" t="str">
        <f>IFERROR(__xludf.DUMMYFUNCTION("""COMPUTED_VALUE"""),"")</f>
        <v/>
      </c>
      <c r="AE1082" s="1" t="str">
        <f>IFERROR(__xludf.DUMMYFUNCTION("""COMPUTED_VALUE"""),"")</f>
        <v/>
      </c>
      <c r="AF1082" s="1" t="str">
        <f>IFERROR(__xludf.DUMMYFUNCTION("""COMPUTED_VALUE"""),"")</f>
        <v/>
      </c>
      <c r="AG1082" s="1" t="str">
        <f>IFERROR(__xludf.DUMMYFUNCTION("""COMPUTED_VALUE"""),"")</f>
        <v/>
      </c>
      <c r="AH1082" s="1" t="str">
        <f>IFERROR(__xludf.DUMMYFUNCTION("""COMPUTED_VALUE"""),"Media Monitoring")</f>
        <v>Media Monitoring</v>
      </c>
      <c r="AI1082" s="2" t="str">
        <f>IFERROR(__xludf.DUMMYFUNCTION("""COMPUTED_VALUE"""),"https://8888cre.com/Data-center-land-for-sale-in-tax-incentive-zone-data-center-land-for-sale-with-power-substation-access-megawatt-powerline-near-Dallas-Texas-Fort-Worth-TX.pdf")</f>
        <v>https://8888cre.com/Data-center-land-for-sale-in-tax-incentive-zone-data-center-land-for-sale-with-power-substation-access-megawatt-powerline-near-Dallas-Texas-Fort-Worth-TX.pdf</v>
      </c>
      <c r="AJ1082" s="1" t="str">
        <f>IFERROR(__xludf.DUMMYFUNCTION("""COMPUTED_VALUE"""),"")</f>
        <v/>
      </c>
      <c r="AK1082" s="1" t="str">
        <f>IFERROR(__xludf.DUMMYFUNCTION("""COMPUTED_VALUE"""),"")</f>
        <v/>
      </c>
      <c r="AL1082" s="1" t="str">
        <f>IFERROR(__xludf.DUMMYFUNCTION("""COMPUTED_VALUE"""),"")</f>
        <v/>
      </c>
      <c r="AM1082" s="1" t="str">
        <f>IFERROR(__xludf.DUMMYFUNCTION("""COMPUTED_VALUE"""),"")</f>
        <v/>
      </c>
      <c r="AN1082" s="1" t="str">
        <f>IFERROR(__xludf.DUMMYFUNCTION("""COMPUTED_VALUE"""),"")</f>
        <v/>
      </c>
      <c r="AO1082" s="1" t="str">
        <f>IFERROR(__xludf.DUMMYFUNCTION("""COMPUTED_VALUE"""),"")</f>
        <v/>
      </c>
      <c r="AP1082" s="1" t="str">
        <f>IFERROR(__xludf.DUMMYFUNCTION("""COMPUTED_VALUE"""),"")</f>
        <v/>
      </c>
      <c r="AQ1082" s="1" t="str">
        <f>IFERROR(__xludf.DUMMYFUNCTION("""COMPUTED_VALUE"""),"05/25/2025")</f>
        <v>05/25/2025</v>
      </c>
      <c r="AR1082" s="1" t="str">
        <f>IFERROR(__xludf.DUMMYFUNCTION("""COMPUTED_VALUE"""),"05/25/2025")</f>
        <v>05/25/2025</v>
      </c>
    </row>
    <row r="1083">
      <c r="A1083" s="1" t="str">
        <f>IFERROR(__xludf.DUMMYFUNCTION("""COMPUTED_VALUE"""),"Midlothian 5 Data Center")</f>
        <v>Midlothian 5 Data Center</v>
      </c>
      <c r="B1083" s="1" t="str">
        <f>IFERROR(__xludf.DUMMYFUNCTION("""COMPUTED_VALUE"""),"Farm-to-Market 157")</f>
        <v>Farm-to-Market 157</v>
      </c>
      <c r="C1083" s="1" t="str">
        <f>IFERROR(__xludf.DUMMYFUNCTION("""COMPUTED_VALUE"""),"Venus")</f>
        <v>Venus</v>
      </c>
      <c r="D1083" s="1" t="str">
        <f>IFERROR(__xludf.DUMMYFUNCTION("""COMPUTED_VALUE"""),"TX")</f>
        <v>TX</v>
      </c>
      <c r="E1083" s="1" t="str">
        <f>IFERROR(__xludf.DUMMYFUNCTION("""COMPUTED_VALUE"""),"76084")</f>
        <v>76084</v>
      </c>
      <c r="F1083" s="1" t="str">
        <f>IFERROR(__xludf.DUMMYFUNCTION("""COMPUTED_VALUE"""),"Ellis")</f>
        <v>Ellis</v>
      </c>
      <c r="G1083" s="1" t="str">
        <f>IFERROR(__xludf.DUMMYFUNCTION("""COMPUTED_VALUE"""),"32.3757")</f>
        <v>32.3757</v>
      </c>
      <c r="H1083" s="1" t="str">
        <f>IFERROR(__xludf.DUMMYFUNCTION("""COMPUTED_VALUE"""),"-97.0817")</f>
        <v>-97.0817</v>
      </c>
      <c r="I1083" s="1" t="str">
        <f>IFERROR(__xludf.DUMMYFUNCTION("""COMPUTED_VALUE"""),"Proposed")</f>
        <v>Proposed</v>
      </c>
      <c r="J1083" s="1" t="str">
        <f>IFERROR(__xludf.DUMMYFUNCTION("""COMPUTED_VALUE"""),"High")</f>
        <v>High</v>
      </c>
      <c r="K1083" s="1" t="str">
        <f>IFERROR(__xludf.DUMMYFUNCTION("""COMPUTED_VALUE"""),"")</f>
        <v/>
      </c>
      <c r="L1083" s="1" t="str">
        <f>IFERROR(__xludf.DUMMYFUNCTION("""COMPUTED_VALUE"""),"")</f>
        <v/>
      </c>
      <c r="M1083" s="1" t="str">
        <f>IFERROR(__xludf.DUMMYFUNCTION("""COMPUTED_VALUE"""),"")</f>
        <v/>
      </c>
      <c r="N1083" s="1" t="str">
        <f>IFERROR(__xludf.DUMMYFUNCTION("""COMPUTED_VALUE"""),"")</f>
        <v/>
      </c>
      <c r="O1083" s="1" t="str">
        <f>IFERROR(__xludf.DUMMYFUNCTION("""COMPUTED_VALUE"""),"Unknown")</f>
        <v>Unknown</v>
      </c>
      <c r="P1083" s="1" t="str">
        <f>IFERROR(__xludf.DUMMYFUNCTION("""COMPUTED_VALUE"""),"")</f>
        <v/>
      </c>
      <c r="Q1083" s="1" t="str">
        <f>IFERROR(__xludf.DUMMYFUNCTION("""COMPUTED_VALUE"""),"")</f>
        <v/>
      </c>
      <c r="R1083" s="1" t="str">
        <f>IFERROR(__xludf.DUMMYFUNCTION("""COMPUTED_VALUE"""),"")</f>
        <v/>
      </c>
      <c r="S1083" s="1" t="str">
        <f>IFERROR(__xludf.DUMMYFUNCTION("""COMPUTED_VALUE"""),"")</f>
        <v/>
      </c>
      <c r="T1083" s="1" t="str">
        <f>IFERROR(__xludf.DUMMYFUNCTION("""COMPUTED_VALUE"""),"")</f>
        <v/>
      </c>
      <c r="U1083" s="1" t="str">
        <f>IFERROR(__xludf.DUMMYFUNCTION("""COMPUTED_VALUE"""),"")</f>
        <v/>
      </c>
      <c r="V1083" s="1" t="str">
        <f>IFERROR(__xludf.DUMMYFUNCTION("""COMPUTED_VALUE"""),"")</f>
        <v/>
      </c>
      <c r="W1083" s="1" t="str">
        <f>IFERROR(__xludf.DUMMYFUNCTION("""COMPUTED_VALUE"""),"")</f>
        <v/>
      </c>
      <c r="X1083" s="1" t="str">
        <f>IFERROR(__xludf.DUMMYFUNCTION("""COMPUTED_VALUE"""),"")</f>
        <v/>
      </c>
      <c r="Y1083" s="1" t="str">
        <f>IFERROR(__xludf.DUMMYFUNCTION("""COMPUTED_VALUE"""),"")</f>
        <v/>
      </c>
      <c r="Z1083" s="1" t="str">
        <f>IFERROR(__xludf.DUMMYFUNCTION("""COMPUTED_VALUE"""),"Unknown")</f>
        <v>Unknown</v>
      </c>
      <c r="AA1083" s="1" t="str">
        <f>IFERROR(__xludf.DUMMYFUNCTION("""COMPUTED_VALUE"""),"")</f>
        <v/>
      </c>
      <c r="AB1083" s="1" t="str">
        <f>IFERROR(__xludf.DUMMYFUNCTION("""COMPUTED_VALUE"""),"")</f>
        <v/>
      </c>
      <c r="AC1083" s="1" t="str">
        <f>IFERROR(__xludf.DUMMYFUNCTION("""COMPUTED_VALUE"""),"")</f>
        <v/>
      </c>
      <c r="AD1083" s="1" t="str">
        <f>IFERROR(__xludf.DUMMYFUNCTION("""COMPUTED_VALUE"""),"")</f>
        <v/>
      </c>
      <c r="AE1083" s="1" t="str">
        <f>IFERROR(__xludf.DUMMYFUNCTION("""COMPUTED_VALUE"""),"")</f>
        <v/>
      </c>
      <c r="AF1083" s="1" t="str">
        <f>IFERROR(__xludf.DUMMYFUNCTION("""COMPUTED_VALUE"""),"")</f>
        <v/>
      </c>
      <c r="AG1083" s="1" t="str">
        <f>IFERROR(__xludf.DUMMYFUNCTION("""COMPUTED_VALUE"""),"")</f>
        <v/>
      </c>
      <c r="AH1083" s="1" t="str">
        <f>IFERROR(__xludf.DUMMYFUNCTION("""COMPUTED_VALUE"""),"Media Monitoring")</f>
        <v>Media Monitoring</v>
      </c>
      <c r="AI1083" s="2" t="str">
        <f>IFERROR(__xludf.DUMMYFUNCTION("""COMPUTED_VALUE"""),"https://8888cre.com/Data-center-land-for-sale-in-tax-incentive-zone-data-center-land-for-sale-with-power-substation-access-megawatt-powerline-near-Dallas-Texas-Fort-Worth-TX.pdf")</f>
        <v>https://8888cre.com/Data-center-land-for-sale-in-tax-incentive-zone-data-center-land-for-sale-with-power-substation-access-megawatt-powerline-near-Dallas-Texas-Fort-Worth-TX.pdf</v>
      </c>
      <c r="AJ1083" s="1" t="str">
        <f>IFERROR(__xludf.DUMMYFUNCTION("""COMPUTED_VALUE"""),"")</f>
        <v/>
      </c>
      <c r="AK1083" s="1" t="str">
        <f>IFERROR(__xludf.DUMMYFUNCTION("""COMPUTED_VALUE"""),"")</f>
        <v/>
      </c>
      <c r="AL1083" s="1" t="str">
        <f>IFERROR(__xludf.DUMMYFUNCTION("""COMPUTED_VALUE"""),"")</f>
        <v/>
      </c>
      <c r="AM1083" s="1" t="str">
        <f>IFERROR(__xludf.DUMMYFUNCTION("""COMPUTED_VALUE"""),"")</f>
        <v/>
      </c>
      <c r="AN1083" s="1" t="str">
        <f>IFERROR(__xludf.DUMMYFUNCTION("""COMPUTED_VALUE"""),"")</f>
        <v/>
      </c>
      <c r="AO1083" s="1" t="str">
        <f>IFERROR(__xludf.DUMMYFUNCTION("""COMPUTED_VALUE"""),"")</f>
        <v/>
      </c>
      <c r="AP1083" s="1" t="str">
        <f>IFERROR(__xludf.DUMMYFUNCTION("""COMPUTED_VALUE"""),"")</f>
        <v/>
      </c>
      <c r="AQ1083" s="1" t="str">
        <f>IFERROR(__xludf.DUMMYFUNCTION("""COMPUTED_VALUE"""),"05/25/2025")</f>
        <v>05/25/2025</v>
      </c>
      <c r="AR1083" s="1" t="str">
        <f>IFERROR(__xludf.DUMMYFUNCTION("""COMPUTED_VALUE"""),"05/25/2025")</f>
        <v>05/25/2025</v>
      </c>
    </row>
    <row r="1084">
      <c r="A1084" s="1" t="str">
        <f>IFERROR(__xludf.DUMMYFUNCTION("""COMPUTED_VALUE"""),"Midlothian 6 Data Center")</f>
        <v>Midlothian 6 Data Center</v>
      </c>
      <c r="B1084" s="1" t="str">
        <f>IFERROR(__xludf.DUMMYFUNCTION("""COMPUTED_VALUE"""),"Farm-to-Market 157")</f>
        <v>Farm-to-Market 157</v>
      </c>
      <c r="C1084" s="1" t="str">
        <f>IFERROR(__xludf.DUMMYFUNCTION("""COMPUTED_VALUE"""),"Venus")</f>
        <v>Venus</v>
      </c>
      <c r="D1084" s="1" t="str">
        <f>IFERROR(__xludf.DUMMYFUNCTION("""COMPUTED_VALUE"""),"TX")</f>
        <v>TX</v>
      </c>
      <c r="E1084" s="1" t="str">
        <f>IFERROR(__xludf.DUMMYFUNCTION("""COMPUTED_VALUE"""),"76084")</f>
        <v>76084</v>
      </c>
      <c r="F1084" s="1" t="str">
        <f>IFERROR(__xludf.DUMMYFUNCTION("""COMPUTED_VALUE"""),"Johnson")</f>
        <v>Johnson</v>
      </c>
      <c r="G1084" s="1" t="str">
        <f>IFERROR(__xludf.DUMMYFUNCTION("""COMPUTED_VALUE"""),"32.3797")</f>
        <v>32.3797</v>
      </c>
      <c r="H1084" s="1" t="str">
        <f>IFERROR(__xludf.DUMMYFUNCTION("""COMPUTED_VALUE"""),"-97.0997")</f>
        <v>-97.0997</v>
      </c>
      <c r="I1084" s="1" t="str">
        <f>IFERROR(__xludf.DUMMYFUNCTION("""COMPUTED_VALUE"""),"Proposed")</f>
        <v>Proposed</v>
      </c>
      <c r="J1084" s="1" t="str">
        <f>IFERROR(__xludf.DUMMYFUNCTION("""COMPUTED_VALUE"""),"High")</f>
        <v>High</v>
      </c>
      <c r="K1084" s="1" t="str">
        <f>IFERROR(__xludf.DUMMYFUNCTION("""COMPUTED_VALUE"""),"")</f>
        <v/>
      </c>
      <c r="L1084" s="1" t="str">
        <f>IFERROR(__xludf.DUMMYFUNCTION("""COMPUTED_VALUE"""),"")</f>
        <v/>
      </c>
      <c r="M1084" s="1" t="str">
        <f>IFERROR(__xludf.DUMMYFUNCTION("""COMPUTED_VALUE"""),"")</f>
        <v/>
      </c>
      <c r="N1084" s="1" t="str">
        <f>IFERROR(__xludf.DUMMYFUNCTION("""COMPUTED_VALUE"""),"")</f>
        <v/>
      </c>
      <c r="O1084" s="1" t="str">
        <f>IFERROR(__xludf.DUMMYFUNCTION("""COMPUTED_VALUE"""),"Unknown")</f>
        <v>Unknown</v>
      </c>
      <c r="P1084" s="1" t="str">
        <f>IFERROR(__xludf.DUMMYFUNCTION("""COMPUTED_VALUE"""),"")</f>
        <v/>
      </c>
      <c r="Q1084" s="1" t="str">
        <f>IFERROR(__xludf.DUMMYFUNCTION("""COMPUTED_VALUE"""),"")</f>
        <v/>
      </c>
      <c r="R1084" s="1" t="str">
        <f>IFERROR(__xludf.DUMMYFUNCTION("""COMPUTED_VALUE"""),"")</f>
        <v/>
      </c>
      <c r="S1084" s="1" t="str">
        <f>IFERROR(__xludf.DUMMYFUNCTION("""COMPUTED_VALUE"""),"")</f>
        <v/>
      </c>
      <c r="T1084" s="1" t="str">
        <f>IFERROR(__xludf.DUMMYFUNCTION("""COMPUTED_VALUE"""),"")</f>
        <v/>
      </c>
      <c r="U1084" s="1" t="str">
        <f>IFERROR(__xludf.DUMMYFUNCTION("""COMPUTED_VALUE"""),"")</f>
        <v/>
      </c>
      <c r="V1084" s="1" t="str">
        <f>IFERROR(__xludf.DUMMYFUNCTION("""COMPUTED_VALUE"""),"")</f>
        <v/>
      </c>
      <c r="W1084" s="1" t="str">
        <f>IFERROR(__xludf.DUMMYFUNCTION("""COMPUTED_VALUE"""),"")</f>
        <v/>
      </c>
      <c r="X1084" s="1" t="str">
        <f>IFERROR(__xludf.DUMMYFUNCTION("""COMPUTED_VALUE"""),"")</f>
        <v/>
      </c>
      <c r="Y1084" s="1" t="str">
        <f>IFERROR(__xludf.DUMMYFUNCTION("""COMPUTED_VALUE"""),"")</f>
        <v/>
      </c>
      <c r="Z1084" s="1" t="str">
        <f>IFERROR(__xludf.DUMMYFUNCTION("""COMPUTED_VALUE"""),"Unknown")</f>
        <v>Unknown</v>
      </c>
      <c r="AA1084" s="1" t="str">
        <f>IFERROR(__xludf.DUMMYFUNCTION("""COMPUTED_VALUE"""),"")</f>
        <v/>
      </c>
      <c r="AB1084" s="1" t="str">
        <f>IFERROR(__xludf.DUMMYFUNCTION("""COMPUTED_VALUE"""),"")</f>
        <v/>
      </c>
      <c r="AC1084" s="1" t="str">
        <f>IFERROR(__xludf.DUMMYFUNCTION("""COMPUTED_VALUE"""),"")</f>
        <v/>
      </c>
      <c r="AD1084" s="1" t="str">
        <f>IFERROR(__xludf.DUMMYFUNCTION("""COMPUTED_VALUE"""),"")</f>
        <v/>
      </c>
      <c r="AE1084" s="1" t="str">
        <f>IFERROR(__xludf.DUMMYFUNCTION("""COMPUTED_VALUE"""),"")</f>
        <v/>
      </c>
      <c r="AF1084" s="1" t="str">
        <f>IFERROR(__xludf.DUMMYFUNCTION("""COMPUTED_VALUE"""),"")</f>
        <v/>
      </c>
      <c r="AG1084" s="1" t="str">
        <f>IFERROR(__xludf.DUMMYFUNCTION("""COMPUTED_VALUE"""),"")</f>
        <v/>
      </c>
      <c r="AH1084" s="1" t="str">
        <f>IFERROR(__xludf.DUMMYFUNCTION("""COMPUTED_VALUE"""),"Media Monitoring")</f>
        <v>Media Monitoring</v>
      </c>
      <c r="AI1084" s="2" t="str">
        <f>IFERROR(__xludf.DUMMYFUNCTION("""COMPUTED_VALUE"""),"https://8888cre.com/Data-center-land-for-sale-in-tax-incentive-zone-data-center-land-for-sale-with-power-substation-access-megawatt-powerline-near-Dallas-Texas-Fort-Worth-TX.pdf")</f>
        <v>https://8888cre.com/Data-center-land-for-sale-in-tax-incentive-zone-data-center-land-for-sale-with-power-substation-access-megawatt-powerline-near-Dallas-Texas-Fort-Worth-TX.pdf</v>
      </c>
      <c r="AJ1084" s="1" t="str">
        <f>IFERROR(__xludf.DUMMYFUNCTION("""COMPUTED_VALUE"""),"")</f>
        <v/>
      </c>
      <c r="AK1084" s="1" t="str">
        <f>IFERROR(__xludf.DUMMYFUNCTION("""COMPUTED_VALUE"""),"")</f>
        <v/>
      </c>
      <c r="AL1084" s="1" t="str">
        <f>IFERROR(__xludf.DUMMYFUNCTION("""COMPUTED_VALUE"""),"")</f>
        <v/>
      </c>
      <c r="AM1084" s="1" t="str">
        <f>IFERROR(__xludf.DUMMYFUNCTION("""COMPUTED_VALUE"""),"")</f>
        <v/>
      </c>
      <c r="AN1084" s="1" t="str">
        <f>IFERROR(__xludf.DUMMYFUNCTION("""COMPUTED_VALUE"""),"")</f>
        <v/>
      </c>
      <c r="AO1084" s="1" t="str">
        <f>IFERROR(__xludf.DUMMYFUNCTION("""COMPUTED_VALUE"""),"")</f>
        <v/>
      </c>
      <c r="AP1084" s="1" t="str">
        <f>IFERROR(__xludf.DUMMYFUNCTION("""COMPUTED_VALUE"""),"")</f>
        <v/>
      </c>
      <c r="AQ1084" s="1" t="str">
        <f>IFERROR(__xludf.DUMMYFUNCTION("""COMPUTED_VALUE"""),"05/25/2025")</f>
        <v>05/25/2025</v>
      </c>
      <c r="AR1084" s="1" t="str">
        <f>IFERROR(__xludf.DUMMYFUNCTION("""COMPUTED_VALUE"""),"05/25/2025")</f>
        <v>05/25/2025</v>
      </c>
    </row>
    <row r="1085">
      <c r="A1085" s="1" t="str">
        <f>IFERROR(__xludf.DUMMYFUNCTION("""COMPUTED_VALUE"""),"Venus Data Center")</f>
        <v>Venus Data Center</v>
      </c>
      <c r="B1085" s="1" t="str">
        <f>IFERROR(__xludf.DUMMYFUNCTION("""COMPUTED_VALUE"""),"900 E County Rd 109")</f>
        <v>900 E County Rd 109</v>
      </c>
      <c r="C1085" s="1" t="str">
        <f>IFERROR(__xludf.DUMMYFUNCTION("""COMPUTED_VALUE"""),"Venus")</f>
        <v>Venus</v>
      </c>
      <c r="D1085" s="1" t="str">
        <f>IFERROR(__xludf.DUMMYFUNCTION("""COMPUTED_VALUE"""),"TX")</f>
        <v>TX</v>
      </c>
      <c r="E1085" s="1" t="str">
        <f>IFERROR(__xludf.DUMMYFUNCTION("""COMPUTED_VALUE"""),"76084")</f>
        <v>76084</v>
      </c>
      <c r="F1085" s="1" t="str">
        <f>IFERROR(__xludf.DUMMYFUNCTION("""COMPUTED_VALUE"""),"Ellis")</f>
        <v>Ellis</v>
      </c>
      <c r="G1085" s="1" t="str">
        <f>IFERROR(__xludf.DUMMYFUNCTION("""COMPUTED_VALUE"""),"32.43176")</f>
        <v>32.43176</v>
      </c>
      <c r="H1085" s="1" t="str">
        <f>IFERROR(__xludf.DUMMYFUNCTION("""COMPUTED_VALUE"""),"-97.0869")</f>
        <v>-97.0869</v>
      </c>
      <c r="I1085" s="1" t="str">
        <f>IFERROR(__xludf.DUMMYFUNCTION("""COMPUTED_VALUE"""),"Proposed")</f>
        <v>Proposed</v>
      </c>
      <c r="J1085" s="1" t="str">
        <f>IFERROR(__xludf.DUMMYFUNCTION("""COMPUTED_VALUE"""),"High")</f>
        <v>High</v>
      </c>
      <c r="K1085" s="1" t="str">
        <f>IFERROR(__xludf.DUMMYFUNCTION("""COMPUTED_VALUE"""),"")</f>
        <v/>
      </c>
      <c r="L1085" s="1" t="str">
        <f>IFERROR(__xludf.DUMMYFUNCTION("""COMPUTED_VALUE"""),"")</f>
        <v/>
      </c>
      <c r="M1085" s="1" t="str">
        <f>IFERROR(__xludf.DUMMYFUNCTION("""COMPUTED_VALUE"""),"")</f>
        <v/>
      </c>
      <c r="N1085" s="1" t="str">
        <f>IFERROR(__xludf.DUMMYFUNCTION("""COMPUTED_VALUE"""),"")</f>
        <v/>
      </c>
      <c r="O1085" s="1" t="str">
        <f>IFERROR(__xludf.DUMMYFUNCTION("""COMPUTED_VALUE"""),"Unknown")</f>
        <v>Unknown</v>
      </c>
      <c r="P1085" s="1" t="str">
        <f>IFERROR(__xludf.DUMMYFUNCTION("""COMPUTED_VALUE"""),"")</f>
        <v/>
      </c>
      <c r="Q1085" s="1" t="str">
        <f>IFERROR(__xludf.DUMMYFUNCTION("""COMPUTED_VALUE"""),"")</f>
        <v/>
      </c>
      <c r="R1085" s="1" t="str">
        <f>IFERROR(__xludf.DUMMYFUNCTION("""COMPUTED_VALUE"""),"")</f>
        <v/>
      </c>
      <c r="S1085" s="1" t="str">
        <f>IFERROR(__xludf.DUMMYFUNCTION("""COMPUTED_VALUE"""),"")</f>
        <v/>
      </c>
      <c r="T1085" s="1" t="str">
        <f>IFERROR(__xludf.DUMMYFUNCTION("""COMPUTED_VALUE"""),"")</f>
        <v/>
      </c>
      <c r="U1085" s="1" t="str">
        <f>IFERROR(__xludf.DUMMYFUNCTION("""COMPUTED_VALUE"""),"")</f>
        <v/>
      </c>
      <c r="V1085" s="1" t="str">
        <f>IFERROR(__xludf.DUMMYFUNCTION("""COMPUTED_VALUE"""),"")</f>
        <v/>
      </c>
      <c r="W1085" s="1" t="str">
        <f>IFERROR(__xludf.DUMMYFUNCTION("""COMPUTED_VALUE"""),"217")</f>
        <v>217</v>
      </c>
      <c r="X1085" s="1" t="str">
        <f>IFERROR(__xludf.DUMMYFUNCTION("""COMPUTED_VALUE"""),"")</f>
        <v/>
      </c>
      <c r="Y1085" s="1" t="str">
        <f>IFERROR(__xludf.DUMMYFUNCTION("""COMPUTED_VALUE"""),"")</f>
        <v/>
      </c>
      <c r="Z1085" s="1" t="str">
        <f>IFERROR(__xludf.DUMMYFUNCTION("""COMPUTED_VALUE"""),"Unknown")</f>
        <v>Unknown</v>
      </c>
      <c r="AA1085" s="1" t="str">
        <f>IFERROR(__xludf.DUMMYFUNCTION("""COMPUTED_VALUE"""),"")</f>
        <v/>
      </c>
      <c r="AB1085" s="1" t="str">
        <f>IFERROR(__xludf.DUMMYFUNCTION("""COMPUTED_VALUE"""),"")</f>
        <v/>
      </c>
      <c r="AC1085" s="1" t="str">
        <f>IFERROR(__xludf.DUMMYFUNCTION("""COMPUTED_VALUE"""),"")</f>
        <v/>
      </c>
      <c r="AD1085" s="1" t="str">
        <f>IFERROR(__xludf.DUMMYFUNCTION("""COMPUTED_VALUE"""),"")</f>
        <v/>
      </c>
      <c r="AE1085" s="1" t="str">
        <f>IFERROR(__xludf.DUMMYFUNCTION("""COMPUTED_VALUE"""),"")</f>
        <v/>
      </c>
      <c r="AF1085" s="1" t="str">
        <f>IFERROR(__xludf.DUMMYFUNCTION("""COMPUTED_VALUE"""),"")</f>
        <v/>
      </c>
      <c r="AG1085" s="1" t="str">
        <f>IFERROR(__xludf.DUMMYFUNCTION("""COMPUTED_VALUE"""),"")</f>
        <v/>
      </c>
      <c r="AH1085" s="1" t="str">
        <f>IFERROR(__xludf.DUMMYFUNCTION("""COMPUTED_VALUE"""),"Media Monitoring")</f>
        <v>Media Monitoring</v>
      </c>
      <c r="AI1085" s="2" t="str">
        <f>IFERROR(__xludf.DUMMYFUNCTION("""COMPUTED_VALUE"""),"https://cityofvenus.diligent.community/document/feb4f78c-9858-42f6-b202-88862555f9a3/")</f>
        <v>https://cityofvenus.diligent.community/document/feb4f78c-9858-42f6-b202-88862555f9a3/</v>
      </c>
      <c r="AJ1085" s="1" t="str">
        <f>IFERROR(__xludf.DUMMYFUNCTION("""COMPUTED_VALUE"""),"")</f>
        <v/>
      </c>
      <c r="AK1085" s="1" t="str">
        <f>IFERROR(__xludf.DUMMYFUNCTION("""COMPUTED_VALUE"""),"")</f>
        <v/>
      </c>
      <c r="AL1085" s="1" t="str">
        <f>IFERROR(__xludf.DUMMYFUNCTION("""COMPUTED_VALUE"""),"")</f>
        <v/>
      </c>
      <c r="AM1085" s="1" t="str">
        <f>IFERROR(__xludf.DUMMYFUNCTION("""COMPUTED_VALUE"""),"")</f>
        <v/>
      </c>
      <c r="AN1085" s="1" t="str">
        <f>IFERROR(__xludf.DUMMYFUNCTION("""COMPUTED_VALUE"""),"")</f>
        <v/>
      </c>
      <c r="AO1085" s="1" t="str">
        <f>IFERROR(__xludf.DUMMYFUNCTION("""COMPUTED_VALUE"""),"")</f>
        <v/>
      </c>
      <c r="AP1085" s="1" t="str">
        <f>IFERROR(__xludf.DUMMYFUNCTION("""COMPUTED_VALUE"""),"")</f>
        <v/>
      </c>
      <c r="AQ1085" s="1" t="str">
        <f>IFERROR(__xludf.DUMMYFUNCTION("""COMPUTED_VALUE"""),"05/25/2025")</f>
        <v>05/25/2025</v>
      </c>
      <c r="AR1085" s="1" t="str">
        <f>IFERROR(__xludf.DUMMYFUNCTION("""COMPUTED_VALUE"""),"05/25/2025")</f>
        <v>05/25/2025</v>
      </c>
    </row>
    <row r="1086">
      <c r="A1086" s="1" t="str">
        <f>IFERROR(__xludf.DUMMYFUNCTION("""COMPUTED_VALUE"""),"Rowdy Data Center")</f>
        <v>Rowdy Data Center</v>
      </c>
      <c r="B1086" s="1" t="str">
        <f>IFERROR(__xludf.DUMMYFUNCTION("""COMPUTED_VALUE"""),"")</f>
        <v/>
      </c>
      <c r="C1086" s="1" t="str">
        <f>IFERROR(__xludf.DUMMYFUNCTION("""COMPUTED_VALUE"""),"Vernon")</f>
        <v>Vernon</v>
      </c>
      <c r="D1086" s="1" t="str">
        <f>IFERROR(__xludf.DUMMYFUNCTION("""COMPUTED_VALUE"""),"TX")</f>
        <v>TX</v>
      </c>
      <c r="E1086" s="1" t="str">
        <f>IFERROR(__xludf.DUMMYFUNCTION("""COMPUTED_VALUE"""),"76384")</f>
        <v>76384</v>
      </c>
      <c r="F1086" s="1" t="str">
        <f>IFERROR(__xludf.DUMMYFUNCTION("""COMPUTED_VALUE"""),"Wilbarger")</f>
        <v>Wilbarger</v>
      </c>
      <c r="G1086" s="1" t="str">
        <f>IFERROR(__xludf.DUMMYFUNCTION("""COMPUTED_VALUE"""),"34.08236")</f>
        <v>34.08236</v>
      </c>
      <c r="H1086" s="1" t="str">
        <f>IFERROR(__xludf.DUMMYFUNCTION("""COMPUTED_VALUE"""),"-99.1772")</f>
        <v>-99.1772</v>
      </c>
      <c r="I1086" s="1" t="str">
        <f>IFERROR(__xludf.DUMMYFUNCTION("""COMPUTED_VALUE"""),"Operating")</f>
        <v>Operating</v>
      </c>
      <c r="J1086" s="1" t="str">
        <f>IFERROR(__xludf.DUMMYFUNCTION("""COMPUTED_VALUE"""),"High")</f>
        <v>High</v>
      </c>
      <c r="K1086" s="1" t="str">
        <f>IFERROR(__xludf.DUMMYFUNCTION("""COMPUTED_VALUE"""),"")</f>
        <v/>
      </c>
      <c r="L1086" s="1" t="str">
        <f>IFERROR(__xludf.DUMMYFUNCTION("""COMPUTED_VALUE"""),"")</f>
        <v/>
      </c>
      <c r="M1086" s="1" t="str">
        <f>IFERROR(__xludf.DUMMYFUNCTION("""COMPUTED_VALUE"""),"")</f>
        <v/>
      </c>
      <c r="N1086" s="1" t="str">
        <f>IFERROR(__xludf.DUMMYFUNCTION("""COMPUTED_VALUE"""),"60-400")</f>
        <v>60-400</v>
      </c>
      <c r="O1086" s="1" t="str">
        <f>IFERROR(__xludf.DUMMYFUNCTION("""COMPUTED_VALUE"""),"Hyperscale (100-999 MW)")</f>
        <v>Hyperscale (100-999 MW)</v>
      </c>
      <c r="P1086" s="1" t="str">
        <f>IFERROR(__xludf.DUMMYFUNCTION("""COMPUTED_VALUE"""),"")</f>
        <v/>
      </c>
      <c r="Q1086" s="1" t="str">
        <f>IFERROR(__xludf.DUMMYFUNCTION("""COMPUTED_VALUE"""),"")</f>
        <v/>
      </c>
      <c r="R1086" s="1" t="str">
        <f>IFERROR(__xludf.DUMMYFUNCTION("""COMPUTED_VALUE"""),"")</f>
        <v/>
      </c>
      <c r="S1086" s="1" t="str">
        <f>IFERROR(__xludf.DUMMYFUNCTION("""COMPUTED_VALUE"""),"")</f>
        <v/>
      </c>
      <c r="T1086" s="1" t="str">
        <f>IFERROR(__xludf.DUMMYFUNCTION("""COMPUTED_VALUE"""),"")</f>
        <v/>
      </c>
      <c r="U1086" s="1" t="str">
        <f>IFERROR(__xludf.DUMMYFUNCTION("""COMPUTED_VALUE"""),"")</f>
        <v/>
      </c>
      <c r="V1086" s="1" t="str">
        <f>IFERROR(__xludf.DUMMYFUNCTION("""COMPUTED_VALUE"""),"")</f>
        <v/>
      </c>
      <c r="W1086" s="1" t="str">
        <f>IFERROR(__xludf.DUMMYFUNCTION("""COMPUTED_VALUE"""),"")</f>
        <v/>
      </c>
      <c r="X1086" s="1" t="str">
        <f>IFERROR(__xludf.DUMMYFUNCTION("""COMPUTED_VALUE"""),"")</f>
        <v/>
      </c>
      <c r="Y1086" s="1" t="str">
        <f>IFERROR(__xludf.DUMMYFUNCTION("""COMPUTED_VALUE"""),"")</f>
        <v/>
      </c>
      <c r="Z1086" s="1" t="str">
        <f>IFERROR(__xludf.DUMMYFUNCTION("""COMPUTED_VALUE"""),"Unknown")</f>
        <v>Unknown</v>
      </c>
      <c r="AA1086" s="1" t="str">
        <f>IFERROR(__xludf.DUMMYFUNCTION("""COMPUTED_VALUE"""),"")</f>
        <v/>
      </c>
      <c r="AB1086" s="1" t="str">
        <f>IFERROR(__xludf.DUMMYFUNCTION("""COMPUTED_VALUE"""),"")</f>
        <v/>
      </c>
      <c r="AC1086" s="1" t="str">
        <f>IFERROR(__xludf.DUMMYFUNCTION("""COMPUTED_VALUE"""),"")</f>
        <v/>
      </c>
      <c r="AD1086" s="1" t="str">
        <f>IFERROR(__xludf.DUMMYFUNCTION("""COMPUTED_VALUE"""),"")</f>
        <v/>
      </c>
      <c r="AE1086" s="1" t="str">
        <f>IFERROR(__xludf.DUMMYFUNCTION("""COMPUTED_VALUE"""),"")</f>
        <v/>
      </c>
      <c r="AF1086" s="1" t="str">
        <f>IFERROR(__xludf.DUMMYFUNCTION("""COMPUTED_VALUE"""),"")</f>
        <v/>
      </c>
      <c r="AG1086" s="1" t="str">
        <f>IFERROR(__xludf.DUMMYFUNCTION("""COMPUTED_VALUE"""),"")</f>
        <v/>
      </c>
      <c r="AH1086" s="1" t="str">
        <f>IFERROR(__xludf.DUMMYFUNCTION("""COMPUTED_VALUE"""),"Media Monitoring")</f>
        <v>Media Monitoring</v>
      </c>
      <c r="AI1086" s="2" t="str">
        <f>IFERROR(__xludf.DUMMYFUNCTION("""COMPUTED_VALUE"""),"https://www.datacenterdynamics.com/en/news/soluna-breaks-ground-on-50mw-cryptomine-data-center-expansion-in-texas/")</f>
        <v>https://www.datacenterdynamics.com/en/news/soluna-breaks-ground-on-50mw-cryptomine-data-center-expansion-in-texas/</v>
      </c>
      <c r="AJ1086" s="1" t="str">
        <f>IFERROR(__xludf.DUMMYFUNCTION("""COMPUTED_VALUE"""),"")</f>
        <v/>
      </c>
      <c r="AK1086" s="1" t="str">
        <f>IFERROR(__xludf.DUMMYFUNCTION("""COMPUTED_VALUE"""),"")</f>
        <v/>
      </c>
      <c r="AL1086" s="1" t="str">
        <f>IFERROR(__xludf.DUMMYFUNCTION("""COMPUTED_VALUE"""),"")</f>
        <v/>
      </c>
      <c r="AM1086" s="1" t="str">
        <f>IFERROR(__xludf.DUMMYFUNCTION("""COMPUTED_VALUE"""),"")</f>
        <v/>
      </c>
      <c r="AN1086" s="1" t="str">
        <f>IFERROR(__xludf.DUMMYFUNCTION("""COMPUTED_VALUE"""),"")</f>
        <v/>
      </c>
      <c r="AO1086" s="1" t="str">
        <f>IFERROR(__xludf.DUMMYFUNCTION("""COMPUTED_VALUE"""),"")</f>
        <v/>
      </c>
      <c r="AP1086" s="1" t="str">
        <f>IFERROR(__xludf.DUMMYFUNCTION("""COMPUTED_VALUE"""),"")</f>
        <v/>
      </c>
      <c r="AQ1086" s="1" t="str">
        <f>IFERROR(__xludf.DUMMYFUNCTION("""COMPUTED_VALUE"""),"07/24/2025")</f>
        <v>07/24/2025</v>
      </c>
      <c r="AR1086" s="1" t="str">
        <f>IFERROR(__xludf.DUMMYFUNCTION("""COMPUTED_VALUE"""),"07/24/2025")</f>
        <v>07/24/2025</v>
      </c>
    </row>
    <row r="1087">
      <c r="A1087" s="1" t="str">
        <f>IFERROR(__xludf.DUMMYFUNCTION("""COMPUTED_VALUE"""),"Crusoe/ Blue Energy Data Center")</f>
        <v>Crusoe/ Blue Energy Data Center</v>
      </c>
      <c r="B1087" s="1" t="str">
        <f>IFERROR(__xludf.DUMMYFUNCTION("""COMPUTED_VALUE"""),"Port of Victoria")</f>
        <v>Port of Victoria</v>
      </c>
      <c r="C1087" s="1" t="str">
        <f>IFERROR(__xludf.DUMMYFUNCTION("""COMPUTED_VALUE"""),"Victoria")</f>
        <v>Victoria</v>
      </c>
      <c r="D1087" s="1" t="str">
        <f>IFERROR(__xludf.DUMMYFUNCTION("""COMPUTED_VALUE"""),"TX")</f>
        <v>TX</v>
      </c>
      <c r="E1087" s="1" t="str">
        <f>IFERROR(__xludf.DUMMYFUNCTION("""COMPUTED_VALUE"""),"77905")</f>
        <v>77905</v>
      </c>
      <c r="F1087" s="1" t="str">
        <f>IFERROR(__xludf.DUMMYFUNCTION("""COMPUTED_VALUE"""),"Victoria")</f>
        <v>Victoria</v>
      </c>
      <c r="G1087" s="1" t="str">
        <f>IFERROR(__xludf.DUMMYFUNCTION("""COMPUTED_VALUE"""),"28.689142")</f>
        <v>28.689142</v>
      </c>
      <c r="H1087" s="1" t="str">
        <f>IFERROR(__xludf.DUMMYFUNCTION("""COMPUTED_VALUE"""),"-96.96172")</f>
        <v>-96.96172</v>
      </c>
      <c r="I1087" s="1" t="str">
        <f>IFERROR(__xludf.DUMMYFUNCTION("""COMPUTED_VALUE"""),"Proposed")</f>
        <v>Proposed</v>
      </c>
      <c r="J1087" s="1" t="str">
        <f>IFERROR(__xludf.DUMMYFUNCTION("""COMPUTED_VALUE"""),"Medium")</f>
        <v>Medium</v>
      </c>
      <c r="K1087" s="1" t="str">
        <f>IFERROR(__xludf.DUMMYFUNCTION("""COMPUTED_VALUE"""),"")</f>
        <v/>
      </c>
      <c r="L1087" s="1" t="str">
        <f>IFERROR(__xludf.DUMMYFUNCTION("""COMPUTED_VALUE"""),"Crusoe")</f>
        <v>Crusoe</v>
      </c>
      <c r="M1087" s="1" t="str">
        <f>IFERROR(__xludf.DUMMYFUNCTION("""COMPUTED_VALUE"""),"")</f>
        <v/>
      </c>
      <c r="N1087" s="1" t="str">
        <f>IFERROR(__xludf.DUMMYFUNCTION("""COMPUTED_VALUE"""),"1500")</f>
        <v>1500</v>
      </c>
      <c r="O1087" s="1" t="str">
        <f>IFERROR(__xludf.DUMMYFUNCTION("""COMPUTED_VALUE"""),"Mega campus (&gt;1,000 MW)")</f>
        <v>Mega campus (&gt;1,000 MW)</v>
      </c>
      <c r="P1087" s="1" t="str">
        <f>IFERROR(__xludf.DUMMYFUNCTION("""COMPUTED_VALUE"""),"Nuclear")</f>
        <v>Nuclear</v>
      </c>
      <c r="Q1087" s="1" t="str">
        <f>IFERROR(__xludf.DUMMYFUNCTION("""COMPUTED_VALUE"""),"")</f>
        <v/>
      </c>
      <c r="R1087" s="1" t="str">
        <f>IFERROR(__xludf.DUMMYFUNCTION("""COMPUTED_VALUE"""),"")</f>
        <v/>
      </c>
      <c r="S1087" s="1" t="str">
        <f>IFERROR(__xludf.DUMMYFUNCTION("""COMPUTED_VALUE"""),"")</f>
        <v/>
      </c>
      <c r="T1087" s="1" t="str">
        <f>IFERROR(__xludf.DUMMYFUNCTION("""COMPUTED_VALUE"""),"")</f>
        <v/>
      </c>
      <c r="U1087" s="1" t="str">
        <f>IFERROR(__xludf.DUMMYFUNCTION("""COMPUTED_VALUE"""),"")</f>
        <v/>
      </c>
      <c r="V1087" s="1" t="str">
        <f>IFERROR(__xludf.DUMMYFUNCTION("""COMPUTED_VALUE"""),"")</f>
        <v/>
      </c>
      <c r="W1087" s="1" t="str">
        <f>IFERROR(__xludf.DUMMYFUNCTION("""COMPUTED_VALUE"""),"1600")</f>
        <v>1600</v>
      </c>
      <c r="X1087" s="1" t="str">
        <f>IFERROR(__xludf.DUMMYFUNCTION("""COMPUTED_VALUE"""),"")</f>
        <v/>
      </c>
      <c r="Y1087" s="1" t="str">
        <f>IFERROR(__xludf.DUMMYFUNCTION("""COMPUTED_VALUE"""),"2028")</f>
        <v>2028</v>
      </c>
      <c r="Z1087" s="1" t="str">
        <f>IFERROR(__xludf.DUMMYFUNCTION("""COMPUTED_VALUE"""),"Unknown")</f>
        <v>Unknown</v>
      </c>
      <c r="AA1087" s="1" t="str">
        <f>IFERROR(__xludf.DUMMYFUNCTION("""COMPUTED_VALUE"""),"")</f>
        <v/>
      </c>
      <c r="AB1087" s="1" t="str">
        <f>IFERROR(__xludf.DUMMYFUNCTION("""COMPUTED_VALUE"""),"")</f>
        <v/>
      </c>
      <c r="AC1087" s="1" t="str">
        <f>IFERROR(__xludf.DUMMYFUNCTION("""COMPUTED_VALUE"""),"")</f>
        <v/>
      </c>
      <c r="AD1087" s="1" t="str">
        <f>IFERROR(__xludf.DUMMYFUNCTION("""COMPUTED_VALUE"""),"")</f>
        <v/>
      </c>
      <c r="AE1087" s="1" t="str">
        <f>IFERROR(__xludf.DUMMYFUNCTION("""COMPUTED_VALUE"""),"")</f>
        <v/>
      </c>
      <c r="AF1087" s="1" t="str">
        <f>IFERROR(__xludf.DUMMYFUNCTION("""COMPUTED_VALUE"""),"")</f>
        <v/>
      </c>
      <c r="AG1087" s="1" t="str">
        <f>IFERROR(__xludf.DUMMYFUNCTION("""COMPUTED_VALUE"""),"")</f>
        <v/>
      </c>
      <c r="AH1087" s="1" t="str">
        <f>IFERROR(__xludf.DUMMYFUNCTION("""COMPUTED_VALUE"""),"Crowdsourced")</f>
        <v>Crowdsourced</v>
      </c>
      <c r="AI1087" s="2" t="str">
        <f>IFERROR(__xludf.DUMMYFUNCTION("""COMPUTED_VALUE"""),"https://www.crusoe.ai/resources/newsroom/blue-energy-and-crusoe-partner-to-develop-nuclear-powered-ai-data-center")</f>
        <v>https://www.crusoe.ai/resources/newsroom/blue-energy-and-crusoe-partner-to-develop-nuclear-powered-ai-data-center</v>
      </c>
      <c r="AJ1087" s="2" t="str">
        <f>IFERROR(__xludf.DUMMYFUNCTION("""COMPUTED_VALUE"""),"https://www.datacenterdynamics.com/en/news/crusoe-taps-blue-energy-to-supply-nuclear-power-for-up-to-15gw-data-center-in-port-of-victoria-texas/")</f>
        <v>https://www.datacenterdynamics.com/en/news/crusoe-taps-blue-energy-to-supply-nuclear-power-for-up-to-15gw-data-center-in-port-of-victoria-texas/</v>
      </c>
      <c r="AK1087" s="1" t="str">
        <f>IFERROR(__xludf.DUMMYFUNCTION("""COMPUTED_VALUE"""),"")</f>
        <v/>
      </c>
      <c r="AL1087" s="1" t="str">
        <f>IFERROR(__xludf.DUMMYFUNCTION("""COMPUTED_VALUE"""),"")</f>
        <v/>
      </c>
      <c r="AM1087" s="1" t="str">
        <f>IFERROR(__xludf.DUMMYFUNCTION("""COMPUTED_VALUE"""),"")</f>
        <v/>
      </c>
      <c r="AN1087" s="1" t="str">
        <f>IFERROR(__xludf.DUMMYFUNCTION("""COMPUTED_VALUE"""),"")</f>
        <v/>
      </c>
      <c r="AO1087" s="1" t="str">
        <f>IFERROR(__xludf.DUMMYFUNCTION("""COMPUTED_VALUE"""),"")</f>
        <v/>
      </c>
      <c r="AP1087" s="1" t="str">
        <f>IFERROR(__xludf.DUMMYFUNCTION("""COMPUTED_VALUE"""),"")</f>
        <v/>
      </c>
      <c r="AQ1087" s="1" t="str">
        <f>IFERROR(__xludf.DUMMYFUNCTION("""COMPUTED_VALUE"""),"12/08/2025")</f>
        <v>12/08/2025</v>
      </c>
      <c r="AR1087" s="1" t="str">
        <f>IFERROR(__xludf.DUMMYFUNCTION("""COMPUTED_VALUE"""),"12/08/2025")</f>
        <v>12/08/2025</v>
      </c>
    </row>
    <row r="1088">
      <c r="A1088" s="1" t="str">
        <f>IFERROR(__xludf.DUMMYFUNCTION("""COMPUTED_VALUE"""),"CyrusOne: DFW10")</f>
        <v>CyrusOne: DFW10</v>
      </c>
      <c r="B1088" s="1" t="str">
        <f>IFERROR(__xludf.DUMMYFUNCTION("""COMPUTED_VALUE"""),"adjacent to Thad Hill Energy Center")</f>
        <v>adjacent to Thad Hill Energy Center</v>
      </c>
      <c r="C1088" s="1" t="str">
        <f>IFERROR(__xludf.DUMMYFUNCTION("""COMPUTED_VALUE"""),"Whitney")</f>
        <v>Whitney</v>
      </c>
      <c r="D1088" s="1" t="str">
        <f>IFERROR(__xludf.DUMMYFUNCTION("""COMPUTED_VALUE"""),"TX")</f>
        <v>TX</v>
      </c>
      <c r="E1088" s="1" t="str">
        <f>IFERROR(__xludf.DUMMYFUNCTION("""COMPUTED_VALUE"""),"76692")</f>
        <v>76692</v>
      </c>
      <c r="F1088" s="1" t="str">
        <f>IFERROR(__xludf.DUMMYFUNCTION("""COMPUTED_VALUE"""),"Bosque")</f>
        <v>Bosque</v>
      </c>
      <c r="G1088" s="1" t="str">
        <f>IFERROR(__xludf.DUMMYFUNCTION("""COMPUTED_VALUE"""),"31.860664")</f>
        <v>31.860664</v>
      </c>
      <c r="H1088" s="1" t="str">
        <f>IFERROR(__xludf.DUMMYFUNCTION("""COMPUTED_VALUE"""),"-97.35856")</f>
        <v>-97.35856</v>
      </c>
      <c r="I1088" s="1" t="str">
        <f>IFERROR(__xludf.DUMMYFUNCTION("""COMPUTED_VALUE"""),"Approved/Permitted/Under construction")</f>
        <v>Approved/Permitted/Under construction</v>
      </c>
      <c r="J1088" s="1" t="str">
        <f>IFERROR(__xludf.DUMMYFUNCTION("""COMPUTED_VALUE"""),"Medium")</f>
        <v>Medium</v>
      </c>
      <c r="K1088" s="1" t="str">
        <f>IFERROR(__xludf.DUMMYFUNCTION("""COMPUTED_VALUE"""),"")</f>
        <v/>
      </c>
      <c r="L1088" s="1" t="str">
        <f>IFERROR(__xludf.DUMMYFUNCTION("""COMPUTED_VALUE"""),"CyrusOne")</f>
        <v>CyrusOne</v>
      </c>
      <c r="M1088" s="1" t="str">
        <f>IFERROR(__xludf.DUMMYFUNCTION("""COMPUTED_VALUE"""),"")</f>
        <v/>
      </c>
      <c r="N1088" s="1" t="str">
        <f>IFERROR(__xludf.DUMMYFUNCTION("""COMPUTED_VALUE"""),"400")</f>
        <v>400</v>
      </c>
      <c r="O1088" s="1" t="str">
        <f>IFERROR(__xludf.DUMMYFUNCTION("""COMPUTED_VALUE"""),"Hyperscale (100-999 MW)")</f>
        <v>Hyperscale (100-999 MW)</v>
      </c>
      <c r="P1088" s="1" t="str">
        <f>IFERROR(__xludf.DUMMYFUNCTION("""COMPUTED_VALUE"""),"")</f>
        <v/>
      </c>
      <c r="Q1088" s="1" t="str">
        <f>IFERROR(__xludf.DUMMYFUNCTION("""COMPUTED_VALUE"""),"")</f>
        <v/>
      </c>
      <c r="R1088" s="1" t="str">
        <f>IFERROR(__xludf.DUMMYFUNCTION("""COMPUTED_VALUE"""),"")</f>
        <v/>
      </c>
      <c r="S1088" s="1" t="str">
        <f>IFERROR(__xludf.DUMMYFUNCTION("""COMPUTED_VALUE"""),"")</f>
        <v/>
      </c>
      <c r="T1088" s="1" t="str">
        <f>IFERROR(__xludf.DUMMYFUNCTION("""COMPUTED_VALUE"""),"")</f>
        <v/>
      </c>
      <c r="U1088" s="1" t="str">
        <f>IFERROR(__xludf.DUMMYFUNCTION("""COMPUTED_VALUE"""),"")</f>
        <v/>
      </c>
      <c r="V1088" s="1" t="str">
        <f>IFERROR(__xludf.DUMMYFUNCTION("""COMPUTED_VALUE"""),"700,000")</f>
        <v>700,000</v>
      </c>
      <c r="W1088" s="1" t="str">
        <f>IFERROR(__xludf.DUMMYFUNCTION("""COMPUTED_VALUE"""),"")</f>
        <v/>
      </c>
      <c r="X1088" s="1" t="str">
        <f>IFERROR(__xludf.DUMMYFUNCTION("""COMPUTED_VALUE"""),"")</f>
        <v/>
      </c>
      <c r="Y1088" s="1" t="str">
        <f>IFERROR(__xludf.DUMMYFUNCTION("""COMPUTED_VALUE"""),"2026")</f>
        <v>2026</v>
      </c>
      <c r="Z1088" s="1" t="str">
        <f>IFERROR(__xludf.DUMMYFUNCTION("""COMPUTED_VALUE"""),"Unknown")</f>
        <v>Unknown</v>
      </c>
      <c r="AA1088" s="1" t="str">
        <f>IFERROR(__xludf.DUMMYFUNCTION("""COMPUTED_VALUE"""),"")</f>
        <v/>
      </c>
      <c r="AB1088" s="1" t="str">
        <f>IFERROR(__xludf.DUMMYFUNCTION("""COMPUTED_VALUE"""),"")</f>
        <v/>
      </c>
      <c r="AC1088" s="1" t="str">
        <f>IFERROR(__xludf.DUMMYFUNCTION("""COMPUTED_VALUE"""),"")</f>
        <v/>
      </c>
      <c r="AD1088" s="1" t="str">
        <f>IFERROR(__xludf.DUMMYFUNCTION("""COMPUTED_VALUE"""),"")</f>
        <v/>
      </c>
      <c r="AE1088" s="1" t="str">
        <f>IFERROR(__xludf.DUMMYFUNCTION("""COMPUTED_VALUE"""),"")</f>
        <v/>
      </c>
      <c r="AF1088" s="1" t="str">
        <f>IFERROR(__xludf.DUMMYFUNCTION("""COMPUTED_VALUE"""),"")</f>
        <v/>
      </c>
      <c r="AG1088" s="1" t="str">
        <f>IFERROR(__xludf.DUMMYFUNCTION("""COMPUTED_VALUE"""),"")</f>
        <v/>
      </c>
      <c r="AH1088" s="1" t="str">
        <f>IFERROR(__xludf.DUMMYFUNCTION("""COMPUTED_VALUE"""),"Media Monitoring")</f>
        <v>Media Monitoring</v>
      </c>
      <c r="AI1088" s="2" t="str">
        <f>IFERROR(__xludf.DUMMYFUNCTION("""COMPUTED_VALUE"""),"https://www.datacenterdynamics.com/en/news/cyrusone-partners-with-constellation-for-760mw-data-center-campus-in-texas/")</f>
        <v>https://www.datacenterdynamics.com/en/news/cyrusone-partners-with-constellation-for-760mw-data-center-campus-in-texas/</v>
      </c>
      <c r="AJ1088" s="2" t="str">
        <f>IFERROR(__xludf.DUMMYFUNCTION("""COMPUTED_VALUE"""),"https://www.datacenterdynamics.com/en/news/cyrusone-signs-210mw-energy-deal-with-calpine-for-texas-data-center-campus/")</f>
        <v>https://www.datacenterdynamics.com/en/news/cyrusone-signs-210mw-energy-deal-with-calpine-for-texas-data-center-campus/</v>
      </c>
      <c r="AK1088" s="2" t="str">
        <f>IFERROR(__xludf.DUMMYFUNCTION("""COMPUTED_VALUE"""),"https://www.datacenterdynamics.com/en/news/cyrusone-tops-out-latest-texas-data-center/")</f>
        <v>https://www.datacenterdynamics.com/en/news/cyrusone-tops-out-latest-texas-data-center/</v>
      </c>
      <c r="AL1088" s="1" t="str">
        <f>IFERROR(__xludf.DUMMYFUNCTION("""COMPUTED_VALUE"""),"")</f>
        <v/>
      </c>
      <c r="AM1088" s="1" t="str">
        <f>IFERROR(__xludf.DUMMYFUNCTION("""COMPUTED_VALUE"""),"")</f>
        <v/>
      </c>
      <c r="AN1088" s="1" t="str">
        <f>IFERROR(__xludf.DUMMYFUNCTION("""COMPUTED_VALUE"""),"")</f>
        <v/>
      </c>
      <c r="AO1088" s="1" t="str">
        <f>IFERROR(__xludf.DUMMYFUNCTION("""COMPUTED_VALUE"""),"")</f>
        <v/>
      </c>
      <c r="AP1088" s="1" t="str">
        <f>IFERROR(__xludf.DUMMYFUNCTION("""COMPUTED_VALUE"""),"")</f>
        <v/>
      </c>
      <c r="AQ1088" s="1" t="str">
        <f>IFERROR(__xludf.DUMMYFUNCTION("""COMPUTED_VALUE"""),"02/20/2026")</f>
        <v>02/20/2026</v>
      </c>
      <c r="AR1088" s="1" t="str">
        <f>IFERROR(__xludf.DUMMYFUNCTION("""COMPUTED_VALUE"""),"03/19/2026")</f>
        <v>03/19/2026</v>
      </c>
    </row>
    <row r="1089">
      <c r="A1089" s="1" t="str">
        <f>IFERROR(__xludf.DUMMYFUNCTION("""COMPUTED_VALUE"""),"DFW-10 Data Center")</f>
        <v>DFW-10 Data Center</v>
      </c>
      <c r="B1089" s="1" t="str">
        <f>IFERROR(__xludf.DUMMYFUNCTION("""COMPUTED_VALUE"""),"adjacent to Thad Hill Energy Center")</f>
        <v>adjacent to Thad Hill Energy Center</v>
      </c>
      <c r="C1089" s="1" t="str">
        <f>IFERROR(__xludf.DUMMYFUNCTION("""COMPUTED_VALUE"""),"Whitney")</f>
        <v>Whitney</v>
      </c>
      <c r="D1089" s="1" t="str">
        <f>IFERROR(__xludf.DUMMYFUNCTION("""COMPUTED_VALUE"""),"TX")</f>
        <v>TX</v>
      </c>
      <c r="E1089" s="1" t="str">
        <f>IFERROR(__xludf.DUMMYFUNCTION("""COMPUTED_VALUE"""),"76692")</f>
        <v>76692</v>
      </c>
      <c r="F1089" s="1" t="str">
        <f>IFERROR(__xludf.DUMMYFUNCTION("""COMPUTED_VALUE"""),"Bosque")</f>
        <v>Bosque</v>
      </c>
      <c r="G1089" s="1" t="str">
        <f>IFERROR(__xludf.DUMMYFUNCTION("""COMPUTED_VALUE"""),"31.85679")</f>
        <v>31.85679</v>
      </c>
      <c r="H1089" s="1" t="str">
        <f>IFERROR(__xludf.DUMMYFUNCTION("""COMPUTED_VALUE"""),"-97.3625")</f>
        <v>-97.3625</v>
      </c>
      <c r="I1089" s="1" t="str">
        <f>IFERROR(__xludf.DUMMYFUNCTION("""COMPUTED_VALUE"""),"Proposed")</f>
        <v>Proposed</v>
      </c>
      <c r="J1089" s="1" t="str">
        <f>IFERROR(__xludf.DUMMYFUNCTION("""COMPUTED_VALUE"""),"Medium")</f>
        <v>Medium</v>
      </c>
      <c r="K1089" s="1" t="str">
        <f>IFERROR(__xludf.DUMMYFUNCTION("""COMPUTED_VALUE"""),"")</f>
        <v/>
      </c>
      <c r="L1089" s="1" t="str">
        <f>IFERROR(__xludf.DUMMYFUNCTION("""COMPUTED_VALUE"""),"")</f>
        <v/>
      </c>
      <c r="M1089" s="1" t="str">
        <f>IFERROR(__xludf.DUMMYFUNCTION("""COMPUTED_VALUE"""),"")</f>
        <v/>
      </c>
      <c r="N1089" s="1" t="str">
        <f>IFERROR(__xludf.DUMMYFUNCTION("""COMPUTED_VALUE"""),"190")</f>
        <v>190</v>
      </c>
      <c r="O1089" s="1" t="str">
        <f>IFERROR(__xludf.DUMMYFUNCTION("""COMPUTED_VALUE"""),"Hyperscale (100-999 MW)")</f>
        <v>Hyperscale (100-999 MW)</v>
      </c>
      <c r="P1089" s="1" t="str">
        <f>IFERROR(__xludf.DUMMYFUNCTION("""COMPUTED_VALUE"""),"")</f>
        <v/>
      </c>
      <c r="Q1089" s="1" t="str">
        <f>IFERROR(__xludf.DUMMYFUNCTION("""COMPUTED_VALUE"""),"")</f>
        <v/>
      </c>
      <c r="R1089" s="1" t="str">
        <f>IFERROR(__xludf.DUMMYFUNCTION("""COMPUTED_VALUE"""),"")</f>
        <v/>
      </c>
      <c r="S1089" s="1" t="str">
        <f>IFERROR(__xludf.DUMMYFUNCTION("""COMPUTED_VALUE"""),"")</f>
        <v/>
      </c>
      <c r="T1089" s="1" t="str">
        <f>IFERROR(__xludf.DUMMYFUNCTION("""COMPUTED_VALUE"""),"")</f>
        <v/>
      </c>
      <c r="U1089" s="1" t="str">
        <f>IFERROR(__xludf.DUMMYFUNCTION("""COMPUTED_VALUE"""),"")</f>
        <v/>
      </c>
      <c r="V1089" s="1" t="str">
        <f>IFERROR(__xludf.DUMMYFUNCTION("""COMPUTED_VALUE"""),"")</f>
        <v/>
      </c>
      <c r="W1089" s="1" t="str">
        <f>IFERROR(__xludf.DUMMYFUNCTION("""COMPUTED_VALUE"""),"")</f>
        <v/>
      </c>
      <c r="X1089" s="1" t="str">
        <f>IFERROR(__xludf.DUMMYFUNCTION("""COMPUTED_VALUE"""),"$1.2 billion")</f>
        <v>$1.2 billion</v>
      </c>
      <c r="Y1089" s="1" t="str">
        <f>IFERROR(__xludf.DUMMYFUNCTION("""COMPUTED_VALUE"""),"")</f>
        <v/>
      </c>
      <c r="Z1089" s="1" t="str">
        <f>IFERROR(__xludf.DUMMYFUNCTION("""COMPUTED_VALUE"""),"Unknown")</f>
        <v>Unknown</v>
      </c>
      <c r="AA1089" s="1" t="str">
        <f>IFERROR(__xludf.DUMMYFUNCTION("""COMPUTED_VALUE"""),"")</f>
        <v/>
      </c>
      <c r="AB1089" s="1" t="str">
        <f>IFERROR(__xludf.DUMMYFUNCTION("""COMPUTED_VALUE"""),"")</f>
        <v/>
      </c>
      <c r="AC1089" s="1" t="str">
        <f>IFERROR(__xludf.DUMMYFUNCTION("""COMPUTED_VALUE"""),"")</f>
        <v/>
      </c>
      <c r="AD1089" s="1" t="str">
        <f>IFERROR(__xludf.DUMMYFUNCTION("""COMPUTED_VALUE"""),"")</f>
        <v/>
      </c>
      <c r="AE1089" s="1" t="str">
        <f>IFERROR(__xludf.DUMMYFUNCTION("""COMPUTED_VALUE"""),"")</f>
        <v/>
      </c>
      <c r="AF1089" s="1" t="str">
        <f>IFERROR(__xludf.DUMMYFUNCTION("""COMPUTED_VALUE"""),"")</f>
        <v/>
      </c>
      <c r="AG1089" s="1" t="str">
        <f>IFERROR(__xludf.DUMMYFUNCTION("""COMPUTED_VALUE"""),"")</f>
        <v/>
      </c>
      <c r="AH1089" s="1" t="str">
        <f>IFERROR(__xludf.DUMMYFUNCTION("""COMPUTED_VALUE"""),"Media Monitoring")</f>
        <v>Media Monitoring</v>
      </c>
      <c r="AI1089" s="2" t="str">
        <f>IFERROR(__xludf.DUMMYFUNCTION("""COMPUTED_VALUE"""),"https://www.dallasnews.com/business/energy/2025/07/30/cyrusone-calpine-to-develop-a-12b-hyperscale-data-center-campus-in-central-texas/")</f>
        <v>https://www.dallasnews.com/business/energy/2025/07/30/cyrusone-calpine-to-develop-a-12b-hyperscale-data-center-campus-in-central-texas/</v>
      </c>
      <c r="AJ1089" s="2" t="str">
        <f>IFERROR(__xludf.DUMMYFUNCTION("""COMPUTED_VALUE"""),"https://www.power-eng.com/gas/calpine-lands-190-mw-agreement-for-new-hyperscale-data-center-in-texas/")</f>
        <v>https://www.power-eng.com/gas/calpine-lands-190-mw-agreement-for-new-hyperscale-data-center-in-texas/</v>
      </c>
      <c r="AK1089" s="1" t="str">
        <f>IFERROR(__xludf.DUMMYFUNCTION("""COMPUTED_VALUE"""),"")</f>
        <v/>
      </c>
      <c r="AL1089" s="1" t="str">
        <f>IFERROR(__xludf.DUMMYFUNCTION("""COMPUTED_VALUE"""),"")</f>
        <v/>
      </c>
      <c r="AM1089" s="1" t="str">
        <f>IFERROR(__xludf.DUMMYFUNCTION("""COMPUTED_VALUE"""),"")</f>
        <v/>
      </c>
      <c r="AN1089" s="1" t="str">
        <f>IFERROR(__xludf.DUMMYFUNCTION("""COMPUTED_VALUE"""),"")</f>
        <v/>
      </c>
      <c r="AO1089" s="1" t="str">
        <f>IFERROR(__xludf.DUMMYFUNCTION("""COMPUTED_VALUE"""),"")</f>
        <v/>
      </c>
      <c r="AP1089" s="1" t="str">
        <f>IFERROR(__xludf.DUMMYFUNCTION("""COMPUTED_VALUE"""),"")</f>
        <v/>
      </c>
      <c r="AQ1089" s="1" t="str">
        <f>IFERROR(__xludf.DUMMYFUNCTION("""COMPUTED_VALUE"""),"08/01/2025")</f>
        <v>08/01/2025</v>
      </c>
      <c r="AR1089" s="1" t="str">
        <f>IFERROR(__xludf.DUMMYFUNCTION("""COMPUTED_VALUE"""),"08/01/2025")</f>
        <v>08/01/2025</v>
      </c>
    </row>
    <row r="1090">
      <c r="A1090" s="1" t="str">
        <f>IFERROR(__xludf.DUMMYFUNCTION("""COMPUTED_VALUE"""),"Willis Data Center (Comcast)")</f>
        <v>Willis Data Center (Comcast)</v>
      </c>
      <c r="B1090" s="1" t="str">
        <f>IFERROR(__xludf.DUMMYFUNCTION("""COMPUTED_VALUE"""),"606 TX-75")</f>
        <v>606 TX-75</v>
      </c>
      <c r="C1090" s="1" t="str">
        <f>IFERROR(__xludf.DUMMYFUNCTION("""COMPUTED_VALUE"""),"Willis")</f>
        <v>Willis</v>
      </c>
      <c r="D1090" s="1" t="str">
        <f>IFERROR(__xludf.DUMMYFUNCTION("""COMPUTED_VALUE"""),"TX")</f>
        <v>TX</v>
      </c>
      <c r="E1090" s="1" t="str">
        <f>IFERROR(__xludf.DUMMYFUNCTION("""COMPUTED_VALUE"""),"77378")</f>
        <v>77378</v>
      </c>
      <c r="F1090" s="1" t="str">
        <f>IFERROR(__xludf.DUMMYFUNCTION("""COMPUTED_VALUE"""),"Montgomery")</f>
        <v>Montgomery</v>
      </c>
      <c r="G1090" s="1" t="str">
        <f>IFERROR(__xludf.DUMMYFUNCTION("""COMPUTED_VALUE"""),"30.43083")</f>
        <v>30.43083</v>
      </c>
      <c r="H1090" s="1" t="str">
        <f>IFERROR(__xludf.DUMMYFUNCTION("""COMPUTED_VALUE"""),"-95.4817")</f>
        <v>-95.4817</v>
      </c>
      <c r="I1090" s="1" t="str">
        <f>IFERROR(__xludf.DUMMYFUNCTION("""COMPUTED_VALUE"""),"Proposed")</f>
        <v>Proposed</v>
      </c>
      <c r="J1090" s="1" t="str">
        <f>IFERROR(__xludf.DUMMYFUNCTION("""COMPUTED_VALUE"""),"High")</f>
        <v>High</v>
      </c>
      <c r="K1090" s="1" t="str">
        <f>IFERROR(__xludf.DUMMYFUNCTION("""COMPUTED_VALUE"""),"")</f>
        <v/>
      </c>
      <c r="L1090" s="1" t="str">
        <f>IFERROR(__xludf.DUMMYFUNCTION("""COMPUTED_VALUE"""),"")</f>
        <v/>
      </c>
      <c r="M1090" s="1" t="str">
        <f>IFERROR(__xludf.DUMMYFUNCTION("""COMPUTED_VALUE"""),"")</f>
        <v/>
      </c>
      <c r="N1090" s="1" t="str">
        <f>IFERROR(__xludf.DUMMYFUNCTION("""COMPUTED_VALUE"""),"")</f>
        <v/>
      </c>
      <c r="O1090" s="1" t="str">
        <f>IFERROR(__xludf.DUMMYFUNCTION("""COMPUTED_VALUE"""),"Unknown")</f>
        <v>Unknown</v>
      </c>
      <c r="P1090" s="1" t="str">
        <f>IFERROR(__xludf.DUMMYFUNCTION("""COMPUTED_VALUE"""),"")</f>
        <v/>
      </c>
      <c r="Q1090" s="1" t="str">
        <f>IFERROR(__xludf.DUMMYFUNCTION("""COMPUTED_VALUE"""),"")</f>
        <v/>
      </c>
      <c r="R1090" s="1" t="str">
        <f>IFERROR(__xludf.DUMMYFUNCTION("""COMPUTED_VALUE"""),"")</f>
        <v/>
      </c>
      <c r="S1090" s="1" t="str">
        <f>IFERROR(__xludf.DUMMYFUNCTION("""COMPUTED_VALUE"""),"")</f>
        <v/>
      </c>
      <c r="T1090" s="1" t="str">
        <f>IFERROR(__xludf.DUMMYFUNCTION("""COMPUTED_VALUE"""),"")</f>
        <v/>
      </c>
      <c r="U1090" s="1" t="str">
        <f>IFERROR(__xludf.DUMMYFUNCTION("""COMPUTED_VALUE"""),"")</f>
        <v/>
      </c>
      <c r="V1090" s="1" t="str">
        <f>IFERROR(__xludf.DUMMYFUNCTION("""COMPUTED_VALUE"""),"5,200")</f>
        <v>5,200</v>
      </c>
      <c r="W1090" s="1" t="str">
        <f>IFERROR(__xludf.DUMMYFUNCTION("""COMPUTED_VALUE"""),"")</f>
        <v/>
      </c>
      <c r="X1090" s="1" t="str">
        <f>IFERROR(__xludf.DUMMYFUNCTION("""COMPUTED_VALUE"""),"$7.5 million")</f>
        <v>$7.5 million</v>
      </c>
      <c r="Y1090" s="1" t="str">
        <f>IFERROR(__xludf.DUMMYFUNCTION("""COMPUTED_VALUE"""),"")</f>
        <v/>
      </c>
      <c r="Z1090" s="1" t="str">
        <f>IFERROR(__xludf.DUMMYFUNCTION("""COMPUTED_VALUE"""),"Unknown")</f>
        <v>Unknown</v>
      </c>
      <c r="AA1090" s="1" t="str">
        <f>IFERROR(__xludf.DUMMYFUNCTION("""COMPUTED_VALUE"""),"")</f>
        <v/>
      </c>
      <c r="AB1090" s="1" t="str">
        <f>IFERROR(__xludf.DUMMYFUNCTION("""COMPUTED_VALUE"""),"")</f>
        <v/>
      </c>
      <c r="AC1090" s="1" t="str">
        <f>IFERROR(__xludf.DUMMYFUNCTION("""COMPUTED_VALUE"""),"")</f>
        <v/>
      </c>
      <c r="AD1090" s="1" t="str">
        <f>IFERROR(__xludf.DUMMYFUNCTION("""COMPUTED_VALUE"""),"")</f>
        <v/>
      </c>
      <c r="AE1090" s="1" t="str">
        <f>IFERROR(__xludf.DUMMYFUNCTION("""COMPUTED_VALUE"""),"")</f>
        <v/>
      </c>
      <c r="AF1090" s="1" t="str">
        <f>IFERROR(__xludf.DUMMYFUNCTION("""COMPUTED_VALUE"""),"")</f>
        <v/>
      </c>
      <c r="AG1090" s="1" t="str">
        <f>IFERROR(__xludf.DUMMYFUNCTION("""COMPUTED_VALUE"""),"")</f>
        <v/>
      </c>
      <c r="AH1090" s="1" t="str">
        <f>IFERROR(__xludf.DUMMYFUNCTION("""COMPUTED_VALUE"""),"Media Monitoring")</f>
        <v>Media Monitoring</v>
      </c>
      <c r="AI1090" s="2" t="str">
        <f>IFERROR(__xludf.DUMMYFUNCTION("""COMPUTED_VALUE"""),"https://www.datacenterdynamics.com/en/news/comcast-to-convert-former-bank-into-data-center-in-new-jersey/")</f>
        <v>https://www.datacenterdynamics.com/en/news/comcast-to-convert-former-bank-into-data-center-in-new-jersey/</v>
      </c>
      <c r="AJ1090" s="2" t="str">
        <f>IFERROR(__xludf.DUMMYFUNCTION("""COMPUTED_VALUE"""),"https://www.tdlr.texas.gov/TABS/Search/Project/TABS2024025831")</f>
        <v>https://www.tdlr.texas.gov/TABS/Search/Project/TABS2024025831</v>
      </c>
      <c r="AK1090" s="1" t="str">
        <f>IFERROR(__xludf.DUMMYFUNCTION("""COMPUTED_VALUE"""),"")</f>
        <v/>
      </c>
      <c r="AL1090" s="1" t="str">
        <f>IFERROR(__xludf.DUMMYFUNCTION("""COMPUTED_VALUE"""),"")</f>
        <v/>
      </c>
      <c r="AM1090" s="1" t="str">
        <f>IFERROR(__xludf.DUMMYFUNCTION("""COMPUTED_VALUE"""),"")</f>
        <v/>
      </c>
      <c r="AN1090" s="1" t="str">
        <f>IFERROR(__xludf.DUMMYFUNCTION("""COMPUTED_VALUE"""),"")</f>
        <v/>
      </c>
      <c r="AO1090" s="1" t="str">
        <f>IFERROR(__xludf.DUMMYFUNCTION("""COMPUTED_VALUE"""),"")</f>
        <v/>
      </c>
      <c r="AP1090" s="1" t="str">
        <f>IFERROR(__xludf.DUMMYFUNCTION("""COMPUTED_VALUE"""),"")</f>
        <v/>
      </c>
      <c r="AQ1090" s="1" t="str">
        <f>IFERROR(__xludf.DUMMYFUNCTION("""COMPUTED_VALUE"""),"08/12/2025")</f>
        <v>08/12/2025</v>
      </c>
      <c r="AR1090" s="1" t="str">
        <f>IFERROR(__xludf.DUMMYFUNCTION("""COMPUTED_VALUE"""),"08/12/2025")</f>
        <v>08/12/2025</v>
      </c>
    </row>
    <row r="1091">
      <c r="A1091" s="1" t="str">
        <f>IFERROR(__xludf.DUMMYFUNCTION("""COMPUTED_VALUE"""),"Black Pearl Data Center")</f>
        <v>Black Pearl Data Center</v>
      </c>
      <c r="B1091" s="1" t="str">
        <f>IFERROR(__xludf.DUMMYFUNCTION("""COMPUTED_VALUE"""),"11786 Co Rd 209")</f>
        <v>11786 Co Rd 209</v>
      </c>
      <c r="C1091" s="1" t="str">
        <f>IFERROR(__xludf.DUMMYFUNCTION("""COMPUTED_VALUE"""),"Wink")</f>
        <v>Wink</v>
      </c>
      <c r="D1091" s="1" t="str">
        <f>IFERROR(__xludf.DUMMYFUNCTION("""COMPUTED_VALUE"""),"TX")</f>
        <v>TX</v>
      </c>
      <c r="E1091" s="1" t="str">
        <f>IFERROR(__xludf.DUMMYFUNCTION("""COMPUTED_VALUE"""),"79789")</f>
        <v>79789</v>
      </c>
      <c r="F1091" s="1" t="str">
        <f>IFERROR(__xludf.DUMMYFUNCTION("""COMPUTED_VALUE"""),"Winkler")</f>
        <v>Winkler</v>
      </c>
      <c r="G1091" s="1" t="str">
        <f>IFERROR(__xludf.DUMMYFUNCTION("""COMPUTED_VALUE"""),"31.694809")</f>
        <v>31.694809</v>
      </c>
      <c r="H1091" s="1" t="str">
        <f>IFERROR(__xludf.DUMMYFUNCTION("""COMPUTED_VALUE"""),"-103.08312")</f>
        <v>-103.08312</v>
      </c>
      <c r="I1091" s="1" t="str">
        <f>IFERROR(__xludf.DUMMYFUNCTION("""COMPUTED_VALUE"""),"Approved/Permitted/Under construction")</f>
        <v>Approved/Permitted/Under construction</v>
      </c>
      <c r="J1091" s="1" t="str">
        <f>IFERROR(__xludf.DUMMYFUNCTION("""COMPUTED_VALUE"""),"High")</f>
        <v>High</v>
      </c>
      <c r="K1091" s="1" t="str">
        <f>IFERROR(__xludf.DUMMYFUNCTION("""COMPUTED_VALUE"""),"")</f>
        <v/>
      </c>
      <c r="L1091" s="1" t="str">
        <f>IFERROR(__xludf.DUMMYFUNCTION("""COMPUTED_VALUE"""),"Cipher/Amazon")</f>
        <v>Cipher/Amazon</v>
      </c>
      <c r="M1091" s="1" t="str">
        <f>IFERROR(__xludf.DUMMYFUNCTION("""COMPUTED_VALUE"""),"")</f>
        <v/>
      </c>
      <c r="N1091" s="1" t="str">
        <f>IFERROR(__xludf.DUMMYFUNCTION("""COMPUTED_VALUE"""),"300")</f>
        <v>300</v>
      </c>
      <c r="O1091" s="1" t="str">
        <f>IFERROR(__xludf.DUMMYFUNCTION("""COMPUTED_VALUE"""),"Hyperscale (100-999 MW)")</f>
        <v>Hyperscale (100-999 MW)</v>
      </c>
      <c r="P1091" s="1" t="str">
        <f>IFERROR(__xludf.DUMMYFUNCTION("""COMPUTED_VALUE"""),"")</f>
        <v/>
      </c>
      <c r="Q1091" s="1" t="str">
        <f>IFERROR(__xludf.DUMMYFUNCTION("""COMPUTED_VALUE"""),"")</f>
        <v/>
      </c>
      <c r="R1091" s="1" t="str">
        <f>IFERROR(__xludf.DUMMYFUNCTION("""COMPUTED_VALUE"""),"")</f>
        <v/>
      </c>
      <c r="S1091" s="1" t="str">
        <f>IFERROR(__xludf.DUMMYFUNCTION("""COMPUTED_VALUE"""),"")</f>
        <v/>
      </c>
      <c r="T1091" s="1" t="str">
        <f>IFERROR(__xludf.DUMMYFUNCTION("""COMPUTED_VALUE"""),"")</f>
        <v/>
      </c>
      <c r="U1091" s="1" t="str">
        <f>IFERROR(__xludf.DUMMYFUNCTION("""COMPUTED_VALUE"""),"Closed loop")</f>
        <v>Closed loop</v>
      </c>
      <c r="V1091" s="1" t="str">
        <f>IFERROR(__xludf.DUMMYFUNCTION("""COMPUTED_VALUE"""),"19,579")</f>
        <v>19,579</v>
      </c>
      <c r="W1091" s="1" t="str">
        <f>IFERROR(__xludf.DUMMYFUNCTION("""COMPUTED_VALUE"""),"")</f>
        <v/>
      </c>
      <c r="X1091" s="1" t="str">
        <f>IFERROR(__xludf.DUMMYFUNCTION("""COMPUTED_VALUE"""),"$7 million")</f>
        <v>$7 million</v>
      </c>
      <c r="Y1091" s="1" t="str">
        <f>IFERROR(__xludf.DUMMYFUNCTION("""COMPUTED_VALUE"""),"2026")</f>
        <v>2026</v>
      </c>
      <c r="Z1091" s="1" t="str">
        <f>IFERROR(__xludf.DUMMYFUNCTION("""COMPUTED_VALUE"""),"Unknown")</f>
        <v>Unknown</v>
      </c>
      <c r="AA1091" s="1" t="str">
        <f>IFERROR(__xludf.DUMMYFUNCTION("""COMPUTED_VALUE"""),"")</f>
        <v/>
      </c>
      <c r="AB1091" s="1" t="str">
        <f>IFERROR(__xludf.DUMMYFUNCTION("""COMPUTED_VALUE"""),"")</f>
        <v/>
      </c>
      <c r="AC1091" s="1" t="str">
        <f>IFERROR(__xludf.DUMMYFUNCTION("""COMPUTED_VALUE"""),"")</f>
        <v/>
      </c>
      <c r="AD1091" s="1" t="str">
        <f>IFERROR(__xludf.DUMMYFUNCTION("""COMPUTED_VALUE"""),"")</f>
        <v/>
      </c>
      <c r="AE1091" s="1" t="str">
        <f>IFERROR(__xludf.DUMMYFUNCTION("""COMPUTED_VALUE"""),"")</f>
        <v/>
      </c>
      <c r="AF1091" s="1" t="str">
        <f>IFERROR(__xludf.DUMMYFUNCTION("""COMPUTED_VALUE"""),"")</f>
        <v/>
      </c>
      <c r="AG1091" s="1" t="str">
        <f>IFERROR(__xludf.DUMMYFUNCTION("""COMPUTED_VALUE"""),"Square footage reported seems low for a 300 MW facility")</f>
        <v>Square footage reported seems low for a 300 MW facility</v>
      </c>
      <c r="AH1091" s="1" t="str">
        <f>IFERROR(__xludf.DUMMYFUNCTION("""COMPUTED_VALUE"""),"Crowdsourced")</f>
        <v>Crowdsourced</v>
      </c>
      <c r="AI1091" s="2" t="str">
        <f>IFERROR(__xludf.DUMMYFUNCTION("""COMPUTED_VALUE"""),"https://www.datacenterdynamics.com/en/news/cipher-mining-to-develop-300mw-cryptomining-data-center-site-in-west-texas/")</f>
        <v>https://www.datacenterdynamics.com/en/news/cipher-mining-to-develop-300mw-cryptomining-data-center-site-in-west-texas/</v>
      </c>
      <c r="AJ1091" s="2" t="str">
        <f>IFERROR(__xludf.DUMMYFUNCTION("""COMPUTED_VALUE"""),"https://www.tdlr.texas.gov/TABS/Search/Project/TABS2025001763")</f>
        <v>https://www.tdlr.texas.gov/TABS/Search/Project/TABS2025001763</v>
      </c>
      <c r="AK1091" s="2" t="str">
        <f>IFERROR(__xludf.DUMMYFUNCTION("""COMPUTED_VALUE"""),"https://finance.yahoo.com/news/cipher-mining-pursues-2-billion-161628888.html")</f>
        <v>https://finance.yahoo.com/news/cipher-mining-pursues-2-billion-161628888.html</v>
      </c>
      <c r="AL1091" s="2" t="str">
        <f>IFERROR(__xludf.DUMMYFUNCTION("""COMPUTED_VALUE"""),"https://northwiseproject.com/cifr-stock-black-pearl-site/")</f>
        <v>https://northwiseproject.com/cifr-stock-black-pearl-site/</v>
      </c>
      <c r="AM1091" s="1" t="str">
        <f>IFERROR(__xludf.DUMMYFUNCTION("""COMPUTED_VALUE"""),"")</f>
        <v/>
      </c>
      <c r="AN1091" s="1" t="str">
        <f>IFERROR(__xludf.DUMMYFUNCTION("""COMPUTED_VALUE"""),"")</f>
        <v/>
      </c>
      <c r="AO1091" s="1" t="str">
        <f>IFERROR(__xludf.DUMMYFUNCTION("""COMPUTED_VALUE"""),"")</f>
        <v/>
      </c>
      <c r="AP1091" s="1" t="str">
        <f>IFERROR(__xludf.DUMMYFUNCTION("""COMPUTED_VALUE"""),"")</f>
        <v/>
      </c>
      <c r="AQ1091" s="1" t="str">
        <f>IFERROR(__xludf.DUMMYFUNCTION("""COMPUTED_VALUE"""),"06/19/2026")</f>
        <v>06/19/2026</v>
      </c>
      <c r="AR1091" s="1" t="str">
        <f>IFERROR(__xludf.DUMMYFUNCTION("""COMPUTED_VALUE"""),"06/19/2026")</f>
        <v>06/19/2026</v>
      </c>
    </row>
    <row r="1092">
      <c r="A1092" s="1" t="str">
        <f>IFERROR(__xludf.DUMMYFUNCTION("""COMPUTED_VALUE"""),"BT Gateway Data Center")</f>
        <v>BT Gateway Data Center</v>
      </c>
      <c r="B1092" s="1" t="str">
        <f>IFERROR(__xludf.DUMMYFUNCTION("""COMPUTED_VALUE"""),"4989 Co Rd 2656")</f>
        <v>4989 Co Rd 2656</v>
      </c>
      <c r="C1092" s="1" t="str">
        <f>IFERROR(__xludf.DUMMYFUNCTION("""COMPUTED_VALUE"""),"Royse City")</f>
        <v>Royse City</v>
      </c>
      <c r="D1092" s="1" t="str">
        <f>IFERROR(__xludf.DUMMYFUNCTION("""COMPUTED_VALUE"""),"TX ")</f>
        <v>TX </v>
      </c>
      <c r="E1092" s="1" t="str">
        <f>IFERROR(__xludf.DUMMYFUNCTION("""COMPUTED_VALUE"""),"75189")</f>
        <v>75189</v>
      </c>
      <c r="F1092" s="1" t="str">
        <f>IFERROR(__xludf.DUMMYFUNCTION("""COMPUTED_VALUE"""),"Hunt")</f>
        <v>Hunt</v>
      </c>
      <c r="G1092" s="1" t="str">
        <f>IFERROR(__xludf.DUMMYFUNCTION("""COMPUTED_VALUE"""),"33.01387")</f>
        <v>33.01387</v>
      </c>
      <c r="H1092" s="1" t="str">
        <f>IFERROR(__xludf.DUMMYFUNCTION("""COMPUTED_VALUE"""),"-96.29096")</f>
        <v>-96.29096</v>
      </c>
      <c r="I1092" s="1" t="str">
        <f>IFERROR(__xludf.DUMMYFUNCTION("""COMPUTED_VALUE"""),"Proposed")</f>
        <v>Proposed</v>
      </c>
      <c r="J1092" s="1" t="str">
        <f>IFERROR(__xludf.DUMMYFUNCTION("""COMPUTED_VALUE"""),"High")</f>
        <v>High</v>
      </c>
      <c r="K1092" s="1" t="str">
        <f>IFERROR(__xludf.DUMMYFUNCTION("""COMPUTED_VALUE"""),"")</f>
        <v/>
      </c>
      <c r="L1092" s="1" t="str">
        <f>IFERROR(__xludf.DUMMYFUNCTION("""COMPUTED_VALUE"""),"")</f>
        <v/>
      </c>
      <c r="M1092" s="1" t="str">
        <f>IFERROR(__xludf.DUMMYFUNCTION("""COMPUTED_VALUE"""),"")</f>
        <v/>
      </c>
      <c r="N1092" s="1" t="str">
        <f>IFERROR(__xludf.DUMMYFUNCTION("""COMPUTED_VALUE"""),"")</f>
        <v/>
      </c>
      <c r="O1092" s="1" t="str">
        <f>IFERROR(__xludf.DUMMYFUNCTION("""COMPUTED_VALUE"""),"Unknown")</f>
        <v>Unknown</v>
      </c>
      <c r="P1092" s="1" t="str">
        <f>IFERROR(__xludf.DUMMYFUNCTION("""COMPUTED_VALUE"""),"")</f>
        <v/>
      </c>
      <c r="Q1092" s="1" t="str">
        <f>IFERROR(__xludf.DUMMYFUNCTION("""COMPUTED_VALUE"""),"")</f>
        <v/>
      </c>
      <c r="R1092" s="1" t="str">
        <f>IFERROR(__xludf.DUMMYFUNCTION("""COMPUTED_VALUE"""),"")</f>
        <v/>
      </c>
      <c r="S1092" s="1" t="str">
        <f>IFERROR(__xludf.DUMMYFUNCTION("""COMPUTED_VALUE"""),"")</f>
        <v/>
      </c>
      <c r="T1092" s="1" t="str">
        <f>IFERROR(__xludf.DUMMYFUNCTION("""COMPUTED_VALUE"""),"")</f>
        <v/>
      </c>
      <c r="U1092" s="1" t="str">
        <f>IFERROR(__xludf.DUMMYFUNCTION("""COMPUTED_VALUE"""),"")</f>
        <v/>
      </c>
      <c r="V1092" s="1" t="str">
        <f>IFERROR(__xludf.DUMMYFUNCTION("""COMPUTED_VALUE"""),"100,000")</f>
        <v>100,000</v>
      </c>
      <c r="W1092" s="1" t="str">
        <f>IFERROR(__xludf.DUMMYFUNCTION("""COMPUTED_VALUE"""),"")</f>
        <v/>
      </c>
      <c r="X1092" s="1" t="str">
        <f>IFERROR(__xludf.DUMMYFUNCTION("""COMPUTED_VALUE"""),"$384 million")</f>
        <v>$384 million</v>
      </c>
      <c r="Y1092" s="1" t="str">
        <f>IFERROR(__xludf.DUMMYFUNCTION("""COMPUTED_VALUE"""),"2027")</f>
        <v>2027</v>
      </c>
      <c r="Z1092" s="1" t="str">
        <f>IFERROR(__xludf.DUMMYFUNCTION("""COMPUTED_VALUE"""),"")</f>
        <v/>
      </c>
      <c r="AA1092" s="1" t="str">
        <f>IFERROR(__xludf.DUMMYFUNCTION("""COMPUTED_VALUE"""),"")</f>
        <v/>
      </c>
      <c r="AB1092" s="1" t="str">
        <f>IFERROR(__xludf.DUMMYFUNCTION("""COMPUTED_VALUE"""),"")</f>
        <v/>
      </c>
      <c r="AC1092" s="1" t="str">
        <f>IFERROR(__xludf.DUMMYFUNCTION("""COMPUTED_VALUE"""),"")</f>
        <v/>
      </c>
      <c r="AD1092" s="1" t="str">
        <f>IFERROR(__xludf.DUMMYFUNCTION("""COMPUTED_VALUE"""),"")</f>
        <v/>
      </c>
      <c r="AE1092" s="1" t="str">
        <f>IFERROR(__xludf.DUMMYFUNCTION("""COMPUTED_VALUE"""),"")</f>
        <v/>
      </c>
      <c r="AF1092" s="1" t="str">
        <f>IFERROR(__xludf.DUMMYFUNCTION("""COMPUTED_VALUE"""),"")</f>
        <v/>
      </c>
      <c r="AG1092" s="1" t="str">
        <f>IFERROR(__xludf.DUMMYFUNCTION("""COMPUTED_VALUE"""),"")</f>
        <v/>
      </c>
      <c r="AH1092" s="1" t="str">
        <f>IFERROR(__xludf.DUMMYFUNCTION("""COMPUTED_VALUE"""),"Media Monitoring")</f>
        <v>Media Monitoring</v>
      </c>
      <c r="AI1092" s="2" t="str">
        <f>IFERROR(__xludf.DUMMYFUNCTION("""COMPUTED_VALUE"""),"https://www.datacenterdynamics.com/en/news/plans-filed-for-100000-sq-ft-data-center-outside-dallas-texas/")</f>
        <v>https://www.datacenterdynamics.com/en/news/plans-filed-for-100000-sq-ft-data-center-outside-dallas-texas/</v>
      </c>
      <c r="AJ1092" s="1" t="str">
        <f>IFERROR(__xludf.DUMMYFUNCTION("""COMPUTED_VALUE"""),"")</f>
        <v/>
      </c>
      <c r="AK1092" s="1" t="str">
        <f>IFERROR(__xludf.DUMMYFUNCTION("""COMPUTED_VALUE"""),"")</f>
        <v/>
      </c>
      <c r="AL1092" s="1" t="str">
        <f>IFERROR(__xludf.DUMMYFUNCTION("""COMPUTED_VALUE"""),"")</f>
        <v/>
      </c>
      <c r="AM1092" s="1" t="str">
        <f>IFERROR(__xludf.DUMMYFUNCTION("""COMPUTED_VALUE"""),"")</f>
        <v/>
      </c>
      <c r="AN1092" s="1" t="str">
        <f>IFERROR(__xludf.DUMMYFUNCTION("""COMPUTED_VALUE"""),"")</f>
        <v/>
      </c>
      <c r="AO1092" s="1" t="str">
        <f>IFERROR(__xludf.DUMMYFUNCTION("""COMPUTED_VALUE"""),"")</f>
        <v/>
      </c>
      <c r="AP1092" s="1" t="str">
        <f>IFERROR(__xludf.DUMMYFUNCTION("""COMPUTED_VALUE"""),"")</f>
        <v/>
      </c>
      <c r="AQ1092" s="1" t="str">
        <f>IFERROR(__xludf.DUMMYFUNCTION("""COMPUTED_VALUE"""),"07/12/2026")</f>
        <v>07/12/2026</v>
      </c>
      <c r="AR1092" s="1" t="str">
        <f>IFERROR(__xludf.DUMMYFUNCTION("""COMPUTED_VALUE"""),"07/12/2026")</f>
        <v>07/12/2026</v>
      </c>
    </row>
    <row r="1093">
      <c r="A1093" s="1" t="str">
        <f>IFERROR(__xludf.DUMMYFUNCTION("""COMPUTED_VALUE"""),"Antelope Data Center")</f>
        <v>Antelope Data Center</v>
      </c>
      <c r="B1093" s="1" t="str">
        <f>IFERROR(__xludf.DUMMYFUNCTION("""COMPUTED_VALUE"""),"West Antelope Springs Rd")</f>
        <v>West Antelope Springs Rd</v>
      </c>
      <c r="C1093" s="1" t="str">
        <f>IFERROR(__xludf.DUMMYFUNCTION("""COMPUTED_VALUE"""),"Cedar City")</f>
        <v>Cedar City</v>
      </c>
      <c r="D1093" s="1" t="str">
        <f>IFERROR(__xludf.DUMMYFUNCTION("""COMPUTED_VALUE"""),"UT")</f>
        <v>UT</v>
      </c>
      <c r="E1093" s="1" t="str">
        <f>IFERROR(__xludf.DUMMYFUNCTION("""COMPUTED_VALUE"""),"84721")</f>
        <v>84721</v>
      </c>
      <c r="F1093" s="1" t="str">
        <f>IFERROR(__xludf.DUMMYFUNCTION("""COMPUTED_VALUE"""),"Iron")</f>
        <v>Iron</v>
      </c>
      <c r="G1093" s="1" t="str">
        <f>IFERROR(__xludf.DUMMYFUNCTION("""COMPUTED_VALUE"""),"37.795376")</f>
        <v>37.795376</v>
      </c>
      <c r="H1093" s="1" t="str">
        <f>IFERROR(__xludf.DUMMYFUNCTION("""COMPUTED_VALUE"""),"-113.37061")</f>
        <v>-113.37061</v>
      </c>
      <c r="I1093" s="1" t="str">
        <f>IFERROR(__xludf.DUMMYFUNCTION("""COMPUTED_VALUE"""),"Approved/Permitted/Under construction")</f>
        <v>Approved/Permitted/Under construction</v>
      </c>
      <c r="J1093" s="1" t="str">
        <f>IFERROR(__xludf.DUMMYFUNCTION("""COMPUTED_VALUE"""),"Medium")</f>
        <v>Medium</v>
      </c>
      <c r="K1093" s="1" t="str">
        <f>IFERROR(__xludf.DUMMYFUNCTION("""COMPUTED_VALUE"""),"")</f>
        <v/>
      </c>
      <c r="L1093" s="1" t="str">
        <f>IFERROR(__xludf.DUMMYFUNCTION("""COMPUTED_VALUE"""),"")</f>
        <v/>
      </c>
      <c r="M1093" s="1" t="str">
        <f>IFERROR(__xludf.DUMMYFUNCTION("""COMPUTED_VALUE"""),"")</f>
        <v/>
      </c>
      <c r="N1093" s="1" t="str">
        <f>IFERROR(__xludf.DUMMYFUNCTION("""COMPUTED_VALUE"""),"1500")</f>
        <v>1500</v>
      </c>
      <c r="O1093" s="1" t="str">
        <f>IFERROR(__xludf.DUMMYFUNCTION("""COMPUTED_VALUE"""),"Mega campus (&gt;1,000 MW)")</f>
        <v>Mega campus (&gt;1,000 MW)</v>
      </c>
      <c r="P1093" s="1" t="str">
        <f>IFERROR(__xludf.DUMMYFUNCTION("""COMPUTED_VALUE"""),"Natural gas")</f>
        <v>Natural gas</v>
      </c>
      <c r="Q1093" s="1" t="str">
        <f>IFERROR(__xludf.DUMMYFUNCTION("""COMPUTED_VALUE"""),"Yes")</f>
        <v>Yes</v>
      </c>
      <c r="R1093" s="1" t="str">
        <f>IFERROR(__xludf.DUMMYFUNCTION("""COMPUTED_VALUE"""),"")</f>
        <v/>
      </c>
      <c r="S1093" s="1" t="str">
        <f>IFERROR(__xludf.DUMMYFUNCTION("""COMPUTED_VALUE"""),"")</f>
        <v/>
      </c>
      <c r="T1093" s="1" t="str">
        <f>IFERROR(__xludf.DUMMYFUNCTION("""COMPUTED_VALUE"""),"")</f>
        <v/>
      </c>
      <c r="U1093" s="1" t="str">
        <f>IFERROR(__xludf.DUMMYFUNCTION("""COMPUTED_VALUE"""),"")</f>
        <v/>
      </c>
      <c r="V1093" s="1" t="str">
        <f>IFERROR(__xludf.DUMMYFUNCTION("""COMPUTED_VALUE"""),"1,350,000")</f>
        <v>1,350,000</v>
      </c>
      <c r="W1093" s="1" t="str">
        <f>IFERROR(__xludf.DUMMYFUNCTION("""COMPUTED_VALUE"""),"640")</f>
        <v>640</v>
      </c>
      <c r="X1093" s="1" t="str">
        <f>IFERROR(__xludf.DUMMYFUNCTION("""COMPUTED_VALUE"""),"")</f>
        <v/>
      </c>
      <c r="Y1093" s="1" t="str">
        <f>IFERROR(__xludf.DUMMYFUNCTION("""COMPUTED_VALUE"""),"")</f>
        <v/>
      </c>
      <c r="Z1093" s="1" t="str">
        <f>IFERROR(__xludf.DUMMYFUNCTION("""COMPUTED_VALUE"""),"Yes")</f>
        <v>Yes</v>
      </c>
      <c r="AA1093" s="1" t="str">
        <f>IFERROR(__xludf.DUMMYFUNCTION("""COMPUTED_VALUE"""),"")</f>
        <v/>
      </c>
      <c r="AB1093" s="1" t="str">
        <f>IFERROR(__xludf.DUMMYFUNCTION("""COMPUTED_VALUE"""),"")</f>
        <v/>
      </c>
      <c r="AC1093" s="1" t="str">
        <f>IFERROR(__xludf.DUMMYFUNCTION("""COMPUTED_VALUE"""),"")</f>
        <v/>
      </c>
      <c r="AD1093" s="1" t="str">
        <f>IFERROR(__xludf.DUMMYFUNCTION("""COMPUTED_VALUE"""),"")</f>
        <v/>
      </c>
      <c r="AE1093" s="1" t="str">
        <f>IFERROR(__xludf.DUMMYFUNCTION("""COMPUTED_VALUE"""),"")</f>
        <v/>
      </c>
      <c r="AF1093" s="1" t="str">
        <f>IFERROR(__xludf.DUMMYFUNCTION("""COMPUTED_VALUE"""),"")</f>
        <v/>
      </c>
      <c r="AG1093" s="1" t="str">
        <f>IFERROR(__xludf.DUMMYFUNCTION("""COMPUTED_VALUE"""),"")</f>
        <v/>
      </c>
      <c r="AH1093" s="1" t="str">
        <f>IFERROR(__xludf.DUMMYFUNCTION("""COMPUTED_VALUE"""),"Media Monitoring")</f>
        <v>Media Monitoring</v>
      </c>
      <c r="AI1093" s="2" t="str">
        <f>IFERROR(__xludf.DUMMYFUNCTION("""COMPUTED_VALUE"""),"https://www.datacenterdynamics.com/en/news/640-acre-data-center-could-be-built-in-iron-county-utah/")</f>
        <v>https://www.datacenterdynamics.com/en/news/640-acre-data-center-could-be-built-in-iron-county-utah/</v>
      </c>
      <c r="AJ1093" s="2" t="str">
        <f>IFERROR(__xludf.DUMMYFUNCTION("""COMPUTED_VALUE"""),"https://www.datacenterdynamics.com/en/news/proposal-to-build-640-acre-data-center-in-iron-county-utah-gets-the-go-ahead/")</f>
        <v>https://www.datacenterdynamics.com/en/news/proposal-to-build-640-acre-data-center-in-iron-county-utah-gets-the-go-ahead/</v>
      </c>
      <c r="AK1093" s="1" t="str">
        <f>IFERROR(__xludf.DUMMYFUNCTION("""COMPUTED_VALUE"""),"")</f>
        <v/>
      </c>
      <c r="AL1093" s="1" t="str">
        <f>IFERROR(__xludf.DUMMYFUNCTION("""COMPUTED_VALUE"""),"")</f>
        <v/>
      </c>
      <c r="AM1093" s="1" t="str">
        <f>IFERROR(__xludf.DUMMYFUNCTION("""COMPUTED_VALUE"""),"")</f>
        <v/>
      </c>
      <c r="AN1093" s="1" t="str">
        <f>IFERROR(__xludf.DUMMYFUNCTION("""COMPUTED_VALUE"""),"")</f>
        <v/>
      </c>
      <c r="AO1093" s="1" t="str">
        <f>IFERROR(__xludf.DUMMYFUNCTION("""COMPUTED_VALUE"""),"")</f>
        <v/>
      </c>
      <c r="AP1093" s="1" t="str">
        <f>IFERROR(__xludf.DUMMYFUNCTION("""COMPUTED_VALUE"""),"")</f>
        <v/>
      </c>
      <c r="AQ1093" s="1" t="str">
        <f>IFERROR(__xludf.DUMMYFUNCTION("""COMPUTED_VALUE"""),"04/15/2026")</f>
        <v>04/15/2026</v>
      </c>
      <c r="AR1093" s="1" t="str">
        <f>IFERROR(__xludf.DUMMYFUNCTION("""COMPUTED_VALUE"""),"06/12/2026")</f>
        <v>06/12/2026</v>
      </c>
    </row>
    <row r="1094">
      <c r="A1094" s="1" t="str">
        <f>IFERROR(__xludf.DUMMYFUNCTION("""COMPUTED_VALUE"""),"BluSky AI")</f>
        <v>BluSky AI</v>
      </c>
      <c r="B1094" s="1" t="str">
        <f>IFERROR(__xludf.DUMMYFUNCTION("""COMPUTED_VALUE"""),"near Intermountain Power Plant")</f>
        <v>near Intermountain Power Plant</v>
      </c>
      <c r="C1094" s="1" t="str">
        <f>IFERROR(__xludf.DUMMYFUNCTION("""COMPUTED_VALUE"""),"Delta")</f>
        <v>Delta</v>
      </c>
      <c r="D1094" s="1" t="str">
        <f>IFERROR(__xludf.DUMMYFUNCTION("""COMPUTED_VALUE"""),"UT")</f>
        <v>UT</v>
      </c>
      <c r="E1094" s="1" t="str">
        <f>IFERROR(__xludf.DUMMYFUNCTION("""COMPUTED_VALUE"""),"84624")</f>
        <v>84624</v>
      </c>
      <c r="F1094" s="1" t="str">
        <f>IFERROR(__xludf.DUMMYFUNCTION("""COMPUTED_VALUE"""),"Millard")</f>
        <v>Millard</v>
      </c>
      <c r="G1094" s="1" t="str">
        <f>IFERROR(__xludf.DUMMYFUNCTION("""COMPUTED_VALUE"""),"39.50757")</f>
        <v>39.50757</v>
      </c>
      <c r="H1094" s="1" t="str">
        <f>IFERROR(__xludf.DUMMYFUNCTION("""COMPUTED_VALUE"""),"-112.601")</f>
        <v>-112.601</v>
      </c>
      <c r="I1094" s="1" t="str">
        <f>IFERROR(__xludf.DUMMYFUNCTION("""COMPUTED_VALUE"""),"Proposed")</f>
        <v>Proposed</v>
      </c>
      <c r="J1094" s="1" t="str">
        <f>IFERROR(__xludf.DUMMYFUNCTION("""COMPUTED_VALUE"""),"Medium")</f>
        <v>Medium</v>
      </c>
      <c r="K1094" s="1" t="str">
        <f>IFERROR(__xludf.DUMMYFUNCTION("""COMPUTED_VALUE"""),"")</f>
        <v/>
      </c>
      <c r="L1094" s="1" t="str">
        <f>IFERROR(__xludf.DUMMYFUNCTION("""COMPUTED_VALUE"""),"")</f>
        <v/>
      </c>
      <c r="M1094" s="1" t="str">
        <f>IFERROR(__xludf.DUMMYFUNCTION("""COMPUTED_VALUE"""),"")</f>
        <v/>
      </c>
      <c r="N1094" s="1" t="str">
        <f>IFERROR(__xludf.DUMMYFUNCTION("""COMPUTED_VALUE"""),"50")</f>
        <v>50</v>
      </c>
      <c r="O1094" s="1" t="str">
        <f>IFERROR(__xludf.DUMMYFUNCTION("""COMPUTED_VALUE"""),"Medium (11-50 MW)")</f>
        <v>Medium (11-50 MW)</v>
      </c>
      <c r="P1094" s="1" t="str">
        <f>IFERROR(__xludf.DUMMYFUNCTION("""COMPUTED_VALUE"""),"")</f>
        <v/>
      </c>
      <c r="Q1094" s="1" t="str">
        <f>IFERROR(__xludf.DUMMYFUNCTION("""COMPUTED_VALUE"""),"")</f>
        <v/>
      </c>
      <c r="R1094" s="1" t="str">
        <f>IFERROR(__xludf.DUMMYFUNCTION("""COMPUTED_VALUE"""),"")</f>
        <v/>
      </c>
      <c r="S1094" s="1" t="str">
        <f>IFERROR(__xludf.DUMMYFUNCTION("""COMPUTED_VALUE"""),"")</f>
        <v/>
      </c>
      <c r="T1094" s="1" t="str">
        <f>IFERROR(__xludf.DUMMYFUNCTION("""COMPUTED_VALUE"""),"")</f>
        <v/>
      </c>
      <c r="U1094" s="1" t="str">
        <f>IFERROR(__xludf.DUMMYFUNCTION("""COMPUTED_VALUE"""),"")</f>
        <v/>
      </c>
      <c r="V1094" s="1" t="str">
        <f>IFERROR(__xludf.DUMMYFUNCTION("""COMPUTED_VALUE"""),"")</f>
        <v/>
      </c>
      <c r="W1094" s="1" t="str">
        <f>IFERROR(__xludf.DUMMYFUNCTION("""COMPUTED_VALUE"""),"25")</f>
        <v>25</v>
      </c>
      <c r="X1094" s="1" t="str">
        <f>IFERROR(__xludf.DUMMYFUNCTION("""COMPUTED_VALUE"""),"")</f>
        <v/>
      </c>
      <c r="Y1094" s="1" t="str">
        <f>IFERROR(__xludf.DUMMYFUNCTION("""COMPUTED_VALUE"""),"")</f>
        <v/>
      </c>
      <c r="Z1094" s="1" t="str">
        <f>IFERROR(__xludf.DUMMYFUNCTION("""COMPUTED_VALUE"""),"Unknown")</f>
        <v>Unknown</v>
      </c>
      <c r="AA1094" s="1" t="str">
        <f>IFERROR(__xludf.DUMMYFUNCTION("""COMPUTED_VALUE"""),"")</f>
        <v/>
      </c>
      <c r="AB1094" s="1" t="str">
        <f>IFERROR(__xludf.DUMMYFUNCTION("""COMPUTED_VALUE"""),"")</f>
        <v/>
      </c>
      <c r="AC1094" s="1" t="str">
        <f>IFERROR(__xludf.DUMMYFUNCTION("""COMPUTED_VALUE"""),"")</f>
        <v/>
      </c>
      <c r="AD1094" s="1" t="str">
        <f>IFERROR(__xludf.DUMMYFUNCTION("""COMPUTED_VALUE"""),"")</f>
        <v/>
      </c>
      <c r="AE1094" s="1" t="str">
        <f>IFERROR(__xludf.DUMMYFUNCTION("""COMPUTED_VALUE"""),"")</f>
        <v/>
      </c>
      <c r="AF1094" s="1" t="str">
        <f>IFERROR(__xludf.DUMMYFUNCTION("""COMPUTED_VALUE"""),"")</f>
        <v/>
      </c>
      <c r="AG1094" s="1" t="str">
        <f>IFERROR(__xludf.DUMMYFUNCTION("""COMPUTED_VALUE"""),"Late 2026")</f>
        <v>Late 2026</v>
      </c>
      <c r="AH1094" s="1" t="str">
        <f>IFERROR(__xludf.DUMMYFUNCTION("""COMPUTED_VALUE"""),"Media Monitoring")</f>
        <v>Media Monitoring</v>
      </c>
      <c r="AI1094" s="2" t="str">
        <f>IFERROR(__xludf.DUMMYFUNCTION("""COMPUTED_VALUE"""),"https://www.datacenterdynamics.com/en/news/blusky-ai-signs-letter-of-intent-for-25-acre-data-center/")</f>
        <v>https://www.datacenterdynamics.com/en/news/blusky-ai-signs-letter-of-intent-for-25-acre-data-center/</v>
      </c>
      <c r="AJ1094" s="1" t="str">
        <f>IFERROR(__xludf.DUMMYFUNCTION("""COMPUTED_VALUE"""),"")</f>
        <v/>
      </c>
      <c r="AK1094" s="1" t="str">
        <f>IFERROR(__xludf.DUMMYFUNCTION("""COMPUTED_VALUE"""),"")</f>
        <v/>
      </c>
      <c r="AL1094" s="1" t="str">
        <f>IFERROR(__xludf.DUMMYFUNCTION("""COMPUTED_VALUE"""),"")</f>
        <v/>
      </c>
      <c r="AM1094" s="1" t="str">
        <f>IFERROR(__xludf.DUMMYFUNCTION("""COMPUTED_VALUE"""),"")</f>
        <v/>
      </c>
      <c r="AN1094" s="1" t="str">
        <f>IFERROR(__xludf.DUMMYFUNCTION("""COMPUTED_VALUE"""),"")</f>
        <v/>
      </c>
      <c r="AO1094" s="1" t="str">
        <f>IFERROR(__xludf.DUMMYFUNCTION("""COMPUTED_VALUE"""),"")</f>
        <v/>
      </c>
      <c r="AP1094" s="1" t="str">
        <f>IFERROR(__xludf.DUMMYFUNCTION("""COMPUTED_VALUE"""),"")</f>
        <v/>
      </c>
      <c r="AQ1094" s="1" t="str">
        <f>IFERROR(__xludf.DUMMYFUNCTION("""COMPUTED_VALUE"""),"08/02/2025")</f>
        <v>08/02/2025</v>
      </c>
      <c r="AR1094" s="1" t="str">
        <f>IFERROR(__xludf.DUMMYFUNCTION("""COMPUTED_VALUE"""),"08/02/2025")</f>
        <v>08/02/2025</v>
      </c>
    </row>
    <row r="1095">
      <c r="A1095" s="1" t="str">
        <f>IFERROR(__xludf.DUMMYFUNCTION("""COMPUTED_VALUE"""),"Fibernet MercuryDelta Campus/Delta Gigasite")</f>
        <v>Fibernet MercuryDelta Campus/Delta Gigasite</v>
      </c>
      <c r="B1095" s="1" t="str">
        <f>IFERROR(__xludf.DUMMYFUNCTION("""COMPUTED_VALUE"""),"Hwy 50")</f>
        <v>Hwy 50</v>
      </c>
      <c r="C1095" s="1" t="str">
        <f>IFERROR(__xludf.DUMMYFUNCTION("""COMPUTED_VALUE"""),"Delta")</f>
        <v>Delta</v>
      </c>
      <c r="D1095" s="1" t="str">
        <f>IFERROR(__xludf.DUMMYFUNCTION("""COMPUTED_VALUE"""),"UT")</f>
        <v>UT</v>
      </c>
      <c r="E1095" s="1" t="str">
        <f>IFERROR(__xludf.DUMMYFUNCTION("""COMPUTED_VALUE"""),"84624")</f>
        <v>84624</v>
      </c>
      <c r="F1095" s="1" t="str">
        <f>IFERROR(__xludf.DUMMYFUNCTION("""COMPUTED_VALUE"""),"Millard")</f>
        <v>Millard</v>
      </c>
      <c r="G1095" s="1" t="str">
        <f>IFERROR(__xludf.DUMMYFUNCTION("""COMPUTED_VALUE"""),"39.28873")</f>
        <v>39.28873</v>
      </c>
      <c r="H1095" s="1" t="str">
        <f>IFERROR(__xludf.DUMMYFUNCTION("""COMPUTED_VALUE"""),"-112.465")</f>
        <v>-112.465</v>
      </c>
      <c r="I1095" s="1" t="str">
        <f>IFERROR(__xludf.DUMMYFUNCTION("""COMPUTED_VALUE"""),"Proposed")</f>
        <v>Proposed</v>
      </c>
      <c r="J1095" s="1" t="str">
        <f>IFERROR(__xludf.DUMMYFUNCTION("""COMPUTED_VALUE"""),"High")</f>
        <v>High</v>
      </c>
      <c r="K1095" s="1" t="str">
        <f>IFERROR(__xludf.DUMMYFUNCTION("""COMPUTED_VALUE"""),"")</f>
        <v/>
      </c>
      <c r="L1095" s="1" t="str">
        <f>IFERROR(__xludf.DUMMYFUNCTION("""COMPUTED_VALUE"""),"Fibernet MercuryDelta")</f>
        <v>Fibernet MercuryDelta</v>
      </c>
      <c r="M1095" s="1" t="str">
        <f>IFERROR(__xludf.DUMMYFUNCTION("""COMPUTED_VALUE"""),"")</f>
        <v/>
      </c>
      <c r="N1095" s="1" t="str">
        <f>IFERROR(__xludf.DUMMYFUNCTION("""COMPUTED_VALUE"""),"2,000-10,000")</f>
        <v>2,000-10,000</v>
      </c>
      <c r="O1095" s="1" t="str">
        <f>IFERROR(__xludf.DUMMYFUNCTION("""COMPUTED_VALUE"""),"Mega campus (&gt;1,000 MW)")</f>
        <v>Mega campus (&gt;1,000 MW)</v>
      </c>
      <c r="P1095" s="1" t="str">
        <f>IFERROR(__xludf.DUMMYFUNCTION("""COMPUTED_VALUE"""),"")</f>
        <v/>
      </c>
      <c r="Q1095" s="1" t="str">
        <f>IFERROR(__xludf.DUMMYFUNCTION("""COMPUTED_VALUE"""),"")</f>
        <v/>
      </c>
      <c r="R1095" s="1" t="str">
        <f>IFERROR(__xludf.DUMMYFUNCTION("""COMPUTED_VALUE"""),"")</f>
        <v/>
      </c>
      <c r="S1095" s="1" t="str">
        <f>IFERROR(__xludf.DUMMYFUNCTION("""COMPUTED_VALUE"""),"")</f>
        <v/>
      </c>
      <c r="T1095" s="1" t="str">
        <f>IFERROR(__xludf.DUMMYFUNCTION("""COMPUTED_VALUE"""),"")</f>
        <v/>
      </c>
      <c r="U1095" s="1" t="str">
        <f>IFERROR(__xludf.DUMMYFUNCTION("""COMPUTED_VALUE"""),"")</f>
        <v/>
      </c>
      <c r="V1095" s="1" t="str">
        <f>IFERROR(__xludf.DUMMYFUNCTION("""COMPUTED_VALUE"""),"20,000,000")</f>
        <v>20,000,000</v>
      </c>
      <c r="W1095" s="1" t="str">
        <f>IFERROR(__xludf.DUMMYFUNCTION("""COMPUTED_VALUE"""),"1200")</f>
        <v>1200</v>
      </c>
      <c r="X1095" s="1" t="str">
        <f>IFERROR(__xludf.DUMMYFUNCTION("""COMPUTED_VALUE"""),"")</f>
        <v/>
      </c>
      <c r="Y1095" s="1" t="str">
        <f>IFERROR(__xludf.DUMMYFUNCTION("""COMPUTED_VALUE"""),"")</f>
        <v/>
      </c>
      <c r="Z1095" s="1" t="str">
        <f>IFERROR(__xludf.DUMMYFUNCTION("""COMPUTED_VALUE"""),"Unknown")</f>
        <v>Unknown</v>
      </c>
      <c r="AA1095" s="1" t="str">
        <f>IFERROR(__xludf.DUMMYFUNCTION("""COMPUTED_VALUE"""),"")</f>
        <v/>
      </c>
      <c r="AB1095" s="1" t="str">
        <f>IFERROR(__xludf.DUMMYFUNCTION("""COMPUTED_VALUE"""),"")</f>
        <v/>
      </c>
      <c r="AC1095" s="1" t="str">
        <f>IFERROR(__xludf.DUMMYFUNCTION("""COMPUTED_VALUE"""),"")</f>
        <v/>
      </c>
      <c r="AD1095" s="1" t="str">
        <f>IFERROR(__xludf.DUMMYFUNCTION("""COMPUTED_VALUE"""),"")</f>
        <v/>
      </c>
      <c r="AE1095" s="1" t="str">
        <f>IFERROR(__xludf.DUMMYFUNCTION("""COMPUTED_VALUE"""),"")</f>
        <v/>
      </c>
      <c r="AF1095" s="1" t="str">
        <f>IFERROR(__xludf.DUMMYFUNCTION("""COMPUTED_VALUE"""),"")</f>
        <v/>
      </c>
      <c r="AG1095" s="1" t="str">
        <f>IFERROR(__xludf.DUMMYFUNCTION("""COMPUTED_VALUE""")," Proposal to develop a 2GW, 20 million sq ft data center campus, relying on the 1.9GW IPP plant. Potentially expandable to 10GW wtih 500- 5GW+ battery storage. ")</f>
        <v> Proposal to develop a 2GW, 20 million sq ft data center campus, relying on the 1.9GW IPP plant. Potentially expandable to 10GW wtih 500- 5GW+ battery storage. </v>
      </c>
      <c r="AH1095" s="1" t="str">
        <f>IFERROR(__xludf.DUMMYFUNCTION("""COMPUTED_VALUE"""),"Media Monitoring")</f>
        <v>Media Monitoring</v>
      </c>
      <c r="AI1095" s="2" t="str">
        <f>IFERROR(__xludf.DUMMYFUNCTION("""COMPUTED_VALUE"""),"https://www.sltrib.com/news/2025/06/22/largest-data-center-campus-world/")</f>
        <v>https://www.sltrib.com/news/2025/06/22/largest-data-center-campus-world/</v>
      </c>
      <c r="AJ1095" s="2" t="str">
        <f>IFERROR(__xludf.DUMMYFUNCTION("""COMPUTED_VALUE"""),"https://www.datacenterdynamics.com/en/news/fibernet-ceo-eyes-multi-gigawatt-data-center-campus-in-utah/")</f>
        <v>https://www.datacenterdynamics.com/en/news/fibernet-ceo-eyes-multi-gigawatt-data-center-campus-in-utah/</v>
      </c>
      <c r="AK1095" s="2" t="str">
        <f>IFERROR(__xludf.DUMMYFUNCTION("""COMPUTED_VALUE"""),"https://www.abc4.com/news/central-utah/worlds-largest-data-center-is-coming-to-this-rural-utah-county/")</f>
        <v>https://www.abc4.com/news/central-utah/worlds-largest-data-center-is-coming-to-this-rural-utah-county/</v>
      </c>
      <c r="AL1095" s="1" t="str">
        <f>IFERROR(__xludf.DUMMYFUNCTION("""COMPUTED_VALUE"""),"")</f>
        <v/>
      </c>
      <c r="AM1095" s="1" t="str">
        <f>IFERROR(__xludf.DUMMYFUNCTION("""COMPUTED_VALUE"""),"")</f>
        <v/>
      </c>
      <c r="AN1095" s="1" t="str">
        <f>IFERROR(__xludf.DUMMYFUNCTION("""COMPUTED_VALUE"""),"")</f>
        <v/>
      </c>
      <c r="AO1095" s="1" t="str">
        <f>IFERROR(__xludf.DUMMYFUNCTION("""COMPUTED_VALUE"""),"")</f>
        <v/>
      </c>
      <c r="AP1095" s="1" t="str">
        <f>IFERROR(__xludf.DUMMYFUNCTION("""COMPUTED_VALUE"""),"")</f>
        <v/>
      </c>
      <c r="AQ1095" s="1" t="str">
        <f>IFERROR(__xludf.DUMMYFUNCTION("""COMPUTED_VALUE"""),"06/22/2025")</f>
        <v>06/22/2025</v>
      </c>
      <c r="AR1095" s="1" t="str">
        <f>IFERROR(__xludf.DUMMYFUNCTION("""COMPUTED_VALUE"""),"06/05/2026")</f>
        <v>06/05/2026</v>
      </c>
    </row>
    <row r="1096">
      <c r="A1096" s="1" t="str">
        <f>IFERROR(__xludf.DUMMYFUNCTION("""COMPUTED_VALUE"""),"Joule Capital Partners, LLC Data Center")</f>
        <v>Joule Capital Partners, LLC Data Center</v>
      </c>
      <c r="B1096" s="1" t="str">
        <f>IFERROR(__xludf.DUMMYFUNCTION("""COMPUTED_VALUE"""),"11000 McCornick Rd")</f>
        <v>11000 McCornick Rd</v>
      </c>
      <c r="C1096" s="1" t="str">
        <f>IFERROR(__xludf.DUMMYFUNCTION("""COMPUTED_VALUE"""),"Delta")</f>
        <v>Delta</v>
      </c>
      <c r="D1096" s="1" t="str">
        <f>IFERROR(__xludf.DUMMYFUNCTION("""COMPUTED_VALUE"""),"UT")</f>
        <v>UT</v>
      </c>
      <c r="E1096" s="1" t="str">
        <f>IFERROR(__xludf.DUMMYFUNCTION("""COMPUTED_VALUE"""),"84624")</f>
        <v>84624</v>
      </c>
      <c r="F1096" s="1" t="str">
        <f>IFERROR(__xludf.DUMMYFUNCTION("""COMPUTED_VALUE"""),"Millard")</f>
        <v>Millard</v>
      </c>
      <c r="G1096" s="1" t="str">
        <f>IFERROR(__xludf.DUMMYFUNCTION("""COMPUTED_VALUE"""),"39.19891")</f>
        <v>39.19891</v>
      </c>
      <c r="H1096" s="1" t="str">
        <f>IFERROR(__xludf.DUMMYFUNCTION("""COMPUTED_VALUE"""),"-112.36232")</f>
        <v>-112.36232</v>
      </c>
      <c r="I1096" s="1" t="str">
        <f>IFERROR(__xludf.DUMMYFUNCTION("""COMPUTED_VALUE"""),"Proposed")</f>
        <v>Proposed</v>
      </c>
      <c r="J1096" s="1" t="str">
        <f>IFERROR(__xludf.DUMMYFUNCTION("""COMPUTED_VALUE"""),"High")</f>
        <v>High</v>
      </c>
      <c r="K1096" s="1" t="str">
        <f>IFERROR(__xludf.DUMMYFUNCTION("""COMPUTED_VALUE"""),"")</f>
        <v/>
      </c>
      <c r="L1096" s="1" t="str">
        <f>IFERROR(__xludf.DUMMYFUNCTION("""COMPUTED_VALUE"""),"")</f>
        <v/>
      </c>
      <c r="M1096" s="1" t="str">
        <f>IFERROR(__xludf.DUMMYFUNCTION("""COMPUTED_VALUE"""),"")</f>
        <v/>
      </c>
      <c r="N1096" s="1" t="str">
        <f>IFERROR(__xludf.DUMMYFUNCTION("""COMPUTED_VALUE"""),"")</f>
        <v/>
      </c>
      <c r="O1096" s="1" t="str">
        <f>IFERROR(__xludf.DUMMYFUNCTION("""COMPUTED_VALUE"""),"Unknown")</f>
        <v>Unknown</v>
      </c>
      <c r="P1096" s="1" t="str">
        <f>IFERROR(__xludf.DUMMYFUNCTION("""COMPUTED_VALUE"""),"")</f>
        <v/>
      </c>
      <c r="Q1096" s="1" t="str">
        <f>IFERROR(__xludf.DUMMYFUNCTION("""COMPUTED_VALUE"""),"")</f>
        <v/>
      </c>
      <c r="R1096" s="1" t="str">
        <f>IFERROR(__xludf.DUMMYFUNCTION("""COMPUTED_VALUE"""),"")</f>
        <v/>
      </c>
      <c r="S1096" s="1" t="str">
        <f>IFERROR(__xludf.DUMMYFUNCTION("""COMPUTED_VALUE"""),"")</f>
        <v/>
      </c>
      <c r="T1096" s="1" t="str">
        <f>IFERROR(__xludf.DUMMYFUNCTION("""COMPUTED_VALUE"""),"")</f>
        <v/>
      </c>
      <c r="U1096" s="1" t="str">
        <f>IFERROR(__xludf.DUMMYFUNCTION("""COMPUTED_VALUE"""),"")</f>
        <v/>
      </c>
      <c r="V1096" s="1" t="str">
        <f>IFERROR(__xludf.DUMMYFUNCTION("""COMPUTED_VALUE"""),"")</f>
        <v/>
      </c>
      <c r="W1096" s="1" t="str">
        <f>IFERROR(__xludf.DUMMYFUNCTION("""COMPUTED_VALUE"""),"4000")</f>
        <v>4000</v>
      </c>
      <c r="X1096" s="1" t="str">
        <f>IFERROR(__xludf.DUMMYFUNCTION("""COMPUTED_VALUE"""),"")</f>
        <v/>
      </c>
      <c r="Y1096" s="1" t="str">
        <f>IFERROR(__xludf.DUMMYFUNCTION("""COMPUTED_VALUE"""),"")</f>
        <v/>
      </c>
      <c r="Z1096" s="1" t="str">
        <f>IFERROR(__xludf.DUMMYFUNCTION("""COMPUTED_VALUE"""),"Unknown")</f>
        <v>Unknown</v>
      </c>
      <c r="AA1096" s="1" t="str">
        <f>IFERROR(__xludf.DUMMYFUNCTION("""COMPUTED_VALUE"""),"")</f>
        <v/>
      </c>
      <c r="AB1096" s="1" t="str">
        <f>IFERROR(__xludf.DUMMYFUNCTION("""COMPUTED_VALUE"""),"")</f>
        <v/>
      </c>
      <c r="AC1096" s="1" t="str">
        <f>IFERROR(__xludf.DUMMYFUNCTION("""COMPUTED_VALUE"""),"")</f>
        <v/>
      </c>
      <c r="AD1096" s="1" t="str">
        <f>IFERROR(__xludf.DUMMYFUNCTION("""COMPUTED_VALUE"""),"")</f>
        <v/>
      </c>
      <c r="AE1096" s="1" t="str">
        <f>IFERROR(__xludf.DUMMYFUNCTION("""COMPUTED_VALUE"""),"")</f>
        <v/>
      </c>
      <c r="AF1096" s="1" t="str">
        <f>IFERROR(__xludf.DUMMYFUNCTION("""COMPUTED_VALUE"""),"")</f>
        <v/>
      </c>
      <c r="AG1096" s="1" t="str">
        <f>IFERROR(__xludf.DUMMYFUNCTION("""COMPUTED_VALUE"""),"2026")</f>
        <v>2026</v>
      </c>
      <c r="AH1096" s="1" t="str">
        <f>IFERROR(__xludf.DUMMYFUNCTION("""COMPUTED_VALUE"""),"Media Monitoring")</f>
        <v>Media Monitoring</v>
      </c>
      <c r="AI1096" s="2" t="str">
        <f>IFERROR(__xludf.DUMMYFUNCTION("""COMPUTED_VALUE"""),"https://www.datacenterdynamics.com/en/news/millard-county-commission-in-utah-approves-data-center-land-rezoning-request/")</f>
        <v>https://www.datacenterdynamics.com/en/news/millard-county-commission-in-utah-approves-data-center-land-rezoning-request/</v>
      </c>
      <c r="AJ1096" s="1" t="str">
        <f>IFERROR(__xludf.DUMMYFUNCTION("""COMPUTED_VALUE"""),"")</f>
        <v/>
      </c>
      <c r="AK1096" s="1" t="str">
        <f>IFERROR(__xludf.DUMMYFUNCTION("""COMPUTED_VALUE"""),"")</f>
        <v/>
      </c>
      <c r="AL1096" s="1" t="str">
        <f>IFERROR(__xludf.DUMMYFUNCTION("""COMPUTED_VALUE"""),"")</f>
        <v/>
      </c>
      <c r="AM1096" s="1" t="str">
        <f>IFERROR(__xludf.DUMMYFUNCTION("""COMPUTED_VALUE"""),"")</f>
        <v/>
      </c>
      <c r="AN1096" s="1" t="str">
        <f>IFERROR(__xludf.DUMMYFUNCTION("""COMPUTED_VALUE"""),"")</f>
        <v/>
      </c>
      <c r="AO1096" s="1" t="str">
        <f>IFERROR(__xludf.DUMMYFUNCTION("""COMPUTED_VALUE"""),"")</f>
        <v/>
      </c>
      <c r="AP1096" s="1" t="str">
        <f>IFERROR(__xludf.DUMMYFUNCTION("""COMPUTED_VALUE"""),"")</f>
        <v/>
      </c>
      <c r="AQ1096" s="1" t="str">
        <f>IFERROR(__xludf.DUMMYFUNCTION("""COMPUTED_VALUE"""),"08/06/2025")</f>
        <v>08/06/2025</v>
      </c>
      <c r="AR1096" s="1" t="str">
        <f>IFERROR(__xludf.DUMMYFUNCTION("""COMPUTED_VALUE"""),"08/06/2025")</f>
        <v>08/06/2025</v>
      </c>
    </row>
    <row r="1097">
      <c r="A1097" s="1" t="str">
        <f>IFERROR(__xludf.DUMMYFUNCTION("""COMPUTED_VALUE"""),"Dugway Proving Ground Data Center")</f>
        <v>Dugway Proving Ground Data Center</v>
      </c>
      <c r="B1097" s="1" t="str">
        <f>IFERROR(__xludf.DUMMYFUNCTION("""COMPUTED_VALUE"""),"near Starks Rd")</f>
        <v>near Starks Rd</v>
      </c>
      <c r="C1097" s="1" t="str">
        <f>IFERROR(__xludf.DUMMYFUNCTION("""COMPUTED_VALUE"""),"Dugway")</f>
        <v>Dugway</v>
      </c>
      <c r="D1097" s="1" t="str">
        <f>IFERROR(__xludf.DUMMYFUNCTION("""COMPUTED_VALUE"""),"UT")</f>
        <v>UT</v>
      </c>
      <c r="E1097" s="1" t="str">
        <f>IFERROR(__xludf.DUMMYFUNCTION("""COMPUTED_VALUE"""),"84022")</f>
        <v>84022</v>
      </c>
      <c r="F1097" s="1" t="str">
        <f>IFERROR(__xludf.DUMMYFUNCTION("""COMPUTED_VALUE"""),"Tooele")</f>
        <v>Tooele</v>
      </c>
      <c r="G1097" s="1" t="str">
        <f>IFERROR(__xludf.DUMMYFUNCTION("""COMPUTED_VALUE"""),"40.218567")</f>
        <v>40.218567</v>
      </c>
      <c r="H1097" s="1" t="str">
        <f>IFERROR(__xludf.DUMMYFUNCTION("""COMPUTED_VALUE"""),"-112.74486")</f>
        <v>-112.74486</v>
      </c>
      <c r="I1097" s="1" t="str">
        <f>IFERROR(__xludf.DUMMYFUNCTION("""COMPUTED_VALUE"""),"Proposed")</f>
        <v>Proposed</v>
      </c>
      <c r="J1097" s="1" t="str">
        <f>IFERROR(__xludf.DUMMYFUNCTION("""COMPUTED_VALUE"""),"Medium")</f>
        <v>Medium</v>
      </c>
      <c r="K1097" s="1" t="str">
        <f>IFERROR(__xludf.DUMMYFUNCTION("""COMPUTED_VALUE"""),"AI")</f>
        <v>AI</v>
      </c>
      <c r="L1097" s="1" t="str">
        <f>IFERROR(__xludf.DUMMYFUNCTION("""COMPUTED_VALUE"""),"")</f>
        <v/>
      </c>
      <c r="M1097" s="1" t="str">
        <f>IFERROR(__xludf.DUMMYFUNCTION("""COMPUTED_VALUE"""),"")</f>
        <v/>
      </c>
      <c r="N1097" s="1" t="str">
        <f>IFERROR(__xludf.DUMMYFUNCTION("""COMPUTED_VALUE"""),"")</f>
        <v/>
      </c>
      <c r="O1097" s="1" t="str">
        <f>IFERROR(__xludf.DUMMYFUNCTION("""COMPUTED_VALUE"""),"Unknown")</f>
        <v>Unknown</v>
      </c>
      <c r="P1097" s="1" t="str">
        <f>IFERROR(__xludf.DUMMYFUNCTION("""COMPUTED_VALUE"""),"")</f>
        <v/>
      </c>
      <c r="Q1097" s="1" t="str">
        <f>IFERROR(__xludf.DUMMYFUNCTION("""COMPUTED_VALUE"""),"")</f>
        <v/>
      </c>
      <c r="R1097" s="1" t="str">
        <f>IFERROR(__xludf.DUMMYFUNCTION("""COMPUTED_VALUE"""),"")</f>
        <v/>
      </c>
      <c r="S1097" s="1" t="str">
        <f>IFERROR(__xludf.DUMMYFUNCTION("""COMPUTED_VALUE"""),"")</f>
        <v/>
      </c>
      <c r="T1097" s="1" t="str">
        <f>IFERROR(__xludf.DUMMYFUNCTION("""COMPUTED_VALUE"""),"")</f>
        <v/>
      </c>
      <c r="U1097" s="1" t="str">
        <f>IFERROR(__xludf.DUMMYFUNCTION("""COMPUTED_VALUE"""),"")</f>
        <v/>
      </c>
      <c r="V1097" s="1" t="str">
        <f>IFERROR(__xludf.DUMMYFUNCTION("""COMPUTED_VALUE"""),"")</f>
        <v/>
      </c>
      <c r="W1097" s="1" t="str">
        <f>IFERROR(__xludf.DUMMYFUNCTION("""COMPUTED_VALUE"""),"3466")</f>
        <v>3466</v>
      </c>
      <c r="X1097" s="1" t="str">
        <f>IFERROR(__xludf.DUMMYFUNCTION("""COMPUTED_VALUE"""),"")</f>
        <v/>
      </c>
      <c r="Y1097" s="1" t="str">
        <f>IFERROR(__xludf.DUMMYFUNCTION("""COMPUTED_VALUE"""),"")</f>
        <v/>
      </c>
      <c r="Z1097" s="1" t="str">
        <f>IFERROR(__xludf.DUMMYFUNCTION("""COMPUTED_VALUE"""),"Unknown")</f>
        <v>Unknown</v>
      </c>
      <c r="AA1097" s="1" t="str">
        <f>IFERROR(__xludf.DUMMYFUNCTION("""COMPUTED_VALUE"""),"")</f>
        <v/>
      </c>
      <c r="AB1097" s="1" t="str">
        <f>IFERROR(__xludf.DUMMYFUNCTION("""COMPUTED_VALUE"""),"")</f>
        <v/>
      </c>
      <c r="AC1097" s="1" t="str">
        <f>IFERROR(__xludf.DUMMYFUNCTION("""COMPUTED_VALUE"""),"")</f>
        <v/>
      </c>
      <c r="AD1097" s="1" t="str">
        <f>IFERROR(__xludf.DUMMYFUNCTION("""COMPUTED_VALUE"""),"")</f>
        <v/>
      </c>
      <c r="AE1097" s="1" t="str">
        <f>IFERROR(__xludf.DUMMYFUNCTION("""COMPUTED_VALUE"""),"")</f>
        <v/>
      </c>
      <c r="AF1097" s="1" t="str">
        <f>IFERROR(__xludf.DUMMYFUNCTION("""COMPUTED_VALUE"""),"")</f>
        <v/>
      </c>
      <c r="AG1097" s="1" t="str">
        <f>IFERROR(__xludf.DUMMYFUNCTION("""COMPUTED_VALUE"""),"3 separate parcels available")</f>
        <v>3 separate parcels available</v>
      </c>
      <c r="AH1097" s="1" t="str">
        <f>IFERROR(__xludf.DUMMYFUNCTION("""COMPUTED_VALUE"""),"Media Monitoring")</f>
        <v>Media Monitoring</v>
      </c>
      <c r="AI1097" s="1" t="str">
        <f>IFERROR(__xludf.DUMMYFUNCTION("""COMPUTED_VALUE"""),"")</f>
        <v/>
      </c>
      <c r="AJ1097" s="1" t="str">
        <f>IFERROR(__xludf.DUMMYFUNCTION("""COMPUTED_VALUE"""),"")</f>
        <v/>
      </c>
      <c r="AK1097" s="1" t="str">
        <f>IFERROR(__xludf.DUMMYFUNCTION("""COMPUTED_VALUE"""),"")</f>
        <v/>
      </c>
      <c r="AL1097" s="1" t="str">
        <f>IFERROR(__xludf.DUMMYFUNCTION("""COMPUTED_VALUE"""),"")</f>
        <v/>
      </c>
      <c r="AM1097" s="1" t="str">
        <f>IFERROR(__xludf.DUMMYFUNCTION("""COMPUTED_VALUE"""),"")</f>
        <v/>
      </c>
      <c r="AN1097" s="1" t="str">
        <f>IFERROR(__xludf.DUMMYFUNCTION("""COMPUTED_VALUE"""),"")</f>
        <v/>
      </c>
      <c r="AO1097" s="1" t="str">
        <f>IFERROR(__xludf.DUMMYFUNCTION("""COMPUTED_VALUE"""),"")</f>
        <v/>
      </c>
      <c r="AP1097" s="1" t="str">
        <f>IFERROR(__xludf.DUMMYFUNCTION("""COMPUTED_VALUE"""),"")</f>
        <v/>
      </c>
      <c r="AQ1097" s="1" t="str">
        <f>IFERROR(__xludf.DUMMYFUNCTION("""COMPUTED_VALUE"""),"01/13/2026")</f>
        <v>01/13/2026</v>
      </c>
      <c r="AR1097" s="1" t="str">
        <f>IFERROR(__xludf.DUMMYFUNCTION("""COMPUTED_VALUE"""),"01/13/2026")</f>
        <v>01/13/2026</v>
      </c>
    </row>
    <row r="1098">
      <c r="A1098" s="1" t="str">
        <f>IFERROR(__xludf.DUMMYFUNCTION("""COMPUTED_VALUE"""),"Joule Power AI Data Center Campus")</f>
        <v>Joule Power AI Data Center Campus</v>
      </c>
      <c r="B1098" s="1" t="str">
        <f>IFERROR(__xludf.DUMMYFUNCTION("""COMPUTED_VALUE"""),"11000 N McCornick Road")</f>
        <v>11000 N McCornick Road</v>
      </c>
      <c r="C1098" s="1" t="str">
        <f>IFERROR(__xludf.DUMMYFUNCTION("""COMPUTED_VALUE"""),"Millard County")</f>
        <v>Millard County</v>
      </c>
      <c r="D1098" s="1" t="str">
        <f>IFERROR(__xludf.DUMMYFUNCTION("""COMPUTED_VALUE"""),"UT")</f>
        <v>UT</v>
      </c>
      <c r="E1098" s="1" t="str">
        <f>IFERROR(__xludf.DUMMYFUNCTION("""COMPUTED_VALUE"""),"84624")</f>
        <v>84624</v>
      </c>
      <c r="F1098" s="1" t="str">
        <f>IFERROR(__xludf.DUMMYFUNCTION("""COMPUTED_VALUE"""),"Millard")</f>
        <v>Millard</v>
      </c>
      <c r="G1098" s="1" t="str">
        <f>IFERROR(__xludf.DUMMYFUNCTION("""COMPUTED_VALUE"""),"39.199276")</f>
        <v>39.199276</v>
      </c>
      <c r="H1098" s="1" t="str">
        <f>IFERROR(__xludf.DUMMYFUNCTION("""COMPUTED_VALUE"""),"-112.37303")</f>
        <v>-112.37303</v>
      </c>
      <c r="I1098" s="1" t="str">
        <f>IFERROR(__xludf.DUMMYFUNCTION("""COMPUTED_VALUE"""),"Proposed")</f>
        <v>Proposed</v>
      </c>
      <c r="J1098" s="1" t="str">
        <f>IFERROR(__xludf.DUMMYFUNCTION("""COMPUTED_VALUE"""),"Low")</f>
        <v>Low</v>
      </c>
      <c r="K1098" s="1" t="str">
        <f>IFERROR(__xludf.DUMMYFUNCTION("""COMPUTED_VALUE"""),"")</f>
        <v/>
      </c>
      <c r="L1098" s="1" t="str">
        <f>IFERROR(__xludf.DUMMYFUNCTION("""COMPUTED_VALUE"""),"Joule Power")</f>
        <v>Joule Power</v>
      </c>
      <c r="M1098" s="1" t="str">
        <f>IFERROR(__xludf.DUMMYFUNCTION("""COMPUTED_VALUE"""),"")</f>
        <v/>
      </c>
      <c r="N1098" s="1" t="str">
        <f>IFERROR(__xludf.DUMMYFUNCTION("""COMPUTED_VALUE"""),"455-12,000")</f>
        <v>455-12,000</v>
      </c>
      <c r="O1098" s="1" t="str">
        <f>IFERROR(__xludf.DUMMYFUNCTION("""COMPUTED_VALUE"""),"Mega campus (&gt;1,000 MW)")</f>
        <v>Mega campus (&gt;1,000 MW)</v>
      </c>
      <c r="P1098" s="1" t="str">
        <f>IFERROR(__xludf.DUMMYFUNCTION("""COMPUTED_VALUE"""),"Natural gas")</f>
        <v>Natural gas</v>
      </c>
      <c r="Q1098" s="1" t="str">
        <f>IFERROR(__xludf.DUMMYFUNCTION("""COMPUTED_VALUE"""),"")</f>
        <v/>
      </c>
      <c r="R1098" s="1" t="str">
        <f>IFERROR(__xludf.DUMMYFUNCTION("""COMPUTED_VALUE"""),"")</f>
        <v/>
      </c>
      <c r="S1098" s="1" t="str">
        <f>IFERROR(__xludf.DUMMYFUNCTION("""COMPUTED_VALUE"""),"")</f>
        <v/>
      </c>
      <c r="T1098" s="1" t="str">
        <f>IFERROR(__xludf.DUMMYFUNCTION("""COMPUTED_VALUE"""),"Water")</f>
        <v>Water</v>
      </c>
      <c r="U1098" s="1" t="str">
        <f>IFERROR(__xludf.DUMMYFUNCTION("""COMPUTED_VALUE"""),"")</f>
        <v/>
      </c>
      <c r="V1098" s="1" t="str">
        <f>IFERROR(__xludf.DUMMYFUNCTION("""COMPUTED_VALUE"""),"")</f>
        <v/>
      </c>
      <c r="W1098" s="1" t="str">
        <f>IFERROR(__xludf.DUMMYFUNCTION("""COMPUTED_VALUE"""),"4000")</f>
        <v>4000</v>
      </c>
      <c r="X1098" s="1" t="str">
        <f>IFERROR(__xludf.DUMMYFUNCTION("""COMPUTED_VALUE"""),"7.2 billion")</f>
        <v>7.2 billion</v>
      </c>
      <c r="Y1098" s="1" t="str">
        <f>IFERROR(__xludf.DUMMYFUNCTION("""COMPUTED_VALUE"""),"")</f>
        <v/>
      </c>
      <c r="Z1098" s="1" t="str">
        <f>IFERROR(__xludf.DUMMYFUNCTION("""COMPUTED_VALUE"""),"Yes")</f>
        <v>Yes</v>
      </c>
      <c r="AA1098" s="2" t="str">
        <f>IFERROR(__xludf.DUMMYFUNCTION("""COMPUTED_VALUE"""),"https://www.thecooldown.com/green-business/data-center-water-usage-utah-drought-concerns/#:~:text=A%20proposed%20artificial%20intelligence%20data,concern%2C%20as%20reported%20by%20ABC4.")</f>
        <v>https://www.thecooldown.com/green-business/data-center-water-usage-utah-drought-concerns/#:~:text=A%20proposed%20artificial%20intelligence%20data,concern%2C%20as%20reported%20by%20ABC4.</v>
      </c>
      <c r="AB1098" s="1" t="str">
        <f>IFERROR(__xludf.DUMMYFUNCTION("""COMPUTED_VALUE"""),"Emerging Concern")</f>
        <v>Emerging Concern</v>
      </c>
      <c r="AC1098" s="1" t="str">
        <f>IFERROR(__xludf.DUMMYFUNCTION("""COMPUTED_VALUE"""),"")</f>
        <v/>
      </c>
      <c r="AD1098" s="1" t="str">
        <f>IFERROR(__xludf.DUMMYFUNCTION("""COMPUTED_VALUE"""),"")</f>
        <v/>
      </c>
      <c r="AE1098" s="1" t="str">
        <f>IFERROR(__xludf.DUMMYFUNCTION("""COMPUTED_VALUE"""),"")</f>
        <v/>
      </c>
      <c r="AF1098" s="2" t="str">
        <f>IFERROR(__xludf.DUMMYFUNCTION("""COMPUTED_VALUE"""),"https://www.change.org/p/deny-zoning-and-permits-for-the-proposed-ai-data-center-in-mona")</f>
        <v>https://www.change.org/p/deny-zoning-and-permits-for-the-proposed-ai-data-center-in-mona</v>
      </c>
      <c r="AG1098" s="1" t="str">
        <f>IFERROR(__xludf.DUMMYFUNCTION("""COMPUTED_VALUE"""),"")</f>
        <v/>
      </c>
      <c r="AH1098" s="1" t="str">
        <f>IFERROR(__xludf.DUMMYFUNCTION("""COMPUTED_VALUE"""),"Media Monitoring")</f>
        <v>Media Monitoring</v>
      </c>
      <c r="AI1098" s="2" t="str">
        <f>IFERROR(__xludf.DUMMYFUNCTION("""COMPUTED_VALUE"""),"https://joulepower.ai/#:~:text=4%2C000%20acres%20owned%2C%20located%20in%20Millard%20County%2C,Buildings%20Phase%20I:%206%20facilities%20%C2%B7%20Power")</f>
        <v>https://joulepower.ai/#:~:text=4%2C000%20acres%20owned%2C%20located%20in%20Millard%20County%2C,Buildings%20Phase%20I:%206%20facilities%20%C2%B7%20Power</v>
      </c>
      <c r="AJ1098" s="2" t="str">
        <f>IFERROR(__xludf.DUMMYFUNCTION("""COMPUTED_VALUE"""),"https://www.yahoo.com/news/articles/groundbreaking-held-country-largest-data-002417981.html?guccounter=1&amp;guce_referrer=aHR0cHM6Ly93d3cuZ29vZ2xlLmNvbS8&amp;guce_referrer_sig=AQAAAHJQ5kLCaH1cL9pBxXcGRhLfJvBIQhy9OKt5wKJa772KdvFXzOzzs4lF4xlOa00cniFwgv2vbB4u2Pt314"&amp;"o9qAdd8zJqjHei-xyUxHSjpCL_IafaR24QdPC0pHn0u2WfN86jb-ptHsDqWyudECFa1z54u-TyfauKS2-UQnT55zzC")</f>
        <v>https://www.yahoo.com/news/articles/groundbreaking-held-country-largest-data-002417981.html?guccounter=1&amp;guce_referrer=aHR0cHM6Ly93d3cuZ29vZ2xlLmNvbS8&amp;guce_referrer_sig=AQAAAHJQ5kLCaH1cL9pBxXcGRhLfJvBIQhy9OKt5wKJa772KdvFXzOzzs4lF4xlOa00cniFwgv2vbB4u2Pt314o9qAdd8zJqjHei-xyUxHSjpCL_IafaR24QdPC0pHn0u2WfN86jb-ptHsDqWyudECFa1z54u-TyfauKS2-UQnT55zzC</v>
      </c>
      <c r="AK1098" s="2" t="str">
        <f>IFERROR(__xludf.DUMMYFUNCTION("""COMPUTED_VALUE"""),"https://www.yahoo.com/news/articles/millard-county-approves-solar-farm-041901922.html")</f>
        <v>https://www.yahoo.com/news/articles/millard-county-approves-solar-farm-041901922.html</v>
      </c>
      <c r="AL1098" s="1" t="str">
        <f>IFERROR(__xludf.DUMMYFUNCTION("""COMPUTED_VALUE"""),"")</f>
        <v/>
      </c>
      <c r="AM1098" s="1" t="str">
        <f>IFERROR(__xludf.DUMMYFUNCTION("""COMPUTED_VALUE"""),"")</f>
        <v/>
      </c>
      <c r="AN1098" s="1" t="str">
        <f>IFERROR(__xludf.DUMMYFUNCTION("""COMPUTED_VALUE"""),"")</f>
        <v/>
      </c>
      <c r="AO1098" s="1" t="str">
        <f>IFERROR(__xludf.DUMMYFUNCTION("""COMPUTED_VALUE"""),"")</f>
        <v/>
      </c>
      <c r="AP1098" s="1" t="str">
        <f>IFERROR(__xludf.DUMMYFUNCTION("""COMPUTED_VALUE"""),"")</f>
        <v/>
      </c>
      <c r="AQ1098" s="1" t="str">
        <f>IFERROR(__xludf.DUMMYFUNCTION("""COMPUTED_VALUE"""),"04/08/2026")</f>
        <v>04/08/2026</v>
      </c>
      <c r="AR1098" s="1" t="str">
        <f>IFERROR(__xludf.DUMMYFUNCTION("""COMPUTED_VALUE"""),"04/08/2026")</f>
        <v>04/08/2026</v>
      </c>
    </row>
    <row r="1099">
      <c r="A1099" s="1" t="str">
        <f>IFERROR(__xludf.DUMMYFUNCTION("""COMPUTED_VALUE"""),"Provo Data Center")</f>
        <v>Provo Data Center</v>
      </c>
      <c r="B1099" s="1" t="str">
        <f>IFERROR(__xludf.DUMMYFUNCTION("""COMPUTED_VALUE"""),"1507 S 180 E")</f>
        <v>1507 S 180 E</v>
      </c>
      <c r="C1099" s="1" t="str">
        <f>IFERROR(__xludf.DUMMYFUNCTION("""COMPUTED_VALUE"""),"Provo")</f>
        <v>Provo</v>
      </c>
      <c r="D1099" s="1" t="str">
        <f>IFERROR(__xludf.DUMMYFUNCTION("""COMPUTED_VALUE"""),"UT")</f>
        <v>UT</v>
      </c>
      <c r="E1099" s="1" t="str">
        <f>IFERROR(__xludf.DUMMYFUNCTION("""COMPUTED_VALUE"""),"84606")</f>
        <v>84606</v>
      </c>
      <c r="F1099" s="1" t="str">
        <f>IFERROR(__xludf.DUMMYFUNCTION("""COMPUTED_VALUE"""),"Utah")</f>
        <v>Utah</v>
      </c>
      <c r="G1099" s="1" t="str">
        <f>IFERROR(__xludf.DUMMYFUNCTION("""COMPUTED_VALUE"""),"40.214104")</f>
        <v>40.214104</v>
      </c>
      <c r="H1099" s="1" t="str">
        <f>IFERROR(__xludf.DUMMYFUNCTION("""COMPUTED_VALUE"""),"-111.65521")</f>
        <v>-111.65521</v>
      </c>
      <c r="I1099" s="1" t="str">
        <f>IFERROR(__xludf.DUMMYFUNCTION("""COMPUTED_VALUE"""),"Suspended")</f>
        <v>Suspended</v>
      </c>
      <c r="J1099" s="1" t="str">
        <f>IFERROR(__xludf.DUMMYFUNCTION("""COMPUTED_VALUE"""),"High")</f>
        <v>High</v>
      </c>
      <c r="K1099" s="1" t="str">
        <f>IFERROR(__xludf.DUMMYFUNCTION("""COMPUTED_VALUE"""),"")</f>
        <v/>
      </c>
      <c r="L1099" s="1" t="str">
        <f>IFERROR(__xludf.DUMMYFUNCTION("""COMPUTED_VALUE"""),"")</f>
        <v/>
      </c>
      <c r="M1099" s="1" t="str">
        <f>IFERROR(__xludf.DUMMYFUNCTION("""COMPUTED_VALUE"""),"")</f>
        <v/>
      </c>
      <c r="N1099" s="1" t="str">
        <f>IFERROR(__xludf.DUMMYFUNCTION("""COMPUTED_VALUE"""),"5")</f>
        <v>5</v>
      </c>
      <c r="O1099" s="1" t="str">
        <f>IFERROR(__xludf.DUMMYFUNCTION("""COMPUTED_VALUE"""),"Medium (11-50 MW)")</f>
        <v>Medium (11-50 MW)</v>
      </c>
      <c r="P1099" s="1" t="str">
        <f>IFERROR(__xludf.DUMMYFUNCTION("""COMPUTED_VALUE"""),"")</f>
        <v/>
      </c>
      <c r="Q1099" s="1" t="str">
        <f>IFERROR(__xludf.DUMMYFUNCTION("""COMPUTED_VALUE"""),"")</f>
        <v/>
      </c>
      <c r="R1099" s="1" t="str">
        <f>IFERROR(__xludf.DUMMYFUNCTION("""COMPUTED_VALUE"""),"")</f>
        <v/>
      </c>
      <c r="S1099" s="1" t="str">
        <f>IFERROR(__xludf.DUMMYFUNCTION("""COMPUTED_VALUE"""),"")</f>
        <v/>
      </c>
      <c r="T1099" s="1" t="str">
        <f>IFERROR(__xludf.DUMMYFUNCTION("""COMPUTED_VALUE"""),"")</f>
        <v/>
      </c>
      <c r="U1099" s="1" t="str">
        <f>IFERROR(__xludf.DUMMYFUNCTION("""COMPUTED_VALUE"""),"")</f>
        <v/>
      </c>
      <c r="V1099" s="1" t="str">
        <f>IFERROR(__xludf.DUMMYFUNCTION("""COMPUTED_VALUE"""),"66,000")</f>
        <v>66,000</v>
      </c>
      <c r="W1099" s="1" t="str">
        <f>IFERROR(__xludf.DUMMYFUNCTION("""COMPUTED_VALUE"""),"")</f>
        <v/>
      </c>
      <c r="X1099" s="1" t="str">
        <f>IFERROR(__xludf.DUMMYFUNCTION("""COMPUTED_VALUE"""),"")</f>
        <v/>
      </c>
      <c r="Y1099" s="1" t="str">
        <f>IFERROR(__xludf.DUMMYFUNCTION("""COMPUTED_VALUE"""),"")</f>
        <v/>
      </c>
      <c r="Z1099" s="1" t="str">
        <f>IFERROR(__xludf.DUMMYFUNCTION("""COMPUTED_VALUE"""),"Unknown")</f>
        <v>Unknown</v>
      </c>
      <c r="AA1099" s="1" t="str">
        <f>IFERROR(__xludf.DUMMYFUNCTION("""COMPUTED_VALUE"""),"")</f>
        <v/>
      </c>
      <c r="AB1099" s="1" t="str">
        <f>IFERROR(__xludf.DUMMYFUNCTION("""COMPUTED_VALUE"""),"")</f>
        <v/>
      </c>
      <c r="AC1099" s="1" t="str">
        <f>IFERROR(__xludf.DUMMYFUNCTION("""COMPUTED_VALUE"""),"")</f>
        <v/>
      </c>
      <c r="AD1099" s="1" t="str">
        <f>IFERROR(__xludf.DUMMYFUNCTION("""COMPUTED_VALUE"""),"")</f>
        <v/>
      </c>
      <c r="AE1099" s="1" t="str">
        <f>IFERROR(__xludf.DUMMYFUNCTION("""COMPUTED_VALUE"""),"")</f>
        <v/>
      </c>
      <c r="AF1099" s="1" t="str">
        <f>IFERROR(__xludf.DUMMYFUNCTION("""COMPUTED_VALUE"""),"")</f>
        <v/>
      </c>
      <c r="AG1099" s="1" t="str">
        <f>IFERROR(__xludf.DUMMYFUNCTION("""COMPUTED_VALUE"""),"")</f>
        <v/>
      </c>
      <c r="AH1099" s="1" t="str">
        <f>IFERROR(__xludf.DUMMYFUNCTION("""COMPUTED_VALUE"""),"Media Monitoring")</f>
        <v>Media Monitoring</v>
      </c>
      <c r="AI1099" s="2" t="str">
        <f>IFERROR(__xludf.DUMMYFUNCTION("""COMPUTED_VALUE"""),"https://www.datacenterdynamics.com/en/news/warehouse-in-provo-utah-to-be-replaced-with-data-center/")</f>
        <v>https://www.datacenterdynamics.com/en/news/warehouse-in-provo-utah-to-be-replaced-with-data-center/</v>
      </c>
      <c r="AJ1099" s="2" t="str">
        <f>IFERROR(__xludf.DUMMYFUNCTION("""COMPUTED_VALUE"""),"https://www.datacenterdynamics.com/en/news/city-council-of-provo-utah-votes-against-data-center-rezoning-proposal/")</f>
        <v>https://www.datacenterdynamics.com/en/news/city-council-of-provo-utah-votes-against-data-center-rezoning-proposal/</v>
      </c>
      <c r="AK1099" s="1" t="str">
        <f>IFERROR(__xludf.DUMMYFUNCTION("""COMPUTED_VALUE"""),"")</f>
        <v/>
      </c>
      <c r="AL1099" s="1" t="str">
        <f>IFERROR(__xludf.DUMMYFUNCTION("""COMPUTED_VALUE"""),"")</f>
        <v/>
      </c>
      <c r="AM1099" s="1" t="str">
        <f>IFERROR(__xludf.DUMMYFUNCTION("""COMPUTED_VALUE"""),"")</f>
        <v/>
      </c>
      <c r="AN1099" s="1" t="str">
        <f>IFERROR(__xludf.DUMMYFUNCTION("""COMPUTED_VALUE"""),"")</f>
        <v/>
      </c>
      <c r="AO1099" s="1" t="str">
        <f>IFERROR(__xludf.DUMMYFUNCTION("""COMPUTED_VALUE"""),"")</f>
        <v/>
      </c>
      <c r="AP1099" s="1" t="str">
        <f>IFERROR(__xludf.DUMMYFUNCTION("""COMPUTED_VALUE"""),"")</f>
        <v/>
      </c>
      <c r="AQ1099" s="1" t="str">
        <f>IFERROR(__xludf.DUMMYFUNCTION("""COMPUTED_VALUE"""),"03/04/2026")</f>
        <v>03/04/2026</v>
      </c>
      <c r="AR1099" s="1" t="str">
        <f>IFERROR(__xludf.DUMMYFUNCTION("""COMPUTED_VALUE"""),"03/20/2026")</f>
        <v>03/20/2026</v>
      </c>
    </row>
    <row r="1100">
      <c r="A1100" s="1" t="str">
        <f>IFERROR(__xludf.DUMMYFUNCTION("""COMPUTED_VALUE"""),"Summit Ridge Data Center")</f>
        <v>Summit Ridge Data Center</v>
      </c>
      <c r="B1100" s="1" t="str">
        <f>IFERROR(__xludf.DUMMYFUNCTION("""COMPUTED_VALUE"""),"15372 S. Ridge Farms Rd")</f>
        <v>15372 S. Ridge Farms Rd</v>
      </c>
      <c r="C1100" s="1" t="str">
        <f>IFERROR(__xludf.DUMMYFUNCTION("""COMPUTED_VALUE"""),"Santaquin")</f>
        <v>Santaquin</v>
      </c>
      <c r="D1100" s="1" t="str">
        <f>IFERROR(__xludf.DUMMYFUNCTION("""COMPUTED_VALUE"""),"UT")</f>
        <v>UT</v>
      </c>
      <c r="E1100" s="1" t="str">
        <f>IFERROR(__xludf.DUMMYFUNCTION("""COMPUTED_VALUE"""),"84655")</f>
        <v>84655</v>
      </c>
      <c r="F1100" s="1" t="str">
        <f>IFERROR(__xludf.DUMMYFUNCTION("""COMPUTED_VALUE"""),"Utah")</f>
        <v>Utah</v>
      </c>
      <c r="G1100" s="1" t="str">
        <f>IFERROR(__xludf.DUMMYFUNCTION("""COMPUTED_VALUE"""),"39.946636")</f>
        <v>39.946636</v>
      </c>
      <c r="H1100" s="1" t="str">
        <f>IFERROR(__xludf.DUMMYFUNCTION("""COMPUTED_VALUE"""),"-111.80722")</f>
        <v>-111.80722</v>
      </c>
      <c r="I1100" s="1" t="str">
        <f>IFERROR(__xludf.DUMMYFUNCTION("""COMPUTED_VALUE"""),"Proposed")</f>
        <v>Proposed</v>
      </c>
      <c r="J1100" s="1" t="str">
        <f>IFERROR(__xludf.DUMMYFUNCTION("""COMPUTED_VALUE"""),"High")</f>
        <v>High</v>
      </c>
      <c r="K1100" s="1" t="str">
        <f>IFERROR(__xludf.DUMMYFUNCTION("""COMPUTED_VALUE"""),"")</f>
        <v/>
      </c>
      <c r="L1100" s="1" t="str">
        <f>IFERROR(__xludf.DUMMYFUNCTION("""COMPUTED_VALUE"""),"Data Center Power Company")</f>
        <v>Data Center Power Company</v>
      </c>
      <c r="M1100" s="1" t="str">
        <f>IFERROR(__xludf.DUMMYFUNCTION("""COMPUTED_VALUE"""),"")</f>
        <v/>
      </c>
      <c r="N1100" s="1" t="str">
        <f>IFERROR(__xludf.DUMMYFUNCTION("""COMPUTED_VALUE"""),"20")</f>
        <v>20</v>
      </c>
      <c r="O1100" s="1" t="str">
        <f>IFERROR(__xludf.DUMMYFUNCTION("""COMPUTED_VALUE"""),"Medium (11-50 MW)")</f>
        <v>Medium (11-50 MW)</v>
      </c>
      <c r="P1100" s="1" t="str">
        <f>IFERROR(__xludf.DUMMYFUNCTION("""COMPUTED_VALUE"""),"Oil/Diesel")</f>
        <v>Oil/Diesel</v>
      </c>
      <c r="Q1100" s="1" t="str">
        <f>IFERROR(__xludf.DUMMYFUNCTION("""COMPUTED_VALUE"""),"")</f>
        <v/>
      </c>
      <c r="R1100" s="1" t="str">
        <f>IFERROR(__xludf.DUMMYFUNCTION("""COMPUTED_VALUE"""),"")</f>
        <v/>
      </c>
      <c r="S1100" s="1" t="str">
        <f>IFERROR(__xludf.DUMMYFUNCTION("""COMPUTED_VALUE"""),"")</f>
        <v/>
      </c>
      <c r="T1100" s="1" t="str">
        <f>IFERROR(__xludf.DUMMYFUNCTION("""COMPUTED_VALUE"""),"Water")</f>
        <v>Water</v>
      </c>
      <c r="U1100" s="1" t="str">
        <f>IFERROR(__xludf.DUMMYFUNCTION("""COMPUTED_VALUE"""),"Closed loop")</f>
        <v>Closed loop</v>
      </c>
      <c r="V1100" s="1" t="str">
        <f>IFERROR(__xludf.DUMMYFUNCTION("""COMPUTED_VALUE"""),"")</f>
        <v/>
      </c>
      <c r="W1100" s="1" t="str">
        <f>IFERROR(__xludf.DUMMYFUNCTION("""COMPUTED_VALUE"""),"")</f>
        <v/>
      </c>
      <c r="X1100" s="1" t="str">
        <f>IFERROR(__xludf.DUMMYFUNCTION("""COMPUTED_VALUE"""),"")</f>
        <v/>
      </c>
      <c r="Y1100" s="1" t="str">
        <f>IFERROR(__xludf.DUMMYFUNCTION("""COMPUTED_VALUE"""),"")</f>
        <v/>
      </c>
      <c r="Z1100" s="1" t="str">
        <f>IFERROR(__xludf.DUMMYFUNCTION("""COMPUTED_VALUE"""),"Unknown")</f>
        <v>Unknown</v>
      </c>
      <c r="AA1100" s="1" t="str">
        <f>IFERROR(__xludf.DUMMYFUNCTION("""COMPUTED_VALUE"""),"")</f>
        <v/>
      </c>
      <c r="AB1100" s="1" t="str">
        <f>IFERROR(__xludf.DUMMYFUNCTION("""COMPUTED_VALUE"""),"")</f>
        <v/>
      </c>
      <c r="AC1100" s="1" t="str">
        <f>IFERROR(__xludf.DUMMYFUNCTION("""COMPUTED_VALUE"""),"")</f>
        <v/>
      </c>
      <c r="AD1100" s="1" t="str">
        <f>IFERROR(__xludf.DUMMYFUNCTION("""COMPUTED_VALUE"""),"")</f>
        <v/>
      </c>
      <c r="AE1100" s="1" t="str">
        <f>IFERROR(__xludf.DUMMYFUNCTION("""COMPUTED_VALUE"""),"")</f>
        <v/>
      </c>
      <c r="AF1100" s="1" t="str">
        <f>IFERROR(__xludf.DUMMYFUNCTION("""COMPUTED_VALUE"""),"")</f>
        <v/>
      </c>
      <c r="AG1100" s="1" t="str">
        <f>IFERROR(__xludf.DUMMYFUNCTION("""COMPUTED_VALUE"""),"")</f>
        <v/>
      </c>
      <c r="AH1100" s="1" t="str">
        <f>IFERROR(__xludf.DUMMYFUNCTION("""COMPUTED_VALUE"""),"Media Monitoring")</f>
        <v>Media Monitoring</v>
      </c>
      <c r="AI1100" s="2" t="str">
        <f>IFERROR(__xludf.DUMMYFUNCTION("""COMPUTED_VALUE"""),"https://www.datacenterdynamics.com/en/news/20mw-off-grid-data-center-planned-outside-salt-lake-city-utah/")</f>
        <v>https://www.datacenterdynamics.com/en/news/20mw-off-grid-data-center-planned-outside-salt-lake-city-utah/</v>
      </c>
      <c r="AJ1100" s="1" t="str">
        <f>IFERROR(__xludf.DUMMYFUNCTION("""COMPUTED_VALUE"""),"")</f>
        <v/>
      </c>
      <c r="AK1100" s="1" t="str">
        <f>IFERROR(__xludf.DUMMYFUNCTION("""COMPUTED_VALUE"""),"")</f>
        <v/>
      </c>
      <c r="AL1100" s="1" t="str">
        <f>IFERROR(__xludf.DUMMYFUNCTION("""COMPUTED_VALUE"""),"")</f>
        <v/>
      </c>
      <c r="AM1100" s="1" t="str">
        <f>IFERROR(__xludf.DUMMYFUNCTION("""COMPUTED_VALUE"""),"")</f>
        <v/>
      </c>
      <c r="AN1100" s="1" t="str">
        <f>IFERROR(__xludf.DUMMYFUNCTION("""COMPUTED_VALUE"""),"")</f>
        <v/>
      </c>
      <c r="AO1100" s="1" t="str">
        <f>IFERROR(__xludf.DUMMYFUNCTION("""COMPUTED_VALUE"""),"")</f>
        <v/>
      </c>
      <c r="AP1100" s="1" t="str">
        <f>IFERROR(__xludf.DUMMYFUNCTION("""COMPUTED_VALUE"""),"")</f>
        <v/>
      </c>
      <c r="AQ1100" s="1" t="str">
        <f>IFERROR(__xludf.DUMMYFUNCTION("""COMPUTED_VALUE"""),"03/04/2026")</f>
        <v>03/04/2026</v>
      </c>
      <c r="AR1100" s="1" t="str">
        <f>IFERROR(__xludf.DUMMYFUNCTION("""COMPUTED_VALUE"""),"03/04/2026")</f>
        <v>03/04/2026</v>
      </c>
    </row>
    <row r="1101">
      <c r="A1101" s="1" t="str">
        <f>IFERROR(__xludf.DUMMYFUNCTION("""COMPUTED_VALUE"""),"Stratos Project, eastern parcels")</f>
        <v>Stratos Project, eastern parcels</v>
      </c>
      <c r="B1101" s="1" t="str">
        <f>IFERROR(__xludf.DUMMYFUNCTION("""COMPUTED_VALUE"""),"Hansel Valley Rd")</f>
        <v>Hansel Valley Rd</v>
      </c>
      <c r="C1101" s="1" t="str">
        <f>IFERROR(__xludf.DUMMYFUNCTION("""COMPUTED_VALUE"""),"Snowville")</f>
        <v>Snowville</v>
      </c>
      <c r="D1101" s="1" t="str">
        <f>IFERROR(__xludf.DUMMYFUNCTION("""COMPUTED_VALUE"""),"UT")</f>
        <v>UT</v>
      </c>
      <c r="E1101" s="1" t="str">
        <f>IFERROR(__xludf.DUMMYFUNCTION("""COMPUTED_VALUE"""),"84336")</f>
        <v>84336</v>
      </c>
      <c r="F1101" s="1" t="str">
        <f>IFERROR(__xludf.DUMMYFUNCTION("""COMPUTED_VALUE"""),"Box Elder")</f>
        <v>Box Elder</v>
      </c>
      <c r="G1101" s="1" t="str">
        <f>IFERROR(__xludf.DUMMYFUNCTION("""COMPUTED_VALUE"""),"41.786148")</f>
        <v>41.786148</v>
      </c>
      <c r="H1101" s="1" t="str">
        <f>IFERROR(__xludf.DUMMYFUNCTION("""COMPUTED_VALUE"""),"-112.64388")</f>
        <v>-112.64388</v>
      </c>
      <c r="I1101" s="1" t="str">
        <f>IFERROR(__xludf.DUMMYFUNCTION("""COMPUTED_VALUE"""),"Approved/Permitted/Under construction")</f>
        <v>Approved/Permitted/Under construction</v>
      </c>
      <c r="J1101" s="1" t="str">
        <f>IFERROR(__xludf.DUMMYFUNCTION("""COMPUTED_VALUE"""),"High")</f>
        <v>High</v>
      </c>
      <c r="K1101" s="1" t="str">
        <f>IFERROR(__xludf.DUMMYFUNCTION("""COMPUTED_VALUE"""),"")</f>
        <v/>
      </c>
      <c r="L1101" s="1" t="str">
        <f>IFERROR(__xludf.DUMMYFUNCTION("""COMPUTED_VALUE"""),"")</f>
        <v/>
      </c>
      <c r="M1101" s="1" t="str">
        <f>IFERROR(__xludf.DUMMYFUNCTION("""COMPUTED_VALUE"""),"")</f>
        <v/>
      </c>
      <c r="N1101" s="1" t="str">
        <f>IFERROR(__xludf.DUMMYFUNCTION("""COMPUTED_VALUE"""),"9000")</f>
        <v>9000</v>
      </c>
      <c r="O1101" s="1" t="str">
        <f>IFERROR(__xludf.DUMMYFUNCTION("""COMPUTED_VALUE"""),"Mega campus (&gt;1,000 MW)")</f>
        <v>Mega campus (&gt;1,000 MW)</v>
      </c>
      <c r="P1101" s="1" t="str">
        <f>IFERROR(__xludf.DUMMYFUNCTION("""COMPUTED_VALUE"""),"")</f>
        <v/>
      </c>
      <c r="Q1101" s="1" t="str">
        <f>IFERROR(__xludf.DUMMYFUNCTION("""COMPUTED_VALUE"""),"")</f>
        <v/>
      </c>
      <c r="R1101" s="1" t="str">
        <f>IFERROR(__xludf.DUMMYFUNCTION("""COMPUTED_VALUE"""),"")</f>
        <v/>
      </c>
      <c r="S1101" s="1" t="str">
        <f>IFERROR(__xludf.DUMMYFUNCTION("""COMPUTED_VALUE"""),"")</f>
        <v/>
      </c>
      <c r="T1101" s="1" t="str">
        <f>IFERROR(__xludf.DUMMYFUNCTION("""COMPUTED_VALUE"""),"")</f>
        <v/>
      </c>
      <c r="U1101" s="1" t="str">
        <f>IFERROR(__xludf.DUMMYFUNCTION("""COMPUTED_VALUE"""),"")</f>
        <v/>
      </c>
      <c r="V1101" s="1" t="str">
        <f>IFERROR(__xludf.DUMMYFUNCTION("""COMPUTED_VALUE"""),"")</f>
        <v/>
      </c>
      <c r="W1101" s="1" t="str">
        <f>IFERROR(__xludf.DUMMYFUNCTION("""COMPUTED_VALUE"""),"40000")</f>
        <v>40000</v>
      </c>
      <c r="X1101" s="1" t="str">
        <f>IFERROR(__xludf.DUMMYFUNCTION("""COMPUTED_VALUE"""),"")</f>
        <v/>
      </c>
      <c r="Y1101" s="1" t="str">
        <f>IFERROR(__xludf.DUMMYFUNCTION("""COMPUTED_VALUE"""),"")</f>
        <v/>
      </c>
      <c r="Z1101" s="1" t="str">
        <f>IFERROR(__xludf.DUMMYFUNCTION("""COMPUTED_VALUE"""),"Yes")</f>
        <v>Yes</v>
      </c>
      <c r="AA1101" s="1" t="str">
        <f>IFERROR(__xludf.DUMMYFUNCTION("""COMPUTED_VALUE"""),"")</f>
        <v/>
      </c>
      <c r="AB1101" s="1" t="str">
        <f>IFERROR(__xludf.DUMMYFUNCTION("""COMPUTED_VALUE"""),"Organized Advocacy")</f>
        <v>Organized Advocacy</v>
      </c>
      <c r="AC1101" s="1" t="str">
        <f>IFERROR(__xludf.DUMMYFUNCTION("""COMPUTED_VALUE"""),"")</f>
        <v/>
      </c>
      <c r="AD1101" s="1" t="str">
        <f>IFERROR(__xludf.DUMMYFUNCTION("""COMPUTED_VALUE"""),"")</f>
        <v/>
      </c>
      <c r="AE1101" s="1" t="str">
        <f>IFERROR(__xludf.DUMMYFUNCTION("""COMPUTED_VALUE"""),"")</f>
        <v/>
      </c>
      <c r="AF1101" s="1" t="str">
        <f>IFERROR(__xludf.DUMMYFUNCTION("""COMPUTED_VALUE"""),"")</f>
        <v/>
      </c>
      <c r="AG1101" s="1" t="str">
        <f>IFERROR(__xludf.DUMMYFUNCTION("""COMPUTED_VALUE"""),"3 separate parcels")</f>
        <v>3 separate parcels</v>
      </c>
      <c r="AH1101" s="1" t="str">
        <f>IFERROR(__xludf.DUMMYFUNCTION("""COMPUTED_VALUE"""),"Media Monitoring")</f>
        <v>Media Monitoring</v>
      </c>
      <c r="AI1101" s="2" t="str">
        <f>IFERROR(__xludf.DUMMYFUNCTION("""COMPUTED_VALUE"""),"https://www.ksl.com/article/51488565/utah-box-elder-county-officials-mull-plan-to-spur-energy-production-data-center-development")</f>
        <v>https://www.ksl.com/article/51488565/utah-box-elder-county-officials-mull-plan-to-spur-energy-production-data-center-development</v>
      </c>
      <c r="AJ1101" s="2" t="str">
        <f>IFERROR(__xludf.DUMMYFUNCTION("""COMPUTED_VALUE"""),"https://utahcleanenergy.org/estimated-emissions-and-water-consumption-from-the-proposed-stratos-data-center/")</f>
        <v>https://utahcleanenergy.org/estimated-emissions-and-water-consumption-from-the-proposed-stratos-data-center/</v>
      </c>
      <c r="AK1101" s="2" t="str">
        <f>IFERROR(__xludf.DUMMYFUNCTION("""COMPUTED_VALUE"""),"https://www.sltrib.com/news/2026/04/27/hyperscale-data-center-project/")</f>
        <v>https://www.sltrib.com/news/2026/04/27/hyperscale-data-center-project/</v>
      </c>
      <c r="AL1101" s="2" t="str">
        <f>IFERROR(__xludf.DUMMYFUNCTION("""COMPUTED_VALUE"""),"https://www.sltrib.com/news/environment/2026/05/07/utahs-data-center-could-create/")</f>
        <v>https://www.sltrib.com/news/environment/2026/05/07/utahs-data-center-could-create/</v>
      </c>
      <c r="AM1101" s="2" t="str">
        <f>IFERROR(__xludf.DUMMYFUNCTION("""COMPUTED_VALUE"""),"https://www.sltrib.com/news/2026/05/04/utah-data-center-final-vote-box/")</f>
        <v>https://www.sltrib.com/news/2026/05/04/utah-data-center-final-vote-box/</v>
      </c>
      <c r="AN1101" s="1" t="str">
        <f>IFERROR(__xludf.DUMMYFUNCTION("""COMPUTED_VALUE"""),"")</f>
        <v/>
      </c>
      <c r="AO1101" s="1" t="str">
        <f>IFERROR(__xludf.DUMMYFUNCTION("""COMPUTED_VALUE"""),"")</f>
        <v/>
      </c>
      <c r="AP1101" s="1" t="str">
        <f>IFERROR(__xludf.DUMMYFUNCTION("""COMPUTED_VALUE"""),"")</f>
        <v/>
      </c>
      <c r="AQ1101" s="1" t="str">
        <f>IFERROR(__xludf.DUMMYFUNCTION("""COMPUTED_VALUE"""),"04/27/2026")</f>
        <v>04/27/2026</v>
      </c>
      <c r="AR1101" s="1" t="str">
        <f>IFERROR(__xludf.DUMMYFUNCTION("""COMPUTED_VALUE"""),"05/12/2026")</f>
        <v>05/12/2026</v>
      </c>
    </row>
    <row r="1102">
      <c r="A1102" s="1" t="str">
        <f>IFERROR(__xludf.DUMMYFUNCTION("""COMPUTED_VALUE"""),"Stratos Project, western parcels")</f>
        <v>Stratos Project, western parcels</v>
      </c>
      <c r="B1102" s="1" t="str">
        <f>IFERROR(__xludf.DUMMYFUNCTION("""COMPUTED_VALUE"""),"Locomotive Springs Rd")</f>
        <v>Locomotive Springs Rd</v>
      </c>
      <c r="C1102" s="1" t="str">
        <f>IFERROR(__xludf.DUMMYFUNCTION("""COMPUTED_VALUE"""),"Snowville")</f>
        <v>Snowville</v>
      </c>
      <c r="D1102" s="1" t="str">
        <f>IFERROR(__xludf.DUMMYFUNCTION("""COMPUTED_VALUE"""),"UT")</f>
        <v>UT</v>
      </c>
      <c r="E1102" s="1" t="str">
        <f>IFERROR(__xludf.DUMMYFUNCTION("""COMPUTED_VALUE"""),"84336")</f>
        <v>84336</v>
      </c>
      <c r="F1102" s="1" t="str">
        <f>IFERROR(__xludf.DUMMYFUNCTION("""COMPUTED_VALUE"""),"Box Elder")</f>
        <v>Box Elder</v>
      </c>
      <c r="G1102" s="1" t="str">
        <f>IFERROR(__xludf.DUMMYFUNCTION("""COMPUTED_VALUE"""),"41.784256")</f>
        <v>41.784256</v>
      </c>
      <c r="H1102" s="1" t="str">
        <f>IFERROR(__xludf.DUMMYFUNCTION("""COMPUTED_VALUE"""),"-112.898346")</f>
        <v>-112.898346</v>
      </c>
      <c r="I1102" s="1" t="str">
        <f>IFERROR(__xludf.DUMMYFUNCTION("""COMPUTED_VALUE"""),"Approved/Permitted/Under construction")</f>
        <v>Approved/Permitted/Under construction</v>
      </c>
      <c r="J1102" s="1" t="str">
        <f>IFERROR(__xludf.DUMMYFUNCTION("""COMPUTED_VALUE"""),"High")</f>
        <v>High</v>
      </c>
      <c r="K1102" s="1" t="str">
        <f>IFERROR(__xludf.DUMMYFUNCTION("""COMPUTED_VALUE"""),"")</f>
        <v/>
      </c>
      <c r="L1102" s="1" t="str">
        <f>IFERROR(__xludf.DUMMYFUNCTION("""COMPUTED_VALUE"""),"")</f>
        <v/>
      </c>
      <c r="M1102" s="1" t="str">
        <f>IFERROR(__xludf.DUMMYFUNCTION("""COMPUTED_VALUE"""),"")</f>
        <v/>
      </c>
      <c r="N1102" s="1" t="str">
        <f>IFERROR(__xludf.DUMMYFUNCTION("""COMPUTED_VALUE"""),"")</f>
        <v/>
      </c>
      <c r="O1102" s="1" t="str">
        <f>IFERROR(__xludf.DUMMYFUNCTION("""COMPUTED_VALUE"""),"Mega campus (&gt;1,000 MW)")</f>
        <v>Mega campus (&gt;1,000 MW)</v>
      </c>
      <c r="P1102" s="1" t="str">
        <f>IFERROR(__xludf.DUMMYFUNCTION("""COMPUTED_VALUE"""),"")</f>
        <v/>
      </c>
      <c r="Q1102" s="1" t="str">
        <f>IFERROR(__xludf.DUMMYFUNCTION("""COMPUTED_VALUE"""),"")</f>
        <v/>
      </c>
      <c r="R1102" s="1" t="str">
        <f>IFERROR(__xludf.DUMMYFUNCTION("""COMPUTED_VALUE"""),"")</f>
        <v/>
      </c>
      <c r="S1102" s="1" t="str">
        <f>IFERROR(__xludf.DUMMYFUNCTION("""COMPUTED_VALUE"""),"")</f>
        <v/>
      </c>
      <c r="T1102" s="1" t="str">
        <f>IFERROR(__xludf.DUMMYFUNCTION("""COMPUTED_VALUE"""),"")</f>
        <v/>
      </c>
      <c r="U1102" s="1" t="str">
        <f>IFERROR(__xludf.DUMMYFUNCTION("""COMPUTED_VALUE"""),"")</f>
        <v/>
      </c>
      <c r="V1102" s="1" t="str">
        <f>IFERROR(__xludf.DUMMYFUNCTION("""COMPUTED_VALUE"""),"")</f>
        <v/>
      </c>
      <c r="W1102" s="1" t="str">
        <f>IFERROR(__xludf.DUMMYFUNCTION("""COMPUTED_VALUE"""),"40000")</f>
        <v>40000</v>
      </c>
      <c r="X1102" s="1" t="str">
        <f>IFERROR(__xludf.DUMMYFUNCTION("""COMPUTED_VALUE"""),"")</f>
        <v/>
      </c>
      <c r="Y1102" s="1" t="str">
        <f>IFERROR(__xludf.DUMMYFUNCTION("""COMPUTED_VALUE"""),"")</f>
        <v/>
      </c>
      <c r="Z1102" s="1" t="str">
        <f>IFERROR(__xludf.DUMMYFUNCTION("""COMPUTED_VALUE"""),"Yes")</f>
        <v>Yes</v>
      </c>
      <c r="AA1102" s="1" t="str">
        <f>IFERROR(__xludf.DUMMYFUNCTION("""COMPUTED_VALUE"""),"")</f>
        <v/>
      </c>
      <c r="AB1102" s="1" t="str">
        <f>IFERROR(__xludf.DUMMYFUNCTION("""COMPUTED_VALUE"""),"Organized Advocacy")</f>
        <v>Organized Advocacy</v>
      </c>
      <c r="AC1102" s="1" t="str">
        <f>IFERROR(__xludf.DUMMYFUNCTION("""COMPUTED_VALUE"""),"")</f>
        <v/>
      </c>
      <c r="AD1102" s="1" t="str">
        <f>IFERROR(__xludf.DUMMYFUNCTION("""COMPUTED_VALUE"""),"")</f>
        <v/>
      </c>
      <c r="AE1102" s="1" t="str">
        <f>IFERROR(__xludf.DUMMYFUNCTION("""COMPUTED_VALUE"""),"")</f>
        <v/>
      </c>
      <c r="AF1102" s="1" t="str">
        <f>IFERROR(__xludf.DUMMYFUNCTION("""COMPUTED_VALUE"""),"")</f>
        <v/>
      </c>
      <c r="AG1102" s="1" t="str">
        <f>IFERROR(__xludf.DUMMYFUNCTION("""COMPUTED_VALUE"""),"3 separate parcels")</f>
        <v>3 separate parcels</v>
      </c>
      <c r="AH1102" s="1" t="str">
        <f>IFERROR(__xludf.DUMMYFUNCTION("""COMPUTED_VALUE"""),"Media Monitoring")</f>
        <v>Media Monitoring</v>
      </c>
      <c r="AI1102" s="2" t="str">
        <f>IFERROR(__xludf.DUMMYFUNCTION("""COMPUTED_VALUE"""),"https://www.ksl.com/article/51488565/utah-box-elder-county-officials-mull-plan-to-spur-energy-production-data-center-development")</f>
        <v>https://www.ksl.com/article/51488565/utah-box-elder-county-officials-mull-plan-to-spur-energy-production-data-center-development</v>
      </c>
      <c r="AJ1102" s="2" t="str">
        <f>IFERROR(__xludf.DUMMYFUNCTION("""COMPUTED_VALUE"""),"https://utahcleanenergy.org/estimated-emissions-and-water-consumption-from-the-proposed-stratos-data-center/")</f>
        <v>https://utahcleanenergy.org/estimated-emissions-and-water-consumption-from-the-proposed-stratos-data-center/</v>
      </c>
      <c r="AK1102" s="2" t="str">
        <f>IFERROR(__xludf.DUMMYFUNCTION("""COMPUTED_VALUE"""),"https://www.sltrib.com/news/2026/04/27/hyperscale-data-center-project/")</f>
        <v>https://www.sltrib.com/news/2026/04/27/hyperscale-data-center-project/</v>
      </c>
      <c r="AL1102" s="2" t="str">
        <f>IFERROR(__xludf.DUMMYFUNCTION("""COMPUTED_VALUE"""),"https://www.sltrib.com/news/environment/2026/05/07/utahs-data-center-could-create/")</f>
        <v>https://www.sltrib.com/news/environment/2026/05/07/utahs-data-center-could-create/</v>
      </c>
      <c r="AM1102" s="2" t="str">
        <f>IFERROR(__xludf.DUMMYFUNCTION("""COMPUTED_VALUE"""),"https://www.sltrib.com/news/2026/05/04/utah-data-center-final-vote-box/")</f>
        <v>https://www.sltrib.com/news/2026/05/04/utah-data-center-final-vote-box/</v>
      </c>
      <c r="AN1102" s="1" t="str">
        <f>IFERROR(__xludf.DUMMYFUNCTION("""COMPUTED_VALUE"""),"")</f>
        <v/>
      </c>
      <c r="AO1102" s="1" t="str">
        <f>IFERROR(__xludf.DUMMYFUNCTION("""COMPUTED_VALUE"""),"")</f>
        <v/>
      </c>
      <c r="AP1102" s="1" t="str">
        <f>IFERROR(__xludf.DUMMYFUNCTION("""COMPUTED_VALUE"""),"")</f>
        <v/>
      </c>
      <c r="AQ1102" s="1" t="str">
        <f>IFERROR(__xludf.DUMMYFUNCTION("""COMPUTED_VALUE"""),"04/27/2026")</f>
        <v>04/27/2026</v>
      </c>
      <c r="AR1102" s="1" t="str">
        <f>IFERROR(__xludf.DUMMYFUNCTION("""COMPUTED_VALUE"""),"05/12/2026")</f>
        <v>05/12/2026</v>
      </c>
    </row>
    <row r="1103">
      <c r="A1103" s="1" t="str">
        <f>IFERROR(__xludf.DUMMYFUNCTION("""COMPUTED_VALUE"""),"SLC Data Center Campus, SLC-01, 02, 03")</f>
        <v>SLC Data Center Campus, SLC-01, 02, 03</v>
      </c>
      <c r="B1103" s="1" t="str">
        <f>IFERROR(__xludf.DUMMYFUNCTION("""COMPUTED_VALUE"""),"3333 9000 S")</f>
        <v>3333 9000 S</v>
      </c>
      <c r="C1103" s="1" t="str">
        <f>IFERROR(__xludf.DUMMYFUNCTION("""COMPUTED_VALUE"""),"West Jordan")</f>
        <v>West Jordan</v>
      </c>
      <c r="D1103" s="1" t="str">
        <f>IFERROR(__xludf.DUMMYFUNCTION("""COMPUTED_VALUE"""),"UT")</f>
        <v>UT</v>
      </c>
      <c r="E1103" s="1" t="str">
        <f>IFERROR(__xludf.DUMMYFUNCTION("""COMPUTED_VALUE"""),"84088")</f>
        <v>84088</v>
      </c>
      <c r="F1103" s="1" t="str">
        <f>IFERROR(__xludf.DUMMYFUNCTION("""COMPUTED_VALUE"""),"Salt Lake")</f>
        <v>Salt Lake</v>
      </c>
      <c r="G1103" s="1" t="str">
        <f>IFERROR(__xludf.DUMMYFUNCTION("""COMPUTED_VALUE"""),"40.58617")</f>
        <v>40.58617</v>
      </c>
      <c r="H1103" s="1" t="str">
        <f>IFERROR(__xludf.DUMMYFUNCTION("""COMPUTED_VALUE"""),"-111.97")</f>
        <v>-111.97</v>
      </c>
      <c r="I1103" s="1" t="str">
        <f>IFERROR(__xludf.DUMMYFUNCTION("""COMPUTED_VALUE"""),"Expanding")</f>
        <v>Expanding</v>
      </c>
      <c r="J1103" s="1" t="str">
        <f>IFERROR(__xludf.DUMMYFUNCTION("""COMPUTED_VALUE"""),"High")</f>
        <v>High</v>
      </c>
      <c r="K1103" s="1" t="str">
        <f>IFERROR(__xludf.DUMMYFUNCTION("""COMPUTED_VALUE"""),"")</f>
        <v/>
      </c>
      <c r="L1103" s="1" t="str">
        <f>IFERROR(__xludf.DUMMYFUNCTION("""COMPUTED_VALUE"""),"")</f>
        <v/>
      </c>
      <c r="M1103" s="1" t="str">
        <f>IFERROR(__xludf.DUMMYFUNCTION("""COMPUTED_VALUE"""),"")</f>
        <v/>
      </c>
      <c r="N1103" s="1" t="str">
        <f>IFERROR(__xludf.DUMMYFUNCTION("""COMPUTED_VALUE"""),"200")</f>
        <v>200</v>
      </c>
      <c r="O1103" s="1" t="str">
        <f>IFERROR(__xludf.DUMMYFUNCTION("""COMPUTED_VALUE"""),"Hyperscale (100-999 MW)")</f>
        <v>Hyperscale (100-999 MW)</v>
      </c>
      <c r="P1103" s="1" t="str">
        <f>IFERROR(__xludf.DUMMYFUNCTION("""COMPUTED_VALUE"""),"")</f>
        <v/>
      </c>
      <c r="Q1103" s="1" t="str">
        <f>IFERROR(__xludf.DUMMYFUNCTION("""COMPUTED_VALUE"""),"")</f>
        <v/>
      </c>
      <c r="R1103" s="1" t="str">
        <f>IFERROR(__xludf.DUMMYFUNCTION("""COMPUTED_VALUE"""),"")</f>
        <v/>
      </c>
      <c r="S1103" s="1" t="str">
        <f>IFERROR(__xludf.DUMMYFUNCTION("""COMPUTED_VALUE"""),"3")</f>
        <v>3</v>
      </c>
      <c r="T1103" s="1" t="str">
        <f>IFERROR(__xludf.DUMMYFUNCTION("""COMPUTED_VALUE"""),"")</f>
        <v/>
      </c>
      <c r="U1103" s="1" t="str">
        <f>IFERROR(__xludf.DUMMYFUNCTION("""COMPUTED_VALUE"""),"")</f>
        <v/>
      </c>
      <c r="V1103" s="1" t="str">
        <f>IFERROR(__xludf.DUMMYFUNCTION("""COMPUTED_VALUE"""),"950000")</f>
        <v>950000</v>
      </c>
      <c r="W1103" s="1" t="str">
        <f>IFERROR(__xludf.DUMMYFUNCTION("""COMPUTED_VALUE"""),"55")</f>
        <v>55</v>
      </c>
      <c r="X1103" s="1" t="str">
        <f>IFERROR(__xludf.DUMMYFUNCTION("""COMPUTED_VALUE"""),"")</f>
        <v/>
      </c>
      <c r="Y1103" s="1" t="str">
        <f>IFERROR(__xludf.DUMMYFUNCTION("""COMPUTED_VALUE"""),"")</f>
        <v/>
      </c>
      <c r="Z1103" s="1" t="str">
        <f>IFERROR(__xludf.DUMMYFUNCTION("""COMPUTED_VALUE"""),"Unknown")</f>
        <v>Unknown</v>
      </c>
      <c r="AA1103" s="1" t="str">
        <f>IFERROR(__xludf.DUMMYFUNCTION("""COMPUTED_VALUE"""),"")</f>
        <v/>
      </c>
      <c r="AB1103" s="1" t="str">
        <f>IFERROR(__xludf.DUMMYFUNCTION("""COMPUTED_VALUE"""),"")</f>
        <v/>
      </c>
      <c r="AC1103" s="1" t="str">
        <f>IFERROR(__xludf.DUMMYFUNCTION("""COMPUTED_VALUE"""),"")</f>
        <v/>
      </c>
      <c r="AD1103" s="1" t="str">
        <f>IFERROR(__xludf.DUMMYFUNCTION("""COMPUTED_VALUE"""),"")</f>
        <v/>
      </c>
      <c r="AE1103" s="1" t="str">
        <f>IFERROR(__xludf.DUMMYFUNCTION("""COMPUTED_VALUE"""),"")</f>
        <v/>
      </c>
      <c r="AF1103" s="1" t="str">
        <f>IFERROR(__xludf.DUMMYFUNCTION("""COMPUTED_VALUE"""),"")</f>
        <v/>
      </c>
      <c r="AG1103" s="1" t="str">
        <f>IFERROR(__xludf.DUMMYFUNCTION("""COMPUTED_VALUE"""),"Neighbor complaints: ""Constantly produces a loud roaring sound, creating great distress in surrounding neighborhoods"".")</f>
        <v>Neighbor complaints: "Constantly produces a loud roaring sound, creating great distress in surrounding neighborhoods".</v>
      </c>
      <c r="AH1103" s="1" t="str">
        <f>IFERROR(__xludf.DUMMYFUNCTION("""COMPUTED_VALUE"""),"Media Monitoring")</f>
        <v>Media Monitoring</v>
      </c>
      <c r="AI1103" s="2" t="str">
        <f>IFERROR(__xludf.DUMMYFUNCTION("""COMPUTED_VALUE"""),"https://www.datacenterdynamics.com/en/news/aligned-announces-plans-for-100mw-data-center-in-salt-lake-city-utah/")</f>
        <v>https://www.datacenterdynamics.com/en/news/aligned-announces-plans-for-100mw-data-center-in-salt-lake-city-utah/</v>
      </c>
      <c r="AJ1103" s="2" t="str">
        <f>IFERROR(__xludf.DUMMYFUNCTION("""COMPUTED_VALUE"""),"https://www.datacenterdynamics.com/en/news/aligned-opens-second-salt-lake-city-data-center/")</f>
        <v>https://www.datacenterdynamics.com/en/news/aligned-opens-second-salt-lake-city-data-center/</v>
      </c>
      <c r="AK1103" s="1" t="str">
        <f>IFERROR(__xludf.DUMMYFUNCTION("""COMPUTED_VALUE"""),"")</f>
        <v/>
      </c>
      <c r="AL1103" s="1" t="str">
        <f>IFERROR(__xludf.DUMMYFUNCTION("""COMPUTED_VALUE"""),"")</f>
        <v/>
      </c>
      <c r="AM1103" s="1" t="str">
        <f>IFERROR(__xludf.DUMMYFUNCTION("""COMPUTED_VALUE"""),"")</f>
        <v/>
      </c>
      <c r="AN1103" s="1" t="str">
        <f>IFERROR(__xludf.DUMMYFUNCTION("""COMPUTED_VALUE"""),"")</f>
        <v/>
      </c>
      <c r="AO1103" s="1" t="str">
        <f>IFERROR(__xludf.DUMMYFUNCTION("""COMPUTED_VALUE"""),"")</f>
        <v/>
      </c>
      <c r="AP1103" s="1" t="str">
        <f>IFERROR(__xludf.DUMMYFUNCTION("""COMPUTED_VALUE"""),"")</f>
        <v/>
      </c>
      <c r="AQ1103" s="1" t="str">
        <f>IFERROR(__xludf.DUMMYFUNCTION("""COMPUTED_VALUE"""),"06/19/2025")</f>
        <v>06/19/2025</v>
      </c>
      <c r="AR1103" s="1" t="str">
        <f>IFERROR(__xludf.DUMMYFUNCTION("""COMPUTED_VALUE"""),"05/14/2026")</f>
        <v>05/14/2026</v>
      </c>
    </row>
    <row r="1104">
      <c r="A1104" s="1" t="str">
        <f>IFERROR(__xludf.DUMMYFUNCTION("""COMPUTED_VALUE"""),"Bull Church Data Center")</f>
        <v>Bull Church Data Center</v>
      </c>
      <c r="B1104" s="1" t="str">
        <f>IFERROR(__xludf.DUMMYFUNCTION("""COMPUTED_VALUE"""),"Bull Church Road, east of I-95 near the Ladysmith interchange")</f>
        <v>Bull Church Road, east of I-95 near the Ladysmith interchange</v>
      </c>
      <c r="C1104" s="1" t="str">
        <f>IFERROR(__xludf.DUMMYFUNCTION("""COMPUTED_VALUE"""),"")</f>
        <v/>
      </c>
      <c r="D1104" s="1" t="str">
        <f>IFERROR(__xludf.DUMMYFUNCTION("""COMPUTED_VALUE"""),"VA")</f>
        <v>VA</v>
      </c>
      <c r="E1104" s="1" t="str">
        <f>IFERROR(__xludf.DUMMYFUNCTION("""COMPUTED_VALUE"""),"22546")</f>
        <v>22546</v>
      </c>
      <c r="F1104" s="1" t="str">
        <f>IFERROR(__xludf.DUMMYFUNCTION("""COMPUTED_VALUE"""),"Caroline")</f>
        <v>Caroline</v>
      </c>
      <c r="G1104" s="1" t="str">
        <f>IFERROR(__xludf.DUMMYFUNCTION("""COMPUTED_VALUE"""),"38.009125")</f>
        <v>38.009125</v>
      </c>
      <c r="H1104" s="1" t="str">
        <f>IFERROR(__xludf.DUMMYFUNCTION("""COMPUTED_VALUE"""),"-77.49331")</f>
        <v>-77.49331</v>
      </c>
      <c r="I1104" s="1" t="str">
        <f>IFERROR(__xludf.DUMMYFUNCTION("""COMPUTED_VALUE"""),"Proposed")</f>
        <v>Proposed</v>
      </c>
      <c r="J1104" s="1" t="str">
        <f>IFERROR(__xludf.DUMMYFUNCTION("""COMPUTED_VALUE"""),"Medium")</f>
        <v>Medium</v>
      </c>
      <c r="K1104" s="1" t="str">
        <f>IFERROR(__xludf.DUMMYFUNCTION("""COMPUTED_VALUE"""),"")</f>
        <v/>
      </c>
      <c r="L1104" s="1" t="str">
        <f>IFERROR(__xludf.DUMMYFUNCTION("""COMPUTED_VALUE"""),"")</f>
        <v/>
      </c>
      <c r="M1104" s="1" t="str">
        <f>IFERROR(__xludf.DUMMYFUNCTION("""COMPUTED_VALUE"""),"")</f>
        <v/>
      </c>
      <c r="N1104" s="1" t="str">
        <f>IFERROR(__xludf.DUMMYFUNCTION("""COMPUTED_VALUE"""),"")</f>
        <v/>
      </c>
      <c r="O1104" s="1" t="str">
        <f>IFERROR(__xludf.DUMMYFUNCTION("""COMPUTED_VALUE"""),"Unknown")</f>
        <v>Unknown</v>
      </c>
      <c r="P1104" s="1" t="str">
        <f>IFERROR(__xludf.DUMMYFUNCTION("""COMPUTED_VALUE"""),"")</f>
        <v/>
      </c>
      <c r="Q1104" s="1" t="str">
        <f>IFERROR(__xludf.DUMMYFUNCTION("""COMPUTED_VALUE"""),"")</f>
        <v/>
      </c>
      <c r="R1104" s="1" t="str">
        <f>IFERROR(__xludf.DUMMYFUNCTION("""COMPUTED_VALUE"""),"")</f>
        <v/>
      </c>
      <c r="S1104" s="1" t="str">
        <f>IFERROR(__xludf.DUMMYFUNCTION("""COMPUTED_VALUE"""),"")</f>
        <v/>
      </c>
      <c r="T1104" s="1" t="str">
        <f>IFERROR(__xludf.DUMMYFUNCTION("""COMPUTED_VALUE"""),"")</f>
        <v/>
      </c>
      <c r="U1104" s="1" t="str">
        <f>IFERROR(__xludf.DUMMYFUNCTION("""COMPUTED_VALUE"""),"")</f>
        <v/>
      </c>
      <c r="V1104" s="1" t="str">
        <f>IFERROR(__xludf.DUMMYFUNCTION("""COMPUTED_VALUE"""),"792,000")</f>
        <v>792,000</v>
      </c>
      <c r="W1104" s="1" t="str">
        <f>IFERROR(__xludf.DUMMYFUNCTION("""COMPUTED_VALUE"""),"88")</f>
        <v>88</v>
      </c>
      <c r="X1104" s="1" t="str">
        <f>IFERROR(__xludf.DUMMYFUNCTION("""COMPUTED_VALUE"""),"")</f>
        <v/>
      </c>
      <c r="Y1104" s="1" t="str">
        <f>IFERROR(__xludf.DUMMYFUNCTION("""COMPUTED_VALUE"""),"")</f>
        <v/>
      </c>
      <c r="Z1104" s="1" t="str">
        <f>IFERROR(__xludf.DUMMYFUNCTION("""COMPUTED_VALUE"""),"Unknown")</f>
        <v>Unknown</v>
      </c>
      <c r="AA1104" s="1" t="str">
        <f>IFERROR(__xludf.DUMMYFUNCTION("""COMPUTED_VALUE"""),"")</f>
        <v/>
      </c>
      <c r="AB1104" s="1" t="str">
        <f>IFERROR(__xludf.DUMMYFUNCTION("""COMPUTED_VALUE"""),"")</f>
        <v/>
      </c>
      <c r="AC1104" s="1" t="str">
        <f>IFERROR(__xludf.DUMMYFUNCTION("""COMPUTED_VALUE"""),"")</f>
        <v/>
      </c>
      <c r="AD1104" s="1" t="str">
        <f>IFERROR(__xludf.DUMMYFUNCTION("""COMPUTED_VALUE"""),"")</f>
        <v/>
      </c>
      <c r="AE1104" s="1" t="str">
        <f>IFERROR(__xludf.DUMMYFUNCTION("""COMPUTED_VALUE"""),"")</f>
        <v/>
      </c>
      <c r="AF1104" s="1" t="str">
        <f>IFERROR(__xludf.DUMMYFUNCTION("""COMPUTED_VALUE"""),"")</f>
        <v/>
      </c>
      <c r="AG1104" s="1" t="str">
        <f>IFERROR(__xludf.DUMMYFUNCTION("""COMPUTED_VALUE"""),"")</f>
        <v/>
      </c>
      <c r="AH1104" s="1" t="str">
        <f>IFERROR(__xludf.DUMMYFUNCTION("""COMPUTED_VALUE"""),"PEC")</f>
        <v>PEC</v>
      </c>
      <c r="AI1104" s="2" t="str">
        <f>IFERROR(__xludf.DUMMYFUNCTION("""COMPUTED_VALUE"""),"https://co.caroline.va.us/DocumentCenter/View/9793/RZ-04-2024--Bull-Church-Data-Center")</f>
        <v>https://co.caroline.va.us/DocumentCenter/View/9793/RZ-04-2024--Bull-Church-Data-Center</v>
      </c>
      <c r="AJ1104" s="1" t="str">
        <f>IFERROR(__xludf.DUMMYFUNCTION("""COMPUTED_VALUE"""),"")</f>
        <v/>
      </c>
      <c r="AK1104" s="1" t="str">
        <f>IFERROR(__xludf.DUMMYFUNCTION("""COMPUTED_VALUE"""),"")</f>
        <v/>
      </c>
      <c r="AL1104" s="1" t="str">
        <f>IFERROR(__xludf.DUMMYFUNCTION("""COMPUTED_VALUE"""),"")</f>
        <v/>
      </c>
      <c r="AM1104" s="1" t="str">
        <f>IFERROR(__xludf.DUMMYFUNCTION("""COMPUTED_VALUE"""),"")</f>
        <v/>
      </c>
      <c r="AN1104" s="1" t="str">
        <f>IFERROR(__xludf.DUMMYFUNCTION("""COMPUTED_VALUE"""),"")</f>
        <v/>
      </c>
      <c r="AO1104" s="1" t="str">
        <f>IFERROR(__xludf.DUMMYFUNCTION("""COMPUTED_VALUE"""),"")</f>
        <v/>
      </c>
      <c r="AP1104" s="1" t="str">
        <f>IFERROR(__xludf.DUMMYFUNCTION("""COMPUTED_VALUE"""),"")</f>
        <v/>
      </c>
      <c r="AQ1104" s="1" t="str">
        <f>IFERROR(__xludf.DUMMYFUNCTION("""COMPUTED_VALUE"""),"07/16/2025")</f>
        <v>07/16/2025</v>
      </c>
      <c r="AR1104" s="1" t="str">
        <f>IFERROR(__xludf.DUMMYFUNCTION("""COMPUTED_VALUE"""),"10/17/2025")</f>
        <v>10/17/2025</v>
      </c>
    </row>
    <row r="1105">
      <c r="A1105" s="1" t="str">
        <f>IFERROR(__xludf.DUMMYFUNCTION("""COMPUTED_VALUE"""),"Green Energy Ventures Data Center")</f>
        <v>Green Energy Ventures Data Center</v>
      </c>
      <c r="B1105" s="1" t="str">
        <f>IFERROR(__xludf.DUMMYFUNCTION("""COMPUTED_VALUE"""),"Graves Corner Northwest of the intersection of Bloomsbury Road and Kings HWY")</f>
        <v>Graves Corner Northwest of the intersection of Bloomsbury Road and Kings HWY</v>
      </c>
      <c r="C1105" s="1" t="str">
        <f>IFERROR(__xludf.DUMMYFUNCTION("""COMPUTED_VALUE"""),"")</f>
        <v/>
      </c>
      <c r="D1105" s="1" t="str">
        <f>IFERROR(__xludf.DUMMYFUNCTION("""COMPUTED_VALUE"""),"VA")</f>
        <v>VA</v>
      </c>
      <c r="E1105" s="1" t="str">
        <f>IFERROR(__xludf.DUMMYFUNCTION("""COMPUTED_VALUE"""),"22485")</f>
        <v>22485</v>
      </c>
      <c r="F1105" s="1" t="str">
        <f>IFERROR(__xludf.DUMMYFUNCTION("""COMPUTED_VALUE"""),"King George")</f>
        <v>King George</v>
      </c>
      <c r="G1105" s="1" t="str">
        <f>IFERROR(__xludf.DUMMYFUNCTION("""COMPUTED_VALUE"""),"38.256557")</f>
        <v>38.256557</v>
      </c>
      <c r="H1105" s="1" t="str">
        <f>IFERROR(__xludf.DUMMYFUNCTION("""COMPUTED_VALUE"""),"-77.29122")</f>
        <v>-77.29122</v>
      </c>
      <c r="I1105" s="1" t="str">
        <f>IFERROR(__xludf.DUMMYFUNCTION("""COMPUTED_VALUE"""),"Proposed")</f>
        <v>Proposed</v>
      </c>
      <c r="J1105" s="1" t="str">
        <f>IFERROR(__xludf.DUMMYFUNCTION("""COMPUTED_VALUE"""),"Medium")</f>
        <v>Medium</v>
      </c>
      <c r="K1105" s="1" t="str">
        <f>IFERROR(__xludf.DUMMYFUNCTION("""COMPUTED_VALUE"""),"")</f>
        <v/>
      </c>
      <c r="L1105" s="1" t="str">
        <f>IFERROR(__xludf.DUMMYFUNCTION("""COMPUTED_VALUE"""),"")</f>
        <v/>
      </c>
      <c r="M1105" s="1" t="str">
        <f>IFERROR(__xludf.DUMMYFUNCTION("""COMPUTED_VALUE"""),"")</f>
        <v/>
      </c>
      <c r="N1105" s="1" t="str">
        <f>IFERROR(__xludf.DUMMYFUNCTION("""COMPUTED_VALUE"""),"")</f>
        <v/>
      </c>
      <c r="O1105" s="1" t="str">
        <f>IFERROR(__xludf.DUMMYFUNCTION("""COMPUTED_VALUE"""),"Unknown")</f>
        <v>Unknown</v>
      </c>
      <c r="P1105" s="1" t="str">
        <f>IFERROR(__xludf.DUMMYFUNCTION("""COMPUTED_VALUE"""),"")</f>
        <v/>
      </c>
      <c r="Q1105" s="1" t="str">
        <f>IFERROR(__xludf.DUMMYFUNCTION("""COMPUTED_VALUE"""),"")</f>
        <v/>
      </c>
      <c r="R1105" s="1" t="str">
        <f>IFERROR(__xludf.DUMMYFUNCTION("""COMPUTED_VALUE"""),"")</f>
        <v/>
      </c>
      <c r="S1105" s="1" t="str">
        <f>IFERROR(__xludf.DUMMYFUNCTION("""COMPUTED_VALUE"""),"")</f>
        <v/>
      </c>
      <c r="T1105" s="1" t="str">
        <f>IFERROR(__xludf.DUMMYFUNCTION("""COMPUTED_VALUE"""),"")</f>
        <v/>
      </c>
      <c r="U1105" s="1" t="str">
        <f>IFERROR(__xludf.DUMMYFUNCTION("""COMPUTED_VALUE"""),"")</f>
        <v/>
      </c>
      <c r="V1105" s="1" t="str">
        <f>IFERROR(__xludf.DUMMYFUNCTION("""COMPUTED_VALUE"""),"6,500,000")</f>
        <v>6,500,000</v>
      </c>
      <c r="W1105" s="1" t="str">
        <f>IFERROR(__xludf.DUMMYFUNCTION("""COMPUTED_VALUE"""),"352")</f>
        <v>352</v>
      </c>
      <c r="X1105" s="1" t="str">
        <f>IFERROR(__xludf.DUMMYFUNCTION("""COMPUTED_VALUE"""),"")</f>
        <v/>
      </c>
      <c r="Y1105" s="1" t="str">
        <f>IFERROR(__xludf.DUMMYFUNCTION("""COMPUTED_VALUE"""),"")</f>
        <v/>
      </c>
      <c r="Z1105" s="1" t="str">
        <f>IFERROR(__xludf.DUMMYFUNCTION("""COMPUTED_VALUE"""),"Unknown")</f>
        <v>Unknown</v>
      </c>
      <c r="AA1105" s="1" t="str">
        <f>IFERROR(__xludf.DUMMYFUNCTION("""COMPUTED_VALUE"""),"")</f>
        <v/>
      </c>
      <c r="AB1105" s="1" t="str">
        <f>IFERROR(__xludf.DUMMYFUNCTION("""COMPUTED_VALUE"""),"")</f>
        <v/>
      </c>
      <c r="AC1105" s="1" t="str">
        <f>IFERROR(__xludf.DUMMYFUNCTION("""COMPUTED_VALUE"""),"")</f>
        <v/>
      </c>
      <c r="AD1105" s="1" t="str">
        <f>IFERROR(__xludf.DUMMYFUNCTION("""COMPUTED_VALUE"""),"")</f>
        <v/>
      </c>
      <c r="AE1105" s="1" t="str">
        <f>IFERROR(__xludf.DUMMYFUNCTION("""COMPUTED_VALUE"""),"")</f>
        <v/>
      </c>
      <c r="AF1105" s="1" t="str">
        <f>IFERROR(__xludf.DUMMYFUNCTION("""COMPUTED_VALUE"""),"")</f>
        <v/>
      </c>
      <c r="AG1105" s="1" t="str">
        <f>IFERROR(__xludf.DUMMYFUNCTION("""COMPUTED_VALUE"""),"Project covers more than one parcel, the acreage represents the combined acreage")</f>
        <v>Project covers more than one parcel, the acreage represents the combined acreage</v>
      </c>
      <c r="AH1105" s="1" t="str">
        <f>IFERROR(__xludf.DUMMYFUNCTION("""COMPUTED_VALUE"""),"PEC")</f>
        <v>PEC</v>
      </c>
      <c r="AI1105" s="2" t="str">
        <f>IFERROR(__xludf.DUMMYFUNCTION("""COMPUTED_VALUE"""),"https://kinggeorgetechnologycenter.com/submissions/")</f>
        <v>https://kinggeorgetechnologycenter.com/submissions/</v>
      </c>
      <c r="AJ1105" s="1" t="str">
        <f>IFERROR(__xludf.DUMMYFUNCTION("""COMPUTED_VALUE"""),"")</f>
        <v/>
      </c>
      <c r="AK1105" s="1" t="str">
        <f>IFERROR(__xludf.DUMMYFUNCTION("""COMPUTED_VALUE"""),"")</f>
        <v/>
      </c>
      <c r="AL1105" s="1" t="str">
        <f>IFERROR(__xludf.DUMMYFUNCTION("""COMPUTED_VALUE"""),"")</f>
        <v/>
      </c>
      <c r="AM1105" s="1" t="str">
        <f>IFERROR(__xludf.DUMMYFUNCTION("""COMPUTED_VALUE"""),"")</f>
        <v/>
      </c>
      <c r="AN1105" s="1" t="str">
        <f>IFERROR(__xludf.DUMMYFUNCTION("""COMPUTED_VALUE"""),"")</f>
        <v/>
      </c>
      <c r="AO1105" s="1" t="str">
        <f>IFERROR(__xludf.DUMMYFUNCTION("""COMPUTED_VALUE"""),"")</f>
        <v/>
      </c>
      <c r="AP1105" s="1" t="str">
        <f>IFERROR(__xludf.DUMMYFUNCTION("""COMPUTED_VALUE"""),"")</f>
        <v/>
      </c>
      <c r="AQ1105" s="1" t="str">
        <f>IFERROR(__xludf.DUMMYFUNCTION("""COMPUTED_VALUE"""),"07/17/2025")</f>
        <v>07/17/2025</v>
      </c>
      <c r="AR1105" s="1" t="str">
        <f>IFERROR(__xludf.DUMMYFUNCTION("""COMPUTED_VALUE"""),"10/17/2025")</f>
        <v>10/17/2025</v>
      </c>
    </row>
    <row r="1106">
      <c r="A1106" s="1" t="str">
        <f>IFERROR(__xludf.DUMMYFUNCTION("""COMPUTED_VALUE"""),"Ladysmith Technology Park")</f>
        <v>Ladysmith Technology Park</v>
      </c>
      <c r="B1106" s="1" t="str">
        <f>IFERROR(__xludf.DUMMYFUNCTION("""COMPUTED_VALUE"""),"Ladysmith Road, northwest of I-95 &amp; Ladysmith Road Intersection")</f>
        <v>Ladysmith Road, northwest of I-95 &amp; Ladysmith Road Intersection</v>
      </c>
      <c r="C1106" s="1" t="str">
        <f>IFERROR(__xludf.DUMMYFUNCTION("""COMPUTED_VALUE"""),"")</f>
        <v/>
      </c>
      <c r="D1106" s="1" t="str">
        <f>IFERROR(__xludf.DUMMYFUNCTION("""COMPUTED_VALUE"""),"VA")</f>
        <v>VA</v>
      </c>
      <c r="E1106" s="1" t="str">
        <f>IFERROR(__xludf.DUMMYFUNCTION("""COMPUTED_VALUE"""),"22546")</f>
        <v>22546</v>
      </c>
      <c r="F1106" s="1" t="str">
        <f>IFERROR(__xludf.DUMMYFUNCTION("""COMPUTED_VALUE"""),"Caroline")</f>
        <v>Caroline</v>
      </c>
      <c r="G1106" s="1" t="str">
        <f>IFERROR(__xludf.DUMMYFUNCTION("""COMPUTED_VALUE"""),"38.0269")</f>
        <v>38.0269</v>
      </c>
      <c r="H1106" s="1" t="str">
        <f>IFERROR(__xludf.DUMMYFUNCTION("""COMPUTED_VALUE"""),"-77.50431")</f>
        <v>-77.50431</v>
      </c>
      <c r="I1106" s="1" t="str">
        <f>IFERROR(__xludf.DUMMYFUNCTION("""COMPUTED_VALUE"""),"Proposed")</f>
        <v>Proposed</v>
      </c>
      <c r="J1106" s="1" t="str">
        <f>IFERROR(__xludf.DUMMYFUNCTION("""COMPUTED_VALUE"""),"Medium")</f>
        <v>Medium</v>
      </c>
      <c r="K1106" s="1" t="str">
        <f>IFERROR(__xludf.DUMMYFUNCTION("""COMPUTED_VALUE"""),"")</f>
        <v/>
      </c>
      <c r="L1106" s="1" t="str">
        <f>IFERROR(__xludf.DUMMYFUNCTION("""COMPUTED_VALUE"""),"")</f>
        <v/>
      </c>
      <c r="M1106" s="1" t="str">
        <f>IFERROR(__xludf.DUMMYFUNCTION("""COMPUTED_VALUE"""),"")</f>
        <v/>
      </c>
      <c r="N1106" s="1" t="str">
        <f>IFERROR(__xludf.DUMMYFUNCTION("""COMPUTED_VALUE"""),"")</f>
        <v/>
      </c>
      <c r="O1106" s="1" t="str">
        <f>IFERROR(__xludf.DUMMYFUNCTION("""COMPUTED_VALUE"""),"Unknown")</f>
        <v>Unknown</v>
      </c>
      <c r="P1106" s="1" t="str">
        <f>IFERROR(__xludf.DUMMYFUNCTION("""COMPUTED_VALUE"""),"")</f>
        <v/>
      </c>
      <c r="Q1106" s="1" t="str">
        <f>IFERROR(__xludf.DUMMYFUNCTION("""COMPUTED_VALUE"""),"")</f>
        <v/>
      </c>
      <c r="R1106" s="1" t="str">
        <f>IFERROR(__xludf.DUMMYFUNCTION("""COMPUTED_VALUE"""),"")</f>
        <v/>
      </c>
      <c r="S1106" s="1" t="str">
        <f>IFERROR(__xludf.DUMMYFUNCTION("""COMPUTED_VALUE"""),"")</f>
        <v/>
      </c>
      <c r="T1106" s="1" t="str">
        <f>IFERROR(__xludf.DUMMYFUNCTION("""COMPUTED_VALUE"""),"")</f>
        <v/>
      </c>
      <c r="U1106" s="1" t="str">
        <f>IFERROR(__xludf.DUMMYFUNCTION("""COMPUTED_VALUE"""),"")</f>
        <v/>
      </c>
      <c r="V1106" s="1" t="str">
        <f>IFERROR(__xludf.DUMMYFUNCTION("""COMPUTED_VALUE"""),"1,684,480")</f>
        <v>1,684,480</v>
      </c>
      <c r="W1106" s="1" t="str">
        <f>IFERROR(__xludf.DUMMYFUNCTION("""COMPUTED_VALUE"""),"165")</f>
        <v>165</v>
      </c>
      <c r="X1106" s="1" t="str">
        <f>IFERROR(__xludf.DUMMYFUNCTION("""COMPUTED_VALUE"""),"")</f>
        <v/>
      </c>
      <c r="Y1106" s="1" t="str">
        <f>IFERROR(__xludf.DUMMYFUNCTION("""COMPUTED_VALUE"""),"")</f>
        <v/>
      </c>
      <c r="Z1106" s="1" t="str">
        <f>IFERROR(__xludf.DUMMYFUNCTION("""COMPUTED_VALUE"""),"Unknown")</f>
        <v>Unknown</v>
      </c>
      <c r="AA1106" s="1" t="str">
        <f>IFERROR(__xludf.DUMMYFUNCTION("""COMPUTED_VALUE"""),"")</f>
        <v/>
      </c>
      <c r="AB1106" s="1" t="str">
        <f>IFERROR(__xludf.DUMMYFUNCTION("""COMPUTED_VALUE"""),"")</f>
        <v/>
      </c>
      <c r="AC1106" s="1" t="str">
        <f>IFERROR(__xludf.DUMMYFUNCTION("""COMPUTED_VALUE"""),"")</f>
        <v/>
      </c>
      <c r="AD1106" s="1" t="str">
        <f>IFERROR(__xludf.DUMMYFUNCTION("""COMPUTED_VALUE"""),"")</f>
        <v/>
      </c>
      <c r="AE1106" s="1" t="str">
        <f>IFERROR(__xludf.DUMMYFUNCTION("""COMPUTED_VALUE"""),"")</f>
        <v/>
      </c>
      <c r="AF1106" s="1" t="str">
        <f>IFERROR(__xludf.DUMMYFUNCTION("""COMPUTED_VALUE"""),"")</f>
        <v/>
      </c>
      <c r="AG1106" s="1" t="str">
        <f>IFERROR(__xludf.DUMMYFUNCTION("""COMPUTED_VALUE"""),"")</f>
        <v/>
      </c>
      <c r="AH1106" s="1" t="str">
        <f>IFERROR(__xludf.DUMMYFUNCTION("""COMPUTED_VALUE"""),"PEC")</f>
        <v>PEC</v>
      </c>
      <c r="AI1106" s="2" t="str">
        <f>IFERROR(__xludf.DUMMYFUNCTION("""COMPUTED_VALUE"""),"https://co.caroline.va.us/DocumentCenter/View/10114/SP-26-2024--Ladysmith-Tech-Park--Port-Royal")</f>
        <v>https://co.caroline.va.us/DocumentCenter/View/10114/SP-26-2024--Ladysmith-Tech-Park--Port-Royal</v>
      </c>
      <c r="AJ1106" s="1" t="str">
        <f>IFERROR(__xludf.DUMMYFUNCTION("""COMPUTED_VALUE"""),"")</f>
        <v/>
      </c>
      <c r="AK1106" s="1" t="str">
        <f>IFERROR(__xludf.DUMMYFUNCTION("""COMPUTED_VALUE"""),"")</f>
        <v/>
      </c>
      <c r="AL1106" s="1" t="str">
        <f>IFERROR(__xludf.DUMMYFUNCTION("""COMPUTED_VALUE"""),"")</f>
        <v/>
      </c>
      <c r="AM1106" s="1" t="str">
        <f>IFERROR(__xludf.DUMMYFUNCTION("""COMPUTED_VALUE"""),"")</f>
        <v/>
      </c>
      <c r="AN1106" s="1" t="str">
        <f>IFERROR(__xludf.DUMMYFUNCTION("""COMPUTED_VALUE"""),"")</f>
        <v/>
      </c>
      <c r="AO1106" s="1" t="str">
        <f>IFERROR(__xludf.DUMMYFUNCTION("""COMPUTED_VALUE"""),"")</f>
        <v/>
      </c>
      <c r="AP1106" s="1" t="str">
        <f>IFERROR(__xludf.DUMMYFUNCTION("""COMPUTED_VALUE"""),"")</f>
        <v/>
      </c>
      <c r="AQ1106" s="1" t="str">
        <f>IFERROR(__xludf.DUMMYFUNCTION("""COMPUTED_VALUE"""),"07/17/2025")</f>
        <v>07/17/2025</v>
      </c>
      <c r="AR1106" s="1" t="str">
        <f>IFERROR(__xludf.DUMMYFUNCTION("""COMPUTED_VALUE"""),"10/17/2025")</f>
        <v>10/17/2025</v>
      </c>
    </row>
    <row r="1107">
      <c r="A1107" s="1" t="str">
        <f>IFERROR(__xludf.DUMMYFUNCTION("""COMPUTED_VALUE"""),"24244 QUAIL RIDGE LN")</f>
        <v>24244 QUAIL RIDGE LN</v>
      </c>
      <c r="B1107" s="1" t="str">
        <f>IFERROR(__xludf.DUMMYFUNCTION("""COMPUTED_VALUE"""),"24244 QUAIL RIDGE LN")</f>
        <v>24244 QUAIL RIDGE LN</v>
      </c>
      <c r="C1107" s="1" t="str">
        <f>IFERROR(__xludf.DUMMYFUNCTION("""COMPUTED_VALUE"""),"Aldie")</f>
        <v>Aldie</v>
      </c>
      <c r="D1107" s="1" t="str">
        <f>IFERROR(__xludf.DUMMYFUNCTION("""COMPUTED_VALUE"""),"VA")</f>
        <v>VA</v>
      </c>
      <c r="E1107" s="1" t="str">
        <f>IFERROR(__xludf.DUMMYFUNCTION("""COMPUTED_VALUE"""),"20105")</f>
        <v>20105</v>
      </c>
      <c r="F1107" s="1" t="str">
        <f>IFERROR(__xludf.DUMMYFUNCTION("""COMPUTED_VALUE"""),"Loudoun")</f>
        <v>Loudoun</v>
      </c>
      <c r="G1107" s="1" t="str">
        <f>IFERROR(__xludf.DUMMYFUNCTION("""COMPUTED_VALUE"""),"38.94905")</f>
        <v>38.94905</v>
      </c>
      <c r="H1107" s="1" t="str">
        <f>IFERROR(__xludf.DUMMYFUNCTION("""COMPUTED_VALUE"""),"-77.56043")</f>
        <v>-77.56043</v>
      </c>
      <c r="I1107" s="1" t="str">
        <f>IFERROR(__xludf.DUMMYFUNCTION("""COMPUTED_VALUE"""),"Operating")</f>
        <v>Operating</v>
      </c>
      <c r="J1107" s="1" t="str">
        <f>IFERROR(__xludf.DUMMYFUNCTION("""COMPUTED_VALUE"""),"High")</f>
        <v>High</v>
      </c>
      <c r="K1107" s="1" t="str">
        <f>IFERROR(__xludf.DUMMYFUNCTION("""COMPUTED_VALUE"""),"")</f>
        <v/>
      </c>
      <c r="L1107" s="1" t="str">
        <f>IFERROR(__xludf.DUMMYFUNCTION("""COMPUTED_VALUE"""),"Amazon")</f>
        <v>Amazon</v>
      </c>
      <c r="M1107" s="1" t="str">
        <f>IFERROR(__xludf.DUMMYFUNCTION("""COMPUTED_VALUE"""),"")</f>
        <v/>
      </c>
      <c r="N1107" s="1" t="str">
        <f>IFERROR(__xludf.DUMMYFUNCTION("""COMPUTED_VALUE"""),"")</f>
        <v/>
      </c>
      <c r="O1107" s="1" t="str">
        <f>IFERROR(__xludf.DUMMYFUNCTION("""COMPUTED_VALUE"""),"Unknown")</f>
        <v>Unknown</v>
      </c>
      <c r="P1107" s="1" t="str">
        <f>IFERROR(__xludf.DUMMYFUNCTION("""COMPUTED_VALUE"""),"")</f>
        <v/>
      </c>
      <c r="Q1107" s="1" t="str">
        <f>IFERROR(__xludf.DUMMYFUNCTION("""COMPUTED_VALUE"""),"")</f>
        <v/>
      </c>
      <c r="R1107" s="1" t="str">
        <f>IFERROR(__xludf.DUMMYFUNCTION("""COMPUTED_VALUE"""),"")</f>
        <v/>
      </c>
      <c r="S1107" s="1" t="str">
        <f>IFERROR(__xludf.DUMMYFUNCTION("""COMPUTED_VALUE"""),"")</f>
        <v/>
      </c>
      <c r="T1107" s="1" t="str">
        <f>IFERROR(__xludf.DUMMYFUNCTION("""COMPUTED_VALUE"""),"")</f>
        <v/>
      </c>
      <c r="U1107" s="1" t="str">
        <f>IFERROR(__xludf.DUMMYFUNCTION("""COMPUTED_VALUE"""),"")</f>
        <v/>
      </c>
      <c r="V1107" s="1" t="str">
        <f>IFERROR(__xludf.DUMMYFUNCTION("""COMPUTED_VALUE"""),"412,400")</f>
        <v>412,400</v>
      </c>
      <c r="W1107" s="1" t="str">
        <f>IFERROR(__xludf.DUMMYFUNCTION("""COMPUTED_VALUE"""),"23")</f>
        <v>23</v>
      </c>
      <c r="X1107" s="1" t="str">
        <f>IFERROR(__xludf.DUMMYFUNCTION("""COMPUTED_VALUE"""),"")</f>
        <v/>
      </c>
      <c r="Y1107" s="1" t="str">
        <f>IFERROR(__xludf.DUMMYFUNCTION("""COMPUTED_VALUE"""),"")</f>
        <v/>
      </c>
      <c r="Z1107" s="1" t="str">
        <f>IFERROR(__xludf.DUMMYFUNCTION("""COMPUTED_VALUE"""),"Unknown")</f>
        <v>Unknown</v>
      </c>
      <c r="AA1107" s="1" t="str">
        <f>IFERROR(__xludf.DUMMYFUNCTION("""COMPUTED_VALUE"""),"")</f>
        <v/>
      </c>
      <c r="AB1107" s="1" t="str">
        <f>IFERROR(__xludf.DUMMYFUNCTION("""COMPUTED_VALUE"""),"")</f>
        <v/>
      </c>
      <c r="AC1107" s="1" t="str">
        <f>IFERROR(__xludf.DUMMYFUNCTION("""COMPUTED_VALUE"""),"")</f>
        <v/>
      </c>
      <c r="AD1107" s="1" t="str">
        <f>IFERROR(__xludf.DUMMYFUNCTION("""COMPUTED_VALUE"""),"")</f>
        <v/>
      </c>
      <c r="AE1107" s="1" t="str">
        <f>IFERROR(__xludf.DUMMYFUNCTION("""COMPUTED_VALUE"""),"")</f>
        <v/>
      </c>
      <c r="AF1107" s="1" t="str">
        <f>IFERROR(__xludf.DUMMYFUNCTION("""COMPUTED_VALUE"""),"")</f>
        <v/>
      </c>
      <c r="AG1107" s="1" t="str">
        <f>IFERROR(__xludf.DUMMYFUNCTION("""COMPUTED_VALUE"""),"Computer Center")</f>
        <v>Computer Center</v>
      </c>
      <c r="AH1107" s="1" t="str">
        <f>IFERROR(__xludf.DUMMYFUNCTION("""COMPUTED_VALUE"""),"PEC")</f>
        <v>PEC</v>
      </c>
      <c r="AI1107" s="1" t="str">
        <f>IFERROR(__xludf.DUMMYFUNCTION("""COMPUTED_VALUE"""),"")</f>
        <v/>
      </c>
      <c r="AJ1107" s="2" t="str">
        <f>IFERROR(__xludf.DUMMYFUNCTION("""COMPUTED_VALUE"""),"https://reparcelasmt.loudoun.gov/pt/datalets/datalet.aspx?mode=profileall&amp;UseSearch=no&amp;pin=246200886000&amp;jur=107&amp;taxyr=2024&amp;LMparent=20")</f>
        <v>https://reparcelasmt.loudoun.gov/pt/datalets/datalet.aspx?mode=profileall&amp;UseSearch=no&amp;pin=246200886000&amp;jur=107&amp;taxyr=2024&amp;LMparent=20</v>
      </c>
      <c r="AK1107" s="1" t="str">
        <f>IFERROR(__xludf.DUMMYFUNCTION("""COMPUTED_VALUE"""),"")</f>
        <v/>
      </c>
      <c r="AL1107" s="1" t="str">
        <f>IFERROR(__xludf.DUMMYFUNCTION("""COMPUTED_VALUE"""),"")</f>
        <v/>
      </c>
      <c r="AM1107" s="1" t="str">
        <f>IFERROR(__xludf.DUMMYFUNCTION("""COMPUTED_VALUE"""),"")</f>
        <v/>
      </c>
      <c r="AN1107" s="1" t="str">
        <f>IFERROR(__xludf.DUMMYFUNCTION("""COMPUTED_VALUE"""),"")</f>
        <v/>
      </c>
      <c r="AO1107" s="1" t="str">
        <f>IFERROR(__xludf.DUMMYFUNCTION("""COMPUTED_VALUE"""),"")</f>
        <v/>
      </c>
      <c r="AP1107" s="1" t="str">
        <f>IFERROR(__xludf.DUMMYFUNCTION("""COMPUTED_VALUE"""),"")</f>
        <v/>
      </c>
      <c r="AQ1107" s="1" t="str">
        <f>IFERROR(__xludf.DUMMYFUNCTION("""COMPUTED_VALUE"""),"04/10/2024")</f>
        <v>04/10/2024</v>
      </c>
      <c r="AR1107" s="1" t="str">
        <f>IFERROR(__xludf.DUMMYFUNCTION("""COMPUTED_VALUE"""),"10/17/2025")</f>
        <v>10/17/2025</v>
      </c>
    </row>
    <row r="1108">
      <c r="A1108" s="1" t="str">
        <f>IFERROR(__xludf.DUMMYFUNCTION("""COMPUTED_VALUE"""),"Allegro North Campus")</f>
        <v>Allegro North Campus</v>
      </c>
      <c r="B1108" s="1" t="str">
        <f>IFERROR(__xludf.DUMMYFUNCTION("""COMPUTED_VALUE"""),"41567 BRIARFIELD LN")</f>
        <v>41567 BRIARFIELD LN</v>
      </c>
      <c r="C1108" s="1" t="str">
        <f>IFERROR(__xludf.DUMMYFUNCTION("""COMPUTED_VALUE"""),"ALDIE")</f>
        <v>ALDIE</v>
      </c>
      <c r="D1108" s="1" t="str">
        <f>IFERROR(__xludf.DUMMYFUNCTION("""COMPUTED_VALUE"""),"VA")</f>
        <v>VA</v>
      </c>
      <c r="E1108" s="1" t="str">
        <f>IFERROR(__xludf.DUMMYFUNCTION("""COMPUTED_VALUE"""),"20105")</f>
        <v>20105</v>
      </c>
      <c r="F1108" s="1" t="str">
        <f>IFERROR(__xludf.DUMMYFUNCTION("""COMPUTED_VALUE"""),"Loudoun")</f>
        <v>Loudoun</v>
      </c>
      <c r="G1108" s="1" t="str">
        <f>IFERROR(__xludf.DUMMYFUNCTION("""COMPUTED_VALUE"""),"38.95632")</f>
        <v>38.95632</v>
      </c>
      <c r="H1108" s="1" t="str">
        <f>IFERROR(__xludf.DUMMYFUNCTION("""COMPUTED_VALUE"""),"-77.54516")</f>
        <v>-77.54516</v>
      </c>
      <c r="I1108" s="1" t="str">
        <f>IFERROR(__xludf.DUMMYFUNCTION("""COMPUTED_VALUE"""),"Proposed")</f>
        <v>Proposed</v>
      </c>
      <c r="J1108" s="1" t="str">
        <f>IFERROR(__xludf.DUMMYFUNCTION("""COMPUTED_VALUE"""),"High")</f>
        <v>High</v>
      </c>
      <c r="K1108" s="1" t="str">
        <f>IFERROR(__xludf.DUMMYFUNCTION("""COMPUTED_VALUE"""),"")</f>
        <v/>
      </c>
      <c r="L1108" s="1" t="str">
        <f>IFERROR(__xludf.DUMMYFUNCTION("""COMPUTED_VALUE"""),"")</f>
        <v/>
      </c>
      <c r="M1108" s="1" t="str">
        <f>IFERROR(__xludf.DUMMYFUNCTION("""COMPUTED_VALUE"""),"")</f>
        <v/>
      </c>
      <c r="N1108" s="1" t="str">
        <f>IFERROR(__xludf.DUMMYFUNCTION("""COMPUTED_VALUE"""),"")</f>
        <v/>
      </c>
      <c r="O1108" s="1" t="str">
        <f>IFERROR(__xludf.DUMMYFUNCTION("""COMPUTED_VALUE"""),"Unknown")</f>
        <v>Unknown</v>
      </c>
      <c r="P1108" s="1" t="str">
        <f>IFERROR(__xludf.DUMMYFUNCTION("""COMPUTED_VALUE"""),"")</f>
        <v/>
      </c>
      <c r="Q1108" s="1" t="str">
        <f>IFERROR(__xludf.DUMMYFUNCTION("""COMPUTED_VALUE"""),"")</f>
        <v/>
      </c>
      <c r="R1108" s="1" t="str">
        <f>IFERROR(__xludf.DUMMYFUNCTION("""COMPUTED_VALUE"""),"")</f>
        <v/>
      </c>
      <c r="S1108" s="1" t="str">
        <f>IFERROR(__xludf.DUMMYFUNCTION("""COMPUTED_VALUE"""),"")</f>
        <v/>
      </c>
      <c r="T1108" s="1" t="str">
        <f>IFERROR(__xludf.DUMMYFUNCTION("""COMPUTED_VALUE"""),"")</f>
        <v/>
      </c>
      <c r="U1108" s="1" t="str">
        <f>IFERROR(__xludf.DUMMYFUNCTION("""COMPUTED_VALUE"""),"")</f>
        <v/>
      </c>
      <c r="V1108" s="1" t="str">
        <f>IFERROR(__xludf.DUMMYFUNCTION("""COMPUTED_VALUE"""),"1,260,000")</f>
        <v>1,260,000</v>
      </c>
      <c r="W1108" s="1" t="str">
        <f>IFERROR(__xludf.DUMMYFUNCTION("""COMPUTED_VALUE"""),"49")</f>
        <v>49</v>
      </c>
      <c r="X1108" s="1" t="str">
        <f>IFERROR(__xludf.DUMMYFUNCTION("""COMPUTED_VALUE"""),"")</f>
        <v/>
      </c>
      <c r="Y1108" s="1" t="str">
        <f>IFERROR(__xludf.DUMMYFUNCTION("""COMPUTED_VALUE"""),"")</f>
        <v/>
      </c>
      <c r="Z1108" s="1" t="str">
        <f>IFERROR(__xludf.DUMMYFUNCTION("""COMPUTED_VALUE"""),"Unknown")</f>
        <v>Unknown</v>
      </c>
      <c r="AA1108" s="1" t="str">
        <f>IFERROR(__xludf.DUMMYFUNCTION("""COMPUTED_VALUE"""),"")</f>
        <v/>
      </c>
      <c r="AB1108" s="1" t="str">
        <f>IFERROR(__xludf.DUMMYFUNCTION("""COMPUTED_VALUE"""),"")</f>
        <v/>
      </c>
      <c r="AC1108" s="1" t="str">
        <f>IFERROR(__xludf.DUMMYFUNCTION("""COMPUTED_VALUE"""),"")</f>
        <v/>
      </c>
      <c r="AD1108" s="1" t="str">
        <f>IFERROR(__xludf.DUMMYFUNCTION("""COMPUTED_VALUE"""),"")</f>
        <v/>
      </c>
      <c r="AE1108" s="1" t="str">
        <f>IFERROR(__xludf.DUMMYFUNCTION("""COMPUTED_VALUE"""),"")</f>
        <v/>
      </c>
      <c r="AF1108" s="1" t="str">
        <f>IFERROR(__xludf.DUMMYFUNCTION("""COMPUTED_VALUE"""),"")</f>
        <v/>
      </c>
      <c r="AG1108" s="1" t="str">
        <f>IFERROR(__xludf.DUMMYFUNCTION("""COMPUTED_VALUE"""),"")</f>
        <v/>
      </c>
      <c r="AH1108" s="1" t="str">
        <f>IFERROR(__xludf.DUMMYFUNCTION("""COMPUTED_VALUE"""),"PEC")</f>
        <v>PEC</v>
      </c>
      <c r="AI1108" s="2" t="str">
        <f>IFERROR(__xludf.DUMMYFUNCTION("""COMPUTED_VALUE"""),"https://loudouncountyvaeg.tylerhost.net/prod/selfservice#/plan/c8b47962-6627-4998-a318-03e49ce25ef7?tab=locations")</f>
        <v>https://loudouncountyvaeg.tylerhost.net/prod/selfservice#/plan/c8b47962-6627-4998-a318-03e49ce25ef7?tab=locations</v>
      </c>
      <c r="AJ1108" s="2" t="str">
        <f>IFERROR(__xludf.DUMMYFUNCTION("""COMPUTED_VALUE"""),"https://reparcelasmt.loudoun.gov/pt/Datalets/Datalet.aspx?UseSearch=no&amp;mode=profileall&amp;pin=202285740000&amp;jur=107&amp;taxyr=2025")</f>
        <v>https://reparcelasmt.loudoun.gov/pt/Datalets/Datalet.aspx?UseSearch=no&amp;mode=profileall&amp;pin=202285740000&amp;jur=107&amp;taxyr=2025</v>
      </c>
      <c r="AK1108" s="1" t="str">
        <f>IFERROR(__xludf.DUMMYFUNCTION("""COMPUTED_VALUE"""),"")</f>
        <v/>
      </c>
      <c r="AL1108" s="1" t="str">
        <f>IFERROR(__xludf.DUMMYFUNCTION("""COMPUTED_VALUE"""),"")</f>
        <v/>
      </c>
      <c r="AM1108" s="1" t="str">
        <f>IFERROR(__xludf.DUMMYFUNCTION("""COMPUTED_VALUE"""),"")</f>
        <v/>
      </c>
      <c r="AN1108" s="1" t="str">
        <f>IFERROR(__xludf.DUMMYFUNCTION("""COMPUTED_VALUE"""),"")</f>
        <v/>
      </c>
      <c r="AO1108" s="1" t="str">
        <f>IFERROR(__xludf.DUMMYFUNCTION("""COMPUTED_VALUE"""),"")</f>
        <v/>
      </c>
      <c r="AP1108" s="1" t="str">
        <f>IFERROR(__xludf.DUMMYFUNCTION("""COMPUTED_VALUE"""),"")</f>
        <v/>
      </c>
      <c r="AQ1108" s="1" t="str">
        <f>IFERROR(__xludf.DUMMYFUNCTION("""COMPUTED_VALUE"""),"08/06/2025")</f>
        <v>08/06/2025</v>
      </c>
      <c r="AR1108" s="1" t="str">
        <f>IFERROR(__xludf.DUMMYFUNCTION("""COMPUTED_VALUE"""),"10/17/2025")</f>
        <v>10/17/2025</v>
      </c>
    </row>
    <row r="1109">
      <c r="A1109" s="1" t="str">
        <f>IFERROR(__xludf.DUMMYFUNCTION("""COMPUTED_VALUE"""),"ALLEGRO SOUTH CAMPUS")</f>
        <v>ALLEGRO SOUTH CAMPUS</v>
      </c>
      <c r="B1109" s="1" t="str">
        <f>IFERROR(__xludf.DUMMYFUNCTION("""COMPUTED_VALUE"""),"24171 YOUNGWOOD LN")</f>
        <v>24171 YOUNGWOOD LN</v>
      </c>
      <c r="C1109" s="1" t="str">
        <f>IFERROR(__xludf.DUMMYFUNCTION("""COMPUTED_VALUE"""),"ALDIE")</f>
        <v>ALDIE</v>
      </c>
      <c r="D1109" s="1" t="str">
        <f>IFERROR(__xludf.DUMMYFUNCTION("""COMPUTED_VALUE"""),"VA")</f>
        <v>VA</v>
      </c>
      <c r="E1109" s="1" t="str">
        <f>IFERROR(__xludf.DUMMYFUNCTION("""COMPUTED_VALUE"""),"20105")</f>
        <v>20105</v>
      </c>
      <c r="F1109" s="1" t="str">
        <f>IFERROR(__xludf.DUMMYFUNCTION("""COMPUTED_VALUE"""),"Loudoun")</f>
        <v>Loudoun</v>
      </c>
      <c r="G1109" s="1" t="str">
        <f>IFERROR(__xludf.DUMMYFUNCTION("""COMPUTED_VALUE"""),"38.949844")</f>
        <v>38.949844</v>
      </c>
      <c r="H1109" s="1" t="str">
        <f>IFERROR(__xludf.DUMMYFUNCTION("""COMPUTED_VALUE"""),"-77.54914")</f>
        <v>-77.54914</v>
      </c>
      <c r="I1109" s="1" t="str">
        <f>IFERROR(__xludf.DUMMYFUNCTION("""COMPUTED_VALUE"""),"Operating")</f>
        <v>Operating</v>
      </c>
      <c r="J1109" s="1" t="str">
        <f>IFERROR(__xludf.DUMMYFUNCTION("""COMPUTED_VALUE"""),"High")</f>
        <v>High</v>
      </c>
      <c r="K1109" s="1" t="str">
        <f>IFERROR(__xludf.DUMMYFUNCTION("""COMPUTED_VALUE"""),"")</f>
        <v/>
      </c>
      <c r="L1109" s="1" t="str">
        <f>IFERROR(__xludf.DUMMYFUNCTION("""COMPUTED_VALUE"""),"YONDR JK 2 LLC")</f>
        <v>YONDR JK 2 LLC</v>
      </c>
      <c r="M1109" s="1" t="str">
        <f>IFERROR(__xludf.DUMMYFUNCTION("""COMPUTED_VALUE"""),"")</f>
        <v/>
      </c>
      <c r="N1109" s="1" t="str">
        <f>IFERROR(__xludf.DUMMYFUNCTION("""COMPUTED_VALUE"""),"")</f>
        <v/>
      </c>
      <c r="O1109" s="1" t="str">
        <f>IFERROR(__xludf.DUMMYFUNCTION("""COMPUTED_VALUE"""),"Unknown")</f>
        <v>Unknown</v>
      </c>
      <c r="P1109" s="1" t="str">
        <f>IFERROR(__xludf.DUMMYFUNCTION("""COMPUTED_VALUE"""),"")</f>
        <v/>
      </c>
      <c r="Q1109" s="1" t="str">
        <f>IFERROR(__xludf.DUMMYFUNCTION("""COMPUTED_VALUE"""),"")</f>
        <v/>
      </c>
      <c r="R1109" s="1" t="str">
        <f>IFERROR(__xludf.DUMMYFUNCTION("""COMPUTED_VALUE"""),"")</f>
        <v/>
      </c>
      <c r="S1109" s="1" t="str">
        <f>IFERROR(__xludf.DUMMYFUNCTION("""COMPUTED_VALUE"""),"")</f>
        <v/>
      </c>
      <c r="T1109" s="1" t="str">
        <f>IFERROR(__xludf.DUMMYFUNCTION("""COMPUTED_VALUE"""),"")</f>
        <v/>
      </c>
      <c r="U1109" s="1" t="str">
        <f>IFERROR(__xludf.DUMMYFUNCTION("""COMPUTED_VALUE"""),"")</f>
        <v/>
      </c>
      <c r="V1109" s="1" t="str">
        <f>IFERROR(__xludf.DUMMYFUNCTION("""COMPUTED_VALUE"""),"335,638")</f>
        <v>335,638</v>
      </c>
      <c r="W1109" s="1" t="str">
        <f>IFERROR(__xludf.DUMMYFUNCTION("""COMPUTED_VALUE"""),"34")</f>
        <v>34</v>
      </c>
      <c r="X1109" s="1" t="str">
        <f>IFERROR(__xludf.DUMMYFUNCTION("""COMPUTED_VALUE"""),"")</f>
        <v/>
      </c>
      <c r="Y1109" s="1" t="str">
        <f>IFERROR(__xludf.DUMMYFUNCTION("""COMPUTED_VALUE"""),"")</f>
        <v/>
      </c>
      <c r="Z1109" s="1" t="str">
        <f>IFERROR(__xludf.DUMMYFUNCTION("""COMPUTED_VALUE"""),"Unknown")</f>
        <v>Unknown</v>
      </c>
      <c r="AA1109" s="1" t="str">
        <f>IFERROR(__xludf.DUMMYFUNCTION("""COMPUTED_VALUE"""),"")</f>
        <v/>
      </c>
      <c r="AB1109" s="1" t="str">
        <f>IFERROR(__xludf.DUMMYFUNCTION("""COMPUTED_VALUE"""),"")</f>
        <v/>
      </c>
      <c r="AC1109" s="1" t="str">
        <f>IFERROR(__xludf.DUMMYFUNCTION("""COMPUTED_VALUE"""),"")</f>
        <v/>
      </c>
      <c r="AD1109" s="1" t="str">
        <f>IFERROR(__xludf.DUMMYFUNCTION("""COMPUTED_VALUE"""),"")</f>
        <v/>
      </c>
      <c r="AE1109" s="1" t="str">
        <f>IFERROR(__xludf.DUMMYFUNCTION("""COMPUTED_VALUE"""),"")</f>
        <v/>
      </c>
      <c r="AF1109" s="1" t="str">
        <f>IFERROR(__xludf.DUMMYFUNCTION("""COMPUTED_VALUE"""),"")</f>
        <v/>
      </c>
      <c r="AG1109" s="1" t="str">
        <f>IFERROR(__xludf.DUMMYFUNCTION("""COMPUTED_VALUE"""),"Computer Center")</f>
        <v>Computer Center</v>
      </c>
      <c r="AH1109" s="1" t="str">
        <f>IFERROR(__xludf.DUMMYFUNCTION("""COMPUTED_VALUE"""),"PEC")</f>
        <v>PEC</v>
      </c>
      <c r="AI1109" s="1" t="str">
        <f>IFERROR(__xludf.DUMMYFUNCTION("""COMPUTED_VALUE"""),"")</f>
        <v/>
      </c>
      <c r="AJ1109" s="2" t="str">
        <f>IFERROR(__xludf.DUMMYFUNCTION("""COMPUTED_VALUE"""),"https://reparcelasmt.loudoun.gov/pt/datalets/datalet.aspx?mode=profileall&amp;UseSearch=no&amp;pin=203371445000&amp;jur=107&amp;taxyr=2024&amp;LMparent=20")</f>
        <v>https://reparcelasmt.loudoun.gov/pt/datalets/datalet.aspx?mode=profileall&amp;UseSearch=no&amp;pin=203371445000&amp;jur=107&amp;taxyr=2024&amp;LMparent=20</v>
      </c>
      <c r="AK1109" s="1" t="str">
        <f>IFERROR(__xludf.DUMMYFUNCTION("""COMPUTED_VALUE"""),"")</f>
        <v/>
      </c>
      <c r="AL1109" s="1" t="str">
        <f>IFERROR(__xludf.DUMMYFUNCTION("""COMPUTED_VALUE"""),"")</f>
        <v/>
      </c>
      <c r="AM1109" s="1" t="str">
        <f>IFERROR(__xludf.DUMMYFUNCTION("""COMPUTED_VALUE"""),"")</f>
        <v/>
      </c>
      <c r="AN1109" s="1" t="str">
        <f>IFERROR(__xludf.DUMMYFUNCTION("""COMPUTED_VALUE"""),"")</f>
        <v/>
      </c>
      <c r="AO1109" s="1" t="str">
        <f>IFERROR(__xludf.DUMMYFUNCTION("""COMPUTED_VALUE"""),"")</f>
        <v/>
      </c>
      <c r="AP1109" s="1" t="str">
        <f>IFERROR(__xludf.DUMMYFUNCTION("""COMPUTED_VALUE"""),"")</f>
        <v/>
      </c>
      <c r="AQ1109" s="1" t="str">
        <f>IFERROR(__xludf.DUMMYFUNCTION("""COMPUTED_VALUE"""),"04/10/2024")</f>
        <v>04/10/2024</v>
      </c>
      <c r="AR1109" s="1" t="str">
        <f>IFERROR(__xludf.DUMMYFUNCTION("""COMPUTED_VALUE"""),"10/17/2025")</f>
        <v>10/17/2025</v>
      </c>
    </row>
    <row r="1110">
      <c r="A1110" s="1" t="str">
        <f>IFERROR(__xludf.DUMMYFUNCTION("""COMPUTED_VALUE"""),"Plaza 500")</f>
        <v>Plaza 500</v>
      </c>
      <c r="B1110" s="1" t="str">
        <f>IFERROR(__xludf.DUMMYFUNCTION("""COMPUTED_VALUE"""),"6295 Edsall Rd")</f>
        <v>6295 Edsall Rd</v>
      </c>
      <c r="C1110" s="1" t="str">
        <f>IFERROR(__xludf.DUMMYFUNCTION("""COMPUTED_VALUE"""),"Alexandria")</f>
        <v>Alexandria</v>
      </c>
      <c r="D1110" s="1" t="str">
        <f>IFERROR(__xludf.DUMMYFUNCTION("""COMPUTED_VALUE"""),"VA")</f>
        <v>VA</v>
      </c>
      <c r="E1110" s="1" t="str">
        <f>IFERROR(__xludf.DUMMYFUNCTION("""COMPUTED_VALUE"""),"22312")</f>
        <v>22312</v>
      </c>
      <c r="F1110" s="1" t="str">
        <f>IFERROR(__xludf.DUMMYFUNCTION("""COMPUTED_VALUE"""),"Fairfax")</f>
        <v>Fairfax</v>
      </c>
      <c r="G1110" s="1" t="str">
        <f>IFERROR(__xludf.DUMMYFUNCTION("""COMPUTED_VALUE"""),"38.802273")</f>
        <v>38.802273</v>
      </c>
      <c r="H1110" s="1" t="str">
        <f>IFERROR(__xludf.DUMMYFUNCTION("""COMPUTED_VALUE"""),"-77.142525")</f>
        <v>-77.142525</v>
      </c>
      <c r="I1110" s="1" t="str">
        <f>IFERROR(__xludf.DUMMYFUNCTION("""COMPUTED_VALUE"""),"Proposed")</f>
        <v>Proposed</v>
      </c>
      <c r="J1110" s="1" t="str">
        <f>IFERROR(__xludf.DUMMYFUNCTION("""COMPUTED_VALUE"""),"High")</f>
        <v>High</v>
      </c>
      <c r="K1110" s="1" t="str">
        <f>IFERROR(__xludf.DUMMYFUNCTION("""COMPUTED_VALUE"""),"")</f>
        <v/>
      </c>
      <c r="L1110" s="1" t="str">
        <f>IFERROR(__xludf.DUMMYFUNCTION("""COMPUTED_VALUE"""),"")</f>
        <v/>
      </c>
      <c r="M1110" s="1" t="str">
        <f>IFERROR(__xludf.DUMMYFUNCTION("""COMPUTED_VALUE"""),"")</f>
        <v/>
      </c>
      <c r="N1110" s="1" t="str">
        <f>IFERROR(__xludf.DUMMYFUNCTION("""COMPUTED_VALUE"""),"")</f>
        <v/>
      </c>
      <c r="O1110" s="1" t="str">
        <f>IFERROR(__xludf.DUMMYFUNCTION("""COMPUTED_VALUE"""),"Unknown")</f>
        <v>Unknown</v>
      </c>
      <c r="P1110" s="1" t="str">
        <f>IFERROR(__xludf.DUMMYFUNCTION("""COMPUTED_VALUE"""),"")</f>
        <v/>
      </c>
      <c r="Q1110" s="1" t="str">
        <f>IFERROR(__xludf.DUMMYFUNCTION("""COMPUTED_VALUE"""),"")</f>
        <v/>
      </c>
      <c r="R1110" s="1" t="str">
        <f>IFERROR(__xludf.DUMMYFUNCTION("""COMPUTED_VALUE"""),"")</f>
        <v/>
      </c>
      <c r="S1110" s="1" t="str">
        <f>IFERROR(__xludf.DUMMYFUNCTION("""COMPUTED_VALUE"""),"")</f>
        <v/>
      </c>
      <c r="T1110" s="1" t="str">
        <f>IFERROR(__xludf.DUMMYFUNCTION("""COMPUTED_VALUE"""),"")</f>
        <v/>
      </c>
      <c r="U1110" s="1" t="str">
        <f>IFERROR(__xludf.DUMMYFUNCTION("""COMPUTED_VALUE"""),"")</f>
        <v/>
      </c>
      <c r="V1110" s="1" t="str">
        <f>IFERROR(__xludf.DUMMYFUNCTION("""COMPUTED_VALUE"""),"461,444")</f>
        <v>461,444</v>
      </c>
      <c r="W1110" s="1" t="str">
        <f>IFERROR(__xludf.DUMMYFUNCTION("""COMPUTED_VALUE"""),"")</f>
        <v/>
      </c>
      <c r="X1110" s="1" t="str">
        <f>IFERROR(__xludf.DUMMYFUNCTION("""COMPUTED_VALUE"""),"")</f>
        <v/>
      </c>
      <c r="Y1110" s="1" t="str">
        <f>IFERROR(__xludf.DUMMYFUNCTION("""COMPUTED_VALUE"""),"")</f>
        <v/>
      </c>
      <c r="Z1110" s="1" t="str">
        <f>IFERROR(__xludf.DUMMYFUNCTION("""COMPUTED_VALUE"""),"Unknown")</f>
        <v>Unknown</v>
      </c>
      <c r="AA1110" s="1" t="str">
        <f>IFERROR(__xludf.DUMMYFUNCTION("""COMPUTED_VALUE"""),"")</f>
        <v/>
      </c>
      <c r="AB1110" s="1" t="str">
        <f>IFERROR(__xludf.DUMMYFUNCTION("""COMPUTED_VALUE"""),"")</f>
        <v/>
      </c>
      <c r="AC1110" s="1" t="str">
        <f>IFERROR(__xludf.DUMMYFUNCTION("""COMPUTED_VALUE"""),"")</f>
        <v/>
      </c>
      <c r="AD1110" s="1" t="str">
        <f>IFERROR(__xludf.DUMMYFUNCTION("""COMPUTED_VALUE"""),"")</f>
        <v/>
      </c>
      <c r="AE1110" s="1" t="str">
        <f>IFERROR(__xludf.DUMMYFUNCTION("""COMPUTED_VALUE"""),"")</f>
        <v/>
      </c>
      <c r="AF1110" s="1" t="str">
        <f>IFERROR(__xludf.DUMMYFUNCTION("""COMPUTED_VALUE"""),"")</f>
        <v/>
      </c>
      <c r="AG1110" s="1" t="str">
        <f>IFERROR(__xludf.DUMMYFUNCTION("""COMPUTED_VALUE"""),"")</f>
        <v/>
      </c>
      <c r="AH1110" s="1" t="str">
        <f>IFERROR(__xludf.DUMMYFUNCTION("""COMPUTED_VALUE"""),"PEC")</f>
        <v>PEC</v>
      </c>
      <c r="AI1110" s="2" t="str">
        <f>IFERROR(__xludf.DUMMYFUNCTION("""COMPUTED_VALUE"""),"https://www.datacenterdynamics.com/en/news/starwood-re-proposes-data-center-in-alexandria-virginia/")</f>
        <v>https://www.datacenterdynamics.com/en/news/starwood-re-proposes-data-center-in-alexandria-virginia/</v>
      </c>
      <c r="AJ1110" s="2" t="str">
        <f>IFERROR(__xludf.DUMMYFUNCTION("""COMPUTED_VALUE"""),"https://www.fairfaxcounty.gov/gisapps/ParcelInfoReportJade/ParcelInfoReport.aspx?ParcelID=0812010007")</f>
        <v>https://www.fairfaxcounty.gov/gisapps/ParcelInfoReportJade/ParcelInfoReport.aspx?ParcelID=0812010007</v>
      </c>
      <c r="AK1110" s="1" t="str">
        <f>IFERROR(__xludf.DUMMYFUNCTION("""COMPUTED_VALUE"""),"")</f>
        <v/>
      </c>
      <c r="AL1110" s="1" t="str">
        <f>IFERROR(__xludf.DUMMYFUNCTION("""COMPUTED_VALUE"""),"")</f>
        <v/>
      </c>
      <c r="AM1110" s="1" t="str">
        <f>IFERROR(__xludf.DUMMYFUNCTION("""COMPUTED_VALUE"""),"")</f>
        <v/>
      </c>
      <c r="AN1110" s="1" t="str">
        <f>IFERROR(__xludf.DUMMYFUNCTION("""COMPUTED_VALUE"""),"")</f>
        <v/>
      </c>
      <c r="AO1110" s="1" t="str">
        <f>IFERROR(__xludf.DUMMYFUNCTION("""COMPUTED_VALUE"""),"")</f>
        <v/>
      </c>
      <c r="AP1110" s="1" t="str">
        <f>IFERROR(__xludf.DUMMYFUNCTION("""COMPUTED_VALUE"""),"")</f>
        <v/>
      </c>
      <c r="AQ1110" s="1" t="str">
        <f>IFERROR(__xludf.DUMMYFUNCTION("""COMPUTED_VALUE"""),"09/12/2025")</f>
        <v>09/12/2025</v>
      </c>
      <c r="AR1110" s="1" t="str">
        <f>IFERROR(__xludf.DUMMYFUNCTION("""COMPUTED_VALUE"""),"10/17/2025")</f>
        <v>10/17/2025</v>
      </c>
    </row>
    <row r="1111">
      <c r="A1111" s="1" t="str">
        <f>IFERROR(__xludf.DUMMYFUNCTION("""COMPUTED_VALUE"""),"Avaio Digital Partners")</f>
        <v>Avaio Digital Partners</v>
      </c>
      <c r="B1111" s="1" t="str">
        <f>IFERROR(__xludf.DUMMYFUNCTION("""COMPUTED_VALUE"""),"1296 CONFEDERATE BLVD")</f>
        <v>1296 CONFEDERATE BLVD</v>
      </c>
      <c r="C1111" s="1" t="str">
        <f>IFERROR(__xludf.DUMMYFUNCTION("""COMPUTED_VALUE"""),"Appomattox")</f>
        <v>Appomattox</v>
      </c>
      <c r="D1111" s="1" t="str">
        <f>IFERROR(__xludf.DUMMYFUNCTION("""COMPUTED_VALUE"""),"VA")</f>
        <v>VA</v>
      </c>
      <c r="E1111" s="1" t="str">
        <f>IFERROR(__xludf.DUMMYFUNCTION("""COMPUTED_VALUE"""),"24522")</f>
        <v>24522</v>
      </c>
      <c r="F1111" s="1" t="str">
        <f>IFERROR(__xludf.DUMMYFUNCTION("""COMPUTED_VALUE"""),"Appomattox")</f>
        <v>Appomattox</v>
      </c>
      <c r="G1111" s="1" t="str">
        <f>IFERROR(__xludf.DUMMYFUNCTION("""COMPUTED_VALUE"""),"37.355537")</f>
        <v>37.355537</v>
      </c>
      <c r="H1111" s="1" t="str">
        <f>IFERROR(__xludf.DUMMYFUNCTION("""COMPUTED_VALUE"""),"-78.82243")</f>
        <v>-78.82243</v>
      </c>
      <c r="I1111" s="1" t="str">
        <f>IFERROR(__xludf.DUMMYFUNCTION("""COMPUTED_VALUE"""),"Proposed")</f>
        <v>Proposed</v>
      </c>
      <c r="J1111" s="1" t="str">
        <f>IFERROR(__xludf.DUMMYFUNCTION("""COMPUTED_VALUE"""),"High")</f>
        <v>High</v>
      </c>
      <c r="K1111" s="1" t="str">
        <f>IFERROR(__xludf.DUMMYFUNCTION("""COMPUTED_VALUE"""),"")</f>
        <v/>
      </c>
      <c r="L1111" s="1" t="str">
        <f>IFERROR(__xludf.DUMMYFUNCTION("""COMPUTED_VALUE"""),"Avaio Digital")</f>
        <v>Avaio Digital</v>
      </c>
      <c r="M1111" s="1" t="str">
        <f>IFERROR(__xludf.DUMMYFUNCTION("""COMPUTED_VALUE"""),"")</f>
        <v/>
      </c>
      <c r="N1111" s="1" t="str">
        <f>IFERROR(__xludf.DUMMYFUNCTION("""COMPUTED_VALUE"""),"300")</f>
        <v>300</v>
      </c>
      <c r="O1111" s="1" t="str">
        <f>IFERROR(__xludf.DUMMYFUNCTION("""COMPUTED_VALUE"""),"Hyperscale (100-999 MW)")</f>
        <v>Hyperscale (100-999 MW)</v>
      </c>
      <c r="P1111" s="1" t="str">
        <f>IFERROR(__xludf.DUMMYFUNCTION("""COMPUTED_VALUE"""),"")</f>
        <v/>
      </c>
      <c r="Q1111" s="1" t="str">
        <f>IFERROR(__xludf.DUMMYFUNCTION("""COMPUTED_VALUE"""),"")</f>
        <v/>
      </c>
      <c r="R1111" s="1" t="str">
        <f>IFERROR(__xludf.DUMMYFUNCTION("""COMPUTED_VALUE"""),"")</f>
        <v/>
      </c>
      <c r="S1111" s="1" t="str">
        <f>IFERROR(__xludf.DUMMYFUNCTION("""COMPUTED_VALUE"""),"")</f>
        <v/>
      </c>
      <c r="T1111" s="1" t="str">
        <f>IFERROR(__xludf.DUMMYFUNCTION("""COMPUTED_VALUE"""),"")</f>
        <v/>
      </c>
      <c r="U1111" s="1" t="str">
        <f>IFERROR(__xludf.DUMMYFUNCTION("""COMPUTED_VALUE"""),"")</f>
        <v/>
      </c>
      <c r="V1111" s="1" t="str">
        <f>IFERROR(__xludf.DUMMYFUNCTION("""COMPUTED_VALUE"""),"250,000")</f>
        <v>250,000</v>
      </c>
      <c r="W1111" s="1" t="str">
        <f>IFERROR(__xludf.DUMMYFUNCTION("""COMPUTED_VALUE"""),"450")</f>
        <v>450</v>
      </c>
      <c r="X1111" s="1" t="str">
        <f>IFERROR(__xludf.DUMMYFUNCTION("""COMPUTED_VALUE"""),"")</f>
        <v/>
      </c>
      <c r="Y1111" s="1" t="str">
        <f>IFERROR(__xludf.DUMMYFUNCTION("""COMPUTED_VALUE"""),"")</f>
        <v/>
      </c>
      <c r="Z1111" s="1" t="str">
        <f>IFERROR(__xludf.DUMMYFUNCTION("""COMPUTED_VALUE"""),"Unknown")</f>
        <v>Unknown</v>
      </c>
      <c r="AA1111" s="1" t="str">
        <f>IFERROR(__xludf.DUMMYFUNCTION("""COMPUTED_VALUE"""),"")</f>
        <v/>
      </c>
      <c r="AB1111" s="1" t="str">
        <f>IFERROR(__xludf.DUMMYFUNCTION("""COMPUTED_VALUE"""),"")</f>
        <v/>
      </c>
      <c r="AC1111" s="1" t="str">
        <f>IFERROR(__xludf.DUMMYFUNCTION("""COMPUTED_VALUE"""),"")</f>
        <v/>
      </c>
      <c r="AD1111" s="1" t="str">
        <f>IFERROR(__xludf.DUMMYFUNCTION("""COMPUTED_VALUE"""),"")</f>
        <v/>
      </c>
      <c r="AE1111" s="1" t="str">
        <f>IFERROR(__xludf.DUMMYFUNCTION("""COMPUTED_VALUE"""),"")</f>
        <v/>
      </c>
      <c r="AF1111" s="1" t="str">
        <f>IFERROR(__xludf.DUMMYFUNCTION("""COMPUTED_VALUE"""),"")</f>
        <v/>
      </c>
      <c r="AG1111" s="2" t="str">
        <f>IFERROR(__xludf.DUMMYFUNCTION("""COMPUTED_VALUE"""),"https://avaiodigital.com/#projects")</f>
        <v>https://avaiodigital.com/#projects</v>
      </c>
      <c r="AH1111" s="1" t="str">
        <f>IFERROR(__xludf.DUMMYFUNCTION("""COMPUTED_VALUE"""),"PEC")</f>
        <v>PEC</v>
      </c>
      <c r="AI1111" s="2" t="str">
        <f>IFERROR(__xludf.DUMMYFUNCTION("""COMPUTED_VALUE"""),"https://cardinalnews.org/2024/12/11/appomatox-county-strikes-deal-for-data-center/?utm_source=ActiveCampaign&amp;utm_medium=email&amp;utm_content=Caesars%20Virginia%20has%20made%20a%20big%20impact%20on%20Danville%2C%20even%20before%20opening%20its%20doors&amp;utm_cam"&amp;"paign=Wednesday%2C%20Dec%20%2011%2C%202024")</f>
        <v>https://cardinalnews.org/2024/12/11/appomatox-county-strikes-deal-for-data-center/?utm_source=ActiveCampaign&amp;utm_medium=email&amp;utm_content=Caesars%20Virginia%20has%20made%20a%20big%20impact%20on%20Danville%2C%20even%20before%20opening%20its%20doors&amp;utm_campaign=Wednesday%2C%20Dec%20%2011%2C%202024</v>
      </c>
      <c r="AJ1111" s="2" t="str">
        <f>IFERROR(__xludf.DUMMYFUNCTION("""COMPUTED_VALUE"""),"https://appomattoxgis.timmons.com/#/mwl?location=-78.823814_37.355265&amp;zoom=18")</f>
        <v>https://appomattoxgis.timmons.com/#/mwl?location=-78.823814_37.355265&amp;zoom=18</v>
      </c>
      <c r="AK1111" s="1" t="str">
        <f>IFERROR(__xludf.DUMMYFUNCTION("""COMPUTED_VALUE"""),"")</f>
        <v/>
      </c>
      <c r="AL1111" s="1" t="str">
        <f>IFERROR(__xludf.DUMMYFUNCTION("""COMPUTED_VALUE"""),"")</f>
        <v/>
      </c>
      <c r="AM1111" s="1" t="str">
        <f>IFERROR(__xludf.DUMMYFUNCTION("""COMPUTED_VALUE"""),"")</f>
        <v/>
      </c>
      <c r="AN1111" s="1" t="str">
        <f>IFERROR(__xludf.DUMMYFUNCTION("""COMPUTED_VALUE"""),"")</f>
        <v/>
      </c>
      <c r="AO1111" s="1" t="str">
        <f>IFERROR(__xludf.DUMMYFUNCTION("""COMPUTED_VALUE"""),"")</f>
        <v/>
      </c>
      <c r="AP1111" s="1" t="str">
        <f>IFERROR(__xludf.DUMMYFUNCTION("""COMPUTED_VALUE"""),"")</f>
        <v/>
      </c>
      <c r="AQ1111" s="1" t="str">
        <f>IFERROR(__xludf.DUMMYFUNCTION("""COMPUTED_VALUE"""),"01/15/2025")</f>
        <v>01/15/2025</v>
      </c>
      <c r="AR1111" s="1" t="str">
        <f>IFERROR(__xludf.DUMMYFUNCTION("""COMPUTED_VALUE"""),"10/17/2025")</f>
        <v>10/17/2025</v>
      </c>
    </row>
    <row r="1112">
      <c r="A1112" s="1" t="str">
        <f>IFERROR(__xludf.DUMMYFUNCTION("""COMPUTED_VALUE"""),"19508 Freedom Trail Road")</f>
        <v>19508 Freedom Trail Road</v>
      </c>
      <c r="B1112" s="1" t="str">
        <f>IFERROR(__xludf.DUMMYFUNCTION("""COMPUTED_VALUE"""),"19508 Freedom Trail Road")</f>
        <v>19508 Freedom Trail Road</v>
      </c>
      <c r="C1112" s="1" t="str">
        <f>IFERROR(__xludf.DUMMYFUNCTION("""COMPUTED_VALUE"""),"Ashburn")</f>
        <v>Ashburn</v>
      </c>
      <c r="D1112" s="1" t="str">
        <f>IFERROR(__xludf.DUMMYFUNCTION("""COMPUTED_VALUE"""),"VA")</f>
        <v>VA</v>
      </c>
      <c r="E1112" s="1" t="str">
        <f>IFERROR(__xludf.DUMMYFUNCTION("""COMPUTED_VALUE"""),"20147")</f>
        <v>20147</v>
      </c>
      <c r="F1112" s="1" t="str">
        <f>IFERROR(__xludf.DUMMYFUNCTION("""COMPUTED_VALUE"""),"Loudoun")</f>
        <v>Loudoun</v>
      </c>
      <c r="G1112" s="1" t="str">
        <f>IFERROR(__xludf.DUMMYFUNCTION("""COMPUTED_VALUE"""),"39.076466")</f>
        <v>39.076466</v>
      </c>
      <c r="H1112" s="1" t="str">
        <f>IFERROR(__xludf.DUMMYFUNCTION("""COMPUTED_VALUE"""),"-77.49912")</f>
        <v>-77.49912</v>
      </c>
      <c r="I1112" s="1" t="str">
        <f>IFERROR(__xludf.DUMMYFUNCTION("""COMPUTED_VALUE"""),"Proposed")</f>
        <v>Proposed</v>
      </c>
      <c r="J1112" s="1" t="str">
        <f>IFERROR(__xludf.DUMMYFUNCTION("""COMPUTED_VALUE"""),"High")</f>
        <v>High</v>
      </c>
      <c r="K1112" s="1" t="str">
        <f>IFERROR(__xludf.DUMMYFUNCTION("""COMPUTED_VALUE"""),"")</f>
        <v/>
      </c>
      <c r="L1112" s="1" t="str">
        <f>IFERROR(__xludf.DUMMYFUNCTION("""COMPUTED_VALUE"""),"JK Land Holdings")</f>
        <v>JK Land Holdings</v>
      </c>
      <c r="M1112" s="1" t="str">
        <f>IFERROR(__xludf.DUMMYFUNCTION("""COMPUTED_VALUE"""),"")</f>
        <v/>
      </c>
      <c r="N1112" s="1" t="str">
        <f>IFERROR(__xludf.DUMMYFUNCTION("""COMPUTED_VALUE"""),"")</f>
        <v/>
      </c>
      <c r="O1112" s="1" t="str">
        <f>IFERROR(__xludf.DUMMYFUNCTION("""COMPUTED_VALUE"""),"Unknown")</f>
        <v>Unknown</v>
      </c>
      <c r="P1112" s="1" t="str">
        <f>IFERROR(__xludf.DUMMYFUNCTION("""COMPUTED_VALUE"""),"")</f>
        <v/>
      </c>
      <c r="Q1112" s="1" t="str">
        <f>IFERROR(__xludf.DUMMYFUNCTION("""COMPUTED_VALUE"""),"")</f>
        <v/>
      </c>
      <c r="R1112" s="1" t="str">
        <f>IFERROR(__xludf.DUMMYFUNCTION("""COMPUTED_VALUE"""),"")</f>
        <v/>
      </c>
      <c r="S1112" s="1" t="str">
        <f>IFERROR(__xludf.DUMMYFUNCTION("""COMPUTED_VALUE"""),"")</f>
        <v/>
      </c>
      <c r="T1112" s="1" t="str">
        <f>IFERROR(__xludf.DUMMYFUNCTION("""COMPUTED_VALUE"""),"")</f>
        <v/>
      </c>
      <c r="U1112" s="1" t="str">
        <f>IFERROR(__xludf.DUMMYFUNCTION("""COMPUTED_VALUE"""),"")</f>
        <v/>
      </c>
      <c r="V1112" s="1" t="str">
        <f>IFERROR(__xludf.DUMMYFUNCTION("""COMPUTED_VALUE"""),"1,100,000")</f>
        <v>1,100,000</v>
      </c>
      <c r="W1112" s="1" t="str">
        <f>IFERROR(__xludf.DUMMYFUNCTION("""COMPUTED_VALUE"""),"108")</f>
        <v>108</v>
      </c>
      <c r="X1112" s="1" t="str">
        <f>IFERROR(__xludf.DUMMYFUNCTION("""COMPUTED_VALUE"""),"")</f>
        <v/>
      </c>
      <c r="Y1112" s="1" t="str">
        <f>IFERROR(__xludf.DUMMYFUNCTION("""COMPUTED_VALUE"""),"")</f>
        <v/>
      </c>
      <c r="Z1112" s="1" t="str">
        <f>IFERROR(__xludf.DUMMYFUNCTION("""COMPUTED_VALUE"""),"Unknown")</f>
        <v>Unknown</v>
      </c>
      <c r="AA1112" s="1" t="str">
        <f>IFERROR(__xludf.DUMMYFUNCTION("""COMPUTED_VALUE"""),"")</f>
        <v/>
      </c>
      <c r="AB1112" s="1" t="str">
        <f>IFERROR(__xludf.DUMMYFUNCTION("""COMPUTED_VALUE"""),"")</f>
        <v/>
      </c>
      <c r="AC1112" s="1" t="str">
        <f>IFERROR(__xludf.DUMMYFUNCTION("""COMPUTED_VALUE"""),"")</f>
        <v/>
      </c>
      <c r="AD1112" s="1" t="str">
        <f>IFERROR(__xludf.DUMMYFUNCTION("""COMPUTED_VALUE"""),"")</f>
        <v/>
      </c>
      <c r="AE1112" s="1" t="str">
        <f>IFERROR(__xludf.DUMMYFUNCTION("""COMPUTED_VALUE"""),"")</f>
        <v/>
      </c>
      <c r="AF1112" s="1" t="str">
        <f>IFERROR(__xludf.DUMMYFUNCTION("""COMPUTED_VALUE"""),"")</f>
        <v/>
      </c>
      <c r="AG1112" s="1" t="str">
        <f>IFERROR(__xludf.DUMMYFUNCTION("""COMPUTED_VALUE"""),"")</f>
        <v/>
      </c>
      <c r="AH1112" s="1" t="str">
        <f>IFERROR(__xludf.DUMMYFUNCTION("""COMPUTED_VALUE"""),"PEC")</f>
        <v>PEC</v>
      </c>
      <c r="AI1112" s="2" t="str">
        <f>IFERROR(__xludf.DUMMYFUNCTION("""COMPUTED_VALUE"""),"https://www.datacenterdynamics.com/en/news/jk-land-holdings-buys-108-acres-for-data-center-development-in-ashburn-virginia/")</f>
        <v>https://www.datacenterdynamics.com/en/news/jk-land-holdings-buys-108-acres-for-data-center-development-in-ashburn-virginia/</v>
      </c>
      <c r="AJ1112" s="2" t="str">
        <f>IFERROR(__xludf.DUMMYFUNCTION("""COMPUTED_VALUE"""),"https://reparcelasmt.loudoun.gov/pt/Datalets/Datalet.aspx?UseSearch=no&amp;mode=profileall&amp;pin=083359224000&amp;jur=107&amp;taxyr=2024")</f>
        <v>https://reparcelasmt.loudoun.gov/pt/Datalets/Datalet.aspx?UseSearch=no&amp;mode=profileall&amp;pin=083359224000&amp;jur=107&amp;taxyr=2024</v>
      </c>
      <c r="AK1112" s="1" t="str">
        <f>IFERROR(__xludf.DUMMYFUNCTION("""COMPUTED_VALUE"""),"")</f>
        <v/>
      </c>
      <c r="AL1112" s="1" t="str">
        <f>IFERROR(__xludf.DUMMYFUNCTION("""COMPUTED_VALUE"""),"")</f>
        <v/>
      </c>
      <c r="AM1112" s="1" t="str">
        <f>IFERROR(__xludf.DUMMYFUNCTION("""COMPUTED_VALUE"""),"")</f>
        <v/>
      </c>
      <c r="AN1112" s="1" t="str">
        <f>IFERROR(__xludf.DUMMYFUNCTION("""COMPUTED_VALUE"""),"")</f>
        <v/>
      </c>
      <c r="AO1112" s="1" t="str">
        <f>IFERROR(__xludf.DUMMYFUNCTION("""COMPUTED_VALUE"""),"")</f>
        <v/>
      </c>
      <c r="AP1112" s="1" t="str">
        <f>IFERROR(__xludf.DUMMYFUNCTION("""COMPUTED_VALUE"""),"")</f>
        <v/>
      </c>
      <c r="AQ1112" s="1" t="str">
        <f>IFERROR(__xludf.DUMMYFUNCTION("""COMPUTED_VALUE"""),"04/10/2024")</f>
        <v>04/10/2024</v>
      </c>
      <c r="AR1112" s="1" t="str">
        <f>IFERROR(__xludf.DUMMYFUNCTION("""COMPUTED_VALUE"""),"10/17/2025")</f>
        <v>10/17/2025</v>
      </c>
    </row>
    <row r="1113">
      <c r="A1113" s="1" t="str">
        <f>IFERROR(__xludf.DUMMYFUNCTION("""COMPUTED_VALUE"""),"21310 BEAUMEADE CIR")</f>
        <v>21310 BEAUMEADE CIR</v>
      </c>
      <c r="B1113" s="1" t="str">
        <f>IFERROR(__xludf.DUMMYFUNCTION("""COMPUTED_VALUE"""),"21310 BEAUMEADE CIR")</f>
        <v>21310 BEAUMEADE CIR</v>
      </c>
      <c r="C1113" s="1" t="str">
        <f>IFERROR(__xludf.DUMMYFUNCTION("""COMPUTED_VALUE"""),"Ashburn")</f>
        <v>Ashburn</v>
      </c>
      <c r="D1113" s="1" t="str">
        <f>IFERROR(__xludf.DUMMYFUNCTION("""COMPUTED_VALUE"""),"VA")</f>
        <v>VA</v>
      </c>
      <c r="E1113" s="1" t="str">
        <f>IFERROR(__xludf.DUMMYFUNCTION("""COMPUTED_VALUE"""),"20147")</f>
        <v>20147</v>
      </c>
      <c r="F1113" s="1" t="str">
        <f>IFERROR(__xludf.DUMMYFUNCTION("""COMPUTED_VALUE"""),"Loudoun")</f>
        <v>Loudoun</v>
      </c>
      <c r="G1113" s="1" t="str">
        <f>IFERROR(__xludf.DUMMYFUNCTION("""COMPUTED_VALUE"""),"39.01585")</f>
        <v>39.01585</v>
      </c>
      <c r="H1113" s="1" t="str">
        <f>IFERROR(__xludf.DUMMYFUNCTION("""COMPUTED_VALUE"""),"-77.45341")</f>
        <v>-77.45341</v>
      </c>
      <c r="I1113" s="1" t="str">
        <f>IFERROR(__xludf.DUMMYFUNCTION("""COMPUTED_VALUE"""),"Operating")</f>
        <v>Operating</v>
      </c>
      <c r="J1113" s="1" t="str">
        <f>IFERROR(__xludf.DUMMYFUNCTION("""COMPUTED_VALUE"""),"High")</f>
        <v>High</v>
      </c>
      <c r="K1113" s="1" t="str">
        <f>IFERROR(__xludf.DUMMYFUNCTION("""COMPUTED_VALUE"""),"")</f>
        <v/>
      </c>
      <c r="L1113" s="1" t="str">
        <f>IFERROR(__xludf.DUMMYFUNCTION("""COMPUTED_VALUE"""),"BEAUMEADE DC BUILDING LLC")</f>
        <v>BEAUMEADE DC BUILDING LLC</v>
      </c>
      <c r="M1113" s="1" t="str">
        <f>IFERROR(__xludf.DUMMYFUNCTION("""COMPUTED_VALUE"""),"")</f>
        <v/>
      </c>
      <c r="N1113" s="1" t="str">
        <f>IFERROR(__xludf.DUMMYFUNCTION("""COMPUTED_VALUE"""),"")</f>
        <v/>
      </c>
      <c r="O1113" s="1" t="str">
        <f>IFERROR(__xludf.DUMMYFUNCTION("""COMPUTED_VALUE"""),"Unknown")</f>
        <v>Unknown</v>
      </c>
      <c r="P1113" s="1" t="str">
        <f>IFERROR(__xludf.DUMMYFUNCTION("""COMPUTED_VALUE"""),"")</f>
        <v/>
      </c>
      <c r="Q1113" s="1" t="str">
        <f>IFERROR(__xludf.DUMMYFUNCTION("""COMPUTED_VALUE"""),"")</f>
        <v/>
      </c>
      <c r="R1113" s="1" t="str">
        <f>IFERROR(__xludf.DUMMYFUNCTION("""COMPUTED_VALUE"""),"")</f>
        <v/>
      </c>
      <c r="S1113" s="1" t="str">
        <f>IFERROR(__xludf.DUMMYFUNCTION("""COMPUTED_VALUE"""),"")</f>
        <v/>
      </c>
      <c r="T1113" s="1" t="str">
        <f>IFERROR(__xludf.DUMMYFUNCTION("""COMPUTED_VALUE"""),"")</f>
        <v/>
      </c>
      <c r="U1113" s="1" t="str">
        <f>IFERROR(__xludf.DUMMYFUNCTION("""COMPUTED_VALUE"""),"")</f>
        <v/>
      </c>
      <c r="V1113" s="1" t="str">
        <f>IFERROR(__xludf.DUMMYFUNCTION("""COMPUTED_VALUE"""),"190,250")</f>
        <v>190,250</v>
      </c>
      <c r="W1113" s="1" t="str">
        <f>IFERROR(__xludf.DUMMYFUNCTION("""COMPUTED_VALUE"""),"9")</f>
        <v>9</v>
      </c>
      <c r="X1113" s="1" t="str">
        <f>IFERROR(__xludf.DUMMYFUNCTION("""COMPUTED_VALUE"""),"")</f>
        <v/>
      </c>
      <c r="Y1113" s="1" t="str">
        <f>IFERROR(__xludf.DUMMYFUNCTION("""COMPUTED_VALUE"""),"")</f>
        <v/>
      </c>
      <c r="Z1113" s="1" t="str">
        <f>IFERROR(__xludf.DUMMYFUNCTION("""COMPUTED_VALUE"""),"Unknown")</f>
        <v>Unknown</v>
      </c>
      <c r="AA1113" s="1" t="str">
        <f>IFERROR(__xludf.DUMMYFUNCTION("""COMPUTED_VALUE"""),"")</f>
        <v/>
      </c>
      <c r="AB1113" s="1" t="str">
        <f>IFERROR(__xludf.DUMMYFUNCTION("""COMPUTED_VALUE"""),"")</f>
        <v/>
      </c>
      <c r="AC1113" s="1" t="str">
        <f>IFERROR(__xludf.DUMMYFUNCTION("""COMPUTED_VALUE"""),"")</f>
        <v/>
      </c>
      <c r="AD1113" s="1" t="str">
        <f>IFERROR(__xludf.DUMMYFUNCTION("""COMPUTED_VALUE"""),"")</f>
        <v/>
      </c>
      <c r="AE1113" s="1" t="str">
        <f>IFERROR(__xludf.DUMMYFUNCTION("""COMPUTED_VALUE"""),"")</f>
        <v/>
      </c>
      <c r="AF1113" s="1" t="str">
        <f>IFERROR(__xludf.DUMMYFUNCTION("""COMPUTED_VALUE"""),"")</f>
        <v/>
      </c>
      <c r="AG1113" s="1" t="str">
        <f>IFERROR(__xludf.DUMMYFUNCTION("""COMPUTED_VALUE"""),"Shown as ""Storage Warehouse"", two parcels")</f>
        <v>Shown as "Storage Warehouse", two parcels</v>
      </c>
      <c r="AH1113" s="1" t="str">
        <f>IFERROR(__xludf.DUMMYFUNCTION("""COMPUTED_VALUE"""),"PEC")</f>
        <v>PEC</v>
      </c>
      <c r="AI1113" s="1" t="str">
        <f>IFERROR(__xludf.DUMMYFUNCTION("""COMPUTED_VALUE"""),"")</f>
        <v/>
      </c>
      <c r="AJ1113" s="2" t="str">
        <f>IFERROR(__xludf.DUMMYFUNCTION("""COMPUTED_VALUE"""),"https://reparcelasmt.loudoun.gov/pt/Datalets/Datalet.aspx?UseSearch=no&amp;mode=profileall&amp;pin=061303369000&amp;jur=107&amp;taxyr=2024")</f>
        <v>https://reparcelasmt.loudoun.gov/pt/Datalets/Datalet.aspx?UseSearch=no&amp;mode=profileall&amp;pin=061303369000&amp;jur=107&amp;taxyr=2024</v>
      </c>
      <c r="AK1113" s="2" t="str">
        <f>IFERROR(__xludf.DUMMYFUNCTION("""COMPUTED_VALUE"""),"https://reparcelasmt.loudoun.gov/pt/Datalets/Datalet.aspx?UseSearch=no&amp;mode=profileall&amp;pin=061407107000&amp;jur=107&amp;taxyr=2024")</f>
        <v>https://reparcelasmt.loudoun.gov/pt/Datalets/Datalet.aspx?UseSearch=no&amp;mode=profileall&amp;pin=061407107000&amp;jur=107&amp;taxyr=2024</v>
      </c>
      <c r="AL1113" s="1" t="str">
        <f>IFERROR(__xludf.DUMMYFUNCTION("""COMPUTED_VALUE"""),"")</f>
        <v/>
      </c>
      <c r="AM1113" s="1" t="str">
        <f>IFERROR(__xludf.DUMMYFUNCTION("""COMPUTED_VALUE"""),"")</f>
        <v/>
      </c>
      <c r="AN1113" s="1" t="str">
        <f>IFERROR(__xludf.DUMMYFUNCTION("""COMPUTED_VALUE"""),"")</f>
        <v/>
      </c>
      <c r="AO1113" s="1" t="str">
        <f>IFERROR(__xludf.DUMMYFUNCTION("""COMPUTED_VALUE"""),"")</f>
        <v/>
      </c>
      <c r="AP1113" s="1" t="str">
        <f>IFERROR(__xludf.DUMMYFUNCTION("""COMPUTED_VALUE"""),"")</f>
        <v/>
      </c>
      <c r="AQ1113" s="1" t="str">
        <f>IFERROR(__xludf.DUMMYFUNCTION("""COMPUTED_VALUE"""),"04/10/2024")</f>
        <v>04/10/2024</v>
      </c>
      <c r="AR1113" s="1" t="str">
        <f>IFERROR(__xludf.DUMMYFUNCTION("""COMPUTED_VALUE"""),"10/17/2025")</f>
        <v>10/17/2025</v>
      </c>
    </row>
    <row r="1114">
      <c r="A1114" s="1" t="str">
        <f>IFERROR(__xludf.DUMMYFUNCTION("""COMPUTED_VALUE"""),"21455 Beaumeade Circle")</f>
        <v>21455 Beaumeade Circle</v>
      </c>
      <c r="B1114" s="1" t="str">
        <f>IFERROR(__xludf.DUMMYFUNCTION("""COMPUTED_VALUE"""),"Corner of Beaumeade Circle and Waxpool Rd")</f>
        <v>Corner of Beaumeade Circle and Waxpool Rd</v>
      </c>
      <c r="C1114" s="1" t="str">
        <f>IFERROR(__xludf.DUMMYFUNCTION("""COMPUTED_VALUE"""),"Ashburn")</f>
        <v>Ashburn</v>
      </c>
      <c r="D1114" s="1" t="str">
        <f>IFERROR(__xludf.DUMMYFUNCTION("""COMPUTED_VALUE"""),"VA")</f>
        <v>VA</v>
      </c>
      <c r="E1114" s="1" t="str">
        <f>IFERROR(__xludf.DUMMYFUNCTION("""COMPUTED_VALUE"""),"20147")</f>
        <v>20147</v>
      </c>
      <c r="F1114" s="1" t="str">
        <f>IFERROR(__xludf.DUMMYFUNCTION("""COMPUTED_VALUE"""),"Loudoun")</f>
        <v>Loudoun</v>
      </c>
      <c r="G1114" s="1" t="str">
        <f>IFERROR(__xludf.DUMMYFUNCTION("""COMPUTED_VALUE"""),"39.011536")</f>
        <v>39.011536</v>
      </c>
      <c r="H1114" s="1" t="str">
        <f>IFERROR(__xludf.DUMMYFUNCTION("""COMPUTED_VALUE"""),"-77.452644")</f>
        <v>-77.452644</v>
      </c>
      <c r="I1114" s="1" t="str">
        <f>IFERROR(__xludf.DUMMYFUNCTION("""COMPUTED_VALUE"""),"Proposed")</f>
        <v>Proposed</v>
      </c>
      <c r="J1114" s="1" t="str">
        <f>IFERROR(__xludf.DUMMYFUNCTION("""COMPUTED_VALUE"""),"Medium")</f>
        <v>Medium</v>
      </c>
      <c r="K1114" s="1" t="str">
        <f>IFERROR(__xludf.DUMMYFUNCTION("""COMPUTED_VALUE"""),"")</f>
        <v/>
      </c>
      <c r="L1114" s="1" t="str">
        <f>IFERROR(__xludf.DUMMYFUNCTION("""COMPUTED_VALUE"""),"Equinix")</f>
        <v>Equinix</v>
      </c>
      <c r="M1114" s="1" t="str">
        <f>IFERROR(__xludf.DUMMYFUNCTION("""COMPUTED_VALUE"""),"")</f>
        <v/>
      </c>
      <c r="N1114" s="1" t="str">
        <f>IFERROR(__xludf.DUMMYFUNCTION("""COMPUTED_VALUE"""),"")</f>
        <v/>
      </c>
      <c r="O1114" s="1" t="str">
        <f>IFERROR(__xludf.DUMMYFUNCTION("""COMPUTED_VALUE"""),"Unknown")</f>
        <v>Unknown</v>
      </c>
      <c r="P1114" s="1" t="str">
        <f>IFERROR(__xludf.DUMMYFUNCTION("""COMPUTED_VALUE"""),"")</f>
        <v/>
      </c>
      <c r="Q1114" s="1" t="str">
        <f>IFERROR(__xludf.DUMMYFUNCTION("""COMPUTED_VALUE"""),"")</f>
        <v/>
      </c>
      <c r="R1114" s="1" t="str">
        <f>IFERROR(__xludf.DUMMYFUNCTION("""COMPUTED_VALUE"""),"")</f>
        <v/>
      </c>
      <c r="S1114" s="1" t="str">
        <f>IFERROR(__xludf.DUMMYFUNCTION("""COMPUTED_VALUE"""),"")</f>
        <v/>
      </c>
      <c r="T1114" s="1" t="str">
        <f>IFERROR(__xludf.DUMMYFUNCTION("""COMPUTED_VALUE"""),"")</f>
        <v/>
      </c>
      <c r="U1114" s="1" t="str">
        <f>IFERROR(__xludf.DUMMYFUNCTION("""COMPUTED_VALUE"""),"")</f>
        <v/>
      </c>
      <c r="V1114" s="1" t="str">
        <f>IFERROR(__xludf.DUMMYFUNCTION("""COMPUTED_VALUE"""),"265,000")</f>
        <v>265,000</v>
      </c>
      <c r="W1114" s="1" t="str">
        <f>IFERROR(__xludf.DUMMYFUNCTION("""COMPUTED_VALUE"""),"16")</f>
        <v>16</v>
      </c>
      <c r="X1114" s="1" t="str">
        <f>IFERROR(__xludf.DUMMYFUNCTION("""COMPUTED_VALUE"""),"")</f>
        <v/>
      </c>
      <c r="Y1114" s="1" t="str">
        <f>IFERROR(__xludf.DUMMYFUNCTION("""COMPUTED_VALUE"""),"")</f>
        <v/>
      </c>
      <c r="Z1114" s="1" t="str">
        <f>IFERROR(__xludf.DUMMYFUNCTION("""COMPUTED_VALUE"""),"Unknown")</f>
        <v>Unknown</v>
      </c>
      <c r="AA1114" s="1" t="str">
        <f>IFERROR(__xludf.DUMMYFUNCTION("""COMPUTED_VALUE"""),"")</f>
        <v/>
      </c>
      <c r="AB1114" s="1" t="str">
        <f>IFERROR(__xludf.DUMMYFUNCTION("""COMPUTED_VALUE"""),"")</f>
        <v/>
      </c>
      <c r="AC1114" s="1" t="str">
        <f>IFERROR(__xludf.DUMMYFUNCTION("""COMPUTED_VALUE"""),"")</f>
        <v/>
      </c>
      <c r="AD1114" s="1" t="str">
        <f>IFERROR(__xludf.DUMMYFUNCTION("""COMPUTED_VALUE"""),"")</f>
        <v/>
      </c>
      <c r="AE1114" s="1" t="str">
        <f>IFERROR(__xludf.DUMMYFUNCTION("""COMPUTED_VALUE"""),"")</f>
        <v/>
      </c>
      <c r="AF1114" s="1" t="str">
        <f>IFERROR(__xludf.DUMMYFUNCTION("""COMPUTED_VALUE"""),"")</f>
        <v/>
      </c>
      <c r="AG1114" s="1" t="str">
        <f>IFERROR(__xludf.DUMMYFUNCTION("""COMPUTED_VALUE"""),"Project covers more than one parcel, the acreage represents the combined acreage")</f>
        <v>Project covers more than one parcel, the acreage represents the combined acreage</v>
      </c>
      <c r="AH1114" s="1" t="str">
        <f>IFERROR(__xludf.DUMMYFUNCTION("""COMPUTED_VALUE"""),"PEC")</f>
        <v>PEC</v>
      </c>
      <c r="AI1114" s="2" t="str">
        <f>IFERROR(__xludf.DUMMYFUNCTION("""COMPUTED_VALUE"""),"https://www.datacenterdynamics.com/en/news/american-real-estate-partners-buys-land-plans-data-center-northern-virginia/")</f>
        <v>https://www.datacenterdynamics.com/en/news/american-real-estate-partners-buys-land-plans-data-center-northern-virginia/</v>
      </c>
      <c r="AJ1114" s="2" t="str">
        <f>IFERROR(__xludf.DUMMYFUNCTION("""COMPUTED_VALUE"""),"https://reparcelasmt.loudoun.gov/pt/Datalets/Datalet.aspx?UseSearch=no&amp;mode=profileall&amp;pin=061204719000&amp;jur=107&amp;taxyr=2024")</f>
        <v>https://reparcelasmt.loudoun.gov/pt/Datalets/Datalet.aspx?UseSearch=no&amp;mode=profileall&amp;pin=061204719000&amp;jur=107&amp;taxyr=2024</v>
      </c>
      <c r="AK1114" s="1" t="str">
        <f>IFERROR(__xludf.DUMMYFUNCTION("""COMPUTED_VALUE"""),"")</f>
        <v/>
      </c>
      <c r="AL1114" s="1" t="str">
        <f>IFERROR(__xludf.DUMMYFUNCTION("""COMPUTED_VALUE"""),"")</f>
        <v/>
      </c>
      <c r="AM1114" s="1" t="str">
        <f>IFERROR(__xludf.DUMMYFUNCTION("""COMPUTED_VALUE"""),"")</f>
        <v/>
      </c>
      <c r="AN1114" s="1" t="str">
        <f>IFERROR(__xludf.DUMMYFUNCTION("""COMPUTED_VALUE"""),"")</f>
        <v/>
      </c>
      <c r="AO1114" s="1" t="str">
        <f>IFERROR(__xludf.DUMMYFUNCTION("""COMPUTED_VALUE"""),"")</f>
        <v/>
      </c>
      <c r="AP1114" s="1" t="str">
        <f>IFERROR(__xludf.DUMMYFUNCTION("""COMPUTED_VALUE"""),"")</f>
        <v/>
      </c>
      <c r="AQ1114" s="1" t="str">
        <f>IFERROR(__xludf.DUMMYFUNCTION("""COMPUTED_VALUE"""),"04/10/2024")</f>
        <v>04/10/2024</v>
      </c>
      <c r="AR1114" s="1" t="str">
        <f>IFERROR(__xludf.DUMMYFUNCTION("""COMPUTED_VALUE"""),"10/17/2025")</f>
        <v>10/17/2025</v>
      </c>
    </row>
    <row r="1115">
      <c r="A1115" s="1" t="str">
        <f>IFERROR(__xludf.DUMMYFUNCTION("""COMPUTED_VALUE"""),"21673 BEAUMEADE CIRCLE LLC")</f>
        <v>21673 BEAUMEADE CIRCLE LLC</v>
      </c>
      <c r="B1115" s="1" t="str">
        <f>IFERROR(__xludf.DUMMYFUNCTION("""COMPUTED_VALUE"""),"21673 BEAUMEADE CIRCLE")</f>
        <v>21673 BEAUMEADE CIRCLE</v>
      </c>
      <c r="C1115" s="1" t="str">
        <f>IFERROR(__xludf.DUMMYFUNCTION("""COMPUTED_VALUE"""),"Ashburn")</f>
        <v>Ashburn</v>
      </c>
      <c r="D1115" s="1" t="str">
        <f>IFERROR(__xludf.DUMMYFUNCTION("""COMPUTED_VALUE"""),"VA")</f>
        <v>VA</v>
      </c>
      <c r="E1115" s="1" t="str">
        <f>IFERROR(__xludf.DUMMYFUNCTION("""COMPUTED_VALUE"""),"20147")</f>
        <v>20147</v>
      </c>
      <c r="F1115" s="1" t="str">
        <f>IFERROR(__xludf.DUMMYFUNCTION("""COMPUTED_VALUE"""),"Loudoun")</f>
        <v>Loudoun</v>
      </c>
      <c r="G1115" s="1" t="str">
        <f>IFERROR(__xludf.DUMMYFUNCTION("""COMPUTED_VALUE"""),"39.019413")</f>
        <v>39.019413</v>
      </c>
      <c r="H1115" s="1" t="str">
        <f>IFERROR(__xludf.DUMMYFUNCTION("""COMPUTED_VALUE"""),"-77.45795")</f>
        <v>-77.45795</v>
      </c>
      <c r="I1115" s="1" t="str">
        <f>IFERROR(__xludf.DUMMYFUNCTION("""COMPUTED_VALUE"""),"Expanding")</f>
        <v>Expanding</v>
      </c>
      <c r="J1115" s="1" t="str">
        <f>IFERROR(__xludf.DUMMYFUNCTION("""COMPUTED_VALUE"""),"High")</f>
        <v>High</v>
      </c>
      <c r="K1115" s="1" t="str">
        <f>IFERROR(__xludf.DUMMYFUNCTION("""COMPUTED_VALUE"""),"")</f>
        <v/>
      </c>
      <c r="L1115" s="1" t="str">
        <f>IFERROR(__xludf.DUMMYFUNCTION("""COMPUTED_VALUE"""),"Cologix")</f>
        <v>Cologix</v>
      </c>
      <c r="M1115" s="1" t="str">
        <f>IFERROR(__xludf.DUMMYFUNCTION("""COMPUTED_VALUE"""),"")</f>
        <v/>
      </c>
      <c r="N1115" s="1" t="str">
        <f>IFERROR(__xludf.DUMMYFUNCTION("""COMPUTED_VALUE"""),"")</f>
        <v/>
      </c>
      <c r="O1115" s="1" t="str">
        <f>IFERROR(__xludf.DUMMYFUNCTION("""COMPUTED_VALUE"""),"Unknown")</f>
        <v>Unknown</v>
      </c>
      <c r="P1115" s="1" t="str">
        <f>IFERROR(__xludf.DUMMYFUNCTION("""COMPUTED_VALUE"""),"")</f>
        <v/>
      </c>
      <c r="Q1115" s="1" t="str">
        <f>IFERROR(__xludf.DUMMYFUNCTION("""COMPUTED_VALUE"""),"")</f>
        <v/>
      </c>
      <c r="R1115" s="1" t="str">
        <f>IFERROR(__xludf.DUMMYFUNCTION("""COMPUTED_VALUE"""),"")</f>
        <v/>
      </c>
      <c r="S1115" s="1" t="str">
        <f>IFERROR(__xludf.DUMMYFUNCTION("""COMPUTED_VALUE"""),"")</f>
        <v/>
      </c>
      <c r="T1115" s="1" t="str">
        <f>IFERROR(__xludf.DUMMYFUNCTION("""COMPUTED_VALUE"""),"")</f>
        <v/>
      </c>
      <c r="U1115" s="1" t="str">
        <f>IFERROR(__xludf.DUMMYFUNCTION("""COMPUTED_VALUE"""),"")</f>
        <v/>
      </c>
      <c r="V1115" s="1" t="str">
        <f>IFERROR(__xludf.DUMMYFUNCTION("""COMPUTED_VALUE"""),"544,207")</f>
        <v>544,207</v>
      </c>
      <c r="W1115" s="1" t="str">
        <f>IFERROR(__xludf.DUMMYFUNCTION("""COMPUTED_VALUE"""),"")</f>
        <v/>
      </c>
      <c r="X1115" s="1" t="str">
        <f>IFERROR(__xludf.DUMMYFUNCTION("""COMPUTED_VALUE"""),"")</f>
        <v/>
      </c>
      <c r="Y1115" s="1" t="str">
        <f>IFERROR(__xludf.DUMMYFUNCTION("""COMPUTED_VALUE"""),"")</f>
        <v/>
      </c>
      <c r="Z1115" s="1" t="str">
        <f>IFERROR(__xludf.DUMMYFUNCTION("""COMPUTED_VALUE"""),"Unknown")</f>
        <v>Unknown</v>
      </c>
      <c r="AA1115" s="1" t="str">
        <f>IFERROR(__xludf.DUMMYFUNCTION("""COMPUTED_VALUE"""),"")</f>
        <v/>
      </c>
      <c r="AB1115" s="1" t="str">
        <f>IFERROR(__xludf.DUMMYFUNCTION("""COMPUTED_VALUE"""),"")</f>
        <v/>
      </c>
      <c r="AC1115" s="1" t="str">
        <f>IFERROR(__xludf.DUMMYFUNCTION("""COMPUTED_VALUE"""),"")</f>
        <v/>
      </c>
      <c r="AD1115" s="1" t="str">
        <f>IFERROR(__xludf.DUMMYFUNCTION("""COMPUTED_VALUE"""),"")</f>
        <v/>
      </c>
      <c r="AE1115" s="1" t="str">
        <f>IFERROR(__xludf.DUMMYFUNCTION("""COMPUTED_VALUE"""),"")</f>
        <v/>
      </c>
      <c r="AF1115" s="1" t="str">
        <f>IFERROR(__xludf.DUMMYFUNCTION("""COMPUTED_VALUE"""),"")</f>
        <v/>
      </c>
      <c r="AG1115" s="1" t="str">
        <f>IFERROR(__xludf.DUMMYFUNCTION("""COMPUTED_VALUE"""),"Expansion of 21673 BEAUMEADE CIRCLE LLC")</f>
        <v>Expansion of 21673 BEAUMEADE CIRCLE LLC</v>
      </c>
      <c r="AH1115" s="1" t="str">
        <f>IFERROR(__xludf.DUMMYFUNCTION("""COMPUTED_VALUE"""),"PEC")</f>
        <v>PEC</v>
      </c>
      <c r="AI1115" s="2" t="str">
        <f>IFERROR(__xludf.DUMMYFUNCTION("""COMPUTED_VALUE"""),"https://baxtel.com/data-center/cologix-ashburn-ash1")</f>
        <v>https://baxtel.com/data-center/cologix-ashburn-ash1</v>
      </c>
      <c r="AJ1115" s="2" t="str">
        <f>IFERROR(__xludf.DUMMYFUNCTION("""COMPUTED_VALUE"""),"https://reparcelasmt.loudoun.gov/pt/Datalets/Datalet.aspx?UseSearch=no&amp;mode=profileall&amp;pin=060189720000&amp;jur=107&amp;taxyr=2024")</f>
        <v>https://reparcelasmt.loudoun.gov/pt/Datalets/Datalet.aspx?UseSearch=no&amp;mode=profileall&amp;pin=060189720000&amp;jur=107&amp;taxyr=2024</v>
      </c>
      <c r="AK1115" s="1" t="str">
        <f>IFERROR(__xludf.DUMMYFUNCTION("""COMPUTED_VALUE"""),"")</f>
        <v/>
      </c>
      <c r="AL1115" s="1" t="str">
        <f>IFERROR(__xludf.DUMMYFUNCTION("""COMPUTED_VALUE"""),"")</f>
        <v/>
      </c>
      <c r="AM1115" s="1" t="str">
        <f>IFERROR(__xludf.DUMMYFUNCTION("""COMPUTED_VALUE"""),"")</f>
        <v/>
      </c>
      <c r="AN1115" s="1" t="str">
        <f>IFERROR(__xludf.DUMMYFUNCTION("""COMPUTED_VALUE"""),"")</f>
        <v/>
      </c>
      <c r="AO1115" s="1" t="str">
        <f>IFERROR(__xludf.DUMMYFUNCTION("""COMPUTED_VALUE"""),"")</f>
        <v/>
      </c>
      <c r="AP1115" s="1" t="str">
        <f>IFERROR(__xludf.DUMMYFUNCTION("""COMPUTED_VALUE"""),"")</f>
        <v/>
      </c>
      <c r="AQ1115" s="1" t="str">
        <f>IFERROR(__xludf.DUMMYFUNCTION("""COMPUTED_VALUE"""),"04/10/2024")</f>
        <v>04/10/2024</v>
      </c>
      <c r="AR1115" s="1" t="str">
        <f>IFERROR(__xludf.DUMMYFUNCTION("""COMPUTED_VALUE"""),"02/10/2026")</f>
        <v>02/10/2026</v>
      </c>
    </row>
    <row r="1116">
      <c r="A1116" s="1" t="str">
        <f>IFERROR(__xludf.DUMMYFUNCTION("""COMPUTED_VALUE"""),"21745 BEAUMEADE CIR")</f>
        <v>21745 BEAUMEADE CIR</v>
      </c>
      <c r="B1116" s="1" t="str">
        <f>IFERROR(__xludf.DUMMYFUNCTION("""COMPUTED_VALUE"""),"21745 BEAUMEADE CIR")</f>
        <v>21745 BEAUMEADE CIR</v>
      </c>
      <c r="C1116" s="1" t="str">
        <f>IFERROR(__xludf.DUMMYFUNCTION("""COMPUTED_VALUE"""),"Ashburn")</f>
        <v>Ashburn</v>
      </c>
      <c r="D1116" s="1" t="str">
        <f>IFERROR(__xludf.DUMMYFUNCTION("""COMPUTED_VALUE"""),"VA")</f>
        <v>VA</v>
      </c>
      <c r="E1116" s="1" t="str">
        <f>IFERROR(__xludf.DUMMYFUNCTION("""COMPUTED_VALUE"""),"20147")</f>
        <v>20147</v>
      </c>
      <c r="F1116" s="1" t="str">
        <f>IFERROR(__xludf.DUMMYFUNCTION("""COMPUTED_VALUE"""),"Loudoun")</f>
        <v>Loudoun</v>
      </c>
      <c r="G1116" s="1" t="str">
        <f>IFERROR(__xludf.DUMMYFUNCTION("""COMPUTED_VALUE"""),"39.018513")</f>
        <v>39.018513</v>
      </c>
      <c r="H1116" s="1" t="str">
        <f>IFERROR(__xludf.DUMMYFUNCTION("""COMPUTED_VALUE"""),"-77.4589")</f>
        <v>-77.4589</v>
      </c>
      <c r="I1116" s="1" t="str">
        <f>IFERROR(__xludf.DUMMYFUNCTION("""COMPUTED_VALUE"""),"Operating")</f>
        <v>Operating</v>
      </c>
      <c r="J1116" s="1" t="str">
        <f>IFERROR(__xludf.DUMMYFUNCTION("""COMPUTED_VALUE"""),"High")</f>
        <v>High</v>
      </c>
      <c r="K1116" s="1" t="str">
        <f>IFERROR(__xludf.DUMMYFUNCTION("""COMPUTED_VALUE"""),"")</f>
        <v/>
      </c>
      <c r="L1116" s="1" t="str">
        <f>IFERROR(__xludf.DUMMYFUNCTION("""COMPUTED_VALUE"""),"21673 BEAUMEADE CIRCLE LLC")</f>
        <v>21673 BEAUMEADE CIRCLE LLC</v>
      </c>
      <c r="M1116" s="1" t="str">
        <f>IFERROR(__xludf.DUMMYFUNCTION("""COMPUTED_VALUE"""),"")</f>
        <v/>
      </c>
      <c r="N1116" s="1" t="str">
        <f>IFERROR(__xludf.DUMMYFUNCTION("""COMPUTED_VALUE"""),"")</f>
        <v/>
      </c>
      <c r="O1116" s="1" t="str">
        <f>IFERROR(__xludf.DUMMYFUNCTION("""COMPUTED_VALUE"""),"Unknown")</f>
        <v>Unknown</v>
      </c>
      <c r="P1116" s="1" t="str">
        <f>IFERROR(__xludf.DUMMYFUNCTION("""COMPUTED_VALUE"""),"")</f>
        <v/>
      </c>
      <c r="Q1116" s="1" t="str">
        <f>IFERROR(__xludf.DUMMYFUNCTION("""COMPUTED_VALUE"""),"")</f>
        <v/>
      </c>
      <c r="R1116" s="1" t="str">
        <f>IFERROR(__xludf.DUMMYFUNCTION("""COMPUTED_VALUE"""),"")</f>
        <v/>
      </c>
      <c r="S1116" s="1" t="str">
        <f>IFERROR(__xludf.DUMMYFUNCTION("""COMPUTED_VALUE"""),"")</f>
        <v/>
      </c>
      <c r="T1116" s="1" t="str">
        <f>IFERROR(__xludf.DUMMYFUNCTION("""COMPUTED_VALUE"""),"")</f>
        <v/>
      </c>
      <c r="U1116" s="1" t="str">
        <f>IFERROR(__xludf.DUMMYFUNCTION("""COMPUTED_VALUE"""),"")</f>
        <v/>
      </c>
      <c r="V1116" s="1" t="str">
        <f>IFERROR(__xludf.DUMMYFUNCTION("""COMPUTED_VALUE"""),"455,793")</f>
        <v>455,793</v>
      </c>
      <c r="W1116" s="1" t="str">
        <f>IFERROR(__xludf.DUMMYFUNCTION("""COMPUTED_VALUE"""),"23")</f>
        <v>23</v>
      </c>
      <c r="X1116" s="1" t="str">
        <f>IFERROR(__xludf.DUMMYFUNCTION("""COMPUTED_VALUE"""),"")</f>
        <v/>
      </c>
      <c r="Y1116" s="1" t="str">
        <f>IFERROR(__xludf.DUMMYFUNCTION("""COMPUTED_VALUE"""),"")</f>
        <v/>
      </c>
      <c r="Z1116" s="1" t="str">
        <f>IFERROR(__xludf.DUMMYFUNCTION("""COMPUTED_VALUE"""),"Unknown")</f>
        <v>Unknown</v>
      </c>
      <c r="AA1116" s="1" t="str">
        <f>IFERROR(__xludf.DUMMYFUNCTION("""COMPUTED_VALUE"""),"")</f>
        <v/>
      </c>
      <c r="AB1116" s="1" t="str">
        <f>IFERROR(__xludf.DUMMYFUNCTION("""COMPUTED_VALUE"""),"")</f>
        <v/>
      </c>
      <c r="AC1116" s="1" t="str">
        <f>IFERROR(__xludf.DUMMYFUNCTION("""COMPUTED_VALUE"""),"")</f>
        <v/>
      </c>
      <c r="AD1116" s="1" t="str">
        <f>IFERROR(__xludf.DUMMYFUNCTION("""COMPUTED_VALUE"""),"")</f>
        <v/>
      </c>
      <c r="AE1116" s="1" t="str">
        <f>IFERROR(__xludf.DUMMYFUNCTION("""COMPUTED_VALUE"""),"")</f>
        <v/>
      </c>
      <c r="AF1116" s="1" t="str">
        <f>IFERROR(__xludf.DUMMYFUNCTION("""COMPUTED_VALUE"""),"")</f>
        <v/>
      </c>
      <c r="AG1116" s="1" t="str">
        <f>IFERROR(__xludf.DUMMYFUNCTION("""COMPUTED_VALUE"""),"Computer Center")</f>
        <v>Computer Center</v>
      </c>
      <c r="AH1116" s="1" t="str">
        <f>IFERROR(__xludf.DUMMYFUNCTION("""COMPUTED_VALUE"""),"PEC")</f>
        <v>PEC</v>
      </c>
      <c r="AI1116" s="1" t="str">
        <f>IFERROR(__xludf.DUMMYFUNCTION("""COMPUTED_VALUE"""),"")</f>
        <v/>
      </c>
      <c r="AJ1116" s="2" t="str">
        <f>IFERROR(__xludf.DUMMYFUNCTION("""COMPUTED_VALUE"""),"https://reparcelasmt.loudoun.gov/pt/Datalets/Datalet.aspx?UseSearch=no&amp;mode=profileall&amp;pin=060189720000&amp;jur=107&amp;taxyr=2024")</f>
        <v>https://reparcelasmt.loudoun.gov/pt/Datalets/Datalet.aspx?UseSearch=no&amp;mode=profileall&amp;pin=060189720000&amp;jur=107&amp;taxyr=2024</v>
      </c>
      <c r="AK1116" s="2" t="str">
        <f>IFERROR(__xludf.DUMMYFUNCTION("""COMPUTED_VALUE"""),"https://www.datacenterdynamics.com/en/news/cologix-acquires-land-in-ashburn-virginia-for-data-center/")</f>
        <v>https://www.datacenterdynamics.com/en/news/cologix-acquires-land-in-ashburn-virginia-for-data-center/</v>
      </c>
      <c r="AL1116" s="1" t="str">
        <f>IFERROR(__xludf.DUMMYFUNCTION("""COMPUTED_VALUE"""),"")</f>
        <v/>
      </c>
      <c r="AM1116" s="1" t="str">
        <f>IFERROR(__xludf.DUMMYFUNCTION("""COMPUTED_VALUE"""),"")</f>
        <v/>
      </c>
      <c r="AN1116" s="1" t="str">
        <f>IFERROR(__xludf.DUMMYFUNCTION("""COMPUTED_VALUE"""),"")</f>
        <v/>
      </c>
      <c r="AO1116" s="1" t="str">
        <f>IFERROR(__xludf.DUMMYFUNCTION("""COMPUTED_VALUE"""),"")</f>
        <v/>
      </c>
      <c r="AP1116" s="1" t="str">
        <f>IFERROR(__xludf.DUMMYFUNCTION("""COMPUTED_VALUE"""),"")</f>
        <v/>
      </c>
      <c r="AQ1116" s="1" t="str">
        <f>IFERROR(__xludf.DUMMYFUNCTION("""COMPUTED_VALUE"""),"04/10/2024")</f>
        <v>04/10/2024</v>
      </c>
      <c r="AR1116" s="1" t="str">
        <f>IFERROR(__xludf.DUMMYFUNCTION("""COMPUTED_VALUE"""),"10/17/2025")</f>
        <v>10/17/2025</v>
      </c>
    </row>
    <row r="1117">
      <c r="A1117" s="1" t="str">
        <f>IFERROR(__xludf.DUMMYFUNCTION("""COMPUTED_VALUE"""),"21821 UUNET DR")</f>
        <v>21821 UUNET DR</v>
      </c>
      <c r="B1117" s="1" t="str">
        <f>IFERROR(__xludf.DUMMYFUNCTION("""COMPUTED_VALUE"""),"21821 UUNET DR")</f>
        <v>21821 UUNET DR</v>
      </c>
      <c r="C1117" s="1" t="str">
        <f>IFERROR(__xludf.DUMMYFUNCTION("""COMPUTED_VALUE"""),"Ashburn")</f>
        <v>Ashburn</v>
      </c>
      <c r="D1117" s="1" t="str">
        <f>IFERROR(__xludf.DUMMYFUNCTION("""COMPUTED_VALUE"""),"VA")</f>
        <v>VA</v>
      </c>
      <c r="E1117" s="1" t="str">
        <f>IFERROR(__xludf.DUMMYFUNCTION("""COMPUTED_VALUE"""),"20147")</f>
        <v>20147</v>
      </c>
      <c r="F1117" s="1" t="str">
        <f>IFERROR(__xludf.DUMMYFUNCTION("""COMPUTED_VALUE"""),"Loudoun")</f>
        <v>Loudoun</v>
      </c>
      <c r="G1117" s="1" t="str">
        <f>IFERROR(__xludf.DUMMYFUNCTION("""COMPUTED_VALUE"""),"39.010254")</f>
        <v>39.010254</v>
      </c>
      <c r="H1117" s="1" t="str">
        <f>IFERROR(__xludf.DUMMYFUNCTION("""COMPUTED_VALUE"""),"-77.474976")</f>
        <v>-77.474976</v>
      </c>
      <c r="I1117" s="1" t="str">
        <f>IFERROR(__xludf.DUMMYFUNCTION("""COMPUTED_VALUE"""),"Operating")</f>
        <v>Operating</v>
      </c>
      <c r="J1117" s="1" t="str">
        <f>IFERROR(__xludf.DUMMYFUNCTION("""COMPUTED_VALUE"""),"High")</f>
        <v>High</v>
      </c>
      <c r="K1117" s="1" t="str">
        <f>IFERROR(__xludf.DUMMYFUNCTION("""COMPUTED_VALUE"""),"")</f>
        <v/>
      </c>
      <c r="L1117" s="1" t="str">
        <f>IFERROR(__xludf.DUMMYFUNCTION("""COMPUTED_VALUE"""),"Aligned Data Centers")</f>
        <v>Aligned Data Centers</v>
      </c>
      <c r="M1117" s="1" t="str">
        <f>IFERROR(__xludf.DUMMYFUNCTION("""COMPUTED_VALUE"""),"")</f>
        <v/>
      </c>
      <c r="N1117" s="1" t="str">
        <f>IFERROR(__xludf.DUMMYFUNCTION("""COMPUTED_VALUE"""),"")</f>
        <v/>
      </c>
      <c r="O1117" s="1" t="str">
        <f>IFERROR(__xludf.DUMMYFUNCTION("""COMPUTED_VALUE"""),"Unknown")</f>
        <v>Unknown</v>
      </c>
      <c r="P1117" s="1" t="str">
        <f>IFERROR(__xludf.DUMMYFUNCTION("""COMPUTED_VALUE"""),"")</f>
        <v/>
      </c>
      <c r="Q1117" s="1" t="str">
        <f>IFERROR(__xludf.DUMMYFUNCTION("""COMPUTED_VALUE"""),"")</f>
        <v/>
      </c>
      <c r="R1117" s="1" t="str">
        <f>IFERROR(__xludf.DUMMYFUNCTION("""COMPUTED_VALUE"""),"")</f>
        <v/>
      </c>
      <c r="S1117" s="1" t="str">
        <f>IFERROR(__xludf.DUMMYFUNCTION("""COMPUTED_VALUE"""),"")</f>
        <v/>
      </c>
      <c r="T1117" s="1" t="str">
        <f>IFERROR(__xludf.DUMMYFUNCTION("""COMPUTED_VALUE"""),"")</f>
        <v/>
      </c>
      <c r="U1117" s="1" t="str">
        <f>IFERROR(__xludf.DUMMYFUNCTION("""COMPUTED_VALUE"""),"")</f>
        <v/>
      </c>
      <c r="V1117" s="1" t="str">
        <f>IFERROR(__xludf.DUMMYFUNCTION("""COMPUTED_VALUE"""),"438,460")</f>
        <v>438,460</v>
      </c>
      <c r="W1117" s="1" t="str">
        <f>IFERROR(__xludf.DUMMYFUNCTION("""COMPUTED_VALUE"""),"11")</f>
        <v>11</v>
      </c>
      <c r="X1117" s="1" t="str">
        <f>IFERROR(__xludf.DUMMYFUNCTION("""COMPUTED_VALUE"""),"")</f>
        <v/>
      </c>
      <c r="Y1117" s="1" t="str">
        <f>IFERROR(__xludf.DUMMYFUNCTION("""COMPUTED_VALUE"""),"")</f>
        <v/>
      </c>
      <c r="Z1117" s="1" t="str">
        <f>IFERROR(__xludf.DUMMYFUNCTION("""COMPUTED_VALUE"""),"Unknown")</f>
        <v>Unknown</v>
      </c>
      <c r="AA1117" s="1" t="str">
        <f>IFERROR(__xludf.DUMMYFUNCTION("""COMPUTED_VALUE"""),"")</f>
        <v/>
      </c>
      <c r="AB1117" s="1" t="str">
        <f>IFERROR(__xludf.DUMMYFUNCTION("""COMPUTED_VALUE"""),"")</f>
        <v/>
      </c>
      <c r="AC1117" s="1" t="str">
        <f>IFERROR(__xludf.DUMMYFUNCTION("""COMPUTED_VALUE"""),"")</f>
        <v/>
      </c>
      <c r="AD1117" s="1" t="str">
        <f>IFERROR(__xludf.DUMMYFUNCTION("""COMPUTED_VALUE"""),"")</f>
        <v/>
      </c>
      <c r="AE1117" s="1" t="str">
        <f>IFERROR(__xludf.DUMMYFUNCTION("""COMPUTED_VALUE"""),"")</f>
        <v/>
      </c>
      <c r="AF1117" s="1" t="str">
        <f>IFERROR(__xludf.DUMMYFUNCTION("""COMPUTED_VALUE"""),"")</f>
        <v/>
      </c>
      <c r="AG1117" s="1" t="str">
        <f>IFERROR(__xludf.DUMMYFUNCTION("""COMPUTED_VALUE"""),"Computer Center")</f>
        <v>Computer Center</v>
      </c>
      <c r="AH1117" s="1" t="str">
        <f>IFERROR(__xludf.DUMMYFUNCTION("""COMPUTED_VALUE"""),"PEC")</f>
        <v>PEC</v>
      </c>
      <c r="AI1117" s="1" t="str">
        <f>IFERROR(__xludf.DUMMYFUNCTION("""COMPUTED_VALUE"""),"")</f>
        <v/>
      </c>
      <c r="AJ1117" s="2" t="str">
        <f>IFERROR(__xludf.DUMMYFUNCTION("""COMPUTED_VALUE"""),"https://reparcelasmt.loudoun.gov/pt/datalets/datalet.aspx?mode=profileall&amp;UseSearch=no&amp;pin=088101859000&amp;jur=107&amp;taxyr=2024&amp;LMparent=20")</f>
        <v>https://reparcelasmt.loudoun.gov/pt/datalets/datalet.aspx?mode=profileall&amp;UseSearch=no&amp;pin=088101859000&amp;jur=107&amp;taxyr=2024&amp;LMparent=20</v>
      </c>
      <c r="AK1117" s="1" t="str">
        <f>IFERROR(__xludf.DUMMYFUNCTION("""COMPUTED_VALUE"""),"")</f>
        <v/>
      </c>
      <c r="AL1117" s="1" t="str">
        <f>IFERROR(__xludf.DUMMYFUNCTION("""COMPUTED_VALUE"""),"")</f>
        <v/>
      </c>
      <c r="AM1117" s="1" t="str">
        <f>IFERROR(__xludf.DUMMYFUNCTION("""COMPUTED_VALUE"""),"")</f>
        <v/>
      </c>
      <c r="AN1117" s="1" t="str">
        <f>IFERROR(__xludf.DUMMYFUNCTION("""COMPUTED_VALUE"""),"")</f>
        <v/>
      </c>
      <c r="AO1117" s="1" t="str">
        <f>IFERROR(__xludf.DUMMYFUNCTION("""COMPUTED_VALUE"""),"")</f>
        <v/>
      </c>
      <c r="AP1117" s="1" t="str">
        <f>IFERROR(__xludf.DUMMYFUNCTION("""COMPUTED_VALUE"""),"")</f>
        <v/>
      </c>
      <c r="AQ1117" s="1" t="str">
        <f>IFERROR(__xludf.DUMMYFUNCTION("""COMPUTED_VALUE"""),"04/10/2024")</f>
        <v>04/10/2024</v>
      </c>
      <c r="AR1117" s="1" t="str">
        <f>IFERROR(__xludf.DUMMYFUNCTION("""COMPUTED_VALUE"""),"10/17/2025")</f>
        <v>10/17/2025</v>
      </c>
    </row>
    <row r="1118">
      <c r="A1118" s="1" t="str">
        <f>IFERROR(__xludf.DUMMYFUNCTION("""COMPUTED_VALUE"""),"43831 DEVIN SHAFRON DR")</f>
        <v>43831 DEVIN SHAFRON DR</v>
      </c>
      <c r="B1118" s="1" t="str">
        <f>IFERROR(__xludf.DUMMYFUNCTION("""COMPUTED_VALUE"""),"43831 DEVIN SHAFRON DR")</f>
        <v>43831 DEVIN SHAFRON DR</v>
      </c>
      <c r="C1118" s="1" t="str">
        <f>IFERROR(__xludf.DUMMYFUNCTION("""COMPUTED_VALUE"""),"Ashburn")</f>
        <v>Ashburn</v>
      </c>
      <c r="D1118" s="1" t="str">
        <f>IFERROR(__xludf.DUMMYFUNCTION("""COMPUTED_VALUE"""),"VA")</f>
        <v>VA</v>
      </c>
      <c r="E1118" s="1" t="str">
        <f>IFERROR(__xludf.DUMMYFUNCTION("""COMPUTED_VALUE"""),"20147")</f>
        <v>20147</v>
      </c>
      <c r="F1118" s="1" t="str">
        <f>IFERROR(__xludf.DUMMYFUNCTION("""COMPUTED_VALUE"""),"Loudoun")</f>
        <v>Loudoun</v>
      </c>
      <c r="G1118" s="1" t="str">
        <f>IFERROR(__xludf.DUMMYFUNCTION("""COMPUTED_VALUE"""),"39.002693")</f>
        <v>39.002693</v>
      </c>
      <c r="H1118" s="1" t="str">
        <f>IFERROR(__xludf.DUMMYFUNCTION("""COMPUTED_VALUE"""),"-77.485344")</f>
        <v>-77.485344</v>
      </c>
      <c r="I1118" s="1" t="str">
        <f>IFERROR(__xludf.DUMMYFUNCTION("""COMPUTED_VALUE"""),"Operating")</f>
        <v>Operating</v>
      </c>
      <c r="J1118" s="1" t="str">
        <f>IFERROR(__xludf.DUMMYFUNCTION("""COMPUTED_VALUE"""),"High")</f>
        <v>High</v>
      </c>
      <c r="K1118" s="1" t="str">
        <f>IFERROR(__xludf.DUMMYFUNCTION("""COMPUTED_VALUE"""),"")</f>
        <v/>
      </c>
      <c r="L1118" s="1" t="str">
        <f>IFERROR(__xludf.DUMMYFUNCTION("""COMPUTED_VALUE"""),"Digital Realty")</f>
        <v>Digital Realty</v>
      </c>
      <c r="M1118" s="1" t="str">
        <f>IFERROR(__xludf.DUMMYFUNCTION("""COMPUTED_VALUE"""),"")</f>
        <v/>
      </c>
      <c r="N1118" s="1" t="str">
        <f>IFERROR(__xludf.DUMMYFUNCTION("""COMPUTED_VALUE"""),"")</f>
        <v/>
      </c>
      <c r="O1118" s="1" t="str">
        <f>IFERROR(__xludf.DUMMYFUNCTION("""COMPUTED_VALUE"""),"Unknown")</f>
        <v>Unknown</v>
      </c>
      <c r="P1118" s="1" t="str">
        <f>IFERROR(__xludf.DUMMYFUNCTION("""COMPUTED_VALUE"""),"")</f>
        <v/>
      </c>
      <c r="Q1118" s="1" t="str">
        <f>IFERROR(__xludf.DUMMYFUNCTION("""COMPUTED_VALUE"""),"")</f>
        <v/>
      </c>
      <c r="R1118" s="1" t="str">
        <f>IFERROR(__xludf.DUMMYFUNCTION("""COMPUTED_VALUE"""),"")</f>
        <v/>
      </c>
      <c r="S1118" s="1" t="str">
        <f>IFERROR(__xludf.DUMMYFUNCTION("""COMPUTED_VALUE"""),"")</f>
        <v/>
      </c>
      <c r="T1118" s="1" t="str">
        <f>IFERROR(__xludf.DUMMYFUNCTION("""COMPUTED_VALUE"""),"")</f>
        <v/>
      </c>
      <c r="U1118" s="1" t="str">
        <f>IFERROR(__xludf.DUMMYFUNCTION("""COMPUTED_VALUE"""),"")</f>
        <v/>
      </c>
      <c r="V1118" s="1" t="str">
        <f>IFERROR(__xludf.DUMMYFUNCTION("""COMPUTED_VALUE"""),"117,000")</f>
        <v>117,000</v>
      </c>
      <c r="W1118" s="1" t="str">
        <f>IFERROR(__xludf.DUMMYFUNCTION("""COMPUTED_VALUE"""),"7")</f>
        <v>7</v>
      </c>
      <c r="X1118" s="1" t="str">
        <f>IFERROR(__xludf.DUMMYFUNCTION("""COMPUTED_VALUE"""),"")</f>
        <v/>
      </c>
      <c r="Y1118" s="1" t="str">
        <f>IFERROR(__xludf.DUMMYFUNCTION("""COMPUTED_VALUE"""),"")</f>
        <v/>
      </c>
      <c r="Z1118" s="1" t="str">
        <f>IFERROR(__xludf.DUMMYFUNCTION("""COMPUTED_VALUE"""),"Unknown")</f>
        <v>Unknown</v>
      </c>
      <c r="AA1118" s="1" t="str">
        <f>IFERROR(__xludf.DUMMYFUNCTION("""COMPUTED_VALUE"""),"")</f>
        <v/>
      </c>
      <c r="AB1118" s="1" t="str">
        <f>IFERROR(__xludf.DUMMYFUNCTION("""COMPUTED_VALUE"""),"")</f>
        <v/>
      </c>
      <c r="AC1118" s="1" t="str">
        <f>IFERROR(__xludf.DUMMYFUNCTION("""COMPUTED_VALUE"""),"")</f>
        <v/>
      </c>
      <c r="AD1118" s="1" t="str">
        <f>IFERROR(__xludf.DUMMYFUNCTION("""COMPUTED_VALUE"""),"")</f>
        <v/>
      </c>
      <c r="AE1118" s="1" t="str">
        <f>IFERROR(__xludf.DUMMYFUNCTION("""COMPUTED_VALUE"""),"")</f>
        <v/>
      </c>
      <c r="AF1118" s="1" t="str">
        <f>IFERROR(__xludf.DUMMYFUNCTION("""COMPUTED_VALUE"""),"")</f>
        <v/>
      </c>
      <c r="AG1118" s="1" t="str">
        <f>IFERROR(__xludf.DUMMYFUNCTION("""COMPUTED_VALUE"""),"Shown as ""Storage Warehouse""")</f>
        <v>Shown as "Storage Warehouse"</v>
      </c>
      <c r="AH1118" s="1" t="str">
        <f>IFERROR(__xludf.DUMMYFUNCTION("""COMPUTED_VALUE"""),"PEC")</f>
        <v>PEC</v>
      </c>
      <c r="AI1118" s="1" t="str">
        <f>IFERROR(__xludf.DUMMYFUNCTION("""COMPUTED_VALUE"""),"")</f>
        <v/>
      </c>
      <c r="AJ1118" s="2" t="str">
        <f>IFERROR(__xludf.DUMMYFUNCTION("""COMPUTED_VALUE"""),"https://reparcelasmt.loudoun.gov/pt/datalets/datalet.aspx?mode=profileall&amp;UseSearch=no&amp;pin=089372808000&amp;jur=107&amp;taxyr=2024&amp;LMparent=20")</f>
        <v>https://reparcelasmt.loudoun.gov/pt/datalets/datalet.aspx?mode=profileall&amp;UseSearch=no&amp;pin=089372808000&amp;jur=107&amp;taxyr=2024&amp;LMparent=20</v>
      </c>
      <c r="AK1118" s="1" t="str">
        <f>IFERROR(__xludf.DUMMYFUNCTION("""COMPUTED_VALUE"""),"")</f>
        <v/>
      </c>
      <c r="AL1118" s="1" t="str">
        <f>IFERROR(__xludf.DUMMYFUNCTION("""COMPUTED_VALUE"""),"")</f>
        <v/>
      </c>
      <c r="AM1118" s="1" t="str">
        <f>IFERROR(__xludf.DUMMYFUNCTION("""COMPUTED_VALUE"""),"")</f>
        <v/>
      </c>
      <c r="AN1118" s="1" t="str">
        <f>IFERROR(__xludf.DUMMYFUNCTION("""COMPUTED_VALUE"""),"")</f>
        <v/>
      </c>
      <c r="AO1118" s="1" t="str">
        <f>IFERROR(__xludf.DUMMYFUNCTION("""COMPUTED_VALUE"""),"")</f>
        <v/>
      </c>
      <c r="AP1118" s="1" t="str">
        <f>IFERROR(__xludf.DUMMYFUNCTION("""COMPUTED_VALUE"""),"")</f>
        <v/>
      </c>
      <c r="AQ1118" s="1" t="str">
        <f>IFERROR(__xludf.DUMMYFUNCTION("""COMPUTED_VALUE"""),"04/10/2024")</f>
        <v>04/10/2024</v>
      </c>
      <c r="AR1118" s="1" t="str">
        <f>IFERROR(__xludf.DUMMYFUNCTION("""COMPUTED_VALUE"""),"10/17/2025")</f>
        <v>10/17/2025</v>
      </c>
    </row>
    <row r="1119">
      <c r="A1119" s="1" t="str">
        <f>IFERROR(__xludf.DUMMYFUNCTION("""COMPUTED_VALUE"""),"44470 Chilum Place")</f>
        <v>44470 Chilum Place</v>
      </c>
      <c r="B1119" s="1" t="str">
        <f>IFERROR(__xludf.DUMMYFUNCTION("""COMPUTED_VALUE"""),"44470 CHILUM PL")</f>
        <v>44470 CHILUM PL</v>
      </c>
      <c r="C1119" s="1" t="str">
        <f>IFERROR(__xludf.DUMMYFUNCTION("""COMPUTED_VALUE"""),"Ashburn")</f>
        <v>Ashburn</v>
      </c>
      <c r="D1119" s="1" t="str">
        <f>IFERROR(__xludf.DUMMYFUNCTION("""COMPUTED_VALUE"""),"VA")</f>
        <v>VA</v>
      </c>
      <c r="E1119" s="1" t="str">
        <f>IFERROR(__xludf.DUMMYFUNCTION("""COMPUTED_VALUE"""),"20147")</f>
        <v>20147</v>
      </c>
      <c r="F1119" s="1" t="str">
        <f>IFERROR(__xludf.DUMMYFUNCTION("""COMPUTED_VALUE"""),"Loudoun")</f>
        <v>Loudoun</v>
      </c>
      <c r="G1119" s="1" t="str">
        <f>IFERROR(__xludf.DUMMYFUNCTION("""COMPUTED_VALUE"""),"39.02221")</f>
        <v>39.02221</v>
      </c>
      <c r="H1119" s="1" t="str">
        <f>IFERROR(__xludf.DUMMYFUNCTION("""COMPUTED_VALUE"""),"-77.46144")</f>
        <v>-77.46144</v>
      </c>
      <c r="I1119" s="1" t="str">
        <f>IFERROR(__xludf.DUMMYFUNCTION("""COMPUTED_VALUE"""),"Operating")</f>
        <v>Operating</v>
      </c>
      <c r="J1119" s="1" t="str">
        <f>IFERROR(__xludf.DUMMYFUNCTION("""COMPUTED_VALUE"""),"High")</f>
        <v>High</v>
      </c>
      <c r="K1119" s="1" t="str">
        <f>IFERROR(__xludf.DUMMYFUNCTION("""COMPUTED_VALUE"""),"")</f>
        <v/>
      </c>
      <c r="L1119" s="1" t="str">
        <f>IFERROR(__xludf.DUMMYFUNCTION("""COMPUTED_VALUE"""),"Equinix")</f>
        <v>Equinix</v>
      </c>
      <c r="M1119" s="1" t="str">
        <f>IFERROR(__xludf.DUMMYFUNCTION("""COMPUTED_VALUE"""),"")</f>
        <v/>
      </c>
      <c r="N1119" s="1" t="str">
        <f>IFERROR(__xludf.DUMMYFUNCTION("""COMPUTED_VALUE"""),"")</f>
        <v/>
      </c>
      <c r="O1119" s="1" t="str">
        <f>IFERROR(__xludf.DUMMYFUNCTION("""COMPUTED_VALUE"""),"Unknown")</f>
        <v>Unknown</v>
      </c>
      <c r="P1119" s="1" t="str">
        <f>IFERROR(__xludf.DUMMYFUNCTION("""COMPUTED_VALUE"""),"")</f>
        <v/>
      </c>
      <c r="Q1119" s="1" t="str">
        <f>IFERROR(__xludf.DUMMYFUNCTION("""COMPUTED_VALUE"""),"")</f>
        <v/>
      </c>
      <c r="R1119" s="1" t="str">
        <f>IFERROR(__xludf.DUMMYFUNCTION("""COMPUTED_VALUE"""),"")</f>
        <v/>
      </c>
      <c r="S1119" s="1" t="str">
        <f>IFERROR(__xludf.DUMMYFUNCTION("""COMPUTED_VALUE"""),"")</f>
        <v/>
      </c>
      <c r="T1119" s="1" t="str">
        <f>IFERROR(__xludf.DUMMYFUNCTION("""COMPUTED_VALUE"""),"")</f>
        <v/>
      </c>
      <c r="U1119" s="1" t="str">
        <f>IFERROR(__xludf.DUMMYFUNCTION("""COMPUTED_VALUE"""),"")</f>
        <v/>
      </c>
      <c r="V1119" s="1" t="str">
        <f>IFERROR(__xludf.DUMMYFUNCTION("""COMPUTED_VALUE"""),"100,121")</f>
        <v>100,121</v>
      </c>
      <c r="W1119" s="1" t="str">
        <f>IFERROR(__xludf.DUMMYFUNCTION("""COMPUTED_VALUE"""),"22")</f>
        <v>22</v>
      </c>
      <c r="X1119" s="1" t="str">
        <f>IFERROR(__xludf.DUMMYFUNCTION("""COMPUTED_VALUE"""),"")</f>
        <v/>
      </c>
      <c r="Y1119" s="1" t="str">
        <f>IFERROR(__xludf.DUMMYFUNCTION("""COMPUTED_VALUE"""),"")</f>
        <v/>
      </c>
      <c r="Z1119" s="1" t="str">
        <f>IFERROR(__xludf.DUMMYFUNCTION("""COMPUTED_VALUE"""),"Unknown")</f>
        <v>Unknown</v>
      </c>
      <c r="AA1119" s="1" t="str">
        <f>IFERROR(__xludf.DUMMYFUNCTION("""COMPUTED_VALUE"""),"")</f>
        <v/>
      </c>
      <c r="AB1119" s="1" t="str">
        <f>IFERROR(__xludf.DUMMYFUNCTION("""COMPUTED_VALUE"""),"")</f>
        <v/>
      </c>
      <c r="AC1119" s="1" t="str">
        <f>IFERROR(__xludf.DUMMYFUNCTION("""COMPUTED_VALUE"""),"")</f>
        <v/>
      </c>
      <c r="AD1119" s="1" t="str">
        <f>IFERROR(__xludf.DUMMYFUNCTION("""COMPUTED_VALUE"""),"")</f>
        <v/>
      </c>
      <c r="AE1119" s="1" t="str">
        <f>IFERROR(__xludf.DUMMYFUNCTION("""COMPUTED_VALUE"""),"")</f>
        <v/>
      </c>
      <c r="AF1119" s="1" t="str">
        <f>IFERROR(__xludf.DUMMYFUNCTION("""COMPUTED_VALUE"""),"")</f>
        <v/>
      </c>
      <c r="AG1119" s="1" t="str">
        <f>IFERROR(__xludf.DUMMYFUNCTION("""COMPUTED_VALUE"""),"Shown as ""Storage Warehouse""")</f>
        <v>Shown as "Storage Warehouse"</v>
      </c>
      <c r="AH1119" s="1" t="str">
        <f>IFERROR(__xludf.DUMMYFUNCTION("""COMPUTED_VALUE"""),"PEC")</f>
        <v>PEC</v>
      </c>
      <c r="AI1119" s="1" t="str">
        <f>IFERROR(__xludf.DUMMYFUNCTION("""COMPUTED_VALUE"""),"")</f>
        <v/>
      </c>
      <c r="AJ1119" s="2" t="str">
        <f>IFERROR(__xludf.DUMMYFUNCTION("""COMPUTED_VALUE"""),"https://reparcelasmt.loudoun.gov/pt/datalets/datalet.aspx?mode=profileall&amp;UseSearch=no&amp;pin=060182916001&amp;jur=107&amp;taxyr=2024&amp;LMparent=20")</f>
        <v>https://reparcelasmt.loudoun.gov/pt/datalets/datalet.aspx?mode=profileall&amp;UseSearch=no&amp;pin=060182916001&amp;jur=107&amp;taxyr=2024&amp;LMparent=20</v>
      </c>
      <c r="AK1119" s="1" t="str">
        <f>IFERROR(__xludf.DUMMYFUNCTION("""COMPUTED_VALUE"""),"")</f>
        <v/>
      </c>
      <c r="AL1119" s="1" t="str">
        <f>IFERROR(__xludf.DUMMYFUNCTION("""COMPUTED_VALUE"""),"")</f>
        <v/>
      </c>
      <c r="AM1119" s="1" t="str">
        <f>IFERROR(__xludf.DUMMYFUNCTION("""COMPUTED_VALUE"""),"")</f>
        <v/>
      </c>
      <c r="AN1119" s="1" t="str">
        <f>IFERROR(__xludf.DUMMYFUNCTION("""COMPUTED_VALUE"""),"")</f>
        <v/>
      </c>
      <c r="AO1119" s="1" t="str">
        <f>IFERROR(__xludf.DUMMYFUNCTION("""COMPUTED_VALUE"""),"")</f>
        <v/>
      </c>
      <c r="AP1119" s="1" t="str">
        <f>IFERROR(__xludf.DUMMYFUNCTION("""COMPUTED_VALUE"""),"")</f>
        <v/>
      </c>
      <c r="AQ1119" s="1" t="str">
        <f>IFERROR(__xludf.DUMMYFUNCTION("""COMPUTED_VALUE"""),"04/10/2024")</f>
        <v>04/10/2024</v>
      </c>
      <c r="AR1119" s="1" t="str">
        <f>IFERROR(__xludf.DUMMYFUNCTION("""COMPUTED_VALUE"""),"10/17/2025")</f>
        <v>10/17/2025</v>
      </c>
    </row>
    <row r="1120">
      <c r="A1120" s="1" t="str">
        <f>IFERROR(__xludf.DUMMYFUNCTION("""COMPUTED_VALUE"""),"44490 CHILUM PL")</f>
        <v>44490 CHILUM PL</v>
      </c>
      <c r="B1120" s="1" t="str">
        <f>IFERROR(__xludf.DUMMYFUNCTION("""COMPUTED_VALUE"""),"44490 CHILUM PL")</f>
        <v>44490 CHILUM PL</v>
      </c>
      <c r="C1120" s="1" t="str">
        <f>IFERROR(__xludf.DUMMYFUNCTION("""COMPUTED_VALUE"""),"Ashburn")</f>
        <v>Ashburn</v>
      </c>
      <c r="D1120" s="1" t="str">
        <f>IFERROR(__xludf.DUMMYFUNCTION("""COMPUTED_VALUE"""),"VA")</f>
        <v>VA</v>
      </c>
      <c r="E1120" s="1" t="str">
        <f>IFERROR(__xludf.DUMMYFUNCTION("""COMPUTED_VALUE"""),"20147")</f>
        <v>20147</v>
      </c>
      <c r="F1120" s="1" t="str">
        <f>IFERROR(__xludf.DUMMYFUNCTION("""COMPUTED_VALUE"""),"Loudoun")</f>
        <v>Loudoun</v>
      </c>
      <c r="G1120" s="1" t="str">
        <f>IFERROR(__xludf.DUMMYFUNCTION("""COMPUTED_VALUE"""),"39.02134")</f>
        <v>39.02134</v>
      </c>
      <c r="H1120" s="1" t="str">
        <f>IFERROR(__xludf.DUMMYFUNCTION("""COMPUTED_VALUE"""),"-77.4583")</f>
        <v>-77.4583</v>
      </c>
      <c r="I1120" s="1" t="str">
        <f>IFERROR(__xludf.DUMMYFUNCTION("""COMPUTED_VALUE"""),"Operating")</f>
        <v>Operating</v>
      </c>
      <c r="J1120" s="1" t="str">
        <f>IFERROR(__xludf.DUMMYFUNCTION("""COMPUTED_VALUE"""),"High")</f>
        <v>High</v>
      </c>
      <c r="K1120" s="1" t="str">
        <f>IFERROR(__xludf.DUMMYFUNCTION("""COMPUTED_VALUE"""),"")</f>
        <v/>
      </c>
      <c r="L1120" s="1" t="str">
        <f>IFERROR(__xludf.DUMMYFUNCTION("""COMPUTED_VALUE"""),"BLUE SLING ACC 2 LLC")</f>
        <v>BLUE SLING ACC 2 LLC</v>
      </c>
      <c r="M1120" s="1" t="str">
        <f>IFERROR(__xludf.DUMMYFUNCTION("""COMPUTED_VALUE"""),"")</f>
        <v/>
      </c>
      <c r="N1120" s="1" t="str">
        <f>IFERROR(__xludf.DUMMYFUNCTION("""COMPUTED_VALUE"""),"")</f>
        <v/>
      </c>
      <c r="O1120" s="1" t="str">
        <f>IFERROR(__xludf.DUMMYFUNCTION("""COMPUTED_VALUE"""),"Unknown")</f>
        <v>Unknown</v>
      </c>
      <c r="P1120" s="1" t="str">
        <f>IFERROR(__xludf.DUMMYFUNCTION("""COMPUTED_VALUE"""),"")</f>
        <v/>
      </c>
      <c r="Q1120" s="1" t="str">
        <f>IFERROR(__xludf.DUMMYFUNCTION("""COMPUTED_VALUE"""),"")</f>
        <v/>
      </c>
      <c r="R1120" s="1" t="str">
        <f>IFERROR(__xludf.DUMMYFUNCTION("""COMPUTED_VALUE"""),"")</f>
        <v/>
      </c>
      <c r="S1120" s="1" t="str">
        <f>IFERROR(__xludf.DUMMYFUNCTION("""COMPUTED_VALUE"""),"")</f>
        <v/>
      </c>
      <c r="T1120" s="1" t="str">
        <f>IFERROR(__xludf.DUMMYFUNCTION("""COMPUTED_VALUE"""),"")</f>
        <v/>
      </c>
      <c r="U1120" s="1" t="str">
        <f>IFERROR(__xludf.DUMMYFUNCTION("""COMPUTED_VALUE"""),"")</f>
        <v/>
      </c>
      <c r="V1120" s="1" t="str">
        <f>IFERROR(__xludf.DUMMYFUNCTION("""COMPUTED_VALUE"""),"87,560")</f>
        <v>87,560</v>
      </c>
      <c r="W1120" s="1" t="str">
        <f>IFERROR(__xludf.DUMMYFUNCTION("""COMPUTED_VALUE"""),"")</f>
        <v/>
      </c>
      <c r="X1120" s="1" t="str">
        <f>IFERROR(__xludf.DUMMYFUNCTION("""COMPUTED_VALUE"""),"")</f>
        <v/>
      </c>
      <c r="Y1120" s="1" t="str">
        <f>IFERROR(__xludf.DUMMYFUNCTION("""COMPUTED_VALUE"""),"")</f>
        <v/>
      </c>
      <c r="Z1120" s="1" t="str">
        <f>IFERROR(__xludf.DUMMYFUNCTION("""COMPUTED_VALUE"""),"Unknown")</f>
        <v>Unknown</v>
      </c>
      <c r="AA1120" s="1" t="str">
        <f>IFERROR(__xludf.DUMMYFUNCTION("""COMPUTED_VALUE"""),"")</f>
        <v/>
      </c>
      <c r="AB1120" s="1" t="str">
        <f>IFERROR(__xludf.DUMMYFUNCTION("""COMPUTED_VALUE"""),"")</f>
        <v/>
      </c>
      <c r="AC1120" s="1" t="str">
        <f>IFERROR(__xludf.DUMMYFUNCTION("""COMPUTED_VALUE"""),"")</f>
        <v/>
      </c>
      <c r="AD1120" s="1" t="str">
        <f>IFERROR(__xludf.DUMMYFUNCTION("""COMPUTED_VALUE"""),"")</f>
        <v/>
      </c>
      <c r="AE1120" s="1" t="str">
        <f>IFERROR(__xludf.DUMMYFUNCTION("""COMPUTED_VALUE"""),"")</f>
        <v/>
      </c>
      <c r="AF1120" s="1" t="str">
        <f>IFERROR(__xludf.DUMMYFUNCTION("""COMPUTED_VALUE"""),"")</f>
        <v/>
      </c>
      <c r="AG1120" s="1" t="str">
        <f>IFERROR(__xludf.DUMMYFUNCTION("""COMPUTED_VALUE"""),"Computer Center")</f>
        <v>Computer Center</v>
      </c>
      <c r="AH1120" s="1" t="str">
        <f>IFERROR(__xludf.DUMMYFUNCTION("""COMPUTED_VALUE"""),"PEC")</f>
        <v>PEC</v>
      </c>
      <c r="AI1120" s="1" t="str">
        <f>IFERROR(__xludf.DUMMYFUNCTION("""COMPUTED_VALUE"""),"")</f>
        <v/>
      </c>
      <c r="AJ1120" s="2" t="str">
        <f>IFERROR(__xludf.DUMMYFUNCTION("""COMPUTED_VALUE"""),"https://reparcelasmt.loudoun.gov/pt/datalets/datalet.aspx?mode=commercial&amp;UseSearch=no&amp;pin=060182916002&amp;jur=107&amp;taxyr=2024&amp;LMparent=20")</f>
        <v>https://reparcelasmt.loudoun.gov/pt/datalets/datalet.aspx?mode=commercial&amp;UseSearch=no&amp;pin=060182916002&amp;jur=107&amp;taxyr=2024&amp;LMparent=20</v>
      </c>
      <c r="AK1120" s="1" t="str">
        <f>IFERROR(__xludf.DUMMYFUNCTION("""COMPUTED_VALUE"""),"")</f>
        <v/>
      </c>
      <c r="AL1120" s="1" t="str">
        <f>IFERROR(__xludf.DUMMYFUNCTION("""COMPUTED_VALUE"""),"")</f>
        <v/>
      </c>
      <c r="AM1120" s="1" t="str">
        <f>IFERROR(__xludf.DUMMYFUNCTION("""COMPUTED_VALUE"""),"")</f>
        <v/>
      </c>
      <c r="AN1120" s="1" t="str">
        <f>IFERROR(__xludf.DUMMYFUNCTION("""COMPUTED_VALUE"""),"")</f>
        <v/>
      </c>
      <c r="AO1120" s="1" t="str">
        <f>IFERROR(__xludf.DUMMYFUNCTION("""COMPUTED_VALUE"""),"")</f>
        <v/>
      </c>
      <c r="AP1120" s="1" t="str">
        <f>IFERROR(__xludf.DUMMYFUNCTION("""COMPUTED_VALUE"""),"")</f>
        <v/>
      </c>
      <c r="AQ1120" s="1" t="str">
        <f>IFERROR(__xludf.DUMMYFUNCTION("""COMPUTED_VALUE"""),"04/10/2024")</f>
        <v>04/10/2024</v>
      </c>
      <c r="AR1120" s="1" t="str">
        <f>IFERROR(__xludf.DUMMYFUNCTION("""COMPUTED_VALUE"""),"10/17/2025")</f>
        <v>10/17/2025</v>
      </c>
    </row>
    <row r="1121">
      <c r="A1121" s="1" t="str">
        <f>IFERROR(__xludf.DUMMYFUNCTION("""COMPUTED_VALUE"""),"44520 HASTINGS DR")</f>
        <v>44520 HASTINGS DR</v>
      </c>
      <c r="B1121" s="1" t="str">
        <f>IFERROR(__xludf.DUMMYFUNCTION("""COMPUTED_VALUE"""),"44520 HASTINGS DR")</f>
        <v>44520 HASTINGS DR</v>
      </c>
      <c r="C1121" s="1" t="str">
        <f>IFERROR(__xludf.DUMMYFUNCTION("""COMPUTED_VALUE"""),"Ashburn")</f>
        <v>Ashburn</v>
      </c>
      <c r="D1121" s="1" t="str">
        <f>IFERROR(__xludf.DUMMYFUNCTION("""COMPUTED_VALUE"""),"VA")</f>
        <v>VA</v>
      </c>
      <c r="E1121" s="1" t="str">
        <f>IFERROR(__xludf.DUMMYFUNCTION("""COMPUTED_VALUE"""),"20147")</f>
        <v>20147</v>
      </c>
      <c r="F1121" s="1" t="str">
        <f>IFERROR(__xludf.DUMMYFUNCTION("""COMPUTED_VALUE"""),"Loudoun")</f>
        <v>Loudoun</v>
      </c>
      <c r="G1121" s="1" t="str">
        <f>IFERROR(__xludf.DUMMYFUNCTION("""COMPUTED_VALUE"""),"39.019936")</f>
        <v>39.019936</v>
      </c>
      <c r="H1121" s="1" t="str">
        <f>IFERROR(__xludf.DUMMYFUNCTION("""COMPUTED_VALUE"""),"-77.45989")</f>
        <v>-77.45989</v>
      </c>
      <c r="I1121" s="1" t="str">
        <f>IFERROR(__xludf.DUMMYFUNCTION("""COMPUTED_VALUE"""),"Operating")</f>
        <v>Operating</v>
      </c>
      <c r="J1121" s="1" t="str">
        <f>IFERROR(__xludf.DUMMYFUNCTION("""COMPUTED_VALUE"""),"High")</f>
        <v>High</v>
      </c>
      <c r="K1121" s="1" t="str">
        <f>IFERROR(__xludf.DUMMYFUNCTION("""COMPUTED_VALUE"""),"")</f>
        <v/>
      </c>
      <c r="L1121" s="1" t="str">
        <f>IFERROR(__xludf.DUMMYFUNCTION("""COMPUTED_VALUE"""),"QUILL EQUITY LLC")</f>
        <v>QUILL EQUITY LLC</v>
      </c>
      <c r="M1121" s="1" t="str">
        <f>IFERROR(__xludf.DUMMYFUNCTION("""COMPUTED_VALUE"""),"")</f>
        <v/>
      </c>
      <c r="N1121" s="1" t="str">
        <f>IFERROR(__xludf.DUMMYFUNCTION("""COMPUTED_VALUE"""),"")</f>
        <v/>
      </c>
      <c r="O1121" s="1" t="str">
        <f>IFERROR(__xludf.DUMMYFUNCTION("""COMPUTED_VALUE"""),"Unknown")</f>
        <v>Unknown</v>
      </c>
      <c r="P1121" s="1" t="str">
        <f>IFERROR(__xludf.DUMMYFUNCTION("""COMPUTED_VALUE"""),"")</f>
        <v/>
      </c>
      <c r="Q1121" s="1" t="str">
        <f>IFERROR(__xludf.DUMMYFUNCTION("""COMPUTED_VALUE"""),"")</f>
        <v/>
      </c>
      <c r="R1121" s="1" t="str">
        <f>IFERROR(__xludf.DUMMYFUNCTION("""COMPUTED_VALUE"""),"")</f>
        <v/>
      </c>
      <c r="S1121" s="1" t="str">
        <f>IFERROR(__xludf.DUMMYFUNCTION("""COMPUTED_VALUE"""),"")</f>
        <v/>
      </c>
      <c r="T1121" s="1" t="str">
        <f>IFERROR(__xludf.DUMMYFUNCTION("""COMPUTED_VALUE"""),"")</f>
        <v/>
      </c>
      <c r="U1121" s="1" t="str">
        <f>IFERROR(__xludf.DUMMYFUNCTION("""COMPUTED_VALUE"""),"")</f>
        <v/>
      </c>
      <c r="V1121" s="1" t="str">
        <f>IFERROR(__xludf.DUMMYFUNCTION("""COMPUTED_VALUE"""),"148,717")</f>
        <v>148,717</v>
      </c>
      <c r="W1121" s="1" t="str">
        <f>IFERROR(__xludf.DUMMYFUNCTION("""COMPUTED_VALUE"""),"")</f>
        <v/>
      </c>
      <c r="X1121" s="1" t="str">
        <f>IFERROR(__xludf.DUMMYFUNCTION("""COMPUTED_VALUE"""),"")</f>
        <v/>
      </c>
      <c r="Y1121" s="1" t="str">
        <f>IFERROR(__xludf.DUMMYFUNCTION("""COMPUTED_VALUE"""),"")</f>
        <v/>
      </c>
      <c r="Z1121" s="1" t="str">
        <f>IFERROR(__xludf.DUMMYFUNCTION("""COMPUTED_VALUE"""),"Unknown")</f>
        <v>Unknown</v>
      </c>
      <c r="AA1121" s="1" t="str">
        <f>IFERROR(__xludf.DUMMYFUNCTION("""COMPUTED_VALUE"""),"")</f>
        <v/>
      </c>
      <c r="AB1121" s="1" t="str">
        <f>IFERROR(__xludf.DUMMYFUNCTION("""COMPUTED_VALUE"""),"")</f>
        <v/>
      </c>
      <c r="AC1121" s="1" t="str">
        <f>IFERROR(__xludf.DUMMYFUNCTION("""COMPUTED_VALUE"""),"")</f>
        <v/>
      </c>
      <c r="AD1121" s="1" t="str">
        <f>IFERROR(__xludf.DUMMYFUNCTION("""COMPUTED_VALUE"""),"")</f>
        <v/>
      </c>
      <c r="AE1121" s="1" t="str">
        <f>IFERROR(__xludf.DUMMYFUNCTION("""COMPUTED_VALUE"""),"")</f>
        <v/>
      </c>
      <c r="AF1121" s="1" t="str">
        <f>IFERROR(__xludf.DUMMYFUNCTION("""COMPUTED_VALUE"""),"")</f>
        <v/>
      </c>
      <c r="AG1121" s="1" t="str">
        <f>IFERROR(__xludf.DUMMYFUNCTION("""COMPUTED_VALUE"""),"Computer Center")</f>
        <v>Computer Center</v>
      </c>
      <c r="AH1121" s="1" t="str">
        <f>IFERROR(__xludf.DUMMYFUNCTION("""COMPUTED_VALUE"""),"PEC")</f>
        <v>PEC</v>
      </c>
      <c r="AI1121" s="1" t="str">
        <f>IFERROR(__xludf.DUMMYFUNCTION("""COMPUTED_VALUE"""),"")</f>
        <v/>
      </c>
      <c r="AJ1121" s="2" t="str">
        <f>IFERROR(__xludf.DUMMYFUNCTION("""COMPUTED_VALUE"""),"https://reparcelasmt.loudoun.gov/pt/Datalets/Datalet.aspx?UseSearch=no&amp;mode=profileall&amp;pin=060182916003&amp;jur=107&amp;taxyr=2024")</f>
        <v>https://reparcelasmt.loudoun.gov/pt/Datalets/Datalet.aspx?UseSearch=no&amp;mode=profileall&amp;pin=060182916003&amp;jur=107&amp;taxyr=2024</v>
      </c>
      <c r="AK1121" s="1" t="str">
        <f>IFERROR(__xludf.DUMMYFUNCTION("""COMPUTED_VALUE"""),"")</f>
        <v/>
      </c>
      <c r="AL1121" s="1" t="str">
        <f>IFERROR(__xludf.DUMMYFUNCTION("""COMPUTED_VALUE"""),"")</f>
        <v/>
      </c>
      <c r="AM1121" s="1" t="str">
        <f>IFERROR(__xludf.DUMMYFUNCTION("""COMPUTED_VALUE"""),"")</f>
        <v/>
      </c>
      <c r="AN1121" s="1" t="str">
        <f>IFERROR(__xludf.DUMMYFUNCTION("""COMPUTED_VALUE"""),"")</f>
        <v/>
      </c>
      <c r="AO1121" s="1" t="str">
        <f>IFERROR(__xludf.DUMMYFUNCTION("""COMPUTED_VALUE"""),"")</f>
        <v/>
      </c>
      <c r="AP1121" s="1" t="str">
        <f>IFERROR(__xludf.DUMMYFUNCTION("""COMPUTED_VALUE"""),"")</f>
        <v/>
      </c>
      <c r="AQ1121" s="1" t="str">
        <f>IFERROR(__xludf.DUMMYFUNCTION("""COMPUTED_VALUE"""),"04/10/2024")</f>
        <v>04/10/2024</v>
      </c>
      <c r="AR1121" s="1" t="str">
        <f>IFERROR(__xludf.DUMMYFUNCTION("""COMPUTED_VALUE"""),"10/17/2025")</f>
        <v>10/17/2025</v>
      </c>
    </row>
    <row r="1122">
      <c r="A1122" s="1" t="str">
        <f>IFERROR(__xludf.DUMMYFUNCTION("""COMPUTED_VALUE"""),"44621 WAXPOOL RD")</f>
        <v>44621 WAXPOOL RD</v>
      </c>
      <c r="B1122" s="1" t="str">
        <f>IFERROR(__xludf.DUMMYFUNCTION("""COMPUTED_VALUE"""),"44621 WAXPOOL RD")</f>
        <v>44621 WAXPOOL RD</v>
      </c>
      <c r="C1122" s="1" t="str">
        <f>IFERROR(__xludf.DUMMYFUNCTION("""COMPUTED_VALUE"""),"Ashburn")</f>
        <v>Ashburn</v>
      </c>
      <c r="D1122" s="1" t="str">
        <f>IFERROR(__xludf.DUMMYFUNCTION("""COMPUTED_VALUE"""),"VA")</f>
        <v>VA</v>
      </c>
      <c r="E1122" s="1" t="str">
        <f>IFERROR(__xludf.DUMMYFUNCTION("""COMPUTED_VALUE"""),"20147")</f>
        <v>20147</v>
      </c>
      <c r="F1122" s="1" t="str">
        <f>IFERROR(__xludf.DUMMYFUNCTION("""COMPUTED_VALUE"""),"Loudoun")</f>
        <v>Loudoun</v>
      </c>
      <c r="G1122" s="1" t="str">
        <f>IFERROR(__xludf.DUMMYFUNCTION("""COMPUTED_VALUE"""),"39.01214")</f>
        <v>39.01214</v>
      </c>
      <c r="H1122" s="1" t="str">
        <f>IFERROR(__xludf.DUMMYFUNCTION("""COMPUTED_VALUE"""),"-77.46291")</f>
        <v>-77.46291</v>
      </c>
      <c r="I1122" s="1" t="str">
        <f>IFERROR(__xludf.DUMMYFUNCTION("""COMPUTED_VALUE"""),"Operating")</f>
        <v>Operating</v>
      </c>
      <c r="J1122" s="1" t="str">
        <f>IFERROR(__xludf.DUMMYFUNCTION("""COMPUTED_VALUE"""),"High")</f>
        <v>High</v>
      </c>
      <c r="K1122" s="1" t="str">
        <f>IFERROR(__xludf.DUMMYFUNCTION("""COMPUTED_VALUE"""),"")</f>
        <v/>
      </c>
      <c r="L1122" s="1" t="str">
        <f>IFERROR(__xludf.DUMMYFUNCTION("""COMPUTED_VALUE"""),"KAVEH VENTURES LLC")</f>
        <v>KAVEH VENTURES LLC</v>
      </c>
      <c r="M1122" s="1" t="str">
        <f>IFERROR(__xludf.DUMMYFUNCTION("""COMPUTED_VALUE"""),"")</f>
        <v/>
      </c>
      <c r="N1122" s="1" t="str">
        <f>IFERROR(__xludf.DUMMYFUNCTION("""COMPUTED_VALUE"""),"")</f>
        <v/>
      </c>
      <c r="O1122" s="1" t="str">
        <f>IFERROR(__xludf.DUMMYFUNCTION("""COMPUTED_VALUE"""),"Unknown")</f>
        <v>Unknown</v>
      </c>
      <c r="P1122" s="1" t="str">
        <f>IFERROR(__xludf.DUMMYFUNCTION("""COMPUTED_VALUE"""),"")</f>
        <v/>
      </c>
      <c r="Q1122" s="1" t="str">
        <f>IFERROR(__xludf.DUMMYFUNCTION("""COMPUTED_VALUE"""),"")</f>
        <v/>
      </c>
      <c r="R1122" s="1" t="str">
        <f>IFERROR(__xludf.DUMMYFUNCTION("""COMPUTED_VALUE"""),"")</f>
        <v/>
      </c>
      <c r="S1122" s="1" t="str">
        <f>IFERROR(__xludf.DUMMYFUNCTION("""COMPUTED_VALUE"""),"")</f>
        <v/>
      </c>
      <c r="T1122" s="1" t="str">
        <f>IFERROR(__xludf.DUMMYFUNCTION("""COMPUTED_VALUE"""),"")</f>
        <v/>
      </c>
      <c r="U1122" s="1" t="str">
        <f>IFERROR(__xludf.DUMMYFUNCTION("""COMPUTED_VALUE"""),"")</f>
        <v/>
      </c>
      <c r="V1122" s="1" t="str">
        <f>IFERROR(__xludf.DUMMYFUNCTION("""COMPUTED_VALUE"""),"493,504")</f>
        <v>493,504</v>
      </c>
      <c r="W1122" s="1" t="str">
        <f>IFERROR(__xludf.DUMMYFUNCTION("""COMPUTED_VALUE"""),"16")</f>
        <v>16</v>
      </c>
      <c r="X1122" s="1" t="str">
        <f>IFERROR(__xludf.DUMMYFUNCTION("""COMPUTED_VALUE"""),"")</f>
        <v/>
      </c>
      <c r="Y1122" s="1" t="str">
        <f>IFERROR(__xludf.DUMMYFUNCTION("""COMPUTED_VALUE"""),"")</f>
        <v/>
      </c>
      <c r="Z1122" s="1" t="str">
        <f>IFERROR(__xludf.DUMMYFUNCTION("""COMPUTED_VALUE"""),"Unknown")</f>
        <v>Unknown</v>
      </c>
      <c r="AA1122" s="1" t="str">
        <f>IFERROR(__xludf.DUMMYFUNCTION("""COMPUTED_VALUE"""),"")</f>
        <v/>
      </c>
      <c r="AB1122" s="1" t="str">
        <f>IFERROR(__xludf.DUMMYFUNCTION("""COMPUTED_VALUE"""),"")</f>
        <v/>
      </c>
      <c r="AC1122" s="1" t="str">
        <f>IFERROR(__xludf.DUMMYFUNCTION("""COMPUTED_VALUE"""),"")</f>
        <v/>
      </c>
      <c r="AD1122" s="1" t="str">
        <f>IFERROR(__xludf.DUMMYFUNCTION("""COMPUTED_VALUE"""),"")</f>
        <v/>
      </c>
      <c r="AE1122" s="1" t="str">
        <f>IFERROR(__xludf.DUMMYFUNCTION("""COMPUTED_VALUE"""),"")</f>
        <v/>
      </c>
      <c r="AF1122" s="1" t="str">
        <f>IFERROR(__xludf.DUMMYFUNCTION("""COMPUTED_VALUE"""),"")</f>
        <v/>
      </c>
      <c r="AG1122" s="1" t="str">
        <f>IFERROR(__xludf.DUMMYFUNCTION("""COMPUTED_VALUE"""),"Computer Center")</f>
        <v>Computer Center</v>
      </c>
      <c r="AH1122" s="1" t="str">
        <f>IFERROR(__xludf.DUMMYFUNCTION("""COMPUTED_VALUE"""),"PEC")</f>
        <v>PEC</v>
      </c>
      <c r="AI1122" s="1" t="str">
        <f>IFERROR(__xludf.DUMMYFUNCTION("""COMPUTED_VALUE"""),"")</f>
        <v/>
      </c>
      <c r="AJ1122" s="2" t="str">
        <f>IFERROR(__xludf.DUMMYFUNCTION("""COMPUTED_VALUE"""),"https://reparcelasmt.loudoun.gov/pt/datalets/datalet.aspx?mode=profileall&amp;UseSearch=no&amp;pin=061275931000&amp;jur=107&amp;taxyr=2024&amp;LMparent=20")</f>
        <v>https://reparcelasmt.loudoun.gov/pt/datalets/datalet.aspx?mode=profileall&amp;UseSearch=no&amp;pin=061275931000&amp;jur=107&amp;taxyr=2024&amp;LMparent=20</v>
      </c>
      <c r="AK1122" s="1" t="str">
        <f>IFERROR(__xludf.DUMMYFUNCTION("""COMPUTED_VALUE"""),"")</f>
        <v/>
      </c>
      <c r="AL1122" s="1" t="str">
        <f>IFERROR(__xludf.DUMMYFUNCTION("""COMPUTED_VALUE"""),"")</f>
        <v/>
      </c>
      <c r="AM1122" s="1" t="str">
        <f>IFERROR(__xludf.DUMMYFUNCTION("""COMPUTED_VALUE"""),"")</f>
        <v/>
      </c>
      <c r="AN1122" s="1" t="str">
        <f>IFERROR(__xludf.DUMMYFUNCTION("""COMPUTED_VALUE"""),"")</f>
        <v/>
      </c>
      <c r="AO1122" s="1" t="str">
        <f>IFERROR(__xludf.DUMMYFUNCTION("""COMPUTED_VALUE"""),"")</f>
        <v/>
      </c>
      <c r="AP1122" s="1" t="str">
        <f>IFERROR(__xludf.DUMMYFUNCTION("""COMPUTED_VALUE"""),"")</f>
        <v/>
      </c>
      <c r="AQ1122" s="1" t="str">
        <f>IFERROR(__xludf.DUMMYFUNCTION("""COMPUTED_VALUE"""),"04/10/2024")</f>
        <v>04/10/2024</v>
      </c>
      <c r="AR1122" s="1" t="str">
        <f>IFERROR(__xludf.DUMMYFUNCTION("""COMPUTED_VALUE"""),"10/17/2025")</f>
        <v>10/17/2025</v>
      </c>
    </row>
    <row r="1123">
      <c r="A1123" s="1" t="str">
        <f>IFERROR(__xludf.DUMMYFUNCTION("""COMPUTED_VALUE"""),"44790 PERFORMANCE CIR")</f>
        <v>44790 PERFORMANCE CIR</v>
      </c>
      <c r="B1123" s="1" t="str">
        <f>IFERROR(__xludf.DUMMYFUNCTION("""COMPUTED_VALUE"""),"44790 PERFORMANCE CIR")</f>
        <v>44790 PERFORMANCE CIR</v>
      </c>
      <c r="C1123" s="1" t="str">
        <f>IFERROR(__xludf.DUMMYFUNCTION("""COMPUTED_VALUE"""),"Ashburn")</f>
        <v>Ashburn</v>
      </c>
      <c r="D1123" s="1" t="str">
        <f>IFERROR(__xludf.DUMMYFUNCTION("""COMPUTED_VALUE"""),"VA")</f>
        <v>VA</v>
      </c>
      <c r="E1123" s="1" t="str">
        <f>IFERROR(__xludf.DUMMYFUNCTION("""COMPUTED_VALUE"""),"20147")</f>
        <v>20147</v>
      </c>
      <c r="F1123" s="1" t="str">
        <f>IFERROR(__xludf.DUMMYFUNCTION("""COMPUTED_VALUE"""),"Loudoun")</f>
        <v>Loudoun</v>
      </c>
      <c r="G1123" s="1" t="str">
        <f>IFERROR(__xludf.DUMMYFUNCTION("""COMPUTED_VALUE"""),"39.02357")</f>
        <v>39.02357</v>
      </c>
      <c r="H1123" s="1" t="str">
        <f>IFERROR(__xludf.DUMMYFUNCTION("""COMPUTED_VALUE"""),"-77.450905")</f>
        <v>-77.450905</v>
      </c>
      <c r="I1123" s="1" t="str">
        <f>IFERROR(__xludf.DUMMYFUNCTION("""COMPUTED_VALUE"""),"Operating")</f>
        <v>Operating</v>
      </c>
      <c r="J1123" s="1" t="str">
        <f>IFERROR(__xludf.DUMMYFUNCTION("""COMPUTED_VALUE"""),"High")</f>
        <v>High</v>
      </c>
      <c r="K1123" s="1" t="str">
        <f>IFERROR(__xludf.DUMMYFUNCTION("""COMPUTED_VALUE"""),"")</f>
        <v/>
      </c>
      <c r="L1123" s="1" t="str">
        <f>IFERROR(__xludf.DUMMYFUNCTION("""COMPUTED_VALUE"""),"Equinix")</f>
        <v>Equinix</v>
      </c>
      <c r="M1123" s="1" t="str">
        <f>IFERROR(__xludf.DUMMYFUNCTION("""COMPUTED_VALUE"""),"")</f>
        <v/>
      </c>
      <c r="N1123" s="1" t="str">
        <f>IFERROR(__xludf.DUMMYFUNCTION("""COMPUTED_VALUE"""),"")</f>
        <v/>
      </c>
      <c r="O1123" s="1" t="str">
        <f>IFERROR(__xludf.DUMMYFUNCTION("""COMPUTED_VALUE"""),"Unknown")</f>
        <v>Unknown</v>
      </c>
      <c r="P1123" s="1" t="str">
        <f>IFERROR(__xludf.DUMMYFUNCTION("""COMPUTED_VALUE"""),"")</f>
        <v/>
      </c>
      <c r="Q1123" s="1" t="str">
        <f>IFERROR(__xludf.DUMMYFUNCTION("""COMPUTED_VALUE"""),"")</f>
        <v/>
      </c>
      <c r="R1123" s="1" t="str">
        <f>IFERROR(__xludf.DUMMYFUNCTION("""COMPUTED_VALUE"""),"")</f>
        <v/>
      </c>
      <c r="S1123" s="1" t="str">
        <f>IFERROR(__xludf.DUMMYFUNCTION("""COMPUTED_VALUE"""),"")</f>
        <v/>
      </c>
      <c r="T1123" s="1" t="str">
        <f>IFERROR(__xludf.DUMMYFUNCTION("""COMPUTED_VALUE"""),"")</f>
        <v/>
      </c>
      <c r="U1123" s="1" t="str">
        <f>IFERROR(__xludf.DUMMYFUNCTION("""COMPUTED_VALUE"""),"")</f>
        <v/>
      </c>
      <c r="V1123" s="1" t="str">
        <f>IFERROR(__xludf.DUMMYFUNCTION("""COMPUTED_VALUE"""),"672,244")</f>
        <v>672,244</v>
      </c>
      <c r="W1123" s="1" t="str">
        <f>IFERROR(__xludf.DUMMYFUNCTION("""COMPUTED_VALUE"""),"45")</f>
        <v>45</v>
      </c>
      <c r="X1123" s="1" t="str">
        <f>IFERROR(__xludf.DUMMYFUNCTION("""COMPUTED_VALUE"""),"")</f>
        <v/>
      </c>
      <c r="Y1123" s="1" t="str">
        <f>IFERROR(__xludf.DUMMYFUNCTION("""COMPUTED_VALUE"""),"")</f>
        <v/>
      </c>
      <c r="Z1123" s="1" t="str">
        <f>IFERROR(__xludf.DUMMYFUNCTION("""COMPUTED_VALUE"""),"Unknown")</f>
        <v>Unknown</v>
      </c>
      <c r="AA1123" s="1" t="str">
        <f>IFERROR(__xludf.DUMMYFUNCTION("""COMPUTED_VALUE"""),"")</f>
        <v/>
      </c>
      <c r="AB1123" s="1" t="str">
        <f>IFERROR(__xludf.DUMMYFUNCTION("""COMPUTED_VALUE"""),"")</f>
        <v/>
      </c>
      <c r="AC1123" s="1" t="str">
        <f>IFERROR(__xludf.DUMMYFUNCTION("""COMPUTED_VALUE"""),"")</f>
        <v/>
      </c>
      <c r="AD1123" s="1" t="str">
        <f>IFERROR(__xludf.DUMMYFUNCTION("""COMPUTED_VALUE"""),"")</f>
        <v/>
      </c>
      <c r="AE1123" s="1" t="str">
        <f>IFERROR(__xludf.DUMMYFUNCTION("""COMPUTED_VALUE"""),"")</f>
        <v/>
      </c>
      <c r="AF1123" s="1" t="str">
        <f>IFERROR(__xludf.DUMMYFUNCTION("""COMPUTED_VALUE"""),"")</f>
        <v/>
      </c>
      <c r="AG1123" s="1" t="str">
        <f>IFERROR(__xludf.DUMMYFUNCTION("""COMPUTED_VALUE"""),"Computer Center")</f>
        <v>Computer Center</v>
      </c>
      <c r="AH1123" s="1" t="str">
        <f>IFERROR(__xludf.DUMMYFUNCTION("""COMPUTED_VALUE"""),"PEC")</f>
        <v>PEC</v>
      </c>
      <c r="AI1123" s="1" t="str">
        <f>IFERROR(__xludf.DUMMYFUNCTION("""COMPUTED_VALUE"""),"")</f>
        <v/>
      </c>
      <c r="AJ1123" s="2" t="str">
        <f>IFERROR(__xludf.DUMMYFUNCTION("""COMPUTED_VALUE"""),"https://reparcelasmt.loudoun.gov/pt/Datalets/Datalet.aspx?UseSearch=no&amp;mode=profileall&amp;pin=060209652000&amp;jur=107&amp;taxyr=2024")</f>
        <v>https://reparcelasmt.loudoun.gov/pt/Datalets/Datalet.aspx?UseSearch=no&amp;mode=profileall&amp;pin=060209652000&amp;jur=107&amp;taxyr=2024</v>
      </c>
      <c r="AK1123" s="1" t="str">
        <f>IFERROR(__xludf.DUMMYFUNCTION("""COMPUTED_VALUE"""),"")</f>
        <v/>
      </c>
      <c r="AL1123" s="1" t="str">
        <f>IFERROR(__xludf.DUMMYFUNCTION("""COMPUTED_VALUE"""),"")</f>
        <v/>
      </c>
      <c r="AM1123" s="1" t="str">
        <f>IFERROR(__xludf.DUMMYFUNCTION("""COMPUTED_VALUE"""),"")</f>
        <v/>
      </c>
      <c r="AN1123" s="1" t="str">
        <f>IFERROR(__xludf.DUMMYFUNCTION("""COMPUTED_VALUE"""),"")</f>
        <v/>
      </c>
      <c r="AO1123" s="1" t="str">
        <f>IFERROR(__xludf.DUMMYFUNCTION("""COMPUTED_VALUE"""),"")</f>
        <v/>
      </c>
      <c r="AP1123" s="1" t="str">
        <f>IFERROR(__xludf.DUMMYFUNCTION("""COMPUTED_VALUE"""),"")</f>
        <v/>
      </c>
      <c r="AQ1123" s="1" t="str">
        <f>IFERROR(__xludf.DUMMYFUNCTION("""COMPUTED_VALUE"""),"04/10/2024")</f>
        <v>04/10/2024</v>
      </c>
      <c r="AR1123" s="1" t="str">
        <f>IFERROR(__xludf.DUMMYFUNCTION("""COMPUTED_VALUE"""),"10/17/2025")</f>
        <v>10/17/2025</v>
      </c>
    </row>
    <row r="1124">
      <c r="A1124" s="1" t="str">
        <f>IFERROR(__xludf.DUMMYFUNCTION("""COMPUTED_VALUE"""),"ACC11 Digital Realty")</f>
        <v>ACC11 Digital Realty</v>
      </c>
      <c r="B1124" s="1" t="str">
        <f>IFERROR(__xludf.DUMMYFUNCTION("""COMPUTED_VALUE"""),"Corner of Gresham and Waxpool")</f>
        <v>Corner of Gresham and Waxpool</v>
      </c>
      <c r="C1124" s="1" t="str">
        <f>IFERROR(__xludf.DUMMYFUNCTION("""COMPUTED_VALUE"""),"Ashburn")</f>
        <v>Ashburn</v>
      </c>
      <c r="D1124" s="1" t="str">
        <f>IFERROR(__xludf.DUMMYFUNCTION("""COMPUTED_VALUE"""),"VA")</f>
        <v>VA</v>
      </c>
      <c r="E1124" s="1" t="str">
        <f>IFERROR(__xludf.DUMMYFUNCTION("""COMPUTED_VALUE"""),"20147")</f>
        <v>20147</v>
      </c>
      <c r="F1124" s="1" t="str">
        <f>IFERROR(__xludf.DUMMYFUNCTION("""COMPUTED_VALUE"""),"Loudoun")</f>
        <v>Loudoun</v>
      </c>
      <c r="G1124" s="1" t="str">
        <f>IFERROR(__xludf.DUMMYFUNCTION("""COMPUTED_VALUE"""),"39.014893")</f>
        <v>39.014893</v>
      </c>
      <c r="H1124" s="1" t="str">
        <f>IFERROR(__xludf.DUMMYFUNCTION("""COMPUTED_VALUE"""),"-77.46363")</f>
        <v>-77.46363</v>
      </c>
      <c r="I1124" s="1" t="str">
        <f>IFERROR(__xludf.DUMMYFUNCTION("""COMPUTED_VALUE"""),"Expanding")</f>
        <v>Expanding</v>
      </c>
      <c r="J1124" s="1" t="str">
        <f>IFERROR(__xludf.DUMMYFUNCTION("""COMPUTED_VALUE"""),"Medium")</f>
        <v>Medium</v>
      </c>
      <c r="K1124" s="1" t="str">
        <f>IFERROR(__xludf.DUMMYFUNCTION("""COMPUTED_VALUE"""),"")</f>
        <v/>
      </c>
      <c r="L1124" s="1" t="str">
        <f>IFERROR(__xludf.DUMMYFUNCTION("""COMPUTED_VALUE"""),"Digital Realty")</f>
        <v>Digital Realty</v>
      </c>
      <c r="M1124" s="1" t="str">
        <f>IFERROR(__xludf.DUMMYFUNCTION("""COMPUTED_VALUE"""),"")</f>
        <v/>
      </c>
      <c r="N1124" s="1" t="str">
        <f>IFERROR(__xludf.DUMMYFUNCTION("""COMPUTED_VALUE"""),"")</f>
        <v/>
      </c>
      <c r="O1124" s="1" t="str">
        <f>IFERROR(__xludf.DUMMYFUNCTION("""COMPUTED_VALUE"""),"Unknown")</f>
        <v>Unknown</v>
      </c>
      <c r="P1124" s="1" t="str">
        <f>IFERROR(__xludf.DUMMYFUNCTION("""COMPUTED_VALUE"""),"")</f>
        <v/>
      </c>
      <c r="Q1124" s="1" t="str">
        <f>IFERROR(__xludf.DUMMYFUNCTION("""COMPUTED_VALUE"""),"")</f>
        <v/>
      </c>
      <c r="R1124" s="1" t="str">
        <f>IFERROR(__xludf.DUMMYFUNCTION("""COMPUTED_VALUE"""),"")</f>
        <v/>
      </c>
      <c r="S1124" s="1" t="str">
        <f>IFERROR(__xludf.DUMMYFUNCTION("""COMPUTED_VALUE"""),"")</f>
        <v/>
      </c>
      <c r="T1124" s="1" t="str">
        <f>IFERROR(__xludf.DUMMYFUNCTION("""COMPUTED_VALUE"""),"")</f>
        <v/>
      </c>
      <c r="U1124" s="1" t="str">
        <f>IFERROR(__xludf.DUMMYFUNCTION("""COMPUTED_VALUE"""),"")</f>
        <v/>
      </c>
      <c r="V1124" s="1" t="str">
        <f>IFERROR(__xludf.DUMMYFUNCTION("""COMPUTED_VALUE"""),"395,829")</f>
        <v>395,829</v>
      </c>
      <c r="W1124" s="1" t="str">
        <f>IFERROR(__xludf.DUMMYFUNCTION("""COMPUTED_VALUE"""),"9")</f>
        <v>9</v>
      </c>
      <c r="X1124" s="1" t="str">
        <f>IFERROR(__xludf.DUMMYFUNCTION("""COMPUTED_VALUE"""),"")</f>
        <v/>
      </c>
      <c r="Y1124" s="1" t="str">
        <f>IFERROR(__xludf.DUMMYFUNCTION("""COMPUTED_VALUE"""),"")</f>
        <v/>
      </c>
      <c r="Z1124" s="1" t="str">
        <f>IFERROR(__xludf.DUMMYFUNCTION("""COMPUTED_VALUE"""),"Unknown")</f>
        <v>Unknown</v>
      </c>
      <c r="AA1124" s="1" t="str">
        <f>IFERROR(__xludf.DUMMYFUNCTION("""COMPUTED_VALUE"""),"")</f>
        <v/>
      </c>
      <c r="AB1124" s="1" t="str">
        <f>IFERROR(__xludf.DUMMYFUNCTION("""COMPUTED_VALUE"""),"")</f>
        <v/>
      </c>
      <c r="AC1124" s="1" t="str">
        <f>IFERROR(__xludf.DUMMYFUNCTION("""COMPUTED_VALUE"""),"")</f>
        <v/>
      </c>
      <c r="AD1124" s="1" t="str">
        <f>IFERROR(__xludf.DUMMYFUNCTION("""COMPUTED_VALUE"""),"")</f>
        <v/>
      </c>
      <c r="AE1124" s="1" t="str">
        <f>IFERROR(__xludf.DUMMYFUNCTION("""COMPUTED_VALUE"""),"")</f>
        <v/>
      </c>
      <c r="AF1124" s="1" t="str">
        <f>IFERROR(__xludf.DUMMYFUNCTION("""COMPUTED_VALUE"""),"")</f>
        <v/>
      </c>
      <c r="AG1124" s="1" t="str">
        <f>IFERROR(__xludf.DUMMYFUNCTION("""COMPUTED_VALUE"""),"")</f>
        <v/>
      </c>
      <c r="AH1124" s="1" t="str">
        <f>IFERROR(__xludf.DUMMYFUNCTION("""COMPUTED_VALUE"""),"PEC")</f>
        <v>PEC</v>
      </c>
      <c r="AI1124" s="2" t="str">
        <f>IFERROR(__xludf.DUMMYFUNCTION("""COMPUTED_VALUE"""),"https://loudouncountyvaeg.tylerhost.net/prod/selfservice#/plan/72E98EAA-F26D-4639-B064-77C8BF2DFEA6?tab=attachments")</f>
        <v>https://loudouncountyvaeg.tylerhost.net/prod/selfservice#/plan/72E98EAA-F26D-4639-B064-77C8BF2DFEA6?tab=attachments</v>
      </c>
      <c r="AJ1124" s="2" t="str">
        <f>IFERROR(__xludf.DUMMYFUNCTION("""COMPUTED_VALUE"""),"https://reparcelasmt.loudoun.gov/pt/Datalets/Datalet.aspx?UseSearch=no&amp;mode=profileall&amp;pin=061373570000&amp;jur=107&amp;taxyr=2025")</f>
        <v>https://reparcelasmt.loudoun.gov/pt/Datalets/Datalet.aspx?UseSearch=no&amp;mode=profileall&amp;pin=061373570000&amp;jur=107&amp;taxyr=2025</v>
      </c>
      <c r="AK1124" s="1" t="str">
        <f>IFERROR(__xludf.DUMMYFUNCTION("""COMPUTED_VALUE"""),"")</f>
        <v/>
      </c>
      <c r="AL1124" s="1" t="str">
        <f>IFERROR(__xludf.DUMMYFUNCTION("""COMPUTED_VALUE"""),"")</f>
        <v/>
      </c>
      <c r="AM1124" s="1" t="str">
        <f>IFERROR(__xludf.DUMMYFUNCTION("""COMPUTED_VALUE"""),"")</f>
        <v/>
      </c>
      <c r="AN1124" s="1" t="str">
        <f>IFERROR(__xludf.DUMMYFUNCTION("""COMPUTED_VALUE"""),"")</f>
        <v/>
      </c>
      <c r="AO1124" s="1" t="str">
        <f>IFERROR(__xludf.DUMMYFUNCTION("""COMPUTED_VALUE"""),"")</f>
        <v/>
      </c>
      <c r="AP1124" s="1" t="str">
        <f>IFERROR(__xludf.DUMMYFUNCTION("""COMPUTED_VALUE"""),"")</f>
        <v/>
      </c>
      <c r="AQ1124" s="1" t="str">
        <f>IFERROR(__xludf.DUMMYFUNCTION("""COMPUTED_VALUE"""),"08/11/2025")</f>
        <v>08/11/2025</v>
      </c>
      <c r="AR1124" s="1" t="str">
        <f>IFERROR(__xludf.DUMMYFUNCTION("""COMPUTED_VALUE"""),"02/10/2026")</f>
        <v>02/10/2026</v>
      </c>
    </row>
    <row r="1125">
      <c r="A1125" s="1" t="str">
        <f>IFERROR(__xludf.DUMMYFUNCTION("""COMPUTED_VALUE"""),"ACC4 Digital Realty")</f>
        <v>ACC4 Digital Realty</v>
      </c>
      <c r="B1125" s="1" t="str">
        <f>IFERROR(__xludf.DUMMYFUNCTION("""COMPUTED_VALUE"""),"44480 HASTINGS DR")</f>
        <v>44480 HASTINGS DR</v>
      </c>
      <c r="C1125" s="1" t="str">
        <f>IFERROR(__xludf.DUMMYFUNCTION("""COMPUTED_VALUE"""),"Ashburn")</f>
        <v>Ashburn</v>
      </c>
      <c r="D1125" s="1" t="str">
        <f>IFERROR(__xludf.DUMMYFUNCTION("""COMPUTED_VALUE"""),"VA")</f>
        <v>VA</v>
      </c>
      <c r="E1125" s="1" t="str">
        <f>IFERROR(__xludf.DUMMYFUNCTION("""COMPUTED_VALUE"""),"20147")</f>
        <v>20147</v>
      </c>
      <c r="F1125" s="1" t="str">
        <f>IFERROR(__xludf.DUMMYFUNCTION("""COMPUTED_VALUE"""),"Loudoun")</f>
        <v>Loudoun</v>
      </c>
      <c r="G1125" s="1" t="str">
        <f>IFERROR(__xludf.DUMMYFUNCTION("""COMPUTED_VALUE"""),"39.017944")</f>
        <v>39.017944</v>
      </c>
      <c r="H1125" s="1" t="str">
        <f>IFERROR(__xludf.DUMMYFUNCTION("""COMPUTED_VALUE"""),"-77.46266")</f>
        <v>-77.46266</v>
      </c>
      <c r="I1125" s="1" t="str">
        <f>IFERROR(__xludf.DUMMYFUNCTION("""COMPUTED_VALUE"""),"Expanding")</f>
        <v>Expanding</v>
      </c>
      <c r="J1125" s="1" t="str">
        <f>IFERROR(__xludf.DUMMYFUNCTION("""COMPUTED_VALUE"""),"High")</f>
        <v>High</v>
      </c>
      <c r="K1125" s="1" t="str">
        <f>IFERROR(__xludf.DUMMYFUNCTION("""COMPUTED_VALUE"""),"")</f>
        <v/>
      </c>
      <c r="L1125" s="1" t="str">
        <f>IFERROR(__xludf.DUMMYFUNCTION("""COMPUTED_VALUE"""),"Digital Realty")</f>
        <v>Digital Realty</v>
      </c>
      <c r="M1125" s="1" t="str">
        <f>IFERROR(__xludf.DUMMYFUNCTION("""COMPUTED_VALUE"""),"")</f>
        <v/>
      </c>
      <c r="N1125" s="1" t="str">
        <f>IFERROR(__xludf.DUMMYFUNCTION("""COMPUTED_VALUE"""),"")</f>
        <v/>
      </c>
      <c r="O1125" s="1" t="str">
        <f>IFERROR(__xludf.DUMMYFUNCTION("""COMPUTED_VALUE"""),"Unknown")</f>
        <v>Unknown</v>
      </c>
      <c r="P1125" s="1" t="str">
        <f>IFERROR(__xludf.DUMMYFUNCTION("""COMPUTED_VALUE"""),"")</f>
        <v/>
      </c>
      <c r="Q1125" s="1" t="str">
        <f>IFERROR(__xludf.DUMMYFUNCTION("""COMPUTED_VALUE"""),"")</f>
        <v/>
      </c>
      <c r="R1125" s="1" t="str">
        <f>IFERROR(__xludf.DUMMYFUNCTION("""COMPUTED_VALUE"""),"")</f>
        <v/>
      </c>
      <c r="S1125" s="1" t="str">
        <f>IFERROR(__xludf.DUMMYFUNCTION("""COMPUTED_VALUE"""),"")</f>
        <v/>
      </c>
      <c r="T1125" s="1" t="str">
        <f>IFERROR(__xludf.DUMMYFUNCTION("""COMPUTED_VALUE"""),"")</f>
        <v/>
      </c>
      <c r="U1125" s="1" t="str">
        <f>IFERROR(__xludf.DUMMYFUNCTION("""COMPUTED_VALUE"""),"")</f>
        <v/>
      </c>
      <c r="V1125" s="1" t="str">
        <f>IFERROR(__xludf.DUMMYFUNCTION("""COMPUTED_VALUE"""),"286,865")</f>
        <v>286,865</v>
      </c>
      <c r="W1125" s="1" t="str">
        <f>IFERROR(__xludf.DUMMYFUNCTION("""COMPUTED_VALUE"""),"17")</f>
        <v>17</v>
      </c>
      <c r="X1125" s="1" t="str">
        <f>IFERROR(__xludf.DUMMYFUNCTION("""COMPUTED_VALUE"""),"")</f>
        <v/>
      </c>
      <c r="Y1125" s="1" t="str">
        <f>IFERROR(__xludf.DUMMYFUNCTION("""COMPUTED_VALUE"""),"")</f>
        <v/>
      </c>
      <c r="Z1125" s="1" t="str">
        <f>IFERROR(__xludf.DUMMYFUNCTION("""COMPUTED_VALUE"""),"Unknown")</f>
        <v>Unknown</v>
      </c>
      <c r="AA1125" s="1" t="str">
        <f>IFERROR(__xludf.DUMMYFUNCTION("""COMPUTED_VALUE"""),"")</f>
        <v/>
      </c>
      <c r="AB1125" s="1" t="str">
        <f>IFERROR(__xludf.DUMMYFUNCTION("""COMPUTED_VALUE"""),"")</f>
        <v/>
      </c>
      <c r="AC1125" s="1" t="str">
        <f>IFERROR(__xludf.DUMMYFUNCTION("""COMPUTED_VALUE"""),"")</f>
        <v/>
      </c>
      <c r="AD1125" s="1" t="str">
        <f>IFERROR(__xludf.DUMMYFUNCTION("""COMPUTED_VALUE"""),"")</f>
        <v/>
      </c>
      <c r="AE1125" s="1" t="str">
        <f>IFERROR(__xludf.DUMMYFUNCTION("""COMPUTED_VALUE"""),"")</f>
        <v/>
      </c>
      <c r="AF1125" s="1" t="str">
        <f>IFERROR(__xludf.DUMMYFUNCTION("""COMPUTED_VALUE"""),"")</f>
        <v/>
      </c>
      <c r="AG1125" s="1" t="str">
        <f>IFERROR(__xludf.DUMMYFUNCTION("""COMPUTED_VALUE"""),"Computer Center")</f>
        <v>Computer Center</v>
      </c>
      <c r="AH1125" s="1" t="str">
        <f>IFERROR(__xludf.DUMMYFUNCTION("""COMPUTED_VALUE"""),"PEC")</f>
        <v>PEC</v>
      </c>
      <c r="AI1125" s="1" t="str">
        <f>IFERROR(__xludf.DUMMYFUNCTION("""COMPUTED_VALUE"""),"")</f>
        <v/>
      </c>
      <c r="AJ1125" s="2" t="str">
        <f>IFERROR(__xludf.DUMMYFUNCTION("""COMPUTED_VALUE"""),"https://reparcelasmt.loudoun.gov/pt/Datalets/Datalet.aspx?UseSearch=no&amp;mode=profileall&amp;pin=060178810000&amp;jur=107&amp;taxyr=2024")</f>
        <v>https://reparcelasmt.loudoun.gov/pt/Datalets/Datalet.aspx?UseSearch=no&amp;mode=profileall&amp;pin=060178810000&amp;jur=107&amp;taxyr=2024</v>
      </c>
      <c r="AK1125" s="1" t="str">
        <f>IFERROR(__xludf.DUMMYFUNCTION("""COMPUTED_VALUE"""),"")</f>
        <v/>
      </c>
      <c r="AL1125" s="1" t="str">
        <f>IFERROR(__xludf.DUMMYFUNCTION("""COMPUTED_VALUE"""),"")</f>
        <v/>
      </c>
      <c r="AM1125" s="1" t="str">
        <f>IFERROR(__xludf.DUMMYFUNCTION("""COMPUTED_VALUE"""),"")</f>
        <v/>
      </c>
      <c r="AN1125" s="1" t="str">
        <f>IFERROR(__xludf.DUMMYFUNCTION("""COMPUTED_VALUE"""),"")</f>
        <v/>
      </c>
      <c r="AO1125" s="1" t="str">
        <f>IFERROR(__xludf.DUMMYFUNCTION("""COMPUTED_VALUE"""),"")</f>
        <v/>
      </c>
      <c r="AP1125" s="1" t="str">
        <f>IFERROR(__xludf.DUMMYFUNCTION("""COMPUTED_VALUE"""),"")</f>
        <v/>
      </c>
      <c r="AQ1125" s="1" t="str">
        <f>IFERROR(__xludf.DUMMYFUNCTION("""COMPUTED_VALUE"""),"08/11/2025")</f>
        <v>08/11/2025</v>
      </c>
      <c r="AR1125" s="1" t="str">
        <f>IFERROR(__xludf.DUMMYFUNCTION("""COMPUTED_VALUE"""),"02/10/2026")</f>
        <v>02/10/2026</v>
      </c>
    </row>
    <row r="1126">
      <c r="A1126" s="1" t="str">
        <f>IFERROR(__xludf.DUMMYFUNCTION("""COMPUTED_VALUE"""),"ACC5 ACC6 Digital Realty")</f>
        <v>ACC5 ACC6 Digital Realty</v>
      </c>
      <c r="B1126" s="1" t="str">
        <f>IFERROR(__xludf.DUMMYFUNCTION("""COMPUTED_VALUE"""),"44521 HASTINGS DR")</f>
        <v>44521 HASTINGS DR</v>
      </c>
      <c r="C1126" s="1" t="str">
        <f>IFERROR(__xludf.DUMMYFUNCTION("""COMPUTED_VALUE"""),"Ashburn")</f>
        <v>Ashburn</v>
      </c>
      <c r="D1126" s="1" t="str">
        <f>IFERROR(__xludf.DUMMYFUNCTION("""COMPUTED_VALUE"""),"VA")</f>
        <v>VA</v>
      </c>
      <c r="E1126" s="1" t="str">
        <f>IFERROR(__xludf.DUMMYFUNCTION("""COMPUTED_VALUE"""),"20147")</f>
        <v>20147</v>
      </c>
      <c r="F1126" s="1" t="str">
        <f>IFERROR(__xludf.DUMMYFUNCTION("""COMPUTED_VALUE"""),"Loudoun")</f>
        <v>Loudoun</v>
      </c>
      <c r="G1126" s="1" t="str">
        <f>IFERROR(__xludf.DUMMYFUNCTION("""COMPUTED_VALUE"""),"39.020702")</f>
        <v>39.020702</v>
      </c>
      <c r="H1126" s="1" t="str">
        <f>IFERROR(__xludf.DUMMYFUNCTION("""COMPUTED_VALUE"""),"-77.46347")</f>
        <v>-77.46347</v>
      </c>
      <c r="I1126" s="1" t="str">
        <f>IFERROR(__xludf.DUMMYFUNCTION("""COMPUTED_VALUE"""),"Operating")</f>
        <v>Operating</v>
      </c>
      <c r="J1126" s="1" t="str">
        <f>IFERROR(__xludf.DUMMYFUNCTION("""COMPUTED_VALUE"""),"High")</f>
        <v>High</v>
      </c>
      <c r="K1126" s="1" t="str">
        <f>IFERROR(__xludf.DUMMYFUNCTION("""COMPUTED_VALUE"""),"")</f>
        <v/>
      </c>
      <c r="L1126" s="1" t="str">
        <f>IFERROR(__xludf.DUMMYFUNCTION("""COMPUTED_VALUE"""),"FOX PROPERTIES LLC")</f>
        <v>FOX PROPERTIES LLC</v>
      </c>
      <c r="M1126" s="1" t="str">
        <f>IFERROR(__xludf.DUMMYFUNCTION("""COMPUTED_VALUE"""),"")</f>
        <v/>
      </c>
      <c r="N1126" s="1" t="str">
        <f>IFERROR(__xludf.DUMMYFUNCTION("""COMPUTED_VALUE"""),"")</f>
        <v/>
      </c>
      <c r="O1126" s="1" t="str">
        <f>IFERROR(__xludf.DUMMYFUNCTION("""COMPUTED_VALUE"""),"Unknown")</f>
        <v>Unknown</v>
      </c>
      <c r="P1126" s="1" t="str">
        <f>IFERROR(__xludf.DUMMYFUNCTION("""COMPUTED_VALUE"""),"")</f>
        <v/>
      </c>
      <c r="Q1126" s="1" t="str">
        <f>IFERROR(__xludf.DUMMYFUNCTION("""COMPUTED_VALUE"""),"")</f>
        <v/>
      </c>
      <c r="R1126" s="1" t="str">
        <f>IFERROR(__xludf.DUMMYFUNCTION("""COMPUTED_VALUE"""),"")</f>
        <v/>
      </c>
      <c r="S1126" s="1" t="str">
        <f>IFERROR(__xludf.DUMMYFUNCTION("""COMPUTED_VALUE"""),"")</f>
        <v/>
      </c>
      <c r="T1126" s="1" t="str">
        <f>IFERROR(__xludf.DUMMYFUNCTION("""COMPUTED_VALUE"""),"")</f>
        <v/>
      </c>
      <c r="U1126" s="1" t="str">
        <f>IFERROR(__xludf.DUMMYFUNCTION("""COMPUTED_VALUE"""),"")</f>
        <v/>
      </c>
      <c r="V1126" s="1" t="str">
        <f>IFERROR(__xludf.DUMMYFUNCTION("""COMPUTED_VALUE"""),"518,449")</f>
        <v>518,449</v>
      </c>
      <c r="W1126" s="1" t="str">
        <f>IFERROR(__xludf.DUMMYFUNCTION("""COMPUTED_VALUE"""),"30")</f>
        <v>30</v>
      </c>
      <c r="X1126" s="1" t="str">
        <f>IFERROR(__xludf.DUMMYFUNCTION("""COMPUTED_VALUE"""),"")</f>
        <v/>
      </c>
      <c r="Y1126" s="1" t="str">
        <f>IFERROR(__xludf.DUMMYFUNCTION("""COMPUTED_VALUE"""),"")</f>
        <v/>
      </c>
      <c r="Z1126" s="1" t="str">
        <f>IFERROR(__xludf.DUMMYFUNCTION("""COMPUTED_VALUE"""),"Unknown")</f>
        <v>Unknown</v>
      </c>
      <c r="AA1126" s="1" t="str">
        <f>IFERROR(__xludf.DUMMYFUNCTION("""COMPUTED_VALUE"""),"")</f>
        <v/>
      </c>
      <c r="AB1126" s="1" t="str">
        <f>IFERROR(__xludf.DUMMYFUNCTION("""COMPUTED_VALUE"""),"")</f>
        <v/>
      </c>
      <c r="AC1126" s="1" t="str">
        <f>IFERROR(__xludf.DUMMYFUNCTION("""COMPUTED_VALUE"""),"")</f>
        <v/>
      </c>
      <c r="AD1126" s="1" t="str">
        <f>IFERROR(__xludf.DUMMYFUNCTION("""COMPUTED_VALUE"""),"")</f>
        <v/>
      </c>
      <c r="AE1126" s="1" t="str">
        <f>IFERROR(__xludf.DUMMYFUNCTION("""COMPUTED_VALUE"""),"")</f>
        <v/>
      </c>
      <c r="AF1126" s="1" t="str">
        <f>IFERROR(__xludf.DUMMYFUNCTION("""COMPUTED_VALUE"""),"")</f>
        <v/>
      </c>
      <c r="AG1126" s="1" t="str">
        <f>IFERROR(__xludf.DUMMYFUNCTION("""COMPUTED_VALUE"""),"Computer Center")</f>
        <v>Computer Center</v>
      </c>
      <c r="AH1126" s="1" t="str">
        <f>IFERROR(__xludf.DUMMYFUNCTION("""COMPUTED_VALUE"""),"PEC")</f>
        <v>PEC</v>
      </c>
      <c r="AI1126" s="1" t="str">
        <f>IFERROR(__xludf.DUMMYFUNCTION("""COMPUTED_VALUE"""),"")</f>
        <v/>
      </c>
      <c r="AJ1126" s="2" t="str">
        <f>IFERROR(__xludf.DUMMYFUNCTION("""COMPUTED_VALUE"""),"https://reparcelasmt.loudoun.gov/pt/datalets/datalet.aspx?mode=profileall&amp;UseSearch=no&amp;pin=060170268000&amp;jur=107&amp;taxyr=2024&amp;LMparent=20")</f>
        <v>https://reparcelasmt.loudoun.gov/pt/datalets/datalet.aspx?mode=profileall&amp;UseSearch=no&amp;pin=060170268000&amp;jur=107&amp;taxyr=2024&amp;LMparent=20</v>
      </c>
      <c r="AK1126" s="1" t="str">
        <f>IFERROR(__xludf.DUMMYFUNCTION("""COMPUTED_VALUE"""),"")</f>
        <v/>
      </c>
      <c r="AL1126" s="1" t="str">
        <f>IFERROR(__xludf.DUMMYFUNCTION("""COMPUTED_VALUE"""),"")</f>
        <v/>
      </c>
      <c r="AM1126" s="1" t="str">
        <f>IFERROR(__xludf.DUMMYFUNCTION("""COMPUTED_VALUE"""),"")</f>
        <v/>
      </c>
      <c r="AN1126" s="1" t="str">
        <f>IFERROR(__xludf.DUMMYFUNCTION("""COMPUTED_VALUE"""),"")</f>
        <v/>
      </c>
      <c r="AO1126" s="1" t="str">
        <f>IFERROR(__xludf.DUMMYFUNCTION("""COMPUTED_VALUE"""),"")</f>
        <v/>
      </c>
      <c r="AP1126" s="1" t="str">
        <f>IFERROR(__xludf.DUMMYFUNCTION("""COMPUTED_VALUE"""),"")</f>
        <v/>
      </c>
      <c r="AQ1126" s="1" t="str">
        <f>IFERROR(__xludf.DUMMYFUNCTION("""COMPUTED_VALUE"""),"04/10/2024")</f>
        <v>04/10/2024</v>
      </c>
      <c r="AR1126" s="1" t="str">
        <f>IFERROR(__xludf.DUMMYFUNCTION("""COMPUTED_VALUE"""),"10/17/2025")</f>
        <v>10/17/2025</v>
      </c>
    </row>
    <row r="1127">
      <c r="A1127" s="1" t="str">
        <f>IFERROR(__xludf.DUMMYFUNCTION("""COMPUTED_VALUE"""),"ACC7 Digital Realty")</f>
        <v>ACC7 Digital Realty</v>
      </c>
      <c r="B1127" s="1" t="str">
        <f>IFERROR(__xludf.DUMMYFUNCTION("""COMPUTED_VALUE"""),"21625 GRESHAM DR")</f>
        <v>21625 GRESHAM DR</v>
      </c>
      <c r="C1127" s="1" t="str">
        <f>IFERROR(__xludf.DUMMYFUNCTION("""COMPUTED_VALUE"""),"Ashburn")</f>
        <v>Ashburn</v>
      </c>
      <c r="D1127" s="1" t="str">
        <f>IFERROR(__xludf.DUMMYFUNCTION("""COMPUTED_VALUE"""),"VA")</f>
        <v>VA</v>
      </c>
      <c r="E1127" s="1" t="str">
        <f>IFERROR(__xludf.DUMMYFUNCTION("""COMPUTED_VALUE"""),"20147")</f>
        <v>20147</v>
      </c>
      <c r="F1127" s="1" t="str">
        <f>IFERROR(__xludf.DUMMYFUNCTION("""COMPUTED_VALUE"""),"Loudoun")</f>
        <v>Loudoun</v>
      </c>
      <c r="G1127" s="1" t="str">
        <f>IFERROR(__xludf.DUMMYFUNCTION("""COMPUTED_VALUE"""),"39.01753")</f>
        <v>39.01753</v>
      </c>
      <c r="H1127" s="1" t="str">
        <f>IFERROR(__xludf.DUMMYFUNCTION("""COMPUTED_VALUE"""),"-77.465675")</f>
        <v>-77.465675</v>
      </c>
      <c r="I1127" s="1" t="str">
        <f>IFERROR(__xludf.DUMMYFUNCTION("""COMPUTED_VALUE"""),"Operating")</f>
        <v>Operating</v>
      </c>
      <c r="J1127" s="1" t="str">
        <f>IFERROR(__xludf.DUMMYFUNCTION("""COMPUTED_VALUE"""),"High")</f>
        <v>High</v>
      </c>
      <c r="K1127" s="1" t="str">
        <f>IFERROR(__xludf.DUMMYFUNCTION("""COMPUTED_VALUE"""),"")</f>
        <v/>
      </c>
      <c r="L1127" s="1" t="str">
        <f>IFERROR(__xludf.DUMMYFUNCTION("""COMPUTED_VALUE"""),"ALSHAIN VENTURES LLC")</f>
        <v>ALSHAIN VENTURES LLC</v>
      </c>
      <c r="M1127" s="1" t="str">
        <f>IFERROR(__xludf.DUMMYFUNCTION("""COMPUTED_VALUE"""),"")</f>
        <v/>
      </c>
      <c r="N1127" s="1" t="str">
        <f>IFERROR(__xludf.DUMMYFUNCTION("""COMPUTED_VALUE"""),"")</f>
        <v/>
      </c>
      <c r="O1127" s="1" t="str">
        <f>IFERROR(__xludf.DUMMYFUNCTION("""COMPUTED_VALUE"""),"Unknown")</f>
        <v>Unknown</v>
      </c>
      <c r="P1127" s="1" t="str">
        <f>IFERROR(__xludf.DUMMYFUNCTION("""COMPUTED_VALUE"""),"")</f>
        <v/>
      </c>
      <c r="Q1127" s="1" t="str">
        <f>IFERROR(__xludf.DUMMYFUNCTION("""COMPUTED_VALUE"""),"")</f>
        <v/>
      </c>
      <c r="R1127" s="1" t="str">
        <f>IFERROR(__xludf.DUMMYFUNCTION("""COMPUTED_VALUE"""),"")</f>
        <v/>
      </c>
      <c r="S1127" s="1" t="str">
        <f>IFERROR(__xludf.DUMMYFUNCTION("""COMPUTED_VALUE"""),"")</f>
        <v/>
      </c>
      <c r="T1127" s="1" t="str">
        <f>IFERROR(__xludf.DUMMYFUNCTION("""COMPUTED_VALUE"""),"")</f>
        <v/>
      </c>
      <c r="U1127" s="1" t="str">
        <f>IFERROR(__xludf.DUMMYFUNCTION("""COMPUTED_VALUE"""),"")</f>
        <v/>
      </c>
      <c r="V1127" s="1" t="str">
        <f>IFERROR(__xludf.DUMMYFUNCTION("""COMPUTED_VALUE"""),"446,500")</f>
        <v>446,500</v>
      </c>
      <c r="W1127" s="1" t="str">
        <f>IFERROR(__xludf.DUMMYFUNCTION("""COMPUTED_VALUE"""),"23")</f>
        <v>23</v>
      </c>
      <c r="X1127" s="1" t="str">
        <f>IFERROR(__xludf.DUMMYFUNCTION("""COMPUTED_VALUE"""),"")</f>
        <v/>
      </c>
      <c r="Y1127" s="1" t="str">
        <f>IFERROR(__xludf.DUMMYFUNCTION("""COMPUTED_VALUE"""),"")</f>
        <v/>
      </c>
      <c r="Z1127" s="1" t="str">
        <f>IFERROR(__xludf.DUMMYFUNCTION("""COMPUTED_VALUE"""),"Unknown")</f>
        <v>Unknown</v>
      </c>
      <c r="AA1127" s="1" t="str">
        <f>IFERROR(__xludf.DUMMYFUNCTION("""COMPUTED_VALUE"""),"")</f>
        <v/>
      </c>
      <c r="AB1127" s="1" t="str">
        <f>IFERROR(__xludf.DUMMYFUNCTION("""COMPUTED_VALUE"""),"")</f>
        <v/>
      </c>
      <c r="AC1127" s="1" t="str">
        <f>IFERROR(__xludf.DUMMYFUNCTION("""COMPUTED_VALUE"""),"")</f>
        <v/>
      </c>
      <c r="AD1127" s="1" t="str">
        <f>IFERROR(__xludf.DUMMYFUNCTION("""COMPUTED_VALUE"""),"")</f>
        <v/>
      </c>
      <c r="AE1127" s="1" t="str">
        <f>IFERROR(__xludf.DUMMYFUNCTION("""COMPUTED_VALUE"""),"")</f>
        <v/>
      </c>
      <c r="AF1127" s="1" t="str">
        <f>IFERROR(__xludf.DUMMYFUNCTION("""COMPUTED_VALUE"""),"")</f>
        <v/>
      </c>
      <c r="AG1127" s="1" t="str">
        <f>IFERROR(__xludf.DUMMYFUNCTION("""COMPUTED_VALUE"""),"Computer Center")</f>
        <v>Computer Center</v>
      </c>
      <c r="AH1127" s="1" t="str">
        <f>IFERROR(__xludf.DUMMYFUNCTION("""COMPUTED_VALUE"""),"PEC")</f>
        <v>PEC</v>
      </c>
      <c r="AI1127" s="1" t="str">
        <f>IFERROR(__xludf.DUMMYFUNCTION("""COMPUTED_VALUE"""),"")</f>
        <v/>
      </c>
      <c r="AJ1127" s="2" t="str">
        <f>IFERROR(__xludf.DUMMYFUNCTION("""COMPUTED_VALUE"""),"https://reparcelasmt.loudoun.gov/pt/datalets/datalet.aspx?mode=profileall&amp;UseSearch=no&amp;pin=061467942000&amp;jur=107&amp;taxyr=2024&amp;LMparent=20")</f>
        <v>https://reparcelasmt.loudoun.gov/pt/datalets/datalet.aspx?mode=profileall&amp;UseSearch=no&amp;pin=061467942000&amp;jur=107&amp;taxyr=2024&amp;LMparent=20</v>
      </c>
      <c r="AK1127" s="1" t="str">
        <f>IFERROR(__xludf.DUMMYFUNCTION("""COMPUTED_VALUE"""),"")</f>
        <v/>
      </c>
      <c r="AL1127" s="1" t="str">
        <f>IFERROR(__xludf.DUMMYFUNCTION("""COMPUTED_VALUE"""),"")</f>
        <v/>
      </c>
      <c r="AM1127" s="1" t="str">
        <f>IFERROR(__xludf.DUMMYFUNCTION("""COMPUTED_VALUE"""),"")</f>
        <v/>
      </c>
      <c r="AN1127" s="1" t="str">
        <f>IFERROR(__xludf.DUMMYFUNCTION("""COMPUTED_VALUE"""),"")</f>
        <v/>
      </c>
      <c r="AO1127" s="1" t="str">
        <f>IFERROR(__xludf.DUMMYFUNCTION("""COMPUTED_VALUE"""),"")</f>
        <v/>
      </c>
      <c r="AP1127" s="1" t="str">
        <f>IFERROR(__xludf.DUMMYFUNCTION("""COMPUTED_VALUE"""),"")</f>
        <v/>
      </c>
      <c r="AQ1127" s="1" t="str">
        <f>IFERROR(__xludf.DUMMYFUNCTION("""COMPUTED_VALUE"""),"04/10/2024")</f>
        <v>04/10/2024</v>
      </c>
      <c r="AR1127" s="1" t="str">
        <f>IFERROR(__xludf.DUMMYFUNCTION("""COMPUTED_VALUE"""),"10/17/2025")</f>
        <v>10/17/2025</v>
      </c>
    </row>
    <row r="1128">
      <c r="A1128" s="1" t="str">
        <f>IFERROR(__xludf.DUMMYFUNCTION("""COMPUTED_VALUE"""),"AID1 DataBank")</f>
        <v>AID1 DataBank</v>
      </c>
      <c r="B1128" s="1" t="str">
        <f>IFERROR(__xludf.DUMMYFUNCTION("""COMPUTED_VALUE"""),"21625 RED RUM DR")</f>
        <v>21625 RED RUM DR</v>
      </c>
      <c r="C1128" s="1" t="str">
        <f>IFERROR(__xludf.DUMMYFUNCTION("""COMPUTED_VALUE"""),"Ashburn")</f>
        <v>Ashburn</v>
      </c>
      <c r="D1128" s="1" t="str">
        <f>IFERROR(__xludf.DUMMYFUNCTION("""COMPUTED_VALUE"""),"VA")</f>
        <v>VA</v>
      </c>
      <c r="E1128" s="1" t="str">
        <f>IFERROR(__xludf.DUMMYFUNCTION("""COMPUTED_VALUE"""),"20147")</f>
        <v>20147</v>
      </c>
      <c r="F1128" s="1" t="str">
        <f>IFERROR(__xludf.DUMMYFUNCTION("""COMPUTED_VALUE"""),"Loudoun")</f>
        <v>Loudoun</v>
      </c>
      <c r="G1128" s="1" t="str">
        <f>IFERROR(__xludf.DUMMYFUNCTION("""COMPUTED_VALUE"""),"39.015617")</f>
        <v>39.015617</v>
      </c>
      <c r="H1128" s="1" t="str">
        <f>IFERROR(__xludf.DUMMYFUNCTION("""COMPUTED_VALUE"""),"-77.48247")</f>
        <v>-77.48247</v>
      </c>
      <c r="I1128" s="1" t="str">
        <f>IFERROR(__xludf.DUMMYFUNCTION("""COMPUTED_VALUE"""),"Proposed")</f>
        <v>Proposed</v>
      </c>
      <c r="J1128" s="1" t="str">
        <f>IFERROR(__xludf.DUMMYFUNCTION("""COMPUTED_VALUE"""),"High")</f>
        <v>High</v>
      </c>
      <c r="K1128" s="1" t="str">
        <f>IFERROR(__xludf.DUMMYFUNCTION("""COMPUTED_VALUE"""),"")</f>
        <v/>
      </c>
      <c r="L1128" s="1" t="str">
        <f>IFERROR(__xludf.DUMMYFUNCTION("""COMPUTED_VALUE"""),"GI TC ASHBURN LLC")</f>
        <v>GI TC ASHBURN LLC</v>
      </c>
      <c r="M1128" s="1" t="str">
        <f>IFERROR(__xludf.DUMMYFUNCTION("""COMPUTED_VALUE"""),"")</f>
        <v/>
      </c>
      <c r="N1128" s="1" t="str">
        <f>IFERROR(__xludf.DUMMYFUNCTION("""COMPUTED_VALUE"""),"70")</f>
        <v>70</v>
      </c>
      <c r="O1128" s="1" t="str">
        <f>IFERROR(__xludf.DUMMYFUNCTION("""COMPUTED_VALUE"""),"Large (51-99 MW)")</f>
        <v>Large (51-99 MW)</v>
      </c>
      <c r="P1128" s="1" t="str">
        <f>IFERROR(__xludf.DUMMYFUNCTION("""COMPUTED_VALUE"""),"")</f>
        <v/>
      </c>
      <c r="Q1128" s="1" t="str">
        <f>IFERROR(__xludf.DUMMYFUNCTION("""COMPUTED_VALUE"""),"")</f>
        <v/>
      </c>
      <c r="R1128" s="1" t="str">
        <f>IFERROR(__xludf.DUMMYFUNCTION("""COMPUTED_VALUE"""),"")</f>
        <v/>
      </c>
      <c r="S1128" s="1" t="str">
        <f>IFERROR(__xludf.DUMMYFUNCTION("""COMPUTED_VALUE"""),"")</f>
        <v/>
      </c>
      <c r="T1128" s="1" t="str">
        <f>IFERROR(__xludf.DUMMYFUNCTION("""COMPUTED_VALUE"""),"")</f>
        <v/>
      </c>
      <c r="U1128" s="1" t="str">
        <f>IFERROR(__xludf.DUMMYFUNCTION("""COMPUTED_VALUE"""),"")</f>
        <v/>
      </c>
      <c r="V1128" s="1" t="str">
        <f>IFERROR(__xludf.DUMMYFUNCTION("""COMPUTED_VALUE"""),"355,330")</f>
        <v>355,330</v>
      </c>
      <c r="W1128" s="1" t="str">
        <f>IFERROR(__xludf.DUMMYFUNCTION("""COMPUTED_VALUE"""),"18")</f>
        <v>18</v>
      </c>
      <c r="X1128" s="1" t="str">
        <f>IFERROR(__xludf.DUMMYFUNCTION("""COMPUTED_VALUE"""),"")</f>
        <v/>
      </c>
      <c r="Y1128" s="1" t="str">
        <f>IFERROR(__xludf.DUMMYFUNCTION("""COMPUTED_VALUE"""),"")</f>
        <v/>
      </c>
      <c r="Z1128" s="1" t="str">
        <f>IFERROR(__xludf.DUMMYFUNCTION("""COMPUTED_VALUE"""),"Unknown")</f>
        <v>Unknown</v>
      </c>
      <c r="AA1128" s="1" t="str">
        <f>IFERROR(__xludf.DUMMYFUNCTION("""COMPUTED_VALUE"""),"")</f>
        <v/>
      </c>
      <c r="AB1128" s="1" t="str">
        <f>IFERROR(__xludf.DUMMYFUNCTION("""COMPUTED_VALUE"""),"")</f>
        <v/>
      </c>
      <c r="AC1128" s="1" t="str">
        <f>IFERROR(__xludf.DUMMYFUNCTION("""COMPUTED_VALUE"""),"")</f>
        <v/>
      </c>
      <c r="AD1128" s="1" t="str">
        <f>IFERROR(__xludf.DUMMYFUNCTION("""COMPUTED_VALUE"""),"")</f>
        <v/>
      </c>
      <c r="AE1128" s="1" t="str">
        <f>IFERROR(__xludf.DUMMYFUNCTION("""COMPUTED_VALUE"""),"")</f>
        <v/>
      </c>
      <c r="AF1128" s="1" t="str">
        <f>IFERROR(__xludf.DUMMYFUNCTION("""COMPUTED_VALUE"""),"")</f>
        <v/>
      </c>
      <c r="AG1128" s="1" t="str">
        <f>IFERROR(__xludf.DUMMYFUNCTION("""COMPUTED_VALUE"""),"Shown as ""Storage Warehouse""")</f>
        <v>Shown as "Storage Warehouse"</v>
      </c>
      <c r="AH1128" s="1" t="str">
        <f>IFERROR(__xludf.DUMMYFUNCTION("""COMPUTED_VALUE"""),"PEC")</f>
        <v>PEC</v>
      </c>
      <c r="AI1128" s="2" t="str">
        <f>IFERROR(__xludf.DUMMYFUNCTION("""COMPUTED_VALUE"""),"https://loudouncountyvaeg.tylerhost.net/prod/selfservice#/plan/bb5f1aed-1eda-4c62-8c86-d8e940d94a8c?tab=locations")</f>
        <v>https://loudouncountyvaeg.tylerhost.net/prod/selfservice#/plan/bb5f1aed-1eda-4c62-8c86-d8e940d94a8c?tab=locations</v>
      </c>
      <c r="AJ1128" s="2" t="str">
        <f>IFERROR(__xludf.DUMMYFUNCTION("""COMPUTED_VALUE"""),"https://reparcelasmt.loudoun.gov/pt/Datalets/Datalet.aspx?UseSearch=no&amp;mode=profileall&amp;pin=088381788000&amp;jur=107&amp;taxyr=2024")</f>
        <v>https://reparcelasmt.loudoun.gov/pt/Datalets/Datalet.aspx?UseSearch=no&amp;mode=profileall&amp;pin=088381788000&amp;jur=107&amp;taxyr=2024</v>
      </c>
      <c r="AK1128" s="2" t="str">
        <f>IFERROR(__xludf.DUMMYFUNCTION("""COMPUTED_VALUE"""),"https://www.databank.com/data-centers/northern-virginia/ashburn-campus/")</f>
        <v>https://www.databank.com/data-centers/northern-virginia/ashburn-campus/</v>
      </c>
      <c r="AL1128" s="1" t="str">
        <f>IFERROR(__xludf.DUMMYFUNCTION("""COMPUTED_VALUE"""),"")</f>
        <v/>
      </c>
      <c r="AM1128" s="1" t="str">
        <f>IFERROR(__xludf.DUMMYFUNCTION("""COMPUTED_VALUE"""),"")</f>
        <v/>
      </c>
      <c r="AN1128" s="1" t="str">
        <f>IFERROR(__xludf.DUMMYFUNCTION("""COMPUTED_VALUE"""),"")</f>
        <v/>
      </c>
      <c r="AO1128" s="1" t="str">
        <f>IFERROR(__xludf.DUMMYFUNCTION("""COMPUTED_VALUE"""),"")</f>
        <v/>
      </c>
      <c r="AP1128" s="1" t="str">
        <f>IFERROR(__xludf.DUMMYFUNCTION("""COMPUTED_VALUE"""),"")</f>
        <v/>
      </c>
      <c r="AQ1128" s="1" t="str">
        <f>IFERROR(__xludf.DUMMYFUNCTION("""COMPUTED_VALUE"""),"08/11/2025")</f>
        <v>08/11/2025</v>
      </c>
      <c r="AR1128" s="1" t="str">
        <f>IFERROR(__xludf.DUMMYFUNCTION("""COMPUTED_VALUE"""),"10/17/2025")</f>
        <v>10/17/2025</v>
      </c>
    </row>
    <row r="1129">
      <c r="A1129" s="1" t="str">
        <f>IFERROR(__xludf.DUMMYFUNCTION("""COMPUTED_VALUE"""),"ALIGNED DATA CENTER IAD01")</f>
        <v>ALIGNED DATA CENTER IAD01</v>
      </c>
      <c r="B1129" s="1" t="str">
        <f>IFERROR(__xludf.DUMMYFUNCTION("""COMPUTED_VALUE"""),"21890 UUNET DR")</f>
        <v>21890 UUNET DR</v>
      </c>
      <c r="C1129" s="1" t="str">
        <f>IFERROR(__xludf.DUMMYFUNCTION("""COMPUTED_VALUE"""),"Ashburn")</f>
        <v>Ashburn</v>
      </c>
      <c r="D1129" s="1" t="str">
        <f>IFERROR(__xludf.DUMMYFUNCTION("""COMPUTED_VALUE"""),"VA")</f>
        <v>VA</v>
      </c>
      <c r="E1129" s="1" t="str">
        <f>IFERROR(__xludf.DUMMYFUNCTION("""COMPUTED_VALUE"""),"20147")</f>
        <v>20147</v>
      </c>
      <c r="F1129" s="1" t="str">
        <f>IFERROR(__xludf.DUMMYFUNCTION("""COMPUTED_VALUE"""),"Loudoun")</f>
        <v>Loudoun</v>
      </c>
      <c r="G1129" s="1" t="str">
        <f>IFERROR(__xludf.DUMMYFUNCTION("""COMPUTED_VALUE"""),"39.013935")</f>
        <v>39.013935</v>
      </c>
      <c r="H1129" s="1" t="str">
        <f>IFERROR(__xludf.DUMMYFUNCTION("""COMPUTED_VALUE"""),"-77.46997")</f>
        <v>-77.46997</v>
      </c>
      <c r="I1129" s="1" t="str">
        <f>IFERROR(__xludf.DUMMYFUNCTION("""COMPUTED_VALUE"""),"Operating")</f>
        <v>Operating</v>
      </c>
      <c r="J1129" s="1" t="str">
        <f>IFERROR(__xludf.DUMMYFUNCTION("""COMPUTED_VALUE"""),"High")</f>
        <v>High</v>
      </c>
      <c r="K1129" s="1" t="str">
        <f>IFERROR(__xludf.DUMMYFUNCTION("""COMPUTED_VALUE"""),"")</f>
        <v/>
      </c>
      <c r="L1129" s="1" t="str">
        <f>IFERROR(__xludf.DUMMYFUNCTION("""COMPUTED_VALUE"""),"Aligned Data Centers")</f>
        <v>Aligned Data Centers</v>
      </c>
      <c r="M1129" s="1" t="str">
        <f>IFERROR(__xludf.DUMMYFUNCTION("""COMPUTED_VALUE"""),"")</f>
        <v/>
      </c>
      <c r="N1129" s="1" t="str">
        <f>IFERROR(__xludf.DUMMYFUNCTION("""COMPUTED_VALUE"""),"")</f>
        <v/>
      </c>
      <c r="O1129" s="1" t="str">
        <f>IFERROR(__xludf.DUMMYFUNCTION("""COMPUTED_VALUE"""),"Unknown")</f>
        <v>Unknown</v>
      </c>
      <c r="P1129" s="1" t="str">
        <f>IFERROR(__xludf.DUMMYFUNCTION("""COMPUTED_VALUE"""),"")</f>
        <v/>
      </c>
      <c r="Q1129" s="1" t="str">
        <f>IFERROR(__xludf.DUMMYFUNCTION("""COMPUTED_VALUE"""),"")</f>
        <v/>
      </c>
      <c r="R1129" s="1" t="str">
        <f>IFERROR(__xludf.DUMMYFUNCTION("""COMPUTED_VALUE"""),"")</f>
        <v/>
      </c>
      <c r="S1129" s="1" t="str">
        <f>IFERROR(__xludf.DUMMYFUNCTION("""COMPUTED_VALUE"""),"")</f>
        <v/>
      </c>
      <c r="T1129" s="1" t="str">
        <f>IFERROR(__xludf.DUMMYFUNCTION("""COMPUTED_VALUE"""),"")</f>
        <v/>
      </c>
      <c r="U1129" s="1" t="str">
        <f>IFERROR(__xludf.DUMMYFUNCTION("""COMPUTED_VALUE"""),"")</f>
        <v/>
      </c>
      <c r="V1129" s="1" t="str">
        <f>IFERROR(__xludf.DUMMYFUNCTION("""COMPUTED_VALUE"""),"368,600")</f>
        <v>368,600</v>
      </c>
      <c r="W1129" s="1" t="str">
        <f>IFERROR(__xludf.DUMMYFUNCTION("""COMPUTED_VALUE"""),"9")</f>
        <v>9</v>
      </c>
      <c r="X1129" s="1" t="str">
        <f>IFERROR(__xludf.DUMMYFUNCTION("""COMPUTED_VALUE"""),"")</f>
        <v/>
      </c>
      <c r="Y1129" s="1" t="str">
        <f>IFERROR(__xludf.DUMMYFUNCTION("""COMPUTED_VALUE"""),"")</f>
        <v/>
      </c>
      <c r="Z1129" s="1" t="str">
        <f>IFERROR(__xludf.DUMMYFUNCTION("""COMPUTED_VALUE"""),"Unknown")</f>
        <v>Unknown</v>
      </c>
      <c r="AA1129" s="1" t="str">
        <f>IFERROR(__xludf.DUMMYFUNCTION("""COMPUTED_VALUE"""),"")</f>
        <v/>
      </c>
      <c r="AB1129" s="1" t="str">
        <f>IFERROR(__xludf.DUMMYFUNCTION("""COMPUTED_VALUE"""),"")</f>
        <v/>
      </c>
      <c r="AC1129" s="1" t="str">
        <f>IFERROR(__xludf.DUMMYFUNCTION("""COMPUTED_VALUE"""),"")</f>
        <v/>
      </c>
      <c r="AD1129" s="1" t="str">
        <f>IFERROR(__xludf.DUMMYFUNCTION("""COMPUTED_VALUE"""),"")</f>
        <v/>
      </c>
      <c r="AE1129" s="1" t="str">
        <f>IFERROR(__xludf.DUMMYFUNCTION("""COMPUTED_VALUE"""),"")</f>
        <v/>
      </c>
      <c r="AF1129" s="1" t="str">
        <f>IFERROR(__xludf.DUMMYFUNCTION("""COMPUTED_VALUE"""),"")</f>
        <v/>
      </c>
      <c r="AG1129" s="1" t="str">
        <f>IFERROR(__xludf.DUMMYFUNCTION("""COMPUTED_VALUE"""),"Computer Center")</f>
        <v>Computer Center</v>
      </c>
      <c r="AH1129" s="1" t="str">
        <f>IFERROR(__xludf.DUMMYFUNCTION("""COMPUTED_VALUE"""),"PEC")</f>
        <v>PEC</v>
      </c>
      <c r="AI1129" s="1" t="str">
        <f>IFERROR(__xludf.DUMMYFUNCTION("""COMPUTED_VALUE"""),"")</f>
        <v/>
      </c>
      <c r="AJ1129" s="2" t="str">
        <f>IFERROR(__xludf.DUMMYFUNCTION("""COMPUTED_VALUE"""),"https://reparcelasmt.loudoun.gov/pt/datalets/datalet.aspx?mode=profileall&amp;UseSearch=no&amp;pin=061355894000&amp;jur=107&amp;taxyr=2024&amp;LMparent=20")</f>
        <v>https://reparcelasmt.loudoun.gov/pt/datalets/datalet.aspx?mode=profileall&amp;UseSearch=no&amp;pin=061355894000&amp;jur=107&amp;taxyr=2024&amp;LMparent=20</v>
      </c>
      <c r="AK1129" s="1" t="str">
        <f>IFERROR(__xludf.DUMMYFUNCTION("""COMPUTED_VALUE"""),"")</f>
        <v/>
      </c>
      <c r="AL1129" s="1" t="str">
        <f>IFERROR(__xludf.DUMMYFUNCTION("""COMPUTED_VALUE"""),"")</f>
        <v/>
      </c>
      <c r="AM1129" s="1" t="str">
        <f>IFERROR(__xludf.DUMMYFUNCTION("""COMPUTED_VALUE"""),"")</f>
        <v/>
      </c>
      <c r="AN1129" s="1" t="str">
        <f>IFERROR(__xludf.DUMMYFUNCTION("""COMPUTED_VALUE"""),"")</f>
        <v/>
      </c>
      <c r="AO1129" s="1" t="str">
        <f>IFERROR(__xludf.DUMMYFUNCTION("""COMPUTED_VALUE"""),"")</f>
        <v/>
      </c>
      <c r="AP1129" s="1" t="str">
        <f>IFERROR(__xludf.DUMMYFUNCTION("""COMPUTED_VALUE"""),"")</f>
        <v/>
      </c>
      <c r="AQ1129" s="1" t="str">
        <f>IFERROR(__xludf.DUMMYFUNCTION("""COMPUTED_VALUE"""),"04/10/2024")</f>
        <v>04/10/2024</v>
      </c>
      <c r="AR1129" s="1" t="str">
        <f>IFERROR(__xludf.DUMMYFUNCTION("""COMPUTED_VALUE"""),"10/17/2025")</f>
        <v>10/17/2025</v>
      </c>
    </row>
    <row r="1130">
      <c r="A1130" s="1" t="str">
        <f>IFERROR(__xludf.DUMMYFUNCTION("""COMPUTED_VALUE"""),"ALIGNED ENERGY DATA CENTERS ASHBURN")</f>
        <v>ALIGNED ENERGY DATA CENTERS ASHBURN</v>
      </c>
      <c r="B1130" s="1" t="str">
        <f>IFERROR(__xludf.DUMMYFUNCTION("""COMPUTED_VALUE"""),"21838 UUNET DR")</f>
        <v>21838 UUNET DR</v>
      </c>
      <c r="C1130" s="1" t="str">
        <f>IFERROR(__xludf.DUMMYFUNCTION("""COMPUTED_VALUE"""),"Ashburn")</f>
        <v>Ashburn</v>
      </c>
      <c r="D1130" s="1" t="str">
        <f>IFERROR(__xludf.DUMMYFUNCTION("""COMPUTED_VALUE"""),"VA")</f>
        <v>VA</v>
      </c>
      <c r="E1130" s="1" t="str">
        <f>IFERROR(__xludf.DUMMYFUNCTION("""COMPUTED_VALUE"""),"20147")</f>
        <v>20147</v>
      </c>
      <c r="F1130" s="1" t="str">
        <f>IFERROR(__xludf.DUMMYFUNCTION("""COMPUTED_VALUE"""),"Loudoun")</f>
        <v>Loudoun</v>
      </c>
      <c r="G1130" s="1" t="str">
        <f>IFERROR(__xludf.DUMMYFUNCTION("""COMPUTED_VALUE"""),"39.01321")</f>
        <v>39.01321</v>
      </c>
      <c r="H1130" s="1" t="str">
        <f>IFERROR(__xludf.DUMMYFUNCTION("""COMPUTED_VALUE"""),"-77.47297")</f>
        <v>-77.47297</v>
      </c>
      <c r="I1130" s="1" t="str">
        <f>IFERROR(__xludf.DUMMYFUNCTION("""COMPUTED_VALUE"""),"Operating")</f>
        <v>Operating</v>
      </c>
      <c r="J1130" s="1" t="str">
        <f>IFERROR(__xludf.DUMMYFUNCTION("""COMPUTED_VALUE"""),"High")</f>
        <v>High</v>
      </c>
      <c r="K1130" s="1" t="str">
        <f>IFERROR(__xludf.DUMMYFUNCTION("""COMPUTED_VALUE"""),"")</f>
        <v/>
      </c>
      <c r="L1130" s="1" t="str">
        <f>IFERROR(__xludf.DUMMYFUNCTION("""COMPUTED_VALUE"""),"Aligned Data Centers")</f>
        <v>Aligned Data Centers</v>
      </c>
      <c r="M1130" s="1" t="str">
        <f>IFERROR(__xludf.DUMMYFUNCTION("""COMPUTED_VALUE"""),"")</f>
        <v/>
      </c>
      <c r="N1130" s="1" t="str">
        <f>IFERROR(__xludf.DUMMYFUNCTION("""COMPUTED_VALUE"""),"")</f>
        <v/>
      </c>
      <c r="O1130" s="1" t="str">
        <f>IFERROR(__xludf.DUMMYFUNCTION("""COMPUTED_VALUE"""),"Unknown")</f>
        <v>Unknown</v>
      </c>
      <c r="P1130" s="1" t="str">
        <f>IFERROR(__xludf.DUMMYFUNCTION("""COMPUTED_VALUE"""),"")</f>
        <v/>
      </c>
      <c r="Q1130" s="1" t="str">
        <f>IFERROR(__xludf.DUMMYFUNCTION("""COMPUTED_VALUE"""),"")</f>
        <v/>
      </c>
      <c r="R1130" s="1" t="str">
        <f>IFERROR(__xludf.DUMMYFUNCTION("""COMPUTED_VALUE"""),"")</f>
        <v/>
      </c>
      <c r="S1130" s="1" t="str">
        <f>IFERROR(__xludf.DUMMYFUNCTION("""COMPUTED_VALUE"""),"")</f>
        <v/>
      </c>
      <c r="T1130" s="1" t="str">
        <f>IFERROR(__xludf.DUMMYFUNCTION("""COMPUTED_VALUE"""),"")</f>
        <v/>
      </c>
      <c r="U1130" s="1" t="str">
        <f>IFERROR(__xludf.DUMMYFUNCTION("""COMPUTED_VALUE"""),"")</f>
        <v/>
      </c>
      <c r="V1130" s="1" t="str">
        <f>IFERROR(__xludf.DUMMYFUNCTION("""COMPUTED_VALUE"""),"107,253")</f>
        <v>107,253</v>
      </c>
      <c r="W1130" s="1" t="str">
        <f>IFERROR(__xludf.DUMMYFUNCTION("""COMPUTED_VALUE"""),"6")</f>
        <v>6</v>
      </c>
      <c r="X1130" s="1" t="str">
        <f>IFERROR(__xludf.DUMMYFUNCTION("""COMPUTED_VALUE"""),"")</f>
        <v/>
      </c>
      <c r="Y1130" s="1" t="str">
        <f>IFERROR(__xludf.DUMMYFUNCTION("""COMPUTED_VALUE"""),"")</f>
        <v/>
      </c>
      <c r="Z1130" s="1" t="str">
        <f>IFERROR(__xludf.DUMMYFUNCTION("""COMPUTED_VALUE"""),"Unknown")</f>
        <v>Unknown</v>
      </c>
      <c r="AA1130" s="1" t="str">
        <f>IFERROR(__xludf.DUMMYFUNCTION("""COMPUTED_VALUE"""),"")</f>
        <v/>
      </c>
      <c r="AB1130" s="1" t="str">
        <f>IFERROR(__xludf.DUMMYFUNCTION("""COMPUTED_VALUE"""),"")</f>
        <v/>
      </c>
      <c r="AC1130" s="1" t="str">
        <f>IFERROR(__xludf.DUMMYFUNCTION("""COMPUTED_VALUE"""),"")</f>
        <v/>
      </c>
      <c r="AD1130" s="1" t="str">
        <f>IFERROR(__xludf.DUMMYFUNCTION("""COMPUTED_VALUE"""),"")</f>
        <v/>
      </c>
      <c r="AE1130" s="1" t="str">
        <f>IFERROR(__xludf.DUMMYFUNCTION("""COMPUTED_VALUE"""),"")</f>
        <v/>
      </c>
      <c r="AF1130" s="1" t="str">
        <f>IFERROR(__xludf.DUMMYFUNCTION("""COMPUTED_VALUE"""),"")</f>
        <v/>
      </c>
      <c r="AG1130" s="1" t="str">
        <f>IFERROR(__xludf.DUMMYFUNCTION("""COMPUTED_VALUE"""),"Project covers more than one parcel, the acreage represents the combined acreage")</f>
        <v>Project covers more than one parcel, the acreage represents the combined acreage</v>
      </c>
      <c r="AH1130" s="1" t="str">
        <f>IFERROR(__xludf.DUMMYFUNCTION("""COMPUTED_VALUE"""),"PEC")</f>
        <v>PEC</v>
      </c>
      <c r="AI1130" s="1" t="str">
        <f>IFERROR(__xludf.DUMMYFUNCTION("""COMPUTED_VALUE"""),"")</f>
        <v/>
      </c>
      <c r="AJ1130" s="2" t="str">
        <f>IFERROR(__xludf.DUMMYFUNCTION("""COMPUTED_VALUE"""),"https://reparcelasmt.loudoun.gov/pt/datalets/datalet.aspx?mode=profileall&amp;UseSearch=no&amp;pin=088205761000&amp;jur=107&amp;taxyr=2024&amp;LMparent=20")</f>
        <v>https://reparcelasmt.loudoun.gov/pt/datalets/datalet.aspx?mode=profileall&amp;UseSearch=no&amp;pin=088205761000&amp;jur=107&amp;taxyr=2024&amp;LMparent=20</v>
      </c>
      <c r="AK1130" s="1" t="str">
        <f>IFERROR(__xludf.DUMMYFUNCTION("""COMPUTED_VALUE"""),"")</f>
        <v/>
      </c>
      <c r="AL1130" s="1" t="str">
        <f>IFERROR(__xludf.DUMMYFUNCTION("""COMPUTED_VALUE"""),"")</f>
        <v/>
      </c>
      <c r="AM1130" s="1" t="str">
        <f>IFERROR(__xludf.DUMMYFUNCTION("""COMPUTED_VALUE"""),"")</f>
        <v/>
      </c>
      <c r="AN1130" s="1" t="str">
        <f>IFERROR(__xludf.DUMMYFUNCTION("""COMPUTED_VALUE"""),"")</f>
        <v/>
      </c>
      <c r="AO1130" s="1" t="str">
        <f>IFERROR(__xludf.DUMMYFUNCTION("""COMPUTED_VALUE"""),"")</f>
        <v/>
      </c>
      <c r="AP1130" s="1" t="str">
        <f>IFERROR(__xludf.DUMMYFUNCTION("""COMPUTED_VALUE"""),"")</f>
        <v/>
      </c>
      <c r="AQ1130" s="1" t="str">
        <f>IFERROR(__xludf.DUMMYFUNCTION("""COMPUTED_VALUE"""),"04/10/2024")</f>
        <v>04/10/2024</v>
      </c>
      <c r="AR1130" s="1" t="str">
        <f>IFERROR(__xludf.DUMMYFUNCTION("""COMPUTED_VALUE"""),"10/17/2025")</f>
        <v>10/17/2025</v>
      </c>
    </row>
    <row r="1131">
      <c r="A1131" s="1" t="str">
        <f>IFERROR(__xludf.DUMMYFUNCTION("""COMPUTED_VALUE"""),"ASH1-BRODERICK DC2")</f>
        <v>ASH1-BRODERICK DC2</v>
      </c>
      <c r="B1131" s="1" t="str">
        <f>IFERROR(__xludf.DUMMYFUNCTION("""COMPUTED_VALUE"""),"22280 RANDOLPH DR")</f>
        <v>22280 RANDOLPH DR</v>
      </c>
      <c r="C1131" s="1" t="str">
        <f>IFERROR(__xludf.DUMMYFUNCTION("""COMPUTED_VALUE"""),"Ashburn")</f>
        <v>Ashburn</v>
      </c>
      <c r="D1131" s="1" t="str">
        <f>IFERROR(__xludf.DUMMYFUNCTION("""COMPUTED_VALUE"""),"VA")</f>
        <v>VA</v>
      </c>
      <c r="E1131" s="1" t="str">
        <f>IFERROR(__xludf.DUMMYFUNCTION("""COMPUTED_VALUE"""),"20166")</f>
        <v>20166</v>
      </c>
      <c r="F1131" s="1" t="str">
        <f>IFERROR(__xludf.DUMMYFUNCTION("""COMPUTED_VALUE"""),"Loudoun")</f>
        <v>Loudoun</v>
      </c>
      <c r="G1131" s="1" t="str">
        <f>IFERROR(__xludf.DUMMYFUNCTION("""COMPUTED_VALUE"""),"38.99814")</f>
        <v>38.99814</v>
      </c>
      <c r="H1131" s="1" t="str">
        <f>IFERROR(__xludf.DUMMYFUNCTION("""COMPUTED_VALUE"""),"-77.44936")</f>
        <v>-77.44936</v>
      </c>
      <c r="I1131" s="1" t="str">
        <f>IFERROR(__xludf.DUMMYFUNCTION("""COMPUTED_VALUE"""),"Proposed")</f>
        <v>Proposed</v>
      </c>
      <c r="J1131" s="1" t="str">
        <f>IFERROR(__xludf.DUMMYFUNCTION("""COMPUTED_VALUE"""),"High")</f>
        <v>High</v>
      </c>
      <c r="K1131" s="1" t="str">
        <f>IFERROR(__xludf.DUMMYFUNCTION("""COMPUTED_VALUE"""),"")</f>
        <v/>
      </c>
      <c r="L1131" s="1" t="str">
        <f>IFERROR(__xludf.DUMMYFUNCTION("""COMPUTED_VALUE"""),"")</f>
        <v/>
      </c>
      <c r="M1131" s="1" t="str">
        <f>IFERROR(__xludf.DUMMYFUNCTION("""COMPUTED_VALUE"""),"")</f>
        <v/>
      </c>
      <c r="N1131" s="1" t="str">
        <f>IFERROR(__xludf.DUMMYFUNCTION("""COMPUTED_VALUE"""),"")</f>
        <v/>
      </c>
      <c r="O1131" s="1" t="str">
        <f>IFERROR(__xludf.DUMMYFUNCTION("""COMPUTED_VALUE"""),"Unknown")</f>
        <v>Unknown</v>
      </c>
      <c r="P1131" s="1" t="str">
        <f>IFERROR(__xludf.DUMMYFUNCTION("""COMPUTED_VALUE"""),"")</f>
        <v/>
      </c>
      <c r="Q1131" s="1" t="str">
        <f>IFERROR(__xludf.DUMMYFUNCTION("""COMPUTED_VALUE"""),"")</f>
        <v/>
      </c>
      <c r="R1131" s="1" t="str">
        <f>IFERROR(__xludf.DUMMYFUNCTION("""COMPUTED_VALUE"""),"")</f>
        <v/>
      </c>
      <c r="S1131" s="1" t="str">
        <f>IFERROR(__xludf.DUMMYFUNCTION("""COMPUTED_VALUE"""),"")</f>
        <v/>
      </c>
      <c r="T1131" s="1" t="str">
        <f>IFERROR(__xludf.DUMMYFUNCTION("""COMPUTED_VALUE"""),"")</f>
        <v/>
      </c>
      <c r="U1131" s="1" t="str">
        <f>IFERROR(__xludf.DUMMYFUNCTION("""COMPUTED_VALUE"""),"")</f>
        <v/>
      </c>
      <c r="V1131" s="1" t="str">
        <f>IFERROR(__xludf.DUMMYFUNCTION("""COMPUTED_VALUE"""),"189,890")</f>
        <v>189,890</v>
      </c>
      <c r="W1131" s="1" t="str">
        <f>IFERROR(__xludf.DUMMYFUNCTION("""COMPUTED_VALUE"""),"7")</f>
        <v>7</v>
      </c>
      <c r="X1131" s="1" t="str">
        <f>IFERROR(__xludf.DUMMYFUNCTION("""COMPUTED_VALUE"""),"")</f>
        <v/>
      </c>
      <c r="Y1131" s="1" t="str">
        <f>IFERROR(__xludf.DUMMYFUNCTION("""COMPUTED_VALUE"""),"")</f>
        <v/>
      </c>
      <c r="Z1131" s="1" t="str">
        <f>IFERROR(__xludf.DUMMYFUNCTION("""COMPUTED_VALUE"""),"Unknown")</f>
        <v>Unknown</v>
      </c>
      <c r="AA1131" s="1" t="str">
        <f>IFERROR(__xludf.DUMMYFUNCTION("""COMPUTED_VALUE"""),"")</f>
        <v/>
      </c>
      <c r="AB1131" s="1" t="str">
        <f>IFERROR(__xludf.DUMMYFUNCTION("""COMPUTED_VALUE"""),"")</f>
        <v/>
      </c>
      <c r="AC1131" s="1" t="str">
        <f>IFERROR(__xludf.DUMMYFUNCTION("""COMPUTED_VALUE"""),"")</f>
        <v/>
      </c>
      <c r="AD1131" s="1" t="str">
        <f>IFERROR(__xludf.DUMMYFUNCTION("""COMPUTED_VALUE"""),"")</f>
        <v/>
      </c>
      <c r="AE1131" s="1" t="str">
        <f>IFERROR(__xludf.DUMMYFUNCTION("""COMPUTED_VALUE"""),"")</f>
        <v/>
      </c>
      <c r="AF1131" s="1" t="str">
        <f>IFERROR(__xludf.DUMMYFUNCTION("""COMPUTED_VALUE"""),"")</f>
        <v/>
      </c>
      <c r="AG1131" s="1" t="str">
        <f>IFERROR(__xludf.DUMMYFUNCTION("""COMPUTED_VALUE"""),"")</f>
        <v/>
      </c>
      <c r="AH1131" s="1" t="str">
        <f>IFERROR(__xludf.DUMMYFUNCTION("""COMPUTED_VALUE"""),"PEC")</f>
        <v>PEC</v>
      </c>
      <c r="AI1131" s="2" t="str">
        <f>IFERROR(__xludf.DUMMYFUNCTION("""COMPUTED_VALUE"""),"https://loudouncountyvaeg.tylerhost.net/prod/selfservice#/plan/4501aa59-679f-4081-89ab-1b1324e19725?tab=attachments")</f>
        <v>https://loudouncountyvaeg.tylerhost.net/prod/selfservice#/plan/4501aa59-679f-4081-89ab-1b1324e19725?tab=attachments</v>
      </c>
      <c r="AJ1131" s="2" t="str">
        <f>IFERROR(__xludf.DUMMYFUNCTION("""COMPUTED_VALUE"""),"https://reparcelasmt.loudoun.gov/pt/datalets/datalet.aspx?mode=profileall&amp;UseSearch=no&amp;pin=044155625000&amp;jur=107&amp;taxyr=2025&amp;LMparent=20")</f>
        <v>https://reparcelasmt.loudoun.gov/pt/datalets/datalet.aspx?mode=profileall&amp;UseSearch=no&amp;pin=044155625000&amp;jur=107&amp;taxyr=2025&amp;LMparent=20</v>
      </c>
      <c r="AK1131" s="1" t="str">
        <f>IFERROR(__xludf.DUMMYFUNCTION("""COMPUTED_VALUE"""),"")</f>
        <v/>
      </c>
      <c r="AL1131" s="1" t="str">
        <f>IFERROR(__xludf.DUMMYFUNCTION("""COMPUTED_VALUE"""),"")</f>
        <v/>
      </c>
      <c r="AM1131" s="1" t="str">
        <f>IFERROR(__xludf.DUMMYFUNCTION("""COMPUTED_VALUE"""),"")</f>
        <v/>
      </c>
      <c r="AN1131" s="1" t="str">
        <f>IFERROR(__xludf.DUMMYFUNCTION("""COMPUTED_VALUE"""),"")</f>
        <v/>
      </c>
      <c r="AO1131" s="1" t="str">
        <f>IFERROR(__xludf.DUMMYFUNCTION("""COMPUTED_VALUE"""),"")</f>
        <v/>
      </c>
      <c r="AP1131" s="1" t="str">
        <f>IFERROR(__xludf.DUMMYFUNCTION("""COMPUTED_VALUE"""),"")</f>
        <v/>
      </c>
      <c r="AQ1131" s="1" t="str">
        <f>IFERROR(__xludf.DUMMYFUNCTION("""COMPUTED_VALUE"""),"08/08/2025")</f>
        <v>08/08/2025</v>
      </c>
      <c r="AR1131" s="1" t="str">
        <f>IFERROR(__xludf.DUMMYFUNCTION("""COMPUTED_VALUE"""),"10/17/2025")</f>
        <v>10/17/2025</v>
      </c>
    </row>
    <row r="1132">
      <c r="A1132" s="1" t="str">
        <f>IFERROR(__xludf.DUMMYFUNCTION("""COMPUTED_VALUE"""),"ASH3 DC2")</f>
        <v>ASH3 DC2</v>
      </c>
      <c r="B1132" s="1" t="str">
        <f>IFERROR(__xludf.DUMMYFUNCTION("""COMPUTED_VALUE"""),"22271 SHELLHORN RD")</f>
        <v>22271 SHELLHORN RD</v>
      </c>
      <c r="C1132" s="1" t="str">
        <f>IFERROR(__xludf.DUMMYFUNCTION("""COMPUTED_VALUE"""),"Ashburn")</f>
        <v>Ashburn</v>
      </c>
      <c r="D1132" s="1" t="str">
        <f>IFERROR(__xludf.DUMMYFUNCTION("""COMPUTED_VALUE"""),"VA")</f>
        <v>VA</v>
      </c>
      <c r="E1132" s="1" t="str">
        <f>IFERROR(__xludf.DUMMYFUNCTION("""COMPUTED_VALUE"""),"20147")</f>
        <v>20147</v>
      </c>
      <c r="F1132" s="1" t="str">
        <f>IFERROR(__xludf.DUMMYFUNCTION("""COMPUTED_VALUE"""),"Loudoun")</f>
        <v>Loudoun</v>
      </c>
      <c r="G1132" s="1" t="str">
        <f>IFERROR(__xludf.DUMMYFUNCTION("""COMPUTED_VALUE"""),"38.998657")</f>
        <v>38.998657</v>
      </c>
      <c r="H1132" s="1" t="str">
        <f>IFERROR(__xludf.DUMMYFUNCTION("""COMPUTED_VALUE"""),"-77.47419")</f>
        <v>-77.47419</v>
      </c>
      <c r="I1132" s="1" t="str">
        <f>IFERROR(__xludf.DUMMYFUNCTION("""COMPUTED_VALUE"""),"Operating")</f>
        <v>Operating</v>
      </c>
      <c r="J1132" s="1" t="str">
        <f>IFERROR(__xludf.DUMMYFUNCTION("""COMPUTED_VALUE"""),"High")</f>
        <v>High</v>
      </c>
      <c r="K1132" s="1" t="str">
        <f>IFERROR(__xludf.DUMMYFUNCTION("""COMPUTED_VALUE"""),"")</f>
        <v/>
      </c>
      <c r="L1132" s="1" t="str">
        <f>IFERROR(__xludf.DUMMYFUNCTION("""COMPUTED_VALUE"""),"QTS Data Centers")</f>
        <v>QTS Data Centers</v>
      </c>
      <c r="M1132" s="1" t="str">
        <f>IFERROR(__xludf.DUMMYFUNCTION("""COMPUTED_VALUE"""),"")</f>
        <v/>
      </c>
      <c r="N1132" s="1" t="str">
        <f>IFERROR(__xludf.DUMMYFUNCTION("""COMPUTED_VALUE"""),"")</f>
        <v/>
      </c>
      <c r="O1132" s="1" t="str">
        <f>IFERROR(__xludf.DUMMYFUNCTION("""COMPUTED_VALUE"""),"Unknown")</f>
        <v>Unknown</v>
      </c>
      <c r="P1132" s="1" t="str">
        <f>IFERROR(__xludf.DUMMYFUNCTION("""COMPUTED_VALUE"""),"")</f>
        <v/>
      </c>
      <c r="Q1132" s="1" t="str">
        <f>IFERROR(__xludf.DUMMYFUNCTION("""COMPUTED_VALUE"""),"")</f>
        <v/>
      </c>
      <c r="R1132" s="1" t="str">
        <f>IFERROR(__xludf.DUMMYFUNCTION("""COMPUTED_VALUE"""),"")</f>
        <v/>
      </c>
      <c r="S1132" s="1" t="str">
        <f>IFERROR(__xludf.DUMMYFUNCTION("""COMPUTED_VALUE"""),"")</f>
        <v/>
      </c>
      <c r="T1132" s="1" t="str">
        <f>IFERROR(__xludf.DUMMYFUNCTION("""COMPUTED_VALUE"""),"")</f>
        <v/>
      </c>
      <c r="U1132" s="1" t="str">
        <f>IFERROR(__xludf.DUMMYFUNCTION("""COMPUTED_VALUE"""),"")</f>
        <v/>
      </c>
      <c r="V1132" s="1" t="str">
        <f>IFERROR(__xludf.DUMMYFUNCTION("""COMPUTED_VALUE"""),"302,180")</f>
        <v>302,180</v>
      </c>
      <c r="W1132" s="1" t="str">
        <f>IFERROR(__xludf.DUMMYFUNCTION("""COMPUTED_VALUE"""),"11")</f>
        <v>11</v>
      </c>
      <c r="X1132" s="1" t="str">
        <f>IFERROR(__xludf.DUMMYFUNCTION("""COMPUTED_VALUE"""),"")</f>
        <v/>
      </c>
      <c r="Y1132" s="1" t="str">
        <f>IFERROR(__xludf.DUMMYFUNCTION("""COMPUTED_VALUE"""),"")</f>
        <v/>
      </c>
      <c r="Z1132" s="1" t="str">
        <f>IFERROR(__xludf.DUMMYFUNCTION("""COMPUTED_VALUE"""),"Unknown")</f>
        <v>Unknown</v>
      </c>
      <c r="AA1132" s="1" t="str">
        <f>IFERROR(__xludf.DUMMYFUNCTION("""COMPUTED_VALUE"""),"")</f>
        <v/>
      </c>
      <c r="AB1132" s="1" t="str">
        <f>IFERROR(__xludf.DUMMYFUNCTION("""COMPUTED_VALUE"""),"")</f>
        <v/>
      </c>
      <c r="AC1132" s="1" t="str">
        <f>IFERROR(__xludf.DUMMYFUNCTION("""COMPUTED_VALUE"""),"")</f>
        <v/>
      </c>
      <c r="AD1132" s="1" t="str">
        <f>IFERROR(__xludf.DUMMYFUNCTION("""COMPUTED_VALUE"""),"")</f>
        <v/>
      </c>
      <c r="AE1132" s="1" t="str">
        <f>IFERROR(__xludf.DUMMYFUNCTION("""COMPUTED_VALUE"""),"")</f>
        <v/>
      </c>
      <c r="AF1132" s="1" t="str">
        <f>IFERROR(__xludf.DUMMYFUNCTION("""COMPUTED_VALUE"""),"")</f>
        <v/>
      </c>
      <c r="AG1132" s="1" t="str">
        <f>IFERROR(__xludf.DUMMYFUNCTION("""COMPUTED_VALUE"""),"Computer Center")</f>
        <v>Computer Center</v>
      </c>
      <c r="AH1132" s="1" t="str">
        <f>IFERROR(__xludf.DUMMYFUNCTION("""COMPUTED_VALUE"""),"PEC")</f>
        <v>PEC</v>
      </c>
      <c r="AI1132" s="1" t="str">
        <f>IFERROR(__xludf.DUMMYFUNCTION("""COMPUTED_VALUE"""),"")</f>
        <v/>
      </c>
      <c r="AJ1132" s="2" t="str">
        <f>IFERROR(__xludf.DUMMYFUNCTION("""COMPUTED_VALUE"""),"https://reparcelasmt.loudoun.gov/pt/datalets/datalet.aspx?mode=profileall&amp;UseSearch=no&amp;pin=089104437000&amp;jur=107&amp;taxyr=2024&amp;LMparent=20")</f>
        <v>https://reparcelasmt.loudoun.gov/pt/datalets/datalet.aspx?mode=profileall&amp;UseSearch=no&amp;pin=089104437000&amp;jur=107&amp;taxyr=2024&amp;LMparent=20</v>
      </c>
      <c r="AK1132" s="1" t="str">
        <f>IFERROR(__xludf.DUMMYFUNCTION("""COMPUTED_VALUE"""),"")</f>
        <v/>
      </c>
      <c r="AL1132" s="1" t="str">
        <f>IFERROR(__xludf.DUMMYFUNCTION("""COMPUTED_VALUE"""),"")</f>
        <v/>
      </c>
      <c r="AM1132" s="1" t="str">
        <f>IFERROR(__xludf.DUMMYFUNCTION("""COMPUTED_VALUE"""),"")</f>
        <v/>
      </c>
      <c r="AN1132" s="1" t="str">
        <f>IFERROR(__xludf.DUMMYFUNCTION("""COMPUTED_VALUE"""),"")</f>
        <v/>
      </c>
      <c r="AO1132" s="1" t="str">
        <f>IFERROR(__xludf.DUMMYFUNCTION("""COMPUTED_VALUE"""),"")</f>
        <v/>
      </c>
      <c r="AP1132" s="1" t="str">
        <f>IFERROR(__xludf.DUMMYFUNCTION("""COMPUTED_VALUE"""),"")</f>
        <v/>
      </c>
      <c r="AQ1132" s="1" t="str">
        <f>IFERROR(__xludf.DUMMYFUNCTION("""COMPUTED_VALUE"""),"04/10/2024")</f>
        <v>04/10/2024</v>
      </c>
      <c r="AR1132" s="1" t="str">
        <f>IFERROR(__xludf.DUMMYFUNCTION("""COMPUTED_VALUE"""),"10/17/2025")</f>
        <v>10/17/2025</v>
      </c>
    </row>
    <row r="1133">
      <c r="A1133" s="1" t="str">
        <f>IFERROR(__xludf.DUMMYFUNCTION("""COMPUTED_VALUE"""),"Ashburn Data Center")</f>
        <v>Ashburn Data Center</v>
      </c>
      <c r="B1133" s="1" t="str">
        <f>IFERROR(__xludf.DUMMYFUNCTION("""COMPUTED_VALUE"""),"21300 COACH GIBBS DR")</f>
        <v>21300 COACH GIBBS DR</v>
      </c>
      <c r="C1133" s="1" t="str">
        <f>IFERROR(__xludf.DUMMYFUNCTION("""COMPUTED_VALUE"""),"Ashburn")</f>
        <v>Ashburn</v>
      </c>
      <c r="D1133" s="1" t="str">
        <f>IFERROR(__xludf.DUMMYFUNCTION("""COMPUTED_VALUE"""),"VA")</f>
        <v>VA</v>
      </c>
      <c r="E1133" s="1" t="str">
        <f>IFERROR(__xludf.DUMMYFUNCTION("""COMPUTED_VALUE"""),"20147")</f>
        <v>20147</v>
      </c>
      <c r="F1133" s="1" t="str">
        <f>IFERROR(__xludf.DUMMYFUNCTION("""COMPUTED_VALUE"""),"Loudoun")</f>
        <v>Loudoun</v>
      </c>
      <c r="G1133" s="1" t="str">
        <f>IFERROR(__xludf.DUMMYFUNCTION("""COMPUTED_VALUE"""),"39.02697")</f>
        <v>39.02697</v>
      </c>
      <c r="H1133" s="1" t="str">
        <f>IFERROR(__xludf.DUMMYFUNCTION("""COMPUTED_VALUE"""),"-77.44413")</f>
        <v>-77.44413</v>
      </c>
      <c r="I1133" s="1" t="str">
        <f>IFERROR(__xludf.DUMMYFUNCTION("""COMPUTED_VALUE"""),"Proposed")</f>
        <v>Proposed</v>
      </c>
      <c r="J1133" s="1" t="str">
        <f>IFERROR(__xludf.DUMMYFUNCTION("""COMPUTED_VALUE"""),"High")</f>
        <v>High</v>
      </c>
      <c r="K1133" s="1" t="str">
        <f>IFERROR(__xludf.DUMMYFUNCTION("""COMPUTED_VALUE"""),"")</f>
        <v/>
      </c>
      <c r="L1133" s="1" t="str">
        <f>IFERROR(__xludf.DUMMYFUNCTION("""COMPUTED_VALUE"""),"")</f>
        <v/>
      </c>
      <c r="M1133" s="1" t="str">
        <f>IFERROR(__xludf.DUMMYFUNCTION("""COMPUTED_VALUE"""),"")</f>
        <v/>
      </c>
      <c r="N1133" s="1" t="str">
        <f>IFERROR(__xludf.DUMMYFUNCTION("""COMPUTED_VALUE"""),"")</f>
        <v/>
      </c>
      <c r="O1133" s="1" t="str">
        <f>IFERROR(__xludf.DUMMYFUNCTION("""COMPUTED_VALUE"""),"Unknown")</f>
        <v>Unknown</v>
      </c>
      <c r="P1133" s="1" t="str">
        <f>IFERROR(__xludf.DUMMYFUNCTION("""COMPUTED_VALUE"""),"")</f>
        <v/>
      </c>
      <c r="Q1133" s="1" t="str">
        <f>IFERROR(__xludf.DUMMYFUNCTION("""COMPUTED_VALUE"""),"")</f>
        <v/>
      </c>
      <c r="R1133" s="1" t="str">
        <f>IFERROR(__xludf.DUMMYFUNCTION("""COMPUTED_VALUE"""),"")</f>
        <v/>
      </c>
      <c r="S1133" s="1" t="str">
        <f>IFERROR(__xludf.DUMMYFUNCTION("""COMPUTED_VALUE"""),"")</f>
        <v/>
      </c>
      <c r="T1133" s="1" t="str">
        <f>IFERROR(__xludf.DUMMYFUNCTION("""COMPUTED_VALUE"""),"")</f>
        <v/>
      </c>
      <c r="U1133" s="1" t="str">
        <f>IFERROR(__xludf.DUMMYFUNCTION("""COMPUTED_VALUE"""),"")</f>
        <v/>
      </c>
      <c r="V1133" s="1" t="str">
        <f>IFERROR(__xludf.DUMMYFUNCTION("""COMPUTED_VALUE"""),"1,176,000")</f>
        <v>1,176,000</v>
      </c>
      <c r="W1133" s="1" t="str">
        <f>IFERROR(__xludf.DUMMYFUNCTION("""COMPUTED_VALUE"""),"44")</f>
        <v>44</v>
      </c>
      <c r="X1133" s="1" t="str">
        <f>IFERROR(__xludf.DUMMYFUNCTION("""COMPUTED_VALUE"""),"")</f>
        <v/>
      </c>
      <c r="Y1133" s="1" t="str">
        <f>IFERROR(__xludf.DUMMYFUNCTION("""COMPUTED_VALUE"""),"")</f>
        <v/>
      </c>
      <c r="Z1133" s="1" t="str">
        <f>IFERROR(__xludf.DUMMYFUNCTION("""COMPUTED_VALUE"""),"Unknown")</f>
        <v>Unknown</v>
      </c>
      <c r="AA1133" s="1" t="str">
        <f>IFERROR(__xludf.DUMMYFUNCTION("""COMPUTED_VALUE"""),"")</f>
        <v/>
      </c>
      <c r="AB1133" s="1" t="str">
        <f>IFERROR(__xludf.DUMMYFUNCTION("""COMPUTED_VALUE"""),"")</f>
        <v/>
      </c>
      <c r="AC1133" s="1" t="str">
        <f>IFERROR(__xludf.DUMMYFUNCTION("""COMPUTED_VALUE"""),"")</f>
        <v/>
      </c>
      <c r="AD1133" s="1" t="str">
        <f>IFERROR(__xludf.DUMMYFUNCTION("""COMPUTED_VALUE"""),"")</f>
        <v/>
      </c>
      <c r="AE1133" s="1" t="str">
        <f>IFERROR(__xludf.DUMMYFUNCTION("""COMPUTED_VALUE"""),"")</f>
        <v/>
      </c>
      <c r="AF1133" s="1" t="str">
        <f>IFERROR(__xludf.DUMMYFUNCTION("""COMPUTED_VALUE"""),"")</f>
        <v/>
      </c>
      <c r="AG1133" s="1" t="str">
        <f>IFERROR(__xludf.DUMMYFUNCTION("""COMPUTED_VALUE"""),"Former site of the Washington Commanders training facility")</f>
        <v>Former site of the Washington Commanders training facility</v>
      </c>
      <c r="AH1133" s="1" t="str">
        <f>IFERROR(__xludf.DUMMYFUNCTION("""COMPUTED_VALUE"""),"PEC")</f>
        <v>PEC</v>
      </c>
      <c r="AI1133" s="2" t="str">
        <f>IFERROR(__xludf.DUMMYFUNCTION("""COMPUTED_VALUE"""),"https://loudouncountyvaeg.tylerhost.net/prod/selfservice#/plan/f2ea6049-532c-4cf9-b48c-f45534a9f87d?tab=attachments")</f>
        <v>https://loudouncountyvaeg.tylerhost.net/prod/selfservice#/plan/f2ea6049-532c-4cf9-b48c-f45534a9f87d?tab=attachments</v>
      </c>
      <c r="AJ1133" s="2" t="str">
        <f>IFERROR(__xludf.DUMMYFUNCTION("""COMPUTED_VALUE"""),"https://reparcelasmt.loudoun.gov/pt/Datalets/Datalet.aspx?UseSearch=no&amp;mode=profileall&amp;pin=042363888000&amp;jur=107&amp;taxyr=2025")</f>
        <v>https://reparcelasmt.loudoun.gov/pt/Datalets/Datalet.aspx?UseSearch=no&amp;mode=profileall&amp;pin=042363888000&amp;jur=107&amp;taxyr=2025</v>
      </c>
      <c r="AK1133" s="1" t="str">
        <f>IFERROR(__xludf.DUMMYFUNCTION("""COMPUTED_VALUE"""),"")</f>
        <v/>
      </c>
      <c r="AL1133" s="1" t="str">
        <f>IFERROR(__xludf.DUMMYFUNCTION("""COMPUTED_VALUE"""),"")</f>
        <v/>
      </c>
      <c r="AM1133" s="1" t="str">
        <f>IFERROR(__xludf.DUMMYFUNCTION("""COMPUTED_VALUE"""),"")</f>
        <v/>
      </c>
      <c r="AN1133" s="1" t="str">
        <f>IFERROR(__xludf.DUMMYFUNCTION("""COMPUTED_VALUE"""),"")</f>
        <v/>
      </c>
      <c r="AO1133" s="1" t="str">
        <f>IFERROR(__xludf.DUMMYFUNCTION("""COMPUTED_VALUE"""),"")</f>
        <v/>
      </c>
      <c r="AP1133" s="1" t="str">
        <f>IFERROR(__xludf.DUMMYFUNCTION("""COMPUTED_VALUE"""),"")</f>
        <v/>
      </c>
      <c r="AQ1133" s="1" t="str">
        <f>IFERROR(__xludf.DUMMYFUNCTION("""COMPUTED_VALUE"""),"08/10/2025")</f>
        <v>08/10/2025</v>
      </c>
      <c r="AR1133" s="1" t="str">
        <f>IFERROR(__xludf.DUMMYFUNCTION("""COMPUTED_VALUE"""),"10/17/2025")</f>
        <v>10/17/2025</v>
      </c>
    </row>
    <row r="1134">
      <c r="A1134" s="1" t="str">
        <f>IFERROR(__xludf.DUMMYFUNCTION("""COMPUTED_VALUE"""),"BCORE COPT DC-15")</f>
        <v>BCORE COPT DC-15</v>
      </c>
      <c r="B1134" s="1" t="str">
        <f>IFERROR(__xludf.DUMMYFUNCTION("""COMPUTED_VALUE"""),"44862 INTERCONNECTION PL")</f>
        <v>44862 INTERCONNECTION PL</v>
      </c>
      <c r="C1134" s="1" t="str">
        <f>IFERROR(__xludf.DUMMYFUNCTION("""COMPUTED_VALUE"""),"Ashburn")</f>
        <v>Ashburn</v>
      </c>
      <c r="D1134" s="1" t="str">
        <f>IFERROR(__xludf.DUMMYFUNCTION("""COMPUTED_VALUE"""),"VA")</f>
        <v>VA</v>
      </c>
      <c r="E1134" s="1" t="str">
        <f>IFERROR(__xludf.DUMMYFUNCTION("""COMPUTED_VALUE"""),"20147")</f>
        <v>20147</v>
      </c>
      <c r="F1134" s="1" t="str">
        <f>IFERROR(__xludf.DUMMYFUNCTION("""COMPUTED_VALUE"""),"Loudoun")</f>
        <v>Loudoun</v>
      </c>
      <c r="G1134" s="1" t="str">
        <f>IFERROR(__xludf.DUMMYFUNCTION("""COMPUTED_VALUE"""),"39.026398")</f>
        <v>39.026398</v>
      </c>
      <c r="H1134" s="1" t="str">
        <f>IFERROR(__xludf.DUMMYFUNCTION("""COMPUTED_VALUE"""),"-77.45115")</f>
        <v>-77.45115</v>
      </c>
      <c r="I1134" s="1" t="str">
        <f>IFERROR(__xludf.DUMMYFUNCTION("""COMPUTED_VALUE"""),"Operating")</f>
        <v>Operating</v>
      </c>
      <c r="J1134" s="1" t="str">
        <f>IFERROR(__xludf.DUMMYFUNCTION("""COMPUTED_VALUE"""),"High")</f>
        <v>High</v>
      </c>
      <c r="K1134" s="1" t="str">
        <f>IFERROR(__xludf.DUMMYFUNCTION("""COMPUTED_VALUE"""),"")</f>
        <v/>
      </c>
      <c r="L1134" s="1" t="str">
        <f>IFERROR(__xludf.DUMMYFUNCTION("""COMPUTED_VALUE"""),"BCORE COPT DC-15 LLC")</f>
        <v>BCORE COPT DC-15 LLC</v>
      </c>
      <c r="M1134" s="1" t="str">
        <f>IFERROR(__xludf.DUMMYFUNCTION("""COMPUTED_VALUE"""),"")</f>
        <v/>
      </c>
      <c r="N1134" s="1" t="str">
        <f>IFERROR(__xludf.DUMMYFUNCTION("""COMPUTED_VALUE"""),"")</f>
        <v/>
      </c>
      <c r="O1134" s="1" t="str">
        <f>IFERROR(__xludf.DUMMYFUNCTION("""COMPUTED_VALUE"""),"Unknown")</f>
        <v>Unknown</v>
      </c>
      <c r="P1134" s="1" t="str">
        <f>IFERROR(__xludf.DUMMYFUNCTION("""COMPUTED_VALUE"""),"")</f>
        <v/>
      </c>
      <c r="Q1134" s="1" t="str">
        <f>IFERROR(__xludf.DUMMYFUNCTION("""COMPUTED_VALUE"""),"")</f>
        <v/>
      </c>
      <c r="R1134" s="1" t="str">
        <f>IFERROR(__xludf.DUMMYFUNCTION("""COMPUTED_VALUE"""),"")</f>
        <v/>
      </c>
      <c r="S1134" s="1" t="str">
        <f>IFERROR(__xludf.DUMMYFUNCTION("""COMPUTED_VALUE"""),"")</f>
        <v/>
      </c>
      <c r="T1134" s="1" t="str">
        <f>IFERROR(__xludf.DUMMYFUNCTION("""COMPUTED_VALUE"""),"")</f>
        <v/>
      </c>
      <c r="U1134" s="1" t="str">
        <f>IFERROR(__xludf.DUMMYFUNCTION("""COMPUTED_VALUE"""),"")</f>
        <v/>
      </c>
      <c r="V1134" s="1" t="str">
        <f>IFERROR(__xludf.DUMMYFUNCTION("""COMPUTED_VALUE"""),"446,732")</f>
        <v>446,732</v>
      </c>
      <c r="W1134" s="1" t="str">
        <f>IFERROR(__xludf.DUMMYFUNCTION("""COMPUTED_VALUE"""),"38")</f>
        <v>38</v>
      </c>
      <c r="X1134" s="1" t="str">
        <f>IFERROR(__xludf.DUMMYFUNCTION("""COMPUTED_VALUE"""),"")</f>
        <v/>
      </c>
      <c r="Y1134" s="1" t="str">
        <f>IFERROR(__xludf.DUMMYFUNCTION("""COMPUTED_VALUE"""),"")</f>
        <v/>
      </c>
      <c r="Z1134" s="1" t="str">
        <f>IFERROR(__xludf.DUMMYFUNCTION("""COMPUTED_VALUE"""),"Unknown")</f>
        <v>Unknown</v>
      </c>
      <c r="AA1134" s="1" t="str">
        <f>IFERROR(__xludf.DUMMYFUNCTION("""COMPUTED_VALUE"""),"")</f>
        <v/>
      </c>
      <c r="AB1134" s="1" t="str">
        <f>IFERROR(__xludf.DUMMYFUNCTION("""COMPUTED_VALUE"""),"")</f>
        <v/>
      </c>
      <c r="AC1134" s="1" t="str">
        <f>IFERROR(__xludf.DUMMYFUNCTION("""COMPUTED_VALUE"""),"")</f>
        <v/>
      </c>
      <c r="AD1134" s="1" t="str">
        <f>IFERROR(__xludf.DUMMYFUNCTION("""COMPUTED_VALUE"""),"")</f>
        <v/>
      </c>
      <c r="AE1134" s="1" t="str">
        <f>IFERROR(__xludf.DUMMYFUNCTION("""COMPUTED_VALUE"""),"")</f>
        <v/>
      </c>
      <c r="AF1134" s="1" t="str">
        <f>IFERROR(__xludf.DUMMYFUNCTION("""COMPUTED_VALUE"""),"")</f>
        <v/>
      </c>
      <c r="AG1134" s="1" t="str">
        <f>IFERROR(__xludf.DUMMYFUNCTION("""COMPUTED_VALUE"""),"Shown as ""Storage Warehouse""")</f>
        <v>Shown as "Storage Warehouse"</v>
      </c>
      <c r="AH1134" s="1" t="str">
        <f>IFERROR(__xludf.DUMMYFUNCTION("""COMPUTED_VALUE"""),"PEC")</f>
        <v>PEC</v>
      </c>
      <c r="AI1134" s="1" t="str">
        <f>IFERROR(__xludf.DUMMYFUNCTION("""COMPUTED_VALUE"""),"")</f>
        <v/>
      </c>
      <c r="AJ1134" s="2" t="str">
        <f>IFERROR(__xludf.DUMMYFUNCTION("""COMPUTED_VALUE"""),"https://reparcelasmt.loudoun.gov/pt/Datalets/Datalet.aspx?UseSearch=no&amp;mode=profileall&amp;pin=060307119000&amp;jur=107&amp;taxyr=2024")</f>
        <v>https://reparcelasmt.loudoun.gov/pt/Datalets/Datalet.aspx?UseSearch=no&amp;mode=profileall&amp;pin=060307119000&amp;jur=107&amp;taxyr=2024</v>
      </c>
      <c r="AK1134" s="1" t="str">
        <f>IFERROR(__xludf.DUMMYFUNCTION("""COMPUTED_VALUE"""),"")</f>
        <v/>
      </c>
      <c r="AL1134" s="1" t="str">
        <f>IFERROR(__xludf.DUMMYFUNCTION("""COMPUTED_VALUE"""),"")</f>
        <v/>
      </c>
      <c r="AM1134" s="1" t="str">
        <f>IFERROR(__xludf.DUMMYFUNCTION("""COMPUTED_VALUE"""),"")</f>
        <v/>
      </c>
      <c r="AN1134" s="1" t="str">
        <f>IFERROR(__xludf.DUMMYFUNCTION("""COMPUTED_VALUE"""),"")</f>
        <v/>
      </c>
      <c r="AO1134" s="1" t="str">
        <f>IFERROR(__xludf.DUMMYFUNCTION("""COMPUTED_VALUE"""),"")</f>
        <v/>
      </c>
      <c r="AP1134" s="1" t="str">
        <f>IFERROR(__xludf.DUMMYFUNCTION("""COMPUTED_VALUE"""),"")</f>
        <v/>
      </c>
      <c r="AQ1134" s="1" t="str">
        <f>IFERROR(__xludf.DUMMYFUNCTION("""COMPUTED_VALUE"""),"04/10/2024")</f>
        <v>04/10/2024</v>
      </c>
      <c r="AR1134" s="1" t="str">
        <f>IFERROR(__xludf.DUMMYFUNCTION("""COMPUTED_VALUE"""),"10/17/2025")</f>
        <v>10/17/2025</v>
      </c>
    </row>
    <row r="1135">
      <c r="A1135" s="1" t="str">
        <f>IFERROR(__xludf.DUMMYFUNCTION("""COMPUTED_VALUE"""),"BEAUMEADE LC PHASE III LLC")</f>
        <v>BEAUMEADE LC PHASE III LLC</v>
      </c>
      <c r="B1135" s="1" t="str">
        <f>IFERROR(__xludf.DUMMYFUNCTION("""COMPUTED_VALUE"""),"20935 LOUDOUN COUNTY PKWY")</f>
        <v>20935 LOUDOUN COUNTY PKWY</v>
      </c>
      <c r="C1135" s="1" t="str">
        <f>IFERROR(__xludf.DUMMYFUNCTION("""COMPUTED_VALUE"""),"Ashburn")</f>
        <v>Ashburn</v>
      </c>
      <c r="D1135" s="1" t="str">
        <f>IFERROR(__xludf.DUMMYFUNCTION("""COMPUTED_VALUE"""),"VA")</f>
        <v>VA</v>
      </c>
      <c r="E1135" s="1" t="str">
        <f>IFERROR(__xludf.DUMMYFUNCTION("""COMPUTED_VALUE"""),"20147")</f>
        <v>20147</v>
      </c>
      <c r="F1135" s="1" t="str">
        <f>IFERROR(__xludf.DUMMYFUNCTION("""COMPUTED_VALUE"""),"Loudoun")</f>
        <v>Loudoun</v>
      </c>
      <c r="G1135" s="1" t="str">
        <f>IFERROR(__xludf.DUMMYFUNCTION("""COMPUTED_VALUE"""),"39.03638")</f>
        <v>39.03638</v>
      </c>
      <c r="H1135" s="1" t="str">
        <f>IFERROR(__xludf.DUMMYFUNCTION("""COMPUTED_VALUE"""),"-77.44979")</f>
        <v>-77.44979</v>
      </c>
      <c r="I1135" s="1" t="str">
        <f>IFERROR(__xludf.DUMMYFUNCTION("""COMPUTED_VALUE"""),"Operating")</f>
        <v>Operating</v>
      </c>
      <c r="J1135" s="1" t="str">
        <f>IFERROR(__xludf.DUMMYFUNCTION("""COMPUTED_VALUE"""),"High")</f>
        <v>High</v>
      </c>
      <c r="K1135" s="1" t="str">
        <f>IFERROR(__xludf.DUMMYFUNCTION("""COMPUTED_VALUE"""),"")</f>
        <v/>
      </c>
      <c r="L1135" s="1" t="str">
        <f>IFERROR(__xludf.DUMMYFUNCTION("""COMPUTED_VALUE"""),"BEAUMEADE LC PHASE III LLC")</f>
        <v>BEAUMEADE LC PHASE III LLC</v>
      </c>
      <c r="M1135" s="1" t="str">
        <f>IFERROR(__xludf.DUMMYFUNCTION("""COMPUTED_VALUE"""),"")</f>
        <v/>
      </c>
      <c r="N1135" s="1" t="str">
        <f>IFERROR(__xludf.DUMMYFUNCTION("""COMPUTED_VALUE"""),"")</f>
        <v/>
      </c>
      <c r="O1135" s="1" t="str">
        <f>IFERROR(__xludf.DUMMYFUNCTION("""COMPUTED_VALUE"""),"Unknown")</f>
        <v>Unknown</v>
      </c>
      <c r="P1135" s="1" t="str">
        <f>IFERROR(__xludf.DUMMYFUNCTION("""COMPUTED_VALUE"""),"")</f>
        <v/>
      </c>
      <c r="Q1135" s="1" t="str">
        <f>IFERROR(__xludf.DUMMYFUNCTION("""COMPUTED_VALUE"""),"")</f>
        <v/>
      </c>
      <c r="R1135" s="1" t="str">
        <f>IFERROR(__xludf.DUMMYFUNCTION("""COMPUTED_VALUE"""),"")</f>
        <v/>
      </c>
      <c r="S1135" s="1" t="str">
        <f>IFERROR(__xludf.DUMMYFUNCTION("""COMPUTED_VALUE"""),"")</f>
        <v/>
      </c>
      <c r="T1135" s="1" t="str">
        <f>IFERROR(__xludf.DUMMYFUNCTION("""COMPUTED_VALUE"""),"")</f>
        <v/>
      </c>
      <c r="U1135" s="1" t="str">
        <f>IFERROR(__xludf.DUMMYFUNCTION("""COMPUTED_VALUE"""),"")</f>
        <v/>
      </c>
      <c r="V1135" s="1" t="str">
        <f>IFERROR(__xludf.DUMMYFUNCTION("""COMPUTED_VALUE"""),"147,600")</f>
        <v>147,600</v>
      </c>
      <c r="W1135" s="1" t="str">
        <f>IFERROR(__xludf.DUMMYFUNCTION("""COMPUTED_VALUE"""),"10")</f>
        <v>10</v>
      </c>
      <c r="X1135" s="1" t="str">
        <f>IFERROR(__xludf.DUMMYFUNCTION("""COMPUTED_VALUE"""),"")</f>
        <v/>
      </c>
      <c r="Y1135" s="1" t="str">
        <f>IFERROR(__xludf.DUMMYFUNCTION("""COMPUTED_VALUE"""),"")</f>
        <v/>
      </c>
      <c r="Z1135" s="1" t="str">
        <f>IFERROR(__xludf.DUMMYFUNCTION("""COMPUTED_VALUE"""),"Unknown")</f>
        <v>Unknown</v>
      </c>
      <c r="AA1135" s="1" t="str">
        <f>IFERROR(__xludf.DUMMYFUNCTION("""COMPUTED_VALUE"""),"")</f>
        <v/>
      </c>
      <c r="AB1135" s="1" t="str">
        <f>IFERROR(__xludf.DUMMYFUNCTION("""COMPUTED_VALUE"""),"")</f>
        <v/>
      </c>
      <c r="AC1135" s="1" t="str">
        <f>IFERROR(__xludf.DUMMYFUNCTION("""COMPUTED_VALUE"""),"")</f>
        <v/>
      </c>
      <c r="AD1135" s="1" t="str">
        <f>IFERROR(__xludf.DUMMYFUNCTION("""COMPUTED_VALUE"""),"")</f>
        <v/>
      </c>
      <c r="AE1135" s="1" t="str">
        <f>IFERROR(__xludf.DUMMYFUNCTION("""COMPUTED_VALUE"""),"")</f>
        <v/>
      </c>
      <c r="AF1135" s="1" t="str">
        <f>IFERROR(__xludf.DUMMYFUNCTION("""COMPUTED_VALUE"""),"")</f>
        <v/>
      </c>
      <c r="AG1135" s="1" t="str">
        <f>IFERROR(__xludf.DUMMYFUNCTION("""COMPUTED_VALUE"""),"Shown as ""Storage Warehouse""")</f>
        <v>Shown as "Storage Warehouse"</v>
      </c>
      <c r="AH1135" s="1" t="str">
        <f>IFERROR(__xludf.DUMMYFUNCTION("""COMPUTED_VALUE"""),"PEC")</f>
        <v>PEC</v>
      </c>
      <c r="AI1135" s="1" t="str">
        <f>IFERROR(__xludf.DUMMYFUNCTION("""COMPUTED_VALUE"""),"")</f>
        <v/>
      </c>
      <c r="AJ1135" s="2" t="str">
        <f>IFERROR(__xludf.DUMMYFUNCTION("""COMPUTED_VALUE"""),"https://reparcelasmt.loudoun.gov/pt/datalets/datalet.aspx?mode=profileall&amp;UseSearch=no&amp;pin=041352218000&amp;jur=107&amp;taxyr=2024&amp;LMparent=20")</f>
        <v>https://reparcelasmt.loudoun.gov/pt/datalets/datalet.aspx?mode=profileall&amp;UseSearch=no&amp;pin=041352218000&amp;jur=107&amp;taxyr=2024&amp;LMparent=20</v>
      </c>
      <c r="AK1135" s="1" t="str">
        <f>IFERROR(__xludf.DUMMYFUNCTION("""COMPUTED_VALUE"""),"")</f>
        <v/>
      </c>
      <c r="AL1135" s="1" t="str">
        <f>IFERROR(__xludf.DUMMYFUNCTION("""COMPUTED_VALUE"""),"")</f>
        <v/>
      </c>
      <c r="AM1135" s="1" t="str">
        <f>IFERROR(__xludf.DUMMYFUNCTION("""COMPUTED_VALUE"""),"")</f>
        <v/>
      </c>
      <c r="AN1135" s="1" t="str">
        <f>IFERROR(__xludf.DUMMYFUNCTION("""COMPUTED_VALUE"""),"")</f>
        <v/>
      </c>
      <c r="AO1135" s="1" t="str">
        <f>IFERROR(__xludf.DUMMYFUNCTION("""COMPUTED_VALUE"""),"")</f>
        <v/>
      </c>
      <c r="AP1135" s="1" t="str">
        <f>IFERROR(__xludf.DUMMYFUNCTION("""COMPUTED_VALUE"""),"")</f>
        <v/>
      </c>
      <c r="AQ1135" s="1" t="str">
        <f>IFERROR(__xludf.DUMMYFUNCTION("""COMPUTED_VALUE"""),"04/10/2024")</f>
        <v>04/10/2024</v>
      </c>
      <c r="AR1135" s="1" t="str">
        <f>IFERROR(__xludf.DUMMYFUNCTION("""COMPUTED_VALUE"""),"10/17/2025")</f>
        <v>10/17/2025</v>
      </c>
    </row>
    <row r="1136">
      <c r="A1136" s="1" t="str">
        <f>IFERROR(__xludf.DUMMYFUNCTION("""COMPUTED_VALUE"""),"Belmont Innovation Campus")</f>
        <v>Belmont Innovation Campus</v>
      </c>
      <c r="B1136" s="1" t="str">
        <f>IFERROR(__xludf.DUMMYFUNCTION("""COMPUTED_VALUE"""),"43121 GOOSE GLEN LN")</f>
        <v>43121 GOOSE GLEN LN</v>
      </c>
      <c r="C1136" s="1" t="str">
        <f>IFERROR(__xludf.DUMMYFUNCTION("""COMPUTED_VALUE"""),"Ashburn")</f>
        <v>Ashburn</v>
      </c>
      <c r="D1136" s="1" t="str">
        <f>IFERROR(__xludf.DUMMYFUNCTION("""COMPUTED_VALUE"""),"VA")</f>
        <v>VA</v>
      </c>
      <c r="E1136" s="1" t="str">
        <f>IFERROR(__xludf.DUMMYFUNCTION("""COMPUTED_VALUE"""),"20147")</f>
        <v>20147</v>
      </c>
      <c r="F1136" s="1" t="str">
        <f>IFERROR(__xludf.DUMMYFUNCTION("""COMPUTED_VALUE"""),"Loudoun")</f>
        <v>Loudoun</v>
      </c>
      <c r="G1136" s="1" t="str">
        <f>IFERROR(__xludf.DUMMYFUNCTION("""COMPUTED_VALUE"""),"39.072826")</f>
        <v>39.072826</v>
      </c>
      <c r="H1136" s="1" t="str">
        <f>IFERROR(__xludf.DUMMYFUNCTION("""COMPUTED_VALUE"""),"-77.50972")</f>
        <v>-77.50972</v>
      </c>
      <c r="I1136" s="1" t="str">
        <f>IFERROR(__xludf.DUMMYFUNCTION("""COMPUTED_VALUE"""),"Proposed")</f>
        <v>Proposed</v>
      </c>
      <c r="J1136" s="1" t="str">
        <f>IFERROR(__xludf.DUMMYFUNCTION("""COMPUTED_VALUE"""),"High")</f>
        <v>High</v>
      </c>
      <c r="K1136" s="1" t="str">
        <f>IFERROR(__xludf.DUMMYFUNCTION("""COMPUTED_VALUE"""),"")</f>
        <v/>
      </c>
      <c r="L1136" s="1" t="str">
        <f>IFERROR(__xludf.DUMMYFUNCTION("""COMPUTED_VALUE"""),"LOUDOUN GC LLC")</f>
        <v>LOUDOUN GC LLC</v>
      </c>
      <c r="M1136" s="1" t="str">
        <f>IFERROR(__xludf.DUMMYFUNCTION("""COMPUTED_VALUE"""),"")</f>
        <v/>
      </c>
      <c r="N1136" s="1" t="str">
        <f>IFERROR(__xludf.DUMMYFUNCTION("""COMPUTED_VALUE"""),"")</f>
        <v/>
      </c>
      <c r="O1136" s="1" t="str">
        <f>IFERROR(__xludf.DUMMYFUNCTION("""COMPUTED_VALUE"""),"Unknown")</f>
        <v>Unknown</v>
      </c>
      <c r="P1136" s="1" t="str">
        <f>IFERROR(__xludf.DUMMYFUNCTION("""COMPUTED_VALUE"""),"")</f>
        <v/>
      </c>
      <c r="Q1136" s="1" t="str">
        <f>IFERROR(__xludf.DUMMYFUNCTION("""COMPUTED_VALUE"""),"")</f>
        <v/>
      </c>
      <c r="R1136" s="1" t="str">
        <f>IFERROR(__xludf.DUMMYFUNCTION("""COMPUTED_VALUE"""),"")</f>
        <v/>
      </c>
      <c r="S1136" s="1" t="str">
        <f>IFERROR(__xludf.DUMMYFUNCTION("""COMPUTED_VALUE"""),"")</f>
        <v/>
      </c>
      <c r="T1136" s="1" t="str">
        <f>IFERROR(__xludf.DUMMYFUNCTION("""COMPUTED_VALUE"""),"")</f>
        <v/>
      </c>
      <c r="U1136" s="1" t="str">
        <f>IFERROR(__xludf.DUMMYFUNCTION("""COMPUTED_VALUE"""),"")</f>
        <v/>
      </c>
      <c r="V1136" s="1" t="str">
        <f>IFERROR(__xludf.DUMMYFUNCTION("""COMPUTED_VALUE"""),"1,300,000")</f>
        <v>1,300,000</v>
      </c>
      <c r="W1136" s="1" t="str">
        <f>IFERROR(__xludf.DUMMYFUNCTION("""COMPUTED_VALUE"""),"112")</f>
        <v>112</v>
      </c>
      <c r="X1136" s="1" t="str">
        <f>IFERROR(__xludf.DUMMYFUNCTION("""COMPUTED_VALUE"""),"")</f>
        <v/>
      </c>
      <c r="Y1136" s="1" t="str">
        <f>IFERROR(__xludf.DUMMYFUNCTION("""COMPUTED_VALUE"""),"")</f>
        <v/>
      </c>
      <c r="Z1136" s="1" t="str">
        <f>IFERROR(__xludf.DUMMYFUNCTION("""COMPUTED_VALUE"""),"Unknown")</f>
        <v>Unknown</v>
      </c>
      <c r="AA1136" s="1" t="str">
        <f>IFERROR(__xludf.DUMMYFUNCTION("""COMPUTED_VALUE"""),"")</f>
        <v/>
      </c>
      <c r="AB1136" s="1" t="str">
        <f>IFERROR(__xludf.DUMMYFUNCTION("""COMPUTED_VALUE"""),"")</f>
        <v/>
      </c>
      <c r="AC1136" s="1" t="str">
        <f>IFERROR(__xludf.DUMMYFUNCTION("""COMPUTED_VALUE"""),"")</f>
        <v/>
      </c>
      <c r="AD1136" s="1" t="str">
        <f>IFERROR(__xludf.DUMMYFUNCTION("""COMPUTED_VALUE"""),"")</f>
        <v/>
      </c>
      <c r="AE1136" s="1" t="str">
        <f>IFERROR(__xludf.DUMMYFUNCTION("""COMPUTED_VALUE"""),"")</f>
        <v/>
      </c>
      <c r="AF1136" s="1" t="str">
        <f>IFERROR(__xludf.DUMMYFUNCTION("""COMPUTED_VALUE"""),"")</f>
        <v/>
      </c>
      <c r="AG1136" s="1" t="str">
        <f>IFERROR(__xludf.DUMMYFUNCTION("""COMPUTED_VALUE"""),"Project covers more than one parcel, the acreage represents the combined acreage")</f>
        <v>Project covers more than one parcel, the acreage represents the combined acreage</v>
      </c>
      <c r="AH1136" s="1" t="str">
        <f>IFERROR(__xludf.DUMMYFUNCTION("""COMPUTED_VALUE"""),"PEC")</f>
        <v>PEC</v>
      </c>
      <c r="AI1136" s="2" t="str">
        <f>IFERROR(__xludf.DUMMYFUNCTION("""COMPUTED_VALUE"""),"https://www.loudountimes.com/0local-or-not/1local/in-landmark-vote-board-of-supervisors-rejects-belmont-innovation-data-center-proposal/article_c7754884-e1ab-11ee-a0a9-0b7c20e6af27.html")</f>
        <v>https://www.loudountimes.com/0local-or-not/1local/in-landmark-vote-board-of-supervisors-rejects-belmont-innovation-data-center-proposal/article_c7754884-e1ab-11ee-a0a9-0b7c20e6af27.html</v>
      </c>
      <c r="AJ1136" s="2" t="str">
        <f>IFERROR(__xludf.DUMMYFUNCTION("""COMPUTED_VALUE"""),"https://reparcelasmt.loudoun.gov/pt/Datalets/Datalet.aspx?UseSearch=no&amp;mode=profileall&amp;pin=113372932000&amp;jur=107&amp;taxyr=2024")</f>
        <v>https://reparcelasmt.loudoun.gov/pt/Datalets/Datalet.aspx?UseSearch=no&amp;mode=profileall&amp;pin=113372932000&amp;jur=107&amp;taxyr=2024</v>
      </c>
      <c r="AK1136" s="1" t="str">
        <f>IFERROR(__xludf.DUMMYFUNCTION("""COMPUTED_VALUE"""),"")</f>
        <v/>
      </c>
      <c r="AL1136" s="1" t="str">
        <f>IFERROR(__xludf.DUMMYFUNCTION("""COMPUTED_VALUE"""),"")</f>
        <v/>
      </c>
      <c r="AM1136" s="1" t="str">
        <f>IFERROR(__xludf.DUMMYFUNCTION("""COMPUTED_VALUE"""),"")</f>
        <v/>
      </c>
      <c r="AN1136" s="1" t="str">
        <f>IFERROR(__xludf.DUMMYFUNCTION("""COMPUTED_VALUE"""),"")</f>
        <v/>
      </c>
      <c r="AO1136" s="1" t="str">
        <f>IFERROR(__xludf.DUMMYFUNCTION("""COMPUTED_VALUE"""),"")</f>
        <v/>
      </c>
      <c r="AP1136" s="1" t="str">
        <f>IFERROR(__xludf.DUMMYFUNCTION("""COMPUTED_VALUE"""),"")</f>
        <v/>
      </c>
      <c r="AQ1136" s="1" t="str">
        <f>IFERROR(__xludf.DUMMYFUNCTION("""COMPUTED_VALUE"""),"04/10/2024")</f>
        <v>04/10/2024</v>
      </c>
      <c r="AR1136" s="1" t="str">
        <f>IFERROR(__xludf.DUMMYFUNCTION("""COMPUTED_VALUE"""),"10/17/2025")</f>
        <v>10/17/2025</v>
      </c>
    </row>
    <row r="1137">
      <c r="A1137" s="1" t="str">
        <f>IFERROR(__xludf.DUMMYFUNCTION("""COMPUTED_VALUE"""),"BLUE SLING ACC 9")</f>
        <v>BLUE SLING ACC 9</v>
      </c>
      <c r="B1137" s="1" t="str">
        <f>IFERROR(__xludf.DUMMYFUNCTION("""COMPUTED_VALUE"""),"21745 SIR TIMOTHY DR")</f>
        <v>21745 SIR TIMOTHY DR</v>
      </c>
      <c r="C1137" s="1" t="str">
        <f>IFERROR(__xludf.DUMMYFUNCTION("""COMPUTED_VALUE"""),"Ashburn")</f>
        <v>Ashburn</v>
      </c>
      <c r="D1137" s="1" t="str">
        <f>IFERROR(__xludf.DUMMYFUNCTION("""COMPUTED_VALUE"""),"VA")</f>
        <v>VA</v>
      </c>
      <c r="E1137" s="1" t="str">
        <f>IFERROR(__xludf.DUMMYFUNCTION("""COMPUTED_VALUE"""),"20147")</f>
        <v>20147</v>
      </c>
      <c r="F1137" s="1" t="str">
        <f>IFERROR(__xludf.DUMMYFUNCTION("""COMPUTED_VALUE"""),"Loudoun")</f>
        <v>Loudoun</v>
      </c>
      <c r="G1137" s="1" t="str">
        <f>IFERROR(__xludf.DUMMYFUNCTION("""COMPUTED_VALUE"""),"39.01549")</f>
        <v>39.01549</v>
      </c>
      <c r="H1137" s="1" t="str">
        <f>IFERROR(__xludf.DUMMYFUNCTION("""COMPUTED_VALUE"""),"-77.46758")</f>
        <v>-77.46758</v>
      </c>
      <c r="I1137" s="1" t="str">
        <f>IFERROR(__xludf.DUMMYFUNCTION("""COMPUTED_VALUE"""),"Operating")</f>
        <v>Operating</v>
      </c>
      <c r="J1137" s="1" t="str">
        <f>IFERROR(__xludf.DUMMYFUNCTION("""COMPUTED_VALUE"""),"High")</f>
        <v>High</v>
      </c>
      <c r="K1137" s="1" t="str">
        <f>IFERROR(__xludf.DUMMYFUNCTION("""COMPUTED_VALUE"""),"")</f>
        <v/>
      </c>
      <c r="L1137" s="1" t="str">
        <f>IFERROR(__xludf.DUMMYFUNCTION("""COMPUTED_VALUE"""),"BLUE SLING ACC 9 LLC")</f>
        <v>BLUE SLING ACC 9 LLC</v>
      </c>
      <c r="M1137" s="1" t="str">
        <f>IFERROR(__xludf.DUMMYFUNCTION("""COMPUTED_VALUE"""),"")</f>
        <v/>
      </c>
      <c r="N1137" s="1" t="str">
        <f>IFERROR(__xludf.DUMMYFUNCTION("""COMPUTED_VALUE"""),"")</f>
        <v/>
      </c>
      <c r="O1137" s="1" t="str">
        <f>IFERROR(__xludf.DUMMYFUNCTION("""COMPUTED_VALUE"""),"Unknown")</f>
        <v>Unknown</v>
      </c>
      <c r="P1137" s="1" t="str">
        <f>IFERROR(__xludf.DUMMYFUNCTION("""COMPUTED_VALUE"""),"")</f>
        <v/>
      </c>
      <c r="Q1137" s="1" t="str">
        <f>IFERROR(__xludf.DUMMYFUNCTION("""COMPUTED_VALUE"""),"")</f>
        <v/>
      </c>
      <c r="R1137" s="1" t="str">
        <f>IFERROR(__xludf.DUMMYFUNCTION("""COMPUTED_VALUE"""),"")</f>
        <v/>
      </c>
      <c r="S1137" s="1" t="str">
        <f>IFERROR(__xludf.DUMMYFUNCTION("""COMPUTED_VALUE"""),"")</f>
        <v/>
      </c>
      <c r="T1137" s="1" t="str">
        <f>IFERROR(__xludf.DUMMYFUNCTION("""COMPUTED_VALUE"""),"")</f>
        <v/>
      </c>
      <c r="U1137" s="1" t="str">
        <f>IFERROR(__xludf.DUMMYFUNCTION("""COMPUTED_VALUE"""),"")</f>
        <v/>
      </c>
      <c r="V1137" s="1" t="str">
        <f>IFERROR(__xludf.DUMMYFUNCTION("""COMPUTED_VALUE"""),"362,100")</f>
        <v>362,100</v>
      </c>
      <c r="W1137" s="1" t="str">
        <f>IFERROR(__xludf.DUMMYFUNCTION("""COMPUTED_VALUE"""),"19")</f>
        <v>19</v>
      </c>
      <c r="X1137" s="1" t="str">
        <f>IFERROR(__xludf.DUMMYFUNCTION("""COMPUTED_VALUE"""),"")</f>
        <v/>
      </c>
      <c r="Y1137" s="1" t="str">
        <f>IFERROR(__xludf.DUMMYFUNCTION("""COMPUTED_VALUE"""),"")</f>
        <v/>
      </c>
      <c r="Z1137" s="1" t="str">
        <f>IFERROR(__xludf.DUMMYFUNCTION("""COMPUTED_VALUE"""),"Unknown")</f>
        <v>Unknown</v>
      </c>
      <c r="AA1137" s="1" t="str">
        <f>IFERROR(__xludf.DUMMYFUNCTION("""COMPUTED_VALUE"""),"")</f>
        <v/>
      </c>
      <c r="AB1137" s="1" t="str">
        <f>IFERROR(__xludf.DUMMYFUNCTION("""COMPUTED_VALUE"""),"")</f>
        <v/>
      </c>
      <c r="AC1137" s="1" t="str">
        <f>IFERROR(__xludf.DUMMYFUNCTION("""COMPUTED_VALUE"""),"")</f>
        <v/>
      </c>
      <c r="AD1137" s="1" t="str">
        <f>IFERROR(__xludf.DUMMYFUNCTION("""COMPUTED_VALUE"""),"")</f>
        <v/>
      </c>
      <c r="AE1137" s="1" t="str">
        <f>IFERROR(__xludf.DUMMYFUNCTION("""COMPUTED_VALUE"""),"")</f>
        <v/>
      </c>
      <c r="AF1137" s="1" t="str">
        <f>IFERROR(__xludf.DUMMYFUNCTION("""COMPUTED_VALUE"""),"")</f>
        <v/>
      </c>
      <c r="AG1137" s="1" t="str">
        <f>IFERROR(__xludf.DUMMYFUNCTION("""COMPUTED_VALUE"""),"Computer Center")</f>
        <v>Computer Center</v>
      </c>
      <c r="AH1137" s="1" t="str">
        <f>IFERROR(__xludf.DUMMYFUNCTION("""COMPUTED_VALUE"""),"PEC")</f>
        <v>PEC</v>
      </c>
      <c r="AI1137" s="1" t="str">
        <f>IFERROR(__xludf.DUMMYFUNCTION("""COMPUTED_VALUE"""),"")</f>
        <v/>
      </c>
      <c r="AJ1137" s="2" t="str">
        <f>IFERROR(__xludf.DUMMYFUNCTION("""COMPUTED_VALUE"""),"https://reparcelasmt.loudoun.gov/pt/Datalets/Datalet.aspx?UseSearch=no&amp;mode=profileall&amp;pin=061361948000&amp;jur=107&amp;taxyr=2024")</f>
        <v>https://reparcelasmt.loudoun.gov/pt/Datalets/Datalet.aspx?UseSearch=no&amp;mode=profileall&amp;pin=061361948000&amp;jur=107&amp;taxyr=2024</v>
      </c>
      <c r="AK1137" s="1" t="str">
        <f>IFERROR(__xludf.DUMMYFUNCTION("""COMPUTED_VALUE"""),"")</f>
        <v/>
      </c>
      <c r="AL1137" s="1" t="str">
        <f>IFERROR(__xludf.DUMMYFUNCTION("""COMPUTED_VALUE"""),"")</f>
        <v/>
      </c>
      <c r="AM1137" s="1" t="str">
        <f>IFERROR(__xludf.DUMMYFUNCTION("""COMPUTED_VALUE"""),"")</f>
        <v/>
      </c>
      <c r="AN1137" s="1" t="str">
        <f>IFERROR(__xludf.DUMMYFUNCTION("""COMPUTED_VALUE"""),"")</f>
        <v/>
      </c>
      <c r="AO1137" s="1" t="str">
        <f>IFERROR(__xludf.DUMMYFUNCTION("""COMPUTED_VALUE"""),"")</f>
        <v/>
      </c>
      <c r="AP1137" s="1" t="str">
        <f>IFERROR(__xludf.DUMMYFUNCTION("""COMPUTED_VALUE"""),"")</f>
        <v/>
      </c>
      <c r="AQ1137" s="1" t="str">
        <f>IFERROR(__xludf.DUMMYFUNCTION("""COMPUTED_VALUE"""),"04/10/2024")</f>
        <v>04/10/2024</v>
      </c>
      <c r="AR1137" s="1" t="str">
        <f>IFERROR(__xludf.DUMMYFUNCTION("""COMPUTED_VALUE"""),"10/17/2025")</f>
        <v>10/17/2025</v>
      </c>
    </row>
    <row r="1138">
      <c r="A1138" s="1" t="str">
        <f>IFERROR(__xludf.DUMMYFUNCTION("""COMPUTED_VALUE"""),"BRAMBLETON SHREVEPORT SOUTH DATA CENTER")</f>
        <v>BRAMBLETON SHREVEPORT SOUTH DATA CENTER</v>
      </c>
      <c r="B1138" s="1" t="str">
        <f>IFERROR(__xludf.DUMMYFUNCTION("""COMPUTED_VALUE"""),"Evergreen Mills and Belmont Ridge Rd")</f>
        <v>Evergreen Mills and Belmont Ridge Rd</v>
      </c>
      <c r="C1138" s="1" t="str">
        <f>IFERROR(__xludf.DUMMYFUNCTION("""COMPUTED_VALUE"""),"Ashburn")</f>
        <v>Ashburn</v>
      </c>
      <c r="D1138" s="1" t="str">
        <f>IFERROR(__xludf.DUMMYFUNCTION("""COMPUTED_VALUE"""),"VA")</f>
        <v>VA</v>
      </c>
      <c r="E1138" s="1" t="str">
        <f>IFERROR(__xludf.DUMMYFUNCTION("""COMPUTED_VALUE"""),"20148")</f>
        <v>20148</v>
      </c>
      <c r="F1138" s="1" t="str">
        <f>IFERROR(__xludf.DUMMYFUNCTION("""COMPUTED_VALUE"""),"Loudoun")</f>
        <v>Loudoun</v>
      </c>
      <c r="G1138" s="1" t="str">
        <f>IFERROR(__xludf.DUMMYFUNCTION("""COMPUTED_VALUE"""),"38.95967")</f>
        <v>38.95967</v>
      </c>
      <c r="H1138" s="1" t="str">
        <f>IFERROR(__xludf.DUMMYFUNCTION("""COMPUTED_VALUE"""),"-77.52909")</f>
        <v>-77.52909</v>
      </c>
      <c r="I1138" s="1" t="str">
        <f>IFERROR(__xludf.DUMMYFUNCTION("""COMPUTED_VALUE"""),"Proposed")</f>
        <v>Proposed</v>
      </c>
      <c r="J1138" s="1" t="str">
        <f>IFERROR(__xludf.DUMMYFUNCTION("""COMPUTED_VALUE"""),"Medium")</f>
        <v>Medium</v>
      </c>
      <c r="K1138" s="1" t="str">
        <f>IFERROR(__xludf.DUMMYFUNCTION("""COMPUTED_VALUE"""),"")</f>
        <v/>
      </c>
      <c r="L1138" s="1" t="str">
        <f>IFERROR(__xludf.DUMMYFUNCTION("""COMPUTED_VALUE"""),"")</f>
        <v/>
      </c>
      <c r="M1138" s="1" t="str">
        <f>IFERROR(__xludf.DUMMYFUNCTION("""COMPUTED_VALUE"""),"")</f>
        <v/>
      </c>
      <c r="N1138" s="1" t="str">
        <f>IFERROR(__xludf.DUMMYFUNCTION("""COMPUTED_VALUE"""),"")</f>
        <v/>
      </c>
      <c r="O1138" s="1" t="str">
        <f>IFERROR(__xludf.DUMMYFUNCTION("""COMPUTED_VALUE"""),"Unknown")</f>
        <v>Unknown</v>
      </c>
      <c r="P1138" s="1" t="str">
        <f>IFERROR(__xludf.DUMMYFUNCTION("""COMPUTED_VALUE"""),"")</f>
        <v/>
      </c>
      <c r="Q1138" s="1" t="str">
        <f>IFERROR(__xludf.DUMMYFUNCTION("""COMPUTED_VALUE"""),"")</f>
        <v/>
      </c>
      <c r="R1138" s="1" t="str">
        <f>IFERROR(__xludf.DUMMYFUNCTION("""COMPUTED_VALUE"""),"")</f>
        <v/>
      </c>
      <c r="S1138" s="1" t="str">
        <f>IFERROR(__xludf.DUMMYFUNCTION("""COMPUTED_VALUE"""),"")</f>
        <v/>
      </c>
      <c r="T1138" s="1" t="str">
        <f>IFERROR(__xludf.DUMMYFUNCTION("""COMPUTED_VALUE"""),"")</f>
        <v/>
      </c>
      <c r="U1138" s="1" t="str">
        <f>IFERROR(__xludf.DUMMYFUNCTION("""COMPUTED_VALUE"""),"")</f>
        <v/>
      </c>
      <c r="V1138" s="1" t="str">
        <f>IFERROR(__xludf.DUMMYFUNCTION("""COMPUTED_VALUE"""),"1,317,531")</f>
        <v>1,317,531</v>
      </c>
      <c r="W1138" s="1" t="str">
        <f>IFERROR(__xludf.DUMMYFUNCTION("""COMPUTED_VALUE"""),"114")</f>
        <v>114</v>
      </c>
      <c r="X1138" s="1" t="str">
        <f>IFERROR(__xludf.DUMMYFUNCTION("""COMPUTED_VALUE"""),"")</f>
        <v/>
      </c>
      <c r="Y1138" s="1" t="str">
        <f>IFERROR(__xludf.DUMMYFUNCTION("""COMPUTED_VALUE"""),"")</f>
        <v/>
      </c>
      <c r="Z1138" s="1" t="str">
        <f>IFERROR(__xludf.DUMMYFUNCTION("""COMPUTED_VALUE"""),"Unknown")</f>
        <v>Unknown</v>
      </c>
      <c r="AA1138" s="1" t="str">
        <f>IFERROR(__xludf.DUMMYFUNCTION("""COMPUTED_VALUE"""),"")</f>
        <v/>
      </c>
      <c r="AB1138" s="1" t="str">
        <f>IFERROR(__xludf.DUMMYFUNCTION("""COMPUTED_VALUE"""),"")</f>
        <v/>
      </c>
      <c r="AC1138" s="1" t="str">
        <f>IFERROR(__xludf.DUMMYFUNCTION("""COMPUTED_VALUE"""),"")</f>
        <v/>
      </c>
      <c r="AD1138" s="1" t="str">
        <f>IFERROR(__xludf.DUMMYFUNCTION("""COMPUTED_VALUE"""),"")</f>
        <v/>
      </c>
      <c r="AE1138" s="1" t="str">
        <f>IFERROR(__xludf.DUMMYFUNCTION("""COMPUTED_VALUE"""),"")</f>
        <v/>
      </c>
      <c r="AF1138" s="1" t="str">
        <f>IFERROR(__xludf.DUMMYFUNCTION("""COMPUTED_VALUE"""),"")</f>
        <v/>
      </c>
      <c r="AG1138" s="1" t="str">
        <f>IFERROR(__xludf.DUMMYFUNCTION("""COMPUTED_VALUE"""),"Project covers more than one parcel, the acreage represents the combined acreage")</f>
        <v>Project covers more than one parcel, the acreage represents the combined acreage</v>
      </c>
      <c r="AH1138" s="1" t="str">
        <f>IFERROR(__xludf.DUMMYFUNCTION("""COMPUTED_VALUE"""),"PEC")</f>
        <v>PEC</v>
      </c>
      <c r="AI1138" s="2" t="str">
        <f>IFERROR(__xludf.DUMMYFUNCTION("""COMPUTED_VALUE"""),"https://loudouncountyvaeg.tylerhost.net/prod/selfservice#/plan/3ABB5C2A-93A6-4300-92BE-548EFC9CF34C?tab=attachments")</f>
        <v>https://loudouncountyvaeg.tylerhost.net/prod/selfservice#/plan/3ABB5C2A-93A6-4300-92BE-548EFC9CF34C?tab=attachments</v>
      </c>
      <c r="AJ1138" s="2" t="str">
        <f>IFERROR(__xludf.DUMMYFUNCTION("""COMPUTED_VALUE"""),"https://reparcelasmt.loudoun.gov/pt/Datalets/Datalet.aspx?UseSearch=no&amp;mode=profileall&amp;pin=161269137000&amp;jur=107&amp;taxyr=2025")</f>
        <v>https://reparcelasmt.loudoun.gov/pt/Datalets/Datalet.aspx?UseSearch=no&amp;mode=profileall&amp;pin=161269137000&amp;jur=107&amp;taxyr=2025</v>
      </c>
      <c r="AK1138" s="1" t="str">
        <f>IFERROR(__xludf.DUMMYFUNCTION("""COMPUTED_VALUE"""),"")</f>
        <v/>
      </c>
      <c r="AL1138" s="1" t="str">
        <f>IFERROR(__xludf.DUMMYFUNCTION("""COMPUTED_VALUE"""),"")</f>
        <v/>
      </c>
      <c r="AM1138" s="1" t="str">
        <f>IFERROR(__xludf.DUMMYFUNCTION("""COMPUTED_VALUE"""),"")</f>
        <v/>
      </c>
      <c r="AN1138" s="1" t="str">
        <f>IFERROR(__xludf.DUMMYFUNCTION("""COMPUTED_VALUE"""),"")</f>
        <v/>
      </c>
      <c r="AO1138" s="1" t="str">
        <f>IFERROR(__xludf.DUMMYFUNCTION("""COMPUTED_VALUE"""),"")</f>
        <v/>
      </c>
      <c r="AP1138" s="1" t="str">
        <f>IFERROR(__xludf.DUMMYFUNCTION("""COMPUTED_VALUE"""),"")</f>
        <v/>
      </c>
      <c r="AQ1138" s="1" t="str">
        <f>IFERROR(__xludf.DUMMYFUNCTION("""COMPUTED_VALUE"""),"08/06/2025")</f>
        <v>08/06/2025</v>
      </c>
      <c r="AR1138" s="1" t="str">
        <f>IFERROR(__xludf.DUMMYFUNCTION("""COMPUTED_VALUE"""),"10/17/2025")</f>
        <v>10/17/2025</v>
      </c>
    </row>
    <row r="1139">
      <c r="A1139" s="1" t="str">
        <f>IFERROR(__xludf.DUMMYFUNCTION("""COMPUTED_VALUE"""),"CLOUD HQ LC3")</f>
        <v>CLOUD HQ LC3</v>
      </c>
      <c r="B1139" s="1" t="str">
        <f>IFERROR(__xludf.DUMMYFUNCTION("""COMPUTED_VALUE"""),"44631 WAXPOOL RD")</f>
        <v>44631 WAXPOOL RD</v>
      </c>
      <c r="C1139" s="1" t="str">
        <f>IFERROR(__xludf.DUMMYFUNCTION("""COMPUTED_VALUE"""),"Ashburn")</f>
        <v>Ashburn</v>
      </c>
      <c r="D1139" s="1" t="str">
        <f>IFERROR(__xludf.DUMMYFUNCTION("""COMPUTED_VALUE"""),"VA")</f>
        <v>VA</v>
      </c>
      <c r="E1139" s="1" t="str">
        <f>IFERROR(__xludf.DUMMYFUNCTION("""COMPUTED_VALUE"""),"20147")</f>
        <v>20147</v>
      </c>
      <c r="F1139" s="1" t="str">
        <f>IFERROR(__xludf.DUMMYFUNCTION("""COMPUTED_VALUE"""),"Loudoun")</f>
        <v>Loudoun</v>
      </c>
      <c r="G1139" s="1" t="str">
        <f>IFERROR(__xludf.DUMMYFUNCTION("""COMPUTED_VALUE"""),"39.011154")</f>
        <v>39.011154</v>
      </c>
      <c r="H1139" s="1" t="str">
        <f>IFERROR(__xludf.DUMMYFUNCTION("""COMPUTED_VALUE"""),"-77.45961")</f>
        <v>-77.45961</v>
      </c>
      <c r="I1139" s="1" t="str">
        <f>IFERROR(__xludf.DUMMYFUNCTION("""COMPUTED_VALUE"""),"Operating")</f>
        <v>Operating</v>
      </c>
      <c r="J1139" s="1" t="str">
        <f>IFERROR(__xludf.DUMMYFUNCTION("""COMPUTED_VALUE"""),"High")</f>
        <v>High</v>
      </c>
      <c r="K1139" s="1" t="str">
        <f>IFERROR(__xludf.DUMMYFUNCTION("""COMPUTED_VALUE"""),"")</f>
        <v/>
      </c>
      <c r="L1139" s="1" t="str">
        <f>IFERROR(__xludf.DUMMYFUNCTION("""COMPUTED_VALUE"""),"LOHRASP VENTURES LLC")</f>
        <v>LOHRASP VENTURES LLC</v>
      </c>
      <c r="M1139" s="1" t="str">
        <f>IFERROR(__xludf.DUMMYFUNCTION("""COMPUTED_VALUE"""),"")</f>
        <v/>
      </c>
      <c r="N1139" s="1" t="str">
        <f>IFERROR(__xludf.DUMMYFUNCTION("""COMPUTED_VALUE"""),"")</f>
        <v/>
      </c>
      <c r="O1139" s="1" t="str">
        <f>IFERROR(__xludf.DUMMYFUNCTION("""COMPUTED_VALUE"""),"Unknown")</f>
        <v>Unknown</v>
      </c>
      <c r="P1139" s="1" t="str">
        <f>IFERROR(__xludf.DUMMYFUNCTION("""COMPUTED_VALUE"""),"")</f>
        <v/>
      </c>
      <c r="Q1139" s="1" t="str">
        <f>IFERROR(__xludf.DUMMYFUNCTION("""COMPUTED_VALUE"""),"")</f>
        <v/>
      </c>
      <c r="R1139" s="1" t="str">
        <f>IFERROR(__xludf.DUMMYFUNCTION("""COMPUTED_VALUE"""),"")</f>
        <v/>
      </c>
      <c r="S1139" s="1" t="str">
        <f>IFERROR(__xludf.DUMMYFUNCTION("""COMPUTED_VALUE"""),"")</f>
        <v/>
      </c>
      <c r="T1139" s="1" t="str">
        <f>IFERROR(__xludf.DUMMYFUNCTION("""COMPUTED_VALUE"""),"")</f>
        <v/>
      </c>
      <c r="U1139" s="1" t="str">
        <f>IFERROR(__xludf.DUMMYFUNCTION("""COMPUTED_VALUE"""),"")</f>
        <v/>
      </c>
      <c r="V1139" s="1" t="str">
        <f>IFERROR(__xludf.DUMMYFUNCTION("""COMPUTED_VALUE"""),"585,593")</f>
        <v>585,593</v>
      </c>
      <c r="W1139" s="1" t="str">
        <f>IFERROR(__xludf.DUMMYFUNCTION("""COMPUTED_VALUE"""),"15")</f>
        <v>15</v>
      </c>
      <c r="X1139" s="1" t="str">
        <f>IFERROR(__xludf.DUMMYFUNCTION("""COMPUTED_VALUE"""),"")</f>
        <v/>
      </c>
      <c r="Y1139" s="1" t="str">
        <f>IFERROR(__xludf.DUMMYFUNCTION("""COMPUTED_VALUE"""),"")</f>
        <v/>
      </c>
      <c r="Z1139" s="1" t="str">
        <f>IFERROR(__xludf.DUMMYFUNCTION("""COMPUTED_VALUE"""),"Unknown")</f>
        <v>Unknown</v>
      </c>
      <c r="AA1139" s="1" t="str">
        <f>IFERROR(__xludf.DUMMYFUNCTION("""COMPUTED_VALUE"""),"")</f>
        <v/>
      </c>
      <c r="AB1139" s="1" t="str">
        <f>IFERROR(__xludf.DUMMYFUNCTION("""COMPUTED_VALUE"""),"")</f>
        <v/>
      </c>
      <c r="AC1139" s="1" t="str">
        <f>IFERROR(__xludf.DUMMYFUNCTION("""COMPUTED_VALUE"""),"")</f>
        <v/>
      </c>
      <c r="AD1139" s="1" t="str">
        <f>IFERROR(__xludf.DUMMYFUNCTION("""COMPUTED_VALUE"""),"")</f>
        <v/>
      </c>
      <c r="AE1139" s="1" t="str">
        <f>IFERROR(__xludf.DUMMYFUNCTION("""COMPUTED_VALUE"""),"")</f>
        <v/>
      </c>
      <c r="AF1139" s="1" t="str">
        <f>IFERROR(__xludf.DUMMYFUNCTION("""COMPUTED_VALUE"""),"")</f>
        <v/>
      </c>
      <c r="AG1139" s="1" t="str">
        <f>IFERROR(__xludf.DUMMYFUNCTION("""COMPUTED_VALUE"""),"Computer Center")</f>
        <v>Computer Center</v>
      </c>
      <c r="AH1139" s="1" t="str">
        <f>IFERROR(__xludf.DUMMYFUNCTION("""COMPUTED_VALUE"""),"PEC")</f>
        <v>PEC</v>
      </c>
      <c r="AI1139" s="2" t="str">
        <f>IFERROR(__xludf.DUMMYFUNCTION("""COMPUTED_VALUE"""),"https://reparcelasmt.loudoun.gov/pt/Datalets/Datalet.aspx?UseSearch=no&amp;mode=profileall&amp;pin=061285496000&amp;jur=107&amp;taxyr=2024")</f>
        <v>https://reparcelasmt.loudoun.gov/pt/Datalets/Datalet.aspx?UseSearch=no&amp;mode=profileall&amp;pin=061285496000&amp;jur=107&amp;taxyr=2024</v>
      </c>
      <c r="AJ1139" s="1" t="str">
        <f>IFERROR(__xludf.DUMMYFUNCTION("""COMPUTED_VALUE"""),"")</f>
        <v/>
      </c>
      <c r="AK1139" s="1" t="str">
        <f>IFERROR(__xludf.DUMMYFUNCTION("""COMPUTED_VALUE"""),"")</f>
        <v/>
      </c>
      <c r="AL1139" s="1" t="str">
        <f>IFERROR(__xludf.DUMMYFUNCTION("""COMPUTED_VALUE"""),"")</f>
        <v/>
      </c>
      <c r="AM1139" s="1" t="str">
        <f>IFERROR(__xludf.DUMMYFUNCTION("""COMPUTED_VALUE"""),"")</f>
        <v/>
      </c>
      <c r="AN1139" s="1" t="str">
        <f>IFERROR(__xludf.DUMMYFUNCTION("""COMPUTED_VALUE"""),"")</f>
        <v/>
      </c>
      <c r="AO1139" s="1" t="str">
        <f>IFERROR(__xludf.DUMMYFUNCTION("""COMPUTED_VALUE"""),"")</f>
        <v/>
      </c>
      <c r="AP1139" s="1" t="str">
        <f>IFERROR(__xludf.DUMMYFUNCTION("""COMPUTED_VALUE"""),"")</f>
        <v/>
      </c>
      <c r="AQ1139" s="1" t="str">
        <f>IFERROR(__xludf.DUMMYFUNCTION("""COMPUTED_VALUE"""),"04/10/2024")</f>
        <v>04/10/2024</v>
      </c>
      <c r="AR1139" s="1" t="str">
        <f>IFERROR(__xludf.DUMMYFUNCTION("""COMPUTED_VALUE"""),"10/17/2025")</f>
        <v>10/17/2025</v>
      </c>
    </row>
    <row r="1140">
      <c r="A1140" s="1" t="str">
        <f>IFERROR(__xludf.DUMMYFUNCTION("""COMPUTED_VALUE"""),"CYRUSONE BROADLANDS DATA CENTER")</f>
        <v>CYRUSONE BROADLANDS DATA CENTER</v>
      </c>
      <c r="B1140" s="1" t="str">
        <f>IFERROR(__xludf.DUMMYFUNCTION("""COMPUTED_VALUE"""),"Belmont Road and Dulles Greenway")</f>
        <v>Belmont Road and Dulles Greenway</v>
      </c>
      <c r="C1140" s="1" t="str">
        <f>IFERROR(__xludf.DUMMYFUNCTION("""COMPUTED_VALUE"""),"Ashburn")</f>
        <v>Ashburn</v>
      </c>
      <c r="D1140" s="1" t="str">
        <f>IFERROR(__xludf.DUMMYFUNCTION("""COMPUTED_VALUE"""),"VA")</f>
        <v>VA</v>
      </c>
      <c r="E1140" s="1" t="str">
        <f>IFERROR(__xludf.DUMMYFUNCTION("""COMPUTED_VALUE"""),"20148")</f>
        <v>20148</v>
      </c>
      <c r="F1140" s="1" t="str">
        <f>IFERROR(__xludf.DUMMYFUNCTION("""COMPUTED_VALUE"""),"Loudoun")</f>
        <v>Loudoun</v>
      </c>
      <c r="G1140" s="1" t="str">
        <f>IFERROR(__xludf.DUMMYFUNCTION("""COMPUTED_VALUE"""),"39.033375")</f>
        <v>39.033375</v>
      </c>
      <c r="H1140" s="1" t="str">
        <f>IFERROR(__xludf.DUMMYFUNCTION("""COMPUTED_VALUE"""),"-77.521706")</f>
        <v>-77.521706</v>
      </c>
      <c r="I1140" s="1" t="str">
        <f>IFERROR(__xludf.DUMMYFUNCTION("""COMPUTED_VALUE"""),"Proposed")</f>
        <v>Proposed</v>
      </c>
      <c r="J1140" s="1" t="str">
        <f>IFERROR(__xludf.DUMMYFUNCTION("""COMPUTED_VALUE"""),"Medium")</f>
        <v>Medium</v>
      </c>
      <c r="K1140" s="1" t="str">
        <f>IFERROR(__xludf.DUMMYFUNCTION("""COMPUTED_VALUE"""),"")</f>
        <v/>
      </c>
      <c r="L1140" s="1" t="str">
        <f>IFERROR(__xludf.DUMMYFUNCTION("""COMPUTED_VALUE"""),"")</f>
        <v/>
      </c>
      <c r="M1140" s="1" t="str">
        <f>IFERROR(__xludf.DUMMYFUNCTION("""COMPUTED_VALUE"""),"")</f>
        <v/>
      </c>
      <c r="N1140" s="1" t="str">
        <f>IFERROR(__xludf.DUMMYFUNCTION("""COMPUTED_VALUE"""),"")</f>
        <v/>
      </c>
      <c r="O1140" s="1" t="str">
        <f>IFERROR(__xludf.DUMMYFUNCTION("""COMPUTED_VALUE"""),"Unknown")</f>
        <v>Unknown</v>
      </c>
      <c r="P1140" s="1" t="str">
        <f>IFERROR(__xludf.DUMMYFUNCTION("""COMPUTED_VALUE"""),"")</f>
        <v/>
      </c>
      <c r="Q1140" s="1" t="str">
        <f>IFERROR(__xludf.DUMMYFUNCTION("""COMPUTED_VALUE"""),"")</f>
        <v/>
      </c>
      <c r="R1140" s="1" t="str">
        <f>IFERROR(__xludf.DUMMYFUNCTION("""COMPUTED_VALUE"""),"")</f>
        <v/>
      </c>
      <c r="S1140" s="1" t="str">
        <f>IFERROR(__xludf.DUMMYFUNCTION("""COMPUTED_VALUE"""),"")</f>
        <v/>
      </c>
      <c r="T1140" s="1" t="str">
        <f>IFERROR(__xludf.DUMMYFUNCTION("""COMPUTED_VALUE"""),"")</f>
        <v/>
      </c>
      <c r="U1140" s="1" t="str">
        <f>IFERROR(__xludf.DUMMYFUNCTION("""COMPUTED_VALUE"""),"")</f>
        <v/>
      </c>
      <c r="V1140" s="1" t="str">
        <f>IFERROR(__xludf.DUMMYFUNCTION("""COMPUTED_VALUE"""),"784,600")</f>
        <v>784,600</v>
      </c>
      <c r="W1140" s="1" t="str">
        <f>IFERROR(__xludf.DUMMYFUNCTION("""COMPUTED_VALUE"""),"58")</f>
        <v>58</v>
      </c>
      <c r="X1140" s="1" t="str">
        <f>IFERROR(__xludf.DUMMYFUNCTION("""COMPUTED_VALUE"""),"")</f>
        <v/>
      </c>
      <c r="Y1140" s="1" t="str">
        <f>IFERROR(__xludf.DUMMYFUNCTION("""COMPUTED_VALUE"""),"")</f>
        <v/>
      </c>
      <c r="Z1140" s="1" t="str">
        <f>IFERROR(__xludf.DUMMYFUNCTION("""COMPUTED_VALUE"""),"Unknown")</f>
        <v>Unknown</v>
      </c>
      <c r="AA1140" s="1" t="str">
        <f>IFERROR(__xludf.DUMMYFUNCTION("""COMPUTED_VALUE"""),"")</f>
        <v/>
      </c>
      <c r="AB1140" s="1" t="str">
        <f>IFERROR(__xludf.DUMMYFUNCTION("""COMPUTED_VALUE"""),"")</f>
        <v/>
      </c>
      <c r="AC1140" s="1" t="str">
        <f>IFERROR(__xludf.DUMMYFUNCTION("""COMPUTED_VALUE"""),"")</f>
        <v/>
      </c>
      <c r="AD1140" s="1" t="str">
        <f>IFERROR(__xludf.DUMMYFUNCTION("""COMPUTED_VALUE"""),"")</f>
        <v/>
      </c>
      <c r="AE1140" s="1" t="str">
        <f>IFERROR(__xludf.DUMMYFUNCTION("""COMPUTED_VALUE"""),"")</f>
        <v/>
      </c>
      <c r="AF1140" s="1" t="str">
        <f>IFERROR(__xludf.DUMMYFUNCTION("""COMPUTED_VALUE"""),"")</f>
        <v/>
      </c>
      <c r="AG1140" s="1" t="str">
        <f>IFERROR(__xludf.DUMMYFUNCTION("""COMPUTED_VALUE"""),"")</f>
        <v/>
      </c>
      <c r="AH1140" s="1" t="str">
        <f>IFERROR(__xludf.DUMMYFUNCTION("""COMPUTED_VALUE"""),"PEC")</f>
        <v>PEC</v>
      </c>
      <c r="AI1140" s="2" t="str">
        <f>IFERROR(__xludf.DUMMYFUNCTION("""COMPUTED_VALUE"""),"https://loudouncountyvaeg.tylerhost.net/prod/selfservice#/plan/A3CFB06B-5F39-4218-A8C5-D494E4ABAB9B?tab=locations")</f>
        <v>https://loudouncountyvaeg.tylerhost.net/prod/selfservice#/plan/A3CFB06B-5F39-4218-A8C5-D494E4ABAB9B?tab=locations</v>
      </c>
      <c r="AJ1140" s="2" t="str">
        <f>IFERROR(__xludf.DUMMYFUNCTION("""COMPUTED_VALUE"""),"https://reparcelasmt.loudoun.gov/pt/Datalets/Datalet.aspx?UseSearch=no&amp;mode=profileall&amp;pin=154199491000&amp;jur=107&amp;taxyr=2025")</f>
        <v>https://reparcelasmt.loudoun.gov/pt/Datalets/Datalet.aspx?UseSearch=no&amp;mode=profileall&amp;pin=154199491000&amp;jur=107&amp;taxyr=2025</v>
      </c>
      <c r="AK1140" s="1" t="str">
        <f>IFERROR(__xludf.DUMMYFUNCTION("""COMPUTED_VALUE"""),"")</f>
        <v/>
      </c>
      <c r="AL1140" s="1" t="str">
        <f>IFERROR(__xludf.DUMMYFUNCTION("""COMPUTED_VALUE"""),"")</f>
        <v/>
      </c>
      <c r="AM1140" s="1" t="str">
        <f>IFERROR(__xludf.DUMMYFUNCTION("""COMPUTED_VALUE"""),"")</f>
        <v/>
      </c>
      <c r="AN1140" s="1" t="str">
        <f>IFERROR(__xludf.DUMMYFUNCTION("""COMPUTED_VALUE"""),"")</f>
        <v/>
      </c>
      <c r="AO1140" s="1" t="str">
        <f>IFERROR(__xludf.DUMMYFUNCTION("""COMPUTED_VALUE"""),"")</f>
        <v/>
      </c>
      <c r="AP1140" s="1" t="str">
        <f>IFERROR(__xludf.DUMMYFUNCTION("""COMPUTED_VALUE"""),"")</f>
        <v/>
      </c>
      <c r="AQ1140" s="1" t="str">
        <f>IFERROR(__xludf.DUMMYFUNCTION("""COMPUTED_VALUE"""),"08/11/2025")</f>
        <v>08/11/2025</v>
      </c>
      <c r="AR1140" s="1" t="str">
        <f>IFERROR(__xludf.DUMMYFUNCTION("""COMPUTED_VALUE"""),"10/17/2025")</f>
        <v>10/17/2025</v>
      </c>
    </row>
    <row r="1141">
      <c r="A1141" s="1" t="str">
        <f>IFERROR(__xludf.DUMMYFUNCTION("""COMPUTED_VALUE"""),"DARAB VENTURES SIX")</f>
        <v>DARAB VENTURES SIX</v>
      </c>
      <c r="B1141" s="1" t="str">
        <f>IFERROR(__xludf.DUMMYFUNCTION("""COMPUTED_VALUE"""),"22235 LOUDOUN COUNTY PKWY")</f>
        <v>22235 LOUDOUN COUNTY PKWY</v>
      </c>
      <c r="C1141" s="1" t="str">
        <f>IFERROR(__xludf.DUMMYFUNCTION("""COMPUTED_VALUE"""),"Ashburn")</f>
        <v>Ashburn</v>
      </c>
      <c r="D1141" s="1" t="str">
        <f>IFERROR(__xludf.DUMMYFUNCTION("""COMPUTED_VALUE"""),"VA")</f>
        <v>VA</v>
      </c>
      <c r="E1141" s="1" t="str">
        <f>IFERROR(__xludf.DUMMYFUNCTION("""COMPUTED_VALUE"""),"20147")</f>
        <v>20147</v>
      </c>
      <c r="F1141" s="1" t="str">
        <f>IFERROR(__xludf.DUMMYFUNCTION("""COMPUTED_VALUE"""),"Loudoun")</f>
        <v>Loudoun</v>
      </c>
      <c r="G1141" s="1" t="str">
        <f>IFERROR(__xludf.DUMMYFUNCTION("""COMPUTED_VALUE"""),"39.005962")</f>
        <v>39.005962</v>
      </c>
      <c r="H1141" s="1" t="str">
        <f>IFERROR(__xludf.DUMMYFUNCTION("""COMPUTED_VALUE"""),"-77.47724")</f>
        <v>-77.47724</v>
      </c>
      <c r="I1141" s="1" t="str">
        <f>IFERROR(__xludf.DUMMYFUNCTION("""COMPUTED_VALUE"""),"Proposed")</f>
        <v>Proposed</v>
      </c>
      <c r="J1141" s="1" t="str">
        <f>IFERROR(__xludf.DUMMYFUNCTION("""COMPUTED_VALUE"""),"High")</f>
        <v>High</v>
      </c>
      <c r="K1141" s="1" t="str">
        <f>IFERROR(__xludf.DUMMYFUNCTION("""COMPUTED_VALUE"""),"")</f>
        <v/>
      </c>
      <c r="L1141" s="1" t="str">
        <f>IFERROR(__xludf.DUMMYFUNCTION("""COMPUTED_VALUE"""),"")</f>
        <v/>
      </c>
      <c r="M1141" s="1" t="str">
        <f>IFERROR(__xludf.DUMMYFUNCTION("""COMPUTED_VALUE"""),"")</f>
        <v/>
      </c>
      <c r="N1141" s="1" t="str">
        <f>IFERROR(__xludf.DUMMYFUNCTION("""COMPUTED_VALUE"""),"")</f>
        <v/>
      </c>
      <c r="O1141" s="1" t="str">
        <f>IFERROR(__xludf.DUMMYFUNCTION("""COMPUTED_VALUE"""),"Unknown")</f>
        <v>Unknown</v>
      </c>
      <c r="P1141" s="1" t="str">
        <f>IFERROR(__xludf.DUMMYFUNCTION("""COMPUTED_VALUE"""),"")</f>
        <v/>
      </c>
      <c r="Q1141" s="1" t="str">
        <f>IFERROR(__xludf.DUMMYFUNCTION("""COMPUTED_VALUE"""),"")</f>
        <v/>
      </c>
      <c r="R1141" s="1" t="str">
        <f>IFERROR(__xludf.DUMMYFUNCTION("""COMPUTED_VALUE"""),"")</f>
        <v/>
      </c>
      <c r="S1141" s="1" t="str">
        <f>IFERROR(__xludf.DUMMYFUNCTION("""COMPUTED_VALUE"""),"")</f>
        <v/>
      </c>
      <c r="T1141" s="1" t="str">
        <f>IFERROR(__xludf.DUMMYFUNCTION("""COMPUTED_VALUE"""),"")</f>
        <v/>
      </c>
      <c r="U1141" s="1" t="str">
        <f>IFERROR(__xludf.DUMMYFUNCTION("""COMPUTED_VALUE"""),"")</f>
        <v/>
      </c>
      <c r="V1141" s="1" t="str">
        <f>IFERROR(__xludf.DUMMYFUNCTION("""COMPUTED_VALUE"""),"1,538,288")</f>
        <v>1,538,288</v>
      </c>
      <c r="W1141" s="1" t="str">
        <f>IFERROR(__xludf.DUMMYFUNCTION("""COMPUTED_VALUE"""),"63")</f>
        <v>63</v>
      </c>
      <c r="X1141" s="1" t="str">
        <f>IFERROR(__xludf.DUMMYFUNCTION("""COMPUTED_VALUE"""),"")</f>
        <v/>
      </c>
      <c r="Y1141" s="1" t="str">
        <f>IFERROR(__xludf.DUMMYFUNCTION("""COMPUTED_VALUE"""),"")</f>
        <v/>
      </c>
      <c r="Z1141" s="1" t="str">
        <f>IFERROR(__xludf.DUMMYFUNCTION("""COMPUTED_VALUE"""),"Unknown")</f>
        <v>Unknown</v>
      </c>
      <c r="AA1141" s="1" t="str">
        <f>IFERROR(__xludf.DUMMYFUNCTION("""COMPUTED_VALUE"""),"")</f>
        <v/>
      </c>
      <c r="AB1141" s="1" t="str">
        <f>IFERROR(__xludf.DUMMYFUNCTION("""COMPUTED_VALUE"""),"")</f>
        <v/>
      </c>
      <c r="AC1141" s="1" t="str">
        <f>IFERROR(__xludf.DUMMYFUNCTION("""COMPUTED_VALUE"""),"")</f>
        <v/>
      </c>
      <c r="AD1141" s="1" t="str">
        <f>IFERROR(__xludf.DUMMYFUNCTION("""COMPUTED_VALUE"""),"")</f>
        <v/>
      </c>
      <c r="AE1141" s="1" t="str">
        <f>IFERROR(__xludf.DUMMYFUNCTION("""COMPUTED_VALUE"""),"")</f>
        <v/>
      </c>
      <c r="AF1141" s="1" t="str">
        <f>IFERROR(__xludf.DUMMYFUNCTION("""COMPUTED_VALUE"""),"")</f>
        <v/>
      </c>
      <c r="AG1141" s="1" t="str">
        <f>IFERROR(__xludf.DUMMYFUNCTION("""COMPUTED_VALUE"""),"LC11 &amp; LC12. Project covers more than one parcel, the acreage represents the combined acreage. Square footage may not represent all new buildings")</f>
        <v>LC11 &amp; LC12. Project covers more than one parcel, the acreage represents the combined acreage. Square footage may not represent all new buildings</v>
      </c>
      <c r="AH1141" s="1" t="str">
        <f>IFERROR(__xludf.DUMMYFUNCTION("""COMPUTED_VALUE"""),"PEC")</f>
        <v>PEC</v>
      </c>
      <c r="AI1141" s="2" t="str">
        <f>IFERROR(__xludf.DUMMYFUNCTION("""COMPUTED_VALUE"""),"https://loudouncountyvaeg.tylerhost.net/prod/selfservice#/plan/CE0FA648-33FE-41A8-AFF4-5DD4C9FAB100")</f>
        <v>https://loudouncountyvaeg.tylerhost.net/prod/selfservice#/plan/CE0FA648-33FE-41A8-AFF4-5DD4C9FAB100</v>
      </c>
      <c r="AJ1141" s="2" t="str">
        <f>IFERROR(__xludf.DUMMYFUNCTION("""COMPUTED_VALUE"""),"https://reparcelasmt.loudoun.gov/pt/datalets/datalet.aspx?mode=land_summary&amp;UseSearch=no&amp;pin=089496314001&amp;jur=107&amp;taxyr=2025&amp;LMparent=20")</f>
        <v>https://reparcelasmt.loudoun.gov/pt/datalets/datalet.aspx?mode=land_summary&amp;UseSearch=no&amp;pin=089496314001&amp;jur=107&amp;taxyr=2025&amp;LMparent=20</v>
      </c>
      <c r="AK1141" s="1" t="str">
        <f>IFERROR(__xludf.DUMMYFUNCTION("""COMPUTED_VALUE"""),"")</f>
        <v/>
      </c>
      <c r="AL1141" s="1" t="str">
        <f>IFERROR(__xludf.DUMMYFUNCTION("""COMPUTED_VALUE"""),"")</f>
        <v/>
      </c>
      <c r="AM1141" s="1" t="str">
        <f>IFERROR(__xludf.DUMMYFUNCTION("""COMPUTED_VALUE"""),"")</f>
        <v/>
      </c>
      <c r="AN1141" s="1" t="str">
        <f>IFERROR(__xludf.DUMMYFUNCTION("""COMPUTED_VALUE"""),"")</f>
        <v/>
      </c>
      <c r="AO1141" s="1" t="str">
        <f>IFERROR(__xludf.DUMMYFUNCTION("""COMPUTED_VALUE"""),"")</f>
        <v/>
      </c>
      <c r="AP1141" s="1" t="str">
        <f>IFERROR(__xludf.DUMMYFUNCTION("""COMPUTED_VALUE"""),"")</f>
        <v/>
      </c>
      <c r="AQ1141" s="1" t="str">
        <f>IFERROR(__xludf.DUMMYFUNCTION("""COMPUTED_VALUE"""),"08/10/2025")</f>
        <v>08/10/2025</v>
      </c>
      <c r="AR1141" s="1" t="str">
        <f>IFERROR(__xludf.DUMMYFUNCTION("""COMPUTED_VALUE"""),"10/17/2025")</f>
        <v>10/17/2025</v>
      </c>
    </row>
    <row r="1142">
      <c r="A1142" s="1" t="str">
        <f>IFERROR(__xludf.DUMMYFUNCTION("""COMPUTED_VALUE"""),"DBT-DATA ASHBURN HOLDING I")</f>
        <v>DBT-DATA ASHBURN HOLDING I</v>
      </c>
      <c r="B1142" s="1" t="str">
        <f>IFERROR(__xludf.DUMMYFUNCTION("""COMPUTED_VALUE"""),"44610 GUILFORD DR")</f>
        <v>44610 GUILFORD DR</v>
      </c>
      <c r="C1142" s="1" t="str">
        <f>IFERROR(__xludf.DUMMYFUNCTION("""COMPUTED_VALUE"""),"Ashburn")</f>
        <v>Ashburn</v>
      </c>
      <c r="D1142" s="1" t="str">
        <f>IFERROR(__xludf.DUMMYFUNCTION("""COMPUTED_VALUE"""),"VA")</f>
        <v>VA</v>
      </c>
      <c r="E1142" s="1" t="str">
        <f>IFERROR(__xludf.DUMMYFUNCTION("""COMPUTED_VALUE"""),"20147")</f>
        <v>20147</v>
      </c>
      <c r="F1142" s="1" t="str">
        <f>IFERROR(__xludf.DUMMYFUNCTION("""COMPUTED_VALUE"""),"Loudoun")</f>
        <v>Loudoun</v>
      </c>
      <c r="G1142" s="1" t="str">
        <f>IFERROR(__xludf.DUMMYFUNCTION("""COMPUTED_VALUE"""),"39.0249")</f>
        <v>39.0249</v>
      </c>
      <c r="H1142" s="1" t="str">
        <f>IFERROR(__xludf.DUMMYFUNCTION("""COMPUTED_VALUE"""),"-77.45765")</f>
        <v>-77.45765</v>
      </c>
      <c r="I1142" s="1" t="str">
        <f>IFERROR(__xludf.DUMMYFUNCTION("""COMPUTED_VALUE"""),"Operating")</f>
        <v>Operating</v>
      </c>
      <c r="J1142" s="1" t="str">
        <f>IFERROR(__xludf.DUMMYFUNCTION("""COMPUTED_VALUE"""),"High")</f>
        <v>High</v>
      </c>
      <c r="K1142" s="1" t="str">
        <f>IFERROR(__xludf.DUMMYFUNCTION("""COMPUTED_VALUE"""),"")</f>
        <v/>
      </c>
      <c r="L1142" s="1" t="str">
        <f>IFERROR(__xludf.DUMMYFUNCTION("""COMPUTED_VALUE"""),"NTT GLOBAL DATA CENTERS AMERICAS INC")</f>
        <v>NTT GLOBAL DATA CENTERS AMERICAS INC</v>
      </c>
      <c r="M1142" s="1" t="str">
        <f>IFERROR(__xludf.DUMMYFUNCTION("""COMPUTED_VALUE"""),"")</f>
        <v/>
      </c>
      <c r="N1142" s="1" t="str">
        <f>IFERROR(__xludf.DUMMYFUNCTION("""COMPUTED_VALUE"""),"")</f>
        <v/>
      </c>
      <c r="O1142" s="1" t="str">
        <f>IFERROR(__xludf.DUMMYFUNCTION("""COMPUTED_VALUE"""),"Unknown")</f>
        <v>Unknown</v>
      </c>
      <c r="P1142" s="1" t="str">
        <f>IFERROR(__xludf.DUMMYFUNCTION("""COMPUTED_VALUE"""),"")</f>
        <v/>
      </c>
      <c r="Q1142" s="1" t="str">
        <f>IFERROR(__xludf.DUMMYFUNCTION("""COMPUTED_VALUE"""),"")</f>
        <v/>
      </c>
      <c r="R1142" s="1" t="str">
        <f>IFERROR(__xludf.DUMMYFUNCTION("""COMPUTED_VALUE"""),"")</f>
        <v/>
      </c>
      <c r="S1142" s="1" t="str">
        <f>IFERROR(__xludf.DUMMYFUNCTION("""COMPUTED_VALUE"""),"")</f>
        <v/>
      </c>
      <c r="T1142" s="1" t="str">
        <f>IFERROR(__xludf.DUMMYFUNCTION("""COMPUTED_VALUE"""),"")</f>
        <v/>
      </c>
      <c r="U1142" s="1" t="str">
        <f>IFERROR(__xludf.DUMMYFUNCTION("""COMPUTED_VALUE"""),"")</f>
        <v/>
      </c>
      <c r="V1142" s="1" t="str">
        <f>IFERROR(__xludf.DUMMYFUNCTION("""COMPUTED_VALUE"""),"123,200")</f>
        <v>123,200</v>
      </c>
      <c r="W1142" s="1" t="str">
        <f>IFERROR(__xludf.DUMMYFUNCTION("""COMPUTED_VALUE"""),"5")</f>
        <v>5</v>
      </c>
      <c r="X1142" s="1" t="str">
        <f>IFERROR(__xludf.DUMMYFUNCTION("""COMPUTED_VALUE"""),"")</f>
        <v/>
      </c>
      <c r="Y1142" s="1" t="str">
        <f>IFERROR(__xludf.DUMMYFUNCTION("""COMPUTED_VALUE"""),"")</f>
        <v/>
      </c>
      <c r="Z1142" s="1" t="str">
        <f>IFERROR(__xludf.DUMMYFUNCTION("""COMPUTED_VALUE"""),"Unknown")</f>
        <v>Unknown</v>
      </c>
      <c r="AA1142" s="1" t="str">
        <f>IFERROR(__xludf.DUMMYFUNCTION("""COMPUTED_VALUE"""),"")</f>
        <v/>
      </c>
      <c r="AB1142" s="1" t="str">
        <f>IFERROR(__xludf.DUMMYFUNCTION("""COMPUTED_VALUE"""),"")</f>
        <v/>
      </c>
      <c r="AC1142" s="1" t="str">
        <f>IFERROR(__xludf.DUMMYFUNCTION("""COMPUTED_VALUE"""),"")</f>
        <v/>
      </c>
      <c r="AD1142" s="1" t="str">
        <f>IFERROR(__xludf.DUMMYFUNCTION("""COMPUTED_VALUE"""),"")</f>
        <v/>
      </c>
      <c r="AE1142" s="1" t="str">
        <f>IFERROR(__xludf.DUMMYFUNCTION("""COMPUTED_VALUE"""),"")</f>
        <v/>
      </c>
      <c r="AF1142" s="1" t="str">
        <f>IFERROR(__xludf.DUMMYFUNCTION("""COMPUTED_VALUE"""),"")</f>
        <v/>
      </c>
      <c r="AG1142" s="1" t="str">
        <f>IFERROR(__xludf.DUMMYFUNCTION("""COMPUTED_VALUE"""),"Shown as ""Storage Warehouse""")</f>
        <v>Shown as "Storage Warehouse"</v>
      </c>
      <c r="AH1142" s="1" t="str">
        <f>IFERROR(__xludf.DUMMYFUNCTION("""COMPUTED_VALUE"""),"PEC")</f>
        <v>PEC</v>
      </c>
      <c r="AI1142" s="2" t="str">
        <f>IFERROR(__xludf.DUMMYFUNCTION("""COMPUTED_VALUE"""),"https://reparcelasmt.loudoun.gov/pt/Datalets/Datalet.aspx?UseSearch=no&amp;mode=profileall&amp;pin=060386530000&amp;jur=107&amp;taxyr=2024")</f>
        <v>https://reparcelasmt.loudoun.gov/pt/Datalets/Datalet.aspx?UseSearch=no&amp;mode=profileall&amp;pin=060386530000&amp;jur=107&amp;taxyr=2024</v>
      </c>
      <c r="AJ1142" s="1" t="str">
        <f>IFERROR(__xludf.DUMMYFUNCTION("""COMPUTED_VALUE"""),"")</f>
        <v/>
      </c>
      <c r="AK1142" s="1" t="str">
        <f>IFERROR(__xludf.DUMMYFUNCTION("""COMPUTED_VALUE"""),"")</f>
        <v/>
      </c>
      <c r="AL1142" s="1" t="str">
        <f>IFERROR(__xludf.DUMMYFUNCTION("""COMPUTED_VALUE"""),"")</f>
        <v/>
      </c>
      <c r="AM1142" s="1" t="str">
        <f>IFERROR(__xludf.DUMMYFUNCTION("""COMPUTED_VALUE"""),"")</f>
        <v/>
      </c>
      <c r="AN1142" s="1" t="str">
        <f>IFERROR(__xludf.DUMMYFUNCTION("""COMPUTED_VALUE"""),"")</f>
        <v/>
      </c>
      <c r="AO1142" s="1" t="str">
        <f>IFERROR(__xludf.DUMMYFUNCTION("""COMPUTED_VALUE"""),"")</f>
        <v/>
      </c>
      <c r="AP1142" s="1" t="str">
        <f>IFERROR(__xludf.DUMMYFUNCTION("""COMPUTED_VALUE"""),"")</f>
        <v/>
      </c>
      <c r="AQ1142" s="1" t="str">
        <f>IFERROR(__xludf.DUMMYFUNCTION("""COMPUTED_VALUE"""),"04/10/2024")</f>
        <v>04/10/2024</v>
      </c>
      <c r="AR1142" s="1" t="str">
        <f>IFERROR(__xludf.DUMMYFUNCTION("""COMPUTED_VALUE"""),"10/17/2025")</f>
        <v>10/17/2025</v>
      </c>
    </row>
    <row r="1143">
      <c r="A1143" s="1" t="str">
        <f>IFERROR(__xludf.DUMMYFUNCTION("""COMPUTED_VALUE"""),"DC 8 9 10 DE")</f>
        <v>DC 8 9 10 DE</v>
      </c>
      <c r="B1143" s="1" t="str">
        <f>IFERROR(__xludf.DUMMYFUNCTION("""COMPUTED_VALUE"""),"21271 SMITH SWITCH RD")</f>
        <v>21271 SMITH SWITCH RD</v>
      </c>
      <c r="C1143" s="1" t="str">
        <f>IFERROR(__xludf.DUMMYFUNCTION("""COMPUTED_VALUE"""),"Ashburn")</f>
        <v>Ashburn</v>
      </c>
      <c r="D1143" s="1" t="str">
        <f>IFERROR(__xludf.DUMMYFUNCTION("""COMPUTED_VALUE"""),"VA")</f>
        <v>VA</v>
      </c>
      <c r="E1143" s="1" t="str">
        <f>IFERROR(__xludf.DUMMYFUNCTION("""COMPUTED_VALUE"""),"20147")</f>
        <v>20147</v>
      </c>
      <c r="F1143" s="1" t="str">
        <f>IFERROR(__xludf.DUMMYFUNCTION("""COMPUTED_VALUE"""),"Loudoun")</f>
        <v>Loudoun</v>
      </c>
      <c r="G1143" s="1" t="str">
        <f>IFERROR(__xludf.DUMMYFUNCTION("""COMPUTED_VALUE"""),"39.02908")</f>
        <v>39.02908</v>
      </c>
      <c r="H1143" s="1" t="str">
        <f>IFERROR(__xludf.DUMMYFUNCTION("""COMPUTED_VALUE"""),"-77.45896")</f>
        <v>-77.45896</v>
      </c>
      <c r="I1143" s="1" t="str">
        <f>IFERROR(__xludf.DUMMYFUNCTION("""COMPUTED_VALUE"""),"Operating")</f>
        <v>Operating</v>
      </c>
      <c r="J1143" s="1" t="str">
        <f>IFERROR(__xludf.DUMMYFUNCTION("""COMPUTED_VALUE"""),"High")</f>
        <v>High</v>
      </c>
      <c r="K1143" s="1" t="str">
        <f>IFERROR(__xludf.DUMMYFUNCTION("""COMPUTED_VALUE"""),"")</f>
        <v/>
      </c>
      <c r="L1143" s="1" t="str">
        <f>IFERROR(__xludf.DUMMYFUNCTION("""COMPUTED_VALUE"""),"DC 8 9 10 DE LLC")</f>
        <v>DC 8 9 10 DE LLC</v>
      </c>
      <c r="M1143" s="1" t="str">
        <f>IFERROR(__xludf.DUMMYFUNCTION("""COMPUTED_VALUE"""),"")</f>
        <v/>
      </c>
      <c r="N1143" s="1" t="str">
        <f>IFERROR(__xludf.DUMMYFUNCTION("""COMPUTED_VALUE"""),"")</f>
        <v/>
      </c>
      <c r="O1143" s="1" t="str">
        <f>IFERROR(__xludf.DUMMYFUNCTION("""COMPUTED_VALUE"""),"Unknown")</f>
        <v>Unknown</v>
      </c>
      <c r="P1143" s="1" t="str">
        <f>IFERROR(__xludf.DUMMYFUNCTION("""COMPUTED_VALUE"""),"")</f>
        <v/>
      </c>
      <c r="Q1143" s="1" t="str">
        <f>IFERROR(__xludf.DUMMYFUNCTION("""COMPUTED_VALUE"""),"")</f>
        <v/>
      </c>
      <c r="R1143" s="1" t="str">
        <f>IFERROR(__xludf.DUMMYFUNCTION("""COMPUTED_VALUE"""),"")</f>
        <v/>
      </c>
      <c r="S1143" s="1" t="str">
        <f>IFERROR(__xludf.DUMMYFUNCTION("""COMPUTED_VALUE"""),"")</f>
        <v/>
      </c>
      <c r="T1143" s="1" t="str">
        <f>IFERROR(__xludf.DUMMYFUNCTION("""COMPUTED_VALUE"""),"")</f>
        <v/>
      </c>
      <c r="U1143" s="1" t="str">
        <f>IFERROR(__xludf.DUMMYFUNCTION("""COMPUTED_VALUE"""),"")</f>
        <v/>
      </c>
      <c r="V1143" s="1" t="str">
        <f>IFERROR(__xludf.DUMMYFUNCTION("""COMPUTED_VALUE"""),"429,711")</f>
        <v>429,711</v>
      </c>
      <c r="W1143" s="1" t="str">
        <f>IFERROR(__xludf.DUMMYFUNCTION("""COMPUTED_VALUE"""),"35")</f>
        <v>35</v>
      </c>
      <c r="X1143" s="1" t="str">
        <f>IFERROR(__xludf.DUMMYFUNCTION("""COMPUTED_VALUE"""),"")</f>
        <v/>
      </c>
      <c r="Y1143" s="1" t="str">
        <f>IFERROR(__xludf.DUMMYFUNCTION("""COMPUTED_VALUE"""),"")</f>
        <v/>
      </c>
      <c r="Z1143" s="1" t="str">
        <f>IFERROR(__xludf.DUMMYFUNCTION("""COMPUTED_VALUE"""),"Unknown")</f>
        <v>Unknown</v>
      </c>
      <c r="AA1143" s="1" t="str">
        <f>IFERROR(__xludf.DUMMYFUNCTION("""COMPUTED_VALUE"""),"")</f>
        <v/>
      </c>
      <c r="AB1143" s="1" t="str">
        <f>IFERROR(__xludf.DUMMYFUNCTION("""COMPUTED_VALUE"""),"")</f>
        <v/>
      </c>
      <c r="AC1143" s="1" t="str">
        <f>IFERROR(__xludf.DUMMYFUNCTION("""COMPUTED_VALUE"""),"")</f>
        <v/>
      </c>
      <c r="AD1143" s="1" t="str">
        <f>IFERROR(__xludf.DUMMYFUNCTION("""COMPUTED_VALUE"""),"")</f>
        <v/>
      </c>
      <c r="AE1143" s="1" t="str">
        <f>IFERROR(__xludf.DUMMYFUNCTION("""COMPUTED_VALUE"""),"")</f>
        <v/>
      </c>
      <c r="AF1143" s="1" t="str">
        <f>IFERROR(__xludf.DUMMYFUNCTION("""COMPUTED_VALUE"""),"")</f>
        <v/>
      </c>
      <c r="AG1143" s="1" t="str">
        <f>IFERROR(__xludf.DUMMYFUNCTION("""COMPUTED_VALUE"""),"Shown as ""Storage Warehouse""")</f>
        <v>Shown as "Storage Warehouse"</v>
      </c>
      <c r="AH1143" s="1" t="str">
        <f>IFERROR(__xludf.DUMMYFUNCTION("""COMPUTED_VALUE"""),"PEC")</f>
        <v>PEC</v>
      </c>
      <c r="AI1143" s="2" t="str">
        <f>IFERROR(__xludf.DUMMYFUNCTION("""COMPUTED_VALUE"""),"https://reparcelasmt.loudoun.gov/pt/Datalets/Datalet.aspx?UseSearch=no&amp;mode=profileall&amp;pin=060485060000&amp;jur=107&amp;taxyr=2024")</f>
        <v>https://reparcelasmt.loudoun.gov/pt/Datalets/Datalet.aspx?UseSearch=no&amp;mode=profileall&amp;pin=060485060000&amp;jur=107&amp;taxyr=2024</v>
      </c>
      <c r="AJ1143" s="1" t="str">
        <f>IFERROR(__xludf.DUMMYFUNCTION("""COMPUTED_VALUE"""),"")</f>
        <v/>
      </c>
      <c r="AK1143" s="1" t="str">
        <f>IFERROR(__xludf.DUMMYFUNCTION("""COMPUTED_VALUE"""),"")</f>
        <v/>
      </c>
      <c r="AL1143" s="1" t="str">
        <f>IFERROR(__xludf.DUMMYFUNCTION("""COMPUTED_VALUE"""),"")</f>
        <v/>
      </c>
      <c r="AM1143" s="1" t="str">
        <f>IFERROR(__xludf.DUMMYFUNCTION("""COMPUTED_VALUE"""),"")</f>
        <v/>
      </c>
      <c r="AN1143" s="1" t="str">
        <f>IFERROR(__xludf.DUMMYFUNCTION("""COMPUTED_VALUE"""),"")</f>
        <v/>
      </c>
      <c r="AO1143" s="1" t="str">
        <f>IFERROR(__xludf.DUMMYFUNCTION("""COMPUTED_VALUE"""),"")</f>
        <v/>
      </c>
      <c r="AP1143" s="1" t="str">
        <f>IFERROR(__xludf.DUMMYFUNCTION("""COMPUTED_VALUE"""),"")</f>
        <v/>
      </c>
      <c r="AQ1143" s="1" t="str">
        <f>IFERROR(__xludf.DUMMYFUNCTION("""COMPUTED_VALUE"""),"04/10/2024")</f>
        <v>04/10/2024</v>
      </c>
      <c r="AR1143" s="1" t="str">
        <f>IFERROR(__xludf.DUMMYFUNCTION("""COMPUTED_VALUE"""),"10/17/2025")</f>
        <v>10/17/2025</v>
      </c>
    </row>
    <row r="1144">
      <c r="A1144" s="1" t="str">
        <f>IFERROR(__xludf.DUMMYFUNCTION("""COMPUTED_VALUE"""),"Digital Filigree")</f>
        <v>Digital Filigree</v>
      </c>
      <c r="B1144" s="1" t="str">
        <f>IFERROR(__xludf.DUMMYFUNCTION("""COMPUTED_VALUE"""),"21780 FILIGREE CT")</f>
        <v>21780 FILIGREE CT</v>
      </c>
      <c r="C1144" s="1" t="str">
        <f>IFERROR(__xludf.DUMMYFUNCTION("""COMPUTED_VALUE"""),"Ashburn")</f>
        <v>Ashburn</v>
      </c>
      <c r="D1144" s="1" t="str">
        <f>IFERROR(__xludf.DUMMYFUNCTION("""COMPUTED_VALUE"""),"VA")</f>
        <v>VA</v>
      </c>
      <c r="E1144" s="1" t="str">
        <f>IFERROR(__xludf.DUMMYFUNCTION("""COMPUTED_VALUE"""),"20147")</f>
        <v>20147</v>
      </c>
      <c r="F1144" s="1" t="str">
        <f>IFERROR(__xludf.DUMMYFUNCTION("""COMPUTED_VALUE"""),"Loudoun")</f>
        <v>Loudoun</v>
      </c>
      <c r="G1144" s="1" t="str">
        <f>IFERROR(__xludf.DUMMYFUNCTION("""COMPUTED_VALUE"""),"39.013676")</f>
        <v>39.013676</v>
      </c>
      <c r="H1144" s="1" t="str">
        <f>IFERROR(__xludf.DUMMYFUNCTION("""COMPUTED_VALUE"""),"-77.45641")</f>
        <v>-77.45641</v>
      </c>
      <c r="I1144" s="1" t="str">
        <f>IFERROR(__xludf.DUMMYFUNCTION("""COMPUTED_VALUE"""),"Proposed")</f>
        <v>Proposed</v>
      </c>
      <c r="J1144" s="1" t="str">
        <f>IFERROR(__xludf.DUMMYFUNCTION("""COMPUTED_VALUE"""),"High")</f>
        <v>High</v>
      </c>
      <c r="K1144" s="1" t="str">
        <f>IFERROR(__xludf.DUMMYFUNCTION("""COMPUTED_VALUE"""),"")</f>
        <v/>
      </c>
      <c r="L1144" s="1" t="str">
        <f>IFERROR(__xludf.DUMMYFUNCTION("""COMPUTED_VALUE"""),"Digital Realty")</f>
        <v>Digital Realty</v>
      </c>
      <c r="M1144" s="1" t="str">
        <f>IFERROR(__xludf.DUMMYFUNCTION("""COMPUTED_VALUE"""),"")</f>
        <v/>
      </c>
      <c r="N1144" s="1" t="str">
        <f>IFERROR(__xludf.DUMMYFUNCTION("""COMPUTED_VALUE"""),"")</f>
        <v/>
      </c>
      <c r="O1144" s="1" t="str">
        <f>IFERROR(__xludf.DUMMYFUNCTION("""COMPUTED_VALUE"""),"Unknown")</f>
        <v>Unknown</v>
      </c>
      <c r="P1144" s="1" t="str">
        <f>IFERROR(__xludf.DUMMYFUNCTION("""COMPUTED_VALUE"""),"")</f>
        <v/>
      </c>
      <c r="Q1144" s="1" t="str">
        <f>IFERROR(__xludf.DUMMYFUNCTION("""COMPUTED_VALUE"""),"")</f>
        <v/>
      </c>
      <c r="R1144" s="1" t="str">
        <f>IFERROR(__xludf.DUMMYFUNCTION("""COMPUTED_VALUE"""),"")</f>
        <v/>
      </c>
      <c r="S1144" s="1" t="str">
        <f>IFERROR(__xludf.DUMMYFUNCTION("""COMPUTED_VALUE"""),"")</f>
        <v/>
      </c>
      <c r="T1144" s="1" t="str">
        <f>IFERROR(__xludf.DUMMYFUNCTION("""COMPUTED_VALUE"""),"")</f>
        <v/>
      </c>
      <c r="U1144" s="1" t="str">
        <f>IFERROR(__xludf.DUMMYFUNCTION("""COMPUTED_VALUE"""),"")</f>
        <v/>
      </c>
      <c r="V1144" s="1" t="str">
        <f>IFERROR(__xludf.DUMMYFUNCTION("""COMPUTED_VALUE"""),"342,003")</f>
        <v>342,003</v>
      </c>
      <c r="W1144" s="1" t="str">
        <f>IFERROR(__xludf.DUMMYFUNCTION("""COMPUTED_VALUE"""),"13")</f>
        <v>13</v>
      </c>
      <c r="X1144" s="1" t="str">
        <f>IFERROR(__xludf.DUMMYFUNCTION("""COMPUTED_VALUE"""),"")</f>
        <v/>
      </c>
      <c r="Y1144" s="1" t="str">
        <f>IFERROR(__xludf.DUMMYFUNCTION("""COMPUTED_VALUE"""),"")</f>
        <v/>
      </c>
      <c r="Z1144" s="1" t="str">
        <f>IFERROR(__xludf.DUMMYFUNCTION("""COMPUTED_VALUE"""),"Unknown")</f>
        <v>Unknown</v>
      </c>
      <c r="AA1144" s="1" t="str">
        <f>IFERROR(__xludf.DUMMYFUNCTION("""COMPUTED_VALUE"""),"")</f>
        <v/>
      </c>
      <c r="AB1144" s="1" t="str">
        <f>IFERROR(__xludf.DUMMYFUNCTION("""COMPUTED_VALUE"""),"")</f>
        <v/>
      </c>
      <c r="AC1144" s="1" t="str">
        <f>IFERROR(__xludf.DUMMYFUNCTION("""COMPUTED_VALUE"""),"")</f>
        <v/>
      </c>
      <c r="AD1144" s="1" t="str">
        <f>IFERROR(__xludf.DUMMYFUNCTION("""COMPUTED_VALUE"""),"")</f>
        <v/>
      </c>
      <c r="AE1144" s="1" t="str">
        <f>IFERROR(__xludf.DUMMYFUNCTION("""COMPUTED_VALUE"""),"")</f>
        <v/>
      </c>
      <c r="AF1144" s="1" t="str">
        <f>IFERROR(__xludf.DUMMYFUNCTION("""COMPUTED_VALUE"""),"")</f>
        <v/>
      </c>
      <c r="AG1144" s="1" t="str">
        <f>IFERROR(__xludf.DUMMYFUNCTION("""COMPUTED_VALUE"""),"")</f>
        <v/>
      </c>
      <c r="AH1144" s="1" t="str">
        <f>IFERROR(__xludf.DUMMYFUNCTION("""COMPUTED_VALUE"""),"PEC")</f>
        <v>PEC</v>
      </c>
      <c r="AI1144" s="2" t="str">
        <f>IFERROR(__xludf.DUMMYFUNCTION("""COMPUTED_VALUE"""),"https://loudouncountyvaeg.tylerhost.net/prod/selfservice#/plan/f74213d7-0302-43fe-be04-0b7241e37af4?tab=attachments")</f>
        <v>https://loudouncountyvaeg.tylerhost.net/prod/selfservice#/plan/f74213d7-0302-43fe-be04-0b7241e37af4?tab=attachments</v>
      </c>
      <c r="AJ1144" s="2" t="str">
        <f>IFERROR(__xludf.DUMMYFUNCTION("""COMPUTED_VALUE"""),"https://reparcelasmt.loudoun.gov/pt/Datalets/Datalet.aspx?UseSearch=no&amp;mode=profileall&amp;pin=061394321000&amp;jur=107&amp;taxyr=2024")</f>
        <v>https://reparcelasmt.loudoun.gov/pt/Datalets/Datalet.aspx?UseSearch=no&amp;mode=profileall&amp;pin=061394321000&amp;jur=107&amp;taxyr=2024</v>
      </c>
      <c r="AK1144" s="1" t="str">
        <f>IFERROR(__xludf.DUMMYFUNCTION("""COMPUTED_VALUE"""),"")</f>
        <v/>
      </c>
      <c r="AL1144" s="1" t="str">
        <f>IFERROR(__xludf.DUMMYFUNCTION("""COMPUTED_VALUE"""),"")</f>
        <v/>
      </c>
      <c r="AM1144" s="1" t="str">
        <f>IFERROR(__xludf.DUMMYFUNCTION("""COMPUTED_VALUE"""),"")</f>
        <v/>
      </c>
      <c r="AN1144" s="1" t="str">
        <f>IFERROR(__xludf.DUMMYFUNCTION("""COMPUTED_VALUE"""),"")</f>
        <v/>
      </c>
      <c r="AO1144" s="1" t="str">
        <f>IFERROR(__xludf.DUMMYFUNCTION("""COMPUTED_VALUE"""),"")</f>
        <v/>
      </c>
      <c r="AP1144" s="1" t="str">
        <f>IFERROR(__xludf.DUMMYFUNCTION("""COMPUTED_VALUE"""),"")</f>
        <v/>
      </c>
      <c r="AQ1144" s="1" t="str">
        <f>IFERROR(__xludf.DUMMYFUNCTION("""COMPUTED_VALUE"""),"04/10/2024")</f>
        <v>04/10/2024</v>
      </c>
      <c r="AR1144" s="1" t="str">
        <f>IFERROR(__xludf.DUMMYFUNCTION("""COMPUTED_VALUE"""),"10/17/2025")</f>
        <v>10/17/2025</v>
      </c>
    </row>
    <row r="1145">
      <c r="A1145" s="1" t="str">
        <f>IFERROR(__xludf.DUMMYFUNCTION("""COMPUTED_VALUE"""),"DIGITAL-GCEAR1 ASHBURN")</f>
        <v>DIGITAL-GCEAR1 ASHBURN</v>
      </c>
      <c r="B1145" s="1" t="str">
        <f>IFERROR(__xludf.DUMMYFUNCTION("""COMPUTED_VALUE"""),"43915 DEVIN SHAFRON DR")</f>
        <v>43915 DEVIN SHAFRON DR</v>
      </c>
      <c r="C1145" s="1" t="str">
        <f>IFERROR(__xludf.DUMMYFUNCTION("""COMPUTED_VALUE"""),"Ashburn")</f>
        <v>Ashburn</v>
      </c>
      <c r="D1145" s="1" t="str">
        <f>IFERROR(__xludf.DUMMYFUNCTION("""COMPUTED_VALUE"""),"VA")</f>
        <v>VA</v>
      </c>
      <c r="E1145" s="1" t="str">
        <f>IFERROR(__xludf.DUMMYFUNCTION("""COMPUTED_VALUE"""),"20147")</f>
        <v>20147</v>
      </c>
      <c r="F1145" s="1" t="str">
        <f>IFERROR(__xludf.DUMMYFUNCTION("""COMPUTED_VALUE"""),"Loudoun")</f>
        <v>Loudoun</v>
      </c>
      <c r="G1145" s="1" t="str">
        <f>IFERROR(__xludf.DUMMYFUNCTION("""COMPUTED_VALUE"""),"39.00286")</f>
        <v>39.00286</v>
      </c>
      <c r="H1145" s="1" t="str">
        <f>IFERROR(__xludf.DUMMYFUNCTION("""COMPUTED_VALUE"""),"-77.48192")</f>
        <v>-77.48192</v>
      </c>
      <c r="I1145" s="1" t="str">
        <f>IFERROR(__xludf.DUMMYFUNCTION("""COMPUTED_VALUE"""),"Operating")</f>
        <v>Operating</v>
      </c>
      <c r="J1145" s="1" t="str">
        <f>IFERROR(__xludf.DUMMYFUNCTION("""COMPUTED_VALUE"""),"High")</f>
        <v>High</v>
      </c>
      <c r="K1145" s="1" t="str">
        <f>IFERROR(__xludf.DUMMYFUNCTION("""COMPUTED_VALUE"""),"")</f>
        <v/>
      </c>
      <c r="L1145" s="1" t="str">
        <f>IFERROR(__xludf.DUMMYFUNCTION("""COMPUTED_VALUE"""),"GI TC DEVIN SHAFRON LLC")</f>
        <v>GI TC DEVIN SHAFRON LLC</v>
      </c>
      <c r="M1145" s="1" t="str">
        <f>IFERROR(__xludf.DUMMYFUNCTION("""COMPUTED_VALUE"""),"")</f>
        <v/>
      </c>
      <c r="N1145" s="1" t="str">
        <f>IFERROR(__xludf.DUMMYFUNCTION("""COMPUTED_VALUE"""),"")</f>
        <v/>
      </c>
      <c r="O1145" s="1" t="str">
        <f>IFERROR(__xludf.DUMMYFUNCTION("""COMPUTED_VALUE"""),"Unknown")</f>
        <v>Unknown</v>
      </c>
      <c r="P1145" s="1" t="str">
        <f>IFERROR(__xludf.DUMMYFUNCTION("""COMPUTED_VALUE"""),"")</f>
        <v/>
      </c>
      <c r="Q1145" s="1" t="str">
        <f>IFERROR(__xludf.DUMMYFUNCTION("""COMPUTED_VALUE"""),"")</f>
        <v/>
      </c>
      <c r="R1145" s="1" t="str">
        <f>IFERROR(__xludf.DUMMYFUNCTION("""COMPUTED_VALUE"""),"")</f>
        <v/>
      </c>
      <c r="S1145" s="1" t="str">
        <f>IFERROR(__xludf.DUMMYFUNCTION("""COMPUTED_VALUE"""),"")</f>
        <v/>
      </c>
      <c r="T1145" s="1" t="str">
        <f>IFERROR(__xludf.DUMMYFUNCTION("""COMPUTED_VALUE"""),"")</f>
        <v/>
      </c>
      <c r="U1145" s="1" t="str">
        <f>IFERROR(__xludf.DUMMYFUNCTION("""COMPUTED_VALUE"""),"")</f>
        <v/>
      </c>
      <c r="V1145" s="1" t="str">
        <f>IFERROR(__xludf.DUMMYFUNCTION("""COMPUTED_VALUE"""),"138,600")</f>
        <v>138,600</v>
      </c>
      <c r="W1145" s="1" t="str">
        <f>IFERROR(__xludf.DUMMYFUNCTION("""COMPUTED_VALUE"""),"8")</f>
        <v>8</v>
      </c>
      <c r="X1145" s="1" t="str">
        <f>IFERROR(__xludf.DUMMYFUNCTION("""COMPUTED_VALUE"""),"")</f>
        <v/>
      </c>
      <c r="Y1145" s="1" t="str">
        <f>IFERROR(__xludf.DUMMYFUNCTION("""COMPUTED_VALUE"""),"")</f>
        <v/>
      </c>
      <c r="Z1145" s="1" t="str">
        <f>IFERROR(__xludf.DUMMYFUNCTION("""COMPUTED_VALUE"""),"Unknown")</f>
        <v>Unknown</v>
      </c>
      <c r="AA1145" s="1" t="str">
        <f>IFERROR(__xludf.DUMMYFUNCTION("""COMPUTED_VALUE"""),"")</f>
        <v/>
      </c>
      <c r="AB1145" s="1" t="str">
        <f>IFERROR(__xludf.DUMMYFUNCTION("""COMPUTED_VALUE"""),"")</f>
        <v/>
      </c>
      <c r="AC1145" s="1" t="str">
        <f>IFERROR(__xludf.DUMMYFUNCTION("""COMPUTED_VALUE"""),"")</f>
        <v/>
      </c>
      <c r="AD1145" s="1" t="str">
        <f>IFERROR(__xludf.DUMMYFUNCTION("""COMPUTED_VALUE"""),"")</f>
        <v/>
      </c>
      <c r="AE1145" s="1" t="str">
        <f>IFERROR(__xludf.DUMMYFUNCTION("""COMPUTED_VALUE"""),"")</f>
        <v/>
      </c>
      <c r="AF1145" s="1" t="str">
        <f>IFERROR(__xludf.DUMMYFUNCTION("""COMPUTED_VALUE"""),"")</f>
        <v/>
      </c>
      <c r="AG1145" s="1" t="str">
        <f>IFERROR(__xludf.DUMMYFUNCTION("""COMPUTED_VALUE"""),"Computer Center")</f>
        <v>Computer Center</v>
      </c>
      <c r="AH1145" s="1" t="str">
        <f>IFERROR(__xludf.DUMMYFUNCTION("""COMPUTED_VALUE"""),"PEC")</f>
        <v>PEC</v>
      </c>
      <c r="AI1145" s="2" t="str">
        <f>IFERROR(__xludf.DUMMYFUNCTION("""COMPUTED_VALUE"""),"https://reparcelasmt.loudoun.gov/pt/Datalets/Datalet.aspx?UseSearch=no&amp;mode=profileall&amp;pin=089382215000&amp;jur=107&amp;taxyr=2024")</f>
        <v>https://reparcelasmt.loudoun.gov/pt/Datalets/Datalet.aspx?UseSearch=no&amp;mode=profileall&amp;pin=089382215000&amp;jur=107&amp;taxyr=2024</v>
      </c>
      <c r="AJ1145" s="1" t="str">
        <f>IFERROR(__xludf.DUMMYFUNCTION("""COMPUTED_VALUE"""),"")</f>
        <v/>
      </c>
      <c r="AK1145" s="1" t="str">
        <f>IFERROR(__xludf.DUMMYFUNCTION("""COMPUTED_VALUE"""),"")</f>
        <v/>
      </c>
      <c r="AL1145" s="1" t="str">
        <f>IFERROR(__xludf.DUMMYFUNCTION("""COMPUTED_VALUE"""),"")</f>
        <v/>
      </c>
      <c r="AM1145" s="1" t="str">
        <f>IFERROR(__xludf.DUMMYFUNCTION("""COMPUTED_VALUE"""),"")</f>
        <v/>
      </c>
      <c r="AN1145" s="1" t="str">
        <f>IFERROR(__xludf.DUMMYFUNCTION("""COMPUTED_VALUE"""),"")</f>
        <v/>
      </c>
      <c r="AO1145" s="1" t="str">
        <f>IFERROR(__xludf.DUMMYFUNCTION("""COMPUTED_VALUE"""),"")</f>
        <v/>
      </c>
      <c r="AP1145" s="1" t="str">
        <f>IFERROR(__xludf.DUMMYFUNCTION("""COMPUTED_VALUE"""),"")</f>
        <v/>
      </c>
      <c r="AQ1145" s="1" t="str">
        <f>IFERROR(__xludf.DUMMYFUNCTION("""COMPUTED_VALUE"""),"04/10/2024")</f>
        <v>04/10/2024</v>
      </c>
      <c r="AR1145" s="1" t="str">
        <f>IFERROR(__xludf.DUMMYFUNCTION("""COMPUTED_VALUE"""),"10/17/2025")</f>
        <v>10/17/2025</v>
      </c>
    </row>
    <row r="1146">
      <c r="A1146" s="1" t="str">
        <f>IFERROR(__xludf.DUMMYFUNCTION("""COMPUTED_VALUE"""),"DIGITAL REALTY ACC10")</f>
        <v>DIGITAL REALTY ACC10</v>
      </c>
      <c r="B1146" s="1" t="str">
        <f>IFERROR(__xludf.DUMMYFUNCTION("""COMPUTED_VALUE"""),"21744 SIR TIMOTHY DR")</f>
        <v>21744 SIR TIMOTHY DR</v>
      </c>
      <c r="C1146" s="1" t="str">
        <f>IFERROR(__xludf.DUMMYFUNCTION("""COMPUTED_VALUE"""),"Ashburn")</f>
        <v>Ashburn</v>
      </c>
      <c r="D1146" s="1" t="str">
        <f>IFERROR(__xludf.DUMMYFUNCTION("""COMPUTED_VALUE"""),"VA")</f>
        <v>VA</v>
      </c>
      <c r="E1146" s="1" t="str">
        <f>IFERROR(__xludf.DUMMYFUNCTION("""COMPUTED_VALUE"""),"20147")</f>
        <v>20147</v>
      </c>
      <c r="F1146" s="1" t="str">
        <f>IFERROR(__xludf.DUMMYFUNCTION("""COMPUTED_VALUE"""),"Loudoun")</f>
        <v>Loudoun</v>
      </c>
      <c r="G1146" s="1" t="str">
        <f>IFERROR(__xludf.DUMMYFUNCTION("""COMPUTED_VALUE"""),"39.013275")</f>
        <v>39.013275</v>
      </c>
      <c r="H1146" s="1" t="str">
        <f>IFERROR(__xludf.DUMMYFUNCTION("""COMPUTED_VALUE"""),"-77.46602")</f>
        <v>-77.46602</v>
      </c>
      <c r="I1146" s="1" t="str">
        <f>IFERROR(__xludf.DUMMYFUNCTION("""COMPUTED_VALUE"""),"Operating")</f>
        <v>Operating</v>
      </c>
      <c r="J1146" s="1" t="str">
        <f>IFERROR(__xludf.DUMMYFUNCTION("""COMPUTED_VALUE"""),"High")</f>
        <v>High</v>
      </c>
      <c r="K1146" s="1" t="str">
        <f>IFERROR(__xludf.DUMMYFUNCTION("""COMPUTED_VALUE"""),"")</f>
        <v/>
      </c>
      <c r="L1146" s="1" t="str">
        <f>IFERROR(__xludf.DUMMYFUNCTION("""COMPUTED_VALUE"""),"BLUE SLING ACC 10 LLC")</f>
        <v>BLUE SLING ACC 10 LLC</v>
      </c>
      <c r="M1146" s="1" t="str">
        <f>IFERROR(__xludf.DUMMYFUNCTION("""COMPUTED_VALUE"""),"")</f>
        <v/>
      </c>
      <c r="N1146" s="1" t="str">
        <f>IFERROR(__xludf.DUMMYFUNCTION("""COMPUTED_VALUE"""),"")</f>
        <v/>
      </c>
      <c r="O1146" s="1" t="str">
        <f>IFERROR(__xludf.DUMMYFUNCTION("""COMPUTED_VALUE"""),"Unknown")</f>
        <v>Unknown</v>
      </c>
      <c r="P1146" s="1" t="str">
        <f>IFERROR(__xludf.DUMMYFUNCTION("""COMPUTED_VALUE"""),"")</f>
        <v/>
      </c>
      <c r="Q1146" s="1" t="str">
        <f>IFERROR(__xludf.DUMMYFUNCTION("""COMPUTED_VALUE"""),"")</f>
        <v/>
      </c>
      <c r="R1146" s="1" t="str">
        <f>IFERROR(__xludf.DUMMYFUNCTION("""COMPUTED_VALUE"""),"")</f>
        <v/>
      </c>
      <c r="S1146" s="1" t="str">
        <f>IFERROR(__xludf.DUMMYFUNCTION("""COMPUTED_VALUE"""),"")</f>
        <v/>
      </c>
      <c r="T1146" s="1" t="str">
        <f>IFERROR(__xludf.DUMMYFUNCTION("""COMPUTED_VALUE"""),"")</f>
        <v/>
      </c>
      <c r="U1146" s="1" t="str">
        <f>IFERROR(__xludf.DUMMYFUNCTION("""COMPUTED_VALUE"""),"")</f>
        <v/>
      </c>
      <c r="V1146" s="1" t="str">
        <f>IFERROR(__xludf.DUMMYFUNCTION("""COMPUTED_VALUE"""),"288,400")</f>
        <v>288,400</v>
      </c>
      <c r="W1146" s="1" t="str">
        <f>IFERROR(__xludf.DUMMYFUNCTION("""COMPUTED_VALUE"""),"17")</f>
        <v>17</v>
      </c>
      <c r="X1146" s="1" t="str">
        <f>IFERROR(__xludf.DUMMYFUNCTION("""COMPUTED_VALUE"""),"")</f>
        <v/>
      </c>
      <c r="Y1146" s="1" t="str">
        <f>IFERROR(__xludf.DUMMYFUNCTION("""COMPUTED_VALUE"""),"")</f>
        <v/>
      </c>
      <c r="Z1146" s="1" t="str">
        <f>IFERROR(__xludf.DUMMYFUNCTION("""COMPUTED_VALUE"""),"Unknown")</f>
        <v>Unknown</v>
      </c>
      <c r="AA1146" s="1" t="str">
        <f>IFERROR(__xludf.DUMMYFUNCTION("""COMPUTED_VALUE"""),"")</f>
        <v/>
      </c>
      <c r="AB1146" s="1" t="str">
        <f>IFERROR(__xludf.DUMMYFUNCTION("""COMPUTED_VALUE"""),"")</f>
        <v/>
      </c>
      <c r="AC1146" s="1" t="str">
        <f>IFERROR(__xludf.DUMMYFUNCTION("""COMPUTED_VALUE"""),"")</f>
        <v/>
      </c>
      <c r="AD1146" s="1" t="str">
        <f>IFERROR(__xludf.DUMMYFUNCTION("""COMPUTED_VALUE"""),"")</f>
        <v/>
      </c>
      <c r="AE1146" s="1" t="str">
        <f>IFERROR(__xludf.DUMMYFUNCTION("""COMPUTED_VALUE"""),"")</f>
        <v/>
      </c>
      <c r="AF1146" s="1" t="str">
        <f>IFERROR(__xludf.DUMMYFUNCTION("""COMPUTED_VALUE"""),"")</f>
        <v/>
      </c>
      <c r="AG1146" s="1" t="str">
        <f>IFERROR(__xludf.DUMMYFUNCTION("""COMPUTED_VALUE"""),"Computer Center")</f>
        <v>Computer Center</v>
      </c>
      <c r="AH1146" s="1" t="str">
        <f>IFERROR(__xludf.DUMMYFUNCTION("""COMPUTED_VALUE"""),"PEC")</f>
        <v>PEC</v>
      </c>
      <c r="AI1146" s="2" t="str">
        <f>IFERROR(__xludf.DUMMYFUNCTION("""COMPUTED_VALUE"""),"https://reparcelasmt.loudoun.gov/pt/datalets/datalet.aspx?mode=profileall&amp;UseSearch=no&amp;pin=061268762000&amp;jur=107&amp;taxyr=2024&amp;LMparent=20")</f>
        <v>https://reparcelasmt.loudoun.gov/pt/datalets/datalet.aspx?mode=profileall&amp;UseSearch=no&amp;pin=061268762000&amp;jur=107&amp;taxyr=2024&amp;LMparent=20</v>
      </c>
      <c r="AJ1146" s="1" t="str">
        <f>IFERROR(__xludf.DUMMYFUNCTION("""COMPUTED_VALUE"""),"")</f>
        <v/>
      </c>
      <c r="AK1146" s="1" t="str">
        <f>IFERROR(__xludf.DUMMYFUNCTION("""COMPUTED_VALUE"""),"")</f>
        <v/>
      </c>
      <c r="AL1146" s="1" t="str">
        <f>IFERROR(__xludf.DUMMYFUNCTION("""COMPUTED_VALUE"""),"")</f>
        <v/>
      </c>
      <c r="AM1146" s="1" t="str">
        <f>IFERROR(__xludf.DUMMYFUNCTION("""COMPUTED_VALUE"""),"")</f>
        <v/>
      </c>
      <c r="AN1146" s="1" t="str">
        <f>IFERROR(__xludf.DUMMYFUNCTION("""COMPUTED_VALUE"""),"")</f>
        <v/>
      </c>
      <c r="AO1146" s="1" t="str">
        <f>IFERROR(__xludf.DUMMYFUNCTION("""COMPUTED_VALUE"""),"")</f>
        <v/>
      </c>
      <c r="AP1146" s="1" t="str">
        <f>IFERROR(__xludf.DUMMYFUNCTION("""COMPUTED_VALUE"""),"")</f>
        <v/>
      </c>
      <c r="AQ1146" s="1" t="str">
        <f>IFERROR(__xludf.DUMMYFUNCTION("""COMPUTED_VALUE"""),"04/10/2024")</f>
        <v>04/10/2024</v>
      </c>
      <c r="AR1146" s="1" t="str">
        <f>IFERROR(__xludf.DUMMYFUNCTION("""COMPUTED_VALUE"""),"10/17/2025")</f>
        <v>10/17/2025</v>
      </c>
    </row>
    <row r="1147">
      <c r="A1147" s="1" t="str">
        <f>IFERROR(__xludf.DUMMYFUNCTION("""COMPUTED_VALUE"""),"DULLES BERRY LC4")</f>
        <v>DULLES BERRY LC4</v>
      </c>
      <c r="B1147" s="1" t="str">
        <f>IFERROR(__xludf.DUMMYFUNCTION("""COMPUTED_VALUE"""),"22200 LOUDOUN COUNTY PKWY")</f>
        <v>22200 LOUDOUN COUNTY PKWY</v>
      </c>
      <c r="C1147" s="1" t="str">
        <f>IFERROR(__xludf.DUMMYFUNCTION("""COMPUTED_VALUE"""),"Ashburn")</f>
        <v>Ashburn</v>
      </c>
      <c r="D1147" s="1" t="str">
        <f>IFERROR(__xludf.DUMMYFUNCTION("""COMPUTED_VALUE"""),"VA")</f>
        <v>VA</v>
      </c>
      <c r="E1147" s="1" t="str">
        <f>IFERROR(__xludf.DUMMYFUNCTION("""COMPUTED_VALUE"""),"20147")</f>
        <v>20147</v>
      </c>
      <c r="F1147" s="1" t="str">
        <f>IFERROR(__xludf.DUMMYFUNCTION("""COMPUTED_VALUE"""),"Loudoun")</f>
        <v>Loudoun</v>
      </c>
      <c r="G1147" s="1" t="str">
        <f>IFERROR(__xludf.DUMMYFUNCTION("""COMPUTED_VALUE"""),"39.00252")</f>
        <v>39.00252</v>
      </c>
      <c r="H1147" s="1" t="str">
        <f>IFERROR(__xludf.DUMMYFUNCTION("""COMPUTED_VALUE"""),"-77.47228")</f>
        <v>-77.47228</v>
      </c>
      <c r="I1147" s="1" t="str">
        <f>IFERROR(__xludf.DUMMYFUNCTION("""COMPUTED_VALUE"""),"Operating")</f>
        <v>Operating</v>
      </c>
      <c r="J1147" s="1" t="str">
        <f>IFERROR(__xludf.DUMMYFUNCTION("""COMPUTED_VALUE"""),"High")</f>
        <v>High</v>
      </c>
      <c r="K1147" s="1" t="str">
        <f>IFERROR(__xludf.DUMMYFUNCTION("""COMPUTED_VALUE"""),"")</f>
        <v/>
      </c>
      <c r="L1147" s="1" t="str">
        <f>IFERROR(__xludf.DUMMYFUNCTION("""COMPUTED_VALUE"""),"")</f>
        <v/>
      </c>
      <c r="M1147" s="1" t="str">
        <f>IFERROR(__xludf.DUMMYFUNCTION("""COMPUTED_VALUE"""),"")</f>
        <v/>
      </c>
      <c r="N1147" s="1" t="str">
        <f>IFERROR(__xludf.DUMMYFUNCTION("""COMPUTED_VALUE"""),"")</f>
        <v/>
      </c>
      <c r="O1147" s="1" t="str">
        <f>IFERROR(__xludf.DUMMYFUNCTION("""COMPUTED_VALUE"""),"Unknown")</f>
        <v>Unknown</v>
      </c>
      <c r="P1147" s="1" t="str">
        <f>IFERROR(__xludf.DUMMYFUNCTION("""COMPUTED_VALUE"""),"")</f>
        <v/>
      </c>
      <c r="Q1147" s="1" t="str">
        <f>IFERROR(__xludf.DUMMYFUNCTION("""COMPUTED_VALUE"""),"")</f>
        <v/>
      </c>
      <c r="R1147" s="1" t="str">
        <f>IFERROR(__xludf.DUMMYFUNCTION("""COMPUTED_VALUE"""),"")</f>
        <v/>
      </c>
      <c r="S1147" s="1" t="str">
        <f>IFERROR(__xludf.DUMMYFUNCTION("""COMPUTED_VALUE"""),"")</f>
        <v/>
      </c>
      <c r="T1147" s="1" t="str">
        <f>IFERROR(__xludf.DUMMYFUNCTION("""COMPUTED_VALUE"""),"")</f>
        <v/>
      </c>
      <c r="U1147" s="1" t="str">
        <f>IFERROR(__xludf.DUMMYFUNCTION("""COMPUTED_VALUE"""),"")</f>
        <v/>
      </c>
      <c r="V1147" s="1" t="str">
        <f>IFERROR(__xludf.DUMMYFUNCTION("""COMPUTED_VALUE"""),"1,434,706")</f>
        <v>1,434,706</v>
      </c>
      <c r="W1147" s="1" t="str">
        <f>IFERROR(__xludf.DUMMYFUNCTION("""COMPUTED_VALUE"""),"94")</f>
        <v>94</v>
      </c>
      <c r="X1147" s="1" t="str">
        <f>IFERROR(__xludf.DUMMYFUNCTION("""COMPUTED_VALUE"""),"")</f>
        <v/>
      </c>
      <c r="Y1147" s="1" t="str">
        <f>IFERROR(__xludf.DUMMYFUNCTION("""COMPUTED_VALUE"""),"")</f>
        <v/>
      </c>
      <c r="Z1147" s="1" t="str">
        <f>IFERROR(__xludf.DUMMYFUNCTION("""COMPUTED_VALUE"""),"Unknown")</f>
        <v>Unknown</v>
      </c>
      <c r="AA1147" s="1" t="str">
        <f>IFERROR(__xludf.DUMMYFUNCTION("""COMPUTED_VALUE"""),"")</f>
        <v/>
      </c>
      <c r="AB1147" s="1" t="str">
        <f>IFERROR(__xludf.DUMMYFUNCTION("""COMPUTED_VALUE"""),"")</f>
        <v/>
      </c>
      <c r="AC1147" s="1" t="str">
        <f>IFERROR(__xludf.DUMMYFUNCTION("""COMPUTED_VALUE"""),"")</f>
        <v/>
      </c>
      <c r="AD1147" s="1" t="str">
        <f>IFERROR(__xludf.DUMMYFUNCTION("""COMPUTED_VALUE"""),"")</f>
        <v/>
      </c>
      <c r="AE1147" s="1" t="str">
        <f>IFERROR(__xludf.DUMMYFUNCTION("""COMPUTED_VALUE"""),"")</f>
        <v/>
      </c>
      <c r="AF1147" s="1" t="str">
        <f>IFERROR(__xludf.DUMMYFUNCTION("""COMPUTED_VALUE"""),"")</f>
        <v/>
      </c>
      <c r="AG1147" s="1" t="str">
        <f>IFERROR(__xludf.DUMMYFUNCTION("""COMPUTED_VALUE"""),"Computer Center")</f>
        <v>Computer Center</v>
      </c>
      <c r="AH1147" s="1" t="str">
        <f>IFERROR(__xludf.DUMMYFUNCTION("""COMPUTED_VALUE"""),"PEC")</f>
        <v>PEC</v>
      </c>
      <c r="AI1147" s="2" t="str">
        <f>IFERROR(__xludf.DUMMYFUNCTION("""COMPUTED_VALUE"""),"https://reparcelasmt.loudoun.gov/pt/datalets/datalet.aspx?mode=profileall&amp;UseSearch=no&amp;pin=062256361000&amp;jur=107&amp;taxyr=2024&amp;LMparent=20")</f>
        <v>https://reparcelasmt.loudoun.gov/pt/datalets/datalet.aspx?mode=profileall&amp;UseSearch=no&amp;pin=062256361000&amp;jur=107&amp;taxyr=2024&amp;LMparent=20</v>
      </c>
      <c r="AJ1147" s="1" t="str">
        <f>IFERROR(__xludf.DUMMYFUNCTION("""COMPUTED_VALUE"""),"")</f>
        <v/>
      </c>
      <c r="AK1147" s="1" t="str">
        <f>IFERROR(__xludf.DUMMYFUNCTION("""COMPUTED_VALUE"""),"")</f>
        <v/>
      </c>
      <c r="AL1147" s="1" t="str">
        <f>IFERROR(__xludf.DUMMYFUNCTION("""COMPUTED_VALUE"""),"")</f>
        <v/>
      </c>
      <c r="AM1147" s="1" t="str">
        <f>IFERROR(__xludf.DUMMYFUNCTION("""COMPUTED_VALUE"""),"")</f>
        <v/>
      </c>
      <c r="AN1147" s="1" t="str">
        <f>IFERROR(__xludf.DUMMYFUNCTION("""COMPUTED_VALUE"""),"")</f>
        <v/>
      </c>
      <c r="AO1147" s="1" t="str">
        <f>IFERROR(__xludf.DUMMYFUNCTION("""COMPUTED_VALUE"""),"")</f>
        <v/>
      </c>
      <c r="AP1147" s="1" t="str">
        <f>IFERROR(__xludf.DUMMYFUNCTION("""COMPUTED_VALUE"""),"")</f>
        <v/>
      </c>
      <c r="AQ1147" s="1" t="str">
        <f>IFERROR(__xludf.DUMMYFUNCTION("""COMPUTED_VALUE"""),"04/10/2024")</f>
        <v>04/10/2024</v>
      </c>
      <c r="AR1147" s="1" t="str">
        <f>IFERROR(__xludf.DUMMYFUNCTION("""COMPUTED_VALUE"""),"10/17/2025")</f>
        <v>10/17/2025</v>
      </c>
    </row>
    <row r="1148">
      <c r="A1148" s="1" t="str">
        <f>IFERROR(__xludf.DUMMYFUNCTION("""COMPUTED_VALUE"""),"EQUINEX DC13")</f>
        <v>EQUINEX DC13</v>
      </c>
      <c r="B1148" s="1" t="str">
        <f>IFERROR(__xludf.DUMMYFUNCTION("""COMPUTED_VALUE"""),"21830 UUNET DR")</f>
        <v>21830 UUNET DR</v>
      </c>
      <c r="C1148" s="1" t="str">
        <f>IFERROR(__xludf.DUMMYFUNCTION("""COMPUTED_VALUE"""),"Ashburn")</f>
        <v>Ashburn</v>
      </c>
      <c r="D1148" s="1" t="str">
        <f>IFERROR(__xludf.DUMMYFUNCTION("""COMPUTED_VALUE"""),"VA")</f>
        <v>VA</v>
      </c>
      <c r="E1148" s="1" t="str">
        <f>IFERROR(__xludf.DUMMYFUNCTION("""COMPUTED_VALUE"""),"20147")</f>
        <v>20147</v>
      </c>
      <c r="F1148" s="1" t="str">
        <f>IFERROR(__xludf.DUMMYFUNCTION("""COMPUTED_VALUE"""),"Loudoun")</f>
        <v>Loudoun</v>
      </c>
      <c r="G1148" s="1" t="str">
        <f>IFERROR(__xludf.DUMMYFUNCTION("""COMPUTED_VALUE"""),"39.012604")</f>
        <v>39.012604</v>
      </c>
      <c r="H1148" s="1" t="str">
        <f>IFERROR(__xludf.DUMMYFUNCTION("""COMPUTED_VALUE"""),"-77.475334")</f>
        <v>-77.475334</v>
      </c>
      <c r="I1148" s="1" t="str">
        <f>IFERROR(__xludf.DUMMYFUNCTION("""COMPUTED_VALUE"""),"Operating")</f>
        <v>Operating</v>
      </c>
      <c r="J1148" s="1" t="str">
        <f>IFERROR(__xludf.DUMMYFUNCTION("""COMPUTED_VALUE"""),"High")</f>
        <v>High</v>
      </c>
      <c r="K1148" s="1" t="str">
        <f>IFERROR(__xludf.DUMMYFUNCTION("""COMPUTED_VALUE"""),"")</f>
        <v/>
      </c>
      <c r="L1148" s="1" t="str">
        <f>IFERROR(__xludf.DUMMYFUNCTION("""COMPUTED_VALUE"""),"Equinix")</f>
        <v>Equinix</v>
      </c>
      <c r="M1148" s="1" t="str">
        <f>IFERROR(__xludf.DUMMYFUNCTION("""COMPUTED_VALUE"""),"")</f>
        <v/>
      </c>
      <c r="N1148" s="1" t="str">
        <f>IFERROR(__xludf.DUMMYFUNCTION("""COMPUTED_VALUE"""),"")</f>
        <v/>
      </c>
      <c r="O1148" s="1" t="str">
        <f>IFERROR(__xludf.DUMMYFUNCTION("""COMPUTED_VALUE"""),"Unknown")</f>
        <v>Unknown</v>
      </c>
      <c r="P1148" s="1" t="str">
        <f>IFERROR(__xludf.DUMMYFUNCTION("""COMPUTED_VALUE"""),"")</f>
        <v/>
      </c>
      <c r="Q1148" s="1" t="str">
        <f>IFERROR(__xludf.DUMMYFUNCTION("""COMPUTED_VALUE"""),"")</f>
        <v/>
      </c>
      <c r="R1148" s="1" t="str">
        <f>IFERROR(__xludf.DUMMYFUNCTION("""COMPUTED_VALUE"""),"")</f>
        <v/>
      </c>
      <c r="S1148" s="1" t="str">
        <f>IFERROR(__xludf.DUMMYFUNCTION("""COMPUTED_VALUE"""),"")</f>
        <v/>
      </c>
      <c r="T1148" s="1" t="str">
        <f>IFERROR(__xludf.DUMMYFUNCTION("""COMPUTED_VALUE"""),"")</f>
        <v/>
      </c>
      <c r="U1148" s="1" t="str">
        <f>IFERROR(__xludf.DUMMYFUNCTION("""COMPUTED_VALUE"""),"")</f>
        <v/>
      </c>
      <c r="V1148" s="1" t="str">
        <f>IFERROR(__xludf.DUMMYFUNCTION("""COMPUTED_VALUE"""),"108,300")</f>
        <v>108,300</v>
      </c>
      <c r="W1148" s="1" t="str">
        <f>IFERROR(__xludf.DUMMYFUNCTION("""COMPUTED_VALUE"""),"6")</f>
        <v>6</v>
      </c>
      <c r="X1148" s="1" t="str">
        <f>IFERROR(__xludf.DUMMYFUNCTION("""COMPUTED_VALUE"""),"")</f>
        <v/>
      </c>
      <c r="Y1148" s="1" t="str">
        <f>IFERROR(__xludf.DUMMYFUNCTION("""COMPUTED_VALUE"""),"")</f>
        <v/>
      </c>
      <c r="Z1148" s="1" t="str">
        <f>IFERROR(__xludf.DUMMYFUNCTION("""COMPUTED_VALUE"""),"Unknown")</f>
        <v>Unknown</v>
      </c>
      <c r="AA1148" s="1" t="str">
        <f>IFERROR(__xludf.DUMMYFUNCTION("""COMPUTED_VALUE"""),"")</f>
        <v/>
      </c>
      <c r="AB1148" s="1" t="str">
        <f>IFERROR(__xludf.DUMMYFUNCTION("""COMPUTED_VALUE"""),"")</f>
        <v/>
      </c>
      <c r="AC1148" s="1" t="str">
        <f>IFERROR(__xludf.DUMMYFUNCTION("""COMPUTED_VALUE"""),"")</f>
        <v/>
      </c>
      <c r="AD1148" s="1" t="str">
        <f>IFERROR(__xludf.DUMMYFUNCTION("""COMPUTED_VALUE"""),"")</f>
        <v/>
      </c>
      <c r="AE1148" s="1" t="str">
        <f>IFERROR(__xludf.DUMMYFUNCTION("""COMPUTED_VALUE"""),"")</f>
        <v/>
      </c>
      <c r="AF1148" s="1" t="str">
        <f>IFERROR(__xludf.DUMMYFUNCTION("""COMPUTED_VALUE"""),"")</f>
        <v/>
      </c>
      <c r="AG1148" s="1" t="str">
        <f>IFERROR(__xludf.DUMMYFUNCTION("""COMPUTED_VALUE"""),"Computer Center")</f>
        <v>Computer Center</v>
      </c>
      <c r="AH1148" s="1" t="str">
        <f>IFERROR(__xludf.DUMMYFUNCTION("""COMPUTED_VALUE"""),"PEC")</f>
        <v>PEC</v>
      </c>
      <c r="AI1148" s="2" t="str">
        <f>IFERROR(__xludf.DUMMYFUNCTION("""COMPUTED_VALUE"""),"https://reparcelasmt.loudoun.gov/pt/datalets/datalet.aspx?mode=profileall&amp;UseSearch=no&amp;pin=088200644000&amp;jur=107&amp;taxyr=2024&amp;LMparent=20")</f>
        <v>https://reparcelasmt.loudoun.gov/pt/datalets/datalet.aspx?mode=profileall&amp;UseSearch=no&amp;pin=088200644000&amp;jur=107&amp;taxyr=2024&amp;LMparent=20</v>
      </c>
      <c r="AJ1148" s="1" t="str">
        <f>IFERROR(__xludf.DUMMYFUNCTION("""COMPUTED_VALUE"""),"")</f>
        <v/>
      </c>
      <c r="AK1148" s="1" t="str">
        <f>IFERROR(__xludf.DUMMYFUNCTION("""COMPUTED_VALUE"""),"")</f>
        <v/>
      </c>
      <c r="AL1148" s="1" t="str">
        <f>IFERROR(__xludf.DUMMYFUNCTION("""COMPUTED_VALUE"""),"")</f>
        <v/>
      </c>
      <c r="AM1148" s="1" t="str">
        <f>IFERROR(__xludf.DUMMYFUNCTION("""COMPUTED_VALUE"""),"")</f>
        <v/>
      </c>
      <c r="AN1148" s="1" t="str">
        <f>IFERROR(__xludf.DUMMYFUNCTION("""COMPUTED_VALUE"""),"")</f>
        <v/>
      </c>
      <c r="AO1148" s="1" t="str">
        <f>IFERROR(__xludf.DUMMYFUNCTION("""COMPUTED_VALUE"""),"")</f>
        <v/>
      </c>
      <c r="AP1148" s="1" t="str">
        <f>IFERROR(__xludf.DUMMYFUNCTION("""COMPUTED_VALUE"""),"")</f>
        <v/>
      </c>
      <c r="AQ1148" s="1" t="str">
        <f>IFERROR(__xludf.DUMMYFUNCTION("""COMPUTED_VALUE"""),"04/10/2024")</f>
        <v>04/10/2024</v>
      </c>
      <c r="AR1148" s="1" t="str">
        <f>IFERROR(__xludf.DUMMYFUNCTION("""COMPUTED_VALUE"""),"10/17/2025")</f>
        <v>10/17/2025</v>
      </c>
    </row>
    <row r="1149">
      <c r="A1149" s="1" t="str">
        <f>IFERROR(__xludf.DUMMYFUNCTION("""COMPUTED_VALUE"""),"EQUINIX ASHBURN EAST")</f>
        <v>EQUINIX ASHBURN EAST</v>
      </c>
      <c r="B1149" s="1" t="str">
        <f>IFERROR(__xludf.DUMMYFUNCTION("""COMPUTED_VALUE"""),"22165 BEAUMEADE CIR")</f>
        <v>22165 BEAUMEADE CIR</v>
      </c>
      <c r="C1149" s="1" t="str">
        <f>IFERROR(__xludf.DUMMYFUNCTION("""COMPUTED_VALUE"""),"Ashburn")</f>
        <v>Ashburn</v>
      </c>
      <c r="D1149" s="1" t="str">
        <f>IFERROR(__xludf.DUMMYFUNCTION("""COMPUTED_VALUE"""),"VA")</f>
        <v>VA</v>
      </c>
      <c r="E1149" s="1" t="str">
        <f>IFERROR(__xludf.DUMMYFUNCTION("""COMPUTED_VALUE"""),"20147")</f>
        <v>20147</v>
      </c>
      <c r="F1149" s="1" t="str">
        <f>IFERROR(__xludf.DUMMYFUNCTION("""COMPUTED_VALUE"""),"Loudoun")</f>
        <v>Loudoun</v>
      </c>
      <c r="G1149" s="1" t="str">
        <f>IFERROR(__xludf.DUMMYFUNCTION("""COMPUTED_VALUE"""),"39.01383")</f>
        <v>39.01383</v>
      </c>
      <c r="H1149" s="1" t="str">
        <f>IFERROR(__xludf.DUMMYFUNCTION("""COMPUTED_VALUE"""),"-77.45399")</f>
        <v>-77.45399</v>
      </c>
      <c r="I1149" s="1" t="str">
        <f>IFERROR(__xludf.DUMMYFUNCTION("""COMPUTED_VALUE"""),"Proposed")</f>
        <v>Proposed</v>
      </c>
      <c r="J1149" s="1" t="str">
        <f>IFERROR(__xludf.DUMMYFUNCTION("""COMPUTED_VALUE"""),"High")</f>
        <v>High</v>
      </c>
      <c r="K1149" s="1" t="str">
        <f>IFERROR(__xludf.DUMMYFUNCTION("""COMPUTED_VALUE"""),"")</f>
        <v/>
      </c>
      <c r="L1149" s="1" t="str">
        <f>IFERROR(__xludf.DUMMYFUNCTION("""COMPUTED_VALUE"""),"Equinix")</f>
        <v>Equinix</v>
      </c>
      <c r="M1149" s="1" t="str">
        <f>IFERROR(__xludf.DUMMYFUNCTION("""COMPUTED_VALUE"""),"")</f>
        <v/>
      </c>
      <c r="N1149" s="1" t="str">
        <f>IFERROR(__xludf.DUMMYFUNCTION("""COMPUTED_VALUE"""),"")</f>
        <v/>
      </c>
      <c r="O1149" s="1" t="str">
        <f>IFERROR(__xludf.DUMMYFUNCTION("""COMPUTED_VALUE"""),"Unknown")</f>
        <v>Unknown</v>
      </c>
      <c r="P1149" s="1" t="str">
        <f>IFERROR(__xludf.DUMMYFUNCTION("""COMPUTED_VALUE"""),"")</f>
        <v/>
      </c>
      <c r="Q1149" s="1" t="str">
        <f>IFERROR(__xludf.DUMMYFUNCTION("""COMPUTED_VALUE"""),"")</f>
        <v/>
      </c>
      <c r="R1149" s="1" t="str">
        <f>IFERROR(__xludf.DUMMYFUNCTION("""COMPUTED_VALUE"""),"")</f>
        <v/>
      </c>
      <c r="S1149" s="1" t="str">
        <f>IFERROR(__xludf.DUMMYFUNCTION("""COMPUTED_VALUE"""),"")</f>
        <v/>
      </c>
      <c r="T1149" s="1" t="str">
        <f>IFERROR(__xludf.DUMMYFUNCTION("""COMPUTED_VALUE"""),"")</f>
        <v/>
      </c>
      <c r="U1149" s="1" t="str">
        <f>IFERROR(__xludf.DUMMYFUNCTION("""COMPUTED_VALUE"""),"")</f>
        <v/>
      </c>
      <c r="V1149" s="1" t="str">
        <f>IFERROR(__xludf.DUMMYFUNCTION("""COMPUTED_VALUE"""),"361,600")</f>
        <v>361,600</v>
      </c>
      <c r="W1149" s="1" t="str">
        <f>IFERROR(__xludf.DUMMYFUNCTION("""COMPUTED_VALUE"""),"10")</f>
        <v>10</v>
      </c>
      <c r="X1149" s="1" t="str">
        <f>IFERROR(__xludf.DUMMYFUNCTION("""COMPUTED_VALUE"""),"")</f>
        <v/>
      </c>
      <c r="Y1149" s="1" t="str">
        <f>IFERROR(__xludf.DUMMYFUNCTION("""COMPUTED_VALUE"""),"")</f>
        <v/>
      </c>
      <c r="Z1149" s="1" t="str">
        <f>IFERROR(__xludf.DUMMYFUNCTION("""COMPUTED_VALUE"""),"Unknown")</f>
        <v>Unknown</v>
      </c>
      <c r="AA1149" s="1" t="str">
        <f>IFERROR(__xludf.DUMMYFUNCTION("""COMPUTED_VALUE"""),"")</f>
        <v/>
      </c>
      <c r="AB1149" s="1" t="str">
        <f>IFERROR(__xludf.DUMMYFUNCTION("""COMPUTED_VALUE"""),"")</f>
        <v/>
      </c>
      <c r="AC1149" s="1" t="str">
        <f>IFERROR(__xludf.DUMMYFUNCTION("""COMPUTED_VALUE"""),"")</f>
        <v/>
      </c>
      <c r="AD1149" s="1" t="str">
        <f>IFERROR(__xludf.DUMMYFUNCTION("""COMPUTED_VALUE"""),"")</f>
        <v/>
      </c>
      <c r="AE1149" s="1" t="str">
        <f>IFERROR(__xludf.DUMMYFUNCTION("""COMPUTED_VALUE"""),"")</f>
        <v/>
      </c>
      <c r="AF1149" s="1" t="str">
        <f>IFERROR(__xludf.DUMMYFUNCTION("""COMPUTED_VALUE"""),"")</f>
        <v/>
      </c>
      <c r="AG1149" s="1" t="str">
        <f>IFERROR(__xludf.DUMMYFUNCTION("""COMPUTED_VALUE"""),"")</f>
        <v/>
      </c>
      <c r="AH1149" s="1" t="str">
        <f>IFERROR(__xludf.DUMMYFUNCTION("""COMPUTED_VALUE"""),"PEC")</f>
        <v>PEC</v>
      </c>
      <c r="AI1149" s="2" t="str">
        <f>IFERROR(__xludf.DUMMYFUNCTION("""COMPUTED_VALUE"""),"https://loudouncountyvaeg.tylerhost.net/prod/selfservice#/plan/bd36a7c3-e836-4275-a899-347180318c33?tab=attachments")</f>
        <v>https://loudouncountyvaeg.tylerhost.net/prod/selfservice#/plan/bd36a7c3-e836-4275-a899-347180318c33?tab=attachments</v>
      </c>
      <c r="AJ1149" s="2" t="str">
        <f>IFERROR(__xludf.DUMMYFUNCTION("""COMPUTED_VALUE"""),"https://reparcelasmt.loudoun.gov/pt/Datalets/Datalet.aspx?UseSearch=no&amp;mode=profileall&amp;pin=061301740000&amp;jur=107&amp;taxyr=2024")</f>
        <v>https://reparcelasmt.loudoun.gov/pt/Datalets/Datalet.aspx?UseSearch=no&amp;mode=profileall&amp;pin=061301740000&amp;jur=107&amp;taxyr=2024</v>
      </c>
      <c r="AK1149" s="1" t="str">
        <f>IFERROR(__xludf.DUMMYFUNCTION("""COMPUTED_VALUE"""),"")</f>
        <v/>
      </c>
      <c r="AL1149" s="1" t="str">
        <f>IFERROR(__xludf.DUMMYFUNCTION("""COMPUTED_VALUE"""),"")</f>
        <v/>
      </c>
      <c r="AM1149" s="1" t="str">
        <f>IFERROR(__xludf.DUMMYFUNCTION("""COMPUTED_VALUE"""),"")</f>
        <v/>
      </c>
      <c r="AN1149" s="1" t="str">
        <f>IFERROR(__xludf.DUMMYFUNCTION("""COMPUTED_VALUE"""),"")</f>
        <v/>
      </c>
      <c r="AO1149" s="1" t="str">
        <f>IFERROR(__xludf.DUMMYFUNCTION("""COMPUTED_VALUE"""),"")</f>
        <v/>
      </c>
      <c r="AP1149" s="1" t="str">
        <f>IFERROR(__xludf.DUMMYFUNCTION("""COMPUTED_VALUE"""),"")</f>
        <v/>
      </c>
      <c r="AQ1149" s="1" t="str">
        <f>IFERROR(__xludf.DUMMYFUNCTION("""COMPUTED_VALUE"""),"08/06/2025")</f>
        <v>08/06/2025</v>
      </c>
      <c r="AR1149" s="1" t="str">
        <f>IFERROR(__xludf.DUMMYFUNCTION("""COMPUTED_VALUE"""),"10/17/2025")</f>
        <v>10/17/2025</v>
      </c>
    </row>
    <row r="1150">
      <c r="A1150" s="1" t="str">
        <f>IFERROR(__xludf.DUMMYFUNCTION("""COMPUTED_VALUE"""),"Equinix Data Center")</f>
        <v>Equinix Data Center</v>
      </c>
      <c r="B1150" s="1" t="str">
        <f>IFERROR(__xludf.DUMMYFUNCTION("""COMPUTED_VALUE"""),"21551 Beaumeade Cir")</f>
        <v>21551 Beaumeade Cir</v>
      </c>
      <c r="C1150" s="1" t="str">
        <f>IFERROR(__xludf.DUMMYFUNCTION("""COMPUTED_VALUE"""),"Ashburn")</f>
        <v>Ashburn</v>
      </c>
      <c r="D1150" s="1" t="str">
        <f>IFERROR(__xludf.DUMMYFUNCTION("""COMPUTED_VALUE"""),"VA")</f>
        <v>VA</v>
      </c>
      <c r="E1150" s="1" t="str">
        <f>IFERROR(__xludf.DUMMYFUNCTION("""COMPUTED_VALUE"""),"20147")</f>
        <v>20147</v>
      </c>
      <c r="F1150" s="1" t="str">
        <f>IFERROR(__xludf.DUMMYFUNCTION("""COMPUTED_VALUE"""),"Loudoun")</f>
        <v>Loudoun</v>
      </c>
      <c r="G1150" s="1" t="str">
        <f>IFERROR(__xludf.DUMMYFUNCTION("""COMPUTED_VALUE"""),"39.02129")</f>
        <v>39.02129</v>
      </c>
      <c r="H1150" s="1" t="str">
        <f>IFERROR(__xludf.DUMMYFUNCTION("""COMPUTED_VALUE"""),"-77.4518")</f>
        <v>-77.4518</v>
      </c>
      <c r="I1150" s="1" t="str">
        <f>IFERROR(__xludf.DUMMYFUNCTION("""COMPUTED_VALUE"""),"Operating")</f>
        <v>Operating</v>
      </c>
      <c r="J1150" s="1" t="str">
        <f>IFERROR(__xludf.DUMMYFUNCTION("""COMPUTED_VALUE"""),"High")</f>
        <v>High</v>
      </c>
      <c r="K1150" s="1" t="str">
        <f>IFERROR(__xludf.DUMMYFUNCTION("""COMPUTED_VALUE"""),"")</f>
        <v/>
      </c>
      <c r="L1150" s="1" t="str">
        <f>IFERROR(__xludf.DUMMYFUNCTION("""COMPUTED_VALUE"""),"")</f>
        <v/>
      </c>
      <c r="M1150" s="1" t="str">
        <f>IFERROR(__xludf.DUMMYFUNCTION("""COMPUTED_VALUE"""),"")</f>
        <v/>
      </c>
      <c r="N1150" s="1" t="str">
        <f>IFERROR(__xludf.DUMMYFUNCTION("""COMPUTED_VALUE"""),"")</f>
        <v/>
      </c>
      <c r="O1150" s="1" t="str">
        <f>IFERROR(__xludf.DUMMYFUNCTION("""COMPUTED_VALUE"""),"Unknown")</f>
        <v>Unknown</v>
      </c>
      <c r="P1150" s="1" t="str">
        <f>IFERROR(__xludf.DUMMYFUNCTION("""COMPUTED_VALUE"""),"")</f>
        <v/>
      </c>
      <c r="Q1150" s="1" t="str">
        <f>IFERROR(__xludf.DUMMYFUNCTION("""COMPUTED_VALUE"""),"")</f>
        <v/>
      </c>
      <c r="R1150" s="1" t="str">
        <f>IFERROR(__xludf.DUMMYFUNCTION("""COMPUTED_VALUE"""),"")</f>
        <v/>
      </c>
      <c r="S1150" s="1" t="str">
        <f>IFERROR(__xludf.DUMMYFUNCTION("""COMPUTED_VALUE"""),"")</f>
        <v/>
      </c>
      <c r="T1150" s="1" t="str">
        <f>IFERROR(__xludf.DUMMYFUNCTION("""COMPUTED_VALUE"""),"")</f>
        <v/>
      </c>
      <c r="U1150" s="1" t="str">
        <f>IFERROR(__xludf.DUMMYFUNCTION("""COMPUTED_VALUE"""),"")</f>
        <v/>
      </c>
      <c r="V1150" s="1" t="str">
        <f>IFERROR(__xludf.DUMMYFUNCTION("""COMPUTED_VALUE"""),"152,400")</f>
        <v>152,400</v>
      </c>
      <c r="W1150" s="1" t="str">
        <f>IFERROR(__xludf.DUMMYFUNCTION("""COMPUTED_VALUE"""),"11")</f>
        <v>11</v>
      </c>
      <c r="X1150" s="1" t="str">
        <f>IFERROR(__xludf.DUMMYFUNCTION("""COMPUTED_VALUE"""),"")</f>
        <v/>
      </c>
      <c r="Y1150" s="1" t="str">
        <f>IFERROR(__xludf.DUMMYFUNCTION("""COMPUTED_VALUE"""),"")</f>
        <v/>
      </c>
      <c r="Z1150" s="1" t="str">
        <f>IFERROR(__xludf.DUMMYFUNCTION("""COMPUTED_VALUE"""),"Unknown")</f>
        <v>Unknown</v>
      </c>
      <c r="AA1150" s="1" t="str">
        <f>IFERROR(__xludf.DUMMYFUNCTION("""COMPUTED_VALUE"""),"")</f>
        <v/>
      </c>
      <c r="AB1150" s="1" t="str">
        <f>IFERROR(__xludf.DUMMYFUNCTION("""COMPUTED_VALUE"""),"")</f>
        <v/>
      </c>
      <c r="AC1150" s="1" t="str">
        <f>IFERROR(__xludf.DUMMYFUNCTION("""COMPUTED_VALUE"""),"")</f>
        <v/>
      </c>
      <c r="AD1150" s="1" t="str">
        <f>IFERROR(__xludf.DUMMYFUNCTION("""COMPUTED_VALUE"""),"")</f>
        <v/>
      </c>
      <c r="AE1150" s="1" t="str">
        <f>IFERROR(__xludf.DUMMYFUNCTION("""COMPUTED_VALUE"""),"")</f>
        <v/>
      </c>
      <c r="AF1150" s="1" t="str">
        <f>IFERROR(__xludf.DUMMYFUNCTION("""COMPUTED_VALUE"""),"")</f>
        <v/>
      </c>
      <c r="AG1150" s="1" t="str">
        <f>IFERROR(__xludf.DUMMYFUNCTION("""COMPUTED_VALUE"""),"Shown as ""Storage Warehouse""")</f>
        <v>Shown as "Storage Warehouse"</v>
      </c>
      <c r="AH1150" s="1" t="str">
        <f>IFERROR(__xludf.DUMMYFUNCTION("""COMPUTED_VALUE"""),"Media Monitoring")</f>
        <v>Media Monitoring</v>
      </c>
      <c r="AI1150" s="1" t="str">
        <f>IFERROR(__xludf.DUMMYFUNCTION("""COMPUTED_VALUE"""),"")</f>
        <v/>
      </c>
      <c r="AJ1150" s="2" t="str">
        <f>IFERROR(__xludf.DUMMYFUNCTION("""COMPUTED_VALUE"""),"https://reparcelasmt.loudoun.gov/pt/datalets/datalet.aspx?mode=profileall&amp;UseSearch=no&amp;pin=060108050000&amp;jur=107&amp;taxyr=2024&amp;LMparent=20")</f>
        <v>https://reparcelasmt.loudoun.gov/pt/datalets/datalet.aspx?mode=profileall&amp;UseSearch=no&amp;pin=060108050000&amp;jur=107&amp;taxyr=2024&amp;LMparent=20</v>
      </c>
      <c r="AK1150" s="1" t="str">
        <f>IFERROR(__xludf.DUMMYFUNCTION("""COMPUTED_VALUE"""),"")</f>
        <v/>
      </c>
      <c r="AL1150" s="1" t="str">
        <f>IFERROR(__xludf.DUMMYFUNCTION("""COMPUTED_VALUE"""),"")</f>
        <v/>
      </c>
      <c r="AM1150" s="1" t="str">
        <f>IFERROR(__xludf.DUMMYFUNCTION("""COMPUTED_VALUE"""),"")</f>
        <v/>
      </c>
      <c r="AN1150" s="1" t="str">
        <f>IFERROR(__xludf.DUMMYFUNCTION("""COMPUTED_VALUE"""),"")</f>
        <v/>
      </c>
      <c r="AO1150" s="1" t="str">
        <f>IFERROR(__xludf.DUMMYFUNCTION("""COMPUTED_VALUE"""),"")</f>
        <v/>
      </c>
      <c r="AP1150" s="1" t="str">
        <f>IFERROR(__xludf.DUMMYFUNCTION("""COMPUTED_VALUE"""),"")</f>
        <v/>
      </c>
      <c r="AQ1150" s="1" t="str">
        <f>IFERROR(__xludf.DUMMYFUNCTION("""COMPUTED_VALUE"""),"05/28/2025")</f>
        <v>05/28/2025</v>
      </c>
      <c r="AR1150" s="1" t="str">
        <f>IFERROR(__xludf.DUMMYFUNCTION("""COMPUTED_VALUE"""),"05/28/2025")</f>
        <v>05/28/2025</v>
      </c>
    </row>
    <row r="1151">
      <c r="A1151" s="1" t="str">
        <f>IFERROR(__xludf.DUMMYFUNCTION("""COMPUTED_VALUE"""),"EQUINIX DC21")</f>
        <v>EQUINIX DC21</v>
      </c>
      <c r="B1151" s="1" t="str">
        <f>IFERROR(__xludf.DUMMYFUNCTION("""COMPUTED_VALUE"""),"22175 BEAUMEADE CIR")</f>
        <v>22175 BEAUMEADE CIR</v>
      </c>
      <c r="C1151" s="1" t="str">
        <f>IFERROR(__xludf.DUMMYFUNCTION("""COMPUTED_VALUE"""),"Ashburn")</f>
        <v>Ashburn</v>
      </c>
      <c r="D1151" s="1" t="str">
        <f>IFERROR(__xludf.DUMMYFUNCTION("""COMPUTED_VALUE"""),"VA")</f>
        <v>VA</v>
      </c>
      <c r="E1151" s="1" t="str">
        <f>IFERROR(__xludf.DUMMYFUNCTION("""COMPUTED_VALUE"""),"20147")</f>
        <v>20147</v>
      </c>
      <c r="F1151" s="1" t="str">
        <f>IFERROR(__xludf.DUMMYFUNCTION("""COMPUTED_VALUE"""),"Loudoun")</f>
        <v>Loudoun</v>
      </c>
      <c r="G1151" s="1" t="str">
        <f>IFERROR(__xludf.DUMMYFUNCTION("""COMPUTED_VALUE"""),"39.011864")</f>
        <v>39.011864</v>
      </c>
      <c r="H1151" s="1" t="str">
        <f>IFERROR(__xludf.DUMMYFUNCTION("""COMPUTED_VALUE"""),"-77.45481")</f>
        <v>-77.45481</v>
      </c>
      <c r="I1151" s="1" t="str">
        <f>IFERROR(__xludf.DUMMYFUNCTION("""COMPUTED_VALUE"""),"Operating")</f>
        <v>Operating</v>
      </c>
      <c r="J1151" s="1" t="str">
        <f>IFERROR(__xludf.DUMMYFUNCTION("""COMPUTED_VALUE"""),"High")</f>
        <v>High</v>
      </c>
      <c r="K1151" s="1" t="str">
        <f>IFERROR(__xludf.DUMMYFUNCTION("""COMPUTED_VALUE"""),"")</f>
        <v/>
      </c>
      <c r="L1151" s="1" t="str">
        <f>IFERROR(__xludf.DUMMYFUNCTION("""COMPUTED_VALUE"""),"Equinix")</f>
        <v>Equinix</v>
      </c>
      <c r="M1151" s="1" t="str">
        <f>IFERROR(__xludf.DUMMYFUNCTION("""COMPUTED_VALUE"""),"")</f>
        <v/>
      </c>
      <c r="N1151" s="1" t="str">
        <f>IFERROR(__xludf.DUMMYFUNCTION("""COMPUTED_VALUE"""),"")</f>
        <v/>
      </c>
      <c r="O1151" s="1" t="str">
        <f>IFERROR(__xludf.DUMMYFUNCTION("""COMPUTED_VALUE"""),"Unknown")</f>
        <v>Unknown</v>
      </c>
      <c r="P1151" s="1" t="str">
        <f>IFERROR(__xludf.DUMMYFUNCTION("""COMPUTED_VALUE"""),"")</f>
        <v/>
      </c>
      <c r="Q1151" s="1" t="str">
        <f>IFERROR(__xludf.DUMMYFUNCTION("""COMPUTED_VALUE"""),"")</f>
        <v/>
      </c>
      <c r="R1151" s="1" t="str">
        <f>IFERROR(__xludf.DUMMYFUNCTION("""COMPUTED_VALUE"""),"")</f>
        <v/>
      </c>
      <c r="S1151" s="1" t="str">
        <f>IFERROR(__xludf.DUMMYFUNCTION("""COMPUTED_VALUE"""),"")</f>
        <v/>
      </c>
      <c r="T1151" s="1" t="str">
        <f>IFERROR(__xludf.DUMMYFUNCTION("""COMPUTED_VALUE"""),"")</f>
        <v/>
      </c>
      <c r="U1151" s="1" t="str">
        <f>IFERROR(__xludf.DUMMYFUNCTION("""COMPUTED_VALUE"""),"")</f>
        <v/>
      </c>
      <c r="V1151" s="1" t="str">
        <f>IFERROR(__xludf.DUMMYFUNCTION("""COMPUTED_VALUE"""),"156,458")</f>
        <v>156,458</v>
      </c>
      <c r="W1151" s="1" t="str">
        <f>IFERROR(__xludf.DUMMYFUNCTION("""COMPUTED_VALUE"""),"10")</f>
        <v>10</v>
      </c>
      <c r="X1151" s="1" t="str">
        <f>IFERROR(__xludf.DUMMYFUNCTION("""COMPUTED_VALUE"""),"")</f>
        <v/>
      </c>
      <c r="Y1151" s="1" t="str">
        <f>IFERROR(__xludf.DUMMYFUNCTION("""COMPUTED_VALUE"""),"")</f>
        <v/>
      </c>
      <c r="Z1151" s="1" t="str">
        <f>IFERROR(__xludf.DUMMYFUNCTION("""COMPUTED_VALUE"""),"Unknown")</f>
        <v>Unknown</v>
      </c>
      <c r="AA1151" s="1" t="str">
        <f>IFERROR(__xludf.DUMMYFUNCTION("""COMPUTED_VALUE"""),"")</f>
        <v/>
      </c>
      <c r="AB1151" s="1" t="str">
        <f>IFERROR(__xludf.DUMMYFUNCTION("""COMPUTED_VALUE"""),"")</f>
        <v/>
      </c>
      <c r="AC1151" s="1" t="str">
        <f>IFERROR(__xludf.DUMMYFUNCTION("""COMPUTED_VALUE"""),"")</f>
        <v/>
      </c>
      <c r="AD1151" s="1" t="str">
        <f>IFERROR(__xludf.DUMMYFUNCTION("""COMPUTED_VALUE"""),"")</f>
        <v/>
      </c>
      <c r="AE1151" s="1" t="str">
        <f>IFERROR(__xludf.DUMMYFUNCTION("""COMPUTED_VALUE"""),"")</f>
        <v/>
      </c>
      <c r="AF1151" s="1" t="str">
        <f>IFERROR(__xludf.DUMMYFUNCTION("""COMPUTED_VALUE"""),"")</f>
        <v/>
      </c>
      <c r="AG1151" s="1" t="str">
        <f>IFERROR(__xludf.DUMMYFUNCTION("""COMPUTED_VALUE"""),"Computer Center")</f>
        <v>Computer Center</v>
      </c>
      <c r="AH1151" s="1" t="str">
        <f>IFERROR(__xludf.DUMMYFUNCTION("""COMPUTED_VALUE"""),"PEC")</f>
        <v>PEC</v>
      </c>
      <c r="AI1151" s="2" t="str">
        <f>IFERROR(__xludf.DUMMYFUNCTION("""COMPUTED_VALUE"""),"https://reparcelasmt.loudoun.gov/pt/Datalets/Datalet.aspx?UseSearch=no&amp;mode=profileall&amp;pin=061298643000&amp;jur=107&amp;taxyr=2024")</f>
        <v>https://reparcelasmt.loudoun.gov/pt/Datalets/Datalet.aspx?UseSearch=no&amp;mode=profileall&amp;pin=061298643000&amp;jur=107&amp;taxyr=2024</v>
      </c>
      <c r="AJ1151" s="1" t="str">
        <f>IFERROR(__xludf.DUMMYFUNCTION("""COMPUTED_VALUE"""),"")</f>
        <v/>
      </c>
      <c r="AK1151" s="1" t="str">
        <f>IFERROR(__xludf.DUMMYFUNCTION("""COMPUTED_VALUE"""),"")</f>
        <v/>
      </c>
      <c r="AL1151" s="1" t="str">
        <f>IFERROR(__xludf.DUMMYFUNCTION("""COMPUTED_VALUE"""),"")</f>
        <v/>
      </c>
      <c r="AM1151" s="1" t="str">
        <f>IFERROR(__xludf.DUMMYFUNCTION("""COMPUTED_VALUE"""),"")</f>
        <v/>
      </c>
      <c r="AN1151" s="1" t="str">
        <f>IFERROR(__xludf.DUMMYFUNCTION("""COMPUTED_VALUE"""),"")</f>
        <v/>
      </c>
      <c r="AO1151" s="1" t="str">
        <f>IFERROR(__xludf.DUMMYFUNCTION("""COMPUTED_VALUE"""),"")</f>
        <v/>
      </c>
      <c r="AP1151" s="1" t="str">
        <f>IFERROR(__xludf.DUMMYFUNCTION("""COMPUTED_VALUE"""),"")</f>
        <v/>
      </c>
      <c r="AQ1151" s="1" t="str">
        <f>IFERROR(__xludf.DUMMYFUNCTION("""COMPUTED_VALUE"""),"04/10/2024")</f>
        <v>04/10/2024</v>
      </c>
      <c r="AR1151" s="1" t="str">
        <f>IFERROR(__xludf.DUMMYFUNCTION("""COMPUTED_VALUE"""),"10/17/2025")</f>
        <v>10/17/2025</v>
      </c>
    </row>
    <row r="1152">
      <c r="A1152" s="1" t="str">
        <f>IFERROR(__xludf.DUMMYFUNCTION("""COMPUTED_VALUE"""),"Filigree Ct Campus")</f>
        <v>Filigree Ct Campus</v>
      </c>
      <c r="B1152" s="1" t="str">
        <f>IFERROR(__xludf.DUMMYFUNCTION("""COMPUTED_VALUE"""),"21701 FILIGREE CT")</f>
        <v>21701 FILIGREE CT</v>
      </c>
      <c r="C1152" s="1" t="str">
        <f>IFERROR(__xludf.DUMMYFUNCTION("""COMPUTED_VALUE"""),"Ashburn")</f>
        <v>Ashburn</v>
      </c>
      <c r="D1152" s="1" t="str">
        <f>IFERROR(__xludf.DUMMYFUNCTION("""COMPUTED_VALUE"""),"VA")</f>
        <v>VA</v>
      </c>
      <c r="E1152" s="1" t="str">
        <f>IFERROR(__xludf.DUMMYFUNCTION("""COMPUTED_VALUE"""),"20147")</f>
        <v>20147</v>
      </c>
      <c r="F1152" s="1" t="str">
        <f>IFERROR(__xludf.DUMMYFUNCTION("""COMPUTED_VALUE"""),"Loudoun")</f>
        <v>Loudoun</v>
      </c>
      <c r="G1152" s="1" t="str">
        <f>IFERROR(__xludf.DUMMYFUNCTION("""COMPUTED_VALUE"""),"39.015854")</f>
        <v>39.015854</v>
      </c>
      <c r="H1152" s="1" t="str">
        <f>IFERROR(__xludf.DUMMYFUNCTION("""COMPUTED_VALUE"""),"-77.459885")</f>
        <v>-77.459885</v>
      </c>
      <c r="I1152" s="1" t="str">
        <f>IFERROR(__xludf.DUMMYFUNCTION("""COMPUTED_VALUE"""),"Operating")</f>
        <v>Operating</v>
      </c>
      <c r="J1152" s="1" t="str">
        <f>IFERROR(__xludf.DUMMYFUNCTION("""COMPUTED_VALUE"""),"High")</f>
        <v>High</v>
      </c>
      <c r="K1152" s="1" t="str">
        <f>IFERROR(__xludf.DUMMYFUNCTION("""COMPUTED_VALUE"""),"")</f>
        <v/>
      </c>
      <c r="L1152" s="1" t="str">
        <f>IFERROR(__xludf.DUMMYFUNCTION("""COMPUTED_VALUE"""),"Equinix")</f>
        <v>Equinix</v>
      </c>
      <c r="M1152" s="1" t="str">
        <f>IFERROR(__xludf.DUMMYFUNCTION("""COMPUTED_VALUE"""),"")</f>
        <v/>
      </c>
      <c r="N1152" s="1" t="str">
        <f>IFERROR(__xludf.DUMMYFUNCTION("""COMPUTED_VALUE"""),"")</f>
        <v/>
      </c>
      <c r="O1152" s="1" t="str">
        <f>IFERROR(__xludf.DUMMYFUNCTION("""COMPUTED_VALUE"""),"Unknown")</f>
        <v>Unknown</v>
      </c>
      <c r="P1152" s="1" t="str">
        <f>IFERROR(__xludf.DUMMYFUNCTION("""COMPUTED_VALUE"""),"")</f>
        <v/>
      </c>
      <c r="Q1152" s="1" t="str">
        <f>IFERROR(__xludf.DUMMYFUNCTION("""COMPUTED_VALUE"""),"")</f>
        <v/>
      </c>
      <c r="R1152" s="1" t="str">
        <f>IFERROR(__xludf.DUMMYFUNCTION("""COMPUTED_VALUE"""),"")</f>
        <v/>
      </c>
      <c r="S1152" s="1" t="str">
        <f>IFERROR(__xludf.DUMMYFUNCTION("""COMPUTED_VALUE"""),"")</f>
        <v/>
      </c>
      <c r="T1152" s="1" t="str">
        <f>IFERROR(__xludf.DUMMYFUNCTION("""COMPUTED_VALUE"""),"")</f>
        <v/>
      </c>
      <c r="U1152" s="1" t="str">
        <f>IFERROR(__xludf.DUMMYFUNCTION("""COMPUTED_VALUE"""),"")</f>
        <v/>
      </c>
      <c r="V1152" s="1" t="str">
        <f>IFERROR(__xludf.DUMMYFUNCTION("""COMPUTED_VALUE"""),"679,455")</f>
        <v>679,455</v>
      </c>
      <c r="W1152" s="1" t="str">
        <f>IFERROR(__xludf.DUMMYFUNCTION("""COMPUTED_VALUE"""),"32")</f>
        <v>32</v>
      </c>
      <c r="X1152" s="1" t="str">
        <f>IFERROR(__xludf.DUMMYFUNCTION("""COMPUTED_VALUE"""),"")</f>
        <v/>
      </c>
      <c r="Y1152" s="1" t="str">
        <f>IFERROR(__xludf.DUMMYFUNCTION("""COMPUTED_VALUE"""),"")</f>
        <v/>
      </c>
      <c r="Z1152" s="1" t="str">
        <f>IFERROR(__xludf.DUMMYFUNCTION("""COMPUTED_VALUE"""),"Unknown")</f>
        <v>Unknown</v>
      </c>
      <c r="AA1152" s="1" t="str">
        <f>IFERROR(__xludf.DUMMYFUNCTION("""COMPUTED_VALUE"""),"")</f>
        <v/>
      </c>
      <c r="AB1152" s="1" t="str">
        <f>IFERROR(__xludf.DUMMYFUNCTION("""COMPUTED_VALUE"""),"")</f>
        <v/>
      </c>
      <c r="AC1152" s="1" t="str">
        <f>IFERROR(__xludf.DUMMYFUNCTION("""COMPUTED_VALUE"""),"")</f>
        <v/>
      </c>
      <c r="AD1152" s="1" t="str">
        <f>IFERROR(__xludf.DUMMYFUNCTION("""COMPUTED_VALUE"""),"")</f>
        <v/>
      </c>
      <c r="AE1152" s="1" t="str">
        <f>IFERROR(__xludf.DUMMYFUNCTION("""COMPUTED_VALUE"""),"")</f>
        <v/>
      </c>
      <c r="AF1152" s="1" t="str">
        <f>IFERROR(__xludf.DUMMYFUNCTION("""COMPUTED_VALUE"""),"")</f>
        <v/>
      </c>
      <c r="AG1152" s="1" t="str">
        <f>IFERROR(__xludf.DUMMYFUNCTION("""COMPUTED_VALUE"""),"Computer Center")</f>
        <v>Computer Center</v>
      </c>
      <c r="AH1152" s="1" t="str">
        <f>IFERROR(__xludf.DUMMYFUNCTION("""COMPUTED_VALUE"""),"PEC")</f>
        <v>PEC</v>
      </c>
      <c r="AI1152" s="2" t="str">
        <f>IFERROR(__xludf.DUMMYFUNCTION("""COMPUTED_VALUE"""),"https://reparcelasmt.loudoun.gov/pt/datalets/datalet.aspx?mode=profileall&amp;UseSearch=no&amp;pin=061483407000&amp;jur=107&amp;taxyr=2024&amp;LMparent=20")</f>
        <v>https://reparcelasmt.loudoun.gov/pt/datalets/datalet.aspx?mode=profileall&amp;UseSearch=no&amp;pin=061483407000&amp;jur=107&amp;taxyr=2024&amp;LMparent=20</v>
      </c>
      <c r="AJ1152" s="1" t="str">
        <f>IFERROR(__xludf.DUMMYFUNCTION("""COMPUTED_VALUE"""),"")</f>
        <v/>
      </c>
      <c r="AK1152" s="1" t="str">
        <f>IFERROR(__xludf.DUMMYFUNCTION("""COMPUTED_VALUE"""),"")</f>
        <v/>
      </c>
      <c r="AL1152" s="1" t="str">
        <f>IFERROR(__xludf.DUMMYFUNCTION("""COMPUTED_VALUE"""),"")</f>
        <v/>
      </c>
      <c r="AM1152" s="1" t="str">
        <f>IFERROR(__xludf.DUMMYFUNCTION("""COMPUTED_VALUE"""),"")</f>
        <v/>
      </c>
      <c r="AN1152" s="1" t="str">
        <f>IFERROR(__xludf.DUMMYFUNCTION("""COMPUTED_VALUE"""),"")</f>
        <v/>
      </c>
      <c r="AO1152" s="1" t="str">
        <f>IFERROR(__xludf.DUMMYFUNCTION("""COMPUTED_VALUE"""),"")</f>
        <v/>
      </c>
      <c r="AP1152" s="1" t="str">
        <f>IFERROR(__xludf.DUMMYFUNCTION("""COMPUTED_VALUE"""),"")</f>
        <v/>
      </c>
      <c r="AQ1152" s="1" t="str">
        <f>IFERROR(__xludf.DUMMYFUNCTION("""COMPUTED_VALUE"""),"04/10/2024")</f>
        <v>04/10/2024</v>
      </c>
      <c r="AR1152" s="1" t="str">
        <f>IFERROR(__xludf.DUMMYFUNCTION("""COMPUTED_VALUE"""),"10/17/2025")</f>
        <v>10/17/2025</v>
      </c>
    </row>
    <row r="1153">
      <c r="A1153" s="1" t="str">
        <f>IFERROR(__xludf.DUMMYFUNCTION("""COMPUTED_VALUE"""),"H5 Data Center")</f>
        <v>H5 Data Center</v>
      </c>
      <c r="B1153" s="1" t="str">
        <f>IFERROR(__xludf.DUMMYFUNCTION("""COMPUTED_VALUE"""),"21800 Beaumeade Cir")</f>
        <v>21800 Beaumeade Cir</v>
      </c>
      <c r="C1153" s="1" t="str">
        <f>IFERROR(__xludf.DUMMYFUNCTION("""COMPUTED_VALUE"""),"Ashburn")</f>
        <v>Ashburn</v>
      </c>
      <c r="D1153" s="1" t="str">
        <f>IFERROR(__xludf.DUMMYFUNCTION("""COMPUTED_VALUE"""),"VA")</f>
        <v>VA</v>
      </c>
      <c r="E1153" s="1" t="str">
        <f>IFERROR(__xludf.DUMMYFUNCTION("""COMPUTED_VALUE"""),"20147")</f>
        <v>20147</v>
      </c>
      <c r="F1153" s="1" t="str">
        <f>IFERROR(__xludf.DUMMYFUNCTION("""COMPUTED_VALUE"""),"Loudoun")</f>
        <v>Loudoun</v>
      </c>
      <c r="G1153" s="1" t="str">
        <f>IFERROR(__xludf.DUMMYFUNCTION("""COMPUTED_VALUE"""),"39.01393")</f>
        <v>39.01393</v>
      </c>
      <c r="H1153" s="1" t="str">
        <f>IFERROR(__xludf.DUMMYFUNCTION("""COMPUTED_VALUE"""),"-77.4516")</f>
        <v>-77.4516</v>
      </c>
      <c r="I1153" s="1" t="str">
        <f>IFERROR(__xludf.DUMMYFUNCTION("""COMPUTED_VALUE"""),"Operating")</f>
        <v>Operating</v>
      </c>
      <c r="J1153" s="1" t="str">
        <f>IFERROR(__xludf.DUMMYFUNCTION("""COMPUTED_VALUE"""),"High")</f>
        <v>High</v>
      </c>
      <c r="K1153" s="1" t="str">
        <f>IFERROR(__xludf.DUMMYFUNCTION("""COMPUTED_VALUE"""),"")</f>
        <v/>
      </c>
      <c r="L1153" s="1" t="str">
        <f>IFERROR(__xludf.DUMMYFUNCTION("""COMPUTED_VALUE"""),"")</f>
        <v/>
      </c>
      <c r="M1153" s="1" t="str">
        <f>IFERROR(__xludf.DUMMYFUNCTION("""COMPUTED_VALUE"""),"")</f>
        <v/>
      </c>
      <c r="N1153" s="1" t="str">
        <f>IFERROR(__xludf.DUMMYFUNCTION("""COMPUTED_VALUE"""),"42")</f>
        <v>42</v>
      </c>
      <c r="O1153" s="1" t="str">
        <f>IFERROR(__xludf.DUMMYFUNCTION("""COMPUTED_VALUE"""),"Medium (11-50 MW)")</f>
        <v>Medium (11-50 MW)</v>
      </c>
      <c r="P1153" s="1" t="str">
        <f>IFERROR(__xludf.DUMMYFUNCTION("""COMPUTED_VALUE"""),"")</f>
        <v/>
      </c>
      <c r="Q1153" s="1" t="str">
        <f>IFERROR(__xludf.DUMMYFUNCTION("""COMPUTED_VALUE"""),"")</f>
        <v/>
      </c>
      <c r="R1153" s="1" t="str">
        <f>IFERROR(__xludf.DUMMYFUNCTION("""COMPUTED_VALUE"""),"")</f>
        <v/>
      </c>
      <c r="S1153" s="1" t="str">
        <f>IFERROR(__xludf.DUMMYFUNCTION("""COMPUTED_VALUE"""),"")</f>
        <v/>
      </c>
      <c r="T1153" s="1" t="str">
        <f>IFERROR(__xludf.DUMMYFUNCTION("""COMPUTED_VALUE"""),"")</f>
        <v/>
      </c>
      <c r="U1153" s="1" t="str">
        <f>IFERROR(__xludf.DUMMYFUNCTION("""COMPUTED_VALUE"""),"")</f>
        <v/>
      </c>
      <c r="V1153" s="1" t="str">
        <f>IFERROR(__xludf.DUMMYFUNCTION("""COMPUTED_VALUE"""),"228,816")</f>
        <v>228,816</v>
      </c>
      <c r="W1153" s="1" t="str">
        <f>IFERROR(__xludf.DUMMYFUNCTION("""COMPUTED_VALUE"""),"5")</f>
        <v>5</v>
      </c>
      <c r="X1153" s="1" t="str">
        <f>IFERROR(__xludf.DUMMYFUNCTION("""COMPUTED_VALUE"""),"")</f>
        <v/>
      </c>
      <c r="Y1153" s="1" t="str">
        <f>IFERROR(__xludf.DUMMYFUNCTION("""COMPUTED_VALUE"""),"")</f>
        <v/>
      </c>
      <c r="Z1153" s="1" t="str">
        <f>IFERROR(__xludf.DUMMYFUNCTION("""COMPUTED_VALUE"""),"Unknown")</f>
        <v>Unknown</v>
      </c>
      <c r="AA1153" s="1" t="str">
        <f>IFERROR(__xludf.DUMMYFUNCTION("""COMPUTED_VALUE"""),"")</f>
        <v/>
      </c>
      <c r="AB1153" s="1" t="str">
        <f>IFERROR(__xludf.DUMMYFUNCTION("""COMPUTED_VALUE"""),"")</f>
        <v/>
      </c>
      <c r="AC1153" s="1" t="str">
        <f>IFERROR(__xludf.DUMMYFUNCTION("""COMPUTED_VALUE"""),"")</f>
        <v/>
      </c>
      <c r="AD1153" s="1" t="str">
        <f>IFERROR(__xludf.DUMMYFUNCTION("""COMPUTED_VALUE"""),"")</f>
        <v/>
      </c>
      <c r="AE1153" s="1" t="str">
        <f>IFERROR(__xludf.DUMMYFUNCTION("""COMPUTED_VALUE"""),"")</f>
        <v/>
      </c>
      <c r="AF1153" s="1" t="str">
        <f>IFERROR(__xludf.DUMMYFUNCTION("""COMPUTED_VALUE"""),"")</f>
        <v/>
      </c>
      <c r="AG1153" s="1" t="str">
        <f>IFERROR(__xludf.DUMMYFUNCTION("""COMPUTED_VALUE"""),"Computer Center")</f>
        <v>Computer Center</v>
      </c>
      <c r="AH1153" s="1" t="str">
        <f>IFERROR(__xludf.DUMMYFUNCTION("""COMPUTED_VALUE"""),"Media Monitoring")</f>
        <v>Media Monitoring</v>
      </c>
      <c r="AI1153" s="2" t="str">
        <f>IFERROR(__xludf.DUMMYFUNCTION("""COMPUTED_VALUE"""),"https://www.datacenterdynamics.com/en/news/h5-breaks-ground-on-data-center-in-ashburn-virginia/")</f>
        <v>https://www.datacenterdynamics.com/en/news/h5-breaks-ground-on-data-center-in-ashburn-virginia/</v>
      </c>
      <c r="AJ1153" s="2" t="str">
        <f>IFERROR(__xludf.DUMMYFUNCTION("""COMPUTED_VALUE"""),"https://reparcelasmt.loudoun.gov/pt/datalets/datalet.aspx?mode=profileall&amp;UseSearch=no&amp;pin=061307791000&amp;jur=107&amp;taxyr=2024&amp;LMparent=20")</f>
        <v>https://reparcelasmt.loudoun.gov/pt/datalets/datalet.aspx?mode=profileall&amp;UseSearch=no&amp;pin=061307791000&amp;jur=107&amp;taxyr=2024&amp;LMparent=20</v>
      </c>
      <c r="AK1153" s="1" t="str">
        <f>IFERROR(__xludf.DUMMYFUNCTION("""COMPUTED_VALUE"""),"")</f>
        <v/>
      </c>
      <c r="AL1153" s="1" t="str">
        <f>IFERROR(__xludf.DUMMYFUNCTION("""COMPUTED_VALUE"""),"")</f>
        <v/>
      </c>
      <c r="AM1153" s="1" t="str">
        <f>IFERROR(__xludf.DUMMYFUNCTION("""COMPUTED_VALUE"""),"")</f>
        <v/>
      </c>
      <c r="AN1153" s="1" t="str">
        <f>IFERROR(__xludf.DUMMYFUNCTION("""COMPUTED_VALUE"""),"")</f>
        <v/>
      </c>
      <c r="AO1153" s="1" t="str">
        <f>IFERROR(__xludf.DUMMYFUNCTION("""COMPUTED_VALUE"""),"")</f>
        <v/>
      </c>
      <c r="AP1153" s="1" t="str">
        <f>IFERROR(__xludf.DUMMYFUNCTION("""COMPUTED_VALUE"""),"")</f>
        <v/>
      </c>
      <c r="AQ1153" s="1" t="str">
        <f>IFERROR(__xludf.DUMMYFUNCTION("""COMPUTED_VALUE"""),"05/28/2025")</f>
        <v>05/28/2025</v>
      </c>
      <c r="AR1153" s="1" t="str">
        <f>IFERROR(__xludf.DUMMYFUNCTION("""COMPUTED_VALUE"""),"05/28/2025")</f>
        <v>05/28/2025</v>
      </c>
    </row>
    <row r="1154">
      <c r="A1154" s="1" t="str">
        <f>IFERROR(__xludf.DUMMYFUNCTION("""COMPUTED_VALUE"""),"IAD114")</f>
        <v>IAD114</v>
      </c>
      <c r="B1154" s="1" t="str">
        <f>IFERROR(__xludf.DUMMYFUNCTION("""COMPUTED_VALUE"""),"20945 LOUDOUN COUNTY PKWY")</f>
        <v>20945 LOUDOUN COUNTY PKWY</v>
      </c>
      <c r="C1154" s="1" t="str">
        <f>IFERROR(__xludf.DUMMYFUNCTION("""COMPUTED_VALUE"""),"Ashburn")</f>
        <v>Ashburn</v>
      </c>
      <c r="D1154" s="1" t="str">
        <f>IFERROR(__xludf.DUMMYFUNCTION("""COMPUTED_VALUE"""),"VA")</f>
        <v>VA</v>
      </c>
      <c r="E1154" s="1" t="str">
        <f>IFERROR(__xludf.DUMMYFUNCTION("""COMPUTED_VALUE"""),"20147")</f>
        <v>20147</v>
      </c>
      <c r="F1154" s="1" t="str">
        <f>IFERROR(__xludf.DUMMYFUNCTION("""COMPUTED_VALUE"""),"Loudoun")</f>
        <v>Loudoun</v>
      </c>
      <c r="G1154" s="1" t="str">
        <f>IFERROR(__xludf.DUMMYFUNCTION("""COMPUTED_VALUE"""),"39.03563")</f>
        <v>39.03563</v>
      </c>
      <c r="H1154" s="1" t="str">
        <f>IFERROR(__xludf.DUMMYFUNCTION("""COMPUTED_VALUE"""),"-77.450935")</f>
        <v>-77.450935</v>
      </c>
      <c r="I1154" s="1" t="str">
        <f>IFERROR(__xludf.DUMMYFUNCTION("""COMPUTED_VALUE"""),"Operating")</f>
        <v>Operating</v>
      </c>
      <c r="J1154" s="1" t="str">
        <f>IFERROR(__xludf.DUMMYFUNCTION("""COMPUTED_VALUE"""),"High")</f>
        <v>High</v>
      </c>
      <c r="K1154" s="1" t="str">
        <f>IFERROR(__xludf.DUMMYFUNCTION("""COMPUTED_VALUE"""),"")</f>
        <v/>
      </c>
      <c r="L1154" s="1" t="str">
        <f>IFERROR(__xludf.DUMMYFUNCTION("""COMPUTED_VALUE"""),"BEAUMEADE LC PHASE III LLC")</f>
        <v>BEAUMEADE LC PHASE III LLC</v>
      </c>
      <c r="M1154" s="1" t="str">
        <f>IFERROR(__xludf.DUMMYFUNCTION("""COMPUTED_VALUE"""),"")</f>
        <v/>
      </c>
      <c r="N1154" s="1" t="str">
        <f>IFERROR(__xludf.DUMMYFUNCTION("""COMPUTED_VALUE"""),"")</f>
        <v/>
      </c>
      <c r="O1154" s="1" t="str">
        <f>IFERROR(__xludf.DUMMYFUNCTION("""COMPUTED_VALUE"""),"Unknown")</f>
        <v>Unknown</v>
      </c>
      <c r="P1154" s="1" t="str">
        <f>IFERROR(__xludf.DUMMYFUNCTION("""COMPUTED_VALUE"""),"")</f>
        <v/>
      </c>
      <c r="Q1154" s="1" t="str">
        <f>IFERROR(__xludf.DUMMYFUNCTION("""COMPUTED_VALUE"""),"")</f>
        <v/>
      </c>
      <c r="R1154" s="1" t="str">
        <f>IFERROR(__xludf.DUMMYFUNCTION("""COMPUTED_VALUE"""),"")</f>
        <v/>
      </c>
      <c r="S1154" s="1" t="str">
        <f>IFERROR(__xludf.DUMMYFUNCTION("""COMPUTED_VALUE"""),"")</f>
        <v/>
      </c>
      <c r="T1154" s="1" t="str">
        <f>IFERROR(__xludf.DUMMYFUNCTION("""COMPUTED_VALUE"""),"")</f>
        <v/>
      </c>
      <c r="U1154" s="1" t="str">
        <f>IFERROR(__xludf.DUMMYFUNCTION("""COMPUTED_VALUE"""),"")</f>
        <v/>
      </c>
      <c r="V1154" s="1" t="str">
        <f>IFERROR(__xludf.DUMMYFUNCTION("""COMPUTED_VALUE"""),"147,600")</f>
        <v>147,600</v>
      </c>
      <c r="W1154" s="1" t="str">
        <f>IFERROR(__xludf.DUMMYFUNCTION("""COMPUTED_VALUE"""),"11")</f>
        <v>11</v>
      </c>
      <c r="X1154" s="1" t="str">
        <f>IFERROR(__xludf.DUMMYFUNCTION("""COMPUTED_VALUE"""),"")</f>
        <v/>
      </c>
      <c r="Y1154" s="1" t="str">
        <f>IFERROR(__xludf.DUMMYFUNCTION("""COMPUTED_VALUE"""),"")</f>
        <v/>
      </c>
      <c r="Z1154" s="1" t="str">
        <f>IFERROR(__xludf.DUMMYFUNCTION("""COMPUTED_VALUE"""),"Unknown")</f>
        <v>Unknown</v>
      </c>
      <c r="AA1154" s="1" t="str">
        <f>IFERROR(__xludf.DUMMYFUNCTION("""COMPUTED_VALUE"""),"")</f>
        <v/>
      </c>
      <c r="AB1154" s="1" t="str">
        <f>IFERROR(__xludf.DUMMYFUNCTION("""COMPUTED_VALUE"""),"")</f>
        <v/>
      </c>
      <c r="AC1154" s="1" t="str">
        <f>IFERROR(__xludf.DUMMYFUNCTION("""COMPUTED_VALUE"""),"")</f>
        <v/>
      </c>
      <c r="AD1154" s="1" t="str">
        <f>IFERROR(__xludf.DUMMYFUNCTION("""COMPUTED_VALUE"""),"")</f>
        <v/>
      </c>
      <c r="AE1154" s="1" t="str">
        <f>IFERROR(__xludf.DUMMYFUNCTION("""COMPUTED_VALUE"""),"")</f>
        <v/>
      </c>
      <c r="AF1154" s="1" t="str">
        <f>IFERROR(__xludf.DUMMYFUNCTION("""COMPUTED_VALUE"""),"")</f>
        <v/>
      </c>
      <c r="AG1154" s="1" t="str">
        <f>IFERROR(__xludf.DUMMYFUNCTION("""COMPUTED_VALUE"""),"Shown as ""Storage Warehouse""")</f>
        <v>Shown as "Storage Warehouse"</v>
      </c>
      <c r="AH1154" s="1" t="str">
        <f>IFERROR(__xludf.DUMMYFUNCTION("""COMPUTED_VALUE"""),"PEC")</f>
        <v>PEC</v>
      </c>
      <c r="AI1154" s="2" t="str">
        <f>IFERROR(__xludf.DUMMYFUNCTION("""COMPUTED_VALUE"""),"https://reparcelasmt.loudoun.gov/pt/datalets/datalet.aspx?mode=commercial&amp;UseSearch=no&amp;pin=059309091000&amp;jur=107&amp;taxyr=2024&amp;LMparent=20")</f>
        <v>https://reparcelasmt.loudoun.gov/pt/datalets/datalet.aspx?mode=commercial&amp;UseSearch=no&amp;pin=059309091000&amp;jur=107&amp;taxyr=2024&amp;LMparent=20</v>
      </c>
      <c r="AJ1154" s="1" t="str">
        <f>IFERROR(__xludf.DUMMYFUNCTION("""COMPUTED_VALUE"""),"")</f>
        <v/>
      </c>
      <c r="AK1154" s="1" t="str">
        <f>IFERROR(__xludf.DUMMYFUNCTION("""COMPUTED_VALUE"""),"")</f>
        <v/>
      </c>
      <c r="AL1154" s="1" t="str">
        <f>IFERROR(__xludf.DUMMYFUNCTION("""COMPUTED_VALUE"""),"")</f>
        <v/>
      </c>
      <c r="AM1154" s="1" t="str">
        <f>IFERROR(__xludf.DUMMYFUNCTION("""COMPUTED_VALUE"""),"")</f>
        <v/>
      </c>
      <c r="AN1154" s="1" t="str">
        <f>IFERROR(__xludf.DUMMYFUNCTION("""COMPUTED_VALUE"""),"")</f>
        <v/>
      </c>
      <c r="AO1154" s="1" t="str">
        <f>IFERROR(__xludf.DUMMYFUNCTION("""COMPUTED_VALUE"""),"")</f>
        <v/>
      </c>
      <c r="AP1154" s="1" t="str">
        <f>IFERROR(__xludf.DUMMYFUNCTION("""COMPUTED_VALUE"""),"")</f>
        <v/>
      </c>
      <c r="AQ1154" s="1" t="str">
        <f>IFERROR(__xludf.DUMMYFUNCTION("""COMPUTED_VALUE"""),"04/10/2024")</f>
        <v>04/10/2024</v>
      </c>
      <c r="AR1154" s="1" t="str">
        <f>IFERROR(__xludf.DUMMYFUNCTION("""COMPUTED_VALUE"""),"10/17/2025")</f>
        <v>10/17/2025</v>
      </c>
    </row>
    <row r="1155">
      <c r="A1155" s="1" t="str">
        <f>IFERROR(__xludf.DUMMYFUNCTION("""COMPUTED_VALUE"""),"IAD12")</f>
        <v>IAD12</v>
      </c>
      <c r="B1155" s="1" t="str">
        <f>IFERROR(__xludf.DUMMYFUNCTION("""COMPUTED_VALUE"""),"43881 DEVIN SHAFRON DR")</f>
        <v>43881 DEVIN SHAFRON DR</v>
      </c>
      <c r="C1155" s="1" t="str">
        <f>IFERROR(__xludf.DUMMYFUNCTION("""COMPUTED_VALUE"""),"Ashburn")</f>
        <v>Ashburn</v>
      </c>
      <c r="D1155" s="1" t="str">
        <f>IFERROR(__xludf.DUMMYFUNCTION("""COMPUTED_VALUE"""),"VA")</f>
        <v>VA</v>
      </c>
      <c r="E1155" s="1" t="str">
        <f>IFERROR(__xludf.DUMMYFUNCTION("""COMPUTED_VALUE"""),"20147")</f>
        <v>20147</v>
      </c>
      <c r="F1155" s="1" t="str">
        <f>IFERROR(__xludf.DUMMYFUNCTION("""COMPUTED_VALUE"""),"Loudoun")</f>
        <v>Loudoun</v>
      </c>
      <c r="G1155" s="1" t="str">
        <f>IFERROR(__xludf.DUMMYFUNCTION("""COMPUTED_VALUE"""),"39.001984")</f>
        <v>39.001984</v>
      </c>
      <c r="H1155" s="1" t="str">
        <f>IFERROR(__xludf.DUMMYFUNCTION("""COMPUTED_VALUE"""),"-77.48332")</f>
        <v>-77.48332</v>
      </c>
      <c r="I1155" s="1" t="str">
        <f>IFERROR(__xludf.DUMMYFUNCTION("""COMPUTED_VALUE"""),"Operating")</f>
        <v>Operating</v>
      </c>
      <c r="J1155" s="1" t="str">
        <f>IFERROR(__xludf.DUMMYFUNCTION("""COMPUTED_VALUE"""),"High")</f>
        <v>High</v>
      </c>
      <c r="K1155" s="1" t="str">
        <f>IFERROR(__xludf.DUMMYFUNCTION("""COMPUTED_VALUE"""),"")</f>
        <v/>
      </c>
      <c r="L1155" s="1" t="str">
        <f>IFERROR(__xludf.DUMMYFUNCTION("""COMPUTED_VALUE"""),"Digital Realty")</f>
        <v>Digital Realty</v>
      </c>
      <c r="M1155" s="1" t="str">
        <f>IFERROR(__xludf.DUMMYFUNCTION("""COMPUTED_VALUE"""),"")</f>
        <v/>
      </c>
      <c r="N1155" s="1" t="str">
        <f>IFERROR(__xludf.DUMMYFUNCTION("""COMPUTED_VALUE"""),"")</f>
        <v/>
      </c>
      <c r="O1155" s="1" t="str">
        <f>IFERROR(__xludf.DUMMYFUNCTION("""COMPUTED_VALUE"""),"Unknown")</f>
        <v>Unknown</v>
      </c>
      <c r="P1155" s="1" t="str">
        <f>IFERROR(__xludf.DUMMYFUNCTION("""COMPUTED_VALUE"""),"")</f>
        <v/>
      </c>
      <c r="Q1155" s="1" t="str">
        <f>IFERROR(__xludf.DUMMYFUNCTION("""COMPUTED_VALUE"""),"")</f>
        <v/>
      </c>
      <c r="R1155" s="1" t="str">
        <f>IFERROR(__xludf.DUMMYFUNCTION("""COMPUTED_VALUE"""),"")</f>
        <v/>
      </c>
      <c r="S1155" s="1" t="str">
        <f>IFERROR(__xludf.DUMMYFUNCTION("""COMPUTED_VALUE"""),"")</f>
        <v/>
      </c>
      <c r="T1155" s="1" t="str">
        <f>IFERROR(__xludf.DUMMYFUNCTION("""COMPUTED_VALUE"""),"")</f>
        <v/>
      </c>
      <c r="U1155" s="1" t="str">
        <f>IFERROR(__xludf.DUMMYFUNCTION("""COMPUTED_VALUE"""),"")</f>
        <v/>
      </c>
      <c r="V1155" s="1" t="str">
        <f>IFERROR(__xludf.DUMMYFUNCTION("""COMPUTED_VALUE"""),"180,000")</f>
        <v>180,000</v>
      </c>
      <c r="W1155" s="1" t="str">
        <f>IFERROR(__xludf.DUMMYFUNCTION("""COMPUTED_VALUE"""),"10")</f>
        <v>10</v>
      </c>
      <c r="X1155" s="1" t="str">
        <f>IFERROR(__xludf.DUMMYFUNCTION("""COMPUTED_VALUE"""),"")</f>
        <v/>
      </c>
      <c r="Y1155" s="1" t="str">
        <f>IFERROR(__xludf.DUMMYFUNCTION("""COMPUTED_VALUE"""),"")</f>
        <v/>
      </c>
      <c r="Z1155" s="1" t="str">
        <f>IFERROR(__xludf.DUMMYFUNCTION("""COMPUTED_VALUE"""),"Unknown")</f>
        <v>Unknown</v>
      </c>
      <c r="AA1155" s="1" t="str">
        <f>IFERROR(__xludf.DUMMYFUNCTION("""COMPUTED_VALUE"""),"")</f>
        <v/>
      </c>
      <c r="AB1155" s="1" t="str">
        <f>IFERROR(__xludf.DUMMYFUNCTION("""COMPUTED_VALUE"""),"")</f>
        <v/>
      </c>
      <c r="AC1155" s="1" t="str">
        <f>IFERROR(__xludf.DUMMYFUNCTION("""COMPUTED_VALUE"""),"")</f>
        <v/>
      </c>
      <c r="AD1155" s="1" t="str">
        <f>IFERROR(__xludf.DUMMYFUNCTION("""COMPUTED_VALUE"""),"")</f>
        <v/>
      </c>
      <c r="AE1155" s="1" t="str">
        <f>IFERROR(__xludf.DUMMYFUNCTION("""COMPUTED_VALUE"""),"")</f>
        <v/>
      </c>
      <c r="AF1155" s="1" t="str">
        <f>IFERROR(__xludf.DUMMYFUNCTION("""COMPUTED_VALUE"""),"")</f>
        <v/>
      </c>
      <c r="AG1155" s="1" t="str">
        <f>IFERROR(__xludf.DUMMYFUNCTION("""COMPUTED_VALUE"""),"Computer Center")</f>
        <v>Computer Center</v>
      </c>
      <c r="AH1155" s="1" t="str">
        <f>IFERROR(__xludf.DUMMYFUNCTION("""COMPUTED_VALUE"""),"PEC")</f>
        <v>PEC</v>
      </c>
      <c r="AI1155" s="2" t="str">
        <f>IFERROR(__xludf.DUMMYFUNCTION("""COMPUTED_VALUE"""),"https://reparcelasmt.loudoun.gov/pt/datalets/datalet.aspx?mode=profileall&amp;UseSearch=no&amp;pin=089278681000&amp;jur=107&amp;taxyr=2024&amp;LMparent=20")</f>
        <v>https://reparcelasmt.loudoun.gov/pt/datalets/datalet.aspx?mode=profileall&amp;UseSearch=no&amp;pin=089278681000&amp;jur=107&amp;taxyr=2024&amp;LMparent=20</v>
      </c>
      <c r="AJ1155" s="1" t="str">
        <f>IFERROR(__xludf.DUMMYFUNCTION("""COMPUTED_VALUE"""),"")</f>
        <v/>
      </c>
      <c r="AK1155" s="1" t="str">
        <f>IFERROR(__xludf.DUMMYFUNCTION("""COMPUTED_VALUE"""),"")</f>
        <v/>
      </c>
      <c r="AL1155" s="1" t="str">
        <f>IFERROR(__xludf.DUMMYFUNCTION("""COMPUTED_VALUE"""),"")</f>
        <v/>
      </c>
      <c r="AM1155" s="1" t="str">
        <f>IFERROR(__xludf.DUMMYFUNCTION("""COMPUTED_VALUE"""),"")</f>
        <v/>
      </c>
      <c r="AN1155" s="1" t="str">
        <f>IFERROR(__xludf.DUMMYFUNCTION("""COMPUTED_VALUE"""),"")</f>
        <v/>
      </c>
      <c r="AO1155" s="1" t="str">
        <f>IFERROR(__xludf.DUMMYFUNCTION("""COMPUTED_VALUE"""),"")</f>
        <v/>
      </c>
      <c r="AP1155" s="1" t="str">
        <f>IFERROR(__xludf.DUMMYFUNCTION("""COMPUTED_VALUE"""),"")</f>
        <v/>
      </c>
      <c r="AQ1155" s="1" t="str">
        <f>IFERROR(__xludf.DUMMYFUNCTION("""COMPUTED_VALUE"""),"04/10/2024")</f>
        <v>04/10/2024</v>
      </c>
      <c r="AR1155" s="1" t="str">
        <f>IFERROR(__xludf.DUMMYFUNCTION("""COMPUTED_VALUE"""),"10/17/2025")</f>
        <v>10/17/2025</v>
      </c>
    </row>
    <row r="1156">
      <c r="A1156" s="1" t="str">
        <f>IFERROR(__xludf.DUMMYFUNCTION("""COMPUTED_VALUE"""),"IAD14")</f>
        <v>IAD14</v>
      </c>
      <c r="B1156" s="1" t="str">
        <f>IFERROR(__xludf.DUMMYFUNCTION("""COMPUTED_VALUE"""),"43791 DEVIN SHAFRON DR")</f>
        <v>43791 DEVIN SHAFRON DR</v>
      </c>
      <c r="C1156" s="1" t="str">
        <f>IFERROR(__xludf.DUMMYFUNCTION("""COMPUTED_VALUE"""),"Ashburn")</f>
        <v>Ashburn</v>
      </c>
      <c r="D1156" s="1" t="str">
        <f>IFERROR(__xludf.DUMMYFUNCTION("""COMPUTED_VALUE"""),"VA")</f>
        <v>VA</v>
      </c>
      <c r="E1156" s="1" t="str">
        <f>IFERROR(__xludf.DUMMYFUNCTION("""COMPUTED_VALUE"""),"20147")</f>
        <v>20147</v>
      </c>
      <c r="F1156" s="1" t="str">
        <f>IFERROR(__xludf.DUMMYFUNCTION("""COMPUTED_VALUE"""),"Loudoun")</f>
        <v>Loudoun</v>
      </c>
      <c r="G1156" s="1" t="str">
        <f>IFERROR(__xludf.DUMMYFUNCTION("""COMPUTED_VALUE"""),"39.003296")</f>
        <v>39.003296</v>
      </c>
      <c r="H1156" s="1" t="str">
        <f>IFERROR(__xludf.DUMMYFUNCTION("""COMPUTED_VALUE"""),"-77.48721")</f>
        <v>-77.48721</v>
      </c>
      <c r="I1156" s="1" t="str">
        <f>IFERROR(__xludf.DUMMYFUNCTION("""COMPUTED_VALUE"""),"Operating")</f>
        <v>Operating</v>
      </c>
      <c r="J1156" s="1" t="str">
        <f>IFERROR(__xludf.DUMMYFUNCTION("""COMPUTED_VALUE"""),"High")</f>
        <v>High</v>
      </c>
      <c r="K1156" s="1" t="str">
        <f>IFERROR(__xludf.DUMMYFUNCTION("""COMPUTED_VALUE"""),"")</f>
        <v/>
      </c>
      <c r="L1156" s="1" t="str">
        <f>IFERROR(__xludf.DUMMYFUNCTION("""COMPUTED_VALUE"""),"Digital Realty")</f>
        <v>Digital Realty</v>
      </c>
      <c r="M1156" s="1" t="str">
        <f>IFERROR(__xludf.DUMMYFUNCTION("""COMPUTED_VALUE"""),"")</f>
        <v/>
      </c>
      <c r="N1156" s="1" t="str">
        <f>IFERROR(__xludf.DUMMYFUNCTION("""COMPUTED_VALUE"""),"")</f>
        <v/>
      </c>
      <c r="O1156" s="1" t="str">
        <f>IFERROR(__xludf.DUMMYFUNCTION("""COMPUTED_VALUE"""),"Unknown")</f>
        <v>Unknown</v>
      </c>
      <c r="P1156" s="1" t="str">
        <f>IFERROR(__xludf.DUMMYFUNCTION("""COMPUTED_VALUE"""),"")</f>
        <v/>
      </c>
      <c r="Q1156" s="1" t="str">
        <f>IFERROR(__xludf.DUMMYFUNCTION("""COMPUTED_VALUE"""),"")</f>
        <v/>
      </c>
      <c r="R1156" s="1" t="str">
        <f>IFERROR(__xludf.DUMMYFUNCTION("""COMPUTED_VALUE"""),"")</f>
        <v/>
      </c>
      <c r="S1156" s="1" t="str">
        <f>IFERROR(__xludf.DUMMYFUNCTION("""COMPUTED_VALUE"""),"")</f>
        <v/>
      </c>
      <c r="T1156" s="1" t="str">
        <f>IFERROR(__xludf.DUMMYFUNCTION("""COMPUTED_VALUE"""),"")</f>
        <v/>
      </c>
      <c r="U1156" s="1" t="str">
        <f>IFERROR(__xludf.DUMMYFUNCTION("""COMPUTED_VALUE"""),"")</f>
        <v/>
      </c>
      <c r="V1156" s="1" t="str">
        <f>IFERROR(__xludf.DUMMYFUNCTION("""COMPUTED_VALUE"""),"135,000")</f>
        <v>135,000</v>
      </c>
      <c r="W1156" s="1" t="str">
        <f>IFERROR(__xludf.DUMMYFUNCTION("""COMPUTED_VALUE"""),"8")</f>
        <v>8</v>
      </c>
      <c r="X1156" s="1" t="str">
        <f>IFERROR(__xludf.DUMMYFUNCTION("""COMPUTED_VALUE"""),"")</f>
        <v/>
      </c>
      <c r="Y1156" s="1" t="str">
        <f>IFERROR(__xludf.DUMMYFUNCTION("""COMPUTED_VALUE"""),"")</f>
        <v/>
      </c>
      <c r="Z1156" s="1" t="str">
        <f>IFERROR(__xludf.DUMMYFUNCTION("""COMPUTED_VALUE"""),"Unknown")</f>
        <v>Unknown</v>
      </c>
      <c r="AA1156" s="1" t="str">
        <f>IFERROR(__xludf.DUMMYFUNCTION("""COMPUTED_VALUE"""),"")</f>
        <v/>
      </c>
      <c r="AB1156" s="1" t="str">
        <f>IFERROR(__xludf.DUMMYFUNCTION("""COMPUTED_VALUE"""),"")</f>
        <v/>
      </c>
      <c r="AC1156" s="1" t="str">
        <f>IFERROR(__xludf.DUMMYFUNCTION("""COMPUTED_VALUE"""),"")</f>
        <v/>
      </c>
      <c r="AD1156" s="1" t="str">
        <f>IFERROR(__xludf.DUMMYFUNCTION("""COMPUTED_VALUE"""),"")</f>
        <v/>
      </c>
      <c r="AE1156" s="1" t="str">
        <f>IFERROR(__xludf.DUMMYFUNCTION("""COMPUTED_VALUE"""),"")</f>
        <v/>
      </c>
      <c r="AF1156" s="1" t="str">
        <f>IFERROR(__xludf.DUMMYFUNCTION("""COMPUTED_VALUE"""),"")</f>
        <v/>
      </c>
      <c r="AG1156" s="1" t="str">
        <f>IFERROR(__xludf.DUMMYFUNCTION("""COMPUTED_VALUE"""),"Computer Center")</f>
        <v>Computer Center</v>
      </c>
      <c r="AH1156" s="1" t="str">
        <f>IFERROR(__xludf.DUMMYFUNCTION("""COMPUTED_VALUE"""),"PEC")</f>
        <v>PEC</v>
      </c>
      <c r="AI1156" s="2" t="str">
        <f>IFERROR(__xludf.DUMMYFUNCTION("""COMPUTED_VALUE"""),"https://reparcelasmt.loudoun.gov/pt/datalets/datalet.aspx?mode=profileall&amp;UseSearch=no&amp;pin=089367531000&amp;jur=107&amp;taxyr=2024&amp;LMparent=20")</f>
        <v>https://reparcelasmt.loudoun.gov/pt/datalets/datalet.aspx?mode=profileall&amp;UseSearch=no&amp;pin=089367531000&amp;jur=107&amp;taxyr=2024&amp;LMparent=20</v>
      </c>
      <c r="AJ1156" s="1" t="str">
        <f>IFERROR(__xludf.DUMMYFUNCTION("""COMPUTED_VALUE"""),"")</f>
        <v/>
      </c>
      <c r="AK1156" s="1" t="str">
        <f>IFERROR(__xludf.DUMMYFUNCTION("""COMPUTED_VALUE"""),"")</f>
        <v/>
      </c>
      <c r="AL1156" s="1" t="str">
        <f>IFERROR(__xludf.DUMMYFUNCTION("""COMPUTED_VALUE"""),"")</f>
        <v/>
      </c>
      <c r="AM1156" s="1" t="str">
        <f>IFERROR(__xludf.DUMMYFUNCTION("""COMPUTED_VALUE"""),"")</f>
        <v/>
      </c>
      <c r="AN1156" s="1" t="str">
        <f>IFERROR(__xludf.DUMMYFUNCTION("""COMPUTED_VALUE"""),"")</f>
        <v/>
      </c>
      <c r="AO1156" s="1" t="str">
        <f>IFERROR(__xludf.DUMMYFUNCTION("""COMPUTED_VALUE"""),"")</f>
        <v/>
      </c>
      <c r="AP1156" s="1" t="str">
        <f>IFERROR(__xludf.DUMMYFUNCTION("""COMPUTED_VALUE"""),"")</f>
        <v/>
      </c>
      <c r="AQ1156" s="1" t="str">
        <f>IFERROR(__xludf.DUMMYFUNCTION("""COMPUTED_VALUE"""),"04/10/2024")</f>
        <v>04/10/2024</v>
      </c>
      <c r="AR1156" s="1" t="str">
        <f>IFERROR(__xludf.DUMMYFUNCTION("""COMPUTED_VALUE"""),"10/17/2025")</f>
        <v>10/17/2025</v>
      </c>
    </row>
    <row r="1157">
      <c r="A1157" s="1" t="str">
        <f>IFERROR(__xludf.DUMMYFUNCTION("""COMPUTED_VALUE"""),"IAD24")</f>
        <v>IAD24</v>
      </c>
      <c r="B1157" s="1" t="str">
        <f>IFERROR(__xludf.DUMMYFUNCTION("""COMPUTED_VALUE"""),"43830 DEVIN SHAFRON DR")</f>
        <v>43830 DEVIN SHAFRON DR</v>
      </c>
      <c r="C1157" s="1" t="str">
        <f>IFERROR(__xludf.DUMMYFUNCTION("""COMPUTED_VALUE"""),"Ashburn")</f>
        <v>Ashburn</v>
      </c>
      <c r="D1157" s="1" t="str">
        <f>IFERROR(__xludf.DUMMYFUNCTION("""COMPUTED_VALUE"""),"VA")</f>
        <v>VA</v>
      </c>
      <c r="E1157" s="1" t="str">
        <f>IFERROR(__xludf.DUMMYFUNCTION("""COMPUTED_VALUE"""),"20147")</f>
        <v>20147</v>
      </c>
      <c r="F1157" s="1" t="str">
        <f>IFERROR(__xludf.DUMMYFUNCTION("""COMPUTED_VALUE"""),"Loudoun")</f>
        <v>Loudoun</v>
      </c>
      <c r="G1157" s="1" t="str">
        <f>IFERROR(__xludf.DUMMYFUNCTION("""COMPUTED_VALUE"""),"39.00466")</f>
        <v>39.00466</v>
      </c>
      <c r="H1157" s="1" t="str">
        <f>IFERROR(__xludf.DUMMYFUNCTION("""COMPUTED_VALUE"""),"-77.48497")</f>
        <v>-77.48497</v>
      </c>
      <c r="I1157" s="1" t="str">
        <f>IFERROR(__xludf.DUMMYFUNCTION("""COMPUTED_VALUE"""),"Operating")</f>
        <v>Operating</v>
      </c>
      <c r="J1157" s="1" t="str">
        <f>IFERROR(__xludf.DUMMYFUNCTION("""COMPUTED_VALUE"""),"High")</f>
        <v>High</v>
      </c>
      <c r="K1157" s="1" t="str">
        <f>IFERROR(__xludf.DUMMYFUNCTION("""COMPUTED_VALUE"""),"")</f>
        <v/>
      </c>
      <c r="L1157" s="1" t="str">
        <f>IFERROR(__xludf.DUMMYFUNCTION("""COMPUTED_VALUE"""),"DIGITAL LOUDOUN II LLC")</f>
        <v>DIGITAL LOUDOUN II LLC</v>
      </c>
      <c r="M1157" s="1" t="str">
        <f>IFERROR(__xludf.DUMMYFUNCTION("""COMPUTED_VALUE"""),"")</f>
        <v/>
      </c>
      <c r="N1157" s="1" t="str">
        <f>IFERROR(__xludf.DUMMYFUNCTION("""COMPUTED_VALUE"""),"")</f>
        <v/>
      </c>
      <c r="O1157" s="1" t="str">
        <f>IFERROR(__xludf.DUMMYFUNCTION("""COMPUTED_VALUE"""),"Unknown")</f>
        <v>Unknown</v>
      </c>
      <c r="P1157" s="1" t="str">
        <f>IFERROR(__xludf.DUMMYFUNCTION("""COMPUTED_VALUE"""),"")</f>
        <v/>
      </c>
      <c r="Q1157" s="1" t="str">
        <f>IFERROR(__xludf.DUMMYFUNCTION("""COMPUTED_VALUE"""),"")</f>
        <v/>
      </c>
      <c r="R1157" s="1" t="str">
        <f>IFERROR(__xludf.DUMMYFUNCTION("""COMPUTED_VALUE"""),"")</f>
        <v/>
      </c>
      <c r="S1157" s="1" t="str">
        <f>IFERROR(__xludf.DUMMYFUNCTION("""COMPUTED_VALUE"""),"")</f>
        <v/>
      </c>
      <c r="T1157" s="1" t="str">
        <f>IFERROR(__xludf.DUMMYFUNCTION("""COMPUTED_VALUE"""),"")</f>
        <v/>
      </c>
      <c r="U1157" s="1" t="str">
        <f>IFERROR(__xludf.DUMMYFUNCTION("""COMPUTED_VALUE"""),"")</f>
        <v/>
      </c>
      <c r="V1157" s="1" t="str">
        <f>IFERROR(__xludf.DUMMYFUNCTION("""COMPUTED_VALUE"""),"266,742")</f>
        <v>266,742</v>
      </c>
      <c r="W1157" s="1" t="str">
        <f>IFERROR(__xludf.DUMMYFUNCTION("""COMPUTED_VALUE"""),"16")</f>
        <v>16</v>
      </c>
      <c r="X1157" s="1" t="str">
        <f>IFERROR(__xludf.DUMMYFUNCTION("""COMPUTED_VALUE"""),"")</f>
        <v/>
      </c>
      <c r="Y1157" s="1" t="str">
        <f>IFERROR(__xludf.DUMMYFUNCTION("""COMPUTED_VALUE"""),"")</f>
        <v/>
      </c>
      <c r="Z1157" s="1" t="str">
        <f>IFERROR(__xludf.DUMMYFUNCTION("""COMPUTED_VALUE"""),"Unknown")</f>
        <v>Unknown</v>
      </c>
      <c r="AA1157" s="1" t="str">
        <f>IFERROR(__xludf.DUMMYFUNCTION("""COMPUTED_VALUE"""),"")</f>
        <v/>
      </c>
      <c r="AB1157" s="1" t="str">
        <f>IFERROR(__xludf.DUMMYFUNCTION("""COMPUTED_VALUE"""),"")</f>
        <v/>
      </c>
      <c r="AC1157" s="1" t="str">
        <f>IFERROR(__xludf.DUMMYFUNCTION("""COMPUTED_VALUE"""),"")</f>
        <v/>
      </c>
      <c r="AD1157" s="1" t="str">
        <f>IFERROR(__xludf.DUMMYFUNCTION("""COMPUTED_VALUE"""),"")</f>
        <v/>
      </c>
      <c r="AE1157" s="1" t="str">
        <f>IFERROR(__xludf.DUMMYFUNCTION("""COMPUTED_VALUE"""),"")</f>
        <v/>
      </c>
      <c r="AF1157" s="1" t="str">
        <f>IFERROR(__xludf.DUMMYFUNCTION("""COMPUTED_VALUE"""),"")</f>
        <v/>
      </c>
      <c r="AG1157" s="1" t="str">
        <f>IFERROR(__xludf.DUMMYFUNCTION("""COMPUTED_VALUE"""),"Computer Center. Project covers more than one parcel. The combined acreage is represented.")</f>
        <v>Computer Center. Project covers more than one parcel. The combined acreage is represented.</v>
      </c>
      <c r="AH1157" s="1" t="str">
        <f>IFERROR(__xludf.DUMMYFUNCTION("""COMPUTED_VALUE"""),"PEC")</f>
        <v>PEC</v>
      </c>
      <c r="AI1157" s="2" t="str">
        <f>IFERROR(__xludf.DUMMYFUNCTION("""COMPUTED_VALUE"""),"https://reparcelasmt.loudoun.gov/pt/datalets/datalet.aspx?mode=commercial&amp;UseSearch=no&amp;pin=089374763002&amp;jur=107&amp;taxyr=2024&amp;LMparent=20")</f>
        <v>https://reparcelasmt.loudoun.gov/pt/datalets/datalet.aspx?mode=commercial&amp;UseSearch=no&amp;pin=089374763002&amp;jur=107&amp;taxyr=2024&amp;LMparent=20</v>
      </c>
      <c r="AJ1157" s="1" t="str">
        <f>IFERROR(__xludf.DUMMYFUNCTION("""COMPUTED_VALUE"""),"")</f>
        <v/>
      </c>
      <c r="AK1157" s="1" t="str">
        <f>IFERROR(__xludf.DUMMYFUNCTION("""COMPUTED_VALUE"""),"")</f>
        <v/>
      </c>
      <c r="AL1157" s="1" t="str">
        <f>IFERROR(__xludf.DUMMYFUNCTION("""COMPUTED_VALUE"""),"")</f>
        <v/>
      </c>
      <c r="AM1157" s="1" t="str">
        <f>IFERROR(__xludf.DUMMYFUNCTION("""COMPUTED_VALUE"""),"")</f>
        <v/>
      </c>
      <c r="AN1157" s="1" t="str">
        <f>IFERROR(__xludf.DUMMYFUNCTION("""COMPUTED_VALUE"""),"")</f>
        <v/>
      </c>
      <c r="AO1157" s="1" t="str">
        <f>IFERROR(__xludf.DUMMYFUNCTION("""COMPUTED_VALUE"""),"")</f>
        <v/>
      </c>
      <c r="AP1157" s="1" t="str">
        <f>IFERROR(__xludf.DUMMYFUNCTION("""COMPUTED_VALUE"""),"")</f>
        <v/>
      </c>
      <c r="AQ1157" s="1" t="str">
        <f>IFERROR(__xludf.DUMMYFUNCTION("""COMPUTED_VALUE"""),"04/10/2024")</f>
        <v>04/10/2024</v>
      </c>
      <c r="AR1157" s="1" t="str">
        <f>IFERROR(__xludf.DUMMYFUNCTION("""COMPUTED_VALUE"""),"10/17/2025")</f>
        <v>10/17/2025</v>
      </c>
    </row>
    <row r="1158">
      <c r="A1158" s="1" t="str">
        <f>IFERROR(__xludf.DUMMYFUNCTION("""COMPUTED_VALUE"""),"IAD3 DataBank")</f>
        <v>IAD3 DataBank</v>
      </c>
      <c r="B1158" s="1" t="str">
        <f>IFERROR(__xludf.DUMMYFUNCTION("""COMPUTED_VALUE"""),"21630 RED RUM DR")</f>
        <v>21630 RED RUM DR</v>
      </c>
      <c r="C1158" s="1" t="str">
        <f>IFERROR(__xludf.DUMMYFUNCTION("""COMPUTED_VALUE"""),"Ashburn")</f>
        <v>Ashburn</v>
      </c>
      <c r="D1158" s="1" t="str">
        <f>IFERROR(__xludf.DUMMYFUNCTION("""COMPUTED_VALUE"""),"VA")</f>
        <v>VA</v>
      </c>
      <c r="E1158" s="1" t="str">
        <f>IFERROR(__xludf.DUMMYFUNCTION("""COMPUTED_VALUE"""),"20147")</f>
        <v>20147</v>
      </c>
      <c r="F1158" s="1" t="str">
        <f>IFERROR(__xludf.DUMMYFUNCTION("""COMPUTED_VALUE"""),"Loudoun")</f>
        <v>Loudoun</v>
      </c>
      <c r="G1158" s="1" t="str">
        <f>IFERROR(__xludf.DUMMYFUNCTION("""COMPUTED_VALUE"""),"39.01779")</f>
        <v>39.01779</v>
      </c>
      <c r="H1158" s="1" t="str">
        <f>IFERROR(__xludf.DUMMYFUNCTION("""COMPUTED_VALUE"""),"-77.48172")</f>
        <v>-77.48172</v>
      </c>
      <c r="I1158" s="1" t="str">
        <f>IFERROR(__xludf.DUMMYFUNCTION("""COMPUTED_VALUE"""),"Operating")</f>
        <v>Operating</v>
      </c>
      <c r="J1158" s="1" t="str">
        <f>IFERROR(__xludf.DUMMYFUNCTION("""COMPUTED_VALUE"""),"High")</f>
        <v>High</v>
      </c>
      <c r="K1158" s="1" t="str">
        <f>IFERROR(__xludf.DUMMYFUNCTION("""COMPUTED_VALUE"""),"")</f>
        <v/>
      </c>
      <c r="L1158" s="1" t="str">
        <f>IFERROR(__xludf.DUMMYFUNCTION("""COMPUTED_VALUE"""),"ZCOLO LLC")</f>
        <v>ZCOLO LLC</v>
      </c>
      <c r="M1158" s="1" t="str">
        <f>IFERROR(__xludf.DUMMYFUNCTION("""COMPUTED_VALUE"""),"")</f>
        <v/>
      </c>
      <c r="N1158" s="1" t="str">
        <f>IFERROR(__xludf.DUMMYFUNCTION("""COMPUTED_VALUE"""),"")</f>
        <v/>
      </c>
      <c r="O1158" s="1" t="str">
        <f>IFERROR(__xludf.DUMMYFUNCTION("""COMPUTED_VALUE"""),"Unknown")</f>
        <v>Unknown</v>
      </c>
      <c r="P1158" s="1" t="str">
        <f>IFERROR(__xludf.DUMMYFUNCTION("""COMPUTED_VALUE"""),"")</f>
        <v/>
      </c>
      <c r="Q1158" s="1" t="str">
        <f>IFERROR(__xludf.DUMMYFUNCTION("""COMPUTED_VALUE"""),"")</f>
        <v/>
      </c>
      <c r="R1158" s="1" t="str">
        <f>IFERROR(__xludf.DUMMYFUNCTION("""COMPUTED_VALUE"""),"")</f>
        <v/>
      </c>
      <c r="S1158" s="1" t="str">
        <f>IFERROR(__xludf.DUMMYFUNCTION("""COMPUTED_VALUE"""),"")</f>
        <v/>
      </c>
      <c r="T1158" s="1" t="str">
        <f>IFERROR(__xludf.DUMMYFUNCTION("""COMPUTED_VALUE"""),"")</f>
        <v/>
      </c>
      <c r="U1158" s="1" t="str">
        <f>IFERROR(__xludf.DUMMYFUNCTION("""COMPUTED_VALUE"""),"")</f>
        <v/>
      </c>
      <c r="V1158" s="1" t="str">
        <f>IFERROR(__xludf.DUMMYFUNCTION("""COMPUTED_VALUE"""),"286,800")</f>
        <v>286,800</v>
      </c>
      <c r="W1158" s="1" t="str">
        <f>IFERROR(__xludf.DUMMYFUNCTION("""COMPUTED_VALUE"""),"11")</f>
        <v>11</v>
      </c>
      <c r="X1158" s="1" t="str">
        <f>IFERROR(__xludf.DUMMYFUNCTION("""COMPUTED_VALUE"""),"")</f>
        <v/>
      </c>
      <c r="Y1158" s="1" t="str">
        <f>IFERROR(__xludf.DUMMYFUNCTION("""COMPUTED_VALUE"""),"")</f>
        <v/>
      </c>
      <c r="Z1158" s="1" t="str">
        <f>IFERROR(__xludf.DUMMYFUNCTION("""COMPUTED_VALUE"""),"Unknown")</f>
        <v>Unknown</v>
      </c>
      <c r="AA1158" s="1" t="str">
        <f>IFERROR(__xludf.DUMMYFUNCTION("""COMPUTED_VALUE"""),"")</f>
        <v/>
      </c>
      <c r="AB1158" s="1" t="str">
        <f>IFERROR(__xludf.DUMMYFUNCTION("""COMPUTED_VALUE"""),"")</f>
        <v/>
      </c>
      <c r="AC1158" s="1" t="str">
        <f>IFERROR(__xludf.DUMMYFUNCTION("""COMPUTED_VALUE"""),"")</f>
        <v/>
      </c>
      <c r="AD1158" s="1" t="str">
        <f>IFERROR(__xludf.DUMMYFUNCTION("""COMPUTED_VALUE"""),"")</f>
        <v/>
      </c>
      <c r="AE1158" s="1" t="str">
        <f>IFERROR(__xludf.DUMMYFUNCTION("""COMPUTED_VALUE"""),"")</f>
        <v/>
      </c>
      <c r="AF1158" s="1" t="str">
        <f>IFERROR(__xludf.DUMMYFUNCTION("""COMPUTED_VALUE"""),"")</f>
        <v/>
      </c>
      <c r="AG1158" s="1" t="str">
        <f>IFERROR(__xludf.DUMMYFUNCTION("""COMPUTED_VALUE"""),"Computer Center")</f>
        <v>Computer Center</v>
      </c>
      <c r="AH1158" s="1" t="str">
        <f>IFERROR(__xludf.DUMMYFUNCTION("""COMPUTED_VALUE"""),"PEC")</f>
        <v>PEC</v>
      </c>
      <c r="AI1158" s="2" t="str">
        <f>IFERROR(__xludf.DUMMYFUNCTION("""COMPUTED_VALUE"""),"https://reparcelasmt.loudoun.gov/pt/datalets/datalet.aspx?mode=profileall&amp;UseSearch=no&amp;pin=088481748000&amp;jur=107&amp;taxyr=2024&amp;LMparent=20")</f>
        <v>https://reparcelasmt.loudoun.gov/pt/datalets/datalet.aspx?mode=profileall&amp;UseSearch=no&amp;pin=088481748000&amp;jur=107&amp;taxyr=2024&amp;LMparent=20</v>
      </c>
      <c r="AJ1158" s="1" t="str">
        <f>IFERROR(__xludf.DUMMYFUNCTION("""COMPUTED_VALUE"""),"")</f>
        <v/>
      </c>
      <c r="AK1158" s="1" t="str">
        <f>IFERROR(__xludf.DUMMYFUNCTION("""COMPUTED_VALUE"""),"")</f>
        <v/>
      </c>
      <c r="AL1158" s="1" t="str">
        <f>IFERROR(__xludf.DUMMYFUNCTION("""COMPUTED_VALUE"""),"")</f>
        <v/>
      </c>
      <c r="AM1158" s="1" t="str">
        <f>IFERROR(__xludf.DUMMYFUNCTION("""COMPUTED_VALUE"""),"")</f>
        <v/>
      </c>
      <c r="AN1158" s="1" t="str">
        <f>IFERROR(__xludf.DUMMYFUNCTION("""COMPUTED_VALUE"""),"")</f>
        <v/>
      </c>
      <c r="AO1158" s="1" t="str">
        <f>IFERROR(__xludf.DUMMYFUNCTION("""COMPUTED_VALUE"""),"")</f>
        <v/>
      </c>
      <c r="AP1158" s="1" t="str">
        <f>IFERROR(__xludf.DUMMYFUNCTION("""COMPUTED_VALUE"""),"")</f>
        <v/>
      </c>
      <c r="AQ1158" s="1" t="str">
        <f>IFERROR(__xludf.DUMMYFUNCTION("""COMPUTED_VALUE"""),"04/10/2024")</f>
        <v>04/10/2024</v>
      </c>
      <c r="AR1158" s="1" t="str">
        <f>IFERROR(__xludf.DUMMYFUNCTION("""COMPUTED_VALUE"""),"10/17/2025")</f>
        <v>10/17/2025</v>
      </c>
    </row>
    <row r="1159">
      <c r="A1159" s="1" t="str">
        <f>IFERROR(__xludf.DUMMYFUNCTION("""COMPUTED_VALUE"""),"IAD 41, IAD 42, BLDG P")</f>
        <v>IAD 41, IAD 42, BLDG P</v>
      </c>
      <c r="B1159" s="1" t="str">
        <f>IFERROR(__xludf.DUMMYFUNCTION("""COMPUTED_VALUE"""),"44757 ROUND TABLE PLZ")</f>
        <v>44757 ROUND TABLE PLZ</v>
      </c>
      <c r="C1159" s="1" t="str">
        <f>IFERROR(__xludf.DUMMYFUNCTION("""COMPUTED_VALUE"""),"Ashburn")</f>
        <v>Ashburn</v>
      </c>
      <c r="D1159" s="1" t="str">
        <f>IFERROR(__xludf.DUMMYFUNCTION("""COMPUTED_VALUE"""),"VA")</f>
        <v>VA</v>
      </c>
      <c r="E1159" s="1" t="str">
        <f>IFERROR(__xludf.DUMMYFUNCTION("""COMPUTED_VALUE"""),"20147")</f>
        <v>20147</v>
      </c>
      <c r="F1159" s="1" t="str">
        <f>IFERROR(__xludf.DUMMYFUNCTION("""COMPUTED_VALUE"""),"Loudoun")</f>
        <v>Loudoun</v>
      </c>
      <c r="G1159" s="1" t="str">
        <f>IFERROR(__xludf.DUMMYFUNCTION("""COMPUTED_VALUE"""),"39.008408")</f>
        <v>39.008408</v>
      </c>
      <c r="H1159" s="1" t="str">
        <f>IFERROR(__xludf.DUMMYFUNCTION("""COMPUTED_VALUE"""),"-77.45795")</f>
        <v>-77.45795</v>
      </c>
      <c r="I1159" s="1" t="str">
        <f>IFERROR(__xludf.DUMMYFUNCTION("""COMPUTED_VALUE"""),"Operating")</f>
        <v>Operating</v>
      </c>
      <c r="J1159" s="1" t="str">
        <f>IFERROR(__xludf.DUMMYFUNCTION("""COMPUTED_VALUE"""),"High")</f>
        <v>High</v>
      </c>
      <c r="K1159" s="1" t="str">
        <f>IFERROR(__xludf.DUMMYFUNCTION("""COMPUTED_VALUE"""),"")</f>
        <v/>
      </c>
      <c r="L1159" s="1" t="str">
        <f>IFERROR(__xludf.DUMMYFUNCTION("""COMPUTED_VALUE"""),"DIGITAL LOUDOUN 3 LLC")</f>
        <v>DIGITAL LOUDOUN 3 LLC</v>
      </c>
      <c r="M1159" s="1" t="str">
        <f>IFERROR(__xludf.DUMMYFUNCTION("""COMPUTED_VALUE"""),"")</f>
        <v/>
      </c>
      <c r="N1159" s="1" t="str">
        <f>IFERROR(__xludf.DUMMYFUNCTION("""COMPUTED_VALUE"""),"")</f>
        <v/>
      </c>
      <c r="O1159" s="1" t="str">
        <f>IFERROR(__xludf.DUMMYFUNCTION("""COMPUTED_VALUE"""),"Unknown")</f>
        <v>Unknown</v>
      </c>
      <c r="P1159" s="1" t="str">
        <f>IFERROR(__xludf.DUMMYFUNCTION("""COMPUTED_VALUE"""),"")</f>
        <v/>
      </c>
      <c r="Q1159" s="1" t="str">
        <f>IFERROR(__xludf.DUMMYFUNCTION("""COMPUTED_VALUE"""),"")</f>
        <v/>
      </c>
      <c r="R1159" s="1" t="str">
        <f>IFERROR(__xludf.DUMMYFUNCTION("""COMPUTED_VALUE"""),"")</f>
        <v/>
      </c>
      <c r="S1159" s="1" t="str">
        <f>IFERROR(__xludf.DUMMYFUNCTION("""COMPUTED_VALUE"""),"")</f>
        <v/>
      </c>
      <c r="T1159" s="1" t="str">
        <f>IFERROR(__xludf.DUMMYFUNCTION("""COMPUTED_VALUE"""),"")</f>
        <v/>
      </c>
      <c r="U1159" s="1" t="str">
        <f>IFERROR(__xludf.DUMMYFUNCTION("""COMPUTED_VALUE"""),"")</f>
        <v/>
      </c>
      <c r="V1159" s="1" t="str">
        <f>IFERROR(__xludf.DUMMYFUNCTION("""COMPUTED_VALUE"""),"789,300")</f>
        <v>789,300</v>
      </c>
      <c r="W1159" s="1" t="str">
        <f>IFERROR(__xludf.DUMMYFUNCTION("""COMPUTED_VALUE"""),"32")</f>
        <v>32</v>
      </c>
      <c r="X1159" s="1" t="str">
        <f>IFERROR(__xludf.DUMMYFUNCTION("""COMPUTED_VALUE"""),"")</f>
        <v/>
      </c>
      <c r="Y1159" s="1" t="str">
        <f>IFERROR(__xludf.DUMMYFUNCTION("""COMPUTED_VALUE"""),"")</f>
        <v/>
      </c>
      <c r="Z1159" s="1" t="str">
        <f>IFERROR(__xludf.DUMMYFUNCTION("""COMPUTED_VALUE"""),"Unknown")</f>
        <v>Unknown</v>
      </c>
      <c r="AA1159" s="1" t="str">
        <f>IFERROR(__xludf.DUMMYFUNCTION("""COMPUTED_VALUE"""),"")</f>
        <v/>
      </c>
      <c r="AB1159" s="1" t="str">
        <f>IFERROR(__xludf.DUMMYFUNCTION("""COMPUTED_VALUE"""),"")</f>
        <v/>
      </c>
      <c r="AC1159" s="1" t="str">
        <f>IFERROR(__xludf.DUMMYFUNCTION("""COMPUTED_VALUE"""),"")</f>
        <v/>
      </c>
      <c r="AD1159" s="1" t="str">
        <f>IFERROR(__xludf.DUMMYFUNCTION("""COMPUTED_VALUE"""),"")</f>
        <v/>
      </c>
      <c r="AE1159" s="1" t="str">
        <f>IFERROR(__xludf.DUMMYFUNCTION("""COMPUTED_VALUE"""),"")</f>
        <v/>
      </c>
      <c r="AF1159" s="1" t="str">
        <f>IFERROR(__xludf.DUMMYFUNCTION("""COMPUTED_VALUE"""),"")</f>
        <v/>
      </c>
      <c r="AG1159" s="1" t="str">
        <f>IFERROR(__xludf.DUMMYFUNCTION("""COMPUTED_VALUE"""),"Computer Center")</f>
        <v>Computer Center</v>
      </c>
      <c r="AH1159" s="1" t="str">
        <f>IFERROR(__xludf.DUMMYFUNCTION("""COMPUTED_VALUE"""),"PEC")</f>
        <v>PEC</v>
      </c>
      <c r="AI1159" s="2" t="str">
        <f>IFERROR(__xludf.DUMMYFUNCTION("""COMPUTED_VALUE"""),"https://reparcelasmt.loudoun.gov/pt/datalets/datalet.aspx?mode=profileall&amp;UseSearch=no&amp;pin=062493798000&amp;jur=107&amp;taxyr=2024&amp;LMparent=20")</f>
        <v>https://reparcelasmt.loudoun.gov/pt/datalets/datalet.aspx?mode=profileall&amp;UseSearch=no&amp;pin=062493798000&amp;jur=107&amp;taxyr=2024&amp;LMparent=20</v>
      </c>
      <c r="AJ1159" s="1" t="str">
        <f>IFERROR(__xludf.DUMMYFUNCTION("""COMPUTED_VALUE"""),"")</f>
        <v/>
      </c>
      <c r="AK1159" s="1" t="str">
        <f>IFERROR(__xludf.DUMMYFUNCTION("""COMPUTED_VALUE"""),"")</f>
        <v/>
      </c>
      <c r="AL1159" s="1" t="str">
        <f>IFERROR(__xludf.DUMMYFUNCTION("""COMPUTED_VALUE"""),"")</f>
        <v/>
      </c>
      <c r="AM1159" s="1" t="str">
        <f>IFERROR(__xludf.DUMMYFUNCTION("""COMPUTED_VALUE"""),"")</f>
        <v/>
      </c>
      <c r="AN1159" s="1" t="str">
        <f>IFERROR(__xludf.DUMMYFUNCTION("""COMPUTED_VALUE"""),"")</f>
        <v/>
      </c>
      <c r="AO1159" s="1" t="str">
        <f>IFERROR(__xludf.DUMMYFUNCTION("""COMPUTED_VALUE"""),"")</f>
        <v/>
      </c>
      <c r="AP1159" s="1" t="str">
        <f>IFERROR(__xludf.DUMMYFUNCTION("""COMPUTED_VALUE"""),"")</f>
        <v/>
      </c>
      <c r="AQ1159" s="1" t="str">
        <f>IFERROR(__xludf.DUMMYFUNCTION("""COMPUTED_VALUE"""),"04/10/2024")</f>
        <v>04/10/2024</v>
      </c>
      <c r="AR1159" s="1" t="str">
        <f>IFERROR(__xludf.DUMMYFUNCTION("""COMPUTED_VALUE"""),"10/17/2025")</f>
        <v>10/17/2025</v>
      </c>
    </row>
    <row r="1160">
      <c r="A1160" s="1" t="str">
        <f>IFERROR(__xludf.DUMMYFUNCTION("""COMPUTED_VALUE"""),"IAD Digital Loudoun Plaza")</f>
        <v>IAD Digital Loudoun Plaza</v>
      </c>
      <c r="B1160" s="1" t="str">
        <f>IFERROR(__xludf.DUMMYFUNCTION("""COMPUTED_VALUE"""),"43940 DIGITAL LOUDOUN PLZ")</f>
        <v>43940 DIGITAL LOUDOUN PLZ</v>
      </c>
      <c r="C1160" s="1" t="str">
        <f>IFERROR(__xludf.DUMMYFUNCTION("""COMPUTED_VALUE"""),"Ashburn")</f>
        <v>Ashburn</v>
      </c>
      <c r="D1160" s="1" t="str">
        <f>IFERROR(__xludf.DUMMYFUNCTION("""COMPUTED_VALUE"""),"VA")</f>
        <v>VA</v>
      </c>
      <c r="E1160" s="1" t="str">
        <f>IFERROR(__xludf.DUMMYFUNCTION("""COMPUTED_VALUE"""),"20147")</f>
        <v>20147</v>
      </c>
      <c r="F1160" s="1" t="str">
        <f>IFERROR(__xludf.DUMMYFUNCTION("""COMPUTED_VALUE"""),"Loudoun")</f>
        <v>Loudoun</v>
      </c>
      <c r="G1160" s="1" t="str">
        <f>IFERROR(__xludf.DUMMYFUNCTION("""COMPUTED_VALUE"""),"39.000828")</f>
        <v>39.000828</v>
      </c>
      <c r="H1160" s="1" t="str">
        <f>IFERROR(__xludf.DUMMYFUNCTION("""COMPUTED_VALUE"""),"-77.4792")</f>
        <v>-77.4792</v>
      </c>
      <c r="I1160" s="1" t="str">
        <f>IFERROR(__xludf.DUMMYFUNCTION("""COMPUTED_VALUE"""),"Operating")</f>
        <v>Operating</v>
      </c>
      <c r="J1160" s="1" t="str">
        <f>IFERROR(__xludf.DUMMYFUNCTION("""COMPUTED_VALUE"""),"High")</f>
        <v>High</v>
      </c>
      <c r="K1160" s="1" t="str">
        <f>IFERROR(__xludf.DUMMYFUNCTION("""COMPUTED_VALUE"""),"")</f>
        <v/>
      </c>
      <c r="L1160" s="1" t="str">
        <f>IFERROR(__xludf.DUMMYFUNCTION("""COMPUTED_VALUE"""),"Digital Realty")</f>
        <v>Digital Realty</v>
      </c>
      <c r="M1160" s="1" t="str">
        <f>IFERROR(__xludf.DUMMYFUNCTION("""COMPUTED_VALUE"""),"")</f>
        <v/>
      </c>
      <c r="N1160" s="1" t="str">
        <f>IFERROR(__xludf.DUMMYFUNCTION("""COMPUTED_VALUE"""),"")</f>
        <v/>
      </c>
      <c r="O1160" s="1" t="str">
        <f>IFERROR(__xludf.DUMMYFUNCTION("""COMPUTED_VALUE"""),"Unknown")</f>
        <v>Unknown</v>
      </c>
      <c r="P1160" s="1" t="str">
        <f>IFERROR(__xludf.DUMMYFUNCTION("""COMPUTED_VALUE"""),"")</f>
        <v/>
      </c>
      <c r="Q1160" s="1" t="str">
        <f>IFERROR(__xludf.DUMMYFUNCTION("""COMPUTED_VALUE"""),"")</f>
        <v/>
      </c>
      <c r="R1160" s="1" t="str">
        <f>IFERROR(__xludf.DUMMYFUNCTION("""COMPUTED_VALUE"""),"")</f>
        <v/>
      </c>
      <c r="S1160" s="1" t="str">
        <f>IFERROR(__xludf.DUMMYFUNCTION("""COMPUTED_VALUE"""),"")</f>
        <v/>
      </c>
      <c r="T1160" s="1" t="str">
        <f>IFERROR(__xludf.DUMMYFUNCTION("""COMPUTED_VALUE"""),"")</f>
        <v/>
      </c>
      <c r="U1160" s="1" t="str">
        <f>IFERROR(__xludf.DUMMYFUNCTION("""COMPUTED_VALUE"""),"")</f>
        <v/>
      </c>
      <c r="V1160" s="1" t="str">
        <f>IFERROR(__xludf.DUMMYFUNCTION("""COMPUTED_VALUE"""),"1,137,740")</f>
        <v>1,137,740</v>
      </c>
      <c r="W1160" s="1" t="str">
        <f>IFERROR(__xludf.DUMMYFUNCTION("""COMPUTED_VALUE"""),"38")</f>
        <v>38</v>
      </c>
      <c r="X1160" s="1" t="str">
        <f>IFERROR(__xludf.DUMMYFUNCTION("""COMPUTED_VALUE"""),"")</f>
        <v/>
      </c>
      <c r="Y1160" s="1" t="str">
        <f>IFERROR(__xludf.DUMMYFUNCTION("""COMPUTED_VALUE"""),"")</f>
        <v/>
      </c>
      <c r="Z1160" s="1" t="str">
        <f>IFERROR(__xludf.DUMMYFUNCTION("""COMPUTED_VALUE"""),"Unknown")</f>
        <v>Unknown</v>
      </c>
      <c r="AA1160" s="1" t="str">
        <f>IFERROR(__xludf.DUMMYFUNCTION("""COMPUTED_VALUE"""),"")</f>
        <v/>
      </c>
      <c r="AB1160" s="1" t="str">
        <f>IFERROR(__xludf.DUMMYFUNCTION("""COMPUTED_VALUE"""),"")</f>
        <v/>
      </c>
      <c r="AC1160" s="1" t="str">
        <f>IFERROR(__xludf.DUMMYFUNCTION("""COMPUTED_VALUE"""),"")</f>
        <v/>
      </c>
      <c r="AD1160" s="1" t="str">
        <f>IFERROR(__xludf.DUMMYFUNCTION("""COMPUTED_VALUE"""),"")</f>
        <v/>
      </c>
      <c r="AE1160" s="1" t="str">
        <f>IFERROR(__xludf.DUMMYFUNCTION("""COMPUTED_VALUE"""),"")</f>
        <v/>
      </c>
      <c r="AF1160" s="1" t="str">
        <f>IFERROR(__xludf.DUMMYFUNCTION("""COMPUTED_VALUE"""),"")</f>
        <v/>
      </c>
      <c r="AG1160" s="1" t="str">
        <f>IFERROR(__xludf.DUMMYFUNCTION("""COMPUTED_VALUE"""),"Computer Center")</f>
        <v>Computer Center</v>
      </c>
      <c r="AH1160" s="1" t="str">
        <f>IFERROR(__xludf.DUMMYFUNCTION("""COMPUTED_VALUE"""),"PEC")</f>
        <v>PEC</v>
      </c>
      <c r="AI1160" s="2" t="str">
        <f>IFERROR(__xludf.DUMMYFUNCTION("""COMPUTED_VALUE"""),"https://reparcelasmt.loudoun.gov/pt/datalets/datalet.aspx?mode=profileall&amp;UseSearch=no&amp;pin=089291706000&amp;jur=107&amp;taxyr=2024&amp;LMparent=20")</f>
        <v>https://reparcelasmt.loudoun.gov/pt/datalets/datalet.aspx?mode=profileall&amp;UseSearch=no&amp;pin=089291706000&amp;jur=107&amp;taxyr=2024&amp;LMparent=20</v>
      </c>
      <c r="AJ1160" s="1" t="str">
        <f>IFERROR(__xludf.DUMMYFUNCTION("""COMPUTED_VALUE"""),"")</f>
        <v/>
      </c>
      <c r="AK1160" s="1" t="str">
        <f>IFERROR(__xludf.DUMMYFUNCTION("""COMPUTED_VALUE"""),"")</f>
        <v/>
      </c>
      <c r="AL1160" s="1" t="str">
        <f>IFERROR(__xludf.DUMMYFUNCTION("""COMPUTED_VALUE"""),"")</f>
        <v/>
      </c>
      <c r="AM1160" s="1" t="str">
        <f>IFERROR(__xludf.DUMMYFUNCTION("""COMPUTED_VALUE"""),"")</f>
        <v/>
      </c>
      <c r="AN1160" s="1" t="str">
        <f>IFERROR(__xludf.DUMMYFUNCTION("""COMPUTED_VALUE"""),"")</f>
        <v/>
      </c>
      <c r="AO1160" s="1" t="str">
        <f>IFERROR(__xludf.DUMMYFUNCTION("""COMPUTED_VALUE"""),"")</f>
        <v/>
      </c>
      <c r="AP1160" s="1" t="str">
        <f>IFERROR(__xludf.DUMMYFUNCTION("""COMPUTED_VALUE"""),"")</f>
        <v/>
      </c>
      <c r="AQ1160" s="1" t="str">
        <f>IFERROR(__xludf.DUMMYFUNCTION("""COMPUTED_VALUE"""),"04/10/2024")</f>
        <v>04/10/2024</v>
      </c>
      <c r="AR1160" s="1" t="str">
        <f>IFERROR(__xludf.DUMMYFUNCTION("""COMPUTED_VALUE"""),"10/17/2025")</f>
        <v>10/17/2025</v>
      </c>
    </row>
    <row r="1161">
      <c r="A1161" s="1" t="str">
        <f>IFERROR(__xludf.DUMMYFUNCTION("""COMPUTED_VALUE"""),"IAD Round Table Campus Digital Realty")</f>
        <v>IAD Round Table Campus Digital Realty</v>
      </c>
      <c r="B1161" s="1" t="str">
        <f>IFERROR(__xludf.DUMMYFUNCTION("""COMPUTED_VALUE"""),"44274 ROUND TABLE PLZ")</f>
        <v>44274 ROUND TABLE PLZ</v>
      </c>
      <c r="C1161" s="1" t="str">
        <f>IFERROR(__xludf.DUMMYFUNCTION("""COMPUTED_VALUE"""),"Ashburn")</f>
        <v>Ashburn</v>
      </c>
      <c r="D1161" s="1" t="str">
        <f>IFERROR(__xludf.DUMMYFUNCTION("""COMPUTED_VALUE"""),"VA")</f>
        <v>VA</v>
      </c>
      <c r="E1161" s="1" t="str">
        <f>IFERROR(__xludf.DUMMYFUNCTION("""COMPUTED_VALUE"""),"20147")</f>
        <v>20147</v>
      </c>
      <c r="F1161" s="1" t="str">
        <f>IFERROR(__xludf.DUMMYFUNCTION("""COMPUTED_VALUE"""),"Loudoun")</f>
        <v>Loudoun</v>
      </c>
      <c r="G1161" s="1" t="str">
        <f>IFERROR(__xludf.DUMMYFUNCTION("""COMPUTED_VALUE"""),"39.00663")</f>
        <v>39.00663</v>
      </c>
      <c r="H1161" s="1" t="str">
        <f>IFERROR(__xludf.DUMMYFUNCTION("""COMPUTED_VALUE"""),"-77.466194")</f>
        <v>-77.466194</v>
      </c>
      <c r="I1161" s="1" t="str">
        <f>IFERROR(__xludf.DUMMYFUNCTION("""COMPUTED_VALUE"""),"Operating")</f>
        <v>Operating</v>
      </c>
      <c r="J1161" s="1" t="str">
        <f>IFERROR(__xludf.DUMMYFUNCTION("""COMPUTED_VALUE"""),"High")</f>
        <v>High</v>
      </c>
      <c r="K1161" s="1" t="str">
        <f>IFERROR(__xludf.DUMMYFUNCTION("""COMPUTED_VALUE"""),"")</f>
        <v/>
      </c>
      <c r="L1161" s="1" t="str">
        <f>IFERROR(__xludf.DUMMYFUNCTION("""COMPUTED_VALUE"""),"DIGITAL LOUDOUN 3 LLC")</f>
        <v>DIGITAL LOUDOUN 3 LLC</v>
      </c>
      <c r="M1161" s="1" t="str">
        <f>IFERROR(__xludf.DUMMYFUNCTION("""COMPUTED_VALUE"""),"")</f>
        <v/>
      </c>
      <c r="N1161" s="1" t="str">
        <f>IFERROR(__xludf.DUMMYFUNCTION("""COMPUTED_VALUE"""),"")</f>
        <v/>
      </c>
      <c r="O1161" s="1" t="str">
        <f>IFERROR(__xludf.DUMMYFUNCTION("""COMPUTED_VALUE"""),"Unknown")</f>
        <v>Unknown</v>
      </c>
      <c r="P1161" s="1" t="str">
        <f>IFERROR(__xludf.DUMMYFUNCTION("""COMPUTED_VALUE"""),"")</f>
        <v/>
      </c>
      <c r="Q1161" s="1" t="str">
        <f>IFERROR(__xludf.DUMMYFUNCTION("""COMPUTED_VALUE"""),"")</f>
        <v/>
      </c>
      <c r="R1161" s="1" t="str">
        <f>IFERROR(__xludf.DUMMYFUNCTION("""COMPUTED_VALUE"""),"")</f>
        <v/>
      </c>
      <c r="S1161" s="1" t="str">
        <f>IFERROR(__xludf.DUMMYFUNCTION("""COMPUTED_VALUE"""),"")</f>
        <v/>
      </c>
      <c r="T1161" s="1" t="str">
        <f>IFERROR(__xludf.DUMMYFUNCTION("""COMPUTED_VALUE"""),"")</f>
        <v/>
      </c>
      <c r="U1161" s="1" t="str">
        <f>IFERROR(__xludf.DUMMYFUNCTION("""COMPUTED_VALUE"""),"")</f>
        <v/>
      </c>
      <c r="V1161" s="1" t="str">
        <f>IFERROR(__xludf.DUMMYFUNCTION("""COMPUTED_VALUE"""),"1,564,173")</f>
        <v>1,564,173</v>
      </c>
      <c r="W1161" s="1" t="str">
        <f>IFERROR(__xludf.DUMMYFUNCTION("""COMPUTED_VALUE"""),"94")</f>
        <v>94</v>
      </c>
      <c r="X1161" s="1" t="str">
        <f>IFERROR(__xludf.DUMMYFUNCTION("""COMPUTED_VALUE"""),"")</f>
        <v/>
      </c>
      <c r="Y1161" s="1" t="str">
        <f>IFERROR(__xludf.DUMMYFUNCTION("""COMPUTED_VALUE"""),"")</f>
        <v/>
      </c>
      <c r="Z1161" s="1" t="str">
        <f>IFERROR(__xludf.DUMMYFUNCTION("""COMPUTED_VALUE"""),"Unknown")</f>
        <v>Unknown</v>
      </c>
      <c r="AA1161" s="1" t="str">
        <f>IFERROR(__xludf.DUMMYFUNCTION("""COMPUTED_VALUE"""),"")</f>
        <v/>
      </c>
      <c r="AB1161" s="1" t="str">
        <f>IFERROR(__xludf.DUMMYFUNCTION("""COMPUTED_VALUE"""),"")</f>
        <v/>
      </c>
      <c r="AC1161" s="1" t="str">
        <f>IFERROR(__xludf.DUMMYFUNCTION("""COMPUTED_VALUE"""),"")</f>
        <v/>
      </c>
      <c r="AD1161" s="1" t="str">
        <f>IFERROR(__xludf.DUMMYFUNCTION("""COMPUTED_VALUE"""),"")</f>
        <v/>
      </c>
      <c r="AE1161" s="1" t="str">
        <f>IFERROR(__xludf.DUMMYFUNCTION("""COMPUTED_VALUE"""),"")</f>
        <v/>
      </c>
      <c r="AF1161" s="1" t="str">
        <f>IFERROR(__xludf.DUMMYFUNCTION("""COMPUTED_VALUE"""),"")</f>
        <v/>
      </c>
      <c r="AG1161" s="1" t="str">
        <f>IFERROR(__xludf.DUMMYFUNCTION("""COMPUTED_VALUE"""),"Computer Center")</f>
        <v>Computer Center</v>
      </c>
      <c r="AH1161" s="1" t="str">
        <f>IFERROR(__xludf.DUMMYFUNCTION("""COMPUTED_VALUE"""),"PEC")</f>
        <v>PEC</v>
      </c>
      <c r="AI1161" s="2" t="str">
        <f>IFERROR(__xludf.DUMMYFUNCTION("""COMPUTED_VALUE"""),"https://reparcelasmt.loudoun.gov/pt/datalets/datalet.aspx?mode=profileall&amp;UseSearch=no&amp;pin=062462761000&amp;jur=107&amp;taxyr=2024&amp;LMparent=20")</f>
        <v>https://reparcelasmt.loudoun.gov/pt/datalets/datalet.aspx?mode=profileall&amp;UseSearch=no&amp;pin=062462761000&amp;jur=107&amp;taxyr=2024&amp;LMparent=20</v>
      </c>
      <c r="AJ1161" s="1" t="str">
        <f>IFERROR(__xludf.DUMMYFUNCTION("""COMPUTED_VALUE"""),"")</f>
        <v/>
      </c>
      <c r="AK1161" s="1" t="str">
        <f>IFERROR(__xludf.DUMMYFUNCTION("""COMPUTED_VALUE"""),"")</f>
        <v/>
      </c>
      <c r="AL1161" s="1" t="str">
        <f>IFERROR(__xludf.DUMMYFUNCTION("""COMPUTED_VALUE"""),"")</f>
        <v/>
      </c>
      <c r="AM1161" s="1" t="str">
        <f>IFERROR(__xludf.DUMMYFUNCTION("""COMPUTED_VALUE"""),"")</f>
        <v/>
      </c>
      <c r="AN1161" s="1" t="str">
        <f>IFERROR(__xludf.DUMMYFUNCTION("""COMPUTED_VALUE"""),"")</f>
        <v/>
      </c>
      <c r="AO1161" s="1" t="str">
        <f>IFERROR(__xludf.DUMMYFUNCTION("""COMPUTED_VALUE"""),"")</f>
        <v/>
      </c>
      <c r="AP1161" s="1" t="str">
        <f>IFERROR(__xludf.DUMMYFUNCTION("""COMPUTED_VALUE"""),"")</f>
        <v/>
      </c>
      <c r="AQ1161" s="1" t="str">
        <f>IFERROR(__xludf.DUMMYFUNCTION("""COMPUTED_VALUE"""),"04/10/2024")</f>
        <v>04/10/2024</v>
      </c>
      <c r="AR1161" s="1" t="str">
        <f>IFERROR(__xludf.DUMMYFUNCTION("""COMPUTED_VALUE"""),"10/17/2025")</f>
        <v>10/17/2025</v>
      </c>
    </row>
    <row r="1162">
      <c r="A1162" s="1" t="str">
        <f>IFERROR(__xludf.DUMMYFUNCTION("""COMPUTED_VALUE"""),"Loudoun County Pkwy Data Center")</f>
        <v>Loudoun County Pkwy Data Center</v>
      </c>
      <c r="B1162" s="1" t="str">
        <f>IFERROR(__xludf.DUMMYFUNCTION("""COMPUTED_VALUE"""),"21955 Loudoun County Pkwy")</f>
        <v>21955 Loudoun County Pkwy</v>
      </c>
      <c r="C1162" s="1" t="str">
        <f>IFERROR(__xludf.DUMMYFUNCTION("""COMPUTED_VALUE"""),"Ashburn")</f>
        <v>Ashburn</v>
      </c>
      <c r="D1162" s="1" t="str">
        <f>IFERROR(__xludf.DUMMYFUNCTION("""COMPUTED_VALUE"""),"VA")</f>
        <v>VA</v>
      </c>
      <c r="E1162" s="1" t="str">
        <f>IFERROR(__xludf.DUMMYFUNCTION("""COMPUTED_VALUE"""),"20147")</f>
        <v>20147</v>
      </c>
      <c r="F1162" s="1" t="str">
        <f>IFERROR(__xludf.DUMMYFUNCTION("""COMPUTED_VALUE"""),"Loudoun")</f>
        <v>Loudoun</v>
      </c>
      <c r="G1162" s="1" t="str">
        <f>IFERROR(__xludf.DUMMYFUNCTION("""COMPUTED_VALUE"""),"39.01003")</f>
        <v>39.01003</v>
      </c>
      <c r="H1162" s="1" t="str">
        <f>IFERROR(__xludf.DUMMYFUNCTION("""COMPUTED_VALUE"""),"-77.46274")</f>
        <v>-77.46274</v>
      </c>
      <c r="I1162" s="1" t="str">
        <f>IFERROR(__xludf.DUMMYFUNCTION("""COMPUTED_VALUE"""),"Operating")</f>
        <v>Operating</v>
      </c>
      <c r="J1162" s="1" t="str">
        <f>IFERROR(__xludf.DUMMYFUNCTION("""COMPUTED_VALUE"""),"High")</f>
        <v>High</v>
      </c>
      <c r="K1162" s="1" t="str">
        <f>IFERROR(__xludf.DUMMYFUNCTION("""COMPUTED_VALUE"""),"")</f>
        <v/>
      </c>
      <c r="L1162" s="1" t="str">
        <f>IFERROR(__xludf.DUMMYFUNCTION("""COMPUTED_VALUE"""),"CloudHQ")</f>
        <v>CloudHQ</v>
      </c>
      <c r="M1162" s="1" t="str">
        <f>IFERROR(__xludf.DUMMYFUNCTION("""COMPUTED_VALUE"""),"")</f>
        <v/>
      </c>
      <c r="N1162" s="1" t="str">
        <f>IFERROR(__xludf.DUMMYFUNCTION("""COMPUTED_VALUE"""),"144")</f>
        <v>144</v>
      </c>
      <c r="O1162" s="1" t="str">
        <f>IFERROR(__xludf.DUMMYFUNCTION("""COMPUTED_VALUE"""),"Hyperscale (100-999 MW)")</f>
        <v>Hyperscale (100-999 MW)</v>
      </c>
      <c r="P1162" s="1" t="str">
        <f>IFERROR(__xludf.DUMMYFUNCTION("""COMPUTED_VALUE"""),"")</f>
        <v/>
      </c>
      <c r="Q1162" s="1" t="str">
        <f>IFERROR(__xludf.DUMMYFUNCTION("""COMPUTED_VALUE"""),"")</f>
        <v/>
      </c>
      <c r="R1162" s="1" t="str">
        <f>IFERROR(__xludf.DUMMYFUNCTION("""COMPUTED_VALUE"""),"")</f>
        <v/>
      </c>
      <c r="S1162" s="1" t="str">
        <f>IFERROR(__xludf.DUMMYFUNCTION("""COMPUTED_VALUE"""),"")</f>
        <v/>
      </c>
      <c r="T1162" s="1" t="str">
        <f>IFERROR(__xludf.DUMMYFUNCTION("""COMPUTED_VALUE"""),"")</f>
        <v/>
      </c>
      <c r="U1162" s="1" t="str">
        <f>IFERROR(__xludf.DUMMYFUNCTION("""COMPUTED_VALUE"""),"")</f>
        <v/>
      </c>
      <c r="V1162" s="1" t="str">
        <f>IFERROR(__xludf.DUMMYFUNCTION("""COMPUTED_VALUE"""),"983,994")</f>
        <v>983,994</v>
      </c>
      <c r="W1162" s="1" t="str">
        <f>IFERROR(__xludf.DUMMYFUNCTION("""COMPUTED_VALUE"""),"30")</f>
        <v>30</v>
      </c>
      <c r="X1162" s="1" t="str">
        <f>IFERROR(__xludf.DUMMYFUNCTION("""COMPUTED_VALUE"""),"")</f>
        <v/>
      </c>
      <c r="Y1162" s="1" t="str">
        <f>IFERROR(__xludf.DUMMYFUNCTION("""COMPUTED_VALUE"""),"")</f>
        <v/>
      </c>
      <c r="Z1162" s="1" t="str">
        <f>IFERROR(__xludf.DUMMYFUNCTION("""COMPUTED_VALUE"""),"Unknown")</f>
        <v>Unknown</v>
      </c>
      <c r="AA1162" s="1" t="str">
        <f>IFERROR(__xludf.DUMMYFUNCTION("""COMPUTED_VALUE"""),"")</f>
        <v/>
      </c>
      <c r="AB1162" s="1" t="str">
        <f>IFERROR(__xludf.DUMMYFUNCTION("""COMPUTED_VALUE"""),"")</f>
        <v/>
      </c>
      <c r="AC1162" s="1" t="str">
        <f>IFERROR(__xludf.DUMMYFUNCTION("""COMPUTED_VALUE"""),"")</f>
        <v/>
      </c>
      <c r="AD1162" s="1" t="str">
        <f>IFERROR(__xludf.DUMMYFUNCTION("""COMPUTED_VALUE"""),"")</f>
        <v/>
      </c>
      <c r="AE1162" s="1" t="str">
        <f>IFERROR(__xludf.DUMMYFUNCTION("""COMPUTED_VALUE"""),"")</f>
        <v/>
      </c>
      <c r="AF1162" s="1" t="str">
        <f>IFERROR(__xludf.DUMMYFUNCTION("""COMPUTED_VALUE"""),"")</f>
        <v/>
      </c>
      <c r="AG1162" s="1" t="str">
        <f>IFERROR(__xludf.DUMMYFUNCTION("""COMPUTED_VALUE"""),"")</f>
        <v/>
      </c>
      <c r="AH1162" s="1" t="str">
        <f>IFERROR(__xludf.DUMMYFUNCTION("""COMPUTED_VALUE"""),"Media Monitoring")</f>
        <v>Media Monitoring</v>
      </c>
      <c r="AI1162" s="2" t="str">
        <f>IFERROR(__xludf.DUMMYFUNCTION("""COMPUTED_VALUE"""),"https://www.datacenters.com/cloudhq-lc1-united-states-northern-va?")</f>
        <v>https://www.datacenters.com/cloudhq-lc1-united-states-northern-va?</v>
      </c>
      <c r="AJ1162" s="1" t="str">
        <f>IFERROR(__xludf.DUMMYFUNCTION("""COMPUTED_VALUE"""),"")</f>
        <v/>
      </c>
      <c r="AK1162" s="1" t="str">
        <f>IFERROR(__xludf.DUMMYFUNCTION("""COMPUTED_VALUE"""),"")</f>
        <v/>
      </c>
      <c r="AL1162" s="1" t="str">
        <f>IFERROR(__xludf.DUMMYFUNCTION("""COMPUTED_VALUE"""),"")</f>
        <v/>
      </c>
      <c r="AM1162" s="1" t="str">
        <f>IFERROR(__xludf.DUMMYFUNCTION("""COMPUTED_VALUE"""),"")</f>
        <v/>
      </c>
      <c r="AN1162" s="1" t="str">
        <f>IFERROR(__xludf.DUMMYFUNCTION("""COMPUTED_VALUE"""),"")</f>
        <v/>
      </c>
      <c r="AO1162" s="1" t="str">
        <f>IFERROR(__xludf.DUMMYFUNCTION("""COMPUTED_VALUE"""),"")</f>
        <v/>
      </c>
      <c r="AP1162" s="1" t="str">
        <f>IFERROR(__xludf.DUMMYFUNCTION("""COMPUTED_VALUE"""),"")</f>
        <v/>
      </c>
      <c r="AQ1162" s="1" t="str">
        <f>IFERROR(__xludf.DUMMYFUNCTION("""COMPUTED_VALUE"""),"04/10/2024")</f>
        <v>04/10/2024</v>
      </c>
      <c r="AR1162" s="1" t="str">
        <f>IFERROR(__xludf.DUMMYFUNCTION("""COMPUTED_VALUE"""),"02/13/2026")</f>
        <v>02/13/2026</v>
      </c>
    </row>
    <row r="1163">
      <c r="A1163" s="1" t="str">
        <f>IFERROR(__xludf.DUMMYFUNCTION("""COMPUTED_VALUE"""),"MONTEREY DC ASSETS")</f>
        <v>MONTEREY DC ASSETS</v>
      </c>
      <c r="B1163" s="1" t="str">
        <f>IFERROR(__xludf.DUMMYFUNCTION("""COMPUTED_VALUE"""),"21571 BEAUMEADE CIR")</f>
        <v>21571 BEAUMEADE CIR</v>
      </c>
      <c r="C1163" s="1" t="str">
        <f>IFERROR(__xludf.DUMMYFUNCTION("""COMPUTED_VALUE"""),"Ashburn")</f>
        <v>Ashburn</v>
      </c>
      <c r="D1163" s="1" t="str">
        <f>IFERROR(__xludf.DUMMYFUNCTION("""COMPUTED_VALUE"""),"VA")</f>
        <v>VA</v>
      </c>
      <c r="E1163" s="1" t="str">
        <f>IFERROR(__xludf.DUMMYFUNCTION("""COMPUTED_VALUE"""),"20147")</f>
        <v>20147</v>
      </c>
      <c r="F1163" s="1" t="str">
        <f>IFERROR(__xludf.DUMMYFUNCTION("""COMPUTED_VALUE"""),"Loudoun")</f>
        <v>Loudoun</v>
      </c>
      <c r="G1163" s="1" t="str">
        <f>IFERROR(__xludf.DUMMYFUNCTION("""COMPUTED_VALUE"""),"39.021942")</f>
        <v>39.021942</v>
      </c>
      <c r="H1163" s="1" t="str">
        <f>IFERROR(__xludf.DUMMYFUNCTION("""COMPUTED_VALUE"""),"-77.45329")</f>
        <v>-77.45329</v>
      </c>
      <c r="I1163" s="1" t="str">
        <f>IFERROR(__xludf.DUMMYFUNCTION("""COMPUTED_VALUE"""),"Operating")</f>
        <v>Operating</v>
      </c>
      <c r="J1163" s="1" t="str">
        <f>IFERROR(__xludf.DUMMYFUNCTION("""COMPUTED_VALUE"""),"High")</f>
        <v>High</v>
      </c>
      <c r="K1163" s="1" t="str">
        <f>IFERROR(__xludf.DUMMYFUNCTION("""COMPUTED_VALUE"""),"")</f>
        <v/>
      </c>
      <c r="L1163" s="1" t="str">
        <f>IFERROR(__xludf.DUMMYFUNCTION("""COMPUTED_VALUE"""),"MONTEREY DC ASSETS LLC")</f>
        <v>MONTEREY DC ASSETS LLC</v>
      </c>
      <c r="M1163" s="1" t="str">
        <f>IFERROR(__xludf.DUMMYFUNCTION("""COMPUTED_VALUE"""),"")</f>
        <v/>
      </c>
      <c r="N1163" s="1" t="str">
        <f>IFERROR(__xludf.DUMMYFUNCTION("""COMPUTED_VALUE"""),"")</f>
        <v/>
      </c>
      <c r="O1163" s="1" t="str">
        <f>IFERROR(__xludf.DUMMYFUNCTION("""COMPUTED_VALUE"""),"Unknown")</f>
        <v>Unknown</v>
      </c>
      <c r="P1163" s="1" t="str">
        <f>IFERROR(__xludf.DUMMYFUNCTION("""COMPUTED_VALUE"""),"")</f>
        <v/>
      </c>
      <c r="Q1163" s="1" t="str">
        <f>IFERROR(__xludf.DUMMYFUNCTION("""COMPUTED_VALUE"""),"")</f>
        <v/>
      </c>
      <c r="R1163" s="1" t="str">
        <f>IFERROR(__xludf.DUMMYFUNCTION("""COMPUTED_VALUE"""),"")</f>
        <v/>
      </c>
      <c r="S1163" s="1" t="str">
        <f>IFERROR(__xludf.DUMMYFUNCTION("""COMPUTED_VALUE"""),"")</f>
        <v/>
      </c>
      <c r="T1163" s="1" t="str">
        <f>IFERROR(__xludf.DUMMYFUNCTION("""COMPUTED_VALUE"""),"")</f>
        <v/>
      </c>
      <c r="U1163" s="1" t="str">
        <f>IFERROR(__xludf.DUMMYFUNCTION("""COMPUTED_VALUE"""),"")</f>
        <v/>
      </c>
      <c r="V1163" s="1" t="str">
        <f>IFERROR(__xludf.DUMMYFUNCTION("""COMPUTED_VALUE"""),"164,455")</f>
        <v>164,455</v>
      </c>
      <c r="W1163" s="1" t="str">
        <f>IFERROR(__xludf.DUMMYFUNCTION("""COMPUTED_VALUE"""),"14")</f>
        <v>14</v>
      </c>
      <c r="X1163" s="1" t="str">
        <f>IFERROR(__xludf.DUMMYFUNCTION("""COMPUTED_VALUE"""),"")</f>
        <v/>
      </c>
      <c r="Y1163" s="1" t="str">
        <f>IFERROR(__xludf.DUMMYFUNCTION("""COMPUTED_VALUE"""),"")</f>
        <v/>
      </c>
      <c r="Z1163" s="1" t="str">
        <f>IFERROR(__xludf.DUMMYFUNCTION("""COMPUTED_VALUE"""),"Unknown")</f>
        <v>Unknown</v>
      </c>
      <c r="AA1163" s="1" t="str">
        <f>IFERROR(__xludf.DUMMYFUNCTION("""COMPUTED_VALUE"""),"")</f>
        <v/>
      </c>
      <c r="AB1163" s="1" t="str">
        <f>IFERROR(__xludf.DUMMYFUNCTION("""COMPUTED_VALUE"""),"")</f>
        <v/>
      </c>
      <c r="AC1163" s="1" t="str">
        <f>IFERROR(__xludf.DUMMYFUNCTION("""COMPUTED_VALUE"""),"")</f>
        <v/>
      </c>
      <c r="AD1163" s="1" t="str">
        <f>IFERROR(__xludf.DUMMYFUNCTION("""COMPUTED_VALUE"""),"")</f>
        <v/>
      </c>
      <c r="AE1163" s="1" t="str">
        <f>IFERROR(__xludf.DUMMYFUNCTION("""COMPUTED_VALUE"""),"")</f>
        <v/>
      </c>
      <c r="AF1163" s="1" t="str">
        <f>IFERROR(__xludf.DUMMYFUNCTION("""COMPUTED_VALUE"""),"")</f>
        <v/>
      </c>
      <c r="AG1163" s="1" t="str">
        <f>IFERROR(__xludf.DUMMYFUNCTION("""COMPUTED_VALUE"""),"Shown as ""Storage Warehouse""")</f>
        <v>Shown as "Storage Warehouse"</v>
      </c>
      <c r="AH1163" s="1" t="str">
        <f>IFERROR(__xludf.DUMMYFUNCTION("""COMPUTED_VALUE"""),"PEC")</f>
        <v>PEC</v>
      </c>
      <c r="AI1163" s="2" t="str">
        <f>IFERROR(__xludf.DUMMYFUNCTION("""COMPUTED_VALUE"""),"https://reparcelasmt.loudoun.gov/pt/datalets/datalet.aspx?mode=profileall&amp;UseSearch=no&amp;pin=060202337000&amp;jur=107&amp;taxyr=2024&amp;LMparent=20")</f>
        <v>https://reparcelasmt.loudoun.gov/pt/datalets/datalet.aspx?mode=profileall&amp;UseSearch=no&amp;pin=060202337000&amp;jur=107&amp;taxyr=2024&amp;LMparent=20</v>
      </c>
      <c r="AJ1163" s="1" t="str">
        <f>IFERROR(__xludf.DUMMYFUNCTION("""COMPUTED_VALUE"""),"")</f>
        <v/>
      </c>
      <c r="AK1163" s="1" t="str">
        <f>IFERROR(__xludf.DUMMYFUNCTION("""COMPUTED_VALUE"""),"")</f>
        <v/>
      </c>
      <c r="AL1163" s="1" t="str">
        <f>IFERROR(__xludf.DUMMYFUNCTION("""COMPUTED_VALUE"""),"")</f>
        <v/>
      </c>
      <c r="AM1163" s="1" t="str">
        <f>IFERROR(__xludf.DUMMYFUNCTION("""COMPUTED_VALUE"""),"")</f>
        <v/>
      </c>
      <c r="AN1163" s="1" t="str">
        <f>IFERROR(__xludf.DUMMYFUNCTION("""COMPUTED_VALUE"""),"")</f>
        <v/>
      </c>
      <c r="AO1163" s="1" t="str">
        <f>IFERROR(__xludf.DUMMYFUNCTION("""COMPUTED_VALUE"""),"")</f>
        <v/>
      </c>
      <c r="AP1163" s="1" t="str">
        <f>IFERROR(__xludf.DUMMYFUNCTION("""COMPUTED_VALUE"""),"")</f>
        <v/>
      </c>
      <c r="AQ1163" s="1" t="str">
        <f>IFERROR(__xludf.DUMMYFUNCTION("""COMPUTED_VALUE"""),"04/10/2024")</f>
        <v>04/10/2024</v>
      </c>
      <c r="AR1163" s="1" t="str">
        <f>IFERROR(__xludf.DUMMYFUNCTION("""COMPUTED_VALUE"""),"10/17/2025")</f>
        <v>10/17/2025</v>
      </c>
    </row>
    <row r="1164">
      <c r="A1164" s="1" t="str">
        <f>IFERROR(__xludf.DUMMYFUNCTION("""COMPUTED_VALUE"""),"NTT Global Data Centers")</f>
        <v>NTT Global Data Centers</v>
      </c>
      <c r="B1164" s="1" t="str">
        <f>IFERROR(__xludf.DUMMYFUNCTION("""COMPUTED_VALUE"""),"44245 GIGABIT PLZ")</f>
        <v>44245 GIGABIT PLZ</v>
      </c>
      <c r="C1164" s="1" t="str">
        <f>IFERROR(__xludf.DUMMYFUNCTION("""COMPUTED_VALUE"""),"Ashburn")</f>
        <v>Ashburn</v>
      </c>
      <c r="D1164" s="1" t="str">
        <f>IFERROR(__xludf.DUMMYFUNCTION("""COMPUTED_VALUE"""),"VA")</f>
        <v>VA</v>
      </c>
      <c r="E1164" s="1" t="str">
        <f>IFERROR(__xludf.DUMMYFUNCTION("""COMPUTED_VALUE"""),"20147")</f>
        <v>20147</v>
      </c>
      <c r="F1164" s="1" t="str">
        <f>IFERROR(__xludf.DUMMYFUNCTION("""COMPUTED_VALUE"""),"Loudoun")</f>
        <v>Loudoun</v>
      </c>
      <c r="G1164" s="1" t="str">
        <f>IFERROR(__xludf.DUMMYFUNCTION("""COMPUTED_VALUE"""),"39.018154")</f>
        <v>39.018154</v>
      </c>
      <c r="H1164" s="1" t="str">
        <f>IFERROR(__xludf.DUMMYFUNCTION("""COMPUTED_VALUE"""),"-77.47289")</f>
        <v>-77.47289</v>
      </c>
      <c r="I1164" s="1" t="str">
        <f>IFERROR(__xludf.DUMMYFUNCTION("""COMPUTED_VALUE"""),"Expanding")</f>
        <v>Expanding</v>
      </c>
      <c r="J1164" s="1" t="str">
        <f>IFERROR(__xludf.DUMMYFUNCTION("""COMPUTED_VALUE"""),"High")</f>
        <v>High</v>
      </c>
      <c r="K1164" s="1" t="str">
        <f>IFERROR(__xludf.DUMMYFUNCTION("""COMPUTED_VALUE"""),"")</f>
        <v/>
      </c>
      <c r="L1164" s="1" t="str">
        <f>IFERROR(__xludf.DUMMYFUNCTION("""COMPUTED_VALUE"""),"NTT GLOBAL DATA CENTERS VA LLC")</f>
        <v>NTT GLOBAL DATA CENTERS VA LLC</v>
      </c>
      <c r="M1164" s="1" t="str">
        <f>IFERROR(__xludf.DUMMYFUNCTION("""COMPUTED_VALUE"""),"")</f>
        <v/>
      </c>
      <c r="N1164" s="1" t="str">
        <f>IFERROR(__xludf.DUMMYFUNCTION("""COMPUTED_VALUE"""),"32")</f>
        <v>32</v>
      </c>
      <c r="O1164" s="1" t="str">
        <f>IFERROR(__xludf.DUMMYFUNCTION("""COMPUTED_VALUE"""),"Medium (11-50 MW)")</f>
        <v>Medium (11-50 MW)</v>
      </c>
      <c r="P1164" s="1" t="str">
        <f>IFERROR(__xludf.DUMMYFUNCTION("""COMPUTED_VALUE"""),"")</f>
        <v/>
      </c>
      <c r="Q1164" s="1" t="str">
        <f>IFERROR(__xludf.DUMMYFUNCTION("""COMPUTED_VALUE"""),"")</f>
        <v/>
      </c>
      <c r="R1164" s="1" t="str">
        <f>IFERROR(__xludf.DUMMYFUNCTION("""COMPUTED_VALUE"""),"")</f>
        <v/>
      </c>
      <c r="S1164" s="1" t="str">
        <f>IFERROR(__xludf.DUMMYFUNCTION("""COMPUTED_VALUE"""),"")</f>
        <v/>
      </c>
      <c r="T1164" s="1" t="str">
        <f>IFERROR(__xludf.DUMMYFUNCTION("""COMPUTED_VALUE"""),"")</f>
        <v/>
      </c>
      <c r="U1164" s="1" t="str">
        <f>IFERROR(__xludf.DUMMYFUNCTION("""COMPUTED_VALUE"""),"")</f>
        <v/>
      </c>
      <c r="V1164" s="1" t="str">
        <f>IFERROR(__xludf.DUMMYFUNCTION("""COMPUTED_VALUE"""),"1,376,853")</f>
        <v>1,376,853</v>
      </c>
      <c r="W1164" s="1" t="str">
        <f>IFERROR(__xludf.DUMMYFUNCTION("""COMPUTED_VALUE"""),"78")</f>
        <v>78</v>
      </c>
      <c r="X1164" s="1" t="str">
        <f>IFERROR(__xludf.DUMMYFUNCTION("""COMPUTED_VALUE"""),"")</f>
        <v/>
      </c>
      <c r="Y1164" s="1" t="str">
        <f>IFERROR(__xludf.DUMMYFUNCTION("""COMPUTED_VALUE"""),"")</f>
        <v/>
      </c>
      <c r="Z1164" s="1" t="str">
        <f>IFERROR(__xludf.DUMMYFUNCTION("""COMPUTED_VALUE"""),"Unknown")</f>
        <v>Unknown</v>
      </c>
      <c r="AA1164" s="1" t="str">
        <f>IFERROR(__xludf.DUMMYFUNCTION("""COMPUTED_VALUE"""),"")</f>
        <v/>
      </c>
      <c r="AB1164" s="1" t="str">
        <f>IFERROR(__xludf.DUMMYFUNCTION("""COMPUTED_VALUE"""),"")</f>
        <v/>
      </c>
      <c r="AC1164" s="1" t="str">
        <f>IFERROR(__xludf.DUMMYFUNCTION("""COMPUTED_VALUE"""),"")</f>
        <v/>
      </c>
      <c r="AD1164" s="1" t="str">
        <f>IFERROR(__xludf.DUMMYFUNCTION("""COMPUTED_VALUE"""),"")</f>
        <v/>
      </c>
      <c r="AE1164" s="1" t="str">
        <f>IFERROR(__xludf.DUMMYFUNCTION("""COMPUTED_VALUE"""),"")</f>
        <v/>
      </c>
      <c r="AF1164" s="1" t="str">
        <f>IFERROR(__xludf.DUMMYFUNCTION("""COMPUTED_VALUE"""),"")</f>
        <v/>
      </c>
      <c r="AG1164" s="1" t="str">
        <f>IFERROR(__xludf.DUMMYFUNCTION("""COMPUTED_VALUE"""),"Computer Center. Building 7 expansion 270,856 sq ft, Building 9 expansion 220,132 sq feet")</f>
        <v>Computer Center. Building 7 expansion 270,856 sq ft, Building 9 expansion 220,132 sq feet</v>
      </c>
      <c r="AH1164" s="1" t="str">
        <f>IFERROR(__xludf.DUMMYFUNCTION("""COMPUTED_VALUE"""),"PEC")</f>
        <v>PEC</v>
      </c>
      <c r="AI1164" s="2" t="str">
        <f>IFERROR(__xludf.DUMMYFUNCTION("""COMPUTED_VALUE"""),"https://loudouncountyvaeg.tylerhost.net/prod/selfservice#/plan/D44DB647-CD20-4FAD-8BEF-A0CDEBD6372B?tab=attachments")</f>
        <v>https://loudouncountyvaeg.tylerhost.net/prod/selfservice#/plan/D44DB647-CD20-4FAD-8BEF-A0CDEBD6372B?tab=attachments</v>
      </c>
      <c r="AJ1164" s="2" t="str">
        <f>IFERROR(__xludf.DUMMYFUNCTION("""COMPUTED_VALUE"""),"https://reparcelasmt.loudoun.gov/pt/datalets/datalet.aspx?mode=profileall&amp;UseSearch=no&amp;pin=088407447000&amp;jur=107&amp;taxyr=2024&amp;LMparent=20")</f>
        <v>https://reparcelasmt.loudoun.gov/pt/datalets/datalet.aspx?mode=profileall&amp;UseSearch=no&amp;pin=088407447000&amp;jur=107&amp;taxyr=2024&amp;LMparent=20</v>
      </c>
      <c r="AK1164" s="1" t="str">
        <f>IFERROR(__xludf.DUMMYFUNCTION("""COMPUTED_VALUE"""),"")</f>
        <v/>
      </c>
      <c r="AL1164" s="1" t="str">
        <f>IFERROR(__xludf.DUMMYFUNCTION("""COMPUTED_VALUE"""),"")</f>
        <v/>
      </c>
      <c r="AM1164" s="1" t="str">
        <f>IFERROR(__xludf.DUMMYFUNCTION("""COMPUTED_VALUE"""),"")</f>
        <v/>
      </c>
      <c r="AN1164" s="1" t="str">
        <f>IFERROR(__xludf.DUMMYFUNCTION("""COMPUTED_VALUE"""),"")</f>
        <v/>
      </c>
      <c r="AO1164" s="1" t="str">
        <f>IFERROR(__xludf.DUMMYFUNCTION("""COMPUTED_VALUE"""),"")</f>
        <v/>
      </c>
      <c r="AP1164" s="1" t="str">
        <f>IFERROR(__xludf.DUMMYFUNCTION("""COMPUTED_VALUE"""),"")</f>
        <v/>
      </c>
      <c r="AQ1164" s="1" t="str">
        <f>IFERROR(__xludf.DUMMYFUNCTION("""COMPUTED_VALUE"""),"08/11/2025")</f>
        <v>08/11/2025</v>
      </c>
      <c r="AR1164" s="1" t="str">
        <f>IFERROR(__xludf.DUMMYFUNCTION("""COMPUTED_VALUE"""),"02/10/2026")</f>
        <v>02/10/2026</v>
      </c>
    </row>
    <row r="1165">
      <c r="A1165" s="1" t="str">
        <f>IFERROR(__xludf.DUMMYFUNCTION("""COMPUTED_VALUE"""),"PowerHouse/AREP ABX-1")</f>
        <v>PowerHouse/AREP ABX-1</v>
      </c>
      <c r="B1165" s="1" t="str">
        <f>IFERROR(__xludf.DUMMYFUNCTION("""COMPUTED_VALUE"""),"21529 BEAUMEADE CIR")</f>
        <v>21529 BEAUMEADE CIR</v>
      </c>
      <c r="C1165" s="1" t="str">
        <f>IFERROR(__xludf.DUMMYFUNCTION("""COMPUTED_VALUE"""),"Ashburn")</f>
        <v>Ashburn</v>
      </c>
      <c r="D1165" s="1" t="str">
        <f>IFERROR(__xludf.DUMMYFUNCTION("""COMPUTED_VALUE"""),"VA")</f>
        <v>VA</v>
      </c>
      <c r="E1165" s="1" t="str">
        <f>IFERROR(__xludf.DUMMYFUNCTION("""COMPUTED_VALUE"""),"20147")</f>
        <v>20147</v>
      </c>
      <c r="F1165" s="1" t="str">
        <f>IFERROR(__xludf.DUMMYFUNCTION("""COMPUTED_VALUE"""),"Loudoun")</f>
        <v>Loudoun</v>
      </c>
      <c r="G1165" s="1" t="str">
        <f>IFERROR(__xludf.DUMMYFUNCTION("""COMPUTED_VALUE"""),"39.01958")</f>
        <v>39.01958</v>
      </c>
      <c r="H1165" s="1" t="str">
        <f>IFERROR(__xludf.DUMMYFUNCTION("""COMPUTED_VALUE"""),"-77.45049")</f>
        <v>-77.45049</v>
      </c>
      <c r="I1165" s="1" t="str">
        <f>IFERROR(__xludf.DUMMYFUNCTION("""COMPUTED_VALUE"""),"Operating")</f>
        <v>Operating</v>
      </c>
      <c r="J1165" s="1" t="str">
        <f>IFERROR(__xludf.DUMMYFUNCTION("""COMPUTED_VALUE"""),"High")</f>
        <v>High</v>
      </c>
      <c r="K1165" s="1" t="str">
        <f>IFERROR(__xludf.DUMMYFUNCTION("""COMPUTED_VALUE"""),"")</f>
        <v/>
      </c>
      <c r="L1165" s="1" t="str">
        <f>IFERROR(__xludf.DUMMYFUNCTION("""COMPUTED_VALUE"""),"AREP BEAUMEADE LLC")</f>
        <v>AREP BEAUMEADE LLC</v>
      </c>
      <c r="M1165" s="1" t="str">
        <f>IFERROR(__xludf.DUMMYFUNCTION("""COMPUTED_VALUE"""),"")</f>
        <v/>
      </c>
      <c r="N1165" s="1" t="str">
        <f>IFERROR(__xludf.DUMMYFUNCTION("""COMPUTED_VALUE"""),"")</f>
        <v/>
      </c>
      <c r="O1165" s="1" t="str">
        <f>IFERROR(__xludf.DUMMYFUNCTION("""COMPUTED_VALUE"""),"Unknown")</f>
        <v>Unknown</v>
      </c>
      <c r="P1165" s="1" t="str">
        <f>IFERROR(__xludf.DUMMYFUNCTION("""COMPUTED_VALUE"""),"")</f>
        <v/>
      </c>
      <c r="Q1165" s="1" t="str">
        <f>IFERROR(__xludf.DUMMYFUNCTION("""COMPUTED_VALUE"""),"")</f>
        <v/>
      </c>
      <c r="R1165" s="1" t="str">
        <f>IFERROR(__xludf.DUMMYFUNCTION("""COMPUTED_VALUE"""),"")</f>
        <v/>
      </c>
      <c r="S1165" s="1" t="str">
        <f>IFERROR(__xludf.DUMMYFUNCTION("""COMPUTED_VALUE"""),"")</f>
        <v/>
      </c>
      <c r="T1165" s="1" t="str">
        <f>IFERROR(__xludf.DUMMYFUNCTION("""COMPUTED_VALUE"""),"")</f>
        <v/>
      </c>
      <c r="U1165" s="1" t="str">
        <f>IFERROR(__xludf.DUMMYFUNCTION("""COMPUTED_VALUE"""),"")</f>
        <v/>
      </c>
      <c r="V1165" s="1" t="str">
        <f>IFERROR(__xludf.DUMMYFUNCTION("""COMPUTED_VALUE"""),"259,194")</f>
        <v>259,194</v>
      </c>
      <c r="W1165" s="1" t="str">
        <f>IFERROR(__xludf.DUMMYFUNCTION("""COMPUTED_VALUE"""),"10")</f>
        <v>10</v>
      </c>
      <c r="X1165" s="1" t="str">
        <f>IFERROR(__xludf.DUMMYFUNCTION("""COMPUTED_VALUE"""),"")</f>
        <v/>
      </c>
      <c r="Y1165" s="1" t="str">
        <f>IFERROR(__xludf.DUMMYFUNCTION("""COMPUTED_VALUE"""),"")</f>
        <v/>
      </c>
      <c r="Z1165" s="1" t="str">
        <f>IFERROR(__xludf.DUMMYFUNCTION("""COMPUTED_VALUE"""),"Unknown")</f>
        <v>Unknown</v>
      </c>
      <c r="AA1165" s="1" t="str">
        <f>IFERROR(__xludf.DUMMYFUNCTION("""COMPUTED_VALUE"""),"")</f>
        <v/>
      </c>
      <c r="AB1165" s="1" t="str">
        <f>IFERROR(__xludf.DUMMYFUNCTION("""COMPUTED_VALUE"""),"")</f>
        <v/>
      </c>
      <c r="AC1165" s="1" t="str">
        <f>IFERROR(__xludf.DUMMYFUNCTION("""COMPUTED_VALUE"""),"")</f>
        <v/>
      </c>
      <c r="AD1165" s="1" t="str">
        <f>IFERROR(__xludf.DUMMYFUNCTION("""COMPUTED_VALUE"""),"")</f>
        <v/>
      </c>
      <c r="AE1165" s="1" t="str">
        <f>IFERROR(__xludf.DUMMYFUNCTION("""COMPUTED_VALUE"""),"")</f>
        <v/>
      </c>
      <c r="AF1165" s="1" t="str">
        <f>IFERROR(__xludf.DUMMYFUNCTION("""COMPUTED_VALUE"""),"")</f>
        <v/>
      </c>
      <c r="AG1165" s="1" t="str">
        <f>IFERROR(__xludf.DUMMYFUNCTION("""COMPUTED_VALUE"""),"Computer Center")</f>
        <v>Computer Center</v>
      </c>
      <c r="AH1165" s="1" t="str">
        <f>IFERROR(__xludf.DUMMYFUNCTION("""COMPUTED_VALUE"""),"PEC")</f>
        <v>PEC</v>
      </c>
      <c r="AI1165" s="2" t="str">
        <f>IFERROR(__xludf.DUMMYFUNCTION("""COMPUTED_VALUE"""),"https://reparcelasmt.loudoun.gov/pt/datalets/datalet.aspx?mode=profileall&amp;UseSearch=no&amp;pin=042152579000&amp;jur=107&amp;taxyr=2024&amp;LMparent=20")</f>
        <v>https://reparcelasmt.loudoun.gov/pt/datalets/datalet.aspx?mode=profileall&amp;UseSearch=no&amp;pin=042152579000&amp;jur=107&amp;taxyr=2024&amp;LMparent=20</v>
      </c>
      <c r="AJ1165" s="1" t="str">
        <f>IFERROR(__xludf.DUMMYFUNCTION("""COMPUTED_VALUE"""),"")</f>
        <v/>
      </c>
      <c r="AK1165" s="1" t="str">
        <f>IFERROR(__xludf.DUMMYFUNCTION("""COMPUTED_VALUE"""),"")</f>
        <v/>
      </c>
      <c r="AL1165" s="1" t="str">
        <f>IFERROR(__xludf.DUMMYFUNCTION("""COMPUTED_VALUE"""),"")</f>
        <v/>
      </c>
      <c r="AM1165" s="1" t="str">
        <f>IFERROR(__xludf.DUMMYFUNCTION("""COMPUTED_VALUE"""),"")</f>
        <v/>
      </c>
      <c r="AN1165" s="1" t="str">
        <f>IFERROR(__xludf.DUMMYFUNCTION("""COMPUTED_VALUE"""),"")</f>
        <v/>
      </c>
      <c r="AO1165" s="1" t="str">
        <f>IFERROR(__xludf.DUMMYFUNCTION("""COMPUTED_VALUE"""),"")</f>
        <v/>
      </c>
      <c r="AP1165" s="1" t="str">
        <f>IFERROR(__xludf.DUMMYFUNCTION("""COMPUTED_VALUE"""),"")</f>
        <v/>
      </c>
      <c r="AQ1165" s="1" t="str">
        <f>IFERROR(__xludf.DUMMYFUNCTION("""COMPUTED_VALUE"""),"04/10/2024")</f>
        <v>04/10/2024</v>
      </c>
      <c r="AR1165" s="1" t="str">
        <f>IFERROR(__xludf.DUMMYFUNCTION("""COMPUTED_VALUE"""),"10/17/2025")</f>
        <v>10/17/2025</v>
      </c>
    </row>
    <row r="1166">
      <c r="A1166" s="1" t="str">
        <f>IFERROR(__xludf.DUMMYFUNCTION("""COMPUTED_VALUE"""),"QTS DATA CENTER ASH3-DC1")</f>
        <v>QTS DATA CENTER ASH3-DC1</v>
      </c>
      <c r="B1166" s="1" t="str">
        <f>IFERROR(__xludf.DUMMYFUNCTION("""COMPUTED_VALUE"""),"22291 SHELLHORN RD")</f>
        <v>22291 SHELLHORN RD</v>
      </c>
      <c r="C1166" s="1" t="str">
        <f>IFERROR(__xludf.DUMMYFUNCTION("""COMPUTED_VALUE"""),"Ashburn")</f>
        <v>Ashburn</v>
      </c>
      <c r="D1166" s="1" t="str">
        <f>IFERROR(__xludf.DUMMYFUNCTION("""COMPUTED_VALUE"""),"VA")</f>
        <v>VA</v>
      </c>
      <c r="E1166" s="1" t="str">
        <f>IFERROR(__xludf.DUMMYFUNCTION("""COMPUTED_VALUE"""),"20147")</f>
        <v>20147</v>
      </c>
      <c r="F1166" s="1" t="str">
        <f>IFERROR(__xludf.DUMMYFUNCTION("""COMPUTED_VALUE"""),"Loudoun")</f>
        <v>Loudoun</v>
      </c>
      <c r="G1166" s="1" t="str">
        <f>IFERROR(__xludf.DUMMYFUNCTION("""COMPUTED_VALUE"""),"38.998035")</f>
        <v>38.998035</v>
      </c>
      <c r="H1166" s="1" t="str">
        <f>IFERROR(__xludf.DUMMYFUNCTION("""COMPUTED_VALUE"""),"-77.47548")</f>
        <v>-77.47548</v>
      </c>
      <c r="I1166" s="1" t="str">
        <f>IFERROR(__xludf.DUMMYFUNCTION("""COMPUTED_VALUE"""),"Operating")</f>
        <v>Operating</v>
      </c>
      <c r="J1166" s="1" t="str">
        <f>IFERROR(__xludf.DUMMYFUNCTION("""COMPUTED_VALUE"""),"High")</f>
        <v>High</v>
      </c>
      <c r="K1166" s="1" t="str">
        <f>IFERROR(__xludf.DUMMYFUNCTION("""COMPUTED_VALUE"""),"")</f>
        <v/>
      </c>
      <c r="L1166" s="1" t="str">
        <f>IFERROR(__xludf.DUMMYFUNCTION("""COMPUTED_VALUE"""),"QTS Data Centers")</f>
        <v>QTS Data Centers</v>
      </c>
      <c r="M1166" s="1" t="str">
        <f>IFERROR(__xludf.DUMMYFUNCTION("""COMPUTED_VALUE"""),"")</f>
        <v/>
      </c>
      <c r="N1166" s="1" t="str">
        <f>IFERROR(__xludf.DUMMYFUNCTION("""COMPUTED_VALUE"""),"")</f>
        <v/>
      </c>
      <c r="O1166" s="1" t="str">
        <f>IFERROR(__xludf.DUMMYFUNCTION("""COMPUTED_VALUE"""),"Unknown")</f>
        <v>Unknown</v>
      </c>
      <c r="P1166" s="1" t="str">
        <f>IFERROR(__xludf.DUMMYFUNCTION("""COMPUTED_VALUE"""),"")</f>
        <v/>
      </c>
      <c r="Q1166" s="1" t="str">
        <f>IFERROR(__xludf.DUMMYFUNCTION("""COMPUTED_VALUE"""),"")</f>
        <v/>
      </c>
      <c r="R1166" s="1" t="str">
        <f>IFERROR(__xludf.DUMMYFUNCTION("""COMPUTED_VALUE"""),"")</f>
        <v/>
      </c>
      <c r="S1166" s="1" t="str">
        <f>IFERROR(__xludf.DUMMYFUNCTION("""COMPUTED_VALUE"""),"")</f>
        <v/>
      </c>
      <c r="T1166" s="1" t="str">
        <f>IFERROR(__xludf.DUMMYFUNCTION("""COMPUTED_VALUE"""),"")</f>
        <v/>
      </c>
      <c r="U1166" s="1" t="str">
        <f>IFERROR(__xludf.DUMMYFUNCTION("""COMPUTED_VALUE"""),"")</f>
        <v/>
      </c>
      <c r="V1166" s="1" t="str">
        <f>IFERROR(__xludf.DUMMYFUNCTION("""COMPUTED_VALUE"""),"310,717")</f>
        <v>310,717</v>
      </c>
      <c r="W1166" s="1" t="str">
        <f>IFERROR(__xludf.DUMMYFUNCTION("""COMPUTED_VALUE"""),"14")</f>
        <v>14</v>
      </c>
      <c r="X1166" s="1" t="str">
        <f>IFERROR(__xludf.DUMMYFUNCTION("""COMPUTED_VALUE"""),"")</f>
        <v/>
      </c>
      <c r="Y1166" s="1" t="str">
        <f>IFERROR(__xludf.DUMMYFUNCTION("""COMPUTED_VALUE"""),"")</f>
        <v/>
      </c>
      <c r="Z1166" s="1" t="str">
        <f>IFERROR(__xludf.DUMMYFUNCTION("""COMPUTED_VALUE"""),"Unknown")</f>
        <v>Unknown</v>
      </c>
      <c r="AA1166" s="1" t="str">
        <f>IFERROR(__xludf.DUMMYFUNCTION("""COMPUTED_VALUE"""),"")</f>
        <v/>
      </c>
      <c r="AB1166" s="1" t="str">
        <f>IFERROR(__xludf.DUMMYFUNCTION("""COMPUTED_VALUE"""),"")</f>
        <v/>
      </c>
      <c r="AC1166" s="1" t="str">
        <f>IFERROR(__xludf.DUMMYFUNCTION("""COMPUTED_VALUE"""),"")</f>
        <v/>
      </c>
      <c r="AD1166" s="1" t="str">
        <f>IFERROR(__xludf.DUMMYFUNCTION("""COMPUTED_VALUE"""),"")</f>
        <v/>
      </c>
      <c r="AE1166" s="1" t="str">
        <f>IFERROR(__xludf.DUMMYFUNCTION("""COMPUTED_VALUE"""),"")</f>
        <v/>
      </c>
      <c r="AF1166" s="1" t="str">
        <f>IFERROR(__xludf.DUMMYFUNCTION("""COMPUTED_VALUE"""),"")</f>
        <v/>
      </c>
      <c r="AG1166" s="1" t="str">
        <f>IFERROR(__xludf.DUMMYFUNCTION("""COMPUTED_VALUE"""),"Computer Center")</f>
        <v>Computer Center</v>
      </c>
      <c r="AH1166" s="1" t="str">
        <f>IFERROR(__xludf.DUMMYFUNCTION("""COMPUTED_VALUE"""),"PEC")</f>
        <v>PEC</v>
      </c>
      <c r="AI1166" s="1" t="str">
        <f>IFERROR(__xludf.DUMMYFUNCTION("""COMPUTED_VALUE"""),"")</f>
        <v/>
      </c>
      <c r="AJ1166" s="2" t="str">
        <f>IFERROR(__xludf.DUMMYFUNCTION("""COMPUTED_VALUE"""),"https://reparcelasmt.loudoun.gov/pt/datalets/datalet.aspx?mode=profileall&amp;UseSearch=no&amp;pin=089100937000&amp;jur=107&amp;taxyr=2024&amp;LMparent=20")</f>
        <v>https://reparcelasmt.loudoun.gov/pt/datalets/datalet.aspx?mode=profileall&amp;UseSearch=no&amp;pin=089100937000&amp;jur=107&amp;taxyr=2024&amp;LMparent=20</v>
      </c>
      <c r="AK1166" s="1" t="str">
        <f>IFERROR(__xludf.DUMMYFUNCTION("""COMPUTED_VALUE"""),"")</f>
        <v/>
      </c>
      <c r="AL1166" s="1" t="str">
        <f>IFERROR(__xludf.DUMMYFUNCTION("""COMPUTED_VALUE"""),"")</f>
        <v/>
      </c>
      <c r="AM1166" s="1" t="str">
        <f>IFERROR(__xludf.DUMMYFUNCTION("""COMPUTED_VALUE"""),"")</f>
        <v/>
      </c>
      <c r="AN1166" s="1" t="str">
        <f>IFERROR(__xludf.DUMMYFUNCTION("""COMPUTED_VALUE"""),"")</f>
        <v/>
      </c>
      <c r="AO1166" s="1" t="str">
        <f>IFERROR(__xludf.DUMMYFUNCTION("""COMPUTED_VALUE"""),"")</f>
        <v/>
      </c>
      <c r="AP1166" s="1" t="str">
        <f>IFERROR(__xludf.DUMMYFUNCTION("""COMPUTED_VALUE"""),"")</f>
        <v/>
      </c>
      <c r="AQ1166" s="1" t="str">
        <f>IFERROR(__xludf.DUMMYFUNCTION("""COMPUTED_VALUE"""),"04/10/2024")</f>
        <v>04/10/2024</v>
      </c>
      <c r="AR1166" s="1" t="str">
        <f>IFERROR(__xludf.DUMMYFUNCTION("""COMPUTED_VALUE"""),"10/17/2025")</f>
        <v>10/17/2025</v>
      </c>
    </row>
    <row r="1167">
      <c r="A1167" s="1" t="str">
        <f>IFERROR(__xludf.DUMMYFUNCTION("""COMPUTED_VALUE"""),"RAGING WIRE VA1")</f>
        <v>RAGING WIRE VA1</v>
      </c>
      <c r="B1167" s="1" t="str">
        <f>IFERROR(__xludf.DUMMYFUNCTION("""COMPUTED_VALUE"""),"44664 GUILFORD DR")</f>
        <v>44664 GUILFORD DR</v>
      </c>
      <c r="C1167" s="1" t="str">
        <f>IFERROR(__xludf.DUMMYFUNCTION("""COMPUTED_VALUE"""),"Ashburn")</f>
        <v>Ashburn</v>
      </c>
      <c r="D1167" s="1" t="str">
        <f>IFERROR(__xludf.DUMMYFUNCTION("""COMPUTED_VALUE"""),"VA")</f>
        <v>VA</v>
      </c>
      <c r="E1167" s="1" t="str">
        <f>IFERROR(__xludf.DUMMYFUNCTION("""COMPUTED_VALUE"""),"20147")</f>
        <v>20147</v>
      </c>
      <c r="F1167" s="1" t="str">
        <f>IFERROR(__xludf.DUMMYFUNCTION("""COMPUTED_VALUE"""),"Loudoun")</f>
        <v>Loudoun</v>
      </c>
      <c r="G1167" s="1" t="str">
        <f>IFERROR(__xludf.DUMMYFUNCTION("""COMPUTED_VALUE"""),"39.02266")</f>
        <v>39.02266</v>
      </c>
      <c r="H1167" s="1" t="str">
        <f>IFERROR(__xludf.DUMMYFUNCTION("""COMPUTED_VALUE"""),"-77.45487")</f>
        <v>-77.45487</v>
      </c>
      <c r="I1167" s="1" t="str">
        <f>IFERROR(__xludf.DUMMYFUNCTION("""COMPUTED_VALUE"""),"Operating")</f>
        <v>Operating</v>
      </c>
      <c r="J1167" s="1" t="str">
        <f>IFERROR(__xludf.DUMMYFUNCTION("""COMPUTED_VALUE"""),"High")</f>
        <v>High</v>
      </c>
      <c r="K1167" s="1" t="str">
        <f>IFERROR(__xludf.DUMMYFUNCTION("""COMPUTED_VALUE"""),"")</f>
        <v/>
      </c>
      <c r="L1167" s="1" t="str">
        <f>IFERROR(__xludf.DUMMYFUNCTION("""COMPUTED_VALUE"""),"RAGINGWIRE DATA CENTERS INC")</f>
        <v>RAGINGWIRE DATA CENTERS INC</v>
      </c>
      <c r="M1167" s="1" t="str">
        <f>IFERROR(__xludf.DUMMYFUNCTION("""COMPUTED_VALUE"""),"")</f>
        <v/>
      </c>
      <c r="N1167" s="1" t="str">
        <f>IFERROR(__xludf.DUMMYFUNCTION("""COMPUTED_VALUE"""),"")</f>
        <v/>
      </c>
      <c r="O1167" s="1" t="str">
        <f>IFERROR(__xludf.DUMMYFUNCTION("""COMPUTED_VALUE"""),"Unknown")</f>
        <v>Unknown</v>
      </c>
      <c r="P1167" s="1" t="str">
        <f>IFERROR(__xludf.DUMMYFUNCTION("""COMPUTED_VALUE"""),"")</f>
        <v/>
      </c>
      <c r="Q1167" s="1" t="str">
        <f>IFERROR(__xludf.DUMMYFUNCTION("""COMPUTED_VALUE"""),"")</f>
        <v/>
      </c>
      <c r="R1167" s="1" t="str">
        <f>IFERROR(__xludf.DUMMYFUNCTION("""COMPUTED_VALUE"""),"")</f>
        <v/>
      </c>
      <c r="S1167" s="1" t="str">
        <f>IFERROR(__xludf.DUMMYFUNCTION("""COMPUTED_VALUE"""),"")</f>
        <v/>
      </c>
      <c r="T1167" s="1" t="str">
        <f>IFERROR(__xludf.DUMMYFUNCTION("""COMPUTED_VALUE"""),"")</f>
        <v/>
      </c>
      <c r="U1167" s="1" t="str">
        <f>IFERROR(__xludf.DUMMYFUNCTION("""COMPUTED_VALUE"""),"")</f>
        <v/>
      </c>
      <c r="V1167" s="1" t="str">
        <f>IFERROR(__xludf.DUMMYFUNCTION("""COMPUTED_VALUE"""),"109,300")</f>
        <v>109,300</v>
      </c>
      <c r="W1167" s="1" t="str">
        <f>IFERROR(__xludf.DUMMYFUNCTION("""COMPUTED_VALUE"""),"7")</f>
        <v>7</v>
      </c>
      <c r="X1167" s="1" t="str">
        <f>IFERROR(__xludf.DUMMYFUNCTION("""COMPUTED_VALUE"""),"")</f>
        <v/>
      </c>
      <c r="Y1167" s="1" t="str">
        <f>IFERROR(__xludf.DUMMYFUNCTION("""COMPUTED_VALUE"""),"")</f>
        <v/>
      </c>
      <c r="Z1167" s="1" t="str">
        <f>IFERROR(__xludf.DUMMYFUNCTION("""COMPUTED_VALUE"""),"Unknown")</f>
        <v>Unknown</v>
      </c>
      <c r="AA1167" s="1" t="str">
        <f>IFERROR(__xludf.DUMMYFUNCTION("""COMPUTED_VALUE"""),"")</f>
        <v/>
      </c>
      <c r="AB1167" s="1" t="str">
        <f>IFERROR(__xludf.DUMMYFUNCTION("""COMPUTED_VALUE"""),"")</f>
        <v/>
      </c>
      <c r="AC1167" s="1" t="str">
        <f>IFERROR(__xludf.DUMMYFUNCTION("""COMPUTED_VALUE"""),"")</f>
        <v/>
      </c>
      <c r="AD1167" s="1" t="str">
        <f>IFERROR(__xludf.DUMMYFUNCTION("""COMPUTED_VALUE"""),"")</f>
        <v/>
      </c>
      <c r="AE1167" s="1" t="str">
        <f>IFERROR(__xludf.DUMMYFUNCTION("""COMPUTED_VALUE"""),"")</f>
        <v/>
      </c>
      <c r="AF1167" s="1" t="str">
        <f>IFERROR(__xludf.DUMMYFUNCTION("""COMPUTED_VALUE"""),"")</f>
        <v/>
      </c>
      <c r="AG1167" s="1" t="str">
        <f>IFERROR(__xludf.DUMMYFUNCTION("""COMPUTED_VALUE"""),"Computer Center")</f>
        <v>Computer Center</v>
      </c>
      <c r="AH1167" s="1" t="str">
        <f>IFERROR(__xludf.DUMMYFUNCTION("""COMPUTED_VALUE"""),"PEC")</f>
        <v>PEC</v>
      </c>
      <c r="AI1167" s="1" t="str">
        <f>IFERROR(__xludf.DUMMYFUNCTION("""COMPUTED_VALUE"""),"")</f>
        <v/>
      </c>
      <c r="AJ1167" s="2" t="str">
        <f>IFERROR(__xludf.DUMMYFUNCTION("""COMPUTED_VALUE"""),"https://reparcelasmt.loudoun.gov/pt/datalets/datalet.aspx?mode=profileall&amp;UseSearch=no&amp;pin=060298548000&amp;jur=107&amp;taxyr=2024&amp;LMparent=20")</f>
        <v>https://reparcelasmt.loudoun.gov/pt/datalets/datalet.aspx?mode=profileall&amp;UseSearch=no&amp;pin=060298548000&amp;jur=107&amp;taxyr=2024&amp;LMparent=20</v>
      </c>
      <c r="AK1167" s="1" t="str">
        <f>IFERROR(__xludf.DUMMYFUNCTION("""COMPUTED_VALUE"""),"")</f>
        <v/>
      </c>
      <c r="AL1167" s="1" t="str">
        <f>IFERROR(__xludf.DUMMYFUNCTION("""COMPUTED_VALUE"""),"")</f>
        <v/>
      </c>
      <c r="AM1167" s="1" t="str">
        <f>IFERROR(__xludf.DUMMYFUNCTION("""COMPUTED_VALUE"""),"")</f>
        <v/>
      </c>
      <c r="AN1167" s="1" t="str">
        <f>IFERROR(__xludf.DUMMYFUNCTION("""COMPUTED_VALUE"""),"")</f>
        <v/>
      </c>
      <c r="AO1167" s="1" t="str">
        <f>IFERROR(__xludf.DUMMYFUNCTION("""COMPUTED_VALUE"""),"")</f>
        <v/>
      </c>
      <c r="AP1167" s="1" t="str">
        <f>IFERROR(__xludf.DUMMYFUNCTION("""COMPUTED_VALUE"""),"")</f>
        <v/>
      </c>
      <c r="AQ1167" s="1" t="str">
        <f>IFERROR(__xludf.DUMMYFUNCTION("""COMPUTED_VALUE"""),"04/10/2024")</f>
        <v>04/10/2024</v>
      </c>
      <c r="AR1167" s="1" t="str">
        <f>IFERROR(__xludf.DUMMYFUNCTION("""COMPUTED_VALUE"""),"10/17/2025")</f>
        <v>10/17/2025</v>
      </c>
    </row>
    <row r="1168">
      <c r="A1168" s="1" t="str">
        <f>IFERROR(__xludf.DUMMYFUNCTION("""COMPUTED_VALUE"""),"Red Rum Dr Campus Sabey Data Centers")</f>
        <v>Red Rum Dr Campus Sabey Data Centers</v>
      </c>
      <c r="B1168" s="1" t="str">
        <f>IFERROR(__xludf.DUMMYFUNCTION("""COMPUTED_VALUE"""),"21735 RED RUM DR")</f>
        <v>21735 RED RUM DR</v>
      </c>
      <c r="C1168" s="1" t="str">
        <f>IFERROR(__xludf.DUMMYFUNCTION("""COMPUTED_VALUE"""),"Ashburn")</f>
        <v>Ashburn</v>
      </c>
      <c r="D1168" s="1" t="str">
        <f>IFERROR(__xludf.DUMMYFUNCTION("""COMPUTED_VALUE"""),"VA")</f>
        <v>VA</v>
      </c>
      <c r="E1168" s="1" t="str">
        <f>IFERROR(__xludf.DUMMYFUNCTION("""COMPUTED_VALUE"""),"20147")</f>
        <v>20147</v>
      </c>
      <c r="F1168" s="1" t="str">
        <f>IFERROR(__xludf.DUMMYFUNCTION("""COMPUTED_VALUE"""),"Loudoun")</f>
        <v>Loudoun</v>
      </c>
      <c r="G1168" s="1" t="str">
        <f>IFERROR(__xludf.DUMMYFUNCTION("""COMPUTED_VALUE"""),"39.0147")</f>
        <v>39.0147</v>
      </c>
      <c r="H1168" s="1" t="str">
        <f>IFERROR(__xludf.DUMMYFUNCTION("""COMPUTED_VALUE"""),"-77.478455")</f>
        <v>-77.478455</v>
      </c>
      <c r="I1168" s="1" t="str">
        <f>IFERROR(__xludf.DUMMYFUNCTION("""COMPUTED_VALUE"""),"Operating")</f>
        <v>Operating</v>
      </c>
      <c r="J1168" s="1" t="str">
        <f>IFERROR(__xludf.DUMMYFUNCTION("""COMPUTED_VALUE"""),"High")</f>
        <v>High</v>
      </c>
      <c r="K1168" s="1" t="str">
        <f>IFERROR(__xludf.DUMMYFUNCTION("""COMPUTED_VALUE"""),"")</f>
        <v/>
      </c>
      <c r="L1168" s="1" t="str">
        <f>IFERROR(__xludf.DUMMYFUNCTION("""COMPUTED_VALUE"""),"INTERGATE ASHBURN I LLC")</f>
        <v>INTERGATE ASHBURN I LLC</v>
      </c>
      <c r="M1168" s="1" t="str">
        <f>IFERROR(__xludf.DUMMYFUNCTION("""COMPUTED_VALUE"""),"")</f>
        <v/>
      </c>
      <c r="N1168" s="1" t="str">
        <f>IFERROR(__xludf.DUMMYFUNCTION("""COMPUTED_VALUE"""),"")</f>
        <v/>
      </c>
      <c r="O1168" s="1" t="str">
        <f>IFERROR(__xludf.DUMMYFUNCTION("""COMPUTED_VALUE"""),"Unknown")</f>
        <v>Unknown</v>
      </c>
      <c r="P1168" s="1" t="str">
        <f>IFERROR(__xludf.DUMMYFUNCTION("""COMPUTED_VALUE"""),"")</f>
        <v/>
      </c>
      <c r="Q1168" s="1" t="str">
        <f>IFERROR(__xludf.DUMMYFUNCTION("""COMPUTED_VALUE"""),"")</f>
        <v/>
      </c>
      <c r="R1168" s="1" t="str">
        <f>IFERROR(__xludf.DUMMYFUNCTION("""COMPUTED_VALUE"""),"")</f>
        <v/>
      </c>
      <c r="S1168" s="1" t="str">
        <f>IFERROR(__xludf.DUMMYFUNCTION("""COMPUTED_VALUE"""),"")</f>
        <v/>
      </c>
      <c r="T1168" s="1" t="str">
        <f>IFERROR(__xludf.DUMMYFUNCTION("""COMPUTED_VALUE"""),"")</f>
        <v/>
      </c>
      <c r="U1168" s="1" t="str">
        <f>IFERROR(__xludf.DUMMYFUNCTION("""COMPUTED_VALUE"""),"")</f>
        <v/>
      </c>
      <c r="V1168" s="1" t="str">
        <f>IFERROR(__xludf.DUMMYFUNCTION("""COMPUTED_VALUE"""),"400,232")</f>
        <v>400,232</v>
      </c>
      <c r="W1168" s="1" t="str">
        <f>IFERROR(__xludf.DUMMYFUNCTION("""COMPUTED_VALUE"""),"34")</f>
        <v>34</v>
      </c>
      <c r="X1168" s="1" t="str">
        <f>IFERROR(__xludf.DUMMYFUNCTION("""COMPUTED_VALUE"""),"")</f>
        <v/>
      </c>
      <c r="Y1168" s="1" t="str">
        <f>IFERROR(__xludf.DUMMYFUNCTION("""COMPUTED_VALUE"""),"")</f>
        <v/>
      </c>
      <c r="Z1168" s="1" t="str">
        <f>IFERROR(__xludf.DUMMYFUNCTION("""COMPUTED_VALUE"""),"Unknown")</f>
        <v>Unknown</v>
      </c>
      <c r="AA1168" s="1" t="str">
        <f>IFERROR(__xludf.DUMMYFUNCTION("""COMPUTED_VALUE"""),"")</f>
        <v/>
      </c>
      <c r="AB1168" s="1" t="str">
        <f>IFERROR(__xludf.DUMMYFUNCTION("""COMPUTED_VALUE"""),"")</f>
        <v/>
      </c>
      <c r="AC1168" s="1" t="str">
        <f>IFERROR(__xludf.DUMMYFUNCTION("""COMPUTED_VALUE"""),"")</f>
        <v/>
      </c>
      <c r="AD1168" s="1" t="str">
        <f>IFERROR(__xludf.DUMMYFUNCTION("""COMPUTED_VALUE"""),"")</f>
        <v/>
      </c>
      <c r="AE1168" s="1" t="str">
        <f>IFERROR(__xludf.DUMMYFUNCTION("""COMPUTED_VALUE"""),"")</f>
        <v/>
      </c>
      <c r="AF1168" s="1" t="str">
        <f>IFERROR(__xludf.DUMMYFUNCTION("""COMPUTED_VALUE"""),"")</f>
        <v/>
      </c>
      <c r="AG1168" s="1" t="str">
        <f>IFERROR(__xludf.DUMMYFUNCTION("""COMPUTED_VALUE"""),"Computer Center")</f>
        <v>Computer Center</v>
      </c>
      <c r="AH1168" s="1" t="str">
        <f>IFERROR(__xludf.DUMMYFUNCTION("""COMPUTED_VALUE"""),"PEC")</f>
        <v>PEC</v>
      </c>
      <c r="AI1168" s="1" t="str">
        <f>IFERROR(__xludf.DUMMYFUNCTION("""COMPUTED_VALUE"""),"")</f>
        <v/>
      </c>
      <c r="AJ1168" s="2" t="str">
        <f>IFERROR(__xludf.DUMMYFUNCTION("""COMPUTED_VALUE"""),"https://reparcelasmt.loudoun.gov/pt/datalets/datalet.aspx?mode=profileall&amp;UseSearch=no&amp;pin=088392214000&amp;jur=107&amp;taxyr=2024&amp;LMparent=20")</f>
        <v>https://reparcelasmt.loudoun.gov/pt/datalets/datalet.aspx?mode=profileall&amp;UseSearch=no&amp;pin=088392214000&amp;jur=107&amp;taxyr=2024&amp;LMparent=20</v>
      </c>
      <c r="AK1168" s="1" t="str">
        <f>IFERROR(__xludf.DUMMYFUNCTION("""COMPUTED_VALUE"""),"")</f>
        <v/>
      </c>
      <c r="AL1168" s="1" t="str">
        <f>IFERROR(__xludf.DUMMYFUNCTION("""COMPUTED_VALUE"""),"")</f>
        <v/>
      </c>
      <c r="AM1168" s="1" t="str">
        <f>IFERROR(__xludf.DUMMYFUNCTION("""COMPUTED_VALUE"""),"")</f>
        <v/>
      </c>
      <c r="AN1168" s="1" t="str">
        <f>IFERROR(__xludf.DUMMYFUNCTION("""COMPUTED_VALUE"""),"")</f>
        <v/>
      </c>
      <c r="AO1168" s="1" t="str">
        <f>IFERROR(__xludf.DUMMYFUNCTION("""COMPUTED_VALUE"""),"")</f>
        <v/>
      </c>
      <c r="AP1168" s="1" t="str">
        <f>IFERROR(__xludf.DUMMYFUNCTION("""COMPUTED_VALUE"""),"")</f>
        <v/>
      </c>
      <c r="AQ1168" s="1" t="str">
        <f>IFERROR(__xludf.DUMMYFUNCTION("""COMPUTED_VALUE"""),"04/10/2024")</f>
        <v>04/10/2024</v>
      </c>
      <c r="AR1168" s="1" t="str">
        <f>IFERROR(__xludf.DUMMYFUNCTION("""COMPUTED_VALUE"""),"10/17/2025")</f>
        <v>10/17/2025</v>
      </c>
    </row>
    <row r="1169">
      <c r="A1169" s="1" t="str">
        <f>IFERROR(__xludf.DUMMYFUNCTION("""COMPUTED_VALUE"""),"Regency HOA area ")</f>
        <v>Regency HOA area </v>
      </c>
      <c r="B1169" s="1" t="str">
        <f>IFERROR(__xludf.DUMMYFUNCTION("""COMPUTED_VALUE"""),"Asburn Village Blvd and Waxpool Rd")</f>
        <v>Asburn Village Blvd and Waxpool Rd</v>
      </c>
      <c r="C1169" s="1" t="str">
        <f>IFERROR(__xludf.DUMMYFUNCTION("""COMPUTED_VALUE"""),"Ashburn")</f>
        <v>Ashburn</v>
      </c>
      <c r="D1169" s="1" t="str">
        <f>IFERROR(__xludf.DUMMYFUNCTION("""COMPUTED_VALUE"""),"VA")</f>
        <v>VA</v>
      </c>
      <c r="E1169" s="1" t="str">
        <f>IFERROR(__xludf.DUMMYFUNCTION("""COMPUTED_VALUE"""),"")</f>
        <v/>
      </c>
      <c r="F1169" s="1" t="str">
        <f>IFERROR(__xludf.DUMMYFUNCTION("""COMPUTED_VALUE"""),"Loudon")</f>
        <v>Loudon</v>
      </c>
      <c r="G1169" s="1" t="str">
        <f>IFERROR(__xludf.DUMMYFUNCTION("""COMPUTED_VALUE"""),"39.011425")</f>
        <v>39.011425</v>
      </c>
      <c r="H1169" s="1" t="str">
        <f>IFERROR(__xludf.DUMMYFUNCTION("""COMPUTED_VALUE"""),"-77.485016")</f>
        <v>-77.485016</v>
      </c>
      <c r="I1169" s="1" t="str">
        <f>IFERROR(__xludf.DUMMYFUNCTION("""COMPUTED_VALUE"""),"Proposed")</f>
        <v>Proposed</v>
      </c>
      <c r="J1169" s="1" t="str">
        <f>IFERROR(__xludf.DUMMYFUNCTION("""COMPUTED_VALUE"""),"Medium")</f>
        <v>Medium</v>
      </c>
      <c r="K1169" s="1" t="str">
        <f>IFERROR(__xludf.DUMMYFUNCTION("""COMPUTED_VALUE"""),"")</f>
        <v/>
      </c>
      <c r="L1169" s="1" t="str">
        <f>IFERROR(__xludf.DUMMYFUNCTION("""COMPUTED_VALUE"""),"")</f>
        <v/>
      </c>
      <c r="M1169" s="1" t="str">
        <f>IFERROR(__xludf.DUMMYFUNCTION("""COMPUTED_VALUE"""),"")</f>
        <v/>
      </c>
      <c r="N1169" s="1" t="str">
        <f>IFERROR(__xludf.DUMMYFUNCTION("""COMPUTED_VALUE"""),"432")</f>
        <v>432</v>
      </c>
      <c r="O1169" s="1" t="str">
        <f>IFERROR(__xludf.DUMMYFUNCTION("""COMPUTED_VALUE"""),"Hyperscale (100-999 MW)")</f>
        <v>Hyperscale (100-999 MW)</v>
      </c>
      <c r="P1169" s="1" t="str">
        <f>IFERROR(__xludf.DUMMYFUNCTION("""COMPUTED_VALUE"""),"")</f>
        <v/>
      </c>
      <c r="Q1169" s="1" t="str">
        <f>IFERROR(__xludf.DUMMYFUNCTION("""COMPUTED_VALUE"""),"")</f>
        <v/>
      </c>
      <c r="R1169" s="1" t="str">
        <f>IFERROR(__xludf.DUMMYFUNCTION("""COMPUTED_VALUE"""),"")</f>
        <v/>
      </c>
      <c r="S1169" s="1" t="str">
        <f>IFERROR(__xludf.DUMMYFUNCTION("""COMPUTED_VALUE"""),"6")</f>
        <v>6</v>
      </c>
      <c r="T1169" s="1" t="str">
        <f>IFERROR(__xludf.DUMMYFUNCTION("""COMPUTED_VALUE"""),"")</f>
        <v/>
      </c>
      <c r="U1169" s="1" t="str">
        <f>IFERROR(__xludf.DUMMYFUNCTION("""COMPUTED_VALUE"""),"")</f>
        <v/>
      </c>
      <c r="V1169" s="1" t="str">
        <f>IFERROR(__xludf.DUMMYFUNCTION("""COMPUTED_VALUE"""),"")</f>
        <v/>
      </c>
      <c r="W1169" s="1" t="str">
        <f>IFERROR(__xludf.DUMMYFUNCTION("""COMPUTED_VALUE"""),"130")</f>
        <v>130</v>
      </c>
      <c r="X1169" s="1" t="str">
        <f>IFERROR(__xludf.DUMMYFUNCTION("""COMPUTED_VALUE"""),"$576 million")</f>
        <v>$576 million</v>
      </c>
      <c r="Y1169" s="1" t="str">
        <f>IFERROR(__xludf.DUMMYFUNCTION("""COMPUTED_VALUE"""),"")</f>
        <v/>
      </c>
      <c r="Z1169" s="1" t="str">
        <f>IFERROR(__xludf.DUMMYFUNCTION("""COMPUTED_VALUE"""),"Unknown")</f>
        <v>Unknown</v>
      </c>
      <c r="AA1169" s="1" t="str">
        <f>IFERROR(__xludf.DUMMYFUNCTION("""COMPUTED_VALUE"""),"")</f>
        <v/>
      </c>
      <c r="AB1169" s="1" t="str">
        <f>IFERROR(__xludf.DUMMYFUNCTION("""COMPUTED_VALUE"""),"")</f>
        <v/>
      </c>
      <c r="AC1169" s="1" t="str">
        <f>IFERROR(__xludf.DUMMYFUNCTION("""COMPUTED_VALUE"""),"")</f>
        <v/>
      </c>
      <c r="AD1169" s="1" t="str">
        <f>IFERROR(__xludf.DUMMYFUNCTION("""COMPUTED_VALUE"""),"")</f>
        <v/>
      </c>
      <c r="AE1169" s="1" t="str">
        <f>IFERROR(__xludf.DUMMYFUNCTION("""COMPUTED_VALUE"""),"")</f>
        <v/>
      </c>
      <c r="AF1169" s="1" t="str">
        <f>IFERROR(__xludf.DUMMYFUNCTION("""COMPUTED_VALUE"""),"")</f>
        <v/>
      </c>
      <c r="AG1169" s="1" t="str">
        <f>IFERROR(__xludf.DUMMYFUNCTION("""COMPUTED_VALUE"""),"Residents are reportedly being offered around $4.4 million per acre")</f>
        <v>Residents are reportedly being offered around $4.4 million per acre</v>
      </c>
      <c r="AH1169" s="1" t="str">
        <f>IFERROR(__xludf.DUMMYFUNCTION("""COMPUTED_VALUE"""),"Media Monitoring")</f>
        <v>Media Monitoring</v>
      </c>
      <c r="AI1169" s="2" t="str">
        <f>IFERROR(__xludf.DUMMYFUNCTION("""COMPUTED_VALUE"""),"https://www.datacenterdynamics.com/en/news/432mw-data-center-campus-eyed-in-virginias-data-center-alley/")</f>
        <v>https://www.datacenterdynamics.com/en/news/432mw-data-center-campus-eyed-in-virginias-data-center-alley/</v>
      </c>
      <c r="AJ1169" s="1" t="str">
        <f>IFERROR(__xludf.DUMMYFUNCTION("""COMPUTED_VALUE"""),"")</f>
        <v/>
      </c>
      <c r="AK1169" s="1" t="str">
        <f>IFERROR(__xludf.DUMMYFUNCTION("""COMPUTED_VALUE"""),"")</f>
        <v/>
      </c>
      <c r="AL1169" s="1" t="str">
        <f>IFERROR(__xludf.DUMMYFUNCTION("""COMPUTED_VALUE"""),"")</f>
        <v/>
      </c>
      <c r="AM1169" s="1" t="str">
        <f>IFERROR(__xludf.DUMMYFUNCTION("""COMPUTED_VALUE"""),"")</f>
        <v/>
      </c>
      <c r="AN1169" s="1" t="str">
        <f>IFERROR(__xludf.DUMMYFUNCTION("""COMPUTED_VALUE"""),"")</f>
        <v/>
      </c>
      <c r="AO1169" s="1" t="str">
        <f>IFERROR(__xludf.DUMMYFUNCTION("""COMPUTED_VALUE"""),"")</f>
        <v/>
      </c>
      <c r="AP1169" s="1" t="str">
        <f>IFERROR(__xludf.DUMMYFUNCTION("""COMPUTED_VALUE"""),"")</f>
        <v/>
      </c>
      <c r="AQ1169" s="1" t="str">
        <f>IFERROR(__xludf.DUMMYFUNCTION("""COMPUTED_VALUE"""),"04/02/2026")</f>
        <v>04/02/2026</v>
      </c>
      <c r="AR1169" s="1" t="str">
        <f>IFERROR(__xludf.DUMMYFUNCTION("""COMPUTED_VALUE"""),"04/02/2026")</f>
        <v>04/02/2026</v>
      </c>
    </row>
    <row r="1170">
      <c r="A1170" s="1" t="str">
        <f>IFERROR(__xludf.DUMMYFUNCTION("""COMPUTED_VALUE"""),"Sabey Data Center")</f>
        <v>Sabey Data Center</v>
      </c>
      <c r="B1170" s="1" t="str">
        <f>IFERROR(__xludf.DUMMYFUNCTION("""COMPUTED_VALUE"""),"21741 Red Rum Drive")</f>
        <v>21741 Red Rum Drive</v>
      </c>
      <c r="C1170" s="1" t="str">
        <f>IFERROR(__xludf.DUMMYFUNCTION("""COMPUTED_VALUE"""),"Ashburn")</f>
        <v>Ashburn</v>
      </c>
      <c r="D1170" s="1" t="str">
        <f>IFERROR(__xludf.DUMMYFUNCTION("""COMPUTED_VALUE"""),"VA")</f>
        <v>VA</v>
      </c>
      <c r="E1170" s="1" t="str">
        <f>IFERROR(__xludf.DUMMYFUNCTION("""COMPUTED_VALUE"""),"20147")</f>
        <v>20147</v>
      </c>
      <c r="F1170" s="1" t="str">
        <f>IFERROR(__xludf.DUMMYFUNCTION("""COMPUTED_VALUE"""),"Loudoun")</f>
        <v>Loudoun</v>
      </c>
      <c r="G1170" s="1" t="str">
        <f>IFERROR(__xludf.DUMMYFUNCTION("""COMPUTED_VALUE"""),"39.0155")</f>
        <v>39.0155</v>
      </c>
      <c r="H1170" s="1" t="str">
        <f>IFERROR(__xludf.DUMMYFUNCTION("""COMPUTED_VALUE"""),"-77.4783")</f>
        <v>-77.4783</v>
      </c>
      <c r="I1170" s="1" t="str">
        <f>IFERROR(__xludf.DUMMYFUNCTION("""COMPUTED_VALUE"""),"Approved/Permitted/Under construction")</f>
        <v>Approved/Permitted/Under construction</v>
      </c>
      <c r="J1170" s="1" t="str">
        <f>IFERROR(__xludf.DUMMYFUNCTION("""COMPUTED_VALUE"""),"High")</f>
        <v>High</v>
      </c>
      <c r="K1170" s="1" t="str">
        <f>IFERROR(__xludf.DUMMYFUNCTION("""COMPUTED_VALUE"""),"")</f>
        <v/>
      </c>
      <c r="L1170" s="1" t="str">
        <f>IFERROR(__xludf.DUMMYFUNCTION("""COMPUTED_VALUE"""),"")</f>
        <v/>
      </c>
      <c r="M1170" s="1" t="str">
        <f>IFERROR(__xludf.DUMMYFUNCTION("""COMPUTED_VALUE"""),"")</f>
        <v/>
      </c>
      <c r="N1170" s="1" t="str">
        <f>IFERROR(__xludf.DUMMYFUNCTION("""COMPUTED_VALUE"""),"85")</f>
        <v>85</v>
      </c>
      <c r="O1170" s="1" t="str">
        <f>IFERROR(__xludf.DUMMYFUNCTION("""COMPUTED_VALUE"""),"Large (51-99 MW)")</f>
        <v>Large (51-99 MW)</v>
      </c>
      <c r="P1170" s="1" t="str">
        <f>IFERROR(__xludf.DUMMYFUNCTION("""COMPUTED_VALUE"""),"")</f>
        <v/>
      </c>
      <c r="Q1170" s="1" t="str">
        <f>IFERROR(__xludf.DUMMYFUNCTION("""COMPUTED_VALUE"""),"")</f>
        <v/>
      </c>
      <c r="R1170" s="1" t="str">
        <f>IFERROR(__xludf.DUMMYFUNCTION("""COMPUTED_VALUE"""),"")</f>
        <v/>
      </c>
      <c r="S1170" s="1" t="str">
        <f>IFERROR(__xludf.DUMMYFUNCTION("""COMPUTED_VALUE"""),"")</f>
        <v/>
      </c>
      <c r="T1170" s="1" t="str">
        <f>IFERROR(__xludf.DUMMYFUNCTION("""COMPUTED_VALUE"""),"")</f>
        <v/>
      </c>
      <c r="U1170" s="1" t="str">
        <f>IFERROR(__xludf.DUMMYFUNCTION("""COMPUTED_VALUE"""),"")</f>
        <v/>
      </c>
      <c r="V1170" s="1" t="str">
        <f>IFERROR(__xludf.DUMMYFUNCTION("""COMPUTED_VALUE"""),"645,000")</f>
        <v>645,000</v>
      </c>
      <c r="W1170" s="1" t="str">
        <f>IFERROR(__xludf.DUMMYFUNCTION("""COMPUTED_VALUE"""),"")</f>
        <v/>
      </c>
      <c r="X1170" s="1" t="str">
        <f>IFERROR(__xludf.DUMMYFUNCTION("""COMPUTED_VALUE"""),"")</f>
        <v/>
      </c>
      <c r="Y1170" s="1" t="str">
        <f>IFERROR(__xludf.DUMMYFUNCTION("""COMPUTED_VALUE"""),"")</f>
        <v/>
      </c>
      <c r="Z1170" s="1" t="str">
        <f>IFERROR(__xludf.DUMMYFUNCTION("""COMPUTED_VALUE"""),"Unknown")</f>
        <v>Unknown</v>
      </c>
      <c r="AA1170" s="1" t="str">
        <f>IFERROR(__xludf.DUMMYFUNCTION("""COMPUTED_VALUE"""),"")</f>
        <v/>
      </c>
      <c r="AB1170" s="1" t="str">
        <f>IFERROR(__xludf.DUMMYFUNCTION("""COMPUTED_VALUE"""),"")</f>
        <v/>
      </c>
      <c r="AC1170" s="1" t="str">
        <f>IFERROR(__xludf.DUMMYFUNCTION("""COMPUTED_VALUE"""),"")</f>
        <v/>
      </c>
      <c r="AD1170" s="1" t="str">
        <f>IFERROR(__xludf.DUMMYFUNCTION("""COMPUTED_VALUE"""),"")</f>
        <v/>
      </c>
      <c r="AE1170" s="1" t="str">
        <f>IFERROR(__xludf.DUMMYFUNCTION("""COMPUTED_VALUE"""),"")</f>
        <v/>
      </c>
      <c r="AF1170" s="1" t="str">
        <f>IFERROR(__xludf.DUMMYFUNCTION("""COMPUTED_VALUE"""),"")</f>
        <v/>
      </c>
      <c r="AG1170" s="1" t="str">
        <f>IFERROR(__xludf.DUMMYFUNCTION("""COMPUTED_VALUE"""),"")</f>
        <v/>
      </c>
      <c r="AH1170" s="1" t="str">
        <f>IFERROR(__xludf.DUMMYFUNCTION("""COMPUTED_VALUE"""),"Media Monitoring")</f>
        <v>Media Monitoring</v>
      </c>
      <c r="AI1170" s="2" t="str">
        <f>IFERROR(__xludf.DUMMYFUNCTION("""COMPUTED_VALUE"""),"https://www.datacenterdynamics.com/en/news/sabey-breaks-ground-on-third-building-at-ashburn-virginia-campus/")</f>
        <v>https://www.datacenterdynamics.com/en/news/sabey-breaks-ground-on-third-building-at-ashburn-virginia-campus/</v>
      </c>
      <c r="AJ1170" s="2" t="str">
        <f>IFERROR(__xludf.DUMMYFUNCTION("""COMPUTED_VALUE"""),"https://www.businesswire.com/news/home/20250624907578/en/Sabey-Data-Centers-Breaks-Ground-on-Final-Phase-of-Ashburn-Campus-Expansion")</f>
        <v>https://www.businesswire.com/news/home/20250624907578/en/Sabey-Data-Centers-Breaks-Ground-on-Final-Phase-of-Ashburn-Campus-Expansion</v>
      </c>
      <c r="AK1170" s="2" t="str">
        <f>IFERROR(__xludf.DUMMYFUNCTION("""COMPUTED_VALUE"""),"https://sabeydatacenters.com/locations/ashburn-data-center")</f>
        <v>https://sabeydatacenters.com/locations/ashburn-data-center</v>
      </c>
      <c r="AL1170" s="1" t="str">
        <f>IFERROR(__xludf.DUMMYFUNCTION("""COMPUTED_VALUE"""),"")</f>
        <v/>
      </c>
      <c r="AM1170" s="1" t="str">
        <f>IFERROR(__xludf.DUMMYFUNCTION("""COMPUTED_VALUE"""),"")</f>
        <v/>
      </c>
      <c r="AN1170" s="1" t="str">
        <f>IFERROR(__xludf.DUMMYFUNCTION("""COMPUTED_VALUE"""),"")</f>
        <v/>
      </c>
      <c r="AO1170" s="1" t="str">
        <f>IFERROR(__xludf.DUMMYFUNCTION("""COMPUTED_VALUE"""),"")</f>
        <v/>
      </c>
      <c r="AP1170" s="1" t="str">
        <f>IFERROR(__xludf.DUMMYFUNCTION("""COMPUTED_VALUE"""),"")</f>
        <v/>
      </c>
      <c r="AQ1170" s="1" t="str">
        <f>IFERROR(__xludf.DUMMYFUNCTION("""COMPUTED_VALUE"""),"07/15/2025")</f>
        <v>07/15/2025</v>
      </c>
      <c r="AR1170" s="1" t="str">
        <f>IFERROR(__xludf.DUMMYFUNCTION("""COMPUTED_VALUE"""),"07/15/2025")</f>
        <v>07/15/2025</v>
      </c>
    </row>
    <row r="1171">
      <c r="A1171" s="1" t="str">
        <f>IFERROR(__xludf.DUMMYFUNCTION("""COMPUTED_VALUE"""),"SDC ASHBURN I")</f>
        <v>SDC ASHBURN I</v>
      </c>
      <c r="B1171" s="1" t="str">
        <f>IFERROR(__xludf.DUMMYFUNCTION("""COMPUTED_VALUE"""),"44351 IMPORT PLZ")</f>
        <v>44351 IMPORT PLZ</v>
      </c>
      <c r="C1171" s="1" t="str">
        <f>IFERROR(__xludf.DUMMYFUNCTION("""COMPUTED_VALUE"""),"Ashburn")</f>
        <v>Ashburn</v>
      </c>
      <c r="D1171" s="1" t="str">
        <f>IFERROR(__xludf.DUMMYFUNCTION("""COMPUTED_VALUE"""),"VA")</f>
        <v>VA</v>
      </c>
      <c r="E1171" s="1" t="str">
        <f>IFERROR(__xludf.DUMMYFUNCTION("""COMPUTED_VALUE"""),"20147")</f>
        <v>20147</v>
      </c>
      <c r="F1171" s="1" t="str">
        <f>IFERROR(__xludf.DUMMYFUNCTION("""COMPUTED_VALUE"""),"Loudoun")</f>
        <v>Loudoun</v>
      </c>
      <c r="G1171" s="1" t="str">
        <f>IFERROR(__xludf.DUMMYFUNCTION("""COMPUTED_VALUE"""),"38.99621")</f>
        <v>38.99621</v>
      </c>
      <c r="H1171" s="1" t="str">
        <f>IFERROR(__xludf.DUMMYFUNCTION("""COMPUTED_VALUE"""),"-77.47164")</f>
        <v>-77.47164</v>
      </c>
      <c r="I1171" s="1" t="str">
        <f>IFERROR(__xludf.DUMMYFUNCTION("""COMPUTED_VALUE"""),"Expanding")</f>
        <v>Expanding</v>
      </c>
      <c r="J1171" s="1" t="str">
        <f>IFERROR(__xludf.DUMMYFUNCTION("""COMPUTED_VALUE"""),"High")</f>
        <v>High</v>
      </c>
      <c r="K1171" s="1" t="str">
        <f>IFERROR(__xludf.DUMMYFUNCTION("""COMPUTED_VALUE"""),"")</f>
        <v/>
      </c>
      <c r="L1171" s="1" t="str">
        <f>IFERROR(__xludf.DUMMYFUNCTION("""COMPUTED_VALUE"""),"SDC ASHBURN ALPHA I LLC")</f>
        <v>SDC ASHBURN ALPHA I LLC</v>
      </c>
      <c r="M1171" s="1" t="str">
        <f>IFERROR(__xludf.DUMMYFUNCTION("""COMPUTED_VALUE"""),"")</f>
        <v/>
      </c>
      <c r="N1171" s="1" t="str">
        <f>IFERROR(__xludf.DUMMYFUNCTION("""COMPUTED_VALUE"""),"")</f>
        <v/>
      </c>
      <c r="O1171" s="1" t="str">
        <f>IFERROR(__xludf.DUMMYFUNCTION("""COMPUTED_VALUE"""),"Unknown")</f>
        <v>Unknown</v>
      </c>
      <c r="P1171" s="1" t="str">
        <f>IFERROR(__xludf.DUMMYFUNCTION("""COMPUTED_VALUE"""),"")</f>
        <v/>
      </c>
      <c r="Q1171" s="1" t="str">
        <f>IFERROR(__xludf.DUMMYFUNCTION("""COMPUTED_VALUE"""),"")</f>
        <v/>
      </c>
      <c r="R1171" s="1" t="str">
        <f>IFERROR(__xludf.DUMMYFUNCTION("""COMPUTED_VALUE"""),"")</f>
        <v/>
      </c>
      <c r="S1171" s="1" t="str">
        <f>IFERROR(__xludf.DUMMYFUNCTION("""COMPUTED_VALUE"""),"")</f>
        <v/>
      </c>
      <c r="T1171" s="1" t="str">
        <f>IFERROR(__xludf.DUMMYFUNCTION("""COMPUTED_VALUE"""),"")</f>
        <v/>
      </c>
      <c r="U1171" s="1" t="str">
        <f>IFERROR(__xludf.DUMMYFUNCTION("""COMPUTED_VALUE"""),"")</f>
        <v/>
      </c>
      <c r="V1171" s="1" t="str">
        <f>IFERROR(__xludf.DUMMYFUNCTION("""COMPUTED_VALUE"""),"531,592")</f>
        <v>531,592</v>
      </c>
      <c r="W1171" s="1" t="str">
        <f>IFERROR(__xludf.DUMMYFUNCTION("""COMPUTED_VALUE"""),"50")</f>
        <v>50</v>
      </c>
      <c r="X1171" s="1" t="str">
        <f>IFERROR(__xludf.DUMMYFUNCTION("""COMPUTED_VALUE"""),"")</f>
        <v/>
      </c>
      <c r="Y1171" s="1" t="str">
        <f>IFERROR(__xludf.DUMMYFUNCTION("""COMPUTED_VALUE"""),"")</f>
        <v/>
      </c>
      <c r="Z1171" s="1" t="str">
        <f>IFERROR(__xludf.DUMMYFUNCTION("""COMPUTED_VALUE"""),"Unknown")</f>
        <v>Unknown</v>
      </c>
      <c r="AA1171" s="1" t="str">
        <f>IFERROR(__xludf.DUMMYFUNCTION("""COMPUTED_VALUE"""),"")</f>
        <v/>
      </c>
      <c r="AB1171" s="1" t="str">
        <f>IFERROR(__xludf.DUMMYFUNCTION("""COMPUTED_VALUE"""),"")</f>
        <v/>
      </c>
      <c r="AC1171" s="1" t="str">
        <f>IFERROR(__xludf.DUMMYFUNCTION("""COMPUTED_VALUE"""),"")</f>
        <v/>
      </c>
      <c r="AD1171" s="1" t="str">
        <f>IFERROR(__xludf.DUMMYFUNCTION("""COMPUTED_VALUE"""),"")</f>
        <v/>
      </c>
      <c r="AE1171" s="1" t="str">
        <f>IFERROR(__xludf.DUMMYFUNCTION("""COMPUTED_VALUE"""),"")</f>
        <v/>
      </c>
      <c r="AF1171" s="1" t="str">
        <f>IFERROR(__xludf.DUMMYFUNCTION("""COMPUTED_VALUE"""),"")</f>
        <v/>
      </c>
      <c r="AG1171" s="1" t="str">
        <f>IFERROR(__xludf.DUMMYFUNCTION("""COMPUTED_VALUE"""),"Shown as ""Storage Warehouse"". 20,000 sq ft expansion proposed")</f>
        <v>Shown as "Storage Warehouse". 20,000 sq ft expansion proposed</v>
      </c>
      <c r="AH1171" s="1" t="str">
        <f>IFERROR(__xludf.DUMMYFUNCTION("""COMPUTED_VALUE"""),"PEC")</f>
        <v>PEC</v>
      </c>
      <c r="AI1171" s="2" t="str">
        <f>IFERROR(__xludf.DUMMYFUNCTION("""COMPUTED_VALUE"""),"https://loudouncountyvaeg.tylerhost.net/prod/selfservice#/plan/0cdca2e2-c29e-4a7a-ab35-862bad8566e3?tab=attachments")</f>
        <v>https://loudouncountyvaeg.tylerhost.net/prod/selfservice#/plan/0cdca2e2-c29e-4a7a-ab35-862bad8566e3?tab=attachments</v>
      </c>
      <c r="AJ1171" s="2" t="str">
        <f>IFERROR(__xludf.DUMMYFUNCTION("""COMPUTED_VALUE"""),"https://reparcelasmt.loudoun.gov/pt/datalets/datalet.aspx?mode=profileall&amp;UseSearch=no&amp;pin=062159785000&amp;jur=107&amp;taxyr=2024&amp;LMparent=20")</f>
        <v>https://reparcelasmt.loudoun.gov/pt/datalets/datalet.aspx?mode=profileall&amp;UseSearch=no&amp;pin=062159785000&amp;jur=107&amp;taxyr=2024&amp;LMparent=20</v>
      </c>
      <c r="AK1171" s="1" t="str">
        <f>IFERROR(__xludf.DUMMYFUNCTION("""COMPUTED_VALUE"""),"")</f>
        <v/>
      </c>
      <c r="AL1171" s="1" t="str">
        <f>IFERROR(__xludf.DUMMYFUNCTION("""COMPUTED_VALUE"""),"")</f>
        <v/>
      </c>
      <c r="AM1171" s="1" t="str">
        <f>IFERROR(__xludf.DUMMYFUNCTION("""COMPUTED_VALUE"""),"")</f>
        <v/>
      </c>
      <c r="AN1171" s="1" t="str">
        <f>IFERROR(__xludf.DUMMYFUNCTION("""COMPUTED_VALUE"""),"")</f>
        <v/>
      </c>
      <c r="AO1171" s="1" t="str">
        <f>IFERROR(__xludf.DUMMYFUNCTION("""COMPUTED_VALUE"""),"")</f>
        <v/>
      </c>
      <c r="AP1171" s="1" t="str">
        <f>IFERROR(__xludf.DUMMYFUNCTION("""COMPUTED_VALUE"""),"")</f>
        <v/>
      </c>
      <c r="AQ1171" s="1" t="str">
        <f>IFERROR(__xludf.DUMMYFUNCTION("""COMPUTED_VALUE"""),"08/10/2025")</f>
        <v>08/10/2025</v>
      </c>
      <c r="AR1171" s="1" t="str">
        <f>IFERROR(__xludf.DUMMYFUNCTION("""COMPUTED_VALUE"""),"02/10/2026")</f>
        <v>02/10/2026</v>
      </c>
    </row>
    <row r="1172">
      <c r="A1172" s="1" t="str">
        <f>IFERROR(__xludf.DUMMYFUNCTION("""COMPUTED_VALUE"""),"STACK NVA04")</f>
        <v>STACK NVA04</v>
      </c>
      <c r="B1172" s="1" t="str">
        <f>IFERROR(__xludf.DUMMYFUNCTION("""COMPUTED_VALUE"""),"22285 LOCKRIDGE RD")</f>
        <v>22285 LOCKRIDGE RD</v>
      </c>
      <c r="C1172" s="1" t="str">
        <f>IFERROR(__xludf.DUMMYFUNCTION("""COMPUTED_VALUE"""),"Ashburn")</f>
        <v>Ashburn</v>
      </c>
      <c r="D1172" s="1" t="str">
        <f>IFERROR(__xludf.DUMMYFUNCTION("""COMPUTED_VALUE"""),"VA")</f>
        <v>VA</v>
      </c>
      <c r="E1172" s="1" t="str">
        <f>IFERROR(__xludf.DUMMYFUNCTION("""COMPUTED_VALUE"""),"20166")</f>
        <v>20166</v>
      </c>
      <c r="F1172" s="1" t="str">
        <f>IFERROR(__xludf.DUMMYFUNCTION("""COMPUTED_VALUE"""),"Loudoun")</f>
        <v>Loudoun</v>
      </c>
      <c r="G1172" s="1" t="str">
        <f>IFERROR(__xludf.DUMMYFUNCTION("""COMPUTED_VALUE"""),"39.000748")</f>
        <v>39.000748</v>
      </c>
      <c r="H1172" s="1" t="str">
        <f>IFERROR(__xludf.DUMMYFUNCTION("""COMPUTED_VALUE"""),"-77.460304")</f>
        <v>-77.460304</v>
      </c>
      <c r="I1172" s="1" t="str">
        <f>IFERROR(__xludf.DUMMYFUNCTION("""COMPUTED_VALUE"""),"Operating")</f>
        <v>Operating</v>
      </c>
      <c r="J1172" s="1" t="str">
        <f>IFERROR(__xludf.DUMMYFUNCTION("""COMPUTED_VALUE"""),"High")</f>
        <v>High</v>
      </c>
      <c r="K1172" s="1" t="str">
        <f>IFERROR(__xludf.DUMMYFUNCTION("""COMPUTED_VALUE"""),"")</f>
        <v/>
      </c>
      <c r="L1172" s="1" t="str">
        <f>IFERROR(__xludf.DUMMYFUNCTION("""COMPUTED_VALUE"""),"STACK INFRASTRUCTURE")</f>
        <v>STACK INFRASTRUCTURE</v>
      </c>
      <c r="M1172" s="1" t="str">
        <f>IFERROR(__xludf.DUMMYFUNCTION("""COMPUTED_VALUE"""),"")</f>
        <v/>
      </c>
      <c r="N1172" s="1" t="str">
        <f>IFERROR(__xludf.DUMMYFUNCTION("""COMPUTED_VALUE"""),"")</f>
        <v/>
      </c>
      <c r="O1172" s="1" t="str">
        <f>IFERROR(__xludf.DUMMYFUNCTION("""COMPUTED_VALUE"""),"Unknown")</f>
        <v>Unknown</v>
      </c>
      <c r="P1172" s="1" t="str">
        <f>IFERROR(__xludf.DUMMYFUNCTION("""COMPUTED_VALUE"""),"")</f>
        <v/>
      </c>
      <c r="Q1172" s="1" t="str">
        <f>IFERROR(__xludf.DUMMYFUNCTION("""COMPUTED_VALUE"""),"")</f>
        <v/>
      </c>
      <c r="R1172" s="1" t="str">
        <f>IFERROR(__xludf.DUMMYFUNCTION("""COMPUTED_VALUE"""),"")</f>
        <v/>
      </c>
      <c r="S1172" s="1" t="str">
        <f>IFERROR(__xludf.DUMMYFUNCTION("""COMPUTED_VALUE"""),"")</f>
        <v/>
      </c>
      <c r="T1172" s="1" t="str">
        <f>IFERROR(__xludf.DUMMYFUNCTION("""COMPUTED_VALUE"""),"")</f>
        <v/>
      </c>
      <c r="U1172" s="1" t="str">
        <f>IFERROR(__xludf.DUMMYFUNCTION("""COMPUTED_VALUE"""),"")</f>
        <v/>
      </c>
      <c r="V1172" s="1" t="str">
        <f>IFERROR(__xludf.DUMMYFUNCTION("""COMPUTED_VALUE"""),"371,941")</f>
        <v>371,941</v>
      </c>
      <c r="W1172" s="1" t="str">
        <f>IFERROR(__xludf.DUMMYFUNCTION("""COMPUTED_VALUE"""),"9")</f>
        <v>9</v>
      </c>
      <c r="X1172" s="1" t="str">
        <f>IFERROR(__xludf.DUMMYFUNCTION("""COMPUTED_VALUE"""),"")</f>
        <v/>
      </c>
      <c r="Y1172" s="1" t="str">
        <f>IFERROR(__xludf.DUMMYFUNCTION("""COMPUTED_VALUE"""),"")</f>
        <v/>
      </c>
      <c r="Z1172" s="1" t="str">
        <f>IFERROR(__xludf.DUMMYFUNCTION("""COMPUTED_VALUE"""),"Unknown")</f>
        <v>Unknown</v>
      </c>
      <c r="AA1172" s="1" t="str">
        <f>IFERROR(__xludf.DUMMYFUNCTION("""COMPUTED_VALUE"""),"")</f>
        <v/>
      </c>
      <c r="AB1172" s="1" t="str">
        <f>IFERROR(__xludf.DUMMYFUNCTION("""COMPUTED_VALUE"""),"")</f>
        <v/>
      </c>
      <c r="AC1172" s="1" t="str">
        <f>IFERROR(__xludf.DUMMYFUNCTION("""COMPUTED_VALUE"""),"")</f>
        <v/>
      </c>
      <c r="AD1172" s="1" t="str">
        <f>IFERROR(__xludf.DUMMYFUNCTION("""COMPUTED_VALUE"""),"")</f>
        <v/>
      </c>
      <c r="AE1172" s="1" t="str">
        <f>IFERROR(__xludf.DUMMYFUNCTION("""COMPUTED_VALUE"""),"")</f>
        <v/>
      </c>
      <c r="AF1172" s="1" t="str">
        <f>IFERROR(__xludf.DUMMYFUNCTION("""COMPUTED_VALUE"""),"")</f>
        <v/>
      </c>
      <c r="AG1172" s="1" t="str">
        <f>IFERROR(__xludf.DUMMYFUNCTION("""COMPUTED_VALUE"""),"SI NVA04B LLC, BUILDING 2")</f>
        <v>SI NVA04B LLC, BUILDING 2</v>
      </c>
      <c r="AH1172" s="1" t="str">
        <f>IFERROR(__xludf.DUMMYFUNCTION("""COMPUTED_VALUE"""),"PEC")</f>
        <v>PEC</v>
      </c>
      <c r="AI1172" s="2" t="str">
        <f>IFERROR(__xludf.DUMMYFUNCTION("""COMPUTED_VALUE"""),"https://loudouncountyvaeg.tylerhost.net/prod/selfservice#/plan/3e234d9f-412a-41f5-94e3-475b94214980?tab=attachments")</f>
        <v>https://loudouncountyvaeg.tylerhost.net/prod/selfservice#/plan/3e234d9f-412a-41f5-94e3-475b94214980?tab=attachments</v>
      </c>
      <c r="AJ1172" s="2" t="str">
        <f>IFERROR(__xludf.DUMMYFUNCTION("""COMPUTED_VALUE"""),"https://reparcelasmt.loudoun.gov/pt/datalets/datalet.aspx?mode=commercial&amp;UseSearch=no&amp;pin=062275493002&amp;jur=107&amp;taxyr=2025&amp;LMparent=20")</f>
        <v>https://reparcelasmt.loudoun.gov/pt/datalets/datalet.aspx?mode=commercial&amp;UseSearch=no&amp;pin=062275493002&amp;jur=107&amp;taxyr=2025&amp;LMparent=20</v>
      </c>
      <c r="AK1172" s="1" t="str">
        <f>IFERROR(__xludf.DUMMYFUNCTION("""COMPUTED_VALUE"""),"")</f>
        <v/>
      </c>
      <c r="AL1172" s="1" t="str">
        <f>IFERROR(__xludf.DUMMYFUNCTION("""COMPUTED_VALUE"""),"")</f>
        <v/>
      </c>
      <c r="AM1172" s="1" t="str">
        <f>IFERROR(__xludf.DUMMYFUNCTION("""COMPUTED_VALUE"""),"")</f>
        <v/>
      </c>
      <c r="AN1172" s="1" t="str">
        <f>IFERROR(__xludf.DUMMYFUNCTION("""COMPUTED_VALUE"""),"")</f>
        <v/>
      </c>
      <c r="AO1172" s="1" t="str">
        <f>IFERROR(__xludf.DUMMYFUNCTION("""COMPUTED_VALUE"""),"")</f>
        <v/>
      </c>
      <c r="AP1172" s="1" t="str">
        <f>IFERROR(__xludf.DUMMYFUNCTION("""COMPUTED_VALUE"""),"")</f>
        <v/>
      </c>
      <c r="AQ1172" s="1" t="str">
        <f>IFERROR(__xludf.DUMMYFUNCTION("""COMPUTED_VALUE"""),"08/06/2025")</f>
        <v>08/06/2025</v>
      </c>
      <c r="AR1172" s="1" t="str">
        <f>IFERROR(__xludf.DUMMYFUNCTION("""COMPUTED_VALUE"""),"10/17/2025")</f>
        <v>10/17/2025</v>
      </c>
    </row>
    <row r="1173">
      <c r="A1173" s="1" t="str">
        <f>IFERROR(__xludf.DUMMYFUNCTION("""COMPUTED_VALUE"""),"STACK NVA04")</f>
        <v>STACK NVA04</v>
      </c>
      <c r="B1173" s="1" t="str">
        <f>IFERROR(__xludf.DUMMYFUNCTION("""COMPUTED_VALUE"""),"22295 LOCKRIDGE RD")</f>
        <v>22295 LOCKRIDGE RD</v>
      </c>
      <c r="C1173" s="1" t="str">
        <f>IFERROR(__xludf.DUMMYFUNCTION("""COMPUTED_VALUE"""),"Ashburn")</f>
        <v>Ashburn</v>
      </c>
      <c r="D1173" s="1" t="str">
        <f>IFERROR(__xludf.DUMMYFUNCTION("""COMPUTED_VALUE"""),"VA")</f>
        <v>VA</v>
      </c>
      <c r="E1173" s="1" t="str">
        <f>IFERROR(__xludf.DUMMYFUNCTION("""COMPUTED_VALUE"""),"20166")</f>
        <v>20166</v>
      </c>
      <c r="F1173" s="1" t="str">
        <f>IFERROR(__xludf.DUMMYFUNCTION("""COMPUTED_VALUE"""),"Loudoun")</f>
        <v>Loudoun</v>
      </c>
      <c r="G1173" s="1" t="str">
        <f>IFERROR(__xludf.DUMMYFUNCTION("""COMPUTED_VALUE"""),"39.002777")</f>
        <v>39.002777</v>
      </c>
      <c r="H1173" s="1" t="str">
        <f>IFERROR(__xludf.DUMMYFUNCTION("""COMPUTED_VALUE"""),"-77.46116")</f>
        <v>-77.46116</v>
      </c>
      <c r="I1173" s="1" t="str">
        <f>IFERROR(__xludf.DUMMYFUNCTION("""COMPUTED_VALUE"""),"Expanding")</f>
        <v>Expanding</v>
      </c>
      <c r="J1173" s="1" t="str">
        <f>IFERROR(__xludf.DUMMYFUNCTION("""COMPUTED_VALUE"""),"High")</f>
        <v>High</v>
      </c>
      <c r="K1173" s="1" t="str">
        <f>IFERROR(__xludf.DUMMYFUNCTION("""COMPUTED_VALUE"""),"")</f>
        <v/>
      </c>
      <c r="L1173" s="1" t="str">
        <f>IFERROR(__xludf.DUMMYFUNCTION("""COMPUTED_VALUE"""),"STACK INFRASTRUCTURE")</f>
        <v>STACK INFRASTRUCTURE</v>
      </c>
      <c r="M1173" s="1" t="str">
        <f>IFERROR(__xludf.DUMMYFUNCTION("""COMPUTED_VALUE"""),"")</f>
        <v/>
      </c>
      <c r="N1173" s="1" t="str">
        <f>IFERROR(__xludf.DUMMYFUNCTION("""COMPUTED_VALUE"""),"")</f>
        <v/>
      </c>
      <c r="O1173" s="1" t="str">
        <f>IFERROR(__xludf.DUMMYFUNCTION("""COMPUTED_VALUE"""),"Unknown")</f>
        <v>Unknown</v>
      </c>
      <c r="P1173" s="1" t="str">
        <f>IFERROR(__xludf.DUMMYFUNCTION("""COMPUTED_VALUE"""),"")</f>
        <v/>
      </c>
      <c r="Q1173" s="1" t="str">
        <f>IFERROR(__xludf.DUMMYFUNCTION("""COMPUTED_VALUE"""),"")</f>
        <v/>
      </c>
      <c r="R1173" s="1" t="str">
        <f>IFERROR(__xludf.DUMMYFUNCTION("""COMPUTED_VALUE"""),"")</f>
        <v/>
      </c>
      <c r="S1173" s="1" t="str">
        <f>IFERROR(__xludf.DUMMYFUNCTION("""COMPUTED_VALUE"""),"")</f>
        <v/>
      </c>
      <c r="T1173" s="1" t="str">
        <f>IFERROR(__xludf.DUMMYFUNCTION("""COMPUTED_VALUE"""),"")</f>
        <v/>
      </c>
      <c r="U1173" s="1" t="str">
        <f>IFERROR(__xludf.DUMMYFUNCTION("""COMPUTED_VALUE"""),"")</f>
        <v/>
      </c>
      <c r="V1173" s="1" t="str">
        <f>IFERROR(__xludf.DUMMYFUNCTION("""COMPUTED_VALUE"""),"371,941")</f>
        <v>371,941</v>
      </c>
      <c r="W1173" s="1" t="str">
        <f>IFERROR(__xludf.DUMMYFUNCTION("""COMPUTED_VALUE"""),"")</f>
        <v/>
      </c>
      <c r="X1173" s="1" t="str">
        <f>IFERROR(__xludf.DUMMYFUNCTION("""COMPUTED_VALUE"""),"")</f>
        <v/>
      </c>
      <c r="Y1173" s="1" t="str">
        <f>IFERROR(__xludf.DUMMYFUNCTION("""COMPUTED_VALUE"""),"")</f>
        <v/>
      </c>
      <c r="Z1173" s="1" t="str">
        <f>IFERROR(__xludf.DUMMYFUNCTION("""COMPUTED_VALUE"""),"Unknown")</f>
        <v>Unknown</v>
      </c>
      <c r="AA1173" s="1" t="str">
        <f>IFERROR(__xludf.DUMMYFUNCTION("""COMPUTED_VALUE"""),"")</f>
        <v/>
      </c>
      <c r="AB1173" s="1" t="str">
        <f>IFERROR(__xludf.DUMMYFUNCTION("""COMPUTED_VALUE"""),"")</f>
        <v/>
      </c>
      <c r="AC1173" s="1" t="str">
        <f>IFERROR(__xludf.DUMMYFUNCTION("""COMPUTED_VALUE"""),"")</f>
        <v/>
      </c>
      <c r="AD1173" s="1" t="str">
        <f>IFERROR(__xludf.DUMMYFUNCTION("""COMPUTED_VALUE"""),"")</f>
        <v/>
      </c>
      <c r="AE1173" s="1" t="str">
        <f>IFERROR(__xludf.DUMMYFUNCTION("""COMPUTED_VALUE"""),"")</f>
        <v/>
      </c>
      <c r="AF1173" s="1" t="str">
        <f>IFERROR(__xludf.DUMMYFUNCTION("""COMPUTED_VALUE"""),"")</f>
        <v/>
      </c>
      <c r="AG1173" s="1" t="str">
        <f>IFERROR(__xludf.DUMMYFUNCTION("""COMPUTED_VALUE"""),"STACK BROAD RUN HOLDINGS LLC, BUILDING 3")</f>
        <v>STACK BROAD RUN HOLDINGS LLC, BUILDING 3</v>
      </c>
      <c r="AH1173" s="1" t="str">
        <f>IFERROR(__xludf.DUMMYFUNCTION("""COMPUTED_VALUE"""),"PEC")</f>
        <v>PEC</v>
      </c>
      <c r="AI1173" s="2" t="str">
        <f>IFERROR(__xludf.DUMMYFUNCTION("""COMPUTED_VALUE"""),"https://loudouncountyvaeg.tylerhost.net/prod/selfservice#/plan/3e234d9f-412a-41f5-94e3-475b94214980?tab=attachments")</f>
        <v>https://loudouncountyvaeg.tylerhost.net/prod/selfservice#/plan/3e234d9f-412a-41f5-94e3-475b94214980?tab=attachments</v>
      </c>
      <c r="AJ1173" s="2" t="str">
        <f>IFERROR(__xludf.DUMMYFUNCTION("""COMPUTED_VALUE"""),"https://reparcelasmt.loudoun.gov/pt/datalets/datalet.aspx?mode=land_summary&amp;UseSearch=no&amp;pin=062275493001&amp;jur=107&amp;taxyr=2025&amp;LMparent=20")</f>
        <v>https://reparcelasmt.loudoun.gov/pt/datalets/datalet.aspx?mode=land_summary&amp;UseSearch=no&amp;pin=062275493001&amp;jur=107&amp;taxyr=2025&amp;LMparent=20</v>
      </c>
      <c r="AK1173" s="1" t="str">
        <f>IFERROR(__xludf.DUMMYFUNCTION("""COMPUTED_VALUE"""),"")</f>
        <v/>
      </c>
      <c r="AL1173" s="1" t="str">
        <f>IFERROR(__xludf.DUMMYFUNCTION("""COMPUTED_VALUE"""),"")</f>
        <v/>
      </c>
      <c r="AM1173" s="1" t="str">
        <f>IFERROR(__xludf.DUMMYFUNCTION("""COMPUTED_VALUE"""),"")</f>
        <v/>
      </c>
      <c r="AN1173" s="1" t="str">
        <f>IFERROR(__xludf.DUMMYFUNCTION("""COMPUTED_VALUE"""),"")</f>
        <v/>
      </c>
      <c r="AO1173" s="1" t="str">
        <f>IFERROR(__xludf.DUMMYFUNCTION("""COMPUTED_VALUE"""),"")</f>
        <v/>
      </c>
      <c r="AP1173" s="1" t="str">
        <f>IFERROR(__xludf.DUMMYFUNCTION("""COMPUTED_VALUE"""),"")</f>
        <v/>
      </c>
      <c r="AQ1173" s="1" t="str">
        <f>IFERROR(__xludf.DUMMYFUNCTION("""COMPUTED_VALUE"""),"08/06/2025")</f>
        <v>08/06/2025</v>
      </c>
      <c r="AR1173" s="1" t="str">
        <f>IFERROR(__xludf.DUMMYFUNCTION("""COMPUTED_VALUE"""),"02/10/2026")</f>
        <v>02/10/2026</v>
      </c>
    </row>
    <row r="1174">
      <c r="A1174" s="1" t="str">
        <f>IFERROR(__xludf.DUMMYFUNCTION("""COMPUTED_VALUE"""),"STACK NVA04")</f>
        <v>STACK NVA04</v>
      </c>
      <c r="B1174" s="1" t="str">
        <f>IFERROR(__xludf.DUMMYFUNCTION("""COMPUTED_VALUE"""),"22271 LOCKRIDGE RD")</f>
        <v>22271 LOCKRIDGE RD</v>
      </c>
      <c r="C1174" s="1" t="str">
        <f>IFERROR(__xludf.DUMMYFUNCTION("""COMPUTED_VALUE"""),"Ashburn")</f>
        <v>Ashburn</v>
      </c>
      <c r="D1174" s="1" t="str">
        <f>IFERROR(__xludf.DUMMYFUNCTION("""COMPUTED_VALUE"""),"VA")</f>
        <v>VA</v>
      </c>
      <c r="E1174" s="1" t="str">
        <f>IFERROR(__xludf.DUMMYFUNCTION("""COMPUTED_VALUE"""),"20166")</f>
        <v>20166</v>
      </c>
      <c r="F1174" s="1" t="str">
        <f>IFERROR(__xludf.DUMMYFUNCTION("""COMPUTED_VALUE"""),"Loudoun")</f>
        <v>Loudoun</v>
      </c>
      <c r="G1174" s="1" t="str">
        <f>IFERROR(__xludf.DUMMYFUNCTION("""COMPUTED_VALUE"""),"38.999165")</f>
        <v>38.999165</v>
      </c>
      <c r="H1174" s="1" t="str">
        <f>IFERROR(__xludf.DUMMYFUNCTION("""COMPUTED_VALUE"""),"-77.460785")</f>
        <v>-77.460785</v>
      </c>
      <c r="I1174" s="1" t="str">
        <f>IFERROR(__xludf.DUMMYFUNCTION("""COMPUTED_VALUE"""),"Operating")</f>
        <v>Operating</v>
      </c>
      <c r="J1174" s="1" t="str">
        <f>IFERROR(__xludf.DUMMYFUNCTION("""COMPUTED_VALUE"""),"High")</f>
        <v>High</v>
      </c>
      <c r="K1174" s="1" t="str">
        <f>IFERROR(__xludf.DUMMYFUNCTION("""COMPUTED_VALUE"""),"")</f>
        <v/>
      </c>
      <c r="L1174" s="1" t="str">
        <f>IFERROR(__xludf.DUMMYFUNCTION("""COMPUTED_VALUE"""),"STACK INFRASTRUCTURE")</f>
        <v>STACK INFRASTRUCTURE</v>
      </c>
      <c r="M1174" s="1" t="str">
        <f>IFERROR(__xludf.DUMMYFUNCTION("""COMPUTED_VALUE"""),"")</f>
        <v/>
      </c>
      <c r="N1174" s="1" t="str">
        <f>IFERROR(__xludf.DUMMYFUNCTION("""COMPUTED_VALUE"""),"")</f>
        <v/>
      </c>
      <c r="O1174" s="1" t="str">
        <f>IFERROR(__xludf.DUMMYFUNCTION("""COMPUTED_VALUE"""),"Unknown")</f>
        <v>Unknown</v>
      </c>
      <c r="P1174" s="1" t="str">
        <f>IFERROR(__xludf.DUMMYFUNCTION("""COMPUTED_VALUE"""),"")</f>
        <v/>
      </c>
      <c r="Q1174" s="1" t="str">
        <f>IFERROR(__xludf.DUMMYFUNCTION("""COMPUTED_VALUE"""),"")</f>
        <v/>
      </c>
      <c r="R1174" s="1" t="str">
        <f>IFERROR(__xludf.DUMMYFUNCTION("""COMPUTED_VALUE"""),"")</f>
        <v/>
      </c>
      <c r="S1174" s="1" t="str">
        <f>IFERROR(__xludf.DUMMYFUNCTION("""COMPUTED_VALUE"""),"")</f>
        <v/>
      </c>
      <c r="T1174" s="1" t="str">
        <f>IFERROR(__xludf.DUMMYFUNCTION("""COMPUTED_VALUE"""),"")</f>
        <v/>
      </c>
      <c r="U1174" s="1" t="str">
        <f>IFERROR(__xludf.DUMMYFUNCTION("""COMPUTED_VALUE"""),"")</f>
        <v/>
      </c>
      <c r="V1174" s="1" t="str">
        <f>IFERROR(__xludf.DUMMYFUNCTION("""COMPUTED_VALUE"""),"371,211")</f>
        <v>371,211</v>
      </c>
      <c r="W1174" s="1" t="str">
        <f>IFERROR(__xludf.DUMMYFUNCTION("""COMPUTED_VALUE"""),"9")</f>
        <v>9</v>
      </c>
      <c r="X1174" s="1" t="str">
        <f>IFERROR(__xludf.DUMMYFUNCTION("""COMPUTED_VALUE"""),"")</f>
        <v/>
      </c>
      <c r="Y1174" s="1" t="str">
        <f>IFERROR(__xludf.DUMMYFUNCTION("""COMPUTED_VALUE"""),"")</f>
        <v/>
      </c>
      <c r="Z1174" s="1" t="str">
        <f>IFERROR(__xludf.DUMMYFUNCTION("""COMPUTED_VALUE"""),"Unknown")</f>
        <v>Unknown</v>
      </c>
      <c r="AA1174" s="1" t="str">
        <f>IFERROR(__xludf.DUMMYFUNCTION("""COMPUTED_VALUE"""),"")</f>
        <v/>
      </c>
      <c r="AB1174" s="1" t="str">
        <f>IFERROR(__xludf.DUMMYFUNCTION("""COMPUTED_VALUE"""),"")</f>
        <v/>
      </c>
      <c r="AC1174" s="1" t="str">
        <f>IFERROR(__xludf.DUMMYFUNCTION("""COMPUTED_VALUE"""),"")</f>
        <v/>
      </c>
      <c r="AD1174" s="1" t="str">
        <f>IFERROR(__xludf.DUMMYFUNCTION("""COMPUTED_VALUE"""),"")</f>
        <v/>
      </c>
      <c r="AE1174" s="1" t="str">
        <f>IFERROR(__xludf.DUMMYFUNCTION("""COMPUTED_VALUE"""),"")</f>
        <v/>
      </c>
      <c r="AF1174" s="1" t="str">
        <f>IFERROR(__xludf.DUMMYFUNCTION("""COMPUTED_VALUE"""),"")</f>
        <v/>
      </c>
      <c r="AG1174" s="1" t="str">
        <f>IFERROR(__xludf.DUMMYFUNCTION("""COMPUTED_VALUE"""),"SI NVA04A LLC, BUILDING 1")</f>
        <v>SI NVA04A LLC, BUILDING 1</v>
      </c>
      <c r="AH1174" s="1" t="str">
        <f>IFERROR(__xludf.DUMMYFUNCTION("""COMPUTED_VALUE"""),"PEC")</f>
        <v>PEC</v>
      </c>
      <c r="AI1174" s="2" t="str">
        <f>IFERROR(__xludf.DUMMYFUNCTION("""COMPUTED_VALUE"""),"https://loudouncountyvaeg.tylerhost.net/prod/selfservice#/plan/3e234d9f-412a-41f5-94e3-475b94214980?tab=attachments")</f>
        <v>https://loudouncountyvaeg.tylerhost.net/prod/selfservice#/plan/3e234d9f-412a-41f5-94e3-475b94214980?tab=attachments</v>
      </c>
      <c r="AJ1174" s="2" t="str">
        <f>IFERROR(__xludf.DUMMYFUNCTION("""COMPUTED_VALUE"""),"https://reparcelasmt.loudoun.gov/pt/datalets/datalet.aspx?mode=commercial&amp;UseSearch=no&amp;pin=062275493003&amp;jur=107&amp;taxyr=2025&amp;LMparent=20")</f>
        <v>https://reparcelasmt.loudoun.gov/pt/datalets/datalet.aspx?mode=commercial&amp;UseSearch=no&amp;pin=062275493003&amp;jur=107&amp;taxyr=2025&amp;LMparent=20</v>
      </c>
      <c r="AK1174" s="1" t="str">
        <f>IFERROR(__xludf.DUMMYFUNCTION("""COMPUTED_VALUE"""),"")</f>
        <v/>
      </c>
      <c r="AL1174" s="1" t="str">
        <f>IFERROR(__xludf.DUMMYFUNCTION("""COMPUTED_VALUE"""),"")</f>
        <v/>
      </c>
      <c r="AM1174" s="1" t="str">
        <f>IFERROR(__xludf.DUMMYFUNCTION("""COMPUTED_VALUE"""),"")</f>
        <v/>
      </c>
      <c r="AN1174" s="1" t="str">
        <f>IFERROR(__xludf.DUMMYFUNCTION("""COMPUTED_VALUE"""),"")</f>
        <v/>
      </c>
      <c r="AO1174" s="1" t="str">
        <f>IFERROR(__xludf.DUMMYFUNCTION("""COMPUTED_VALUE"""),"")</f>
        <v/>
      </c>
      <c r="AP1174" s="1" t="str">
        <f>IFERROR(__xludf.DUMMYFUNCTION("""COMPUTED_VALUE"""),"")</f>
        <v/>
      </c>
      <c r="AQ1174" s="1" t="str">
        <f>IFERROR(__xludf.DUMMYFUNCTION("""COMPUTED_VALUE"""),"08/06/2025")</f>
        <v>08/06/2025</v>
      </c>
      <c r="AR1174" s="1" t="str">
        <f>IFERROR(__xludf.DUMMYFUNCTION("""COMPUTED_VALUE"""),"10/17/2025")</f>
        <v>10/17/2025</v>
      </c>
    </row>
    <row r="1175">
      <c r="A1175" s="1" t="str">
        <f>IFERROR(__xludf.DUMMYFUNCTION("""COMPUTED_VALUE"""),"Tech Park at Brambleton")</f>
        <v>Tech Park at Brambleton</v>
      </c>
      <c r="B1175" s="1" t="str">
        <f>IFERROR(__xludf.DUMMYFUNCTION("""COMPUTED_VALUE"""),"23896 BELMONT RIDGE RD")</f>
        <v>23896 BELMONT RIDGE RD</v>
      </c>
      <c r="C1175" s="1" t="str">
        <f>IFERROR(__xludf.DUMMYFUNCTION("""COMPUTED_VALUE"""),"Ashburn")</f>
        <v>Ashburn</v>
      </c>
      <c r="D1175" s="1" t="str">
        <f>IFERROR(__xludf.DUMMYFUNCTION("""COMPUTED_VALUE"""),"VA")</f>
        <v>VA</v>
      </c>
      <c r="E1175" s="1" t="str">
        <f>IFERROR(__xludf.DUMMYFUNCTION("""COMPUTED_VALUE"""),"20148")</f>
        <v>20148</v>
      </c>
      <c r="F1175" s="1" t="str">
        <f>IFERROR(__xludf.DUMMYFUNCTION("""COMPUTED_VALUE"""),"Loudoun")</f>
        <v>Loudoun</v>
      </c>
      <c r="G1175" s="1" t="str">
        <f>IFERROR(__xludf.DUMMYFUNCTION("""COMPUTED_VALUE"""),"38.956566")</f>
        <v>38.956566</v>
      </c>
      <c r="H1175" s="1" t="str">
        <f>IFERROR(__xludf.DUMMYFUNCTION("""COMPUTED_VALUE"""),"-77.53436")</f>
        <v>-77.53436</v>
      </c>
      <c r="I1175" s="1" t="str">
        <f>IFERROR(__xludf.DUMMYFUNCTION("""COMPUTED_VALUE"""),"Proposed")</f>
        <v>Proposed</v>
      </c>
      <c r="J1175" s="1" t="str">
        <f>IFERROR(__xludf.DUMMYFUNCTION("""COMPUTED_VALUE"""),"High")</f>
        <v>High</v>
      </c>
      <c r="K1175" s="1" t="str">
        <f>IFERROR(__xludf.DUMMYFUNCTION("""COMPUTED_VALUE"""),"")</f>
        <v/>
      </c>
      <c r="L1175" s="1" t="str">
        <f>IFERROR(__xludf.DUMMYFUNCTION("""COMPUTED_VALUE"""),"BlackChamber Group")</f>
        <v>BlackChamber Group</v>
      </c>
      <c r="M1175" s="1" t="str">
        <f>IFERROR(__xludf.DUMMYFUNCTION("""COMPUTED_VALUE"""),"")</f>
        <v/>
      </c>
      <c r="N1175" s="1" t="str">
        <f>IFERROR(__xludf.DUMMYFUNCTION("""COMPUTED_VALUE"""),"")</f>
        <v/>
      </c>
      <c r="O1175" s="1" t="str">
        <f>IFERROR(__xludf.DUMMYFUNCTION("""COMPUTED_VALUE"""),"Unknown")</f>
        <v>Unknown</v>
      </c>
      <c r="P1175" s="1" t="str">
        <f>IFERROR(__xludf.DUMMYFUNCTION("""COMPUTED_VALUE"""),"")</f>
        <v/>
      </c>
      <c r="Q1175" s="1" t="str">
        <f>IFERROR(__xludf.DUMMYFUNCTION("""COMPUTED_VALUE"""),"")</f>
        <v/>
      </c>
      <c r="R1175" s="1" t="str">
        <f>IFERROR(__xludf.DUMMYFUNCTION("""COMPUTED_VALUE"""),"")</f>
        <v/>
      </c>
      <c r="S1175" s="1" t="str">
        <f>IFERROR(__xludf.DUMMYFUNCTION("""COMPUTED_VALUE"""),"")</f>
        <v/>
      </c>
      <c r="T1175" s="1" t="str">
        <f>IFERROR(__xludf.DUMMYFUNCTION("""COMPUTED_VALUE"""),"")</f>
        <v/>
      </c>
      <c r="U1175" s="1" t="str">
        <f>IFERROR(__xludf.DUMMYFUNCTION("""COMPUTED_VALUE"""),"")</f>
        <v/>
      </c>
      <c r="V1175" s="1" t="str">
        <f>IFERROR(__xludf.DUMMYFUNCTION("""COMPUTED_VALUE"""),"1,700,000")</f>
        <v>1,700,000</v>
      </c>
      <c r="W1175" s="1" t="str">
        <f>IFERROR(__xludf.DUMMYFUNCTION("""COMPUTED_VALUE"""),"89")</f>
        <v>89</v>
      </c>
      <c r="X1175" s="1" t="str">
        <f>IFERROR(__xludf.DUMMYFUNCTION("""COMPUTED_VALUE"""),"")</f>
        <v/>
      </c>
      <c r="Y1175" s="1" t="str">
        <f>IFERROR(__xludf.DUMMYFUNCTION("""COMPUTED_VALUE"""),"")</f>
        <v/>
      </c>
      <c r="Z1175" s="1" t="str">
        <f>IFERROR(__xludf.DUMMYFUNCTION("""COMPUTED_VALUE"""),"Unknown")</f>
        <v>Unknown</v>
      </c>
      <c r="AA1175" s="1" t="str">
        <f>IFERROR(__xludf.DUMMYFUNCTION("""COMPUTED_VALUE"""),"")</f>
        <v/>
      </c>
      <c r="AB1175" s="1" t="str">
        <f>IFERROR(__xludf.DUMMYFUNCTION("""COMPUTED_VALUE"""),"")</f>
        <v/>
      </c>
      <c r="AC1175" s="1" t="str">
        <f>IFERROR(__xludf.DUMMYFUNCTION("""COMPUTED_VALUE"""),"")</f>
        <v/>
      </c>
      <c r="AD1175" s="1" t="str">
        <f>IFERROR(__xludf.DUMMYFUNCTION("""COMPUTED_VALUE"""),"")</f>
        <v/>
      </c>
      <c r="AE1175" s="1" t="str">
        <f>IFERROR(__xludf.DUMMYFUNCTION("""COMPUTED_VALUE"""),"")</f>
        <v/>
      </c>
      <c r="AF1175" s="1" t="str">
        <f>IFERROR(__xludf.DUMMYFUNCTION("""COMPUTED_VALUE"""),"")</f>
        <v/>
      </c>
      <c r="AG1175" s="1" t="str">
        <f>IFERROR(__xludf.DUMMYFUNCTION("""COMPUTED_VALUE"""),"")</f>
        <v/>
      </c>
      <c r="AH1175" s="1" t="str">
        <f>IFERROR(__xludf.DUMMYFUNCTION("""COMPUTED_VALUE"""),"PEC")</f>
        <v>PEC</v>
      </c>
      <c r="AI1175" s="2" t="str">
        <f>IFERROR(__xludf.DUMMYFUNCTION("""COMPUTED_VALUE"""),"https://www.datacenterdynamics.com/en/news/blackchamber-files-to-build-data-center-campus-in-northern-virginias-arcola/")</f>
        <v>https://www.datacenterdynamics.com/en/news/blackchamber-files-to-build-data-center-campus-in-northern-virginias-arcola/</v>
      </c>
      <c r="AJ1175" s="2" t="str">
        <f>IFERROR(__xludf.DUMMYFUNCTION("""COMPUTED_VALUE"""),"https://reparcelasmt.loudoun.gov/pt/Datalets/Datalet.aspx?UseSearch=no&amp;mode=profileall&amp;pin=202104192000&amp;jur=107&amp;taxyr=2024")</f>
        <v>https://reparcelasmt.loudoun.gov/pt/Datalets/Datalet.aspx?UseSearch=no&amp;mode=profileall&amp;pin=202104192000&amp;jur=107&amp;taxyr=2024</v>
      </c>
      <c r="AK1175" s="1" t="str">
        <f>IFERROR(__xludf.DUMMYFUNCTION("""COMPUTED_VALUE"""),"")</f>
        <v/>
      </c>
      <c r="AL1175" s="1" t="str">
        <f>IFERROR(__xludf.DUMMYFUNCTION("""COMPUTED_VALUE"""),"")</f>
        <v/>
      </c>
      <c r="AM1175" s="1" t="str">
        <f>IFERROR(__xludf.DUMMYFUNCTION("""COMPUTED_VALUE"""),"")</f>
        <v/>
      </c>
      <c r="AN1175" s="1" t="str">
        <f>IFERROR(__xludf.DUMMYFUNCTION("""COMPUTED_VALUE"""),"")</f>
        <v/>
      </c>
      <c r="AO1175" s="1" t="str">
        <f>IFERROR(__xludf.DUMMYFUNCTION("""COMPUTED_VALUE"""),"")</f>
        <v/>
      </c>
      <c r="AP1175" s="1" t="str">
        <f>IFERROR(__xludf.DUMMYFUNCTION("""COMPUTED_VALUE"""),"")</f>
        <v/>
      </c>
      <c r="AQ1175" s="1" t="str">
        <f>IFERROR(__xludf.DUMMYFUNCTION("""COMPUTED_VALUE"""),"04/10/2024")</f>
        <v>04/10/2024</v>
      </c>
      <c r="AR1175" s="1" t="str">
        <f>IFERROR(__xludf.DUMMYFUNCTION("""COMPUTED_VALUE"""),"10/17/2025")</f>
        <v>10/17/2025</v>
      </c>
    </row>
    <row r="1176">
      <c r="A1176" s="1" t="str">
        <f>IFERROR(__xludf.DUMMYFUNCTION("""COMPUTED_VALUE"""),"TELOS DATA CENTER")</f>
        <v>TELOS DATA CENTER</v>
      </c>
      <c r="B1176" s="1" t="str">
        <f>IFERROR(__xludf.DUMMYFUNCTION("""COMPUTED_VALUE"""),"19886 ASHBURN RD")</f>
        <v>19886 ASHBURN RD</v>
      </c>
      <c r="C1176" s="1" t="str">
        <f>IFERROR(__xludf.DUMMYFUNCTION("""COMPUTED_VALUE"""),"Ashburn")</f>
        <v>Ashburn</v>
      </c>
      <c r="D1176" s="1" t="str">
        <f>IFERROR(__xludf.DUMMYFUNCTION("""COMPUTED_VALUE"""),"VA")</f>
        <v>VA</v>
      </c>
      <c r="E1176" s="1" t="str">
        <f>IFERROR(__xludf.DUMMYFUNCTION("""COMPUTED_VALUE"""),"20147")</f>
        <v>20147</v>
      </c>
      <c r="F1176" s="1" t="str">
        <f>IFERROR(__xludf.DUMMYFUNCTION("""COMPUTED_VALUE"""),"Loudoun")</f>
        <v>Loudoun</v>
      </c>
      <c r="G1176" s="1" t="str">
        <f>IFERROR(__xludf.DUMMYFUNCTION("""COMPUTED_VALUE"""),"39.067024")</f>
        <v>39.067024</v>
      </c>
      <c r="H1176" s="1" t="str">
        <f>IFERROR(__xludf.DUMMYFUNCTION("""COMPUTED_VALUE"""),"-77.47857")</f>
        <v>-77.47857</v>
      </c>
      <c r="I1176" s="1" t="str">
        <f>IFERROR(__xludf.DUMMYFUNCTION("""COMPUTED_VALUE"""),"Proposed")</f>
        <v>Proposed</v>
      </c>
      <c r="J1176" s="1" t="str">
        <f>IFERROR(__xludf.DUMMYFUNCTION("""COMPUTED_VALUE"""),"High")</f>
        <v>High</v>
      </c>
      <c r="K1176" s="1" t="str">
        <f>IFERROR(__xludf.DUMMYFUNCTION("""COMPUTED_VALUE"""),"")</f>
        <v/>
      </c>
      <c r="L1176" s="1" t="str">
        <f>IFERROR(__xludf.DUMMYFUNCTION("""COMPUTED_VALUE"""),"")</f>
        <v/>
      </c>
      <c r="M1176" s="1" t="str">
        <f>IFERROR(__xludf.DUMMYFUNCTION("""COMPUTED_VALUE"""),"")</f>
        <v/>
      </c>
      <c r="N1176" s="1" t="str">
        <f>IFERROR(__xludf.DUMMYFUNCTION("""COMPUTED_VALUE"""),"")</f>
        <v/>
      </c>
      <c r="O1176" s="1" t="str">
        <f>IFERROR(__xludf.DUMMYFUNCTION("""COMPUTED_VALUE"""),"Unknown")</f>
        <v>Unknown</v>
      </c>
      <c r="P1176" s="1" t="str">
        <f>IFERROR(__xludf.DUMMYFUNCTION("""COMPUTED_VALUE"""),"")</f>
        <v/>
      </c>
      <c r="Q1176" s="1" t="str">
        <f>IFERROR(__xludf.DUMMYFUNCTION("""COMPUTED_VALUE"""),"")</f>
        <v/>
      </c>
      <c r="R1176" s="1" t="str">
        <f>IFERROR(__xludf.DUMMYFUNCTION("""COMPUTED_VALUE"""),"")</f>
        <v/>
      </c>
      <c r="S1176" s="1" t="str">
        <f>IFERROR(__xludf.DUMMYFUNCTION("""COMPUTED_VALUE"""),"")</f>
        <v/>
      </c>
      <c r="T1176" s="1" t="str">
        <f>IFERROR(__xludf.DUMMYFUNCTION("""COMPUTED_VALUE"""),"")</f>
        <v/>
      </c>
      <c r="U1176" s="1" t="str">
        <f>IFERROR(__xludf.DUMMYFUNCTION("""COMPUTED_VALUE"""),"")</f>
        <v/>
      </c>
      <c r="V1176" s="1" t="str">
        <f>IFERROR(__xludf.DUMMYFUNCTION("""COMPUTED_VALUE"""),"180,000")</f>
        <v>180,000</v>
      </c>
      <c r="W1176" s="1" t="str">
        <f>IFERROR(__xludf.DUMMYFUNCTION("""COMPUTED_VALUE"""),"25")</f>
        <v>25</v>
      </c>
      <c r="X1176" s="1" t="str">
        <f>IFERROR(__xludf.DUMMYFUNCTION("""COMPUTED_VALUE"""),"")</f>
        <v/>
      </c>
      <c r="Y1176" s="1" t="str">
        <f>IFERROR(__xludf.DUMMYFUNCTION("""COMPUTED_VALUE"""),"")</f>
        <v/>
      </c>
      <c r="Z1176" s="1" t="str">
        <f>IFERROR(__xludf.DUMMYFUNCTION("""COMPUTED_VALUE"""),"Unknown")</f>
        <v>Unknown</v>
      </c>
      <c r="AA1176" s="1" t="str">
        <f>IFERROR(__xludf.DUMMYFUNCTION("""COMPUTED_VALUE"""),"")</f>
        <v/>
      </c>
      <c r="AB1176" s="1" t="str">
        <f>IFERROR(__xludf.DUMMYFUNCTION("""COMPUTED_VALUE"""),"")</f>
        <v/>
      </c>
      <c r="AC1176" s="1" t="str">
        <f>IFERROR(__xludf.DUMMYFUNCTION("""COMPUTED_VALUE"""),"")</f>
        <v/>
      </c>
      <c r="AD1176" s="1" t="str">
        <f>IFERROR(__xludf.DUMMYFUNCTION("""COMPUTED_VALUE"""),"")</f>
        <v/>
      </c>
      <c r="AE1176" s="1" t="str">
        <f>IFERROR(__xludf.DUMMYFUNCTION("""COMPUTED_VALUE"""),"")</f>
        <v/>
      </c>
      <c r="AF1176" s="1" t="str">
        <f>IFERROR(__xludf.DUMMYFUNCTION("""COMPUTED_VALUE"""),"")</f>
        <v/>
      </c>
      <c r="AG1176" s="1" t="str">
        <f>IFERROR(__xludf.DUMMYFUNCTION("""COMPUTED_VALUE"""),"Project adjacent to a church")</f>
        <v>Project adjacent to a church</v>
      </c>
      <c r="AH1176" s="1" t="str">
        <f>IFERROR(__xludf.DUMMYFUNCTION("""COMPUTED_VALUE"""),"PEC")</f>
        <v>PEC</v>
      </c>
      <c r="AI1176" s="2" t="str">
        <f>IFERROR(__xludf.DUMMYFUNCTION("""COMPUTED_VALUE"""),"https://loudouncountyvaeg.tylerhost.net/prod/selfservice#/plan/D476DA12-5225-4CDE-B20E-0115B3DEC520?tab=locations")</f>
        <v>https://loudouncountyvaeg.tylerhost.net/prod/selfservice#/plan/D476DA12-5225-4CDE-B20E-0115B3DEC520?tab=locations</v>
      </c>
      <c r="AJ1176" s="1" t="str">
        <f>IFERROR(__xludf.DUMMYFUNCTION("""COMPUTED_VALUE"""),"")</f>
        <v/>
      </c>
      <c r="AK1176" s="1" t="str">
        <f>IFERROR(__xludf.DUMMYFUNCTION("""COMPUTED_VALUE"""),"")</f>
        <v/>
      </c>
      <c r="AL1176" s="1" t="str">
        <f>IFERROR(__xludf.DUMMYFUNCTION("""COMPUTED_VALUE"""),"")</f>
        <v/>
      </c>
      <c r="AM1176" s="1" t="str">
        <f>IFERROR(__xludf.DUMMYFUNCTION("""COMPUTED_VALUE"""),"")</f>
        <v/>
      </c>
      <c r="AN1176" s="1" t="str">
        <f>IFERROR(__xludf.DUMMYFUNCTION("""COMPUTED_VALUE"""),"")</f>
        <v/>
      </c>
      <c r="AO1176" s="1" t="str">
        <f>IFERROR(__xludf.DUMMYFUNCTION("""COMPUTED_VALUE"""),"")</f>
        <v/>
      </c>
      <c r="AP1176" s="1" t="str">
        <f>IFERROR(__xludf.DUMMYFUNCTION("""COMPUTED_VALUE"""),"")</f>
        <v/>
      </c>
      <c r="AQ1176" s="1" t="str">
        <f>IFERROR(__xludf.DUMMYFUNCTION("""COMPUTED_VALUE"""),"08/11/2025")</f>
        <v>08/11/2025</v>
      </c>
      <c r="AR1176" s="1" t="str">
        <f>IFERROR(__xludf.DUMMYFUNCTION("""COMPUTED_VALUE"""),"10/17/2025")</f>
        <v>10/17/2025</v>
      </c>
    </row>
    <row r="1177">
      <c r="A1177" s="1" t="str">
        <f>IFERROR(__xludf.DUMMYFUNCTION("""COMPUTED_VALUE"""),"Vantage VA 3")</f>
        <v>Vantage VA 3</v>
      </c>
      <c r="B1177" s="1" t="str">
        <f>IFERROR(__xludf.DUMMYFUNCTION("""COMPUTED_VALUE"""),"19509 BELMONT RIDGE RD")</f>
        <v>19509 BELMONT RIDGE RD</v>
      </c>
      <c r="C1177" s="1" t="str">
        <f>IFERROR(__xludf.DUMMYFUNCTION("""COMPUTED_VALUE"""),"Ashburn")</f>
        <v>Ashburn</v>
      </c>
      <c r="D1177" s="1" t="str">
        <f>IFERROR(__xludf.DUMMYFUNCTION("""COMPUTED_VALUE"""),"VA")</f>
        <v>VA</v>
      </c>
      <c r="E1177" s="1" t="str">
        <f>IFERROR(__xludf.DUMMYFUNCTION("""COMPUTED_VALUE"""),"20147")</f>
        <v>20147</v>
      </c>
      <c r="F1177" s="1" t="str">
        <f>IFERROR(__xludf.DUMMYFUNCTION("""COMPUTED_VALUE"""),"Loudoun")</f>
        <v>Loudoun</v>
      </c>
      <c r="G1177" s="1" t="str">
        <f>IFERROR(__xludf.DUMMYFUNCTION("""COMPUTED_VALUE"""),"39.079758")</f>
        <v>39.079758</v>
      </c>
      <c r="H1177" s="1" t="str">
        <f>IFERROR(__xludf.DUMMYFUNCTION("""COMPUTED_VALUE"""),"-77.506546")</f>
        <v>-77.506546</v>
      </c>
      <c r="I1177" s="1" t="str">
        <f>IFERROR(__xludf.DUMMYFUNCTION("""COMPUTED_VALUE"""),"Proposed")</f>
        <v>Proposed</v>
      </c>
      <c r="J1177" s="1" t="str">
        <f>IFERROR(__xludf.DUMMYFUNCTION("""COMPUTED_VALUE"""),"High")</f>
        <v>High</v>
      </c>
      <c r="K1177" s="1" t="str">
        <f>IFERROR(__xludf.DUMMYFUNCTION("""COMPUTED_VALUE"""),"")</f>
        <v/>
      </c>
      <c r="L1177" s="1" t="str">
        <f>IFERROR(__xludf.DUMMYFUNCTION("""COMPUTED_VALUE"""),"VANTAGE DATA CENTERS VA3 LLC/Jeff Tench")</f>
        <v>VANTAGE DATA CENTERS VA3 LLC/Jeff Tench</v>
      </c>
      <c r="M1177" s="1" t="str">
        <f>IFERROR(__xludf.DUMMYFUNCTION("""COMPUTED_VALUE"""),"")</f>
        <v/>
      </c>
      <c r="N1177" s="1" t="str">
        <f>IFERROR(__xludf.DUMMYFUNCTION("""COMPUTED_VALUE"""),"")</f>
        <v/>
      </c>
      <c r="O1177" s="1" t="str">
        <f>IFERROR(__xludf.DUMMYFUNCTION("""COMPUTED_VALUE"""),"Unknown")</f>
        <v>Unknown</v>
      </c>
      <c r="P1177" s="1" t="str">
        <f>IFERROR(__xludf.DUMMYFUNCTION("""COMPUTED_VALUE"""),"")</f>
        <v/>
      </c>
      <c r="Q1177" s="1" t="str">
        <f>IFERROR(__xludf.DUMMYFUNCTION("""COMPUTED_VALUE"""),"")</f>
        <v/>
      </c>
      <c r="R1177" s="1" t="str">
        <f>IFERROR(__xludf.DUMMYFUNCTION("""COMPUTED_VALUE"""),"")</f>
        <v/>
      </c>
      <c r="S1177" s="1" t="str">
        <f>IFERROR(__xludf.DUMMYFUNCTION("""COMPUTED_VALUE"""),"")</f>
        <v/>
      </c>
      <c r="T1177" s="1" t="str">
        <f>IFERROR(__xludf.DUMMYFUNCTION("""COMPUTED_VALUE"""),"")</f>
        <v/>
      </c>
      <c r="U1177" s="1" t="str">
        <f>IFERROR(__xludf.DUMMYFUNCTION("""COMPUTED_VALUE"""),"")</f>
        <v/>
      </c>
      <c r="V1177" s="1" t="str">
        <f>IFERROR(__xludf.DUMMYFUNCTION("""COMPUTED_VALUE"""),"2,329,165")</f>
        <v>2,329,165</v>
      </c>
      <c r="W1177" s="1" t="str">
        <f>IFERROR(__xludf.DUMMYFUNCTION("""COMPUTED_VALUE"""),"105")</f>
        <v>105</v>
      </c>
      <c r="X1177" s="1" t="str">
        <f>IFERROR(__xludf.DUMMYFUNCTION("""COMPUTED_VALUE"""),"")</f>
        <v/>
      </c>
      <c r="Y1177" s="1" t="str">
        <f>IFERROR(__xludf.DUMMYFUNCTION("""COMPUTED_VALUE"""),"")</f>
        <v/>
      </c>
      <c r="Z1177" s="1" t="str">
        <f>IFERROR(__xludf.DUMMYFUNCTION("""COMPUTED_VALUE"""),"Unknown")</f>
        <v>Unknown</v>
      </c>
      <c r="AA1177" s="1" t="str">
        <f>IFERROR(__xludf.DUMMYFUNCTION("""COMPUTED_VALUE"""),"")</f>
        <v/>
      </c>
      <c r="AB1177" s="1" t="str">
        <f>IFERROR(__xludf.DUMMYFUNCTION("""COMPUTED_VALUE"""),"")</f>
        <v/>
      </c>
      <c r="AC1177" s="1" t="str">
        <f>IFERROR(__xludf.DUMMYFUNCTION("""COMPUTED_VALUE"""),"")</f>
        <v/>
      </c>
      <c r="AD1177" s="1" t="str">
        <f>IFERROR(__xludf.DUMMYFUNCTION("""COMPUTED_VALUE"""),"")</f>
        <v/>
      </c>
      <c r="AE1177" s="1" t="str">
        <f>IFERROR(__xludf.DUMMYFUNCTION("""COMPUTED_VALUE"""),"")</f>
        <v/>
      </c>
      <c r="AF1177" s="1" t="str">
        <f>IFERROR(__xludf.DUMMYFUNCTION("""COMPUTED_VALUE"""),"")</f>
        <v/>
      </c>
      <c r="AG1177" s="1" t="str">
        <f>IFERROR(__xludf.DUMMYFUNCTION("""COMPUTED_VALUE"""),"First building complete. This parcel is in the process of being divided")</f>
        <v>First building complete. This parcel is in the process of being divided</v>
      </c>
      <c r="AH1177" s="1" t="str">
        <f>IFERROR(__xludf.DUMMYFUNCTION("""COMPUTED_VALUE"""),"PEC")</f>
        <v>PEC</v>
      </c>
      <c r="AI1177" s="2" t="str">
        <f>IFERROR(__xludf.DUMMYFUNCTION("""COMPUTED_VALUE"""),"https://loudouncountyvaeg.tylerhost.net/prod/selfservice#/plan/950F3AEF-A90A-44A7-9963-3B20A7A8A394?tab=attachments")</f>
        <v>https://loudouncountyvaeg.tylerhost.net/prod/selfservice#/plan/950F3AEF-A90A-44A7-9963-3B20A7A8A394?tab=attachments</v>
      </c>
      <c r="AJ1177" s="2" t="str">
        <f>IFERROR(__xludf.DUMMYFUNCTION("""COMPUTED_VALUE"""),"https://reparcelasmt.loudoun.gov/pt/Datalets/Datalet.aspx?UseSearch=no&amp;mode=profileall&amp;pin=113372932000&amp;jur=107&amp;taxyr=2024")</f>
        <v>https://reparcelasmt.loudoun.gov/pt/Datalets/Datalet.aspx?UseSearch=no&amp;mode=profileall&amp;pin=113372932000&amp;jur=107&amp;taxyr=2024</v>
      </c>
      <c r="AK1177" s="1" t="str">
        <f>IFERROR(__xludf.DUMMYFUNCTION("""COMPUTED_VALUE"""),"")</f>
        <v/>
      </c>
      <c r="AL1177" s="1" t="str">
        <f>IFERROR(__xludf.DUMMYFUNCTION("""COMPUTED_VALUE"""),"")</f>
        <v/>
      </c>
      <c r="AM1177" s="1" t="str">
        <f>IFERROR(__xludf.DUMMYFUNCTION("""COMPUTED_VALUE"""),"")</f>
        <v/>
      </c>
      <c r="AN1177" s="1" t="str">
        <f>IFERROR(__xludf.DUMMYFUNCTION("""COMPUTED_VALUE"""),"")</f>
        <v/>
      </c>
      <c r="AO1177" s="1" t="str">
        <f>IFERROR(__xludf.DUMMYFUNCTION("""COMPUTED_VALUE"""),"")</f>
        <v/>
      </c>
      <c r="AP1177" s="1" t="str">
        <f>IFERROR(__xludf.DUMMYFUNCTION("""COMPUTED_VALUE"""),"")</f>
        <v/>
      </c>
      <c r="AQ1177" s="1" t="str">
        <f>IFERROR(__xludf.DUMMYFUNCTION("""COMPUTED_VALUE"""),"08/06/2025")</f>
        <v>08/06/2025</v>
      </c>
      <c r="AR1177" s="1" t="str">
        <f>IFERROR(__xludf.DUMMYFUNCTION("""COMPUTED_VALUE"""),"10/17/2025")</f>
        <v>10/17/2025</v>
      </c>
    </row>
    <row r="1178">
      <c r="A1178" s="1" t="str">
        <f>IFERROR(__xludf.DUMMYFUNCTION("""COMPUTED_VALUE"""),"Vantage VA 3")</f>
        <v>Vantage VA 3</v>
      </c>
      <c r="B1178" s="1" t="str">
        <f>IFERROR(__xludf.DUMMYFUNCTION("""COMPUTED_VALUE"""),"43321 DATA DR")</f>
        <v>43321 DATA DR</v>
      </c>
      <c r="C1178" s="1" t="str">
        <f>IFERROR(__xludf.DUMMYFUNCTION("""COMPUTED_VALUE"""),"Ashburn")</f>
        <v>Ashburn</v>
      </c>
      <c r="D1178" s="1" t="str">
        <f>IFERROR(__xludf.DUMMYFUNCTION("""COMPUTED_VALUE"""),"VA")</f>
        <v>VA</v>
      </c>
      <c r="E1178" s="1" t="str">
        <f>IFERROR(__xludf.DUMMYFUNCTION("""COMPUTED_VALUE"""),"20147")</f>
        <v>20147</v>
      </c>
      <c r="F1178" s="1" t="str">
        <f>IFERROR(__xludf.DUMMYFUNCTION("""COMPUTED_VALUE"""),"Loudoun")</f>
        <v>Loudoun</v>
      </c>
      <c r="G1178" s="1" t="str">
        <f>IFERROR(__xludf.DUMMYFUNCTION("""COMPUTED_VALUE"""),"39.077393")</f>
        <v>39.077393</v>
      </c>
      <c r="H1178" s="1" t="str">
        <f>IFERROR(__xludf.DUMMYFUNCTION("""COMPUTED_VALUE"""),"-77.506165")</f>
        <v>-77.506165</v>
      </c>
      <c r="I1178" s="1" t="str">
        <f>IFERROR(__xludf.DUMMYFUNCTION("""COMPUTED_VALUE"""),"Expanding")</f>
        <v>Expanding</v>
      </c>
      <c r="J1178" s="1" t="str">
        <f>IFERROR(__xludf.DUMMYFUNCTION("""COMPUTED_VALUE"""),"High")</f>
        <v>High</v>
      </c>
      <c r="K1178" s="1" t="str">
        <f>IFERROR(__xludf.DUMMYFUNCTION("""COMPUTED_VALUE"""),"")</f>
        <v/>
      </c>
      <c r="L1178" s="1" t="str">
        <f>IFERROR(__xludf.DUMMYFUNCTION("""COMPUTED_VALUE"""),"VANTAGE DATA CENTERS VA3 LLC/Jeff Tench")</f>
        <v>VANTAGE DATA CENTERS VA3 LLC/Jeff Tench</v>
      </c>
      <c r="M1178" s="1" t="str">
        <f>IFERROR(__xludf.DUMMYFUNCTION("""COMPUTED_VALUE"""),"")</f>
        <v/>
      </c>
      <c r="N1178" s="1" t="str">
        <f>IFERROR(__xludf.DUMMYFUNCTION("""COMPUTED_VALUE"""),"")</f>
        <v/>
      </c>
      <c r="O1178" s="1" t="str">
        <f>IFERROR(__xludf.DUMMYFUNCTION("""COMPUTED_VALUE"""),"Unknown")</f>
        <v>Unknown</v>
      </c>
      <c r="P1178" s="1" t="str">
        <f>IFERROR(__xludf.DUMMYFUNCTION("""COMPUTED_VALUE"""),"")</f>
        <v/>
      </c>
      <c r="Q1178" s="1" t="str">
        <f>IFERROR(__xludf.DUMMYFUNCTION("""COMPUTED_VALUE"""),"")</f>
        <v/>
      </c>
      <c r="R1178" s="1" t="str">
        <f>IFERROR(__xludf.DUMMYFUNCTION("""COMPUTED_VALUE"""),"")</f>
        <v/>
      </c>
      <c r="S1178" s="1" t="str">
        <f>IFERROR(__xludf.DUMMYFUNCTION("""COMPUTED_VALUE"""),"")</f>
        <v/>
      </c>
      <c r="T1178" s="1" t="str">
        <f>IFERROR(__xludf.DUMMYFUNCTION("""COMPUTED_VALUE"""),"")</f>
        <v/>
      </c>
      <c r="U1178" s="1" t="str">
        <f>IFERROR(__xludf.DUMMYFUNCTION("""COMPUTED_VALUE"""),"")</f>
        <v/>
      </c>
      <c r="V1178" s="1" t="str">
        <f>IFERROR(__xludf.DUMMYFUNCTION("""COMPUTED_VALUE"""),"385,398")</f>
        <v>385,398</v>
      </c>
      <c r="W1178" s="1" t="str">
        <f>IFERROR(__xludf.DUMMYFUNCTION("""COMPUTED_VALUE"""),"30")</f>
        <v>30</v>
      </c>
      <c r="X1178" s="1" t="str">
        <f>IFERROR(__xludf.DUMMYFUNCTION("""COMPUTED_VALUE"""),"")</f>
        <v/>
      </c>
      <c r="Y1178" s="1" t="str">
        <f>IFERROR(__xludf.DUMMYFUNCTION("""COMPUTED_VALUE"""),"")</f>
        <v/>
      </c>
      <c r="Z1178" s="1" t="str">
        <f>IFERROR(__xludf.DUMMYFUNCTION("""COMPUTED_VALUE"""),"Unknown")</f>
        <v>Unknown</v>
      </c>
      <c r="AA1178" s="1" t="str">
        <f>IFERROR(__xludf.DUMMYFUNCTION("""COMPUTED_VALUE"""),"")</f>
        <v/>
      </c>
      <c r="AB1178" s="1" t="str">
        <f>IFERROR(__xludf.DUMMYFUNCTION("""COMPUTED_VALUE"""),"")</f>
        <v/>
      </c>
      <c r="AC1178" s="1" t="str">
        <f>IFERROR(__xludf.DUMMYFUNCTION("""COMPUTED_VALUE"""),"")</f>
        <v/>
      </c>
      <c r="AD1178" s="1" t="str">
        <f>IFERROR(__xludf.DUMMYFUNCTION("""COMPUTED_VALUE"""),"")</f>
        <v/>
      </c>
      <c r="AE1178" s="1" t="str">
        <f>IFERROR(__xludf.DUMMYFUNCTION("""COMPUTED_VALUE"""),"")</f>
        <v/>
      </c>
      <c r="AF1178" s="1" t="str">
        <f>IFERROR(__xludf.DUMMYFUNCTION("""COMPUTED_VALUE"""),"")</f>
        <v/>
      </c>
      <c r="AG1178" s="1" t="str">
        <f>IFERROR(__xludf.DUMMYFUNCTION("""COMPUTED_VALUE"""),"First building of VA3 Campus. Square footage has been subtracted from the parent entry")</f>
        <v>First building of VA3 Campus. Square footage has been subtracted from the parent entry</v>
      </c>
      <c r="AH1178" s="1" t="str">
        <f>IFERROR(__xludf.DUMMYFUNCTION("""COMPUTED_VALUE"""),"PEC")</f>
        <v>PEC</v>
      </c>
      <c r="AI1178" s="2" t="str">
        <f>IFERROR(__xludf.DUMMYFUNCTION("""COMPUTED_VALUE"""),"https://reparcelasmt.loudoun.gov/pt/datalets/datalet.aspx?mode=commercial&amp;UseSearch=no&amp;pin=113272390000&amp;jur=107&amp;taxyr=2025&amp;LMparent=20")</f>
        <v>https://reparcelasmt.loudoun.gov/pt/datalets/datalet.aspx?mode=commercial&amp;UseSearch=no&amp;pin=113272390000&amp;jur=107&amp;taxyr=2025&amp;LMparent=20</v>
      </c>
      <c r="AJ1178" s="1" t="str">
        <f>IFERROR(__xludf.DUMMYFUNCTION("""COMPUTED_VALUE"""),"")</f>
        <v/>
      </c>
      <c r="AK1178" s="1" t="str">
        <f>IFERROR(__xludf.DUMMYFUNCTION("""COMPUTED_VALUE"""),"")</f>
        <v/>
      </c>
      <c r="AL1178" s="1" t="str">
        <f>IFERROR(__xludf.DUMMYFUNCTION("""COMPUTED_VALUE"""),"")</f>
        <v/>
      </c>
      <c r="AM1178" s="1" t="str">
        <f>IFERROR(__xludf.DUMMYFUNCTION("""COMPUTED_VALUE"""),"")</f>
        <v/>
      </c>
      <c r="AN1178" s="1" t="str">
        <f>IFERROR(__xludf.DUMMYFUNCTION("""COMPUTED_VALUE"""),"")</f>
        <v/>
      </c>
      <c r="AO1178" s="1" t="str">
        <f>IFERROR(__xludf.DUMMYFUNCTION("""COMPUTED_VALUE"""),"")</f>
        <v/>
      </c>
      <c r="AP1178" s="1" t="str">
        <f>IFERROR(__xludf.DUMMYFUNCTION("""COMPUTED_VALUE"""),"")</f>
        <v/>
      </c>
      <c r="AQ1178" s="1" t="str">
        <f>IFERROR(__xludf.DUMMYFUNCTION("""COMPUTED_VALUE"""),"08/06/2025")</f>
        <v>08/06/2025</v>
      </c>
      <c r="AR1178" s="1" t="str">
        <f>IFERROR(__xludf.DUMMYFUNCTION("""COMPUTED_VALUE"""),"02/10/2026")</f>
        <v>02/10/2026</v>
      </c>
    </row>
    <row r="1179">
      <c r="A1179" s="1" t="str">
        <f>IFERROR(__xludf.DUMMYFUNCTION("""COMPUTED_VALUE"""),"VISA USA INC")</f>
        <v>VISA USA INC</v>
      </c>
      <c r="B1179" s="1" t="str">
        <f>IFERROR(__xludf.DUMMYFUNCTION("""COMPUTED_VALUE"""),"44901 RUSSELL BRANCH PKWY")</f>
        <v>44901 RUSSELL BRANCH PKWY</v>
      </c>
      <c r="C1179" s="1" t="str">
        <f>IFERROR(__xludf.DUMMYFUNCTION("""COMPUTED_VALUE"""),"Ashburn")</f>
        <v>Ashburn</v>
      </c>
      <c r="D1179" s="1" t="str">
        <f>IFERROR(__xludf.DUMMYFUNCTION("""COMPUTED_VALUE"""),"VA")</f>
        <v>VA</v>
      </c>
      <c r="E1179" s="1" t="str">
        <f>IFERROR(__xludf.DUMMYFUNCTION("""COMPUTED_VALUE"""),"20147")</f>
        <v>20147</v>
      </c>
      <c r="F1179" s="1" t="str">
        <f>IFERROR(__xludf.DUMMYFUNCTION("""COMPUTED_VALUE"""),"Loudoun")</f>
        <v>Loudoun</v>
      </c>
      <c r="G1179" s="1" t="str">
        <f>IFERROR(__xludf.DUMMYFUNCTION("""COMPUTED_VALUE"""),"39.049206")</f>
        <v>39.049206</v>
      </c>
      <c r="H1179" s="1" t="str">
        <f>IFERROR(__xludf.DUMMYFUNCTION("""COMPUTED_VALUE"""),"-77.445564")</f>
        <v>-77.445564</v>
      </c>
      <c r="I1179" s="1" t="str">
        <f>IFERROR(__xludf.DUMMYFUNCTION("""COMPUTED_VALUE"""),"Operating")</f>
        <v>Operating</v>
      </c>
      <c r="J1179" s="1" t="str">
        <f>IFERROR(__xludf.DUMMYFUNCTION("""COMPUTED_VALUE"""),"High")</f>
        <v>High</v>
      </c>
      <c r="K1179" s="1" t="str">
        <f>IFERROR(__xludf.DUMMYFUNCTION("""COMPUTED_VALUE"""),"")</f>
        <v/>
      </c>
      <c r="L1179" s="1" t="str">
        <f>IFERROR(__xludf.DUMMYFUNCTION("""COMPUTED_VALUE"""),"VISA USA INC")</f>
        <v>VISA USA INC</v>
      </c>
      <c r="M1179" s="1" t="str">
        <f>IFERROR(__xludf.DUMMYFUNCTION("""COMPUTED_VALUE"""),"")</f>
        <v/>
      </c>
      <c r="N1179" s="1" t="str">
        <f>IFERROR(__xludf.DUMMYFUNCTION("""COMPUTED_VALUE"""),"")</f>
        <v/>
      </c>
      <c r="O1179" s="1" t="str">
        <f>IFERROR(__xludf.DUMMYFUNCTION("""COMPUTED_VALUE"""),"Unknown")</f>
        <v>Unknown</v>
      </c>
      <c r="P1179" s="1" t="str">
        <f>IFERROR(__xludf.DUMMYFUNCTION("""COMPUTED_VALUE"""),"")</f>
        <v/>
      </c>
      <c r="Q1179" s="1" t="str">
        <f>IFERROR(__xludf.DUMMYFUNCTION("""COMPUTED_VALUE"""),"")</f>
        <v/>
      </c>
      <c r="R1179" s="1" t="str">
        <f>IFERROR(__xludf.DUMMYFUNCTION("""COMPUTED_VALUE"""),"")</f>
        <v/>
      </c>
      <c r="S1179" s="1" t="str">
        <f>IFERROR(__xludf.DUMMYFUNCTION("""COMPUTED_VALUE"""),"")</f>
        <v/>
      </c>
      <c r="T1179" s="1" t="str">
        <f>IFERROR(__xludf.DUMMYFUNCTION("""COMPUTED_VALUE"""),"")</f>
        <v/>
      </c>
      <c r="U1179" s="1" t="str">
        <f>IFERROR(__xludf.DUMMYFUNCTION("""COMPUTED_VALUE"""),"")</f>
        <v/>
      </c>
      <c r="V1179" s="1" t="str">
        <f>IFERROR(__xludf.DUMMYFUNCTION("""COMPUTED_VALUE"""),"365,855")</f>
        <v>365,855</v>
      </c>
      <c r="W1179" s="1" t="str">
        <f>IFERROR(__xludf.DUMMYFUNCTION("""COMPUTED_VALUE"""),"41")</f>
        <v>41</v>
      </c>
      <c r="X1179" s="1" t="str">
        <f>IFERROR(__xludf.DUMMYFUNCTION("""COMPUTED_VALUE"""),"")</f>
        <v/>
      </c>
      <c r="Y1179" s="1" t="str">
        <f>IFERROR(__xludf.DUMMYFUNCTION("""COMPUTED_VALUE"""),"")</f>
        <v/>
      </c>
      <c r="Z1179" s="1" t="str">
        <f>IFERROR(__xludf.DUMMYFUNCTION("""COMPUTED_VALUE"""),"Unknown")</f>
        <v>Unknown</v>
      </c>
      <c r="AA1179" s="1" t="str">
        <f>IFERROR(__xludf.DUMMYFUNCTION("""COMPUTED_VALUE"""),"")</f>
        <v/>
      </c>
      <c r="AB1179" s="1" t="str">
        <f>IFERROR(__xludf.DUMMYFUNCTION("""COMPUTED_VALUE"""),"")</f>
        <v/>
      </c>
      <c r="AC1179" s="1" t="str">
        <f>IFERROR(__xludf.DUMMYFUNCTION("""COMPUTED_VALUE"""),"")</f>
        <v/>
      </c>
      <c r="AD1179" s="1" t="str">
        <f>IFERROR(__xludf.DUMMYFUNCTION("""COMPUTED_VALUE"""),"")</f>
        <v/>
      </c>
      <c r="AE1179" s="1" t="str">
        <f>IFERROR(__xludf.DUMMYFUNCTION("""COMPUTED_VALUE"""),"")</f>
        <v/>
      </c>
      <c r="AF1179" s="1" t="str">
        <f>IFERROR(__xludf.DUMMYFUNCTION("""COMPUTED_VALUE"""),"")</f>
        <v/>
      </c>
      <c r="AG1179" s="1" t="str">
        <f>IFERROR(__xludf.DUMMYFUNCTION("""COMPUTED_VALUE"""),"Computer Center")</f>
        <v>Computer Center</v>
      </c>
      <c r="AH1179" s="1" t="str">
        <f>IFERROR(__xludf.DUMMYFUNCTION("""COMPUTED_VALUE"""),"PEC")</f>
        <v>PEC</v>
      </c>
      <c r="AI1179" s="2" t="str">
        <f>IFERROR(__xludf.DUMMYFUNCTION("""COMPUTED_VALUE"""),"https://reparcelasmt.loudoun.gov/pt/datalets/datalet.aspx?mode=profileall&amp;UseSearch=no&amp;pin=040464286000&amp;jur=107&amp;taxyr=2024&amp;LMparent=20")</f>
        <v>https://reparcelasmt.loudoun.gov/pt/datalets/datalet.aspx?mode=profileall&amp;UseSearch=no&amp;pin=040464286000&amp;jur=107&amp;taxyr=2024&amp;LMparent=20</v>
      </c>
      <c r="AJ1179" s="1" t="str">
        <f>IFERROR(__xludf.DUMMYFUNCTION("""COMPUTED_VALUE"""),"")</f>
        <v/>
      </c>
      <c r="AK1179" s="1" t="str">
        <f>IFERROR(__xludf.DUMMYFUNCTION("""COMPUTED_VALUE"""),"")</f>
        <v/>
      </c>
      <c r="AL1179" s="1" t="str">
        <f>IFERROR(__xludf.DUMMYFUNCTION("""COMPUTED_VALUE"""),"")</f>
        <v/>
      </c>
      <c r="AM1179" s="1" t="str">
        <f>IFERROR(__xludf.DUMMYFUNCTION("""COMPUTED_VALUE"""),"")</f>
        <v/>
      </c>
      <c r="AN1179" s="1" t="str">
        <f>IFERROR(__xludf.DUMMYFUNCTION("""COMPUTED_VALUE"""),"")</f>
        <v/>
      </c>
      <c r="AO1179" s="1" t="str">
        <f>IFERROR(__xludf.DUMMYFUNCTION("""COMPUTED_VALUE"""),"")</f>
        <v/>
      </c>
      <c r="AP1179" s="1" t="str">
        <f>IFERROR(__xludf.DUMMYFUNCTION("""COMPUTED_VALUE"""),"")</f>
        <v/>
      </c>
      <c r="AQ1179" s="1" t="str">
        <f>IFERROR(__xludf.DUMMYFUNCTION("""COMPUTED_VALUE"""),"04/10/2024")</f>
        <v>04/10/2024</v>
      </c>
      <c r="AR1179" s="1" t="str">
        <f>IFERROR(__xludf.DUMMYFUNCTION("""COMPUTED_VALUE"""),"10/17/2025")</f>
        <v>10/17/2025</v>
      </c>
    </row>
    <row r="1180">
      <c r="A1180" s="1" t="str">
        <f>IFERROR(__xludf.DUMMYFUNCTION("""COMPUTED_VALUE"""),"Zebra East")</f>
        <v>Zebra East</v>
      </c>
      <c r="B1180" s="1" t="str">
        <f>IFERROR(__xludf.DUMMYFUNCTION("""COMPUTED_VALUE"""),"22130 LOUDOUN COUNTY PKWY")</f>
        <v>22130 LOUDOUN COUNTY PKWY</v>
      </c>
      <c r="C1180" s="1" t="str">
        <f>IFERROR(__xludf.DUMMYFUNCTION("""COMPUTED_VALUE"""),"Ashburn")</f>
        <v>Ashburn</v>
      </c>
      <c r="D1180" s="1" t="str">
        <f>IFERROR(__xludf.DUMMYFUNCTION("""COMPUTED_VALUE"""),"VA")</f>
        <v>VA</v>
      </c>
      <c r="E1180" s="1" t="str">
        <f>IFERROR(__xludf.DUMMYFUNCTION("""COMPUTED_VALUE"""),"20147")</f>
        <v>20147</v>
      </c>
      <c r="F1180" s="1" t="str">
        <f>IFERROR(__xludf.DUMMYFUNCTION("""COMPUTED_VALUE"""),"Loudoun")</f>
        <v>Loudoun</v>
      </c>
      <c r="G1180" s="1" t="str">
        <f>IFERROR(__xludf.DUMMYFUNCTION("""COMPUTED_VALUE"""),"39.00505")</f>
        <v>39.00505</v>
      </c>
      <c r="H1180" s="1" t="str">
        <f>IFERROR(__xludf.DUMMYFUNCTION("""COMPUTED_VALUE"""),"-77.471504")</f>
        <v>-77.471504</v>
      </c>
      <c r="I1180" s="1" t="str">
        <f>IFERROR(__xludf.DUMMYFUNCTION("""COMPUTED_VALUE"""),"Proposed")</f>
        <v>Proposed</v>
      </c>
      <c r="J1180" s="1" t="str">
        <f>IFERROR(__xludf.DUMMYFUNCTION("""COMPUTED_VALUE"""),"High")</f>
        <v>High</v>
      </c>
      <c r="K1180" s="1" t="str">
        <f>IFERROR(__xludf.DUMMYFUNCTION("""COMPUTED_VALUE"""),"")</f>
        <v/>
      </c>
      <c r="L1180" s="1" t="str">
        <f>IFERROR(__xludf.DUMMYFUNCTION("""COMPUTED_VALUE"""),"CloudHQ")</f>
        <v>CloudHQ</v>
      </c>
      <c r="M1180" s="1" t="str">
        <f>IFERROR(__xludf.DUMMYFUNCTION("""COMPUTED_VALUE"""),"")</f>
        <v/>
      </c>
      <c r="N1180" s="1" t="str">
        <f>IFERROR(__xludf.DUMMYFUNCTION("""COMPUTED_VALUE"""),"")</f>
        <v/>
      </c>
      <c r="O1180" s="1" t="str">
        <f>IFERROR(__xludf.DUMMYFUNCTION("""COMPUTED_VALUE"""),"Unknown")</f>
        <v>Unknown</v>
      </c>
      <c r="P1180" s="1" t="str">
        <f>IFERROR(__xludf.DUMMYFUNCTION("""COMPUTED_VALUE"""),"")</f>
        <v/>
      </c>
      <c r="Q1180" s="1" t="str">
        <f>IFERROR(__xludf.DUMMYFUNCTION("""COMPUTED_VALUE"""),"")</f>
        <v/>
      </c>
      <c r="R1180" s="1" t="str">
        <f>IFERROR(__xludf.DUMMYFUNCTION("""COMPUTED_VALUE"""),"")</f>
        <v/>
      </c>
      <c r="S1180" s="1" t="str">
        <f>IFERROR(__xludf.DUMMYFUNCTION("""COMPUTED_VALUE"""),"")</f>
        <v/>
      </c>
      <c r="T1180" s="1" t="str">
        <f>IFERROR(__xludf.DUMMYFUNCTION("""COMPUTED_VALUE"""),"")</f>
        <v/>
      </c>
      <c r="U1180" s="1" t="str">
        <f>IFERROR(__xludf.DUMMYFUNCTION("""COMPUTED_VALUE"""),"")</f>
        <v/>
      </c>
      <c r="V1180" s="1" t="str">
        <f>IFERROR(__xludf.DUMMYFUNCTION("""COMPUTED_VALUE"""),"723,779")</f>
        <v>723,779</v>
      </c>
      <c r="W1180" s="1" t="str">
        <f>IFERROR(__xludf.DUMMYFUNCTION("""COMPUTED_VALUE"""),"106")</f>
        <v>106</v>
      </c>
      <c r="X1180" s="1" t="str">
        <f>IFERROR(__xludf.DUMMYFUNCTION("""COMPUTED_VALUE"""),"")</f>
        <v/>
      </c>
      <c r="Y1180" s="1" t="str">
        <f>IFERROR(__xludf.DUMMYFUNCTION("""COMPUTED_VALUE"""),"")</f>
        <v/>
      </c>
      <c r="Z1180" s="1" t="str">
        <f>IFERROR(__xludf.DUMMYFUNCTION("""COMPUTED_VALUE"""),"Unknown")</f>
        <v>Unknown</v>
      </c>
      <c r="AA1180" s="1" t="str">
        <f>IFERROR(__xludf.DUMMYFUNCTION("""COMPUTED_VALUE"""),"")</f>
        <v/>
      </c>
      <c r="AB1180" s="1" t="str">
        <f>IFERROR(__xludf.DUMMYFUNCTION("""COMPUTED_VALUE"""),"")</f>
        <v/>
      </c>
      <c r="AC1180" s="1" t="str">
        <f>IFERROR(__xludf.DUMMYFUNCTION("""COMPUTED_VALUE"""),"")</f>
        <v/>
      </c>
      <c r="AD1180" s="1" t="str">
        <f>IFERROR(__xludf.DUMMYFUNCTION("""COMPUTED_VALUE"""),"")</f>
        <v/>
      </c>
      <c r="AE1180" s="1" t="str">
        <f>IFERROR(__xludf.DUMMYFUNCTION("""COMPUTED_VALUE"""),"")</f>
        <v/>
      </c>
      <c r="AF1180" s="1" t="str">
        <f>IFERROR(__xludf.DUMMYFUNCTION("""COMPUTED_VALUE"""),"")</f>
        <v/>
      </c>
      <c r="AG1180" s="1" t="str">
        <f>IFERROR(__xludf.DUMMYFUNCTION("""COMPUTED_VALUE"""),"Project covers more than one parcel, the acreage represents the combined acreage")</f>
        <v>Project covers more than one parcel, the acreage represents the combined acreage</v>
      </c>
      <c r="AH1180" s="1" t="str">
        <f>IFERROR(__xludf.DUMMYFUNCTION("""COMPUTED_VALUE"""),"PEC")</f>
        <v>PEC</v>
      </c>
      <c r="AI1180" s="2" t="str">
        <f>IFERROR(__xludf.DUMMYFUNCTION("""COMPUTED_VALUE"""),"https://loudouncountyvaeg.tylerhost.net/prod/selfservice#/plan/BD994C24-2C84-49FF-8D7B-B619C548E517?tab=attachments")</f>
        <v>https://loudouncountyvaeg.tylerhost.net/prod/selfservice#/plan/BD994C24-2C84-49FF-8D7B-B619C548E517?tab=attachments</v>
      </c>
      <c r="AJ1180" s="2" t="str">
        <f>IFERROR(__xludf.DUMMYFUNCTION("""COMPUTED_VALUE"""),"https://reparcelasmt.loudoun.gov/pt/Datalets/Datalet.aspx?UseSearch=no&amp;mode=profileall&amp;pin=089309997000&amp;jur=107&amp;taxyr=2024")</f>
        <v>https://reparcelasmt.loudoun.gov/pt/Datalets/Datalet.aspx?UseSearch=no&amp;mode=profileall&amp;pin=089309997000&amp;jur=107&amp;taxyr=2024</v>
      </c>
      <c r="AK1180" s="1" t="str">
        <f>IFERROR(__xludf.DUMMYFUNCTION("""COMPUTED_VALUE"""),"")</f>
        <v/>
      </c>
      <c r="AL1180" s="1" t="str">
        <f>IFERROR(__xludf.DUMMYFUNCTION("""COMPUTED_VALUE"""),"")</f>
        <v/>
      </c>
      <c r="AM1180" s="1" t="str">
        <f>IFERROR(__xludf.DUMMYFUNCTION("""COMPUTED_VALUE"""),"")</f>
        <v/>
      </c>
      <c r="AN1180" s="1" t="str">
        <f>IFERROR(__xludf.DUMMYFUNCTION("""COMPUTED_VALUE"""),"")</f>
        <v/>
      </c>
      <c r="AO1180" s="1" t="str">
        <f>IFERROR(__xludf.DUMMYFUNCTION("""COMPUTED_VALUE"""),"")</f>
        <v/>
      </c>
      <c r="AP1180" s="1" t="str">
        <f>IFERROR(__xludf.DUMMYFUNCTION("""COMPUTED_VALUE"""),"")</f>
        <v/>
      </c>
      <c r="AQ1180" s="1" t="str">
        <f>IFERROR(__xludf.DUMMYFUNCTION("""COMPUTED_VALUE"""),"08/06/2025")</f>
        <v>08/06/2025</v>
      </c>
      <c r="AR1180" s="1" t="str">
        <f>IFERROR(__xludf.DUMMYFUNCTION("""COMPUTED_VALUE"""),"10/17/2025")</f>
        <v>10/17/2025</v>
      </c>
    </row>
    <row r="1181">
      <c r="A1181" s="1" t="str">
        <f>IFERROR(__xludf.DUMMYFUNCTION("""COMPUTED_VALUE"""),"Brambleton Business Campus Data Center")</f>
        <v>Brambleton Business Campus Data Center</v>
      </c>
      <c r="B1181" s="1" t="str">
        <f>IFERROR(__xludf.DUMMYFUNCTION("""COMPUTED_VALUE"""),"42842 ARCOLA BLVD")</f>
        <v>42842 ARCOLA BLVD</v>
      </c>
      <c r="C1181" s="1" t="str">
        <f>IFERROR(__xludf.DUMMYFUNCTION("""COMPUTED_VALUE"""),"ASHBURN")</f>
        <v>ASHBURN</v>
      </c>
      <c r="D1181" s="1" t="str">
        <f>IFERROR(__xludf.DUMMYFUNCTION("""COMPUTED_VALUE"""),"VA")</f>
        <v>VA</v>
      </c>
      <c r="E1181" s="1" t="str">
        <f>IFERROR(__xludf.DUMMYFUNCTION("""COMPUTED_VALUE"""),"20166")</f>
        <v>20166</v>
      </c>
      <c r="F1181" s="1" t="str">
        <f>IFERROR(__xludf.DUMMYFUNCTION("""COMPUTED_VALUE"""),"Loudoun")</f>
        <v>Loudoun</v>
      </c>
      <c r="G1181" s="1" t="str">
        <f>IFERROR(__xludf.DUMMYFUNCTION("""COMPUTED_VALUE"""),"38.95391")</f>
        <v>38.95391</v>
      </c>
      <c r="H1181" s="1" t="str">
        <f>IFERROR(__xludf.DUMMYFUNCTION("""COMPUTED_VALUE"""),"-77.51837")</f>
        <v>-77.51837</v>
      </c>
      <c r="I1181" s="1" t="str">
        <f>IFERROR(__xludf.DUMMYFUNCTION("""COMPUTED_VALUE"""),"Proposed")</f>
        <v>Proposed</v>
      </c>
      <c r="J1181" s="1" t="str">
        <f>IFERROR(__xludf.DUMMYFUNCTION("""COMPUTED_VALUE"""),"High")</f>
        <v>High</v>
      </c>
      <c r="K1181" s="1" t="str">
        <f>IFERROR(__xludf.DUMMYFUNCTION("""COMPUTED_VALUE"""),"")</f>
        <v/>
      </c>
      <c r="L1181" s="1" t="str">
        <f>IFERROR(__xludf.DUMMYFUNCTION("""COMPUTED_VALUE"""),"")</f>
        <v/>
      </c>
      <c r="M1181" s="1" t="str">
        <f>IFERROR(__xludf.DUMMYFUNCTION("""COMPUTED_VALUE"""),"")</f>
        <v/>
      </c>
      <c r="N1181" s="1" t="str">
        <f>IFERROR(__xludf.DUMMYFUNCTION("""COMPUTED_VALUE"""),"")</f>
        <v/>
      </c>
      <c r="O1181" s="1" t="str">
        <f>IFERROR(__xludf.DUMMYFUNCTION("""COMPUTED_VALUE"""),"Unknown")</f>
        <v>Unknown</v>
      </c>
      <c r="P1181" s="1" t="str">
        <f>IFERROR(__xludf.DUMMYFUNCTION("""COMPUTED_VALUE"""),"")</f>
        <v/>
      </c>
      <c r="Q1181" s="1" t="str">
        <f>IFERROR(__xludf.DUMMYFUNCTION("""COMPUTED_VALUE"""),"")</f>
        <v/>
      </c>
      <c r="R1181" s="1" t="str">
        <f>IFERROR(__xludf.DUMMYFUNCTION("""COMPUTED_VALUE"""),"")</f>
        <v/>
      </c>
      <c r="S1181" s="1" t="str">
        <f>IFERROR(__xludf.DUMMYFUNCTION("""COMPUTED_VALUE"""),"")</f>
        <v/>
      </c>
      <c r="T1181" s="1" t="str">
        <f>IFERROR(__xludf.DUMMYFUNCTION("""COMPUTED_VALUE"""),"")</f>
        <v/>
      </c>
      <c r="U1181" s="1" t="str">
        <f>IFERROR(__xludf.DUMMYFUNCTION("""COMPUTED_VALUE"""),"")</f>
        <v/>
      </c>
      <c r="V1181" s="1" t="str">
        <f>IFERROR(__xludf.DUMMYFUNCTION("""COMPUTED_VALUE"""),"936,191")</f>
        <v>936,191</v>
      </c>
      <c r="W1181" s="1" t="str">
        <f>IFERROR(__xludf.DUMMYFUNCTION("""COMPUTED_VALUE"""),"48")</f>
        <v>48</v>
      </c>
      <c r="X1181" s="1" t="str">
        <f>IFERROR(__xludf.DUMMYFUNCTION("""COMPUTED_VALUE"""),"")</f>
        <v/>
      </c>
      <c r="Y1181" s="1" t="str">
        <f>IFERROR(__xludf.DUMMYFUNCTION("""COMPUTED_VALUE"""),"")</f>
        <v/>
      </c>
      <c r="Z1181" s="1" t="str">
        <f>IFERROR(__xludf.DUMMYFUNCTION("""COMPUTED_VALUE"""),"Unknown")</f>
        <v>Unknown</v>
      </c>
      <c r="AA1181" s="1" t="str">
        <f>IFERROR(__xludf.DUMMYFUNCTION("""COMPUTED_VALUE"""),"")</f>
        <v/>
      </c>
      <c r="AB1181" s="1" t="str">
        <f>IFERROR(__xludf.DUMMYFUNCTION("""COMPUTED_VALUE"""),"")</f>
        <v/>
      </c>
      <c r="AC1181" s="1" t="str">
        <f>IFERROR(__xludf.DUMMYFUNCTION("""COMPUTED_VALUE"""),"")</f>
        <v/>
      </c>
      <c r="AD1181" s="1" t="str">
        <f>IFERROR(__xludf.DUMMYFUNCTION("""COMPUTED_VALUE"""),"")</f>
        <v/>
      </c>
      <c r="AE1181" s="1" t="str">
        <f>IFERROR(__xludf.DUMMYFUNCTION("""COMPUTED_VALUE"""),"")</f>
        <v/>
      </c>
      <c r="AF1181" s="1" t="str">
        <f>IFERROR(__xludf.DUMMYFUNCTION("""COMPUTED_VALUE"""),"")</f>
        <v/>
      </c>
      <c r="AG1181" s="1" t="str">
        <f>IFERROR(__xludf.DUMMYFUNCTION("""COMPUTED_VALUE"""),"Site includes a substation which may reduce the built square footage which comes from the 2015 proffers")</f>
        <v>Site includes a substation which may reduce the built square footage which comes from the 2015 proffers</v>
      </c>
      <c r="AH1181" s="1" t="str">
        <f>IFERROR(__xludf.DUMMYFUNCTION("""COMPUTED_VALUE"""),"PEC")</f>
        <v>PEC</v>
      </c>
      <c r="AI1181" s="2" t="str">
        <f>IFERROR(__xludf.DUMMYFUNCTION("""COMPUTED_VALUE"""),"https://loudouncountyvaeg.tylerhost.net/prod/selfservice#/plan/c34be238-7d4b-4f9b-9b80-152afd7a05d4?tab=locations")</f>
        <v>https://loudouncountyvaeg.tylerhost.net/prod/selfservice#/plan/c34be238-7d4b-4f9b-9b80-152afd7a05d4?tab=locations</v>
      </c>
      <c r="AJ1181" s="2" t="str">
        <f>IFERROR(__xludf.DUMMYFUNCTION("""COMPUTED_VALUE"""),"https://reparcelasmt.loudoun.gov/pt/Datalets/Datalet.aspx?UseSearch=no&amp;mode=profileall&amp;pin=161397058000&amp;jur=107&amp;taxyr=2025")</f>
        <v>https://reparcelasmt.loudoun.gov/pt/Datalets/Datalet.aspx?UseSearch=no&amp;mode=profileall&amp;pin=161397058000&amp;jur=107&amp;taxyr=2025</v>
      </c>
      <c r="AK1181" s="1" t="str">
        <f>IFERROR(__xludf.DUMMYFUNCTION("""COMPUTED_VALUE"""),"")</f>
        <v/>
      </c>
      <c r="AL1181" s="1" t="str">
        <f>IFERROR(__xludf.DUMMYFUNCTION("""COMPUTED_VALUE"""),"")</f>
        <v/>
      </c>
      <c r="AM1181" s="1" t="str">
        <f>IFERROR(__xludf.DUMMYFUNCTION("""COMPUTED_VALUE"""),"")</f>
        <v/>
      </c>
      <c r="AN1181" s="1" t="str">
        <f>IFERROR(__xludf.DUMMYFUNCTION("""COMPUTED_VALUE"""),"")</f>
        <v/>
      </c>
      <c r="AO1181" s="1" t="str">
        <f>IFERROR(__xludf.DUMMYFUNCTION("""COMPUTED_VALUE"""),"")</f>
        <v/>
      </c>
      <c r="AP1181" s="1" t="str">
        <f>IFERROR(__xludf.DUMMYFUNCTION("""COMPUTED_VALUE"""),"")</f>
        <v/>
      </c>
      <c r="AQ1181" s="1" t="str">
        <f>IFERROR(__xludf.DUMMYFUNCTION("""COMPUTED_VALUE"""),"08/06/2025")</f>
        <v>08/06/2025</v>
      </c>
      <c r="AR1181" s="1" t="str">
        <f>IFERROR(__xludf.DUMMYFUNCTION("""COMPUTED_VALUE"""),"10/17/2025")</f>
        <v>10/17/2025</v>
      </c>
    </row>
    <row r="1182">
      <c r="A1182" s="1" t="str">
        <f>IFERROR(__xludf.DUMMYFUNCTION("""COMPUTED_VALUE"""),"Hanover-Ashland Data Center")</f>
        <v>Hanover-Ashland Data Center</v>
      </c>
      <c r="B1182" s="1" t="str">
        <f>IFERROR(__xludf.DUMMYFUNCTION("""COMPUTED_VALUE"""),"13058 Mount Hermon Road")</f>
        <v>13058 Mount Hermon Road</v>
      </c>
      <c r="C1182" s="1" t="str">
        <f>IFERROR(__xludf.DUMMYFUNCTION("""COMPUTED_VALUE"""),"Ashland")</f>
        <v>Ashland</v>
      </c>
      <c r="D1182" s="1" t="str">
        <f>IFERROR(__xludf.DUMMYFUNCTION("""COMPUTED_VALUE"""),"VA")</f>
        <v>VA</v>
      </c>
      <c r="E1182" s="1" t="str">
        <f>IFERROR(__xludf.DUMMYFUNCTION("""COMPUTED_VALUE"""),"23005")</f>
        <v>23005</v>
      </c>
      <c r="F1182" s="1" t="str">
        <f>IFERROR(__xludf.DUMMYFUNCTION("""COMPUTED_VALUE"""),"Hanover")</f>
        <v>Hanover</v>
      </c>
      <c r="G1182" s="1" t="str">
        <f>IFERROR(__xludf.DUMMYFUNCTION("""COMPUTED_VALUE"""),"37.75563")</f>
        <v>37.75563</v>
      </c>
      <c r="H1182" s="1" t="str">
        <f>IFERROR(__xludf.DUMMYFUNCTION("""COMPUTED_VALUE"""),"-77.449936")</f>
        <v>-77.449936</v>
      </c>
      <c r="I1182" s="1" t="str">
        <f>IFERROR(__xludf.DUMMYFUNCTION("""COMPUTED_VALUE"""),"Proposed")</f>
        <v>Proposed</v>
      </c>
      <c r="J1182" s="1" t="str">
        <f>IFERROR(__xludf.DUMMYFUNCTION("""COMPUTED_VALUE"""),"High")</f>
        <v>High</v>
      </c>
      <c r="K1182" s="1" t="str">
        <f>IFERROR(__xludf.DUMMYFUNCTION("""COMPUTED_VALUE"""),"")</f>
        <v/>
      </c>
      <c r="L1182" s="1" t="str">
        <f>IFERROR(__xludf.DUMMYFUNCTION("""COMPUTED_VALUE"""),"Tradeport Ashland Land LLC")</f>
        <v>Tradeport Ashland Land LLC</v>
      </c>
      <c r="M1182" s="1" t="str">
        <f>IFERROR(__xludf.DUMMYFUNCTION("""COMPUTED_VALUE"""),"")</f>
        <v/>
      </c>
      <c r="N1182" s="1" t="str">
        <f>IFERROR(__xludf.DUMMYFUNCTION("""COMPUTED_VALUE"""),"")</f>
        <v/>
      </c>
      <c r="O1182" s="1" t="str">
        <f>IFERROR(__xludf.DUMMYFUNCTION("""COMPUTED_VALUE"""),"Unknown")</f>
        <v>Unknown</v>
      </c>
      <c r="P1182" s="1" t="str">
        <f>IFERROR(__xludf.DUMMYFUNCTION("""COMPUTED_VALUE"""),"")</f>
        <v/>
      </c>
      <c r="Q1182" s="1" t="str">
        <f>IFERROR(__xludf.DUMMYFUNCTION("""COMPUTED_VALUE"""),"")</f>
        <v/>
      </c>
      <c r="R1182" s="1" t="str">
        <f>IFERROR(__xludf.DUMMYFUNCTION("""COMPUTED_VALUE"""),"")</f>
        <v/>
      </c>
      <c r="S1182" s="1" t="str">
        <f>IFERROR(__xludf.DUMMYFUNCTION("""COMPUTED_VALUE"""),"")</f>
        <v/>
      </c>
      <c r="T1182" s="1" t="str">
        <f>IFERROR(__xludf.DUMMYFUNCTION("""COMPUTED_VALUE"""),"")</f>
        <v/>
      </c>
      <c r="U1182" s="1" t="str">
        <f>IFERROR(__xludf.DUMMYFUNCTION("""COMPUTED_VALUE"""),"")</f>
        <v/>
      </c>
      <c r="V1182" s="1" t="str">
        <f>IFERROR(__xludf.DUMMYFUNCTION("""COMPUTED_VALUE"""),"")</f>
        <v/>
      </c>
      <c r="W1182" s="1" t="str">
        <f>IFERROR(__xludf.DUMMYFUNCTION("""COMPUTED_VALUE"""),"78")</f>
        <v>78</v>
      </c>
      <c r="X1182" s="1" t="str">
        <f>IFERROR(__xludf.DUMMYFUNCTION("""COMPUTED_VALUE"""),"")</f>
        <v/>
      </c>
      <c r="Y1182" s="1" t="str">
        <f>IFERROR(__xludf.DUMMYFUNCTION("""COMPUTED_VALUE"""),"")</f>
        <v/>
      </c>
      <c r="Z1182" s="1" t="str">
        <f>IFERROR(__xludf.DUMMYFUNCTION("""COMPUTED_VALUE"""),"Unknown")</f>
        <v>Unknown</v>
      </c>
      <c r="AA1182" s="1" t="str">
        <f>IFERROR(__xludf.DUMMYFUNCTION("""COMPUTED_VALUE"""),"")</f>
        <v/>
      </c>
      <c r="AB1182" s="1" t="str">
        <f>IFERROR(__xludf.DUMMYFUNCTION("""COMPUTED_VALUE"""),"")</f>
        <v/>
      </c>
      <c r="AC1182" s="1" t="str">
        <f>IFERROR(__xludf.DUMMYFUNCTION("""COMPUTED_VALUE"""),"")</f>
        <v/>
      </c>
      <c r="AD1182" s="1" t="str">
        <f>IFERROR(__xludf.DUMMYFUNCTION("""COMPUTED_VALUE"""),"")</f>
        <v/>
      </c>
      <c r="AE1182" s="1" t="str">
        <f>IFERROR(__xludf.DUMMYFUNCTION("""COMPUTED_VALUE"""),"")</f>
        <v/>
      </c>
      <c r="AF1182" s="1" t="str">
        <f>IFERROR(__xludf.DUMMYFUNCTION("""COMPUTED_VALUE"""),"")</f>
        <v/>
      </c>
      <c r="AG1182" s="1" t="str">
        <f>IFERROR(__xludf.DUMMYFUNCTION("""COMPUTED_VALUE"""),"Pending county approval")</f>
        <v>Pending county approval</v>
      </c>
      <c r="AH1182" s="1" t="str">
        <f>IFERROR(__xludf.DUMMYFUNCTION("""COMPUTED_VALUE"""),"PEC")</f>
        <v>PEC</v>
      </c>
      <c r="AI1182" s="2" t="str">
        <f>IFERROR(__xludf.DUMMYFUNCTION("""COMPUTED_VALUE"""),"https://richmondbizsense.com/2024/10/22/data-center-project-on-hanover-ashland-line-gets-town-approval-awaits-county-consideration/")</f>
        <v>https://richmondbizsense.com/2024/10/22/data-center-project-on-hanover-ashland-line-gets-town-approval-awaits-county-consideration/</v>
      </c>
      <c r="AJ1182" s="2" t="str">
        <f>IFERROR(__xludf.DUMMYFUNCTION("""COMPUTED_VALUE"""),"https://parcelmap.hanovercounty.gov/#")</f>
        <v>https://parcelmap.hanovercounty.gov/#</v>
      </c>
      <c r="AK1182" s="1" t="str">
        <f>IFERROR(__xludf.DUMMYFUNCTION("""COMPUTED_VALUE"""),"")</f>
        <v/>
      </c>
      <c r="AL1182" s="1" t="str">
        <f>IFERROR(__xludf.DUMMYFUNCTION("""COMPUTED_VALUE"""),"")</f>
        <v/>
      </c>
      <c r="AM1182" s="1" t="str">
        <f>IFERROR(__xludf.DUMMYFUNCTION("""COMPUTED_VALUE"""),"")</f>
        <v/>
      </c>
      <c r="AN1182" s="1" t="str">
        <f>IFERROR(__xludf.DUMMYFUNCTION("""COMPUTED_VALUE"""),"")</f>
        <v/>
      </c>
      <c r="AO1182" s="1" t="str">
        <f>IFERROR(__xludf.DUMMYFUNCTION("""COMPUTED_VALUE"""),"")</f>
        <v/>
      </c>
      <c r="AP1182" s="1" t="str">
        <f>IFERROR(__xludf.DUMMYFUNCTION("""COMPUTED_VALUE"""),"")</f>
        <v/>
      </c>
      <c r="AQ1182" s="1" t="str">
        <f>IFERROR(__xludf.DUMMYFUNCTION("""COMPUTED_VALUE"""),"10/23/2024")</f>
        <v>10/23/2024</v>
      </c>
      <c r="AR1182" s="1" t="str">
        <f>IFERROR(__xludf.DUMMYFUNCTION("""COMPUTED_VALUE"""),"10/17/2025")</f>
        <v>10/17/2025</v>
      </c>
    </row>
    <row r="1183">
      <c r="A1183" s="1" t="str">
        <f>IFERROR(__xludf.DUMMYFUNCTION("""COMPUTED_VALUE"""),"Ironhorse East Ashland")</f>
        <v>Ironhorse East Ashland</v>
      </c>
      <c r="B1183" s="1" t="str">
        <f>IFERROR(__xludf.DUMMYFUNCTION("""COMPUTED_VALUE"""),"10171 East Patrick Henry Road")</f>
        <v>10171 East Patrick Henry Road</v>
      </c>
      <c r="C1183" s="1" t="str">
        <f>IFERROR(__xludf.DUMMYFUNCTION("""COMPUTED_VALUE"""),"Ashland")</f>
        <v>Ashland</v>
      </c>
      <c r="D1183" s="1" t="str">
        <f>IFERROR(__xludf.DUMMYFUNCTION("""COMPUTED_VALUE"""),"VA")</f>
        <v>VA</v>
      </c>
      <c r="E1183" s="1" t="str">
        <f>IFERROR(__xludf.DUMMYFUNCTION("""COMPUTED_VALUE"""),"23005")</f>
        <v>23005</v>
      </c>
      <c r="F1183" s="1" t="str">
        <f>IFERROR(__xludf.DUMMYFUNCTION("""COMPUTED_VALUE"""),"Hanover")</f>
        <v>Hanover</v>
      </c>
      <c r="G1183" s="1" t="str">
        <f>IFERROR(__xludf.DUMMYFUNCTION("""COMPUTED_VALUE"""),"37.759018")</f>
        <v>37.759018</v>
      </c>
      <c r="H1183" s="1" t="str">
        <f>IFERROR(__xludf.DUMMYFUNCTION("""COMPUTED_VALUE"""),"-77.4508")</f>
        <v>-77.4508</v>
      </c>
      <c r="I1183" s="1" t="str">
        <f>IFERROR(__xludf.DUMMYFUNCTION("""COMPUTED_VALUE"""),"Proposed")</f>
        <v>Proposed</v>
      </c>
      <c r="J1183" s="1" t="str">
        <f>IFERROR(__xludf.DUMMYFUNCTION("""COMPUTED_VALUE"""),"High")</f>
        <v>High</v>
      </c>
      <c r="K1183" s="1" t="str">
        <f>IFERROR(__xludf.DUMMYFUNCTION("""COMPUTED_VALUE"""),"")</f>
        <v/>
      </c>
      <c r="L1183" s="1" t="str">
        <f>IFERROR(__xludf.DUMMYFUNCTION("""COMPUTED_VALUE"""),"Harris and Douglass Properties, LLC")</f>
        <v>Harris and Douglass Properties, LLC</v>
      </c>
      <c r="M1183" s="1" t="str">
        <f>IFERROR(__xludf.DUMMYFUNCTION("""COMPUTED_VALUE"""),"")</f>
        <v/>
      </c>
      <c r="N1183" s="1" t="str">
        <f>IFERROR(__xludf.DUMMYFUNCTION("""COMPUTED_VALUE"""),"")</f>
        <v/>
      </c>
      <c r="O1183" s="1" t="str">
        <f>IFERROR(__xludf.DUMMYFUNCTION("""COMPUTED_VALUE"""),"Unknown")</f>
        <v>Unknown</v>
      </c>
      <c r="P1183" s="1" t="str">
        <f>IFERROR(__xludf.DUMMYFUNCTION("""COMPUTED_VALUE"""),"")</f>
        <v/>
      </c>
      <c r="Q1183" s="1" t="str">
        <f>IFERROR(__xludf.DUMMYFUNCTION("""COMPUTED_VALUE"""),"")</f>
        <v/>
      </c>
      <c r="R1183" s="1" t="str">
        <f>IFERROR(__xludf.DUMMYFUNCTION("""COMPUTED_VALUE"""),"")</f>
        <v/>
      </c>
      <c r="S1183" s="1" t="str">
        <f>IFERROR(__xludf.DUMMYFUNCTION("""COMPUTED_VALUE"""),"")</f>
        <v/>
      </c>
      <c r="T1183" s="1" t="str">
        <f>IFERROR(__xludf.DUMMYFUNCTION("""COMPUTED_VALUE"""),"")</f>
        <v/>
      </c>
      <c r="U1183" s="1" t="str">
        <f>IFERROR(__xludf.DUMMYFUNCTION("""COMPUTED_VALUE"""),"")</f>
        <v/>
      </c>
      <c r="V1183" s="1" t="str">
        <f>IFERROR(__xludf.DUMMYFUNCTION("""COMPUTED_VALUE"""),"3,300,000")</f>
        <v>3,300,000</v>
      </c>
      <c r="W1183" s="1" t="str">
        <f>IFERROR(__xludf.DUMMYFUNCTION("""COMPUTED_VALUE"""),"234")</f>
        <v>234</v>
      </c>
      <c r="X1183" s="1" t="str">
        <f>IFERROR(__xludf.DUMMYFUNCTION("""COMPUTED_VALUE"""),"")</f>
        <v/>
      </c>
      <c r="Y1183" s="1" t="str">
        <f>IFERROR(__xludf.DUMMYFUNCTION("""COMPUTED_VALUE"""),"")</f>
        <v/>
      </c>
      <c r="Z1183" s="1" t="str">
        <f>IFERROR(__xludf.DUMMYFUNCTION("""COMPUTED_VALUE"""),"Unknown")</f>
        <v>Unknown</v>
      </c>
      <c r="AA1183" s="1" t="str">
        <f>IFERROR(__xludf.DUMMYFUNCTION("""COMPUTED_VALUE"""),"")</f>
        <v/>
      </c>
      <c r="AB1183" s="1" t="str">
        <f>IFERROR(__xludf.DUMMYFUNCTION("""COMPUTED_VALUE"""),"")</f>
        <v/>
      </c>
      <c r="AC1183" s="1" t="str">
        <f>IFERROR(__xludf.DUMMYFUNCTION("""COMPUTED_VALUE"""),"")</f>
        <v/>
      </c>
      <c r="AD1183" s="1" t="str">
        <f>IFERROR(__xludf.DUMMYFUNCTION("""COMPUTED_VALUE"""),"")</f>
        <v/>
      </c>
      <c r="AE1183" s="1" t="str">
        <f>IFERROR(__xludf.DUMMYFUNCTION("""COMPUTED_VALUE"""),"")</f>
        <v/>
      </c>
      <c r="AF1183" s="1" t="str">
        <f>IFERROR(__xludf.DUMMYFUNCTION("""COMPUTED_VALUE"""),"")</f>
        <v/>
      </c>
      <c r="AG1183" s="1" t="str">
        <f>IFERROR(__xludf.DUMMYFUNCTION("""COMPUTED_VALUE"""),"several parcels on one business park; combined acreage")</f>
        <v>several parcels on one business park; combined acreage</v>
      </c>
      <c r="AH1183" s="1" t="str">
        <f>IFERROR(__xludf.DUMMYFUNCTION("""COMPUTED_VALUE"""),"PEC")</f>
        <v>PEC</v>
      </c>
      <c r="AI1183" s="2" t="str">
        <f>IFERROR(__xludf.DUMMYFUNCTION("""COMPUTED_VALUE"""),"https://www.hanovercounty.gov/1270/Ironhorse-East-Ashland")</f>
        <v>https://www.hanovercounty.gov/1270/Ironhorse-East-Ashland</v>
      </c>
      <c r="AJ1183" s="2" t="str">
        <f>IFERROR(__xludf.DUMMYFUNCTION("""COMPUTED_VALUE"""),"https://www.hanovercounty.gov/DocumentCenter/View/10884/REZ2022-00008-v")</f>
        <v>https://www.hanovercounty.gov/DocumentCenter/View/10884/REZ2022-00008-v</v>
      </c>
      <c r="AK1183" s="1" t="str">
        <f>IFERROR(__xludf.DUMMYFUNCTION("""COMPUTED_VALUE"""),"")</f>
        <v/>
      </c>
      <c r="AL1183" s="1" t="str">
        <f>IFERROR(__xludf.DUMMYFUNCTION("""COMPUTED_VALUE"""),"")</f>
        <v/>
      </c>
      <c r="AM1183" s="1" t="str">
        <f>IFERROR(__xludf.DUMMYFUNCTION("""COMPUTED_VALUE"""),"")</f>
        <v/>
      </c>
      <c r="AN1183" s="1" t="str">
        <f>IFERROR(__xludf.DUMMYFUNCTION("""COMPUTED_VALUE"""),"")</f>
        <v/>
      </c>
      <c r="AO1183" s="1" t="str">
        <f>IFERROR(__xludf.DUMMYFUNCTION("""COMPUTED_VALUE"""),"")</f>
        <v/>
      </c>
      <c r="AP1183" s="1" t="str">
        <f>IFERROR(__xludf.DUMMYFUNCTION("""COMPUTED_VALUE"""),"")</f>
        <v/>
      </c>
      <c r="AQ1183" s="1" t="str">
        <f>IFERROR(__xludf.DUMMYFUNCTION("""COMPUTED_VALUE"""),"08/08/2024")</f>
        <v>08/08/2024</v>
      </c>
      <c r="AR1183" s="1" t="str">
        <f>IFERROR(__xludf.DUMMYFUNCTION("""COMPUTED_VALUE"""),"10/17/2025")</f>
        <v>10/17/2025</v>
      </c>
    </row>
    <row r="1184">
      <c r="A1184" s="1" t="str">
        <f>IFERROR(__xludf.DUMMYFUNCTION("""COMPUTED_VALUE""")," LS Power ")</f>
        <v> LS Power </v>
      </c>
      <c r="B1184" s="1" t="str">
        <f>IFERROR(__xludf.DUMMYFUNCTION("""COMPUTED_VALUE"""),"10165 Old Ridge Rd")</f>
        <v>10165 Old Ridge Rd</v>
      </c>
      <c r="C1184" s="1" t="str">
        <f>IFERROR(__xludf.DUMMYFUNCTION("""COMPUTED_VALUE"""),"Ashland")</f>
        <v>Ashland</v>
      </c>
      <c r="D1184" s="1" t="str">
        <f>IFERROR(__xludf.DUMMYFUNCTION("""COMPUTED_VALUE"""),"VA")</f>
        <v>VA</v>
      </c>
      <c r="E1184" s="1" t="str">
        <f>IFERROR(__xludf.DUMMYFUNCTION("""COMPUTED_VALUE"""),"23005")</f>
        <v>23005</v>
      </c>
      <c r="F1184" s="1" t="str">
        <f>IFERROR(__xludf.DUMMYFUNCTION("""COMPUTED_VALUE"""),"Hanover")</f>
        <v>Hanover</v>
      </c>
      <c r="G1184" s="1" t="str">
        <f>IFERROR(__xludf.DUMMYFUNCTION("""COMPUTED_VALUE"""),"37.810474")</f>
        <v>37.810474</v>
      </c>
      <c r="H1184" s="1" t="str">
        <f>IFERROR(__xludf.DUMMYFUNCTION("""COMPUTED_VALUE"""),"-77.4485")</f>
        <v>-77.4485</v>
      </c>
      <c r="I1184" s="1" t="str">
        <f>IFERROR(__xludf.DUMMYFUNCTION("""COMPUTED_VALUE"""),"Proposed")</f>
        <v>Proposed</v>
      </c>
      <c r="J1184" s="1" t="str">
        <f>IFERROR(__xludf.DUMMYFUNCTION("""COMPUTED_VALUE"""),"High")</f>
        <v>High</v>
      </c>
      <c r="K1184" s="1" t="str">
        <f>IFERROR(__xludf.DUMMYFUNCTION("""COMPUTED_VALUE"""),"")</f>
        <v/>
      </c>
      <c r="L1184" s="1" t="str">
        <f>IFERROR(__xludf.DUMMYFUNCTION("""COMPUTED_VALUE"""),"")</f>
        <v/>
      </c>
      <c r="M1184" s="1" t="str">
        <f>IFERROR(__xludf.DUMMYFUNCTION("""COMPUTED_VALUE"""),"")</f>
        <v/>
      </c>
      <c r="N1184" s="1" t="str">
        <f>IFERROR(__xludf.DUMMYFUNCTION("""COMPUTED_VALUE"""),"")</f>
        <v/>
      </c>
      <c r="O1184" s="1" t="str">
        <f>IFERROR(__xludf.DUMMYFUNCTION("""COMPUTED_VALUE"""),"Unknown")</f>
        <v>Unknown</v>
      </c>
      <c r="P1184" s="1" t="str">
        <f>IFERROR(__xludf.DUMMYFUNCTION("""COMPUTED_VALUE"""),"Natural gas")</f>
        <v>Natural gas</v>
      </c>
      <c r="Q1184" s="1" t="str">
        <f>IFERROR(__xludf.DUMMYFUNCTION("""COMPUTED_VALUE"""),"")</f>
        <v/>
      </c>
      <c r="R1184" s="1" t="str">
        <f>IFERROR(__xludf.DUMMYFUNCTION("""COMPUTED_VALUE"""),"")</f>
        <v/>
      </c>
      <c r="S1184" s="1" t="str">
        <f>IFERROR(__xludf.DUMMYFUNCTION("""COMPUTED_VALUE"""),"")</f>
        <v/>
      </c>
      <c r="T1184" s="1" t="str">
        <f>IFERROR(__xludf.DUMMYFUNCTION("""COMPUTED_VALUE"""),"")</f>
        <v/>
      </c>
      <c r="U1184" s="1" t="str">
        <f>IFERROR(__xludf.DUMMYFUNCTION("""COMPUTED_VALUE"""),"")</f>
        <v/>
      </c>
      <c r="V1184" s="1" t="str">
        <f>IFERROR(__xludf.DUMMYFUNCTION("""COMPUTED_VALUE"""),"")</f>
        <v/>
      </c>
      <c r="W1184" s="1" t="str">
        <f>IFERROR(__xludf.DUMMYFUNCTION("""COMPUTED_VALUE"""),"205")</f>
        <v>205</v>
      </c>
      <c r="X1184" s="1" t="str">
        <f>IFERROR(__xludf.DUMMYFUNCTION("""COMPUTED_VALUE"""),"")</f>
        <v/>
      </c>
      <c r="Y1184" s="1" t="str">
        <f>IFERROR(__xludf.DUMMYFUNCTION("""COMPUTED_VALUE"""),"")</f>
        <v/>
      </c>
      <c r="Z1184" s="1" t="str">
        <f>IFERROR(__xludf.DUMMYFUNCTION("""COMPUTED_VALUE"""),"Unknown")</f>
        <v>Unknown</v>
      </c>
      <c r="AA1184" s="1" t="str">
        <f>IFERROR(__xludf.DUMMYFUNCTION("""COMPUTED_VALUE"""),"")</f>
        <v/>
      </c>
      <c r="AB1184" s="1" t="str">
        <f>IFERROR(__xludf.DUMMYFUNCTION("""COMPUTED_VALUE"""),"")</f>
        <v/>
      </c>
      <c r="AC1184" s="1" t="str">
        <f>IFERROR(__xludf.DUMMYFUNCTION("""COMPUTED_VALUE"""),"")</f>
        <v/>
      </c>
      <c r="AD1184" s="1" t="str">
        <f>IFERROR(__xludf.DUMMYFUNCTION("""COMPUTED_VALUE"""),"")</f>
        <v/>
      </c>
      <c r="AE1184" s="1" t="str">
        <f>IFERROR(__xludf.DUMMYFUNCTION("""COMPUTED_VALUE"""),"")</f>
        <v/>
      </c>
      <c r="AF1184" s="1" t="str">
        <f>IFERROR(__xludf.DUMMYFUNCTION("""COMPUTED_VALUE"""),"")</f>
        <v/>
      </c>
      <c r="AG1184" s="1" t="str">
        <f>IFERROR(__xludf.DUMMYFUNCTION("""COMPUTED_VALUE"""),"Behind the meter at gas plant")</f>
        <v>Behind the meter at gas plant</v>
      </c>
      <c r="AH1184" s="1" t="str">
        <f>IFERROR(__xludf.DUMMYFUNCTION("""COMPUTED_VALUE"""),"Media Monitoring")</f>
        <v>Media Monitoring</v>
      </c>
      <c r="AI1184" s="2" t="str">
        <f>IFERROR(__xludf.DUMMYFUNCTION("""COMPUTED_VALUE"""),"https://www.datacenterdynamics.com/en/news/behind-the-meter-data-center-proposed-outside-richmond-virginia/")</f>
        <v>https://www.datacenterdynamics.com/en/news/behind-the-meter-data-center-proposed-outside-richmond-virginia/</v>
      </c>
      <c r="AJ1184" s="1" t="str">
        <f>IFERROR(__xludf.DUMMYFUNCTION("""COMPUTED_VALUE"""),"")</f>
        <v/>
      </c>
      <c r="AK1184" s="1" t="str">
        <f>IFERROR(__xludf.DUMMYFUNCTION("""COMPUTED_VALUE"""),"")</f>
        <v/>
      </c>
      <c r="AL1184" s="1" t="str">
        <f>IFERROR(__xludf.DUMMYFUNCTION("""COMPUTED_VALUE"""),"")</f>
        <v/>
      </c>
      <c r="AM1184" s="1" t="str">
        <f>IFERROR(__xludf.DUMMYFUNCTION("""COMPUTED_VALUE"""),"")</f>
        <v/>
      </c>
      <c r="AN1184" s="1" t="str">
        <f>IFERROR(__xludf.DUMMYFUNCTION("""COMPUTED_VALUE"""),"")</f>
        <v/>
      </c>
      <c r="AO1184" s="1" t="str">
        <f>IFERROR(__xludf.DUMMYFUNCTION("""COMPUTED_VALUE"""),"")</f>
        <v/>
      </c>
      <c r="AP1184" s="1" t="str">
        <f>IFERROR(__xludf.DUMMYFUNCTION("""COMPUTED_VALUE"""),"")</f>
        <v/>
      </c>
      <c r="AQ1184" s="1" t="str">
        <f>IFERROR(__xludf.DUMMYFUNCTION("""COMPUTED_VALUE"""),"03/19/2026")</f>
        <v>03/19/2026</v>
      </c>
      <c r="AR1184" s="1" t="str">
        <f>IFERROR(__xludf.DUMMYFUNCTION("""COMPUTED_VALUE"""),"03/19/2026")</f>
        <v>03/19/2026</v>
      </c>
    </row>
    <row r="1185">
      <c r="A1185" s="1" t="str">
        <f>IFERROR(__xludf.DUMMYFUNCTION("""COMPUTED_VALUE"""),"Pixel Factory")</f>
        <v>Pixel Factory</v>
      </c>
      <c r="B1185" s="1" t="str">
        <f>IFERROR(__xludf.DUMMYFUNCTION("""COMPUTED_VALUE"""),"9680 ATLEE COMMONS DRIVE")</f>
        <v>9680 ATLEE COMMONS DRIVE</v>
      </c>
      <c r="C1185" s="1" t="str">
        <f>IFERROR(__xludf.DUMMYFUNCTION("""COMPUTED_VALUE"""),"Ashland")</f>
        <v>Ashland</v>
      </c>
      <c r="D1185" s="1" t="str">
        <f>IFERROR(__xludf.DUMMYFUNCTION("""COMPUTED_VALUE"""),"VA")</f>
        <v>VA</v>
      </c>
      <c r="E1185" s="1" t="str">
        <f>IFERROR(__xludf.DUMMYFUNCTION("""COMPUTED_VALUE"""),"23005")</f>
        <v>23005</v>
      </c>
      <c r="F1185" s="1" t="str">
        <f>IFERROR(__xludf.DUMMYFUNCTION("""COMPUTED_VALUE"""),"Hanover")</f>
        <v>Hanover</v>
      </c>
      <c r="G1185" s="1" t="str">
        <f>IFERROR(__xludf.DUMMYFUNCTION("""COMPUTED_VALUE"""),"37.69901")</f>
        <v>37.69901</v>
      </c>
      <c r="H1185" s="1" t="str">
        <f>IFERROR(__xludf.DUMMYFUNCTION("""COMPUTED_VALUE"""),"-77.43627")</f>
        <v>-77.43627</v>
      </c>
      <c r="I1185" s="1" t="str">
        <f>IFERROR(__xludf.DUMMYFUNCTION("""COMPUTED_VALUE"""),"Operating")</f>
        <v>Operating</v>
      </c>
      <c r="J1185" s="1" t="str">
        <f>IFERROR(__xludf.DUMMYFUNCTION("""COMPUTED_VALUE"""),"High")</f>
        <v>High</v>
      </c>
      <c r="K1185" s="1" t="str">
        <f>IFERROR(__xludf.DUMMYFUNCTION("""COMPUTED_VALUE"""),"")</f>
        <v/>
      </c>
      <c r="L1185" s="1" t="str">
        <f>IFERROR(__xludf.DUMMYFUNCTION("""COMPUTED_VALUE"""),"PIXEL FACTORY DEVELOPMENT LLC")</f>
        <v>PIXEL FACTORY DEVELOPMENT LLC</v>
      </c>
      <c r="M1185" s="1" t="str">
        <f>IFERROR(__xludf.DUMMYFUNCTION("""COMPUTED_VALUE"""),"")</f>
        <v/>
      </c>
      <c r="N1185" s="1" t="str">
        <f>IFERROR(__xludf.DUMMYFUNCTION("""COMPUTED_VALUE"""),"")</f>
        <v/>
      </c>
      <c r="O1185" s="1" t="str">
        <f>IFERROR(__xludf.DUMMYFUNCTION("""COMPUTED_VALUE"""),"Unknown")</f>
        <v>Unknown</v>
      </c>
      <c r="P1185" s="1" t="str">
        <f>IFERROR(__xludf.DUMMYFUNCTION("""COMPUTED_VALUE"""),"")</f>
        <v/>
      </c>
      <c r="Q1185" s="1" t="str">
        <f>IFERROR(__xludf.DUMMYFUNCTION("""COMPUTED_VALUE"""),"")</f>
        <v/>
      </c>
      <c r="R1185" s="1" t="str">
        <f>IFERROR(__xludf.DUMMYFUNCTION("""COMPUTED_VALUE"""),"")</f>
        <v/>
      </c>
      <c r="S1185" s="1" t="str">
        <f>IFERROR(__xludf.DUMMYFUNCTION("""COMPUTED_VALUE"""),"")</f>
        <v/>
      </c>
      <c r="T1185" s="1" t="str">
        <f>IFERROR(__xludf.DUMMYFUNCTION("""COMPUTED_VALUE"""),"")</f>
        <v/>
      </c>
      <c r="U1185" s="1" t="str">
        <f>IFERROR(__xludf.DUMMYFUNCTION("""COMPUTED_VALUE"""),"")</f>
        <v/>
      </c>
      <c r="V1185" s="1" t="str">
        <f>IFERROR(__xludf.DUMMYFUNCTION("""COMPUTED_VALUE"""),"6,000")</f>
        <v>6,000</v>
      </c>
      <c r="W1185" s="1" t="str">
        <f>IFERROR(__xludf.DUMMYFUNCTION("""COMPUTED_VALUE"""),"1")</f>
        <v>1</v>
      </c>
      <c r="X1185" s="1" t="str">
        <f>IFERROR(__xludf.DUMMYFUNCTION("""COMPUTED_VALUE"""),"")</f>
        <v/>
      </c>
      <c r="Y1185" s="1" t="str">
        <f>IFERROR(__xludf.DUMMYFUNCTION("""COMPUTED_VALUE"""),"")</f>
        <v/>
      </c>
      <c r="Z1185" s="1" t="str">
        <f>IFERROR(__xludf.DUMMYFUNCTION("""COMPUTED_VALUE"""),"Unknown")</f>
        <v>Unknown</v>
      </c>
      <c r="AA1185" s="1" t="str">
        <f>IFERROR(__xludf.DUMMYFUNCTION("""COMPUTED_VALUE"""),"")</f>
        <v/>
      </c>
      <c r="AB1185" s="1" t="str">
        <f>IFERROR(__xludf.DUMMYFUNCTION("""COMPUTED_VALUE"""),"")</f>
        <v/>
      </c>
      <c r="AC1185" s="1" t="str">
        <f>IFERROR(__xludf.DUMMYFUNCTION("""COMPUTED_VALUE"""),"")</f>
        <v/>
      </c>
      <c r="AD1185" s="1" t="str">
        <f>IFERROR(__xludf.DUMMYFUNCTION("""COMPUTED_VALUE"""),"")</f>
        <v/>
      </c>
      <c r="AE1185" s="1" t="str">
        <f>IFERROR(__xludf.DUMMYFUNCTION("""COMPUTED_VALUE"""),"")</f>
        <v/>
      </c>
      <c r="AF1185" s="1" t="str">
        <f>IFERROR(__xludf.DUMMYFUNCTION("""COMPUTED_VALUE"""),"")</f>
        <v/>
      </c>
      <c r="AG1185" s="1" t="str">
        <f>IFERROR(__xludf.DUMMYFUNCTION("""COMPUTED_VALUE"""),"")</f>
        <v/>
      </c>
      <c r="AH1185" s="1" t="str">
        <f>IFERROR(__xludf.DUMMYFUNCTION("""COMPUTED_VALUE"""),"PEC")</f>
        <v>PEC</v>
      </c>
      <c r="AI1185" s="2" t="str">
        <f>IFERROR(__xludf.DUMMYFUNCTION("""COMPUTED_VALUE"""),"https://parcelmap.hanovercounty.gov/")</f>
        <v>https://parcelmap.hanovercounty.gov/</v>
      </c>
      <c r="AJ1185" s="1" t="str">
        <f>IFERROR(__xludf.DUMMYFUNCTION("""COMPUTED_VALUE"""),"")</f>
        <v/>
      </c>
      <c r="AK1185" s="1" t="str">
        <f>IFERROR(__xludf.DUMMYFUNCTION("""COMPUTED_VALUE"""),"")</f>
        <v/>
      </c>
      <c r="AL1185" s="1" t="str">
        <f>IFERROR(__xludf.DUMMYFUNCTION("""COMPUTED_VALUE"""),"")</f>
        <v/>
      </c>
      <c r="AM1185" s="1" t="str">
        <f>IFERROR(__xludf.DUMMYFUNCTION("""COMPUTED_VALUE"""),"")</f>
        <v/>
      </c>
      <c r="AN1185" s="1" t="str">
        <f>IFERROR(__xludf.DUMMYFUNCTION("""COMPUTED_VALUE"""),"")</f>
        <v/>
      </c>
      <c r="AO1185" s="1" t="str">
        <f>IFERROR(__xludf.DUMMYFUNCTION("""COMPUTED_VALUE"""),"")</f>
        <v/>
      </c>
      <c r="AP1185" s="1" t="str">
        <f>IFERROR(__xludf.DUMMYFUNCTION("""COMPUTED_VALUE"""),"")</f>
        <v/>
      </c>
      <c r="AQ1185" s="1" t="str">
        <f>IFERROR(__xludf.DUMMYFUNCTION("""COMPUTED_VALUE"""),"04/10/2024")</f>
        <v>04/10/2024</v>
      </c>
      <c r="AR1185" s="1" t="str">
        <f>IFERROR(__xludf.DUMMYFUNCTION("""COMPUTED_VALUE"""),"10/17/2025")</f>
        <v>10/17/2025</v>
      </c>
    </row>
    <row r="1186">
      <c r="A1186" s="1" t="str">
        <f>IFERROR(__xludf.DUMMYFUNCTION("""COMPUTED_VALUE"""),"Tract Technology Campus")</f>
        <v>Tract Technology Campus</v>
      </c>
      <c r="B1186" s="1" t="str">
        <f>IFERROR(__xludf.DUMMYFUNCTION("""COMPUTED_VALUE"""),"Hickory Hill Rd")</f>
        <v>Hickory Hill Rd</v>
      </c>
      <c r="C1186" s="1" t="str">
        <f>IFERROR(__xludf.DUMMYFUNCTION("""COMPUTED_VALUE"""),"Ashland")</f>
        <v>Ashland</v>
      </c>
      <c r="D1186" s="1" t="str">
        <f>IFERROR(__xludf.DUMMYFUNCTION("""COMPUTED_VALUE"""),"VA")</f>
        <v>VA</v>
      </c>
      <c r="E1186" s="1" t="str">
        <f>IFERROR(__xludf.DUMMYFUNCTION("""COMPUTED_VALUE"""),"")</f>
        <v/>
      </c>
      <c r="F1186" s="1" t="str">
        <f>IFERROR(__xludf.DUMMYFUNCTION("""COMPUTED_VALUE"""),"Hanover")</f>
        <v>Hanover</v>
      </c>
      <c r="G1186" s="1" t="str">
        <f>IFERROR(__xludf.DUMMYFUNCTION("""COMPUTED_VALUE"""),"37.786198")</f>
        <v>37.786198</v>
      </c>
      <c r="H1186" s="1" t="str">
        <f>IFERROR(__xludf.DUMMYFUNCTION("""COMPUTED_VALUE"""),"-77.4404")</f>
        <v>-77.4404</v>
      </c>
      <c r="I1186" s="1" t="str">
        <f>IFERROR(__xludf.DUMMYFUNCTION("""COMPUTED_VALUE"""),"Proposed")</f>
        <v>Proposed</v>
      </c>
      <c r="J1186" s="1" t="str">
        <f>IFERROR(__xludf.DUMMYFUNCTION("""COMPUTED_VALUE"""),"Medium")</f>
        <v>Medium</v>
      </c>
      <c r="K1186" s="1" t="str">
        <f>IFERROR(__xludf.DUMMYFUNCTION("""COMPUTED_VALUE"""),"")</f>
        <v/>
      </c>
      <c r="L1186" s="1" t="str">
        <f>IFERROR(__xludf.DUMMYFUNCTION("""COMPUTED_VALUE"""),"VALCO HANOVER COUNTY")</f>
        <v>VALCO HANOVER COUNTY</v>
      </c>
      <c r="M1186" s="1" t="str">
        <f>IFERROR(__xludf.DUMMYFUNCTION("""COMPUTED_VALUE"""),"")</f>
        <v/>
      </c>
      <c r="N1186" s="1" t="str">
        <f>IFERROR(__xludf.DUMMYFUNCTION("""COMPUTED_VALUE"""),"2400")</f>
        <v>2400</v>
      </c>
      <c r="O1186" s="1" t="str">
        <f>IFERROR(__xludf.DUMMYFUNCTION("""COMPUTED_VALUE"""),"Mega campus (&gt;1,000 MW)")</f>
        <v>Mega campus (&gt;1,000 MW)</v>
      </c>
      <c r="P1186" s="1" t="str">
        <f>IFERROR(__xludf.DUMMYFUNCTION("""COMPUTED_VALUE"""),"")</f>
        <v/>
      </c>
      <c r="Q1186" s="1" t="str">
        <f>IFERROR(__xludf.DUMMYFUNCTION("""COMPUTED_VALUE"""),"")</f>
        <v/>
      </c>
      <c r="R1186" s="1" t="str">
        <f>IFERROR(__xludf.DUMMYFUNCTION("""COMPUTED_VALUE"""),"")</f>
        <v/>
      </c>
      <c r="S1186" s="1" t="str">
        <f>IFERROR(__xludf.DUMMYFUNCTION("""COMPUTED_VALUE"""),"")</f>
        <v/>
      </c>
      <c r="T1186" s="1" t="str">
        <f>IFERROR(__xludf.DUMMYFUNCTION("""COMPUTED_VALUE"""),"")</f>
        <v/>
      </c>
      <c r="U1186" s="1" t="str">
        <f>IFERROR(__xludf.DUMMYFUNCTION("""COMPUTED_VALUE"""),"")</f>
        <v/>
      </c>
      <c r="V1186" s="1" t="str">
        <f>IFERROR(__xludf.DUMMYFUNCTION("""COMPUTED_VALUE"""),"11,000,000")</f>
        <v>11,000,000</v>
      </c>
      <c r="W1186" s="1" t="str">
        <f>IFERROR(__xludf.DUMMYFUNCTION("""COMPUTED_VALUE"""),"1212")</f>
        <v>1212</v>
      </c>
      <c r="X1186" s="1" t="str">
        <f>IFERROR(__xludf.DUMMYFUNCTION("""COMPUTED_VALUE"""),"")</f>
        <v/>
      </c>
      <c r="Y1186" s="1" t="str">
        <f>IFERROR(__xludf.DUMMYFUNCTION("""COMPUTED_VALUE"""),"")</f>
        <v/>
      </c>
      <c r="Z1186" s="1" t="str">
        <f>IFERROR(__xludf.DUMMYFUNCTION("""COMPUTED_VALUE"""),"Unknown")</f>
        <v>Unknown</v>
      </c>
      <c r="AA1186" s="1" t="str">
        <f>IFERROR(__xludf.DUMMYFUNCTION("""COMPUTED_VALUE"""),"")</f>
        <v/>
      </c>
      <c r="AB1186" s="1" t="str">
        <f>IFERROR(__xludf.DUMMYFUNCTION("""COMPUTED_VALUE"""),"")</f>
        <v/>
      </c>
      <c r="AC1186" s="1" t="str">
        <f>IFERROR(__xludf.DUMMYFUNCTION("""COMPUTED_VALUE"""),"")</f>
        <v/>
      </c>
      <c r="AD1186" s="1" t="str">
        <f>IFERROR(__xludf.DUMMYFUNCTION("""COMPUTED_VALUE"""),"")</f>
        <v/>
      </c>
      <c r="AE1186" s="1" t="str">
        <f>IFERROR(__xludf.DUMMYFUNCTION("""COMPUTED_VALUE"""),"")</f>
        <v/>
      </c>
      <c r="AF1186" s="1" t="str">
        <f>IFERROR(__xludf.DUMMYFUNCTION("""COMPUTED_VALUE"""),"")</f>
        <v/>
      </c>
      <c r="AG1186" s="1" t="str">
        <f>IFERROR(__xludf.DUMMYFUNCTION("""COMPUTED_VALUE"""),"Project covers more than one parcel, the acreage represents the combined acreage")</f>
        <v>Project covers more than one parcel, the acreage represents the combined acreage</v>
      </c>
      <c r="AH1186" s="1" t="str">
        <f>IFERROR(__xludf.DUMMYFUNCTION("""COMPUTED_VALUE"""),"PEC")</f>
        <v>PEC</v>
      </c>
      <c r="AI1186" s="2" t="str">
        <f>IFERROR(__xludf.DUMMYFUNCTION("""COMPUTED_VALUE"""),"https://www.hanovercounty.gov/1314/Data-Center-Project-I-95Hickory-Hill-Roa")</f>
        <v>https://www.hanovercounty.gov/1314/Data-Center-Project-I-95Hickory-Hill-Roa</v>
      </c>
      <c r="AJ1186" s="1" t="str">
        <f>IFERROR(__xludf.DUMMYFUNCTION("""COMPUTED_VALUE"""),"")</f>
        <v/>
      </c>
      <c r="AK1186" s="1" t="str">
        <f>IFERROR(__xludf.DUMMYFUNCTION("""COMPUTED_VALUE"""),"")</f>
        <v/>
      </c>
      <c r="AL1186" s="1" t="str">
        <f>IFERROR(__xludf.DUMMYFUNCTION("""COMPUTED_VALUE"""),"")</f>
        <v/>
      </c>
      <c r="AM1186" s="1" t="str">
        <f>IFERROR(__xludf.DUMMYFUNCTION("""COMPUTED_VALUE"""),"")</f>
        <v/>
      </c>
      <c r="AN1186" s="1" t="str">
        <f>IFERROR(__xludf.DUMMYFUNCTION("""COMPUTED_VALUE"""),"")</f>
        <v/>
      </c>
      <c r="AO1186" s="1" t="str">
        <f>IFERROR(__xludf.DUMMYFUNCTION("""COMPUTED_VALUE"""),"")</f>
        <v/>
      </c>
      <c r="AP1186" s="1" t="str">
        <f>IFERROR(__xludf.DUMMYFUNCTION("""COMPUTED_VALUE"""),"")</f>
        <v/>
      </c>
      <c r="AQ1186" s="1" t="str">
        <f>IFERROR(__xludf.DUMMYFUNCTION("""COMPUTED_VALUE"""),"04/10/2024")</f>
        <v>04/10/2024</v>
      </c>
      <c r="AR1186" s="1" t="str">
        <f>IFERROR(__xludf.DUMMYFUNCTION("""COMPUTED_VALUE"""),"10/17/2025")</f>
        <v>10/17/2025</v>
      </c>
    </row>
    <row r="1187">
      <c r="A1187" s="1" t="str">
        <f>IFERROR(__xludf.DUMMYFUNCTION("""COMPUTED_VALUE"""),"WestDulles Data Center")</f>
        <v>WestDulles Data Center</v>
      </c>
      <c r="B1187" s="1" t="str">
        <f>IFERROR(__xludf.DUMMYFUNCTION("""COMPUTED_VALUE"""),"Iron Horse Business Park/ Betw Mt Hermon Rd and Rt 54")</f>
        <v>Iron Horse Business Park/ Betw Mt Hermon Rd and Rt 54</v>
      </c>
      <c r="C1187" s="1" t="str">
        <f>IFERROR(__xludf.DUMMYFUNCTION("""COMPUTED_VALUE"""),"Ashland")</f>
        <v>Ashland</v>
      </c>
      <c r="D1187" s="1" t="str">
        <f>IFERROR(__xludf.DUMMYFUNCTION("""COMPUTED_VALUE"""),"VA")</f>
        <v>VA</v>
      </c>
      <c r="E1187" s="1" t="str">
        <f>IFERROR(__xludf.DUMMYFUNCTION("""COMPUTED_VALUE"""),"23005")</f>
        <v>23005</v>
      </c>
      <c r="F1187" s="1" t="str">
        <f>IFERROR(__xludf.DUMMYFUNCTION("""COMPUTED_VALUE"""),"Hanover")</f>
        <v>Hanover</v>
      </c>
      <c r="G1187" s="1" t="str">
        <f>IFERROR(__xludf.DUMMYFUNCTION("""COMPUTED_VALUE"""),"37.75533")</f>
        <v>37.75533</v>
      </c>
      <c r="H1187" s="1" t="str">
        <f>IFERROR(__xludf.DUMMYFUNCTION("""COMPUTED_VALUE"""),"-77.44565")</f>
        <v>-77.44565</v>
      </c>
      <c r="I1187" s="1" t="str">
        <f>IFERROR(__xludf.DUMMYFUNCTION("""COMPUTED_VALUE"""),"Proposed")</f>
        <v>Proposed</v>
      </c>
      <c r="J1187" s="1" t="str">
        <f>IFERROR(__xludf.DUMMYFUNCTION("""COMPUTED_VALUE"""),"High")</f>
        <v>High</v>
      </c>
      <c r="K1187" s="1" t="str">
        <f>IFERROR(__xludf.DUMMYFUNCTION("""COMPUTED_VALUE"""),"")</f>
        <v/>
      </c>
      <c r="L1187" s="1" t="str">
        <f>IFERROR(__xludf.DUMMYFUNCTION("""COMPUTED_VALUE"""),"WestDulles Properties")</f>
        <v>WestDulles Properties</v>
      </c>
      <c r="M1187" s="1" t="str">
        <f>IFERROR(__xludf.DUMMYFUNCTION("""COMPUTED_VALUE"""),"")</f>
        <v/>
      </c>
      <c r="N1187" s="1" t="str">
        <f>IFERROR(__xludf.DUMMYFUNCTION("""COMPUTED_VALUE"""),"")</f>
        <v/>
      </c>
      <c r="O1187" s="1" t="str">
        <f>IFERROR(__xludf.DUMMYFUNCTION("""COMPUTED_VALUE"""),"Hyperscale (100-999 MW)")</f>
        <v>Hyperscale (100-999 MW)</v>
      </c>
      <c r="P1187" s="1" t="str">
        <f>IFERROR(__xludf.DUMMYFUNCTION("""COMPUTED_VALUE"""),"")</f>
        <v/>
      </c>
      <c r="Q1187" s="1" t="str">
        <f>IFERROR(__xludf.DUMMYFUNCTION("""COMPUTED_VALUE"""),"")</f>
        <v/>
      </c>
      <c r="R1187" s="1" t="str">
        <f>IFERROR(__xludf.DUMMYFUNCTION("""COMPUTED_VALUE"""),"")</f>
        <v/>
      </c>
      <c r="S1187" s="1" t="str">
        <f>IFERROR(__xludf.DUMMYFUNCTION("""COMPUTED_VALUE"""),"10-12")</f>
        <v>10-12</v>
      </c>
      <c r="T1187" s="1" t="str">
        <f>IFERROR(__xludf.DUMMYFUNCTION("""COMPUTED_VALUE"""),"")</f>
        <v/>
      </c>
      <c r="U1187" s="1" t="str">
        <f>IFERROR(__xludf.DUMMYFUNCTION("""COMPUTED_VALUE"""),"")</f>
        <v/>
      </c>
      <c r="V1187" s="1" t="str">
        <f>IFERROR(__xludf.DUMMYFUNCTION("""COMPUTED_VALUE"""),"3,000,000")</f>
        <v>3,000,000</v>
      </c>
      <c r="W1187" s="1" t="str">
        <f>IFERROR(__xludf.DUMMYFUNCTION("""COMPUTED_VALUE"""),"230")</f>
        <v>230</v>
      </c>
      <c r="X1187" s="1" t="str">
        <f>IFERROR(__xludf.DUMMYFUNCTION("""COMPUTED_VALUE"""),"")</f>
        <v/>
      </c>
      <c r="Y1187" s="1" t="str">
        <f>IFERROR(__xludf.DUMMYFUNCTION("""COMPUTED_VALUE"""),"")</f>
        <v/>
      </c>
      <c r="Z1187" s="1" t="str">
        <f>IFERROR(__xludf.DUMMYFUNCTION("""COMPUTED_VALUE"""),"Unknown")</f>
        <v>Unknown</v>
      </c>
      <c r="AA1187" s="1" t="str">
        <f>IFERROR(__xludf.DUMMYFUNCTION("""COMPUTED_VALUE"""),"")</f>
        <v/>
      </c>
      <c r="AB1187" s="1" t="str">
        <f>IFERROR(__xludf.DUMMYFUNCTION("""COMPUTED_VALUE"""),"")</f>
        <v/>
      </c>
      <c r="AC1187" s="1" t="str">
        <f>IFERROR(__xludf.DUMMYFUNCTION("""COMPUTED_VALUE"""),"")</f>
        <v/>
      </c>
      <c r="AD1187" s="1" t="str">
        <f>IFERROR(__xludf.DUMMYFUNCTION("""COMPUTED_VALUE"""),"")</f>
        <v/>
      </c>
      <c r="AE1187" s="1" t="str">
        <f>IFERROR(__xludf.DUMMYFUNCTION("""COMPUTED_VALUE"""),"")</f>
        <v/>
      </c>
      <c r="AF1187" s="1" t="str">
        <f>IFERROR(__xludf.DUMMYFUNCTION("""COMPUTED_VALUE"""),"")</f>
        <v/>
      </c>
      <c r="AG1187" s="1" t="str">
        <f>IFERROR(__xludf.DUMMYFUNCTION("""COMPUTED_VALUE"""),"")</f>
        <v/>
      </c>
      <c r="AH1187" s="1" t="str">
        <f>IFERROR(__xludf.DUMMYFUNCTION("""COMPUTED_VALUE"""),"Media Monitoring")</f>
        <v>Media Monitoring</v>
      </c>
      <c r="AI1187" s="2" t="str">
        <f>IFERROR(__xludf.DUMMYFUNCTION("""COMPUTED_VALUE"""),"https://www.datacenterdynamics.com/en/news/westdulles-properties-files-for-3-million-sq-ft-data-center-park-outside-richmond-virginia/")</f>
        <v>https://www.datacenterdynamics.com/en/news/westdulles-properties-files-for-3-million-sq-ft-data-center-park-outside-richmond-virginia/</v>
      </c>
      <c r="AJ1187" s="1" t="str">
        <f>IFERROR(__xludf.DUMMYFUNCTION("""COMPUTED_VALUE"""),"")</f>
        <v/>
      </c>
      <c r="AK1187" s="1" t="str">
        <f>IFERROR(__xludf.DUMMYFUNCTION("""COMPUTED_VALUE"""),"")</f>
        <v/>
      </c>
      <c r="AL1187" s="1" t="str">
        <f>IFERROR(__xludf.DUMMYFUNCTION("""COMPUTED_VALUE"""),"")</f>
        <v/>
      </c>
      <c r="AM1187" s="1" t="str">
        <f>IFERROR(__xludf.DUMMYFUNCTION("""COMPUTED_VALUE"""),"")</f>
        <v/>
      </c>
      <c r="AN1187" s="1" t="str">
        <f>IFERROR(__xludf.DUMMYFUNCTION("""COMPUTED_VALUE"""),"")</f>
        <v/>
      </c>
      <c r="AO1187" s="1" t="str">
        <f>IFERROR(__xludf.DUMMYFUNCTION("""COMPUTED_VALUE"""),"")</f>
        <v/>
      </c>
      <c r="AP1187" s="1" t="str">
        <f>IFERROR(__xludf.DUMMYFUNCTION("""COMPUTED_VALUE"""),"")</f>
        <v/>
      </c>
      <c r="AQ1187" s="1" t="str">
        <f>IFERROR(__xludf.DUMMYFUNCTION("""COMPUTED_VALUE"""),"06/07/2026")</f>
        <v>06/07/2026</v>
      </c>
      <c r="AR1187" s="1" t="str">
        <f>IFERROR(__xludf.DUMMYFUNCTION("""COMPUTED_VALUE"""),"06/07/2026")</f>
        <v>06/07/2026</v>
      </c>
    </row>
    <row r="1188">
      <c r="A1188" s="1" t="str">
        <f>IFERROR(__xludf.DUMMYFUNCTION("""COMPUTED_VALUE"""),"Brush Mountain Blacksburg")</f>
        <v>Brush Mountain Blacksburg</v>
      </c>
      <c r="B1188" s="1" t="str">
        <f>IFERROR(__xludf.DUMMYFUNCTION("""COMPUTED_VALUE"""),"2200 KRAFT DR STE 2025")</f>
        <v>2200 KRAFT DR STE 2025</v>
      </c>
      <c r="C1188" s="1" t="str">
        <f>IFERROR(__xludf.DUMMYFUNCTION("""COMPUTED_VALUE"""),"Blacksburg")</f>
        <v>Blacksburg</v>
      </c>
      <c r="D1188" s="1" t="str">
        <f>IFERROR(__xludf.DUMMYFUNCTION("""COMPUTED_VALUE"""),"VA")</f>
        <v>VA</v>
      </c>
      <c r="E1188" s="1" t="str">
        <f>IFERROR(__xludf.DUMMYFUNCTION("""COMPUTED_VALUE"""),"24060")</f>
        <v>24060</v>
      </c>
      <c r="F1188" s="1" t="str">
        <f>IFERROR(__xludf.DUMMYFUNCTION("""COMPUTED_VALUE"""),"Montgomery")</f>
        <v>Montgomery</v>
      </c>
      <c r="G1188" s="1" t="str">
        <f>IFERROR(__xludf.DUMMYFUNCTION("""COMPUTED_VALUE"""),"37.203728")</f>
        <v>37.203728</v>
      </c>
      <c r="H1188" s="1" t="str">
        <f>IFERROR(__xludf.DUMMYFUNCTION("""COMPUTED_VALUE"""),"-80.4118")</f>
        <v>-80.4118</v>
      </c>
      <c r="I1188" s="1" t="str">
        <f>IFERROR(__xludf.DUMMYFUNCTION("""COMPUTED_VALUE"""),"Operating")</f>
        <v>Operating</v>
      </c>
      <c r="J1188" s="1" t="str">
        <f>IFERROR(__xludf.DUMMYFUNCTION("""COMPUTED_VALUE"""),"High")</f>
        <v>High</v>
      </c>
      <c r="K1188" s="1" t="str">
        <f>IFERROR(__xludf.DUMMYFUNCTION("""COMPUTED_VALUE"""),"")</f>
        <v/>
      </c>
      <c r="L1188" s="1" t="str">
        <f>IFERROR(__xludf.DUMMYFUNCTION("""COMPUTED_VALUE"""),"BRUSH MOUNTAIN DATA CENTER LLC")</f>
        <v>BRUSH MOUNTAIN DATA CENTER LLC</v>
      </c>
      <c r="M1188" s="1" t="str">
        <f>IFERROR(__xludf.DUMMYFUNCTION("""COMPUTED_VALUE"""),"")</f>
        <v/>
      </c>
      <c r="N1188" s="1" t="str">
        <f>IFERROR(__xludf.DUMMYFUNCTION("""COMPUTED_VALUE"""),"")</f>
        <v/>
      </c>
      <c r="O1188" s="1" t="str">
        <f>IFERROR(__xludf.DUMMYFUNCTION("""COMPUTED_VALUE"""),"Unknown")</f>
        <v>Unknown</v>
      </c>
      <c r="P1188" s="1" t="str">
        <f>IFERROR(__xludf.DUMMYFUNCTION("""COMPUTED_VALUE"""),"")</f>
        <v/>
      </c>
      <c r="Q1188" s="1" t="str">
        <f>IFERROR(__xludf.DUMMYFUNCTION("""COMPUTED_VALUE"""),"")</f>
        <v/>
      </c>
      <c r="R1188" s="1" t="str">
        <f>IFERROR(__xludf.DUMMYFUNCTION("""COMPUTED_VALUE"""),"")</f>
        <v/>
      </c>
      <c r="S1188" s="1" t="str">
        <f>IFERROR(__xludf.DUMMYFUNCTION("""COMPUTED_VALUE"""),"")</f>
        <v/>
      </c>
      <c r="T1188" s="1" t="str">
        <f>IFERROR(__xludf.DUMMYFUNCTION("""COMPUTED_VALUE"""),"")</f>
        <v/>
      </c>
      <c r="U1188" s="1" t="str">
        <f>IFERROR(__xludf.DUMMYFUNCTION("""COMPUTED_VALUE"""),"")</f>
        <v/>
      </c>
      <c r="V1188" s="1" t="str">
        <f>IFERROR(__xludf.DUMMYFUNCTION("""COMPUTED_VALUE"""),"1,886")</f>
        <v>1,886</v>
      </c>
      <c r="W1188" s="1" t="str">
        <f>IFERROR(__xludf.DUMMYFUNCTION("""COMPUTED_VALUE"""),"")</f>
        <v/>
      </c>
      <c r="X1188" s="1" t="str">
        <f>IFERROR(__xludf.DUMMYFUNCTION("""COMPUTED_VALUE"""),"")</f>
        <v/>
      </c>
      <c r="Y1188" s="1" t="str">
        <f>IFERROR(__xludf.DUMMYFUNCTION("""COMPUTED_VALUE"""),"")</f>
        <v/>
      </c>
      <c r="Z1188" s="1" t="str">
        <f>IFERROR(__xludf.DUMMYFUNCTION("""COMPUTED_VALUE"""),"Unknown")</f>
        <v>Unknown</v>
      </c>
      <c r="AA1188" s="1" t="str">
        <f>IFERROR(__xludf.DUMMYFUNCTION("""COMPUTED_VALUE"""),"")</f>
        <v/>
      </c>
      <c r="AB1188" s="1" t="str">
        <f>IFERROR(__xludf.DUMMYFUNCTION("""COMPUTED_VALUE"""),"")</f>
        <v/>
      </c>
      <c r="AC1188" s="1" t="str">
        <f>IFERROR(__xludf.DUMMYFUNCTION("""COMPUTED_VALUE"""),"")</f>
        <v/>
      </c>
      <c r="AD1188" s="1" t="str">
        <f>IFERROR(__xludf.DUMMYFUNCTION("""COMPUTED_VALUE"""),"")</f>
        <v/>
      </c>
      <c r="AE1188" s="1" t="str">
        <f>IFERROR(__xludf.DUMMYFUNCTION("""COMPUTED_VALUE"""),"")</f>
        <v/>
      </c>
      <c r="AF1188" s="1" t="str">
        <f>IFERROR(__xludf.DUMMYFUNCTION("""COMPUTED_VALUE"""),"")</f>
        <v/>
      </c>
      <c r="AG1188" s="1" t="str">
        <f>IFERROR(__xludf.DUMMYFUNCTION("""COMPUTED_VALUE"""),"")</f>
        <v/>
      </c>
      <c r="AH1188" s="1" t="str">
        <f>IFERROR(__xludf.DUMMYFUNCTION("""COMPUTED_VALUE"""),"PEC")</f>
        <v>PEC</v>
      </c>
      <c r="AI1188" s="2" t="str">
        <f>IFERROR(__xludf.DUMMYFUNCTION("""COMPUTED_VALUE"""),"https://realestate.montva.com/datalets/datalet.aspx?mode=profileall&amp;sIndex=2&amp;idx=2&amp;LMparent=20")</f>
        <v>https://realestate.montva.com/datalets/datalet.aspx?mode=profileall&amp;sIndex=2&amp;idx=2&amp;LMparent=20</v>
      </c>
      <c r="AJ1188" s="1" t="str">
        <f>IFERROR(__xludf.DUMMYFUNCTION("""COMPUTED_VALUE"""),"")</f>
        <v/>
      </c>
      <c r="AK1188" s="1" t="str">
        <f>IFERROR(__xludf.DUMMYFUNCTION("""COMPUTED_VALUE"""),"")</f>
        <v/>
      </c>
      <c r="AL1188" s="1" t="str">
        <f>IFERROR(__xludf.DUMMYFUNCTION("""COMPUTED_VALUE"""),"")</f>
        <v/>
      </c>
      <c r="AM1188" s="1" t="str">
        <f>IFERROR(__xludf.DUMMYFUNCTION("""COMPUTED_VALUE"""),"")</f>
        <v/>
      </c>
      <c r="AN1188" s="1" t="str">
        <f>IFERROR(__xludf.DUMMYFUNCTION("""COMPUTED_VALUE"""),"")</f>
        <v/>
      </c>
      <c r="AO1188" s="1" t="str">
        <f>IFERROR(__xludf.DUMMYFUNCTION("""COMPUTED_VALUE"""),"")</f>
        <v/>
      </c>
      <c r="AP1188" s="1" t="str">
        <f>IFERROR(__xludf.DUMMYFUNCTION("""COMPUTED_VALUE"""),"")</f>
        <v/>
      </c>
      <c r="AQ1188" s="1" t="str">
        <f>IFERROR(__xludf.DUMMYFUNCTION("""COMPUTED_VALUE"""),"04/10/2024")</f>
        <v>04/10/2024</v>
      </c>
      <c r="AR1188" s="1" t="str">
        <f>IFERROR(__xludf.DUMMYFUNCTION("""COMPUTED_VALUE"""),"10/17/2025")</f>
        <v>10/17/2025</v>
      </c>
    </row>
    <row r="1189">
      <c r="A1189" s="1" t="str">
        <f>IFERROR(__xludf.DUMMYFUNCTION("""COMPUTED_VALUE"""),"Microsoft Azure")</f>
        <v>Microsoft Azure</v>
      </c>
      <c r="B1189" s="1" t="str">
        <f>IFERROR(__xludf.DUMMYFUNCTION("""COMPUTED_VALUE"""),"101 Herbert Drive")</f>
        <v>101 Herbert Drive</v>
      </c>
      <c r="C1189" s="1" t="str">
        <f>IFERROR(__xludf.DUMMYFUNCTION("""COMPUTED_VALUE"""),"Boydton")</f>
        <v>Boydton</v>
      </c>
      <c r="D1189" s="1" t="str">
        <f>IFERROR(__xludf.DUMMYFUNCTION("""COMPUTED_VALUE"""),"VA")</f>
        <v>VA</v>
      </c>
      <c r="E1189" s="1" t="str">
        <f>IFERROR(__xludf.DUMMYFUNCTION("""COMPUTED_VALUE"""),"23917")</f>
        <v>23917</v>
      </c>
      <c r="F1189" s="1" t="str">
        <f>IFERROR(__xludf.DUMMYFUNCTION("""COMPUTED_VALUE"""),"Mecklenburg")</f>
        <v>Mecklenburg</v>
      </c>
      <c r="G1189" s="1" t="str">
        <f>IFERROR(__xludf.DUMMYFUNCTION("""COMPUTED_VALUE"""),"36.69652")</f>
        <v>36.69652</v>
      </c>
      <c r="H1189" s="1" t="str">
        <f>IFERROR(__xludf.DUMMYFUNCTION("""COMPUTED_VALUE"""),"-78.36116")</f>
        <v>-78.36116</v>
      </c>
      <c r="I1189" s="1" t="str">
        <f>IFERROR(__xludf.DUMMYFUNCTION("""COMPUTED_VALUE"""),"Expanding")</f>
        <v>Expanding</v>
      </c>
      <c r="J1189" s="1" t="str">
        <f>IFERROR(__xludf.DUMMYFUNCTION("""COMPUTED_VALUE"""),"High")</f>
        <v>High</v>
      </c>
      <c r="K1189" s="1" t="str">
        <f>IFERROR(__xludf.DUMMYFUNCTION("""COMPUTED_VALUE"""),"")</f>
        <v/>
      </c>
      <c r="L1189" s="1" t="str">
        <f>IFERROR(__xludf.DUMMYFUNCTION("""COMPUTED_VALUE"""),"Microsoft")</f>
        <v>Microsoft</v>
      </c>
      <c r="M1189" s="1" t="str">
        <f>IFERROR(__xludf.DUMMYFUNCTION("""COMPUTED_VALUE"""),"")</f>
        <v/>
      </c>
      <c r="N1189" s="1" t="str">
        <f>IFERROR(__xludf.DUMMYFUNCTION("""COMPUTED_VALUE"""),"")</f>
        <v/>
      </c>
      <c r="O1189" s="1" t="str">
        <f>IFERROR(__xludf.DUMMYFUNCTION("""COMPUTED_VALUE"""),"Unknown")</f>
        <v>Unknown</v>
      </c>
      <c r="P1189" s="1" t="str">
        <f>IFERROR(__xludf.DUMMYFUNCTION("""COMPUTED_VALUE"""),"")</f>
        <v/>
      </c>
      <c r="Q1189" s="1" t="str">
        <f>IFERROR(__xludf.DUMMYFUNCTION("""COMPUTED_VALUE"""),"")</f>
        <v/>
      </c>
      <c r="R1189" s="1" t="str">
        <f>IFERROR(__xludf.DUMMYFUNCTION("""COMPUTED_VALUE"""),"")</f>
        <v/>
      </c>
      <c r="S1189" s="1" t="str">
        <f>IFERROR(__xludf.DUMMYFUNCTION("""COMPUTED_VALUE"""),"")</f>
        <v/>
      </c>
      <c r="T1189" s="1" t="str">
        <f>IFERROR(__xludf.DUMMYFUNCTION("""COMPUTED_VALUE"""),"")</f>
        <v/>
      </c>
      <c r="U1189" s="1" t="str">
        <f>IFERROR(__xludf.DUMMYFUNCTION("""COMPUTED_VALUE"""),"")</f>
        <v/>
      </c>
      <c r="V1189" s="1" t="str">
        <f>IFERROR(__xludf.DUMMYFUNCTION("""COMPUTED_VALUE"""),"1,625,704")</f>
        <v>1,625,704</v>
      </c>
      <c r="W1189" s="1" t="str">
        <f>IFERROR(__xludf.DUMMYFUNCTION("""COMPUTED_VALUE"""),"855")</f>
        <v>855</v>
      </c>
      <c r="X1189" s="1" t="str">
        <f>IFERROR(__xludf.DUMMYFUNCTION("""COMPUTED_VALUE"""),"")</f>
        <v/>
      </c>
      <c r="Y1189" s="1" t="str">
        <f>IFERROR(__xludf.DUMMYFUNCTION("""COMPUTED_VALUE"""),"")</f>
        <v/>
      </c>
      <c r="Z1189" s="1" t="str">
        <f>IFERROR(__xludf.DUMMYFUNCTION("""COMPUTED_VALUE"""),"Unknown")</f>
        <v>Unknown</v>
      </c>
      <c r="AA1189" s="1" t="str">
        <f>IFERROR(__xludf.DUMMYFUNCTION("""COMPUTED_VALUE"""),"")</f>
        <v/>
      </c>
      <c r="AB1189" s="1" t="str">
        <f>IFERROR(__xludf.DUMMYFUNCTION("""COMPUTED_VALUE"""),"")</f>
        <v/>
      </c>
      <c r="AC1189" s="1" t="str">
        <f>IFERROR(__xludf.DUMMYFUNCTION("""COMPUTED_VALUE"""),"")</f>
        <v/>
      </c>
      <c r="AD1189" s="1" t="str">
        <f>IFERROR(__xludf.DUMMYFUNCTION("""COMPUTED_VALUE"""),"")</f>
        <v/>
      </c>
      <c r="AE1189" s="1" t="str">
        <f>IFERROR(__xludf.DUMMYFUNCTION("""COMPUTED_VALUE"""),"")</f>
        <v/>
      </c>
      <c r="AF1189" s="1" t="str">
        <f>IFERROR(__xludf.DUMMYFUNCTION("""COMPUTED_VALUE"""),"")</f>
        <v/>
      </c>
      <c r="AG1189" s="1" t="str">
        <f>IFERROR(__xludf.DUMMYFUNCTION("""COMPUTED_VALUE"""),"This project covers multiple parcels. The total acreage has been represented here.")</f>
        <v>This project covers multiple parcels. The total acreage has been represented here.</v>
      </c>
      <c r="AH1189" s="1" t="str">
        <f>IFERROR(__xludf.DUMMYFUNCTION("""COMPUTED_VALUE"""),"PEC")</f>
        <v>PEC</v>
      </c>
      <c r="AI1189" s="2" t="str">
        <f>IFERROR(__xludf.DUMMYFUNCTION("""COMPUTED_VALUE"""),"https://mecklenburg.cama.concisesystems.com/PropertyPage.aspx?id=3675&amp;direct=1")</f>
        <v>https://mecklenburg.cama.concisesystems.com/PropertyPage.aspx?id=3675&amp;direct=1</v>
      </c>
      <c r="AJ1189" s="1" t="str">
        <f>IFERROR(__xludf.DUMMYFUNCTION("""COMPUTED_VALUE"""),"")</f>
        <v/>
      </c>
      <c r="AK1189" s="1" t="str">
        <f>IFERROR(__xludf.DUMMYFUNCTION("""COMPUTED_VALUE"""),"")</f>
        <v/>
      </c>
      <c r="AL1189" s="1" t="str">
        <f>IFERROR(__xludf.DUMMYFUNCTION("""COMPUTED_VALUE"""),"")</f>
        <v/>
      </c>
      <c r="AM1189" s="1" t="str">
        <f>IFERROR(__xludf.DUMMYFUNCTION("""COMPUTED_VALUE"""),"")</f>
        <v/>
      </c>
      <c r="AN1189" s="1" t="str">
        <f>IFERROR(__xludf.DUMMYFUNCTION("""COMPUTED_VALUE"""),"")</f>
        <v/>
      </c>
      <c r="AO1189" s="1" t="str">
        <f>IFERROR(__xludf.DUMMYFUNCTION("""COMPUTED_VALUE"""),"")</f>
        <v/>
      </c>
      <c r="AP1189" s="1" t="str">
        <f>IFERROR(__xludf.DUMMYFUNCTION("""COMPUTED_VALUE"""),"")</f>
        <v/>
      </c>
      <c r="AQ1189" s="1" t="str">
        <f>IFERROR(__xludf.DUMMYFUNCTION("""COMPUTED_VALUE"""),"04/10/2024")</f>
        <v>04/10/2024</v>
      </c>
      <c r="AR1189" s="1" t="str">
        <f>IFERROR(__xludf.DUMMYFUNCTION("""COMPUTED_VALUE"""),"10/17/2025")</f>
        <v>10/17/2025</v>
      </c>
    </row>
    <row r="1190">
      <c r="A1190" s="1" t="str">
        <f>IFERROR(__xludf.DUMMYFUNCTION("""COMPUTED_VALUE"""),"Microsoft Data Center")</f>
        <v>Microsoft Data Center</v>
      </c>
      <c r="B1190" s="1" t="str">
        <f>IFERROR(__xludf.DUMMYFUNCTION("""COMPUTED_VALUE"""),"101 Herbert Dr")</f>
        <v>101 Herbert Dr</v>
      </c>
      <c r="C1190" s="1" t="str">
        <f>IFERROR(__xludf.DUMMYFUNCTION("""COMPUTED_VALUE"""),"Boydton")</f>
        <v>Boydton</v>
      </c>
      <c r="D1190" s="1" t="str">
        <f>IFERROR(__xludf.DUMMYFUNCTION("""COMPUTED_VALUE"""),"VA")</f>
        <v>VA</v>
      </c>
      <c r="E1190" s="1" t="str">
        <f>IFERROR(__xludf.DUMMYFUNCTION("""COMPUTED_VALUE"""),"23917")</f>
        <v>23917</v>
      </c>
      <c r="F1190" s="1" t="str">
        <f>IFERROR(__xludf.DUMMYFUNCTION("""COMPUTED_VALUE"""),"Mecklenburg")</f>
        <v>Mecklenburg</v>
      </c>
      <c r="G1190" s="1" t="str">
        <f>IFERROR(__xludf.DUMMYFUNCTION("""COMPUTED_VALUE"""),"36.67847")</f>
        <v>36.67847</v>
      </c>
      <c r="H1190" s="1" t="str">
        <f>IFERROR(__xludf.DUMMYFUNCTION("""COMPUTED_VALUE"""),"-78.3752")</f>
        <v>-78.3752</v>
      </c>
      <c r="I1190" s="1" t="str">
        <f>IFERROR(__xludf.DUMMYFUNCTION("""COMPUTED_VALUE"""),"Operating")</f>
        <v>Operating</v>
      </c>
      <c r="J1190" s="1" t="str">
        <f>IFERROR(__xludf.DUMMYFUNCTION("""COMPUTED_VALUE"""),"High")</f>
        <v>High</v>
      </c>
      <c r="K1190" s="1" t="str">
        <f>IFERROR(__xludf.DUMMYFUNCTION("""COMPUTED_VALUE"""),"")</f>
        <v/>
      </c>
      <c r="L1190" s="1" t="str">
        <f>IFERROR(__xludf.DUMMYFUNCTION("""COMPUTED_VALUE"""),"Microsoft")</f>
        <v>Microsoft</v>
      </c>
      <c r="M1190" s="1" t="str">
        <f>IFERROR(__xludf.DUMMYFUNCTION("""COMPUTED_VALUE"""),"")</f>
        <v/>
      </c>
      <c r="N1190" s="1" t="str">
        <f>IFERROR(__xludf.DUMMYFUNCTION("""COMPUTED_VALUE"""),"")</f>
        <v/>
      </c>
      <c r="O1190" s="1" t="str">
        <f>IFERROR(__xludf.DUMMYFUNCTION("""COMPUTED_VALUE"""),"Unknown")</f>
        <v>Unknown</v>
      </c>
      <c r="P1190" s="1" t="str">
        <f>IFERROR(__xludf.DUMMYFUNCTION("""COMPUTED_VALUE"""),"")</f>
        <v/>
      </c>
      <c r="Q1190" s="1" t="str">
        <f>IFERROR(__xludf.DUMMYFUNCTION("""COMPUTED_VALUE"""),"")</f>
        <v/>
      </c>
      <c r="R1190" s="1" t="str">
        <f>IFERROR(__xludf.DUMMYFUNCTION("""COMPUTED_VALUE"""),"")</f>
        <v/>
      </c>
      <c r="S1190" s="1" t="str">
        <f>IFERROR(__xludf.DUMMYFUNCTION("""COMPUTED_VALUE"""),"")</f>
        <v/>
      </c>
      <c r="T1190" s="1" t="str">
        <f>IFERROR(__xludf.DUMMYFUNCTION("""COMPUTED_VALUE"""),"")</f>
        <v/>
      </c>
      <c r="U1190" s="1" t="str">
        <f>IFERROR(__xludf.DUMMYFUNCTION("""COMPUTED_VALUE"""),"")</f>
        <v/>
      </c>
      <c r="V1190" s="1" t="str">
        <f>IFERROR(__xludf.DUMMYFUNCTION("""COMPUTED_VALUE"""),"")</f>
        <v/>
      </c>
      <c r="W1190" s="1" t="str">
        <f>IFERROR(__xludf.DUMMYFUNCTION("""COMPUTED_VALUE"""),"")</f>
        <v/>
      </c>
      <c r="X1190" s="1" t="str">
        <f>IFERROR(__xludf.DUMMYFUNCTION("""COMPUTED_VALUE"""),"")</f>
        <v/>
      </c>
      <c r="Y1190" s="1" t="str">
        <f>IFERROR(__xludf.DUMMYFUNCTION("""COMPUTED_VALUE"""),"")</f>
        <v/>
      </c>
      <c r="Z1190" s="1" t="str">
        <f>IFERROR(__xludf.DUMMYFUNCTION("""COMPUTED_VALUE"""),"Unknown")</f>
        <v>Unknown</v>
      </c>
      <c r="AA1190" s="1" t="str">
        <f>IFERROR(__xludf.DUMMYFUNCTION("""COMPUTED_VALUE"""),"")</f>
        <v/>
      </c>
      <c r="AB1190" s="1" t="str">
        <f>IFERROR(__xludf.DUMMYFUNCTION("""COMPUTED_VALUE"""),"")</f>
        <v/>
      </c>
      <c r="AC1190" s="1" t="str">
        <f>IFERROR(__xludf.DUMMYFUNCTION("""COMPUTED_VALUE"""),"")</f>
        <v/>
      </c>
      <c r="AD1190" s="1" t="str">
        <f>IFERROR(__xludf.DUMMYFUNCTION("""COMPUTED_VALUE"""),"")</f>
        <v/>
      </c>
      <c r="AE1190" s="1" t="str">
        <f>IFERROR(__xludf.DUMMYFUNCTION("""COMPUTED_VALUE"""),"")</f>
        <v/>
      </c>
      <c r="AF1190" s="1" t="str">
        <f>IFERROR(__xludf.DUMMYFUNCTION("""COMPUTED_VALUE"""),"")</f>
        <v/>
      </c>
      <c r="AG1190" s="1" t="str">
        <f>IFERROR(__xludf.DUMMYFUNCTION("""COMPUTED_VALUE"""),"")</f>
        <v/>
      </c>
      <c r="AH1190" s="1" t="str">
        <f>IFERROR(__xludf.DUMMYFUNCTION("""COMPUTED_VALUE"""),"Media Monitoring")</f>
        <v>Media Monitoring</v>
      </c>
      <c r="AI1190" s="1" t="str">
        <f>IFERROR(__xludf.DUMMYFUNCTION("""COMPUTED_VALUE"""),"")</f>
        <v/>
      </c>
      <c r="AJ1190" s="1" t="str">
        <f>IFERROR(__xludf.DUMMYFUNCTION("""COMPUTED_VALUE"""),"")</f>
        <v/>
      </c>
      <c r="AK1190" s="1" t="str">
        <f>IFERROR(__xludf.DUMMYFUNCTION("""COMPUTED_VALUE"""),"")</f>
        <v/>
      </c>
      <c r="AL1190" s="1" t="str">
        <f>IFERROR(__xludf.DUMMYFUNCTION("""COMPUTED_VALUE"""),"")</f>
        <v/>
      </c>
      <c r="AM1190" s="1" t="str">
        <f>IFERROR(__xludf.DUMMYFUNCTION("""COMPUTED_VALUE"""),"")</f>
        <v/>
      </c>
      <c r="AN1190" s="1" t="str">
        <f>IFERROR(__xludf.DUMMYFUNCTION("""COMPUTED_VALUE"""),"")</f>
        <v/>
      </c>
      <c r="AO1190" s="1" t="str">
        <f>IFERROR(__xludf.DUMMYFUNCTION("""COMPUTED_VALUE"""),"")</f>
        <v/>
      </c>
      <c r="AP1190" s="1" t="str">
        <f>IFERROR(__xludf.DUMMYFUNCTION("""COMPUTED_VALUE"""),"")</f>
        <v/>
      </c>
      <c r="AQ1190" s="1" t="str">
        <f>IFERROR(__xludf.DUMMYFUNCTION("""COMPUTED_VALUE"""),"09/16/2025")</f>
        <v>09/16/2025</v>
      </c>
      <c r="AR1190" s="1" t="str">
        <f>IFERROR(__xludf.DUMMYFUNCTION("""COMPUTED_VALUE"""),"09/16/2025")</f>
        <v>09/16/2025</v>
      </c>
    </row>
    <row r="1191">
      <c r="A1191" s="1" t="str">
        <f>IFERROR(__xludf.DUMMYFUNCTION("""COMPUTED_VALUE"""),"Microsoft Ridge Road Campus")</f>
        <v>Microsoft Ridge Road Campus</v>
      </c>
      <c r="B1191" s="1" t="str">
        <f>IFERROR(__xludf.DUMMYFUNCTION("""COMPUTED_VALUE"""),"925 Ridge Rd")</f>
        <v>925 Ridge Rd</v>
      </c>
      <c r="C1191" s="1" t="str">
        <f>IFERROR(__xludf.DUMMYFUNCTION("""COMPUTED_VALUE"""),"Boydton")</f>
        <v>Boydton</v>
      </c>
      <c r="D1191" s="1" t="str">
        <f>IFERROR(__xludf.DUMMYFUNCTION("""COMPUTED_VALUE"""),"VA")</f>
        <v>VA</v>
      </c>
      <c r="E1191" s="1" t="str">
        <f>IFERROR(__xludf.DUMMYFUNCTION("""COMPUTED_VALUE"""),"23917")</f>
        <v>23917</v>
      </c>
      <c r="F1191" s="1" t="str">
        <f>IFERROR(__xludf.DUMMYFUNCTION("""COMPUTED_VALUE"""),"Mecklenburg")</f>
        <v>Mecklenburg</v>
      </c>
      <c r="G1191" s="1" t="str">
        <f>IFERROR(__xludf.DUMMYFUNCTION("""COMPUTED_VALUE"""),"36.69182")</f>
        <v>36.69182</v>
      </c>
      <c r="H1191" s="1" t="str">
        <f>IFERROR(__xludf.DUMMYFUNCTION("""COMPUTED_VALUE"""),"-78.3648")</f>
        <v>-78.3648</v>
      </c>
      <c r="I1191" s="1" t="str">
        <f>IFERROR(__xludf.DUMMYFUNCTION("""COMPUTED_VALUE"""),"Proposed")</f>
        <v>Proposed</v>
      </c>
      <c r="J1191" s="1" t="str">
        <f>IFERROR(__xludf.DUMMYFUNCTION("""COMPUTED_VALUE"""),"High")</f>
        <v>High</v>
      </c>
      <c r="K1191" s="1" t="str">
        <f>IFERROR(__xludf.DUMMYFUNCTION("""COMPUTED_VALUE"""),"")</f>
        <v/>
      </c>
      <c r="L1191" s="1" t="str">
        <f>IFERROR(__xludf.DUMMYFUNCTION("""COMPUTED_VALUE"""),"Microsoft")</f>
        <v>Microsoft</v>
      </c>
      <c r="M1191" s="1" t="str">
        <f>IFERROR(__xludf.DUMMYFUNCTION("""COMPUTED_VALUE"""),"")</f>
        <v/>
      </c>
      <c r="N1191" s="1" t="str">
        <f>IFERROR(__xludf.DUMMYFUNCTION("""COMPUTED_VALUE"""),"")</f>
        <v/>
      </c>
      <c r="O1191" s="1" t="str">
        <f>IFERROR(__xludf.DUMMYFUNCTION("""COMPUTED_VALUE"""),"Unknown")</f>
        <v>Unknown</v>
      </c>
      <c r="P1191" s="1" t="str">
        <f>IFERROR(__xludf.DUMMYFUNCTION("""COMPUTED_VALUE"""),"")</f>
        <v/>
      </c>
      <c r="Q1191" s="1" t="str">
        <f>IFERROR(__xludf.DUMMYFUNCTION("""COMPUTED_VALUE"""),"")</f>
        <v/>
      </c>
      <c r="R1191" s="1" t="str">
        <f>IFERROR(__xludf.DUMMYFUNCTION("""COMPUTED_VALUE"""),"")</f>
        <v/>
      </c>
      <c r="S1191" s="1" t="str">
        <f>IFERROR(__xludf.DUMMYFUNCTION("""COMPUTED_VALUE"""),"")</f>
        <v/>
      </c>
      <c r="T1191" s="1" t="str">
        <f>IFERROR(__xludf.DUMMYFUNCTION("""COMPUTED_VALUE"""),"")</f>
        <v/>
      </c>
      <c r="U1191" s="1" t="str">
        <f>IFERROR(__xludf.DUMMYFUNCTION("""COMPUTED_VALUE"""),"")</f>
        <v/>
      </c>
      <c r="V1191" s="1" t="str">
        <f>IFERROR(__xludf.DUMMYFUNCTION("""COMPUTED_VALUE"""),"")</f>
        <v/>
      </c>
      <c r="W1191" s="1" t="str">
        <f>IFERROR(__xludf.DUMMYFUNCTION("""COMPUTED_VALUE"""),"")</f>
        <v/>
      </c>
      <c r="X1191" s="1" t="str">
        <f>IFERROR(__xludf.DUMMYFUNCTION("""COMPUTED_VALUE"""),"")</f>
        <v/>
      </c>
      <c r="Y1191" s="1" t="str">
        <f>IFERROR(__xludf.DUMMYFUNCTION("""COMPUTED_VALUE"""),"")</f>
        <v/>
      </c>
      <c r="Z1191" s="1" t="str">
        <f>IFERROR(__xludf.DUMMYFUNCTION("""COMPUTED_VALUE"""),"Unknown")</f>
        <v>Unknown</v>
      </c>
      <c r="AA1191" s="1" t="str">
        <f>IFERROR(__xludf.DUMMYFUNCTION("""COMPUTED_VALUE"""),"")</f>
        <v/>
      </c>
      <c r="AB1191" s="1" t="str">
        <f>IFERROR(__xludf.DUMMYFUNCTION("""COMPUTED_VALUE"""),"")</f>
        <v/>
      </c>
      <c r="AC1191" s="1" t="str">
        <f>IFERROR(__xludf.DUMMYFUNCTION("""COMPUTED_VALUE"""),"")</f>
        <v/>
      </c>
      <c r="AD1191" s="1" t="str">
        <f>IFERROR(__xludf.DUMMYFUNCTION("""COMPUTED_VALUE"""),"")</f>
        <v/>
      </c>
      <c r="AE1191" s="1" t="str">
        <f>IFERROR(__xludf.DUMMYFUNCTION("""COMPUTED_VALUE"""),"")</f>
        <v/>
      </c>
      <c r="AF1191" s="1" t="str">
        <f>IFERROR(__xludf.DUMMYFUNCTION("""COMPUTED_VALUE"""),"")</f>
        <v/>
      </c>
      <c r="AG1191" s="1" t="str">
        <f>IFERROR(__xludf.DUMMYFUNCTION("""COMPUTED_VALUE"""),"")</f>
        <v/>
      </c>
      <c r="AH1191" s="1" t="str">
        <f>IFERROR(__xludf.DUMMYFUNCTION("""COMPUTED_VALUE"""),"Media Monitoring")</f>
        <v>Media Monitoring</v>
      </c>
      <c r="AI1191" s="1" t="str">
        <f>IFERROR(__xludf.DUMMYFUNCTION("""COMPUTED_VALUE"""),"")</f>
        <v/>
      </c>
      <c r="AJ1191" s="1" t="str">
        <f>IFERROR(__xludf.DUMMYFUNCTION("""COMPUTED_VALUE"""),"")</f>
        <v/>
      </c>
      <c r="AK1191" s="1" t="str">
        <f>IFERROR(__xludf.DUMMYFUNCTION("""COMPUTED_VALUE"""),"")</f>
        <v/>
      </c>
      <c r="AL1191" s="1" t="str">
        <f>IFERROR(__xludf.DUMMYFUNCTION("""COMPUTED_VALUE"""),"")</f>
        <v/>
      </c>
      <c r="AM1191" s="1" t="str">
        <f>IFERROR(__xludf.DUMMYFUNCTION("""COMPUTED_VALUE"""),"")</f>
        <v/>
      </c>
      <c r="AN1191" s="1" t="str">
        <f>IFERROR(__xludf.DUMMYFUNCTION("""COMPUTED_VALUE"""),"")</f>
        <v/>
      </c>
      <c r="AO1191" s="1" t="str">
        <f>IFERROR(__xludf.DUMMYFUNCTION("""COMPUTED_VALUE"""),"")</f>
        <v/>
      </c>
      <c r="AP1191" s="1" t="str">
        <f>IFERROR(__xludf.DUMMYFUNCTION("""COMPUTED_VALUE"""),"")</f>
        <v/>
      </c>
      <c r="AQ1191" s="1" t="str">
        <f>IFERROR(__xludf.DUMMYFUNCTION("""COMPUTED_VALUE"""),"09/16/2025")</f>
        <v>09/16/2025</v>
      </c>
      <c r="AR1191" s="1" t="str">
        <f>IFERROR(__xludf.DUMMYFUNCTION("""COMPUTED_VALUE"""),"09/16/2025")</f>
        <v>09/16/2025</v>
      </c>
    </row>
    <row r="1192">
      <c r="A1192" s="1" t="str">
        <f>IFERROR(__xludf.DUMMYFUNCTION("""COMPUTED_VALUE"""),"Bristow Campus")</f>
        <v>Bristow Campus</v>
      </c>
      <c r="B1192" s="1" t="str">
        <f>IFERROR(__xludf.DUMMYFUNCTION("""COMPUTED_VALUE"""),"11480 NOKESVILLE RD")</f>
        <v>11480 NOKESVILLE RD</v>
      </c>
      <c r="C1192" s="1" t="str">
        <f>IFERROR(__xludf.DUMMYFUNCTION("""COMPUTED_VALUE"""),"Bristow")</f>
        <v>Bristow</v>
      </c>
      <c r="D1192" s="1" t="str">
        <f>IFERROR(__xludf.DUMMYFUNCTION("""COMPUTED_VALUE"""),"VA")</f>
        <v>VA</v>
      </c>
      <c r="E1192" s="1" t="str">
        <f>IFERROR(__xludf.DUMMYFUNCTION("""COMPUTED_VALUE"""),"20137")</f>
        <v>20137</v>
      </c>
      <c r="F1192" s="1" t="str">
        <f>IFERROR(__xludf.DUMMYFUNCTION("""COMPUTED_VALUE"""),"Prince William")</f>
        <v>Prince William</v>
      </c>
      <c r="G1192" s="1" t="str">
        <f>IFERROR(__xludf.DUMMYFUNCTION("""COMPUTED_VALUE"""),"38.73797")</f>
        <v>38.73797</v>
      </c>
      <c r="H1192" s="1" t="str">
        <f>IFERROR(__xludf.DUMMYFUNCTION("""COMPUTED_VALUE"""),"-77.54125")</f>
        <v>-77.54125</v>
      </c>
      <c r="I1192" s="1" t="str">
        <f>IFERROR(__xludf.DUMMYFUNCTION("""COMPUTED_VALUE"""),"Proposed")</f>
        <v>Proposed</v>
      </c>
      <c r="J1192" s="1" t="str">
        <f>IFERROR(__xludf.DUMMYFUNCTION("""COMPUTED_VALUE"""),"High")</f>
        <v>High</v>
      </c>
      <c r="K1192" s="1" t="str">
        <f>IFERROR(__xludf.DUMMYFUNCTION("""COMPUTED_VALUE"""),"")</f>
        <v/>
      </c>
      <c r="L1192" s="1" t="str">
        <f>IFERROR(__xludf.DUMMYFUNCTION("""COMPUTED_VALUE"""),"")</f>
        <v/>
      </c>
      <c r="M1192" s="1" t="str">
        <f>IFERROR(__xludf.DUMMYFUNCTION("""COMPUTED_VALUE"""),"")</f>
        <v/>
      </c>
      <c r="N1192" s="1" t="str">
        <f>IFERROR(__xludf.DUMMYFUNCTION("""COMPUTED_VALUE"""),"")</f>
        <v/>
      </c>
      <c r="O1192" s="1" t="str">
        <f>IFERROR(__xludf.DUMMYFUNCTION("""COMPUTED_VALUE"""),"Unknown")</f>
        <v>Unknown</v>
      </c>
      <c r="P1192" s="1" t="str">
        <f>IFERROR(__xludf.DUMMYFUNCTION("""COMPUTED_VALUE"""),"")</f>
        <v/>
      </c>
      <c r="Q1192" s="1" t="str">
        <f>IFERROR(__xludf.DUMMYFUNCTION("""COMPUTED_VALUE"""),"")</f>
        <v/>
      </c>
      <c r="R1192" s="1" t="str">
        <f>IFERROR(__xludf.DUMMYFUNCTION("""COMPUTED_VALUE"""),"")</f>
        <v/>
      </c>
      <c r="S1192" s="1" t="str">
        <f>IFERROR(__xludf.DUMMYFUNCTION("""COMPUTED_VALUE"""),"")</f>
        <v/>
      </c>
      <c r="T1192" s="1" t="str">
        <f>IFERROR(__xludf.DUMMYFUNCTION("""COMPUTED_VALUE"""),"")</f>
        <v/>
      </c>
      <c r="U1192" s="1" t="str">
        <f>IFERROR(__xludf.DUMMYFUNCTION("""COMPUTED_VALUE"""),"")</f>
        <v/>
      </c>
      <c r="V1192" s="1" t="str">
        <f>IFERROR(__xludf.DUMMYFUNCTION("""COMPUTED_VALUE"""),"540,000")</f>
        <v>540,000</v>
      </c>
      <c r="W1192" s="1" t="str">
        <f>IFERROR(__xludf.DUMMYFUNCTION("""COMPUTED_VALUE"""),"40")</f>
        <v>40</v>
      </c>
      <c r="X1192" s="1" t="str">
        <f>IFERROR(__xludf.DUMMYFUNCTION("""COMPUTED_VALUE"""),"")</f>
        <v/>
      </c>
      <c r="Y1192" s="1" t="str">
        <f>IFERROR(__xludf.DUMMYFUNCTION("""COMPUTED_VALUE"""),"")</f>
        <v/>
      </c>
      <c r="Z1192" s="1" t="str">
        <f>IFERROR(__xludf.DUMMYFUNCTION("""COMPUTED_VALUE"""),"Unknown")</f>
        <v>Unknown</v>
      </c>
      <c r="AA1192" s="1" t="str">
        <f>IFERROR(__xludf.DUMMYFUNCTION("""COMPUTED_VALUE"""),"")</f>
        <v/>
      </c>
      <c r="AB1192" s="1" t="str">
        <f>IFERROR(__xludf.DUMMYFUNCTION("""COMPUTED_VALUE"""),"")</f>
        <v/>
      </c>
      <c r="AC1192" s="1" t="str">
        <f>IFERROR(__xludf.DUMMYFUNCTION("""COMPUTED_VALUE"""),"")</f>
        <v/>
      </c>
      <c r="AD1192" s="1" t="str">
        <f>IFERROR(__xludf.DUMMYFUNCTION("""COMPUTED_VALUE"""),"")</f>
        <v/>
      </c>
      <c r="AE1192" s="1" t="str">
        <f>IFERROR(__xludf.DUMMYFUNCTION("""COMPUTED_VALUE"""),"")</f>
        <v/>
      </c>
      <c r="AF1192" s="1" t="str">
        <f>IFERROR(__xludf.DUMMYFUNCTION("""COMPUTED_VALUE"""),"")</f>
        <v/>
      </c>
      <c r="AG1192" s="1" t="str">
        <f>IFERROR(__xludf.DUMMYFUNCTION("""COMPUTED_VALUE"""),"This project covers multiple parcels. The total acreage has been represented here. Existing data centers have been removed from the proposed square footage")</f>
        <v>This project covers multiple parcels. The total acreage has been represented here. Existing data centers have been removed from the proposed square footage</v>
      </c>
      <c r="AH1192" s="1" t="str">
        <f>IFERROR(__xludf.DUMMYFUNCTION("""COMPUTED_VALUE"""),"PEC")</f>
        <v>PEC</v>
      </c>
      <c r="AI1192" s="2" t="str">
        <f>IFERROR(__xludf.DUMMYFUNCTION("""COMPUTED_VALUE"""),"https://egcss.pwcgov.org/SelfService#/plan/1f301435-5cb5-4515-95c7-0dc1844362ea?tab=moreinfo")</f>
        <v>https://egcss.pwcgov.org/SelfService#/plan/1f301435-5cb5-4515-95c7-0dc1844362ea?tab=moreinfo</v>
      </c>
      <c r="AJ1192" s="2" t="str">
        <f>IFERROR(__xludf.DUMMYFUNCTION("""COMPUTED_VALUE"""),"https://pwc.publicaccessnow.com/PropertyDetail.aspx?mpropertynumber=001441&amp;mtab=property&amp;p=001441")</f>
        <v>https://pwc.publicaccessnow.com/PropertyDetail.aspx?mpropertynumber=001441&amp;mtab=property&amp;p=001441</v>
      </c>
      <c r="AK1192" s="1" t="str">
        <f>IFERROR(__xludf.DUMMYFUNCTION("""COMPUTED_VALUE"""),"")</f>
        <v/>
      </c>
      <c r="AL1192" s="1" t="str">
        <f>IFERROR(__xludf.DUMMYFUNCTION("""COMPUTED_VALUE"""),"")</f>
        <v/>
      </c>
      <c r="AM1192" s="1" t="str">
        <f>IFERROR(__xludf.DUMMYFUNCTION("""COMPUTED_VALUE"""),"")</f>
        <v/>
      </c>
      <c r="AN1192" s="1" t="str">
        <f>IFERROR(__xludf.DUMMYFUNCTION("""COMPUTED_VALUE"""),"")</f>
        <v/>
      </c>
      <c r="AO1192" s="1" t="str">
        <f>IFERROR(__xludf.DUMMYFUNCTION("""COMPUTED_VALUE"""),"")</f>
        <v/>
      </c>
      <c r="AP1192" s="1" t="str">
        <f>IFERROR(__xludf.DUMMYFUNCTION("""COMPUTED_VALUE"""),"")</f>
        <v/>
      </c>
      <c r="AQ1192" s="1" t="str">
        <f>IFERROR(__xludf.DUMMYFUNCTION("""COMPUTED_VALUE"""),"07/14/2025")</f>
        <v>07/14/2025</v>
      </c>
      <c r="AR1192" s="1" t="str">
        <f>IFERROR(__xludf.DUMMYFUNCTION("""COMPUTED_VALUE"""),"10/17/2025")</f>
        <v>10/17/2025</v>
      </c>
    </row>
    <row r="1193">
      <c r="A1193" s="1" t="str">
        <f>IFERROR(__xludf.DUMMYFUNCTION("""COMPUTED_VALUE"""),"Delvin Technology Park")</f>
        <v>Delvin Technology Park</v>
      </c>
      <c r="B1193" s="1" t="str">
        <f>IFERROR(__xludf.DUMMYFUNCTION("""COMPUTED_VALUE"""),"8900 DEVLIN RD")</f>
        <v>8900 DEVLIN RD</v>
      </c>
      <c r="C1193" s="1" t="str">
        <f>IFERROR(__xludf.DUMMYFUNCTION("""COMPUTED_VALUE"""),"Bristow")</f>
        <v>Bristow</v>
      </c>
      <c r="D1193" s="1" t="str">
        <f>IFERROR(__xludf.DUMMYFUNCTION("""COMPUTED_VALUE"""),"VA")</f>
        <v>VA</v>
      </c>
      <c r="E1193" s="1" t="str">
        <f>IFERROR(__xludf.DUMMYFUNCTION("""COMPUTED_VALUE"""),"20136")</f>
        <v>20136</v>
      </c>
      <c r="F1193" s="1" t="str">
        <f>IFERROR(__xludf.DUMMYFUNCTION("""COMPUTED_VALUE"""),"Prince William")</f>
        <v>Prince William</v>
      </c>
      <c r="G1193" s="1" t="str">
        <f>IFERROR(__xludf.DUMMYFUNCTION("""COMPUTED_VALUE"""),"38.767223")</f>
        <v>38.767223</v>
      </c>
      <c r="H1193" s="1" t="str">
        <f>IFERROR(__xludf.DUMMYFUNCTION("""COMPUTED_VALUE"""),"-77.57575")</f>
        <v>-77.57575</v>
      </c>
      <c r="I1193" s="1" t="str">
        <f>IFERROR(__xludf.DUMMYFUNCTION("""COMPUTED_VALUE"""),"Proposed")</f>
        <v>Proposed</v>
      </c>
      <c r="J1193" s="1" t="str">
        <f>IFERROR(__xludf.DUMMYFUNCTION("""COMPUTED_VALUE"""),"High")</f>
        <v>High</v>
      </c>
      <c r="K1193" s="1" t="str">
        <f>IFERROR(__xludf.DUMMYFUNCTION("""COMPUTED_VALUE"""),"")</f>
        <v/>
      </c>
      <c r="L1193" s="1" t="str">
        <f>IFERROR(__xludf.DUMMYFUNCTION("""COMPUTED_VALUE"""),"STANLEY MARTIN HOMES, LLC")</f>
        <v>STANLEY MARTIN HOMES, LLC</v>
      </c>
      <c r="M1193" s="1" t="str">
        <f>IFERROR(__xludf.DUMMYFUNCTION("""COMPUTED_VALUE"""),"")</f>
        <v/>
      </c>
      <c r="N1193" s="1" t="str">
        <f>IFERROR(__xludf.DUMMYFUNCTION("""COMPUTED_VALUE"""),"")</f>
        <v/>
      </c>
      <c r="O1193" s="1" t="str">
        <f>IFERROR(__xludf.DUMMYFUNCTION("""COMPUTED_VALUE"""),"Unknown")</f>
        <v>Unknown</v>
      </c>
      <c r="P1193" s="1" t="str">
        <f>IFERROR(__xludf.DUMMYFUNCTION("""COMPUTED_VALUE"""),"")</f>
        <v/>
      </c>
      <c r="Q1193" s="1" t="str">
        <f>IFERROR(__xludf.DUMMYFUNCTION("""COMPUTED_VALUE"""),"")</f>
        <v/>
      </c>
      <c r="R1193" s="1" t="str">
        <f>IFERROR(__xludf.DUMMYFUNCTION("""COMPUTED_VALUE"""),"")</f>
        <v/>
      </c>
      <c r="S1193" s="1" t="str">
        <f>IFERROR(__xludf.DUMMYFUNCTION("""COMPUTED_VALUE"""),"")</f>
        <v/>
      </c>
      <c r="T1193" s="1" t="str">
        <f>IFERROR(__xludf.DUMMYFUNCTION("""COMPUTED_VALUE"""),"")</f>
        <v/>
      </c>
      <c r="U1193" s="1" t="str">
        <f>IFERROR(__xludf.DUMMYFUNCTION("""COMPUTED_VALUE"""),"")</f>
        <v/>
      </c>
      <c r="V1193" s="1" t="str">
        <f>IFERROR(__xludf.DUMMYFUNCTION("""COMPUTED_VALUE"""),"3,530,000")</f>
        <v>3,530,000</v>
      </c>
      <c r="W1193" s="1" t="str">
        <f>IFERROR(__xludf.DUMMYFUNCTION("""COMPUTED_VALUE"""),"270")</f>
        <v>270</v>
      </c>
      <c r="X1193" s="1" t="str">
        <f>IFERROR(__xludf.DUMMYFUNCTION("""COMPUTED_VALUE"""),"")</f>
        <v/>
      </c>
      <c r="Y1193" s="1" t="str">
        <f>IFERROR(__xludf.DUMMYFUNCTION("""COMPUTED_VALUE"""),"")</f>
        <v/>
      </c>
      <c r="Z1193" s="1" t="str">
        <f>IFERROR(__xludf.DUMMYFUNCTION("""COMPUTED_VALUE"""),"Unknown")</f>
        <v>Unknown</v>
      </c>
      <c r="AA1193" s="1" t="str">
        <f>IFERROR(__xludf.DUMMYFUNCTION("""COMPUTED_VALUE"""),"")</f>
        <v/>
      </c>
      <c r="AB1193" s="1" t="str">
        <f>IFERROR(__xludf.DUMMYFUNCTION("""COMPUTED_VALUE"""),"")</f>
        <v/>
      </c>
      <c r="AC1193" s="1" t="str">
        <f>IFERROR(__xludf.DUMMYFUNCTION("""COMPUTED_VALUE"""),"")</f>
        <v/>
      </c>
      <c r="AD1193" s="1" t="str">
        <f>IFERROR(__xludf.DUMMYFUNCTION("""COMPUTED_VALUE"""),"")</f>
        <v/>
      </c>
      <c r="AE1193" s="1" t="str">
        <f>IFERROR(__xludf.DUMMYFUNCTION("""COMPUTED_VALUE"""),"")</f>
        <v/>
      </c>
      <c r="AF1193" s="1" t="str">
        <f>IFERROR(__xludf.DUMMYFUNCTION("""COMPUTED_VALUE"""),"")</f>
        <v/>
      </c>
      <c r="AG1193" s="1" t="str">
        <f>IFERROR(__xludf.DUMMYFUNCTION("""COMPUTED_VALUE"""),"This project covers multiple parcels. The total acreage has been represented here.")</f>
        <v>This project covers multiple parcels. The total acreage has been represented here.</v>
      </c>
      <c r="AH1193" s="1" t="str">
        <f>IFERROR(__xludf.DUMMYFUNCTION("""COMPUTED_VALUE"""),"PEC")</f>
        <v>PEC</v>
      </c>
      <c r="AI1193" s="2" t="str">
        <f>IFERROR(__xludf.DUMMYFUNCTION("""COMPUTED_VALUE"""),"https://egcss.pwcgov.org/SelfService#/plan/323d298e-a0ad-4dc7-accd-f6b27b404c50")</f>
        <v>https://egcss.pwcgov.org/SelfService#/plan/323d298e-a0ad-4dc7-accd-f6b27b404c50</v>
      </c>
      <c r="AJ1193" s="2" t="str">
        <f>IFERROR(__xludf.DUMMYFUNCTION("""COMPUTED_VALUE"""),"https://pwc.publicaccessnow.com/PropertyDetail.aspx?mtab=property&amp;mpropertynumber=264052")</f>
        <v>https://pwc.publicaccessnow.com/PropertyDetail.aspx?mtab=property&amp;mpropertynumber=264052</v>
      </c>
      <c r="AK1193" s="1" t="str">
        <f>IFERROR(__xludf.DUMMYFUNCTION("""COMPUTED_VALUE"""),"")</f>
        <v/>
      </c>
      <c r="AL1193" s="1" t="str">
        <f>IFERROR(__xludf.DUMMYFUNCTION("""COMPUTED_VALUE"""),"")</f>
        <v/>
      </c>
      <c r="AM1193" s="1" t="str">
        <f>IFERROR(__xludf.DUMMYFUNCTION("""COMPUTED_VALUE"""),"")</f>
        <v/>
      </c>
      <c r="AN1193" s="1" t="str">
        <f>IFERROR(__xludf.DUMMYFUNCTION("""COMPUTED_VALUE"""),"")</f>
        <v/>
      </c>
      <c r="AO1193" s="1" t="str">
        <f>IFERROR(__xludf.DUMMYFUNCTION("""COMPUTED_VALUE"""),"")</f>
        <v/>
      </c>
      <c r="AP1193" s="1" t="str">
        <f>IFERROR(__xludf.DUMMYFUNCTION("""COMPUTED_VALUE"""),"")</f>
        <v/>
      </c>
      <c r="AQ1193" s="1" t="str">
        <f>IFERROR(__xludf.DUMMYFUNCTION("""COMPUTED_VALUE"""),"04/10/2024")</f>
        <v>04/10/2024</v>
      </c>
      <c r="AR1193" s="1" t="str">
        <f>IFERROR(__xludf.DUMMYFUNCTION("""COMPUTED_VALUE"""),"10/17/2025")</f>
        <v>10/17/2025</v>
      </c>
    </row>
    <row r="1194">
      <c r="A1194" s="1" t="str">
        <f>IFERROR(__xludf.DUMMYFUNCTION("""COMPUTED_VALUE"""),"Gainsville Tech Park")</f>
        <v>Gainsville Tech Park</v>
      </c>
      <c r="B1194" s="1" t="str">
        <f>IFERROR(__xludf.DUMMYFUNCTION("""COMPUTED_VALUE"""),"13050 HANSEN FARM RD")</f>
        <v>13050 HANSEN FARM RD</v>
      </c>
      <c r="C1194" s="1" t="str">
        <f>IFERROR(__xludf.DUMMYFUNCTION("""COMPUTED_VALUE"""),"Bristow")</f>
        <v>Bristow</v>
      </c>
      <c r="D1194" s="1" t="str">
        <f>IFERROR(__xludf.DUMMYFUNCTION("""COMPUTED_VALUE"""),"VA")</f>
        <v>VA</v>
      </c>
      <c r="E1194" s="1" t="str">
        <f>IFERROR(__xludf.DUMMYFUNCTION("""COMPUTED_VALUE"""),"20136")</f>
        <v>20136</v>
      </c>
      <c r="F1194" s="1" t="str">
        <f>IFERROR(__xludf.DUMMYFUNCTION("""COMPUTED_VALUE"""),"Prince William")</f>
        <v>Prince William</v>
      </c>
      <c r="G1194" s="1" t="str">
        <f>IFERROR(__xludf.DUMMYFUNCTION("""COMPUTED_VALUE"""),"38.780186")</f>
        <v>38.780186</v>
      </c>
      <c r="H1194" s="1" t="str">
        <f>IFERROR(__xludf.DUMMYFUNCTION("""COMPUTED_VALUE"""),"-77.568985")</f>
        <v>-77.568985</v>
      </c>
      <c r="I1194" s="1" t="str">
        <f>IFERROR(__xludf.DUMMYFUNCTION("""COMPUTED_VALUE"""),"Proposed")</f>
        <v>Proposed</v>
      </c>
      <c r="J1194" s="1" t="str">
        <f>IFERROR(__xludf.DUMMYFUNCTION("""COMPUTED_VALUE"""),"High")</f>
        <v>High</v>
      </c>
      <c r="K1194" s="1" t="str">
        <f>IFERROR(__xludf.DUMMYFUNCTION("""COMPUTED_VALUE"""),"")</f>
        <v/>
      </c>
      <c r="L1194" s="1" t="str">
        <f>IFERROR(__xludf.DUMMYFUNCTION("""COMPUTED_VALUE"""),"Microsoft")</f>
        <v>Microsoft</v>
      </c>
      <c r="M1194" s="1" t="str">
        <f>IFERROR(__xludf.DUMMYFUNCTION("""COMPUTED_VALUE"""),"")</f>
        <v/>
      </c>
      <c r="N1194" s="1" t="str">
        <f>IFERROR(__xludf.DUMMYFUNCTION("""COMPUTED_VALUE"""),"")</f>
        <v/>
      </c>
      <c r="O1194" s="1" t="str">
        <f>IFERROR(__xludf.DUMMYFUNCTION("""COMPUTED_VALUE"""),"Unknown")</f>
        <v>Unknown</v>
      </c>
      <c r="P1194" s="1" t="str">
        <f>IFERROR(__xludf.DUMMYFUNCTION("""COMPUTED_VALUE"""),"")</f>
        <v/>
      </c>
      <c r="Q1194" s="1" t="str">
        <f>IFERROR(__xludf.DUMMYFUNCTION("""COMPUTED_VALUE"""),"")</f>
        <v/>
      </c>
      <c r="R1194" s="1" t="str">
        <f>IFERROR(__xludf.DUMMYFUNCTION("""COMPUTED_VALUE"""),"")</f>
        <v/>
      </c>
      <c r="S1194" s="1" t="str">
        <f>IFERROR(__xludf.DUMMYFUNCTION("""COMPUTED_VALUE"""),"")</f>
        <v/>
      </c>
      <c r="T1194" s="1" t="str">
        <f>IFERROR(__xludf.DUMMYFUNCTION("""COMPUTED_VALUE"""),"")</f>
        <v/>
      </c>
      <c r="U1194" s="1" t="str">
        <f>IFERROR(__xludf.DUMMYFUNCTION("""COMPUTED_VALUE"""),"")</f>
        <v/>
      </c>
      <c r="V1194" s="1" t="str">
        <f>IFERROR(__xludf.DUMMYFUNCTION("""COMPUTED_VALUE"""),"2,982,000")</f>
        <v>2,982,000</v>
      </c>
      <c r="W1194" s="1" t="str">
        <f>IFERROR(__xludf.DUMMYFUNCTION("""COMPUTED_VALUE"""),"83")</f>
        <v>83</v>
      </c>
      <c r="X1194" s="1" t="str">
        <f>IFERROR(__xludf.DUMMYFUNCTION("""COMPUTED_VALUE"""),"")</f>
        <v/>
      </c>
      <c r="Y1194" s="1" t="str">
        <f>IFERROR(__xludf.DUMMYFUNCTION("""COMPUTED_VALUE"""),"")</f>
        <v/>
      </c>
      <c r="Z1194" s="1" t="str">
        <f>IFERROR(__xludf.DUMMYFUNCTION("""COMPUTED_VALUE"""),"Unknown")</f>
        <v>Unknown</v>
      </c>
      <c r="AA1194" s="1" t="str">
        <f>IFERROR(__xludf.DUMMYFUNCTION("""COMPUTED_VALUE"""),"")</f>
        <v/>
      </c>
      <c r="AB1194" s="1" t="str">
        <f>IFERROR(__xludf.DUMMYFUNCTION("""COMPUTED_VALUE"""),"")</f>
        <v/>
      </c>
      <c r="AC1194" s="1" t="str">
        <f>IFERROR(__xludf.DUMMYFUNCTION("""COMPUTED_VALUE"""),"")</f>
        <v/>
      </c>
      <c r="AD1194" s="1" t="str">
        <f>IFERROR(__xludf.DUMMYFUNCTION("""COMPUTED_VALUE"""),"")</f>
        <v/>
      </c>
      <c r="AE1194" s="1" t="str">
        <f>IFERROR(__xludf.DUMMYFUNCTION("""COMPUTED_VALUE"""),"")</f>
        <v/>
      </c>
      <c r="AF1194" s="1" t="str">
        <f>IFERROR(__xludf.DUMMYFUNCTION("""COMPUTED_VALUE"""),"")</f>
        <v/>
      </c>
      <c r="AG1194" s="1" t="str">
        <f>IFERROR(__xludf.DUMMYFUNCTION("""COMPUTED_VALUE"""),"This project covers multiple parcels. The total acreage has been represented here.")</f>
        <v>This project covers multiple parcels. The total acreage has been represented here.</v>
      </c>
      <c r="AH1194" s="1" t="str">
        <f>IFERROR(__xludf.DUMMYFUNCTION("""COMPUTED_VALUE"""),"PEC")</f>
        <v>PEC</v>
      </c>
      <c r="AI1194" s="2" t="str">
        <f>IFERROR(__xludf.DUMMYFUNCTION("""COMPUTED_VALUE"""),"https://egcss.pwcgov.org/SelfService#/plan/01fffe17-1fdc-46e3-bd5c-f5795320e7e6?tab=attachments")</f>
        <v>https://egcss.pwcgov.org/SelfService#/plan/01fffe17-1fdc-46e3-bd5c-f5795320e7e6?tab=attachments</v>
      </c>
      <c r="AJ1194" s="2" t="str">
        <f>IFERROR(__xludf.DUMMYFUNCTION("""COMPUTED_VALUE"""),"https://pwc.publicaccessnow.com/PropertyDetail.aspx?mtab=property&amp;mpropertynumber=264270")</f>
        <v>https://pwc.publicaccessnow.com/PropertyDetail.aspx?mtab=property&amp;mpropertynumber=264270</v>
      </c>
      <c r="AK1194" s="1" t="str">
        <f>IFERROR(__xludf.DUMMYFUNCTION("""COMPUTED_VALUE"""),"")</f>
        <v/>
      </c>
      <c r="AL1194" s="1" t="str">
        <f>IFERROR(__xludf.DUMMYFUNCTION("""COMPUTED_VALUE"""),"")</f>
        <v/>
      </c>
      <c r="AM1194" s="1" t="str">
        <f>IFERROR(__xludf.DUMMYFUNCTION("""COMPUTED_VALUE"""),"")</f>
        <v/>
      </c>
      <c r="AN1194" s="1" t="str">
        <f>IFERROR(__xludf.DUMMYFUNCTION("""COMPUTED_VALUE"""),"")</f>
        <v/>
      </c>
      <c r="AO1194" s="1" t="str">
        <f>IFERROR(__xludf.DUMMYFUNCTION("""COMPUTED_VALUE"""),"")</f>
        <v/>
      </c>
      <c r="AP1194" s="1" t="str">
        <f>IFERROR(__xludf.DUMMYFUNCTION("""COMPUTED_VALUE"""),"")</f>
        <v/>
      </c>
      <c r="AQ1194" s="1" t="str">
        <f>IFERROR(__xludf.DUMMYFUNCTION("""COMPUTED_VALUE"""),"04/10/2024")</f>
        <v>04/10/2024</v>
      </c>
      <c r="AR1194" s="1" t="str">
        <f>IFERROR(__xludf.DUMMYFUNCTION("""COMPUTED_VALUE"""),"10/17/2025")</f>
        <v>10/17/2025</v>
      </c>
    </row>
    <row r="1195">
      <c r="A1195" s="1" t="str">
        <f>IFERROR(__xludf.DUMMYFUNCTION("""COMPUTED_VALUE"""),"Hunter Property")</f>
        <v>Hunter Property</v>
      </c>
      <c r="B1195" s="1" t="str">
        <f>IFERROR(__xludf.DUMMYFUNCTION("""COMPUTED_VALUE"""),"8613 LINTON HALL RD")</f>
        <v>8613 LINTON HALL RD</v>
      </c>
      <c r="C1195" s="1" t="str">
        <f>IFERROR(__xludf.DUMMYFUNCTION("""COMPUTED_VALUE"""),"Bristow")</f>
        <v>Bristow</v>
      </c>
      <c r="D1195" s="1" t="str">
        <f>IFERROR(__xludf.DUMMYFUNCTION("""COMPUTED_VALUE"""),"VA")</f>
        <v>VA</v>
      </c>
      <c r="E1195" s="1" t="str">
        <f>IFERROR(__xludf.DUMMYFUNCTION("""COMPUTED_VALUE"""),"20136")</f>
        <v>20136</v>
      </c>
      <c r="F1195" s="1" t="str">
        <f>IFERROR(__xludf.DUMMYFUNCTION("""COMPUTED_VALUE"""),"Prince William")</f>
        <v>Prince William</v>
      </c>
      <c r="G1195" s="1" t="str">
        <f>IFERROR(__xludf.DUMMYFUNCTION("""COMPUTED_VALUE"""),"38.773407")</f>
        <v>38.773407</v>
      </c>
      <c r="H1195" s="1" t="str">
        <f>IFERROR(__xludf.DUMMYFUNCTION("""COMPUTED_VALUE"""),"-77.59043")</f>
        <v>-77.59043</v>
      </c>
      <c r="I1195" s="1" t="str">
        <f>IFERROR(__xludf.DUMMYFUNCTION("""COMPUTED_VALUE"""),"Proposed")</f>
        <v>Proposed</v>
      </c>
      <c r="J1195" s="1" t="str">
        <f>IFERROR(__xludf.DUMMYFUNCTION("""COMPUTED_VALUE"""),"High")</f>
        <v>High</v>
      </c>
      <c r="K1195" s="1" t="str">
        <f>IFERROR(__xludf.DUMMYFUNCTION("""COMPUTED_VALUE"""),"")</f>
        <v/>
      </c>
      <c r="L1195" s="1" t="str">
        <f>IFERROR(__xludf.DUMMYFUNCTION("""COMPUTED_VALUE"""),"LHR GAINESVILLE LLC")</f>
        <v>LHR GAINESVILLE LLC</v>
      </c>
      <c r="M1195" s="1" t="str">
        <f>IFERROR(__xludf.DUMMYFUNCTION("""COMPUTED_VALUE"""),"")</f>
        <v/>
      </c>
      <c r="N1195" s="1" t="str">
        <f>IFERROR(__xludf.DUMMYFUNCTION("""COMPUTED_VALUE"""),"")</f>
        <v/>
      </c>
      <c r="O1195" s="1" t="str">
        <f>IFERROR(__xludf.DUMMYFUNCTION("""COMPUTED_VALUE"""),"Unknown")</f>
        <v>Unknown</v>
      </c>
      <c r="P1195" s="1" t="str">
        <f>IFERROR(__xludf.DUMMYFUNCTION("""COMPUTED_VALUE"""),"")</f>
        <v/>
      </c>
      <c r="Q1195" s="1" t="str">
        <f>IFERROR(__xludf.DUMMYFUNCTION("""COMPUTED_VALUE"""),"")</f>
        <v/>
      </c>
      <c r="R1195" s="1" t="str">
        <f>IFERROR(__xludf.DUMMYFUNCTION("""COMPUTED_VALUE"""),"")</f>
        <v/>
      </c>
      <c r="S1195" s="1" t="str">
        <f>IFERROR(__xludf.DUMMYFUNCTION("""COMPUTED_VALUE"""),"")</f>
        <v/>
      </c>
      <c r="T1195" s="1" t="str">
        <f>IFERROR(__xludf.DUMMYFUNCTION("""COMPUTED_VALUE"""),"")</f>
        <v/>
      </c>
      <c r="U1195" s="1" t="str">
        <f>IFERROR(__xludf.DUMMYFUNCTION("""COMPUTED_VALUE"""),"")</f>
        <v/>
      </c>
      <c r="V1195" s="1" t="str">
        <f>IFERROR(__xludf.DUMMYFUNCTION("""COMPUTED_VALUE"""),"3,650,157")</f>
        <v>3,650,157</v>
      </c>
      <c r="W1195" s="1" t="str">
        <f>IFERROR(__xludf.DUMMYFUNCTION("""COMPUTED_VALUE"""),"196")</f>
        <v>196</v>
      </c>
      <c r="X1195" s="1" t="str">
        <f>IFERROR(__xludf.DUMMYFUNCTION("""COMPUTED_VALUE"""),"")</f>
        <v/>
      </c>
      <c r="Y1195" s="1" t="str">
        <f>IFERROR(__xludf.DUMMYFUNCTION("""COMPUTED_VALUE"""),"")</f>
        <v/>
      </c>
      <c r="Z1195" s="1" t="str">
        <f>IFERROR(__xludf.DUMMYFUNCTION("""COMPUTED_VALUE"""),"Unknown")</f>
        <v>Unknown</v>
      </c>
      <c r="AA1195" s="1" t="str">
        <f>IFERROR(__xludf.DUMMYFUNCTION("""COMPUTED_VALUE"""),"")</f>
        <v/>
      </c>
      <c r="AB1195" s="1" t="str">
        <f>IFERROR(__xludf.DUMMYFUNCTION("""COMPUTED_VALUE"""),"")</f>
        <v/>
      </c>
      <c r="AC1195" s="1" t="str">
        <f>IFERROR(__xludf.DUMMYFUNCTION("""COMPUTED_VALUE"""),"")</f>
        <v/>
      </c>
      <c r="AD1195" s="1" t="str">
        <f>IFERROR(__xludf.DUMMYFUNCTION("""COMPUTED_VALUE"""),"")</f>
        <v/>
      </c>
      <c r="AE1195" s="1" t="str">
        <f>IFERROR(__xludf.DUMMYFUNCTION("""COMPUTED_VALUE"""),"")</f>
        <v/>
      </c>
      <c r="AF1195" s="1" t="str">
        <f>IFERROR(__xludf.DUMMYFUNCTION("""COMPUTED_VALUE"""),"")</f>
        <v/>
      </c>
      <c r="AG1195" s="1" t="str">
        <f>IFERROR(__xludf.DUMMYFUNCTION("""COMPUTED_VALUE"""),"This project covers multiple parcels. The total acreage has been represented here.")</f>
        <v>This project covers multiple parcels. The total acreage has been represented here.</v>
      </c>
      <c r="AH1195" s="1" t="str">
        <f>IFERROR(__xludf.DUMMYFUNCTION("""COMPUTED_VALUE"""),"PEC")</f>
        <v>PEC</v>
      </c>
      <c r="AI1195" s="2" t="str">
        <f>IFERROR(__xludf.DUMMYFUNCTION("""COMPUTED_VALUE"""),"https://www.pwcva.gov/assets/2022-01/Frequently%20Asked%20Questions.1.20.22.pdf")</f>
        <v>https://www.pwcva.gov/assets/2022-01/Frequently%20Asked%20Questions.1.20.22.pdf</v>
      </c>
      <c r="AJ1195" s="2" t="str">
        <f>IFERROR(__xludf.DUMMYFUNCTION("""COMPUTED_VALUE"""),"https://pwc.publicaccessnow.com/PropertyDetail.aspx?mtab=property&amp;mpropertynumber=001468")</f>
        <v>https://pwc.publicaccessnow.com/PropertyDetail.aspx?mtab=property&amp;mpropertynumber=001468</v>
      </c>
      <c r="AK1195" s="1" t="str">
        <f>IFERROR(__xludf.DUMMYFUNCTION("""COMPUTED_VALUE"""),"")</f>
        <v/>
      </c>
      <c r="AL1195" s="1" t="str">
        <f>IFERROR(__xludf.DUMMYFUNCTION("""COMPUTED_VALUE"""),"")</f>
        <v/>
      </c>
      <c r="AM1195" s="1" t="str">
        <f>IFERROR(__xludf.DUMMYFUNCTION("""COMPUTED_VALUE"""),"")</f>
        <v/>
      </c>
      <c r="AN1195" s="1" t="str">
        <f>IFERROR(__xludf.DUMMYFUNCTION("""COMPUTED_VALUE"""),"")</f>
        <v/>
      </c>
      <c r="AO1195" s="1" t="str">
        <f>IFERROR(__xludf.DUMMYFUNCTION("""COMPUTED_VALUE"""),"")</f>
        <v/>
      </c>
      <c r="AP1195" s="1" t="str">
        <f>IFERROR(__xludf.DUMMYFUNCTION("""COMPUTED_VALUE"""),"")</f>
        <v/>
      </c>
      <c r="AQ1195" s="1" t="str">
        <f>IFERROR(__xludf.DUMMYFUNCTION("""COMPUTED_VALUE"""),"04/10/2024")</f>
        <v>04/10/2024</v>
      </c>
      <c r="AR1195" s="1" t="str">
        <f>IFERROR(__xludf.DUMMYFUNCTION("""COMPUTED_VALUE"""),"10/17/2025")</f>
        <v>10/17/2025</v>
      </c>
    </row>
    <row r="1196">
      <c r="A1196" s="1" t="str">
        <f>IFERROR(__xludf.DUMMYFUNCTION("""COMPUTED_VALUE"""),"MICROSOFT CORPORATION")</f>
        <v>MICROSOFT CORPORATION</v>
      </c>
      <c r="B1196" s="1" t="str">
        <f>IFERROR(__xludf.DUMMYFUNCTION("""COMPUTED_VALUE"""),"7745 Piney Branch Ln")</f>
        <v>7745 Piney Branch Ln</v>
      </c>
      <c r="C1196" s="1" t="str">
        <f>IFERROR(__xludf.DUMMYFUNCTION("""COMPUTED_VALUE"""),"Bristow")</f>
        <v>Bristow</v>
      </c>
      <c r="D1196" s="1" t="str">
        <f>IFERROR(__xludf.DUMMYFUNCTION("""COMPUTED_VALUE"""),"VA")</f>
        <v>VA</v>
      </c>
      <c r="E1196" s="1" t="str">
        <f>IFERROR(__xludf.DUMMYFUNCTION("""COMPUTED_VALUE"""),"20136")</f>
        <v>20136</v>
      </c>
      <c r="F1196" s="1" t="str">
        <f>IFERROR(__xludf.DUMMYFUNCTION("""COMPUTED_VALUE"""),"Prince William")</f>
        <v>Prince William</v>
      </c>
      <c r="G1196" s="1" t="str">
        <f>IFERROR(__xludf.DUMMYFUNCTION("""COMPUTED_VALUE"""),"38.784103")</f>
        <v>38.784103</v>
      </c>
      <c r="H1196" s="1" t="str">
        <f>IFERROR(__xludf.DUMMYFUNCTION("""COMPUTED_VALUE"""),"-77.567726")</f>
        <v>-77.567726</v>
      </c>
      <c r="I1196" s="1" t="str">
        <f>IFERROR(__xludf.DUMMYFUNCTION("""COMPUTED_VALUE"""),"Proposed")</f>
        <v>Proposed</v>
      </c>
      <c r="J1196" s="1" t="str">
        <f>IFERROR(__xludf.DUMMYFUNCTION("""COMPUTED_VALUE"""),"High")</f>
        <v>High</v>
      </c>
      <c r="K1196" s="1" t="str">
        <f>IFERROR(__xludf.DUMMYFUNCTION("""COMPUTED_VALUE"""),"")</f>
        <v/>
      </c>
      <c r="L1196" s="1" t="str">
        <f>IFERROR(__xludf.DUMMYFUNCTION("""COMPUTED_VALUE"""),"Microsoft")</f>
        <v>Microsoft</v>
      </c>
      <c r="M1196" s="1" t="str">
        <f>IFERROR(__xludf.DUMMYFUNCTION("""COMPUTED_VALUE"""),"")</f>
        <v/>
      </c>
      <c r="N1196" s="1" t="str">
        <f>IFERROR(__xludf.DUMMYFUNCTION("""COMPUTED_VALUE"""),"")</f>
        <v/>
      </c>
      <c r="O1196" s="1" t="str">
        <f>IFERROR(__xludf.DUMMYFUNCTION("""COMPUTED_VALUE"""),"Unknown")</f>
        <v>Unknown</v>
      </c>
      <c r="P1196" s="1" t="str">
        <f>IFERROR(__xludf.DUMMYFUNCTION("""COMPUTED_VALUE"""),"")</f>
        <v/>
      </c>
      <c r="Q1196" s="1" t="str">
        <f>IFERROR(__xludf.DUMMYFUNCTION("""COMPUTED_VALUE"""),"")</f>
        <v/>
      </c>
      <c r="R1196" s="1" t="str">
        <f>IFERROR(__xludf.DUMMYFUNCTION("""COMPUTED_VALUE"""),"")</f>
        <v/>
      </c>
      <c r="S1196" s="1" t="str">
        <f>IFERROR(__xludf.DUMMYFUNCTION("""COMPUTED_VALUE"""),"")</f>
        <v/>
      </c>
      <c r="T1196" s="1" t="str">
        <f>IFERROR(__xludf.DUMMYFUNCTION("""COMPUTED_VALUE"""),"")</f>
        <v/>
      </c>
      <c r="U1196" s="1" t="str">
        <f>IFERROR(__xludf.DUMMYFUNCTION("""COMPUTED_VALUE"""),"")</f>
        <v/>
      </c>
      <c r="V1196" s="1" t="str">
        <f>IFERROR(__xludf.DUMMYFUNCTION("""COMPUTED_VALUE"""),"200,000")</f>
        <v>200,000</v>
      </c>
      <c r="W1196" s="1" t="str">
        <f>IFERROR(__xludf.DUMMYFUNCTION("""COMPUTED_VALUE"""),"2")</f>
        <v>2</v>
      </c>
      <c r="X1196" s="1" t="str">
        <f>IFERROR(__xludf.DUMMYFUNCTION("""COMPUTED_VALUE"""),"")</f>
        <v/>
      </c>
      <c r="Y1196" s="1" t="str">
        <f>IFERROR(__xludf.DUMMYFUNCTION("""COMPUTED_VALUE"""),"")</f>
        <v/>
      </c>
      <c r="Z1196" s="1" t="str">
        <f>IFERROR(__xludf.DUMMYFUNCTION("""COMPUTED_VALUE"""),"Unknown")</f>
        <v>Unknown</v>
      </c>
      <c r="AA1196" s="1" t="str">
        <f>IFERROR(__xludf.DUMMYFUNCTION("""COMPUTED_VALUE"""),"")</f>
        <v/>
      </c>
      <c r="AB1196" s="1" t="str">
        <f>IFERROR(__xludf.DUMMYFUNCTION("""COMPUTED_VALUE"""),"")</f>
        <v/>
      </c>
      <c r="AC1196" s="1" t="str">
        <f>IFERROR(__xludf.DUMMYFUNCTION("""COMPUTED_VALUE"""),"")</f>
        <v/>
      </c>
      <c r="AD1196" s="1" t="str">
        <f>IFERROR(__xludf.DUMMYFUNCTION("""COMPUTED_VALUE"""),"")</f>
        <v/>
      </c>
      <c r="AE1196" s="1" t="str">
        <f>IFERROR(__xludf.DUMMYFUNCTION("""COMPUTED_VALUE"""),"")</f>
        <v/>
      </c>
      <c r="AF1196" s="1" t="str">
        <f>IFERROR(__xludf.DUMMYFUNCTION("""COMPUTED_VALUE"""),"")</f>
        <v/>
      </c>
      <c r="AG1196" s="1" t="str">
        <f>IFERROR(__xludf.DUMMYFUNCTION("""COMPUTED_VALUE"""),"")</f>
        <v/>
      </c>
      <c r="AH1196" s="1" t="str">
        <f>IFERROR(__xludf.DUMMYFUNCTION("""COMPUTED_VALUE"""),"PEC")</f>
        <v>PEC</v>
      </c>
      <c r="AI1196" s="2" t="str">
        <f>IFERROR(__xludf.DUMMYFUNCTION("""COMPUTED_VALUE"""),"https://egcss.pwcgov.org/SelfService#/plan/99b2ba0d-f246-4c99-b44a-b4b2ccda56bf")</f>
        <v>https://egcss.pwcgov.org/SelfService#/plan/99b2ba0d-f246-4c99-b44a-b4b2ccda56bf</v>
      </c>
      <c r="AJ1196" s="2" t="str">
        <f>IFERROR(__xludf.DUMMYFUNCTION("""COMPUTED_VALUE"""),"https://pwc.publicaccessnow.com/PropertyDetail.aspx?mpropertynumber=067772&amp;mtab=property&amp;p=067772")</f>
        <v>https://pwc.publicaccessnow.com/PropertyDetail.aspx?mpropertynumber=067772&amp;mtab=property&amp;p=067772</v>
      </c>
      <c r="AK1196" s="1" t="str">
        <f>IFERROR(__xludf.DUMMYFUNCTION("""COMPUTED_VALUE"""),"")</f>
        <v/>
      </c>
      <c r="AL1196" s="1" t="str">
        <f>IFERROR(__xludf.DUMMYFUNCTION("""COMPUTED_VALUE"""),"")</f>
        <v/>
      </c>
      <c r="AM1196" s="1" t="str">
        <f>IFERROR(__xludf.DUMMYFUNCTION("""COMPUTED_VALUE"""),"")</f>
        <v/>
      </c>
      <c r="AN1196" s="1" t="str">
        <f>IFERROR(__xludf.DUMMYFUNCTION("""COMPUTED_VALUE"""),"")</f>
        <v/>
      </c>
      <c r="AO1196" s="1" t="str">
        <f>IFERROR(__xludf.DUMMYFUNCTION("""COMPUTED_VALUE"""),"")</f>
        <v/>
      </c>
      <c r="AP1196" s="1" t="str">
        <f>IFERROR(__xludf.DUMMYFUNCTION("""COMPUTED_VALUE"""),"")</f>
        <v/>
      </c>
      <c r="AQ1196" s="1" t="str">
        <f>IFERROR(__xludf.DUMMYFUNCTION("""COMPUTED_VALUE"""),"04/10/2024")</f>
        <v>04/10/2024</v>
      </c>
      <c r="AR1196" s="1" t="str">
        <f>IFERROR(__xludf.DUMMYFUNCTION("""COMPUTED_VALUE"""),"10/17/2025")</f>
        <v>10/17/2025</v>
      </c>
    </row>
    <row r="1197">
      <c r="A1197" s="1" t="str">
        <f>IFERROR(__xludf.DUMMYFUNCTION("""COMPUTED_VALUE"""),"NOVA MANGO FARMS LLC
 C/O CORPORATION SERVICE COMPANY")</f>
        <v>NOVA MANGO FARMS LLC
 C/O CORPORATION SERVICE COMPANY</v>
      </c>
      <c r="B1197" s="1" t="str">
        <f>IFERROR(__xludf.DUMMYFUNCTION("""COMPUTED_VALUE"""),"13001 ROLLINS FORD RD")</f>
        <v>13001 ROLLINS FORD RD</v>
      </c>
      <c r="C1197" s="1" t="str">
        <f>IFERROR(__xludf.DUMMYFUNCTION("""COMPUTED_VALUE"""),"Bristow")</f>
        <v>Bristow</v>
      </c>
      <c r="D1197" s="1" t="str">
        <f>IFERROR(__xludf.DUMMYFUNCTION("""COMPUTED_VALUE"""),"VA")</f>
        <v>VA</v>
      </c>
      <c r="E1197" s="1" t="str">
        <f>IFERROR(__xludf.DUMMYFUNCTION("""COMPUTED_VALUE"""),"20136")</f>
        <v>20136</v>
      </c>
      <c r="F1197" s="1" t="str">
        <f>IFERROR(__xludf.DUMMYFUNCTION("""COMPUTED_VALUE"""),"Prince William")</f>
        <v>Prince William</v>
      </c>
      <c r="G1197" s="1" t="str">
        <f>IFERROR(__xludf.DUMMYFUNCTION("""COMPUTED_VALUE"""),"38.77619")</f>
        <v>38.77619</v>
      </c>
      <c r="H1197" s="1" t="str">
        <f>IFERROR(__xludf.DUMMYFUNCTION("""COMPUTED_VALUE"""),"-77.583405")</f>
        <v>-77.583405</v>
      </c>
      <c r="I1197" s="1" t="str">
        <f>IFERROR(__xludf.DUMMYFUNCTION("""COMPUTED_VALUE"""),"Operating")</f>
        <v>Operating</v>
      </c>
      <c r="J1197" s="1" t="str">
        <f>IFERROR(__xludf.DUMMYFUNCTION("""COMPUTED_VALUE"""),"High")</f>
        <v>High</v>
      </c>
      <c r="K1197" s="1" t="str">
        <f>IFERROR(__xludf.DUMMYFUNCTION("""COMPUTED_VALUE"""),"")</f>
        <v/>
      </c>
      <c r="L1197" s="1" t="str">
        <f>IFERROR(__xludf.DUMMYFUNCTION("""COMPUTED_VALUE"""),"NOVA MANGO FARMS LLC
 C/O CORPORATION SERVICE COMPANY")</f>
        <v>NOVA MANGO FARMS LLC
 C/O CORPORATION SERVICE COMPANY</v>
      </c>
      <c r="M1197" s="1" t="str">
        <f>IFERROR(__xludf.DUMMYFUNCTION("""COMPUTED_VALUE"""),"")</f>
        <v/>
      </c>
      <c r="N1197" s="1" t="str">
        <f>IFERROR(__xludf.DUMMYFUNCTION("""COMPUTED_VALUE"""),"")</f>
        <v/>
      </c>
      <c r="O1197" s="1" t="str">
        <f>IFERROR(__xludf.DUMMYFUNCTION("""COMPUTED_VALUE"""),"Unknown")</f>
        <v>Unknown</v>
      </c>
      <c r="P1197" s="1" t="str">
        <f>IFERROR(__xludf.DUMMYFUNCTION("""COMPUTED_VALUE"""),"")</f>
        <v/>
      </c>
      <c r="Q1197" s="1" t="str">
        <f>IFERROR(__xludf.DUMMYFUNCTION("""COMPUTED_VALUE"""),"")</f>
        <v/>
      </c>
      <c r="R1197" s="1" t="str">
        <f>IFERROR(__xludf.DUMMYFUNCTION("""COMPUTED_VALUE"""),"")</f>
        <v/>
      </c>
      <c r="S1197" s="1" t="str">
        <f>IFERROR(__xludf.DUMMYFUNCTION("""COMPUTED_VALUE"""),"")</f>
        <v/>
      </c>
      <c r="T1197" s="1" t="str">
        <f>IFERROR(__xludf.DUMMYFUNCTION("""COMPUTED_VALUE"""),"")</f>
        <v/>
      </c>
      <c r="U1197" s="1" t="str">
        <f>IFERROR(__xludf.DUMMYFUNCTION("""COMPUTED_VALUE"""),"")</f>
        <v/>
      </c>
      <c r="V1197" s="1" t="str">
        <f>IFERROR(__xludf.DUMMYFUNCTION("""COMPUTED_VALUE"""),"578,290")</f>
        <v>578,290</v>
      </c>
      <c r="W1197" s="1" t="str">
        <f>IFERROR(__xludf.DUMMYFUNCTION("""COMPUTED_VALUE"""),"254")</f>
        <v>254</v>
      </c>
      <c r="X1197" s="1" t="str">
        <f>IFERROR(__xludf.DUMMYFUNCTION("""COMPUTED_VALUE"""),"")</f>
        <v/>
      </c>
      <c r="Y1197" s="1" t="str">
        <f>IFERROR(__xludf.DUMMYFUNCTION("""COMPUTED_VALUE"""),"")</f>
        <v/>
      </c>
      <c r="Z1197" s="1" t="str">
        <f>IFERROR(__xludf.DUMMYFUNCTION("""COMPUTED_VALUE"""),"Unknown")</f>
        <v>Unknown</v>
      </c>
      <c r="AA1197" s="1" t="str">
        <f>IFERROR(__xludf.DUMMYFUNCTION("""COMPUTED_VALUE"""),"")</f>
        <v/>
      </c>
      <c r="AB1197" s="1" t="str">
        <f>IFERROR(__xludf.DUMMYFUNCTION("""COMPUTED_VALUE"""),"")</f>
        <v/>
      </c>
      <c r="AC1197" s="1" t="str">
        <f>IFERROR(__xludf.DUMMYFUNCTION("""COMPUTED_VALUE"""),"")</f>
        <v/>
      </c>
      <c r="AD1197" s="1" t="str">
        <f>IFERROR(__xludf.DUMMYFUNCTION("""COMPUTED_VALUE"""),"")</f>
        <v/>
      </c>
      <c r="AE1197" s="1" t="str">
        <f>IFERROR(__xludf.DUMMYFUNCTION("""COMPUTED_VALUE"""),"")</f>
        <v/>
      </c>
      <c r="AF1197" s="1" t="str">
        <f>IFERROR(__xludf.DUMMYFUNCTION("""COMPUTED_VALUE"""),"")</f>
        <v/>
      </c>
      <c r="AG1197" s="1" t="str">
        <f>IFERROR(__xludf.DUMMYFUNCTION("""COMPUTED_VALUE"""),"")</f>
        <v/>
      </c>
      <c r="AH1197" s="1" t="str">
        <f>IFERROR(__xludf.DUMMYFUNCTION("""COMPUTED_VALUE"""),"PEC")</f>
        <v>PEC</v>
      </c>
      <c r="AI1197" s="2" t="str">
        <f>IFERROR(__xludf.DUMMYFUNCTION("""COMPUTED_VALUE"""),"https://pwc.publicaccessnow.com/PropertyDetail.aspx?mpropertynumber=001687&amp;mtab=property&amp;p=001687")</f>
        <v>https://pwc.publicaccessnow.com/PropertyDetail.aspx?mpropertynumber=001687&amp;mtab=property&amp;p=001687</v>
      </c>
      <c r="AJ1197" s="1" t="str">
        <f>IFERROR(__xludf.DUMMYFUNCTION("""COMPUTED_VALUE"""),"")</f>
        <v/>
      </c>
      <c r="AK1197" s="1" t="str">
        <f>IFERROR(__xludf.DUMMYFUNCTION("""COMPUTED_VALUE"""),"")</f>
        <v/>
      </c>
      <c r="AL1197" s="1" t="str">
        <f>IFERROR(__xludf.DUMMYFUNCTION("""COMPUTED_VALUE"""),"")</f>
        <v/>
      </c>
      <c r="AM1197" s="1" t="str">
        <f>IFERROR(__xludf.DUMMYFUNCTION("""COMPUTED_VALUE"""),"")</f>
        <v/>
      </c>
      <c r="AN1197" s="1" t="str">
        <f>IFERROR(__xludf.DUMMYFUNCTION("""COMPUTED_VALUE"""),"")</f>
        <v/>
      </c>
      <c r="AO1197" s="1" t="str">
        <f>IFERROR(__xludf.DUMMYFUNCTION("""COMPUTED_VALUE"""),"")</f>
        <v/>
      </c>
      <c r="AP1197" s="1" t="str">
        <f>IFERROR(__xludf.DUMMYFUNCTION("""COMPUTED_VALUE"""),"")</f>
        <v/>
      </c>
      <c r="AQ1197" s="1" t="str">
        <f>IFERROR(__xludf.DUMMYFUNCTION("""COMPUTED_VALUE"""),"04/10/2024")</f>
        <v>04/10/2024</v>
      </c>
      <c r="AR1197" s="1" t="str">
        <f>IFERROR(__xludf.DUMMYFUNCTION("""COMPUTED_VALUE"""),"10/17/2025")</f>
        <v>10/17/2025</v>
      </c>
    </row>
    <row r="1198">
      <c r="A1198" s="1" t="str">
        <f>IFERROR(__xludf.DUMMYFUNCTION("""COMPUTED_VALUE"""),"PROJECT INDUSTRY")</f>
        <v>PROJECT INDUSTRY</v>
      </c>
      <c r="B1198" s="1" t="str">
        <f>IFERROR(__xludf.DUMMYFUNCTION("""COMPUTED_VALUE"""),"8001 INDUSTRIAL PARK CT")</f>
        <v>8001 INDUSTRIAL PARK CT</v>
      </c>
      <c r="C1198" s="1" t="str">
        <f>IFERROR(__xludf.DUMMYFUNCTION("""COMPUTED_VALUE"""),"Bristow")</f>
        <v>Bristow</v>
      </c>
      <c r="D1198" s="1" t="str">
        <f>IFERROR(__xludf.DUMMYFUNCTION("""COMPUTED_VALUE"""),"VA")</f>
        <v>VA</v>
      </c>
      <c r="E1198" s="1" t="str">
        <f>IFERROR(__xludf.DUMMYFUNCTION("""COMPUTED_VALUE"""),"20136")</f>
        <v>20136</v>
      </c>
      <c r="F1198" s="1" t="str">
        <f>IFERROR(__xludf.DUMMYFUNCTION("""COMPUTED_VALUE"""),"Prince William")</f>
        <v>Prince William</v>
      </c>
      <c r="G1198" s="1" t="str">
        <f>IFERROR(__xludf.DUMMYFUNCTION("""COMPUTED_VALUE"""),"38.781742")</f>
        <v>38.781742</v>
      </c>
      <c r="H1198" s="1" t="str">
        <f>IFERROR(__xludf.DUMMYFUNCTION("""COMPUTED_VALUE"""),"-77.579185")</f>
        <v>-77.579185</v>
      </c>
      <c r="I1198" s="1" t="str">
        <f>IFERROR(__xludf.DUMMYFUNCTION("""COMPUTED_VALUE"""),"Proposed")</f>
        <v>Proposed</v>
      </c>
      <c r="J1198" s="1" t="str">
        <f>IFERROR(__xludf.DUMMYFUNCTION("""COMPUTED_VALUE"""),"High")</f>
        <v>High</v>
      </c>
      <c r="K1198" s="1" t="str">
        <f>IFERROR(__xludf.DUMMYFUNCTION("""COMPUTED_VALUE"""),"")</f>
        <v/>
      </c>
      <c r="L1198" s="1" t="str">
        <f>IFERROR(__xludf.DUMMYFUNCTION("""COMPUTED_VALUE"""),"")</f>
        <v/>
      </c>
      <c r="M1198" s="1" t="str">
        <f>IFERROR(__xludf.DUMMYFUNCTION("""COMPUTED_VALUE"""),"")</f>
        <v/>
      </c>
      <c r="N1198" s="1" t="str">
        <f>IFERROR(__xludf.DUMMYFUNCTION("""COMPUTED_VALUE"""),"")</f>
        <v/>
      </c>
      <c r="O1198" s="1" t="str">
        <f>IFERROR(__xludf.DUMMYFUNCTION("""COMPUTED_VALUE"""),"Unknown")</f>
        <v>Unknown</v>
      </c>
      <c r="P1198" s="1" t="str">
        <f>IFERROR(__xludf.DUMMYFUNCTION("""COMPUTED_VALUE"""),"")</f>
        <v/>
      </c>
      <c r="Q1198" s="1" t="str">
        <f>IFERROR(__xludf.DUMMYFUNCTION("""COMPUTED_VALUE"""),"")</f>
        <v/>
      </c>
      <c r="R1198" s="1" t="str">
        <f>IFERROR(__xludf.DUMMYFUNCTION("""COMPUTED_VALUE"""),"")</f>
        <v/>
      </c>
      <c r="S1198" s="1" t="str">
        <f>IFERROR(__xludf.DUMMYFUNCTION("""COMPUTED_VALUE"""),"")</f>
        <v/>
      </c>
      <c r="T1198" s="1" t="str">
        <f>IFERROR(__xludf.DUMMYFUNCTION("""COMPUTED_VALUE"""),"")</f>
        <v/>
      </c>
      <c r="U1198" s="1" t="str">
        <f>IFERROR(__xludf.DUMMYFUNCTION("""COMPUTED_VALUE"""),"")</f>
        <v/>
      </c>
      <c r="V1198" s="1" t="str">
        <f>IFERROR(__xludf.DUMMYFUNCTION("""COMPUTED_VALUE"""),"1,838,000")</f>
        <v>1,838,000</v>
      </c>
      <c r="W1198" s="1" t="str">
        <f>IFERROR(__xludf.DUMMYFUNCTION("""COMPUTED_VALUE"""),"42")</f>
        <v>42</v>
      </c>
      <c r="X1198" s="1" t="str">
        <f>IFERROR(__xludf.DUMMYFUNCTION("""COMPUTED_VALUE"""),"")</f>
        <v/>
      </c>
      <c r="Y1198" s="1" t="str">
        <f>IFERROR(__xludf.DUMMYFUNCTION("""COMPUTED_VALUE"""),"")</f>
        <v/>
      </c>
      <c r="Z1198" s="1" t="str">
        <f>IFERROR(__xludf.DUMMYFUNCTION("""COMPUTED_VALUE"""),"Unknown")</f>
        <v>Unknown</v>
      </c>
      <c r="AA1198" s="1" t="str">
        <f>IFERROR(__xludf.DUMMYFUNCTION("""COMPUTED_VALUE"""),"")</f>
        <v/>
      </c>
      <c r="AB1198" s="1" t="str">
        <f>IFERROR(__xludf.DUMMYFUNCTION("""COMPUTED_VALUE"""),"")</f>
        <v/>
      </c>
      <c r="AC1198" s="1" t="str">
        <f>IFERROR(__xludf.DUMMYFUNCTION("""COMPUTED_VALUE"""),"")</f>
        <v/>
      </c>
      <c r="AD1198" s="1" t="str">
        <f>IFERROR(__xludf.DUMMYFUNCTION("""COMPUTED_VALUE"""),"")</f>
        <v/>
      </c>
      <c r="AE1198" s="1" t="str">
        <f>IFERROR(__xludf.DUMMYFUNCTION("""COMPUTED_VALUE"""),"")</f>
        <v/>
      </c>
      <c r="AF1198" s="1" t="str">
        <f>IFERROR(__xludf.DUMMYFUNCTION("""COMPUTED_VALUE"""),"")</f>
        <v/>
      </c>
      <c r="AG1198" s="1" t="str">
        <f>IFERROR(__xludf.DUMMYFUNCTION("""COMPUTED_VALUE"""),"This project covers multiple parcels. The total acreage has been represented here.")</f>
        <v>This project covers multiple parcels. The total acreage has been represented here.</v>
      </c>
      <c r="AH1198" s="1" t="str">
        <f>IFERROR(__xludf.DUMMYFUNCTION("""COMPUTED_VALUE"""),"PEC")</f>
        <v>PEC</v>
      </c>
      <c r="AI1198" s="2" t="str">
        <f>IFERROR(__xludf.DUMMYFUNCTION("""COMPUTED_VALUE"""),"https://egcss.pwcgov.org/SelfService#/plan/71a5c10e-0a22-4286-a5c9-b05bff0d3e5f?tab=attachments")</f>
        <v>https://egcss.pwcgov.org/SelfService#/plan/71a5c10e-0a22-4286-a5c9-b05bff0d3e5f?tab=attachments</v>
      </c>
      <c r="AJ1198" s="2" t="str">
        <f>IFERROR(__xludf.DUMMYFUNCTION("""COMPUTED_VALUE"""),"https://pwc.publicaccessnow.com/PropertyDetail.aspx?mtab=property&amp;mpropertynumber=255992")</f>
        <v>https://pwc.publicaccessnow.com/PropertyDetail.aspx?mtab=property&amp;mpropertynumber=255992</v>
      </c>
      <c r="AK1198" s="1" t="str">
        <f>IFERROR(__xludf.DUMMYFUNCTION("""COMPUTED_VALUE"""),"")</f>
        <v/>
      </c>
      <c r="AL1198" s="1" t="str">
        <f>IFERROR(__xludf.DUMMYFUNCTION("""COMPUTED_VALUE"""),"")</f>
        <v/>
      </c>
      <c r="AM1198" s="1" t="str">
        <f>IFERROR(__xludf.DUMMYFUNCTION("""COMPUTED_VALUE"""),"")</f>
        <v/>
      </c>
      <c r="AN1198" s="1" t="str">
        <f>IFERROR(__xludf.DUMMYFUNCTION("""COMPUTED_VALUE"""),"")</f>
        <v/>
      </c>
      <c r="AO1198" s="1" t="str">
        <f>IFERROR(__xludf.DUMMYFUNCTION("""COMPUTED_VALUE"""),"")</f>
        <v/>
      </c>
      <c r="AP1198" s="1" t="str">
        <f>IFERROR(__xludf.DUMMYFUNCTION("""COMPUTED_VALUE"""),"")</f>
        <v/>
      </c>
      <c r="AQ1198" s="1" t="str">
        <f>IFERROR(__xludf.DUMMYFUNCTION("""COMPUTED_VALUE"""),"07/12/2025")</f>
        <v>07/12/2025</v>
      </c>
      <c r="AR1198" s="1" t="str">
        <f>IFERROR(__xludf.DUMMYFUNCTION("""COMPUTED_VALUE"""),"10/17/2025")</f>
        <v>10/17/2025</v>
      </c>
    </row>
    <row r="1199">
      <c r="A1199" s="1" t="str">
        <f>IFERROR(__xludf.DUMMYFUNCTION("""COMPUTED_VALUE"""),"SES AMERICOM INC")</f>
        <v>SES AMERICOM INC</v>
      </c>
      <c r="B1199" s="1" t="str">
        <f>IFERROR(__xludf.DUMMYFUNCTION("""COMPUTED_VALUE"""),"8000 GAINSFORD CT")</f>
        <v>8000 GAINSFORD CT</v>
      </c>
      <c r="C1199" s="1" t="str">
        <f>IFERROR(__xludf.DUMMYFUNCTION("""COMPUTED_VALUE"""),"Bristow")</f>
        <v>Bristow</v>
      </c>
      <c r="D1199" s="1" t="str">
        <f>IFERROR(__xludf.DUMMYFUNCTION("""COMPUTED_VALUE"""),"VA")</f>
        <v>VA</v>
      </c>
      <c r="E1199" s="1" t="str">
        <f>IFERROR(__xludf.DUMMYFUNCTION("""COMPUTED_VALUE"""),"20136")</f>
        <v>20136</v>
      </c>
      <c r="F1199" s="1" t="str">
        <f>IFERROR(__xludf.DUMMYFUNCTION("""COMPUTED_VALUE"""),"Prince William")</f>
        <v>Prince William</v>
      </c>
      <c r="G1199" s="1" t="str">
        <f>IFERROR(__xludf.DUMMYFUNCTION("""COMPUTED_VALUE"""),"38.78381")</f>
        <v>38.78381</v>
      </c>
      <c r="H1199" s="1" t="str">
        <f>IFERROR(__xludf.DUMMYFUNCTION("""COMPUTED_VALUE"""),"-77.57232")</f>
        <v>-77.57232</v>
      </c>
      <c r="I1199" s="1" t="str">
        <f>IFERROR(__xludf.DUMMYFUNCTION("""COMPUTED_VALUE"""),"Operating")</f>
        <v>Operating</v>
      </c>
      <c r="J1199" s="1" t="str">
        <f>IFERROR(__xludf.DUMMYFUNCTION("""COMPUTED_VALUE"""),"High")</f>
        <v>High</v>
      </c>
      <c r="K1199" s="1" t="str">
        <f>IFERROR(__xludf.DUMMYFUNCTION("""COMPUTED_VALUE"""),"")</f>
        <v/>
      </c>
      <c r="L1199" s="1" t="str">
        <f>IFERROR(__xludf.DUMMYFUNCTION("""COMPUTED_VALUE"""),"SES AMERICOM INC")</f>
        <v>SES AMERICOM INC</v>
      </c>
      <c r="M1199" s="1" t="str">
        <f>IFERROR(__xludf.DUMMYFUNCTION("""COMPUTED_VALUE"""),"")</f>
        <v/>
      </c>
      <c r="N1199" s="1" t="str">
        <f>IFERROR(__xludf.DUMMYFUNCTION("""COMPUTED_VALUE"""),"")</f>
        <v/>
      </c>
      <c r="O1199" s="1" t="str">
        <f>IFERROR(__xludf.DUMMYFUNCTION("""COMPUTED_VALUE"""),"Unknown")</f>
        <v>Unknown</v>
      </c>
      <c r="P1199" s="1" t="str">
        <f>IFERROR(__xludf.DUMMYFUNCTION("""COMPUTED_VALUE"""),"")</f>
        <v/>
      </c>
      <c r="Q1199" s="1" t="str">
        <f>IFERROR(__xludf.DUMMYFUNCTION("""COMPUTED_VALUE"""),"")</f>
        <v/>
      </c>
      <c r="R1199" s="1" t="str">
        <f>IFERROR(__xludf.DUMMYFUNCTION("""COMPUTED_VALUE"""),"")</f>
        <v/>
      </c>
      <c r="S1199" s="1" t="str">
        <f>IFERROR(__xludf.DUMMYFUNCTION("""COMPUTED_VALUE"""),"")</f>
        <v/>
      </c>
      <c r="T1199" s="1" t="str">
        <f>IFERROR(__xludf.DUMMYFUNCTION("""COMPUTED_VALUE"""),"")</f>
        <v/>
      </c>
      <c r="U1199" s="1" t="str">
        <f>IFERROR(__xludf.DUMMYFUNCTION("""COMPUTED_VALUE"""),"")</f>
        <v/>
      </c>
      <c r="V1199" s="1" t="str">
        <f>IFERROR(__xludf.DUMMYFUNCTION("""COMPUTED_VALUE"""),"20,534")</f>
        <v>20,534</v>
      </c>
      <c r="W1199" s="1" t="str">
        <f>IFERROR(__xludf.DUMMYFUNCTION("""COMPUTED_VALUE"""),"8")</f>
        <v>8</v>
      </c>
      <c r="X1199" s="1" t="str">
        <f>IFERROR(__xludf.DUMMYFUNCTION("""COMPUTED_VALUE"""),"")</f>
        <v/>
      </c>
      <c r="Y1199" s="1" t="str">
        <f>IFERROR(__xludf.DUMMYFUNCTION("""COMPUTED_VALUE"""),"")</f>
        <v/>
      </c>
      <c r="Z1199" s="1" t="str">
        <f>IFERROR(__xludf.DUMMYFUNCTION("""COMPUTED_VALUE"""),"Unknown")</f>
        <v>Unknown</v>
      </c>
      <c r="AA1199" s="1" t="str">
        <f>IFERROR(__xludf.DUMMYFUNCTION("""COMPUTED_VALUE"""),"")</f>
        <v/>
      </c>
      <c r="AB1199" s="1" t="str">
        <f>IFERROR(__xludf.DUMMYFUNCTION("""COMPUTED_VALUE"""),"")</f>
        <v/>
      </c>
      <c r="AC1199" s="1" t="str">
        <f>IFERROR(__xludf.DUMMYFUNCTION("""COMPUTED_VALUE"""),"")</f>
        <v/>
      </c>
      <c r="AD1199" s="1" t="str">
        <f>IFERROR(__xludf.DUMMYFUNCTION("""COMPUTED_VALUE"""),"")</f>
        <v/>
      </c>
      <c r="AE1199" s="1" t="str">
        <f>IFERROR(__xludf.DUMMYFUNCTION("""COMPUTED_VALUE"""),"")</f>
        <v/>
      </c>
      <c r="AF1199" s="1" t="str">
        <f>IFERROR(__xludf.DUMMYFUNCTION("""COMPUTED_VALUE"""),"")</f>
        <v/>
      </c>
      <c r="AG1199" s="1" t="str">
        <f>IFERROR(__xludf.DUMMYFUNCTION("""COMPUTED_VALUE"""),"")</f>
        <v/>
      </c>
      <c r="AH1199" s="1" t="str">
        <f>IFERROR(__xludf.DUMMYFUNCTION("""COMPUTED_VALUE"""),"PEC")</f>
        <v>PEC</v>
      </c>
      <c r="AI1199" s="2" t="str">
        <f>IFERROR(__xludf.DUMMYFUNCTION("""COMPUTED_VALUE"""),"https://pwc.publicaccessnow.com/PropertyDetail.aspx?mpropertynumber=096967&amp;mtab=property&amp;p=096967")</f>
        <v>https://pwc.publicaccessnow.com/PropertyDetail.aspx?mpropertynumber=096967&amp;mtab=property&amp;p=096967</v>
      </c>
      <c r="AJ1199" s="1" t="str">
        <f>IFERROR(__xludf.DUMMYFUNCTION("""COMPUTED_VALUE"""),"")</f>
        <v/>
      </c>
      <c r="AK1199" s="1" t="str">
        <f>IFERROR(__xludf.DUMMYFUNCTION("""COMPUTED_VALUE"""),"")</f>
        <v/>
      </c>
      <c r="AL1199" s="1" t="str">
        <f>IFERROR(__xludf.DUMMYFUNCTION("""COMPUTED_VALUE"""),"")</f>
        <v/>
      </c>
      <c r="AM1199" s="1" t="str">
        <f>IFERROR(__xludf.DUMMYFUNCTION("""COMPUTED_VALUE"""),"")</f>
        <v/>
      </c>
      <c r="AN1199" s="1" t="str">
        <f>IFERROR(__xludf.DUMMYFUNCTION("""COMPUTED_VALUE"""),"")</f>
        <v/>
      </c>
      <c r="AO1199" s="1" t="str">
        <f>IFERROR(__xludf.DUMMYFUNCTION("""COMPUTED_VALUE"""),"")</f>
        <v/>
      </c>
      <c r="AP1199" s="1" t="str">
        <f>IFERROR(__xludf.DUMMYFUNCTION("""COMPUTED_VALUE"""),"")</f>
        <v/>
      </c>
      <c r="AQ1199" s="1" t="str">
        <f>IFERROR(__xludf.DUMMYFUNCTION("""COMPUTED_VALUE"""),"04/10/2024")</f>
        <v>04/10/2024</v>
      </c>
      <c r="AR1199" s="1" t="str">
        <f>IFERROR(__xludf.DUMMYFUNCTION("""COMPUTED_VALUE"""),"10/17/2025")</f>
        <v>10/17/2025</v>
      </c>
    </row>
    <row r="1200">
      <c r="A1200" s="1" t="str">
        <f>IFERROR(__xludf.DUMMYFUNCTION("""COMPUTED_VALUE"""),"Sharpless Enterprises LLC")</f>
        <v>Sharpless Enterprises LLC</v>
      </c>
      <c r="B1200" s="1" t="str">
        <f>IFERROR(__xludf.DUMMYFUNCTION("""COMPUTED_VALUE"""),"6201 WELLINGTON RD")</f>
        <v>6201 WELLINGTON RD</v>
      </c>
      <c r="C1200" s="1" t="str">
        <f>IFERROR(__xludf.DUMMYFUNCTION("""COMPUTED_VALUE"""),"Bristow")</f>
        <v>Bristow</v>
      </c>
      <c r="D1200" s="1" t="str">
        <f>IFERROR(__xludf.DUMMYFUNCTION("""COMPUTED_VALUE"""),"VA")</f>
        <v>VA</v>
      </c>
      <c r="E1200" s="1" t="str">
        <f>IFERROR(__xludf.DUMMYFUNCTION("""COMPUTED_VALUE"""),"20136")</f>
        <v>20136</v>
      </c>
      <c r="F1200" s="1" t="str">
        <f>IFERROR(__xludf.DUMMYFUNCTION("""COMPUTED_VALUE"""),"Prince William")</f>
        <v>Prince William</v>
      </c>
      <c r="G1200" s="1" t="str">
        <f>IFERROR(__xludf.DUMMYFUNCTION("""COMPUTED_VALUE"""),"38.786884")</f>
        <v>38.786884</v>
      </c>
      <c r="H1200" s="1" t="str">
        <f>IFERROR(__xludf.DUMMYFUNCTION("""COMPUTED_VALUE"""),"-77.57505")</f>
        <v>-77.57505</v>
      </c>
      <c r="I1200" s="1" t="str">
        <f>IFERROR(__xludf.DUMMYFUNCTION("""COMPUTED_VALUE"""),"Proposed")</f>
        <v>Proposed</v>
      </c>
      <c r="J1200" s="1" t="str">
        <f>IFERROR(__xludf.DUMMYFUNCTION("""COMPUTED_VALUE"""),"High")</f>
        <v>High</v>
      </c>
      <c r="K1200" s="1" t="str">
        <f>IFERROR(__xludf.DUMMYFUNCTION("""COMPUTED_VALUE"""),"")</f>
        <v/>
      </c>
      <c r="L1200" s="1" t="str">
        <f>IFERROR(__xludf.DUMMYFUNCTION("""COMPUTED_VALUE"""),"Sharpless Enterprises LLC")</f>
        <v>Sharpless Enterprises LLC</v>
      </c>
      <c r="M1200" s="1" t="str">
        <f>IFERROR(__xludf.DUMMYFUNCTION("""COMPUTED_VALUE"""),"")</f>
        <v/>
      </c>
      <c r="N1200" s="1" t="str">
        <f>IFERROR(__xludf.DUMMYFUNCTION("""COMPUTED_VALUE"""),"")</f>
        <v/>
      </c>
      <c r="O1200" s="1" t="str">
        <f>IFERROR(__xludf.DUMMYFUNCTION("""COMPUTED_VALUE"""),"Unknown")</f>
        <v>Unknown</v>
      </c>
      <c r="P1200" s="1" t="str">
        <f>IFERROR(__xludf.DUMMYFUNCTION("""COMPUTED_VALUE"""),"")</f>
        <v/>
      </c>
      <c r="Q1200" s="1" t="str">
        <f>IFERROR(__xludf.DUMMYFUNCTION("""COMPUTED_VALUE"""),"")</f>
        <v/>
      </c>
      <c r="R1200" s="1" t="str">
        <f>IFERROR(__xludf.DUMMYFUNCTION("""COMPUTED_VALUE"""),"")</f>
        <v/>
      </c>
      <c r="S1200" s="1" t="str">
        <f>IFERROR(__xludf.DUMMYFUNCTION("""COMPUTED_VALUE"""),"")</f>
        <v/>
      </c>
      <c r="T1200" s="1" t="str">
        <f>IFERROR(__xludf.DUMMYFUNCTION("""COMPUTED_VALUE"""),"")</f>
        <v/>
      </c>
      <c r="U1200" s="1" t="str">
        <f>IFERROR(__xludf.DUMMYFUNCTION("""COMPUTED_VALUE"""),"")</f>
        <v/>
      </c>
      <c r="V1200" s="1" t="str">
        <f>IFERROR(__xludf.DUMMYFUNCTION("""COMPUTED_VALUE"""),"2,400,000")</f>
        <v>2,400,000</v>
      </c>
      <c r="W1200" s="1" t="str">
        <f>IFERROR(__xludf.DUMMYFUNCTION("""COMPUTED_VALUE"""),"181")</f>
        <v>181</v>
      </c>
      <c r="X1200" s="1" t="str">
        <f>IFERROR(__xludf.DUMMYFUNCTION("""COMPUTED_VALUE"""),"")</f>
        <v/>
      </c>
      <c r="Y1200" s="1" t="str">
        <f>IFERROR(__xludf.DUMMYFUNCTION("""COMPUTED_VALUE"""),"")</f>
        <v/>
      </c>
      <c r="Z1200" s="1" t="str">
        <f>IFERROR(__xludf.DUMMYFUNCTION("""COMPUTED_VALUE"""),"Unknown")</f>
        <v>Unknown</v>
      </c>
      <c r="AA1200" s="1" t="str">
        <f>IFERROR(__xludf.DUMMYFUNCTION("""COMPUTED_VALUE"""),"")</f>
        <v/>
      </c>
      <c r="AB1200" s="1" t="str">
        <f>IFERROR(__xludf.DUMMYFUNCTION("""COMPUTED_VALUE"""),"")</f>
        <v/>
      </c>
      <c r="AC1200" s="1" t="str">
        <f>IFERROR(__xludf.DUMMYFUNCTION("""COMPUTED_VALUE"""),"")</f>
        <v/>
      </c>
      <c r="AD1200" s="1" t="str">
        <f>IFERROR(__xludf.DUMMYFUNCTION("""COMPUTED_VALUE"""),"")</f>
        <v/>
      </c>
      <c r="AE1200" s="1" t="str">
        <f>IFERROR(__xludf.DUMMYFUNCTION("""COMPUTED_VALUE"""),"")</f>
        <v/>
      </c>
      <c r="AF1200" s="1" t="str">
        <f>IFERROR(__xludf.DUMMYFUNCTION("""COMPUTED_VALUE"""),"")</f>
        <v/>
      </c>
      <c r="AG1200" s="1" t="str">
        <f>IFERROR(__xludf.DUMMYFUNCTION("""COMPUTED_VALUE"""),"square footage is an estimate")</f>
        <v>square footage is an estimate</v>
      </c>
      <c r="AH1200" s="1" t="str">
        <f>IFERROR(__xludf.DUMMYFUNCTION("""COMPUTED_VALUE"""),"PEC")</f>
        <v>PEC</v>
      </c>
      <c r="AI1200" s="2" t="str">
        <f>IFERROR(__xludf.DUMMYFUNCTION("""COMPUTED_VALUE"""),"https://www.datacenterdynamics.com/en/news/company-plans-four-data-centers-on-a-campus-in-virginias-prince-william-county/")</f>
        <v>https://www.datacenterdynamics.com/en/news/company-plans-four-data-centers-on-a-campus-in-virginias-prince-william-county/</v>
      </c>
      <c r="AJ1200" s="2" t="str">
        <f>IFERROR(__xludf.DUMMYFUNCTION("""COMPUTED_VALUE"""),"https://pwc.publicaccessnow.com/PropertyDetail.aspx?mtab=property&amp;mpropertynumber=229877")</f>
        <v>https://pwc.publicaccessnow.com/PropertyDetail.aspx?mtab=property&amp;mpropertynumber=229877</v>
      </c>
      <c r="AK1200" s="1" t="str">
        <f>IFERROR(__xludf.DUMMYFUNCTION("""COMPUTED_VALUE"""),"")</f>
        <v/>
      </c>
      <c r="AL1200" s="1" t="str">
        <f>IFERROR(__xludf.DUMMYFUNCTION("""COMPUTED_VALUE"""),"")</f>
        <v/>
      </c>
      <c r="AM1200" s="1" t="str">
        <f>IFERROR(__xludf.DUMMYFUNCTION("""COMPUTED_VALUE"""),"")</f>
        <v/>
      </c>
      <c r="AN1200" s="1" t="str">
        <f>IFERROR(__xludf.DUMMYFUNCTION("""COMPUTED_VALUE"""),"")</f>
        <v/>
      </c>
      <c r="AO1200" s="1" t="str">
        <f>IFERROR(__xludf.DUMMYFUNCTION("""COMPUTED_VALUE"""),"")</f>
        <v/>
      </c>
      <c r="AP1200" s="1" t="str">
        <f>IFERROR(__xludf.DUMMYFUNCTION("""COMPUTED_VALUE"""),"")</f>
        <v/>
      </c>
      <c r="AQ1200" s="1" t="str">
        <f>IFERROR(__xludf.DUMMYFUNCTION("""COMPUTED_VALUE"""),"04/10/2024")</f>
        <v>04/10/2024</v>
      </c>
      <c r="AR1200" s="1" t="str">
        <f>IFERROR(__xludf.DUMMYFUNCTION("""COMPUTED_VALUE"""),"10/17/2025")</f>
        <v>10/17/2025</v>
      </c>
    </row>
    <row r="1201">
      <c r="A1201" s="1" t="str">
        <f>IFERROR(__xludf.DUMMYFUNCTION("""COMPUTED_VALUE"""),"SI NVA17 LLC")</f>
        <v>SI NVA17 LLC</v>
      </c>
      <c r="B1201" s="1" t="str">
        <f>IFERROR(__xludf.DUMMYFUNCTION("""COMPUTED_VALUE"""),"11859 HAZEL CIRCLE DR")</f>
        <v>11859 HAZEL CIRCLE DR</v>
      </c>
      <c r="C1201" s="1" t="str">
        <f>IFERROR(__xludf.DUMMYFUNCTION("""COMPUTED_VALUE"""),"Bristow")</f>
        <v>Bristow</v>
      </c>
      <c r="D1201" s="1" t="str">
        <f>IFERROR(__xludf.DUMMYFUNCTION("""COMPUTED_VALUE"""),"VA")</f>
        <v>VA</v>
      </c>
      <c r="E1201" s="1" t="str">
        <f>IFERROR(__xludf.DUMMYFUNCTION("""COMPUTED_VALUE"""),"20136")</f>
        <v>20136</v>
      </c>
      <c r="F1201" s="1" t="str">
        <f>IFERROR(__xludf.DUMMYFUNCTION("""COMPUTED_VALUE"""),"Prince William")</f>
        <v>Prince William</v>
      </c>
      <c r="G1201" s="1" t="str">
        <f>IFERROR(__xludf.DUMMYFUNCTION("""COMPUTED_VALUE"""),"38.734524")</f>
        <v>38.734524</v>
      </c>
      <c r="H1201" s="1" t="str">
        <f>IFERROR(__xludf.DUMMYFUNCTION("""COMPUTED_VALUE"""),"-77.54742")</f>
        <v>-77.54742</v>
      </c>
      <c r="I1201" s="1" t="str">
        <f>IFERROR(__xludf.DUMMYFUNCTION("""COMPUTED_VALUE"""),"Proposed")</f>
        <v>Proposed</v>
      </c>
      <c r="J1201" s="1" t="str">
        <f>IFERROR(__xludf.DUMMYFUNCTION("""COMPUTED_VALUE"""),"High")</f>
        <v>High</v>
      </c>
      <c r="K1201" s="1" t="str">
        <f>IFERROR(__xludf.DUMMYFUNCTION("""COMPUTED_VALUE"""),"")</f>
        <v/>
      </c>
      <c r="L1201" s="1" t="str">
        <f>IFERROR(__xludf.DUMMYFUNCTION("""COMPUTED_VALUE"""),"STACK INFRASTRUCTURE")</f>
        <v>STACK INFRASTRUCTURE</v>
      </c>
      <c r="M1201" s="1" t="str">
        <f>IFERROR(__xludf.DUMMYFUNCTION("""COMPUTED_VALUE"""),"")</f>
        <v/>
      </c>
      <c r="N1201" s="1" t="str">
        <f>IFERROR(__xludf.DUMMYFUNCTION("""COMPUTED_VALUE"""),"")</f>
        <v/>
      </c>
      <c r="O1201" s="1" t="str">
        <f>IFERROR(__xludf.DUMMYFUNCTION("""COMPUTED_VALUE"""),"Unknown")</f>
        <v>Unknown</v>
      </c>
      <c r="P1201" s="1" t="str">
        <f>IFERROR(__xludf.DUMMYFUNCTION("""COMPUTED_VALUE"""),"")</f>
        <v/>
      </c>
      <c r="Q1201" s="1" t="str">
        <f>IFERROR(__xludf.DUMMYFUNCTION("""COMPUTED_VALUE"""),"")</f>
        <v/>
      </c>
      <c r="R1201" s="1" t="str">
        <f>IFERROR(__xludf.DUMMYFUNCTION("""COMPUTED_VALUE"""),"")</f>
        <v/>
      </c>
      <c r="S1201" s="1" t="str">
        <f>IFERROR(__xludf.DUMMYFUNCTION("""COMPUTED_VALUE"""),"")</f>
        <v/>
      </c>
      <c r="T1201" s="1" t="str">
        <f>IFERROR(__xludf.DUMMYFUNCTION("""COMPUTED_VALUE"""),"")</f>
        <v/>
      </c>
      <c r="U1201" s="1" t="str">
        <f>IFERROR(__xludf.DUMMYFUNCTION("""COMPUTED_VALUE"""),"")</f>
        <v/>
      </c>
      <c r="V1201" s="1" t="str">
        <f>IFERROR(__xludf.DUMMYFUNCTION("""COMPUTED_VALUE"""),"637,282")</f>
        <v>637,282</v>
      </c>
      <c r="W1201" s="1" t="str">
        <f>IFERROR(__xludf.DUMMYFUNCTION("""COMPUTED_VALUE"""),"")</f>
        <v/>
      </c>
      <c r="X1201" s="1" t="str">
        <f>IFERROR(__xludf.DUMMYFUNCTION("""COMPUTED_VALUE"""),"")</f>
        <v/>
      </c>
      <c r="Y1201" s="1" t="str">
        <f>IFERROR(__xludf.DUMMYFUNCTION("""COMPUTED_VALUE"""),"")</f>
        <v/>
      </c>
      <c r="Z1201" s="1" t="str">
        <f>IFERROR(__xludf.DUMMYFUNCTION("""COMPUTED_VALUE"""),"Unknown")</f>
        <v>Unknown</v>
      </c>
      <c r="AA1201" s="1" t="str">
        <f>IFERROR(__xludf.DUMMYFUNCTION("""COMPUTED_VALUE"""),"")</f>
        <v/>
      </c>
      <c r="AB1201" s="1" t="str">
        <f>IFERROR(__xludf.DUMMYFUNCTION("""COMPUTED_VALUE"""),"")</f>
        <v/>
      </c>
      <c r="AC1201" s="1" t="str">
        <f>IFERROR(__xludf.DUMMYFUNCTION("""COMPUTED_VALUE"""),"")</f>
        <v/>
      </c>
      <c r="AD1201" s="1" t="str">
        <f>IFERROR(__xludf.DUMMYFUNCTION("""COMPUTED_VALUE"""),"")</f>
        <v/>
      </c>
      <c r="AE1201" s="1" t="str">
        <f>IFERROR(__xludf.DUMMYFUNCTION("""COMPUTED_VALUE"""),"")</f>
        <v/>
      </c>
      <c r="AF1201" s="1" t="str">
        <f>IFERROR(__xludf.DUMMYFUNCTION("""COMPUTED_VALUE"""),"")</f>
        <v/>
      </c>
      <c r="AG1201" s="1" t="str">
        <f>IFERROR(__xludf.DUMMYFUNCTION("""COMPUTED_VALUE"""),"formerly ""Youth of Tomorrow""")</f>
        <v>formerly "Youth of Tomorrow"</v>
      </c>
      <c r="AH1201" s="1" t="str">
        <f>IFERROR(__xludf.DUMMYFUNCTION("""COMPUTED_VALUE"""),"PEC")</f>
        <v>PEC</v>
      </c>
      <c r="AI1201" s="2" t="str">
        <f>IFERROR(__xludf.DUMMYFUNCTION("""COMPUTED_VALUE"""),"https://www.pwcva.gov/assets/2022-01/Frequently%20Asked%20Questions.1.20.22.pdf")</f>
        <v>https://www.pwcva.gov/assets/2022-01/Frequently%20Asked%20Questions.1.20.22.pdf</v>
      </c>
      <c r="AJ1201" s="1" t="str">
        <f>IFERROR(__xludf.DUMMYFUNCTION("""COMPUTED_VALUE"""),"")</f>
        <v/>
      </c>
      <c r="AK1201" s="1" t="str">
        <f>IFERROR(__xludf.DUMMYFUNCTION("""COMPUTED_VALUE"""),"")</f>
        <v/>
      </c>
      <c r="AL1201" s="1" t="str">
        <f>IFERROR(__xludf.DUMMYFUNCTION("""COMPUTED_VALUE"""),"")</f>
        <v/>
      </c>
      <c r="AM1201" s="1" t="str">
        <f>IFERROR(__xludf.DUMMYFUNCTION("""COMPUTED_VALUE"""),"")</f>
        <v/>
      </c>
      <c r="AN1201" s="1" t="str">
        <f>IFERROR(__xludf.DUMMYFUNCTION("""COMPUTED_VALUE"""),"")</f>
        <v/>
      </c>
      <c r="AO1201" s="1" t="str">
        <f>IFERROR(__xludf.DUMMYFUNCTION("""COMPUTED_VALUE"""),"")</f>
        <v/>
      </c>
      <c r="AP1201" s="1" t="str">
        <f>IFERROR(__xludf.DUMMYFUNCTION("""COMPUTED_VALUE"""),"")</f>
        <v/>
      </c>
      <c r="AQ1201" s="1" t="str">
        <f>IFERROR(__xludf.DUMMYFUNCTION("""COMPUTED_VALUE"""),"04/10/2024")</f>
        <v>04/10/2024</v>
      </c>
      <c r="AR1201" s="1" t="str">
        <f>IFERROR(__xludf.DUMMYFUNCTION("""COMPUTED_VALUE"""),"10/17/2025")</f>
        <v>10/17/2025</v>
      </c>
    </row>
    <row r="1202">
      <c r="A1202" s="1" t="str">
        <f>IFERROR(__xludf.DUMMYFUNCTION("""COMPUTED_VALUE"""),"MANUCHEHR VENTURES LLC")</f>
        <v>MANUCHEHR VENTURES LLC</v>
      </c>
      <c r="B1202" s="1" t="str">
        <f>IFERROR(__xludf.DUMMYFUNCTION("""COMPUTED_VALUE"""),"10900 AIRMAN AVE")</f>
        <v>10900 AIRMAN AVE</v>
      </c>
      <c r="C1202" s="1" t="str">
        <f>IFERROR(__xludf.DUMMYFUNCTION("""COMPUTED_VALUE"""),"Buckhall")</f>
        <v>Buckhall</v>
      </c>
      <c r="D1202" s="1" t="str">
        <f>IFERROR(__xludf.DUMMYFUNCTION("""COMPUTED_VALUE"""),"VA")</f>
        <v>VA</v>
      </c>
      <c r="E1202" s="1" t="str">
        <f>IFERROR(__xludf.DUMMYFUNCTION("""COMPUTED_VALUE"""),"20112")</f>
        <v>20112</v>
      </c>
      <c r="F1202" s="1" t="str">
        <f>IFERROR(__xludf.DUMMYFUNCTION("""COMPUTED_VALUE"""),"Prince William")</f>
        <v>Prince William</v>
      </c>
      <c r="G1202" s="1" t="str">
        <f>IFERROR(__xludf.DUMMYFUNCTION("""COMPUTED_VALUE"""),"38.715088")</f>
        <v>38.715088</v>
      </c>
      <c r="H1202" s="1" t="str">
        <f>IFERROR(__xludf.DUMMYFUNCTION("""COMPUTED_VALUE"""),"-77.49477")</f>
        <v>-77.49477</v>
      </c>
      <c r="I1202" s="1" t="str">
        <f>IFERROR(__xludf.DUMMYFUNCTION("""COMPUTED_VALUE"""),"Operating")</f>
        <v>Operating</v>
      </c>
      <c r="J1202" s="1" t="str">
        <f>IFERROR(__xludf.DUMMYFUNCTION("""COMPUTED_VALUE"""),"High")</f>
        <v>High</v>
      </c>
      <c r="K1202" s="1" t="str">
        <f>IFERROR(__xludf.DUMMYFUNCTION("""COMPUTED_VALUE"""),"")</f>
        <v/>
      </c>
      <c r="L1202" s="1" t="str">
        <f>IFERROR(__xludf.DUMMYFUNCTION("""COMPUTED_VALUE"""),"MANUCHEHR VENTURES LLC")</f>
        <v>MANUCHEHR VENTURES LLC</v>
      </c>
      <c r="M1202" s="1" t="str">
        <f>IFERROR(__xludf.DUMMYFUNCTION("""COMPUTED_VALUE"""),"")</f>
        <v/>
      </c>
      <c r="N1202" s="1" t="str">
        <f>IFERROR(__xludf.DUMMYFUNCTION("""COMPUTED_VALUE"""),"")</f>
        <v/>
      </c>
      <c r="O1202" s="1" t="str">
        <f>IFERROR(__xludf.DUMMYFUNCTION("""COMPUTED_VALUE"""),"Unknown")</f>
        <v>Unknown</v>
      </c>
      <c r="P1202" s="1" t="str">
        <f>IFERROR(__xludf.DUMMYFUNCTION("""COMPUTED_VALUE"""),"")</f>
        <v/>
      </c>
      <c r="Q1202" s="1" t="str">
        <f>IFERROR(__xludf.DUMMYFUNCTION("""COMPUTED_VALUE"""),"")</f>
        <v/>
      </c>
      <c r="R1202" s="1" t="str">
        <f>IFERROR(__xludf.DUMMYFUNCTION("""COMPUTED_VALUE"""),"")</f>
        <v/>
      </c>
      <c r="S1202" s="1" t="str">
        <f>IFERROR(__xludf.DUMMYFUNCTION("""COMPUTED_VALUE"""),"")</f>
        <v/>
      </c>
      <c r="T1202" s="1" t="str">
        <f>IFERROR(__xludf.DUMMYFUNCTION("""COMPUTED_VALUE"""),"")</f>
        <v/>
      </c>
      <c r="U1202" s="1" t="str">
        <f>IFERROR(__xludf.DUMMYFUNCTION("""COMPUTED_VALUE"""),"")</f>
        <v/>
      </c>
      <c r="V1202" s="1" t="str">
        <f>IFERROR(__xludf.DUMMYFUNCTION("""COMPUTED_VALUE"""),"139,000")</f>
        <v>139,000</v>
      </c>
      <c r="W1202" s="1" t="str">
        <f>IFERROR(__xludf.DUMMYFUNCTION("""COMPUTED_VALUE"""),"10")</f>
        <v>10</v>
      </c>
      <c r="X1202" s="1" t="str">
        <f>IFERROR(__xludf.DUMMYFUNCTION("""COMPUTED_VALUE"""),"")</f>
        <v/>
      </c>
      <c r="Y1202" s="1" t="str">
        <f>IFERROR(__xludf.DUMMYFUNCTION("""COMPUTED_VALUE"""),"")</f>
        <v/>
      </c>
      <c r="Z1202" s="1" t="str">
        <f>IFERROR(__xludf.DUMMYFUNCTION("""COMPUTED_VALUE"""),"Unknown")</f>
        <v>Unknown</v>
      </c>
      <c r="AA1202" s="1" t="str">
        <f>IFERROR(__xludf.DUMMYFUNCTION("""COMPUTED_VALUE"""),"")</f>
        <v/>
      </c>
      <c r="AB1202" s="1" t="str">
        <f>IFERROR(__xludf.DUMMYFUNCTION("""COMPUTED_VALUE"""),"")</f>
        <v/>
      </c>
      <c r="AC1202" s="1" t="str">
        <f>IFERROR(__xludf.DUMMYFUNCTION("""COMPUTED_VALUE"""),"")</f>
        <v/>
      </c>
      <c r="AD1202" s="1" t="str">
        <f>IFERROR(__xludf.DUMMYFUNCTION("""COMPUTED_VALUE"""),"")</f>
        <v/>
      </c>
      <c r="AE1202" s="1" t="str">
        <f>IFERROR(__xludf.DUMMYFUNCTION("""COMPUTED_VALUE"""),"")</f>
        <v/>
      </c>
      <c r="AF1202" s="1" t="str">
        <f>IFERROR(__xludf.DUMMYFUNCTION("""COMPUTED_VALUE"""),"")</f>
        <v/>
      </c>
      <c r="AG1202" s="1" t="str">
        <f>IFERROR(__xludf.DUMMYFUNCTION("""COMPUTED_VALUE"""),"")</f>
        <v/>
      </c>
      <c r="AH1202" s="1" t="str">
        <f>IFERROR(__xludf.DUMMYFUNCTION("""COMPUTED_VALUE"""),"PEC")</f>
        <v>PEC</v>
      </c>
      <c r="AI1202" s="2" t="str">
        <f>IFERROR(__xludf.DUMMYFUNCTION("""COMPUTED_VALUE"""),"https://pwc.publicaccessnow.com/PropertyDetail.aspx?mpropertynumber=264071&amp;mtab=property&amp;p=264071")</f>
        <v>https://pwc.publicaccessnow.com/PropertyDetail.aspx?mpropertynumber=264071&amp;mtab=property&amp;p=264071</v>
      </c>
      <c r="AJ1202" s="1" t="str">
        <f>IFERROR(__xludf.DUMMYFUNCTION("""COMPUTED_VALUE"""),"")</f>
        <v/>
      </c>
      <c r="AK1202" s="1" t="str">
        <f>IFERROR(__xludf.DUMMYFUNCTION("""COMPUTED_VALUE"""),"")</f>
        <v/>
      </c>
      <c r="AL1202" s="1" t="str">
        <f>IFERROR(__xludf.DUMMYFUNCTION("""COMPUTED_VALUE"""),"")</f>
        <v/>
      </c>
      <c r="AM1202" s="1" t="str">
        <f>IFERROR(__xludf.DUMMYFUNCTION("""COMPUTED_VALUE"""),"")</f>
        <v/>
      </c>
      <c r="AN1202" s="1" t="str">
        <f>IFERROR(__xludf.DUMMYFUNCTION("""COMPUTED_VALUE"""),"")</f>
        <v/>
      </c>
      <c r="AO1202" s="1" t="str">
        <f>IFERROR(__xludf.DUMMYFUNCTION("""COMPUTED_VALUE"""),"")</f>
        <v/>
      </c>
      <c r="AP1202" s="1" t="str">
        <f>IFERROR(__xludf.DUMMYFUNCTION("""COMPUTED_VALUE"""),"")</f>
        <v/>
      </c>
      <c r="AQ1202" s="1" t="str">
        <f>IFERROR(__xludf.DUMMYFUNCTION("""COMPUTED_VALUE"""),"04/10/2024")</f>
        <v>04/10/2024</v>
      </c>
      <c r="AR1202" s="1" t="str">
        <f>IFERROR(__xludf.DUMMYFUNCTION("""COMPUTED_VALUE"""),"10/17/2025")</f>
        <v>10/17/2025</v>
      </c>
    </row>
    <row r="1203">
      <c r="A1203" s="1" t="str">
        <f>IFERROR(__xludf.DUMMYFUNCTION("""COMPUTED_VALUE"""),"Compton Property SUP")</f>
        <v>Compton Property SUP</v>
      </c>
      <c r="B1203" s="1" t="str">
        <f>IFERROR(__xludf.DUMMYFUNCTION("""COMPUTED_VALUE"""),"8750 RIXLEW LN")</f>
        <v>8750 RIXLEW LN</v>
      </c>
      <c r="C1203" s="1" t="str">
        <f>IFERROR(__xludf.DUMMYFUNCTION("""COMPUTED_VALUE"""),"Bull run")</f>
        <v>Bull run</v>
      </c>
      <c r="D1203" s="1" t="str">
        <f>IFERROR(__xludf.DUMMYFUNCTION("""COMPUTED_VALUE"""),"VA")</f>
        <v>VA</v>
      </c>
      <c r="E1203" s="1" t="str">
        <f>IFERROR(__xludf.DUMMYFUNCTION("""COMPUTED_VALUE"""),"20107")</f>
        <v>20107</v>
      </c>
      <c r="F1203" s="1" t="str">
        <f>IFERROR(__xludf.DUMMYFUNCTION("""COMPUTED_VALUE"""),"Prince William")</f>
        <v>Prince William</v>
      </c>
      <c r="G1203" s="1" t="str">
        <f>IFERROR(__xludf.DUMMYFUNCTION("""COMPUTED_VALUE"""),"38.775803")</f>
        <v>38.775803</v>
      </c>
      <c r="H1203" s="1" t="str">
        <f>IFERROR(__xludf.DUMMYFUNCTION("""COMPUTED_VALUE"""),"-77.51027")</f>
        <v>-77.51027</v>
      </c>
      <c r="I1203" s="1" t="str">
        <f>IFERROR(__xludf.DUMMYFUNCTION("""COMPUTED_VALUE"""),"Proposed")</f>
        <v>Proposed</v>
      </c>
      <c r="J1203" s="1" t="str">
        <f>IFERROR(__xludf.DUMMYFUNCTION("""COMPUTED_VALUE"""),"High")</f>
        <v>High</v>
      </c>
      <c r="K1203" s="1" t="str">
        <f>IFERROR(__xludf.DUMMYFUNCTION("""COMPUTED_VALUE"""),"")</f>
        <v/>
      </c>
      <c r="L1203" s="1" t="str">
        <f>IFERROR(__xludf.DUMMYFUNCTION("""COMPUTED_VALUE"""),"Amazon")</f>
        <v>Amazon</v>
      </c>
      <c r="M1203" s="1" t="str">
        <f>IFERROR(__xludf.DUMMYFUNCTION("""COMPUTED_VALUE"""),"")</f>
        <v/>
      </c>
      <c r="N1203" s="1" t="str">
        <f>IFERROR(__xludf.DUMMYFUNCTION("""COMPUTED_VALUE"""),"")</f>
        <v/>
      </c>
      <c r="O1203" s="1" t="str">
        <f>IFERROR(__xludf.DUMMYFUNCTION("""COMPUTED_VALUE"""),"Unknown")</f>
        <v>Unknown</v>
      </c>
      <c r="P1203" s="1" t="str">
        <f>IFERROR(__xludf.DUMMYFUNCTION("""COMPUTED_VALUE"""),"")</f>
        <v/>
      </c>
      <c r="Q1203" s="1" t="str">
        <f>IFERROR(__xludf.DUMMYFUNCTION("""COMPUTED_VALUE"""),"")</f>
        <v/>
      </c>
      <c r="R1203" s="1" t="str">
        <f>IFERROR(__xludf.DUMMYFUNCTION("""COMPUTED_VALUE"""),"")</f>
        <v/>
      </c>
      <c r="S1203" s="1" t="str">
        <f>IFERROR(__xludf.DUMMYFUNCTION("""COMPUTED_VALUE"""),"")</f>
        <v/>
      </c>
      <c r="T1203" s="1" t="str">
        <f>IFERROR(__xludf.DUMMYFUNCTION("""COMPUTED_VALUE"""),"")</f>
        <v/>
      </c>
      <c r="U1203" s="1" t="str">
        <f>IFERROR(__xludf.DUMMYFUNCTION("""COMPUTED_VALUE"""),"")</f>
        <v/>
      </c>
      <c r="V1203" s="1" t="str">
        <f>IFERROR(__xludf.DUMMYFUNCTION("""COMPUTED_VALUE"""),"1,062,000")</f>
        <v>1,062,000</v>
      </c>
      <c r="W1203" s="1" t="str">
        <f>IFERROR(__xludf.DUMMYFUNCTION("""COMPUTED_VALUE"""),"")</f>
        <v/>
      </c>
      <c r="X1203" s="1" t="str">
        <f>IFERROR(__xludf.DUMMYFUNCTION("""COMPUTED_VALUE"""),"")</f>
        <v/>
      </c>
      <c r="Y1203" s="1" t="str">
        <f>IFERROR(__xludf.DUMMYFUNCTION("""COMPUTED_VALUE"""),"")</f>
        <v/>
      </c>
      <c r="Z1203" s="1" t="str">
        <f>IFERROR(__xludf.DUMMYFUNCTION("""COMPUTED_VALUE"""),"Unknown")</f>
        <v>Unknown</v>
      </c>
      <c r="AA1203" s="1" t="str">
        <f>IFERROR(__xludf.DUMMYFUNCTION("""COMPUTED_VALUE"""),"")</f>
        <v/>
      </c>
      <c r="AB1203" s="1" t="str">
        <f>IFERROR(__xludf.DUMMYFUNCTION("""COMPUTED_VALUE"""),"")</f>
        <v/>
      </c>
      <c r="AC1203" s="1" t="str">
        <f>IFERROR(__xludf.DUMMYFUNCTION("""COMPUTED_VALUE"""),"")</f>
        <v/>
      </c>
      <c r="AD1203" s="1" t="str">
        <f>IFERROR(__xludf.DUMMYFUNCTION("""COMPUTED_VALUE"""),"")</f>
        <v/>
      </c>
      <c r="AE1203" s="1" t="str">
        <f>IFERROR(__xludf.DUMMYFUNCTION("""COMPUTED_VALUE"""),"")</f>
        <v/>
      </c>
      <c r="AF1203" s="1" t="str">
        <f>IFERROR(__xludf.DUMMYFUNCTION("""COMPUTED_VALUE"""),"")</f>
        <v/>
      </c>
      <c r="AG1203" s="1" t="str">
        <f>IFERROR(__xludf.DUMMYFUNCTION("""COMPUTED_VALUE"""),"")</f>
        <v/>
      </c>
      <c r="AH1203" s="1" t="str">
        <f>IFERROR(__xludf.DUMMYFUNCTION("""COMPUTED_VALUE"""),"PEC")</f>
        <v>PEC</v>
      </c>
      <c r="AI1203" s="2" t="str">
        <f>IFERROR(__xludf.DUMMYFUNCTION("""COMPUTED_VALUE"""),"https://egcss.pwcgov.org/SelfService#/plan/30cd92af-9b69-425c-924d-b7653f1e009e?tab=attachments")</f>
        <v>https://egcss.pwcgov.org/SelfService#/plan/30cd92af-9b69-425c-924d-b7653f1e009e?tab=attachments</v>
      </c>
      <c r="AJ1203" s="2" t="str">
        <f>IFERROR(__xludf.DUMMYFUNCTION("""COMPUTED_VALUE"""),"https://pwc.publicaccessnow.com/PropertyDetail.aspx?mpropertynumber=021785&amp;mtab=property&amp;p=021785")</f>
        <v>https://pwc.publicaccessnow.com/PropertyDetail.aspx?mpropertynumber=021785&amp;mtab=property&amp;p=021785</v>
      </c>
      <c r="AK1203" s="1" t="str">
        <f>IFERROR(__xludf.DUMMYFUNCTION("""COMPUTED_VALUE"""),"")</f>
        <v/>
      </c>
      <c r="AL1203" s="1" t="str">
        <f>IFERROR(__xludf.DUMMYFUNCTION("""COMPUTED_VALUE"""),"")</f>
        <v/>
      </c>
      <c r="AM1203" s="1" t="str">
        <f>IFERROR(__xludf.DUMMYFUNCTION("""COMPUTED_VALUE"""),"")</f>
        <v/>
      </c>
      <c r="AN1203" s="1" t="str">
        <f>IFERROR(__xludf.DUMMYFUNCTION("""COMPUTED_VALUE"""),"")</f>
        <v/>
      </c>
      <c r="AO1203" s="1" t="str">
        <f>IFERROR(__xludf.DUMMYFUNCTION("""COMPUTED_VALUE"""),"")</f>
        <v/>
      </c>
      <c r="AP1203" s="1" t="str">
        <f>IFERROR(__xludf.DUMMYFUNCTION("""COMPUTED_VALUE"""),"")</f>
        <v/>
      </c>
      <c r="AQ1203" s="1" t="str">
        <f>IFERROR(__xludf.DUMMYFUNCTION("""COMPUTED_VALUE"""),"04/10/2024")</f>
        <v>04/10/2024</v>
      </c>
      <c r="AR1203" s="1" t="str">
        <f>IFERROR(__xludf.DUMMYFUNCTION("""COMPUTED_VALUE"""),"10/17/2025")</f>
        <v>10/17/2025</v>
      </c>
    </row>
    <row r="1204">
      <c r="A1204" s="1" t="str">
        <f>IFERROR(__xludf.DUMMYFUNCTION("""COMPUTED_VALUE"""),"Dulles Cloud South Data Center")</f>
        <v>Dulles Cloud South Data Center</v>
      </c>
      <c r="B1204" s="1" t="str">
        <f>IFERROR(__xludf.DUMMYFUNCTION("""COMPUTED_VALUE"""),"Betw Logmill Rd, Sudley Rd, Sanders Ln")</f>
        <v>Betw Logmill Rd, Sudley Rd, Sanders Ln</v>
      </c>
      <c r="C1204" s="1" t="str">
        <f>IFERROR(__xludf.DUMMYFUNCTION("""COMPUTED_VALUE"""),"Catharpin")</f>
        <v>Catharpin</v>
      </c>
      <c r="D1204" s="1" t="str">
        <f>IFERROR(__xludf.DUMMYFUNCTION("""COMPUTED_VALUE"""),"VA")</f>
        <v>VA</v>
      </c>
      <c r="E1204" s="1" t="str">
        <f>IFERROR(__xludf.DUMMYFUNCTION("""COMPUTED_VALUE"""),"20143")</f>
        <v>20143</v>
      </c>
      <c r="F1204" s="1" t="str">
        <f>IFERROR(__xludf.DUMMYFUNCTION("""COMPUTED_VALUE"""),"Prince William")</f>
        <v>Prince William</v>
      </c>
      <c r="G1204" s="1" t="str">
        <f>IFERROR(__xludf.DUMMYFUNCTION("""COMPUTED_VALUE"""),"38.863514")</f>
        <v>38.863514</v>
      </c>
      <c r="H1204" s="1" t="str">
        <f>IFERROR(__xludf.DUMMYFUNCTION("""COMPUTED_VALUE"""),"-77.57885")</f>
        <v>-77.57885</v>
      </c>
      <c r="I1204" s="1" t="str">
        <f>IFERROR(__xludf.DUMMYFUNCTION("""COMPUTED_VALUE"""),"Suspended")</f>
        <v>Suspended</v>
      </c>
      <c r="J1204" s="1" t="str">
        <f>IFERROR(__xludf.DUMMYFUNCTION("""COMPUTED_VALUE"""),"")</f>
        <v/>
      </c>
      <c r="K1204" s="1" t="str">
        <f>IFERROR(__xludf.DUMMYFUNCTION("""COMPUTED_VALUE"""),"")</f>
        <v/>
      </c>
      <c r="L1204" s="1" t="str">
        <f>IFERROR(__xludf.DUMMYFUNCTION("""COMPUTED_VALUE"""),"")</f>
        <v/>
      </c>
      <c r="M1204" s="1" t="str">
        <f>IFERROR(__xludf.DUMMYFUNCTION("""COMPUTED_VALUE"""),"")</f>
        <v/>
      </c>
      <c r="N1204" s="1" t="str">
        <f>IFERROR(__xludf.DUMMYFUNCTION("""COMPUTED_VALUE"""),"")</f>
        <v/>
      </c>
      <c r="O1204" s="1" t="str">
        <f>IFERROR(__xludf.DUMMYFUNCTION("""COMPUTED_VALUE"""),"Unknown")</f>
        <v>Unknown</v>
      </c>
      <c r="P1204" s="1" t="str">
        <f>IFERROR(__xludf.DUMMYFUNCTION("""COMPUTED_VALUE"""),"")</f>
        <v/>
      </c>
      <c r="Q1204" s="1" t="str">
        <f>IFERROR(__xludf.DUMMYFUNCTION("""COMPUTED_VALUE"""),"")</f>
        <v/>
      </c>
      <c r="R1204" s="1" t="str">
        <f>IFERROR(__xludf.DUMMYFUNCTION("""COMPUTED_VALUE"""),"")</f>
        <v/>
      </c>
      <c r="S1204" s="1" t="str">
        <f>IFERROR(__xludf.DUMMYFUNCTION("""COMPUTED_VALUE"""),"")</f>
        <v/>
      </c>
      <c r="T1204" s="1" t="str">
        <f>IFERROR(__xludf.DUMMYFUNCTION("""COMPUTED_VALUE"""),"")</f>
        <v/>
      </c>
      <c r="U1204" s="1" t="str">
        <f>IFERROR(__xludf.DUMMYFUNCTION("""COMPUTED_VALUE"""),"")</f>
        <v/>
      </c>
      <c r="V1204" s="1" t="str">
        <f>IFERROR(__xludf.DUMMYFUNCTION("""COMPUTED_VALUE"""),"43,000,000")</f>
        <v>43,000,000</v>
      </c>
      <c r="W1204" s="1" t="str">
        <f>IFERROR(__xludf.DUMMYFUNCTION("""COMPUTED_VALUE"""),"1940")</f>
        <v>1940</v>
      </c>
      <c r="X1204" s="1" t="str">
        <f>IFERROR(__xludf.DUMMYFUNCTION("""COMPUTED_VALUE"""),"")</f>
        <v/>
      </c>
      <c r="Y1204" s="1" t="str">
        <f>IFERROR(__xludf.DUMMYFUNCTION("""COMPUTED_VALUE"""),"")</f>
        <v/>
      </c>
      <c r="Z1204" s="1" t="str">
        <f>IFERROR(__xludf.DUMMYFUNCTION("""COMPUTED_VALUE"""),"")</f>
        <v/>
      </c>
      <c r="AA1204" s="1" t="str">
        <f>IFERROR(__xludf.DUMMYFUNCTION("""COMPUTED_VALUE"""),"")</f>
        <v/>
      </c>
      <c r="AB1204" s="1" t="str">
        <f>IFERROR(__xludf.DUMMYFUNCTION("""COMPUTED_VALUE"""),"")</f>
        <v/>
      </c>
      <c r="AC1204" s="1" t="str">
        <f>IFERROR(__xludf.DUMMYFUNCTION("""COMPUTED_VALUE"""),"")</f>
        <v/>
      </c>
      <c r="AD1204" s="1" t="str">
        <f>IFERROR(__xludf.DUMMYFUNCTION("""COMPUTED_VALUE"""),"")</f>
        <v/>
      </c>
      <c r="AE1204" s="1" t="str">
        <f>IFERROR(__xludf.DUMMYFUNCTION("""COMPUTED_VALUE"""),"")</f>
        <v/>
      </c>
      <c r="AF1204" s="1" t="str">
        <f>IFERROR(__xludf.DUMMYFUNCTION("""COMPUTED_VALUE"""),"")</f>
        <v/>
      </c>
      <c r="AG1204" s="1" t="str">
        <f>IFERROR(__xludf.DUMMYFUNCTION("""COMPUTED_VALUE"""),"Application denied")</f>
        <v>Application denied</v>
      </c>
      <c r="AH1204" s="1" t="str">
        <f>IFERROR(__xludf.DUMMYFUNCTION("""COMPUTED_VALUE"""),"Media Monitoring")</f>
        <v>Media Monitoring</v>
      </c>
      <c r="AI1204" s="2" t="str">
        <f>IFERROR(__xludf.DUMMYFUNCTION("""COMPUTED_VALUE"""),"https://www.datacenterdynamics.com/en/news/county-officials-deny-application-for-2000-acre-data-center-campus-in-virginia/")</f>
        <v>https://www.datacenterdynamics.com/en/news/county-officials-deny-application-for-2000-acre-data-center-campus-in-virginia/</v>
      </c>
      <c r="AJ1204" s="1" t="str">
        <f>IFERROR(__xludf.DUMMYFUNCTION("""COMPUTED_VALUE"""),"")</f>
        <v/>
      </c>
      <c r="AK1204" s="1" t="str">
        <f>IFERROR(__xludf.DUMMYFUNCTION("""COMPUTED_VALUE"""),"")</f>
        <v/>
      </c>
      <c r="AL1204" s="1" t="str">
        <f>IFERROR(__xludf.DUMMYFUNCTION("""COMPUTED_VALUE"""),"")</f>
        <v/>
      </c>
      <c r="AM1204" s="1" t="str">
        <f>IFERROR(__xludf.DUMMYFUNCTION("""COMPUTED_VALUE"""),"")</f>
        <v/>
      </c>
      <c r="AN1204" s="1" t="str">
        <f>IFERROR(__xludf.DUMMYFUNCTION("""COMPUTED_VALUE"""),"")</f>
        <v/>
      </c>
      <c r="AO1204" s="1" t="str">
        <f>IFERROR(__xludf.DUMMYFUNCTION("""COMPUTED_VALUE"""),"")</f>
        <v/>
      </c>
      <c r="AP1204" s="1" t="str">
        <f>IFERROR(__xludf.DUMMYFUNCTION("""COMPUTED_VALUE"""),"")</f>
        <v/>
      </c>
      <c r="AQ1204" s="1" t="str">
        <f>IFERROR(__xludf.DUMMYFUNCTION("""COMPUTED_VALUE"""),"07/14/2026")</f>
        <v>07/14/2026</v>
      </c>
      <c r="AR1204" s="1" t="str">
        <f>IFERROR(__xludf.DUMMYFUNCTION("""COMPUTED_VALUE"""),"07/14/2026")</f>
        <v>07/14/2026</v>
      </c>
    </row>
    <row r="1205">
      <c r="A1205" s="1" t="str">
        <f>IFERROR(__xludf.DUMMYFUNCTION("""COMPUTED_VALUE"""),"Catlett Data Center Park")</f>
        <v>Catlett Data Center Park</v>
      </c>
      <c r="B1205" s="1" t="str">
        <f>IFERROR(__xludf.DUMMYFUNCTION("""COMPUTED_VALUE"""),"3154 GASKINS LN")</f>
        <v>3154 GASKINS LN</v>
      </c>
      <c r="C1205" s="1" t="str">
        <f>IFERROR(__xludf.DUMMYFUNCTION("""COMPUTED_VALUE"""),"Catlett")</f>
        <v>Catlett</v>
      </c>
      <c r="D1205" s="1" t="str">
        <f>IFERROR(__xludf.DUMMYFUNCTION("""COMPUTED_VALUE"""),"VA")</f>
        <v>VA</v>
      </c>
      <c r="E1205" s="1" t="str">
        <f>IFERROR(__xludf.DUMMYFUNCTION("""COMPUTED_VALUE"""),"20119")</f>
        <v>20119</v>
      </c>
      <c r="F1205" s="1" t="str">
        <f>IFERROR(__xludf.DUMMYFUNCTION("""COMPUTED_VALUE"""),"Fauquier")</f>
        <v>Fauquier</v>
      </c>
      <c r="G1205" s="1" t="str">
        <f>IFERROR(__xludf.DUMMYFUNCTION("""COMPUTED_VALUE"""),"38.661777")</f>
        <v>38.661777</v>
      </c>
      <c r="H1205" s="1" t="str">
        <f>IFERROR(__xludf.DUMMYFUNCTION("""COMPUTED_VALUE"""),"-77.63222")</f>
        <v>-77.63222</v>
      </c>
      <c r="I1205" s="1" t="str">
        <f>IFERROR(__xludf.DUMMYFUNCTION("""COMPUTED_VALUE"""),"Proposed")</f>
        <v>Proposed</v>
      </c>
      <c r="J1205" s="1" t="str">
        <f>IFERROR(__xludf.DUMMYFUNCTION("""COMPUTED_VALUE"""),"High")</f>
        <v>High</v>
      </c>
      <c r="K1205" s="1" t="str">
        <f>IFERROR(__xludf.DUMMYFUNCTION("""COMPUTED_VALUE"""),"")</f>
        <v/>
      </c>
      <c r="L1205" s="1" t="str">
        <f>IFERROR(__xludf.DUMMYFUNCTION("""COMPUTED_VALUE"""),"Catlett Station II LLC")</f>
        <v>Catlett Station II LLC</v>
      </c>
      <c r="M1205" s="1" t="str">
        <f>IFERROR(__xludf.DUMMYFUNCTION("""COMPUTED_VALUE"""),"")</f>
        <v/>
      </c>
      <c r="N1205" s="1" t="str">
        <f>IFERROR(__xludf.DUMMYFUNCTION("""COMPUTED_VALUE"""),"")</f>
        <v/>
      </c>
      <c r="O1205" s="1" t="str">
        <f>IFERROR(__xludf.DUMMYFUNCTION("""COMPUTED_VALUE"""),"Unknown")</f>
        <v>Unknown</v>
      </c>
      <c r="P1205" s="1" t="str">
        <f>IFERROR(__xludf.DUMMYFUNCTION("""COMPUTED_VALUE"""),"")</f>
        <v/>
      </c>
      <c r="Q1205" s="1" t="str">
        <f>IFERROR(__xludf.DUMMYFUNCTION("""COMPUTED_VALUE"""),"")</f>
        <v/>
      </c>
      <c r="R1205" s="1" t="str">
        <f>IFERROR(__xludf.DUMMYFUNCTION("""COMPUTED_VALUE"""),"")</f>
        <v/>
      </c>
      <c r="S1205" s="1" t="str">
        <f>IFERROR(__xludf.DUMMYFUNCTION("""COMPUTED_VALUE"""),"")</f>
        <v/>
      </c>
      <c r="T1205" s="1" t="str">
        <f>IFERROR(__xludf.DUMMYFUNCTION("""COMPUTED_VALUE"""),"")</f>
        <v/>
      </c>
      <c r="U1205" s="1" t="str">
        <f>IFERROR(__xludf.DUMMYFUNCTION("""COMPUTED_VALUE"""),"")</f>
        <v/>
      </c>
      <c r="V1205" s="1" t="str">
        <f>IFERROR(__xludf.DUMMYFUNCTION("""COMPUTED_VALUE"""),"1,400,000")</f>
        <v>1,400,000</v>
      </c>
      <c r="W1205" s="1" t="str">
        <f>IFERROR(__xludf.DUMMYFUNCTION("""COMPUTED_VALUE"""),"69")</f>
        <v>69</v>
      </c>
      <c r="X1205" s="1" t="str">
        <f>IFERROR(__xludf.DUMMYFUNCTION("""COMPUTED_VALUE"""),"")</f>
        <v/>
      </c>
      <c r="Y1205" s="1" t="str">
        <f>IFERROR(__xludf.DUMMYFUNCTION("""COMPUTED_VALUE"""),"")</f>
        <v/>
      </c>
      <c r="Z1205" s="1" t="str">
        <f>IFERROR(__xludf.DUMMYFUNCTION("""COMPUTED_VALUE"""),"Unknown")</f>
        <v>Unknown</v>
      </c>
      <c r="AA1205" s="1" t="str">
        <f>IFERROR(__xludf.DUMMYFUNCTION("""COMPUTED_VALUE"""),"")</f>
        <v/>
      </c>
      <c r="AB1205" s="1" t="str">
        <f>IFERROR(__xludf.DUMMYFUNCTION("""COMPUTED_VALUE"""),"")</f>
        <v/>
      </c>
      <c r="AC1205" s="1" t="str">
        <f>IFERROR(__xludf.DUMMYFUNCTION("""COMPUTED_VALUE"""),"")</f>
        <v/>
      </c>
      <c r="AD1205" s="1" t="str">
        <f>IFERROR(__xludf.DUMMYFUNCTION("""COMPUTED_VALUE"""),"")</f>
        <v/>
      </c>
      <c r="AE1205" s="1" t="str">
        <f>IFERROR(__xludf.DUMMYFUNCTION("""COMPUTED_VALUE"""),"")</f>
        <v/>
      </c>
      <c r="AF1205" s="1" t="str">
        <f>IFERROR(__xludf.DUMMYFUNCTION("""COMPUTED_VALUE"""),"")</f>
        <v/>
      </c>
      <c r="AG1205" s="1" t="str">
        <f>IFERROR(__xludf.DUMMYFUNCTION("""COMPUTED_VALUE"""),"Project covers more than one parcel, the acreage represents the combined acreage")</f>
        <v>Project covers more than one parcel, the acreage represents the combined acreage</v>
      </c>
      <c r="AH1205" s="1" t="str">
        <f>IFERROR(__xludf.DUMMYFUNCTION("""COMPUTED_VALUE"""),"PEC")</f>
        <v>PEC</v>
      </c>
      <c r="AI1205" s="2" t="str">
        <f>IFERROR(__xludf.DUMMYFUNCTION("""COMPUTED_VALUE"""),"https://commdevpay.fauquiercounty.gov/Energov_Prod/SelfService#/plan/8f168f14-7317-41b8-9a51-0fb7fc218ac1?tab=attachments")</f>
        <v>https://commdevpay.fauquiercounty.gov/Energov_Prod/SelfService#/plan/8f168f14-7317-41b8-9a51-0fb7fc218ac1?tab=attachments</v>
      </c>
      <c r="AJ1205" s="2" t="str">
        <f>IFERROR(__xludf.DUMMYFUNCTION("""COMPUTED_VALUE"""),"https://gis.vgsi.com/fauquierva/Parcel.aspx?pid=48900")</f>
        <v>https://gis.vgsi.com/fauquierva/Parcel.aspx?pid=48900</v>
      </c>
      <c r="AK1205" s="1" t="str">
        <f>IFERROR(__xludf.DUMMYFUNCTION("""COMPUTED_VALUE"""),"")</f>
        <v/>
      </c>
      <c r="AL1205" s="1" t="str">
        <f>IFERROR(__xludf.DUMMYFUNCTION("""COMPUTED_VALUE"""),"")</f>
        <v/>
      </c>
      <c r="AM1205" s="1" t="str">
        <f>IFERROR(__xludf.DUMMYFUNCTION("""COMPUTED_VALUE"""),"")</f>
        <v/>
      </c>
      <c r="AN1205" s="1" t="str">
        <f>IFERROR(__xludf.DUMMYFUNCTION("""COMPUTED_VALUE"""),"")</f>
        <v/>
      </c>
      <c r="AO1205" s="1" t="str">
        <f>IFERROR(__xludf.DUMMYFUNCTION("""COMPUTED_VALUE"""),"")</f>
        <v/>
      </c>
      <c r="AP1205" s="1" t="str">
        <f>IFERROR(__xludf.DUMMYFUNCTION("""COMPUTED_VALUE"""),"")</f>
        <v/>
      </c>
      <c r="AQ1205" s="1" t="str">
        <f>IFERROR(__xludf.DUMMYFUNCTION("""COMPUTED_VALUE"""),"04/10/2024")</f>
        <v>04/10/2024</v>
      </c>
      <c r="AR1205" s="1" t="str">
        <f>IFERROR(__xludf.DUMMYFUNCTION("""COMPUTED_VALUE"""),"10/17/2025")</f>
        <v>10/17/2025</v>
      </c>
    </row>
    <row r="1206">
      <c r="A1206" s="1" t="str">
        <f>IFERROR(__xludf.DUMMYFUNCTION("""COMPUTED_VALUE"""),"Headwaters Site Development LLC")</f>
        <v>Headwaters Site Development LLC</v>
      </c>
      <c r="B1206" s="1" t="str">
        <f>IFERROR(__xludf.DUMMYFUNCTION("""COMPUTED_VALUE"""),"Catlett Rd &amp; Gaskins Ln")</f>
        <v>Catlett Rd &amp; Gaskins Ln</v>
      </c>
      <c r="C1206" s="1" t="str">
        <f>IFERROR(__xludf.DUMMYFUNCTION("""COMPUTED_VALUE"""),"Catlett")</f>
        <v>Catlett</v>
      </c>
      <c r="D1206" s="1" t="str">
        <f>IFERROR(__xludf.DUMMYFUNCTION("""COMPUTED_VALUE"""),"VA")</f>
        <v>VA</v>
      </c>
      <c r="E1206" s="1" t="str">
        <f>IFERROR(__xludf.DUMMYFUNCTION("""COMPUTED_VALUE"""),"20119")</f>
        <v>20119</v>
      </c>
      <c r="F1206" s="1" t="str">
        <f>IFERROR(__xludf.DUMMYFUNCTION("""COMPUTED_VALUE"""),"Fauquier")</f>
        <v>Fauquier</v>
      </c>
      <c r="G1206" s="1" t="str">
        <f>IFERROR(__xludf.DUMMYFUNCTION("""COMPUTED_VALUE"""),"38.66282")</f>
        <v>38.66282</v>
      </c>
      <c r="H1206" s="1" t="str">
        <f>IFERROR(__xludf.DUMMYFUNCTION("""COMPUTED_VALUE"""),"-77.6317")</f>
        <v>-77.6317</v>
      </c>
      <c r="I1206" s="1" t="str">
        <f>IFERROR(__xludf.DUMMYFUNCTION("""COMPUTED_VALUE"""),"Suspended")</f>
        <v>Suspended</v>
      </c>
      <c r="J1206" s="1" t="str">
        <f>IFERROR(__xludf.DUMMYFUNCTION("""COMPUTED_VALUE"""),"High")</f>
        <v>High</v>
      </c>
      <c r="K1206" s="1" t="str">
        <f>IFERROR(__xludf.DUMMYFUNCTION("""COMPUTED_VALUE"""),"")</f>
        <v/>
      </c>
      <c r="L1206" s="1" t="str">
        <f>IFERROR(__xludf.DUMMYFUNCTION("""COMPUTED_VALUE"""),"")</f>
        <v/>
      </c>
      <c r="M1206" s="1" t="str">
        <f>IFERROR(__xludf.DUMMYFUNCTION("""COMPUTED_VALUE"""),"")</f>
        <v/>
      </c>
      <c r="N1206" s="1" t="str">
        <f>IFERROR(__xludf.DUMMYFUNCTION("""COMPUTED_VALUE"""),"")</f>
        <v/>
      </c>
      <c r="O1206" s="1" t="str">
        <f>IFERROR(__xludf.DUMMYFUNCTION("""COMPUTED_VALUE"""),"Unknown")</f>
        <v>Unknown</v>
      </c>
      <c r="P1206" s="1" t="str">
        <f>IFERROR(__xludf.DUMMYFUNCTION("""COMPUTED_VALUE"""),"")</f>
        <v/>
      </c>
      <c r="Q1206" s="1" t="str">
        <f>IFERROR(__xludf.DUMMYFUNCTION("""COMPUTED_VALUE"""),"")</f>
        <v/>
      </c>
      <c r="R1206" s="1" t="str">
        <f>IFERROR(__xludf.DUMMYFUNCTION("""COMPUTED_VALUE"""),"")</f>
        <v/>
      </c>
      <c r="S1206" s="1" t="str">
        <f>IFERROR(__xludf.DUMMYFUNCTION("""COMPUTED_VALUE"""),"")</f>
        <v/>
      </c>
      <c r="T1206" s="1" t="str">
        <f>IFERROR(__xludf.DUMMYFUNCTION("""COMPUTED_VALUE"""),"")</f>
        <v/>
      </c>
      <c r="U1206" s="1" t="str">
        <f>IFERROR(__xludf.DUMMYFUNCTION("""COMPUTED_VALUE"""),"")</f>
        <v/>
      </c>
      <c r="V1206" s="1" t="str">
        <f>IFERROR(__xludf.DUMMYFUNCTION("""COMPUTED_VALUE"""),"")</f>
        <v/>
      </c>
      <c r="W1206" s="1" t="str">
        <f>IFERROR(__xludf.DUMMYFUNCTION("""COMPUTED_VALUE"""),"")</f>
        <v/>
      </c>
      <c r="X1206" s="1" t="str">
        <f>IFERROR(__xludf.DUMMYFUNCTION("""COMPUTED_VALUE"""),"")</f>
        <v/>
      </c>
      <c r="Y1206" s="1" t="str">
        <f>IFERROR(__xludf.DUMMYFUNCTION("""COMPUTED_VALUE"""),"")</f>
        <v/>
      </c>
      <c r="Z1206" s="1" t="str">
        <f>IFERROR(__xludf.DUMMYFUNCTION("""COMPUTED_VALUE"""),"Unknown")</f>
        <v>Unknown</v>
      </c>
      <c r="AA1206" s="1" t="str">
        <f>IFERROR(__xludf.DUMMYFUNCTION("""COMPUTED_VALUE"""),"")</f>
        <v/>
      </c>
      <c r="AB1206" s="1" t="str">
        <f>IFERROR(__xludf.DUMMYFUNCTION("""COMPUTED_VALUE"""),"")</f>
        <v/>
      </c>
      <c r="AC1206" s="1" t="str">
        <f>IFERROR(__xludf.DUMMYFUNCTION("""COMPUTED_VALUE"""),"")</f>
        <v/>
      </c>
      <c r="AD1206" s="1" t="str">
        <f>IFERROR(__xludf.DUMMYFUNCTION("""COMPUTED_VALUE"""),"")</f>
        <v/>
      </c>
      <c r="AE1206" s="1" t="str">
        <f>IFERROR(__xludf.DUMMYFUNCTION("""COMPUTED_VALUE"""),"")</f>
        <v/>
      </c>
      <c r="AF1206" s="1" t="str">
        <f>IFERROR(__xludf.DUMMYFUNCTION("""COMPUTED_VALUE"""),"")</f>
        <v/>
      </c>
      <c r="AG1206" s="1" t="str">
        <f>IFERROR(__xludf.DUMMYFUNCTION("""COMPUTED_VALUE"""),"")</f>
        <v/>
      </c>
      <c r="AH1206" s="1" t="str">
        <f>IFERROR(__xludf.DUMMYFUNCTION("""COMPUTED_VALUE"""),"Media Monitoring")</f>
        <v>Media Monitoring</v>
      </c>
      <c r="AI1206" s="2" t="str">
        <f>IFERROR(__xludf.DUMMYFUNCTION("""COMPUTED_VALUE"""),"https://www.fauquiernow.com/news/developer-withdraws-plans-for-catlett-station-data-center-project/article_29d5165e-4385-11ef-ad9e-db32dab80435.html")</f>
        <v>https://www.fauquiernow.com/news/developer-withdraws-plans-for-catlett-station-data-center-project/article_29d5165e-4385-11ef-ad9e-db32dab80435.html</v>
      </c>
      <c r="AJ1206" s="1" t="str">
        <f>IFERROR(__xludf.DUMMYFUNCTION("""COMPUTED_VALUE"""),"")</f>
        <v/>
      </c>
      <c r="AK1206" s="1" t="str">
        <f>IFERROR(__xludf.DUMMYFUNCTION("""COMPUTED_VALUE"""),"")</f>
        <v/>
      </c>
      <c r="AL1206" s="1" t="str">
        <f>IFERROR(__xludf.DUMMYFUNCTION("""COMPUTED_VALUE"""),"")</f>
        <v/>
      </c>
      <c r="AM1206" s="1" t="str">
        <f>IFERROR(__xludf.DUMMYFUNCTION("""COMPUTED_VALUE"""),"")</f>
        <v/>
      </c>
      <c r="AN1206" s="1" t="str">
        <f>IFERROR(__xludf.DUMMYFUNCTION("""COMPUTED_VALUE"""),"")</f>
        <v/>
      </c>
      <c r="AO1206" s="1" t="str">
        <f>IFERROR(__xludf.DUMMYFUNCTION("""COMPUTED_VALUE"""),"")</f>
        <v/>
      </c>
      <c r="AP1206" s="1" t="str">
        <f>IFERROR(__xludf.DUMMYFUNCTION("""COMPUTED_VALUE"""),"")</f>
        <v/>
      </c>
      <c r="AQ1206" s="1" t="str">
        <f>IFERROR(__xludf.DUMMYFUNCTION("""COMPUTED_VALUE"""),"05/23/2025")</f>
        <v>05/23/2025</v>
      </c>
      <c r="AR1206" s="1" t="str">
        <f>IFERROR(__xludf.DUMMYFUNCTION("""COMPUTED_VALUE"""),"05/23/2025")</f>
        <v>05/23/2025</v>
      </c>
    </row>
    <row r="1207">
      <c r="A1207" s="1" t="str">
        <f>IFERROR(__xludf.DUMMYFUNCTION("""COMPUTED_VALUE"""),"Warrenton Amazon Data Center")</f>
        <v>Warrenton Amazon Data Center</v>
      </c>
      <c r="B1207" s="1" t="str">
        <f>IFERROR(__xludf.DUMMYFUNCTION("""COMPUTED_VALUE"""),"719 BLACKWELL RD")</f>
        <v>719 BLACKWELL RD</v>
      </c>
      <c r="C1207" s="1" t="str">
        <f>IFERROR(__xludf.DUMMYFUNCTION("""COMPUTED_VALUE"""),"Catlett")</f>
        <v>Catlett</v>
      </c>
      <c r="D1207" s="1" t="str">
        <f>IFERROR(__xludf.DUMMYFUNCTION("""COMPUTED_VALUE"""),"VA")</f>
        <v>VA</v>
      </c>
      <c r="E1207" s="1" t="str">
        <f>IFERROR(__xludf.DUMMYFUNCTION("""COMPUTED_VALUE"""),"20186")</f>
        <v>20186</v>
      </c>
      <c r="F1207" s="1" t="str">
        <f>IFERROR(__xludf.DUMMYFUNCTION("""COMPUTED_VALUE"""),"Fauquier")</f>
        <v>Fauquier</v>
      </c>
      <c r="G1207" s="1" t="str">
        <f>IFERROR(__xludf.DUMMYFUNCTION("""COMPUTED_VALUE"""),"38.729473")</f>
        <v>38.729473</v>
      </c>
      <c r="H1207" s="1" t="str">
        <f>IFERROR(__xludf.DUMMYFUNCTION("""COMPUTED_VALUE"""),"-77.78753")</f>
        <v>-77.78753</v>
      </c>
      <c r="I1207" s="1" t="str">
        <f>IFERROR(__xludf.DUMMYFUNCTION("""COMPUTED_VALUE"""),"Approved/Permitted/Under construction")</f>
        <v>Approved/Permitted/Under construction</v>
      </c>
      <c r="J1207" s="1" t="str">
        <f>IFERROR(__xludf.DUMMYFUNCTION("""COMPUTED_VALUE"""),"High")</f>
        <v>High</v>
      </c>
      <c r="K1207" s="1" t="str">
        <f>IFERROR(__xludf.DUMMYFUNCTION("""COMPUTED_VALUE"""),"")</f>
        <v/>
      </c>
      <c r="L1207" s="1" t="str">
        <f>IFERROR(__xludf.DUMMYFUNCTION("""COMPUTED_VALUE"""),"Amazon")</f>
        <v>Amazon</v>
      </c>
      <c r="M1207" s="1" t="str">
        <f>IFERROR(__xludf.DUMMYFUNCTION("""COMPUTED_VALUE"""),"")</f>
        <v/>
      </c>
      <c r="N1207" s="1" t="str">
        <f>IFERROR(__xludf.DUMMYFUNCTION("""COMPUTED_VALUE"""),"")</f>
        <v/>
      </c>
      <c r="O1207" s="1" t="str">
        <f>IFERROR(__xludf.DUMMYFUNCTION("""COMPUTED_VALUE"""),"Unknown")</f>
        <v>Unknown</v>
      </c>
      <c r="P1207" s="1" t="str">
        <f>IFERROR(__xludf.DUMMYFUNCTION("""COMPUTED_VALUE"""),"")</f>
        <v/>
      </c>
      <c r="Q1207" s="1" t="str">
        <f>IFERROR(__xludf.DUMMYFUNCTION("""COMPUTED_VALUE"""),"")</f>
        <v/>
      </c>
      <c r="R1207" s="1" t="str">
        <f>IFERROR(__xludf.DUMMYFUNCTION("""COMPUTED_VALUE"""),"")</f>
        <v/>
      </c>
      <c r="S1207" s="1" t="str">
        <f>IFERROR(__xludf.DUMMYFUNCTION("""COMPUTED_VALUE"""),"")</f>
        <v/>
      </c>
      <c r="T1207" s="1" t="str">
        <f>IFERROR(__xludf.DUMMYFUNCTION("""COMPUTED_VALUE"""),"")</f>
        <v/>
      </c>
      <c r="U1207" s="1" t="str">
        <f>IFERROR(__xludf.DUMMYFUNCTION("""COMPUTED_VALUE"""),"")</f>
        <v/>
      </c>
      <c r="V1207" s="1" t="str">
        <f>IFERROR(__xludf.DUMMYFUNCTION("""COMPUTED_VALUE"""),"220,000")</f>
        <v>220,000</v>
      </c>
      <c r="W1207" s="1" t="str">
        <f>IFERROR(__xludf.DUMMYFUNCTION("""COMPUTED_VALUE"""),"42")</f>
        <v>42</v>
      </c>
      <c r="X1207" s="1" t="str">
        <f>IFERROR(__xludf.DUMMYFUNCTION("""COMPUTED_VALUE"""),"")</f>
        <v/>
      </c>
      <c r="Y1207" s="1" t="str">
        <f>IFERROR(__xludf.DUMMYFUNCTION("""COMPUTED_VALUE"""),"")</f>
        <v/>
      </c>
      <c r="Z1207" s="1" t="str">
        <f>IFERROR(__xludf.DUMMYFUNCTION("""COMPUTED_VALUE"""),"Yes")</f>
        <v>Yes</v>
      </c>
      <c r="AA1207" s="1" t="str">
        <f>IFERROR(__xludf.DUMMYFUNCTION("""COMPUTED_VALUE"""),"")</f>
        <v/>
      </c>
      <c r="AB1207" s="1" t="str">
        <f>IFERROR(__xludf.DUMMYFUNCTION("""COMPUTED_VALUE"""),"")</f>
        <v/>
      </c>
      <c r="AC1207" s="1" t="str">
        <f>IFERROR(__xludf.DUMMYFUNCTION("""COMPUTED_VALUE"""),"")</f>
        <v/>
      </c>
      <c r="AD1207" s="1" t="str">
        <f>IFERROR(__xludf.DUMMYFUNCTION("""COMPUTED_VALUE"""),"")</f>
        <v/>
      </c>
      <c r="AE1207" s="1" t="str">
        <f>IFERROR(__xludf.DUMMYFUNCTION("""COMPUTED_VALUE"""),"")</f>
        <v/>
      </c>
      <c r="AF1207" s="2" t="str">
        <f>IFERROR(__xludf.DUMMYFUNCTION("""COMPUTED_VALUE"""),"https://www.change.org/p/protect-warrenton-no-data-center-without-local-safeguards")</f>
        <v>https://www.change.org/p/protect-warrenton-no-data-center-without-local-safeguards</v>
      </c>
      <c r="AG1207" s="1" t="str">
        <f>IFERROR(__xludf.DUMMYFUNCTION("""COMPUTED_VALUE"""),"")</f>
        <v/>
      </c>
      <c r="AH1207" s="1" t="str">
        <f>IFERROR(__xludf.DUMMYFUNCTION("""COMPUTED_VALUE"""),"PEC")</f>
        <v>PEC</v>
      </c>
      <c r="AI1207" s="2" t="str">
        <f>IFERROR(__xludf.DUMMYFUNCTION("""COMPUTED_VALUE"""),"https://www.fauquiernow.com/news/business/warrenton-town-council-approves-amazon-data-center-proposal/article_3913e82e-ad0a-11ed-83f3-538a8a5bb411.html")</f>
        <v>https://www.fauquiernow.com/news/business/warrenton-town-council-approves-amazon-data-center-proposal/article_3913e82e-ad0a-11ed-83f3-538a8a5bb411.html</v>
      </c>
      <c r="AJ1207" s="2" t="str">
        <f>IFERROR(__xludf.DUMMYFUNCTION("""COMPUTED_VALUE"""),"https://gis.vgsi.com/fauquierva/Parcel.aspx?pid=27419")</f>
        <v>https://gis.vgsi.com/fauquierva/Parcel.aspx?pid=27419</v>
      </c>
      <c r="AK1207" s="1" t="str">
        <f>IFERROR(__xludf.DUMMYFUNCTION("""COMPUTED_VALUE"""),"")</f>
        <v/>
      </c>
      <c r="AL1207" s="1" t="str">
        <f>IFERROR(__xludf.DUMMYFUNCTION("""COMPUTED_VALUE"""),"")</f>
        <v/>
      </c>
      <c r="AM1207" s="1" t="str">
        <f>IFERROR(__xludf.DUMMYFUNCTION("""COMPUTED_VALUE"""),"")</f>
        <v/>
      </c>
      <c r="AN1207" s="1" t="str">
        <f>IFERROR(__xludf.DUMMYFUNCTION("""COMPUTED_VALUE"""),"")</f>
        <v/>
      </c>
      <c r="AO1207" s="1" t="str">
        <f>IFERROR(__xludf.DUMMYFUNCTION("""COMPUTED_VALUE"""),"")</f>
        <v/>
      </c>
      <c r="AP1207" s="1" t="str">
        <f>IFERROR(__xludf.DUMMYFUNCTION("""COMPUTED_VALUE"""),"")</f>
        <v/>
      </c>
      <c r="AQ1207" s="1" t="str">
        <f>IFERROR(__xludf.DUMMYFUNCTION("""COMPUTED_VALUE"""),"04/10/2024")</f>
        <v>04/10/2024</v>
      </c>
      <c r="AR1207" s="1" t="str">
        <f>IFERROR(__xludf.DUMMYFUNCTION("""COMPUTED_VALUE"""),"03/17/2026")</f>
        <v>03/17/2026</v>
      </c>
    </row>
    <row r="1208">
      <c r="A1208" s="1" t="str">
        <f>IFERROR(__xludf.DUMMYFUNCTION("""COMPUTED_VALUE"""),"Amazon Web Services Mallory")</f>
        <v>Amazon Web Services Mallory</v>
      </c>
      <c r="B1208" s="1" t="str">
        <f>IFERROR(__xludf.DUMMYFUNCTION("""COMPUTED_VALUE"""),"14501 AVION PKWY")</f>
        <v>14501 AVION PKWY</v>
      </c>
      <c r="C1208" s="1" t="str">
        <f>IFERROR(__xludf.DUMMYFUNCTION("""COMPUTED_VALUE"""),"Chantilly")</f>
        <v>Chantilly</v>
      </c>
      <c r="D1208" s="1" t="str">
        <f>IFERROR(__xludf.DUMMYFUNCTION("""COMPUTED_VALUE"""),"VA")</f>
        <v>VA</v>
      </c>
      <c r="E1208" s="1" t="str">
        <f>IFERROR(__xludf.DUMMYFUNCTION("""COMPUTED_VALUE"""),"20151")</f>
        <v>20151</v>
      </c>
      <c r="F1208" s="1" t="str">
        <f>IFERROR(__xludf.DUMMYFUNCTION("""COMPUTED_VALUE"""),"Fairfax")</f>
        <v>Fairfax</v>
      </c>
      <c r="G1208" s="1" t="str">
        <f>IFERROR(__xludf.DUMMYFUNCTION("""COMPUTED_VALUE"""),"38.904926")</f>
        <v>38.904926</v>
      </c>
      <c r="H1208" s="1" t="str">
        <f>IFERROR(__xludf.DUMMYFUNCTION("""COMPUTED_VALUE"""),"-77.45381")</f>
        <v>-77.45381</v>
      </c>
      <c r="I1208" s="1" t="str">
        <f>IFERROR(__xludf.DUMMYFUNCTION("""COMPUTED_VALUE"""),"Expanding")</f>
        <v>Expanding</v>
      </c>
      <c r="J1208" s="1" t="str">
        <f>IFERROR(__xludf.DUMMYFUNCTION("""COMPUTED_VALUE"""),"High")</f>
        <v>High</v>
      </c>
      <c r="K1208" s="1" t="str">
        <f>IFERROR(__xludf.DUMMYFUNCTION("""COMPUTED_VALUE"""),"")</f>
        <v/>
      </c>
      <c r="L1208" s="1" t="str">
        <f>IFERROR(__xludf.DUMMYFUNCTION("""COMPUTED_VALUE"""),"Amazon")</f>
        <v>Amazon</v>
      </c>
      <c r="M1208" s="1" t="str">
        <f>IFERROR(__xludf.DUMMYFUNCTION("""COMPUTED_VALUE"""),"")</f>
        <v/>
      </c>
      <c r="N1208" s="1" t="str">
        <f>IFERROR(__xludf.DUMMYFUNCTION("""COMPUTED_VALUE"""),"")</f>
        <v/>
      </c>
      <c r="O1208" s="1" t="str">
        <f>IFERROR(__xludf.DUMMYFUNCTION("""COMPUTED_VALUE"""),"Unknown")</f>
        <v>Unknown</v>
      </c>
      <c r="P1208" s="1" t="str">
        <f>IFERROR(__xludf.DUMMYFUNCTION("""COMPUTED_VALUE"""),"")</f>
        <v/>
      </c>
      <c r="Q1208" s="1" t="str">
        <f>IFERROR(__xludf.DUMMYFUNCTION("""COMPUTED_VALUE"""),"")</f>
        <v/>
      </c>
      <c r="R1208" s="1" t="str">
        <f>IFERROR(__xludf.DUMMYFUNCTION("""COMPUTED_VALUE"""),"")</f>
        <v/>
      </c>
      <c r="S1208" s="1" t="str">
        <f>IFERROR(__xludf.DUMMYFUNCTION("""COMPUTED_VALUE"""),"")</f>
        <v/>
      </c>
      <c r="T1208" s="1" t="str">
        <f>IFERROR(__xludf.DUMMYFUNCTION("""COMPUTED_VALUE"""),"")</f>
        <v/>
      </c>
      <c r="U1208" s="1" t="str">
        <f>IFERROR(__xludf.DUMMYFUNCTION("""COMPUTED_VALUE"""),"")</f>
        <v/>
      </c>
      <c r="V1208" s="1" t="str">
        <f>IFERROR(__xludf.DUMMYFUNCTION("""COMPUTED_VALUE"""),"440,870")</f>
        <v>440,870</v>
      </c>
      <c r="W1208" s="1" t="str">
        <f>IFERROR(__xludf.DUMMYFUNCTION("""COMPUTED_VALUE"""),"48")</f>
        <v>48</v>
      </c>
      <c r="X1208" s="1" t="str">
        <f>IFERROR(__xludf.DUMMYFUNCTION("""COMPUTED_VALUE"""),"")</f>
        <v/>
      </c>
      <c r="Y1208" s="1" t="str">
        <f>IFERROR(__xludf.DUMMYFUNCTION("""COMPUTED_VALUE"""),"")</f>
        <v/>
      </c>
      <c r="Z1208" s="1" t="str">
        <f>IFERROR(__xludf.DUMMYFUNCTION("""COMPUTED_VALUE"""),"Unknown")</f>
        <v>Unknown</v>
      </c>
      <c r="AA1208" s="1" t="str">
        <f>IFERROR(__xludf.DUMMYFUNCTION("""COMPUTED_VALUE"""),"")</f>
        <v/>
      </c>
      <c r="AB1208" s="1" t="str">
        <f>IFERROR(__xludf.DUMMYFUNCTION("""COMPUTED_VALUE"""),"")</f>
        <v/>
      </c>
      <c r="AC1208" s="1" t="str">
        <f>IFERROR(__xludf.DUMMYFUNCTION("""COMPUTED_VALUE"""),"")</f>
        <v/>
      </c>
      <c r="AD1208" s="1" t="str">
        <f>IFERROR(__xludf.DUMMYFUNCTION("""COMPUTED_VALUE"""),"")</f>
        <v/>
      </c>
      <c r="AE1208" s="1" t="str">
        <f>IFERROR(__xludf.DUMMYFUNCTION("""COMPUTED_VALUE"""),"")</f>
        <v/>
      </c>
      <c r="AF1208" s="1" t="str">
        <f>IFERROR(__xludf.DUMMYFUNCTION("""COMPUTED_VALUE"""),"")</f>
        <v/>
      </c>
      <c r="AG1208" s="1" t="str">
        <f>IFERROR(__xludf.DUMMYFUNCTION("""COMPUTED_VALUE"""),"Two facilities built, third (Avion, 768,392 sq ft) planned")</f>
        <v>Two facilities built, third (Avion, 768,392 sq ft) planned</v>
      </c>
      <c r="AH1208" s="1" t="str">
        <f>IFERROR(__xludf.DUMMYFUNCTION("""COMPUTED_VALUE"""),"PEC")</f>
        <v>PEC</v>
      </c>
      <c r="AI1208" s="2" t="str">
        <f>IFERROR(__xludf.DUMMYFUNCTION("""COMPUTED_VALUE"""),"https://www.fairfaxcounty.gov/planning-development/sites/planning-development/files/Assets/Documents/PDF/data-centers-report.pdf#page=1")</f>
        <v>https://www.fairfaxcounty.gov/planning-development/sites/planning-development/files/Assets/Documents/PDF/data-centers-report.pdf#page=1</v>
      </c>
      <c r="AJ1208" s="2" t="str">
        <f>IFERROR(__xludf.DUMMYFUNCTION("""COMPUTED_VALUE"""),"https://icare.fairfaxcounty.gov/ffxcare/Datalets/Datalet.aspx?mode=&amp;UseSearch=no&amp;pin=0341%2003%20%200013&amp;jur=129&amp;taxyr=2025")</f>
        <v>https://icare.fairfaxcounty.gov/ffxcare/Datalets/Datalet.aspx?mode=&amp;UseSearch=no&amp;pin=0341%2003%20%200013&amp;jur=129&amp;taxyr=2025</v>
      </c>
      <c r="AK1208" s="2" t="str">
        <f>IFERROR(__xludf.DUMMYFUNCTION("""COMPUTED_VALUE"""),"https://plus.fairfaxcounty.gov/CitizenAccess/Cap/CapDetail.aspx?Module=Site&amp;TabName=Site&amp;capID1=21WW1&amp;capID2=00000&amp;capID3=00IHZ&amp;agencyCode=FFX")</f>
        <v>https://plus.fairfaxcounty.gov/CitizenAccess/Cap/CapDetail.aspx?Module=Site&amp;TabName=Site&amp;capID1=21WW1&amp;capID2=00000&amp;capID3=00IHZ&amp;agencyCode=FFX</v>
      </c>
      <c r="AL1208" s="1" t="str">
        <f>IFERROR(__xludf.DUMMYFUNCTION("""COMPUTED_VALUE"""),"")</f>
        <v/>
      </c>
      <c r="AM1208" s="1" t="str">
        <f>IFERROR(__xludf.DUMMYFUNCTION("""COMPUTED_VALUE"""),"")</f>
        <v/>
      </c>
      <c r="AN1208" s="1" t="str">
        <f>IFERROR(__xludf.DUMMYFUNCTION("""COMPUTED_VALUE"""),"")</f>
        <v/>
      </c>
      <c r="AO1208" s="1" t="str">
        <f>IFERROR(__xludf.DUMMYFUNCTION("""COMPUTED_VALUE"""),"")</f>
        <v/>
      </c>
      <c r="AP1208" s="1" t="str">
        <f>IFERROR(__xludf.DUMMYFUNCTION("""COMPUTED_VALUE"""),"")</f>
        <v/>
      </c>
      <c r="AQ1208" s="1" t="str">
        <f>IFERROR(__xludf.DUMMYFUNCTION("""COMPUTED_VALUE"""),"04/10/2024")</f>
        <v>04/10/2024</v>
      </c>
      <c r="AR1208" s="1" t="str">
        <f>IFERROR(__xludf.DUMMYFUNCTION("""COMPUTED_VALUE"""),"02/10/2026")</f>
        <v>02/10/2026</v>
      </c>
    </row>
    <row r="1209">
      <c r="A1209" s="1" t="str">
        <f>IFERROR(__xludf.DUMMYFUNCTION("""COMPUTED_VALUE"""),"LEE ROAD PROPERTY")</f>
        <v>LEE ROAD PROPERTY</v>
      </c>
      <c r="B1209" s="1" t="str">
        <f>IFERROR(__xludf.DUMMYFUNCTION("""COMPUTED_VALUE"""),"14558 LEE RD")</f>
        <v>14558 LEE RD</v>
      </c>
      <c r="C1209" s="1" t="str">
        <f>IFERROR(__xludf.DUMMYFUNCTION("""COMPUTED_VALUE"""),"Chantilly")</f>
        <v>Chantilly</v>
      </c>
      <c r="D1209" s="1" t="str">
        <f>IFERROR(__xludf.DUMMYFUNCTION("""COMPUTED_VALUE"""),"VA")</f>
        <v>VA</v>
      </c>
      <c r="E1209" s="1" t="str">
        <f>IFERROR(__xludf.DUMMYFUNCTION("""COMPUTED_VALUE"""),"20151")</f>
        <v>20151</v>
      </c>
      <c r="F1209" s="1" t="str">
        <f>IFERROR(__xludf.DUMMYFUNCTION("""COMPUTED_VALUE"""),"Fairfax")</f>
        <v>Fairfax</v>
      </c>
      <c r="G1209" s="1" t="str">
        <f>IFERROR(__xludf.DUMMYFUNCTION("""COMPUTED_VALUE"""),"38.890537")</f>
        <v>38.890537</v>
      </c>
      <c r="H1209" s="1" t="str">
        <f>IFERROR(__xludf.DUMMYFUNCTION("""COMPUTED_VALUE"""),"-77.453674")</f>
        <v>-77.453674</v>
      </c>
      <c r="I1209" s="1" t="str">
        <f>IFERROR(__xludf.DUMMYFUNCTION("""COMPUTED_VALUE"""),"Operating")</f>
        <v>Operating</v>
      </c>
      <c r="J1209" s="1" t="str">
        <f>IFERROR(__xludf.DUMMYFUNCTION("""COMPUTED_VALUE"""),"High")</f>
        <v>High</v>
      </c>
      <c r="K1209" s="1" t="str">
        <f>IFERROR(__xludf.DUMMYFUNCTION("""COMPUTED_VALUE"""),"")</f>
        <v/>
      </c>
      <c r="L1209" s="1" t="str">
        <f>IFERROR(__xludf.DUMMYFUNCTION("""COMPUTED_VALUE"""),"LEE ROAD PROPERTY LLC")</f>
        <v>LEE ROAD PROPERTY LLC</v>
      </c>
      <c r="M1209" s="1" t="str">
        <f>IFERROR(__xludf.DUMMYFUNCTION("""COMPUTED_VALUE"""),"")</f>
        <v/>
      </c>
      <c r="N1209" s="1" t="str">
        <f>IFERROR(__xludf.DUMMYFUNCTION("""COMPUTED_VALUE"""),"")</f>
        <v/>
      </c>
      <c r="O1209" s="1" t="str">
        <f>IFERROR(__xludf.DUMMYFUNCTION("""COMPUTED_VALUE"""),"Unknown")</f>
        <v>Unknown</v>
      </c>
      <c r="P1209" s="1" t="str">
        <f>IFERROR(__xludf.DUMMYFUNCTION("""COMPUTED_VALUE"""),"")</f>
        <v/>
      </c>
      <c r="Q1209" s="1" t="str">
        <f>IFERROR(__xludf.DUMMYFUNCTION("""COMPUTED_VALUE"""),"")</f>
        <v/>
      </c>
      <c r="R1209" s="1" t="str">
        <f>IFERROR(__xludf.DUMMYFUNCTION("""COMPUTED_VALUE"""),"")</f>
        <v/>
      </c>
      <c r="S1209" s="1" t="str">
        <f>IFERROR(__xludf.DUMMYFUNCTION("""COMPUTED_VALUE"""),"")</f>
        <v/>
      </c>
      <c r="T1209" s="1" t="str">
        <f>IFERROR(__xludf.DUMMYFUNCTION("""COMPUTED_VALUE"""),"")</f>
        <v/>
      </c>
      <c r="U1209" s="1" t="str">
        <f>IFERROR(__xludf.DUMMYFUNCTION("""COMPUTED_VALUE"""),"")</f>
        <v/>
      </c>
      <c r="V1209" s="1" t="str">
        <f>IFERROR(__xludf.DUMMYFUNCTION("""COMPUTED_VALUE"""),"20,118")</f>
        <v>20,118</v>
      </c>
      <c r="W1209" s="1" t="str">
        <f>IFERROR(__xludf.DUMMYFUNCTION("""COMPUTED_VALUE"""),"1")</f>
        <v>1</v>
      </c>
      <c r="X1209" s="1" t="str">
        <f>IFERROR(__xludf.DUMMYFUNCTION("""COMPUTED_VALUE"""),"")</f>
        <v/>
      </c>
      <c r="Y1209" s="1" t="str">
        <f>IFERROR(__xludf.DUMMYFUNCTION("""COMPUTED_VALUE"""),"")</f>
        <v/>
      </c>
      <c r="Z1209" s="1" t="str">
        <f>IFERROR(__xludf.DUMMYFUNCTION("""COMPUTED_VALUE"""),"Unknown")</f>
        <v>Unknown</v>
      </c>
      <c r="AA1209" s="1" t="str">
        <f>IFERROR(__xludf.DUMMYFUNCTION("""COMPUTED_VALUE"""),"")</f>
        <v/>
      </c>
      <c r="AB1209" s="1" t="str">
        <f>IFERROR(__xludf.DUMMYFUNCTION("""COMPUTED_VALUE"""),"")</f>
        <v/>
      </c>
      <c r="AC1209" s="1" t="str">
        <f>IFERROR(__xludf.DUMMYFUNCTION("""COMPUTED_VALUE"""),"")</f>
        <v/>
      </c>
      <c r="AD1209" s="1" t="str">
        <f>IFERROR(__xludf.DUMMYFUNCTION("""COMPUTED_VALUE"""),"")</f>
        <v/>
      </c>
      <c r="AE1209" s="1" t="str">
        <f>IFERROR(__xludf.DUMMYFUNCTION("""COMPUTED_VALUE"""),"")</f>
        <v/>
      </c>
      <c r="AF1209" s="1" t="str">
        <f>IFERROR(__xludf.DUMMYFUNCTION("""COMPUTED_VALUE"""),"")</f>
        <v/>
      </c>
      <c r="AG1209" s="1" t="str">
        <f>IFERROR(__xludf.DUMMYFUNCTION("""COMPUTED_VALUE"""),"")</f>
        <v/>
      </c>
      <c r="AH1209" s="1" t="str">
        <f>IFERROR(__xludf.DUMMYFUNCTION("""COMPUTED_VALUE"""),"PEC")</f>
        <v>PEC</v>
      </c>
      <c r="AI1209" s="2" t="str">
        <f>IFERROR(__xludf.DUMMYFUNCTION("""COMPUTED_VALUE"""),"https://icare.fairfaxcounty.gov/ffxcare/datalets/datalet.aspx?mode=com_combined&amp;UseSearch=no&amp;pin=0343%2001%20%200023E1&amp;jur=129&amp;taxyr=2025&amp;LMparent=138")</f>
        <v>https://icare.fairfaxcounty.gov/ffxcare/datalets/datalet.aspx?mode=com_combined&amp;UseSearch=no&amp;pin=0343%2001%20%200023E1&amp;jur=129&amp;taxyr=2025&amp;LMparent=138</v>
      </c>
      <c r="AJ1209" s="1" t="str">
        <f>IFERROR(__xludf.DUMMYFUNCTION("""COMPUTED_VALUE"""),"")</f>
        <v/>
      </c>
      <c r="AK1209" s="1" t="str">
        <f>IFERROR(__xludf.DUMMYFUNCTION("""COMPUTED_VALUE"""),"")</f>
        <v/>
      </c>
      <c r="AL1209" s="1" t="str">
        <f>IFERROR(__xludf.DUMMYFUNCTION("""COMPUTED_VALUE"""),"")</f>
        <v/>
      </c>
      <c r="AM1209" s="1" t="str">
        <f>IFERROR(__xludf.DUMMYFUNCTION("""COMPUTED_VALUE"""),"")</f>
        <v/>
      </c>
      <c r="AN1209" s="1" t="str">
        <f>IFERROR(__xludf.DUMMYFUNCTION("""COMPUTED_VALUE"""),"")</f>
        <v/>
      </c>
      <c r="AO1209" s="1" t="str">
        <f>IFERROR(__xludf.DUMMYFUNCTION("""COMPUTED_VALUE"""),"")</f>
        <v/>
      </c>
      <c r="AP1209" s="1" t="str">
        <f>IFERROR(__xludf.DUMMYFUNCTION("""COMPUTED_VALUE"""),"")</f>
        <v/>
      </c>
      <c r="AQ1209" s="1" t="str">
        <f>IFERROR(__xludf.DUMMYFUNCTION("""COMPUTED_VALUE"""),"04/10/2024")</f>
        <v>04/10/2024</v>
      </c>
      <c r="AR1209" s="1" t="str">
        <f>IFERROR(__xludf.DUMMYFUNCTION("""COMPUTED_VALUE"""),"10/17/2025")</f>
        <v>10/17/2025</v>
      </c>
    </row>
    <row r="1210">
      <c r="A1210" s="1" t="str">
        <f>IFERROR(__xludf.DUMMYFUNCTION("""COMPUTED_VALUE"""),"PARKSTONE TECH PARK, LLC")</f>
        <v>PARKSTONE TECH PARK, LLC</v>
      </c>
      <c r="B1210" s="1" t="str">
        <f>IFERROR(__xludf.DUMMYFUNCTION("""COMPUTED_VALUE"""),"Conference Center Dr")</f>
        <v>Conference Center Dr</v>
      </c>
      <c r="C1210" s="1" t="str">
        <f>IFERROR(__xludf.DUMMYFUNCTION("""COMPUTED_VALUE"""),"Chantilly")</f>
        <v>Chantilly</v>
      </c>
      <c r="D1210" s="1" t="str">
        <f>IFERROR(__xludf.DUMMYFUNCTION("""COMPUTED_VALUE"""),"VA")</f>
        <v>VA</v>
      </c>
      <c r="E1210" s="1" t="str">
        <f>IFERROR(__xludf.DUMMYFUNCTION("""COMPUTED_VALUE"""),"20151")</f>
        <v>20151</v>
      </c>
      <c r="F1210" s="1" t="str">
        <f>IFERROR(__xludf.DUMMYFUNCTION("""COMPUTED_VALUE"""),"Fairfax")</f>
        <v>Fairfax</v>
      </c>
      <c r="G1210" s="1" t="str">
        <f>IFERROR(__xludf.DUMMYFUNCTION("""COMPUTED_VALUE"""),"38.87255")</f>
        <v>38.87255</v>
      </c>
      <c r="H1210" s="1" t="str">
        <f>IFERROR(__xludf.DUMMYFUNCTION("""COMPUTED_VALUE"""),"-77.46563")</f>
        <v>-77.46563</v>
      </c>
      <c r="I1210" s="1" t="str">
        <f>IFERROR(__xludf.DUMMYFUNCTION("""COMPUTED_VALUE"""),"Proposed")</f>
        <v>Proposed</v>
      </c>
      <c r="J1210" s="1" t="str">
        <f>IFERROR(__xludf.DUMMYFUNCTION("""COMPUTED_VALUE"""),"Medium")</f>
        <v>Medium</v>
      </c>
      <c r="K1210" s="1" t="str">
        <f>IFERROR(__xludf.DUMMYFUNCTION("""COMPUTED_VALUE"""),"")</f>
        <v/>
      </c>
      <c r="L1210" s="1" t="str">
        <f>IFERROR(__xludf.DUMMYFUNCTION("""COMPUTED_VALUE"""),"PARKSTONE TECH PARK, LLC")</f>
        <v>PARKSTONE TECH PARK, LLC</v>
      </c>
      <c r="M1210" s="1" t="str">
        <f>IFERROR(__xludf.DUMMYFUNCTION("""COMPUTED_VALUE"""),"")</f>
        <v/>
      </c>
      <c r="N1210" s="1" t="str">
        <f>IFERROR(__xludf.DUMMYFUNCTION("""COMPUTED_VALUE"""),"")</f>
        <v/>
      </c>
      <c r="O1210" s="1" t="str">
        <f>IFERROR(__xludf.DUMMYFUNCTION("""COMPUTED_VALUE"""),"Unknown")</f>
        <v>Unknown</v>
      </c>
      <c r="P1210" s="1" t="str">
        <f>IFERROR(__xludf.DUMMYFUNCTION("""COMPUTED_VALUE"""),"")</f>
        <v/>
      </c>
      <c r="Q1210" s="1" t="str">
        <f>IFERROR(__xludf.DUMMYFUNCTION("""COMPUTED_VALUE"""),"")</f>
        <v/>
      </c>
      <c r="R1210" s="1" t="str">
        <f>IFERROR(__xludf.DUMMYFUNCTION("""COMPUTED_VALUE"""),"")</f>
        <v/>
      </c>
      <c r="S1210" s="1" t="str">
        <f>IFERROR(__xludf.DUMMYFUNCTION("""COMPUTED_VALUE"""),"")</f>
        <v/>
      </c>
      <c r="T1210" s="1" t="str">
        <f>IFERROR(__xludf.DUMMYFUNCTION("""COMPUTED_VALUE"""),"")</f>
        <v/>
      </c>
      <c r="U1210" s="1" t="str">
        <f>IFERROR(__xludf.DUMMYFUNCTION("""COMPUTED_VALUE"""),"")</f>
        <v/>
      </c>
      <c r="V1210" s="1" t="str">
        <f>IFERROR(__xludf.DUMMYFUNCTION("""COMPUTED_VALUE"""),"500,000")</f>
        <v>500,000</v>
      </c>
      <c r="W1210" s="1" t="str">
        <f>IFERROR(__xludf.DUMMYFUNCTION("""COMPUTED_VALUE"""),"19")</f>
        <v>19</v>
      </c>
      <c r="X1210" s="1" t="str">
        <f>IFERROR(__xludf.DUMMYFUNCTION("""COMPUTED_VALUE"""),"")</f>
        <v/>
      </c>
      <c r="Y1210" s="1" t="str">
        <f>IFERROR(__xludf.DUMMYFUNCTION("""COMPUTED_VALUE"""),"")</f>
        <v/>
      </c>
      <c r="Z1210" s="1" t="str">
        <f>IFERROR(__xludf.DUMMYFUNCTION("""COMPUTED_VALUE"""),"Unknown")</f>
        <v>Unknown</v>
      </c>
      <c r="AA1210" s="1" t="str">
        <f>IFERROR(__xludf.DUMMYFUNCTION("""COMPUTED_VALUE"""),"")</f>
        <v/>
      </c>
      <c r="AB1210" s="1" t="str">
        <f>IFERROR(__xludf.DUMMYFUNCTION("""COMPUTED_VALUE"""),"")</f>
        <v/>
      </c>
      <c r="AC1210" s="1" t="str">
        <f>IFERROR(__xludf.DUMMYFUNCTION("""COMPUTED_VALUE"""),"")</f>
        <v/>
      </c>
      <c r="AD1210" s="1" t="str">
        <f>IFERROR(__xludf.DUMMYFUNCTION("""COMPUTED_VALUE"""),"")</f>
        <v/>
      </c>
      <c r="AE1210" s="1" t="str">
        <f>IFERROR(__xludf.DUMMYFUNCTION("""COMPUTED_VALUE"""),"")</f>
        <v/>
      </c>
      <c r="AF1210" s="1" t="str">
        <f>IFERROR(__xludf.DUMMYFUNCTION("""COMPUTED_VALUE"""),"")</f>
        <v/>
      </c>
      <c r="AG1210" s="1" t="str">
        <f>IFERROR(__xludf.DUMMYFUNCTION("""COMPUTED_VALUE"""),"")</f>
        <v/>
      </c>
      <c r="AH1210" s="1" t="str">
        <f>IFERROR(__xludf.DUMMYFUNCTION("""COMPUTED_VALUE"""),"PEC")</f>
        <v>PEC</v>
      </c>
      <c r="AI1210" s="2" t="str">
        <f>IFERROR(__xludf.DUMMYFUNCTION("""COMPUTED_VALUE"""),"https://plus.fairfaxcounty.gov/CitizenAccess/Cap/CapDetail.aspx?Module=Zoning&amp;TabName=Zoning&amp;capID1=20HS5&amp;capID2=00000&amp;capID3=003UO&amp;agencyCode=FFX")</f>
        <v>https://plus.fairfaxcounty.gov/CitizenAccess/Cap/CapDetail.aspx?Module=Zoning&amp;TabName=Zoning&amp;capID1=20HS5&amp;capID2=00000&amp;capID3=003UO&amp;agencyCode=FFX</v>
      </c>
      <c r="AJ1210" s="2" t="str">
        <f>IFERROR(__xludf.DUMMYFUNCTION("""COMPUTED_VALUE"""),"https://icare.fairfaxcounty.gov/ffxcare/Datalets/Datalet.aspx?mode=&amp;UseSearch=no&amp;pin=0434%2006%20%200037B&amp;jur=129&amp;taxyr=2025")</f>
        <v>https://icare.fairfaxcounty.gov/ffxcare/Datalets/Datalet.aspx?mode=&amp;UseSearch=no&amp;pin=0434%2006%20%200037B&amp;jur=129&amp;taxyr=2025</v>
      </c>
      <c r="AK1210" s="1" t="str">
        <f>IFERROR(__xludf.DUMMYFUNCTION("""COMPUTED_VALUE"""),"")</f>
        <v/>
      </c>
      <c r="AL1210" s="1" t="str">
        <f>IFERROR(__xludf.DUMMYFUNCTION("""COMPUTED_VALUE"""),"")</f>
        <v/>
      </c>
      <c r="AM1210" s="1" t="str">
        <f>IFERROR(__xludf.DUMMYFUNCTION("""COMPUTED_VALUE"""),"")</f>
        <v/>
      </c>
      <c r="AN1210" s="1" t="str">
        <f>IFERROR(__xludf.DUMMYFUNCTION("""COMPUTED_VALUE"""),"")</f>
        <v/>
      </c>
      <c r="AO1210" s="1" t="str">
        <f>IFERROR(__xludf.DUMMYFUNCTION("""COMPUTED_VALUE"""),"")</f>
        <v/>
      </c>
      <c r="AP1210" s="1" t="str">
        <f>IFERROR(__xludf.DUMMYFUNCTION("""COMPUTED_VALUE"""),"")</f>
        <v/>
      </c>
      <c r="AQ1210" s="1" t="str">
        <f>IFERROR(__xludf.DUMMYFUNCTION("""COMPUTED_VALUE"""),"04/10/2024")</f>
        <v>04/10/2024</v>
      </c>
      <c r="AR1210" s="1" t="str">
        <f>IFERROR(__xludf.DUMMYFUNCTION("""COMPUTED_VALUE"""),"10/17/2025")</f>
        <v>10/17/2025</v>
      </c>
    </row>
    <row r="1211">
      <c r="A1211" s="1" t="str">
        <f>IFERROR(__xludf.DUMMYFUNCTION("""COMPUTED_VALUE"""),"PDCREF 2 Chantilly")</f>
        <v>PDCREF 2 Chantilly</v>
      </c>
      <c r="B1211" s="1" t="str">
        <f>IFERROR(__xludf.DUMMYFUNCTION("""COMPUTED_VALUE"""),"Lee Jackson Memorial HWY")</f>
        <v>Lee Jackson Memorial HWY</v>
      </c>
      <c r="C1211" s="1" t="str">
        <f>IFERROR(__xludf.DUMMYFUNCTION("""COMPUTED_VALUE"""),"Chantilly")</f>
        <v>Chantilly</v>
      </c>
      <c r="D1211" s="1" t="str">
        <f>IFERROR(__xludf.DUMMYFUNCTION("""COMPUTED_VALUE"""),"VA")</f>
        <v>VA</v>
      </c>
      <c r="E1211" s="1" t="str">
        <f>IFERROR(__xludf.DUMMYFUNCTION("""COMPUTED_VALUE"""),"20151")</f>
        <v>20151</v>
      </c>
      <c r="F1211" s="1" t="str">
        <f>IFERROR(__xludf.DUMMYFUNCTION("""COMPUTED_VALUE"""),"Fairfax")</f>
        <v>Fairfax</v>
      </c>
      <c r="G1211" s="1" t="str">
        <f>IFERROR(__xludf.DUMMYFUNCTION("""COMPUTED_VALUE"""),"38.903057")</f>
        <v>38.903057</v>
      </c>
      <c r="H1211" s="1" t="str">
        <f>IFERROR(__xludf.DUMMYFUNCTION("""COMPUTED_VALUE"""),"-77.46525")</f>
        <v>-77.46525</v>
      </c>
      <c r="I1211" s="1" t="str">
        <f>IFERROR(__xludf.DUMMYFUNCTION("""COMPUTED_VALUE"""),"Proposed")</f>
        <v>Proposed</v>
      </c>
      <c r="J1211" s="1" t="str">
        <f>IFERROR(__xludf.DUMMYFUNCTION("""COMPUTED_VALUE"""),"Medium")</f>
        <v>Medium</v>
      </c>
      <c r="K1211" s="1" t="str">
        <f>IFERROR(__xludf.DUMMYFUNCTION("""COMPUTED_VALUE"""),"")</f>
        <v/>
      </c>
      <c r="L1211" s="1" t="str">
        <f>IFERROR(__xludf.DUMMYFUNCTION("""COMPUTED_VALUE"""),"PDCREF 2 CHANTILLY LLC")</f>
        <v>PDCREF 2 CHANTILLY LLC</v>
      </c>
      <c r="M1211" s="1" t="str">
        <f>IFERROR(__xludf.DUMMYFUNCTION("""COMPUTED_VALUE"""),"")</f>
        <v/>
      </c>
      <c r="N1211" s="1" t="str">
        <f>IFERROR(__xludf.DUMMYFUNCTION("""COMPUTED_VALUE"""),"")</f>
        <v/>
      </c>
      <c r="O1211" s="1" t="str">
        <f>IFERROR(__xludf.DUMMYFUNCTION("""COMPUTED_VALUE"""),"Unknown")</f>
        <v>Unknown</v>
      </c>
      <c r="P1211" s="1" t="str">
        <f>IFERROR(__xludf.DUMMYFUNCTION("""COMPUTED_VALUE"""),"")</f>
        <v/>
      </c>
      <c r="Q1211" s="1" t="str">
        <f>IFERROR(__xludf.DUMMYFUNCTION("""COMPUTED_VALUE"""),"")</f>
        <v/>
      </c>
      <c r="R1211" s="1" t="str">
        <f>IFERROR(__xludf.DUMMYFUNCTION("""COMPUTED_VALUE"""),"")</f>
        <v/>
      </c>
      <c r="S1211" s="1" t="str">
        <f>IFERROR(__xludf.DUMMYFUNCTION("""COMPUTED_VALUE"""),"")</f>
        <v/>
      </c>
      <c r="T1211" s="1" t="str">
        <f>IFERROR(__xludf.DUMMYFUNCTION("""COMPUTED_VALUE"""),"")</f>
        <v/>
      </c>
      <c r="U1211" s="1" t="str">
        <f>IFERROR(__xludf.DUMMYFUNCTION("""COMPUTED_VALUE"""),"")</f>
        <v/>
      </c>
      <c r="V1211" s="1" t="str">
        <f>IFERROR(__xludf.DUMMYFUNCTION("""COMPUTED_VALUE"""),"402,000")</f>
        <v>402,000</v>
      </c>
      <c r="W1211" s="1" t="str">
        <f>IFERROR(__xludf.DUMMYFUNCTION("""COMPUTED_VALUE"""),"79")</f>
        <v>79</v>
      </c>
      <c r="X1211" s="1" t="str">
        <f>IFERROR(__xludf.DUMMYFUNCTION("""COMPUTED_VALUE"""),"")</f>
        <v/>
      </c>
      <c r="Y1211" s="1" t="str">
        <f>IFERROR(__xludf.DUMMYFUNCTION("""COMPUTED_VALUE"""),"")</f>
        <v/>
      </c>
      <c r="Z1211" s="1" t="str">
        <f>IFERROR(__xludf.DUMMYFUNCTION("""COMPUTED_VALUE"""),"Unknown")</f>
        <v>Unknown</v>
      </c>
      <c r="AA1211" s="1" t="str">
        <f>IFERROR(__xludf.DUMMYFUNCTION("""COMPUTED_VALUE"""),"")</f>
        <v/>
      </c>
      <c r="AB1211" s="1" t="str">
        <f>IFERROR(__xludf.DUMMYFUNCTION("""COMPUTED_VALUE"""),"")</f>
        <v/>
      </c>
      <c r="AC1211" s="1" t="str">
        <f>IFERROR(__xludf.DUMMYFUNCTION("""COMPUTED_VALUE"""),"")</f>
        <v/>
      </c>
      <c r="AD1211" s="1" t="str">
        <f>IFERROR(__xludf.DUMMYFUNCTION("""COMPUTED_VALUE"""),"")</f>
        <v/>
      </c>
      <c r="AE1211" s="1" t="str">
        <f>IFERROR(__xludf.DUMMYFUNCTION("""COMPUTED_VALUE"""),"")</f>
        <v/>
      </c>
      <c r="AF1211" s="1" t="str">
        <f>IFERROR(__xludf.DUMMYFUNCTION("""COMPUTED_VALUE"""),"")</f>
        <v/>
      </c>
      <c r="AG1211" s="1" t="str">
        <f>IFERROR(__xludf.DUMMYFUNCTION("""COMPUTED_VALUE"""),"")</f>
        <v/>
      </c>
      <c r="AH1211" s="1" t="str">
        <f>IFERROR(__xludf.DUMMYFUNCTION("""COMPUTED_VALUE"""),"PEC")</f>
        <v>PEC</v>
      </c>
      <c r="AI1211" s="2" t="str">
        <f>IFERROR(__xludf.DUMMYFUNCTION("""COMPUTED_VALUE"""),"https://plus.fairfaxcounty.gov/CitizenAccess/Cap/CapDetail.aspx?Module=Zoning&amp;TabName=Zoning&amp;capID1=REC22&amp;capID2=00000&amp;capID3=00GHV&amp;agencyCode=FFX")</f>
        <v>https://plus.fairfaxcounty.gov/CitizenAccess/Cap/CapDetail.aspx?Module=Zoning&amp;TabName=Zoning&amp;capID1=REC22&amp;capID2=00000&amp;capID3=00GHV&amp;agencyCode=FFX</v>
      </c>
      <c r="AJ1211" s="2" t="str">
        <f>IFERROR(__xludf.DUMMYFUNCTION("""COMPUTED_VALUE"""),"https://icare.fairfaxcounty.gov/ffxcare/Datalets/Datalet.aspx?mode=&amp;UseSearch=no&amp;pin=0332%2001%20%200006&amp;jur=129&amp;taxyr=2025")</f>
        <v>https://icare.fairfaxcounty.gov/ffxcare/Datalets/Datalet.aspx?mode=&amp;UseSearch=no&amp;pin=0332%2001%20%200006&amp;jur=129&amp;taxyr=2025</v>
      </c>
      <c r="AK1211" s="1" t="str">
        <f>IFERROR(__xludf.DUMMYFUNCTION("""COMPUTED_VALUE"""),"")</f>
        <v/>
      </c>
      <c r="AL1211" s="1" t="str">
        <f>IFERROR(__xludf.DUMMYFUNCTION("""COMPUTED_VALUE"""),"")</f>
        <v/>
      </c>
      <c r="AM1211" s="1" t="str">
        <f>IFERROR(__xludf.DUMMYFUNCTION("""COMPUTED_VALUE"""),"")</f>
        <v/>
      </c>
      <c r="AN1211" s="1" t="str">
        <f>IFERROR(__xludf.DUMMYFUNCTION("""COMPUTED_VALUE"""),"")</f>
        <v/>
      </c>
      <c r="AO1211" s="1" t="str">
        <f>IFERROR(__xludf.DUMMYFUNCTION("""COMPUTED_VALUE"""),"")</f>
        <v/>
      </c>
      <c r="AP1211" s="1" t="str">
        <f>IFERROR(__xludf.DUMMYFUNCTION("""COMPUTED_VALUE"""),"")</f>
        <v/>
      </c>
      <c r="AQ1211" s="1" t="str">
        <f>IFERROR(__xludf.DUMMYFUNCTION("""COMPUTED_VALUE"""),"04/10/2024")</f>
        <v>04/10/2024</v>
      </c>
      <c r="AR1211" s="1" t="str">
        <f>IFERROR(__xludf.DUMMYFUNCTION("""COMPUTED_VALUE"""),"10/17/2025")</f>
        <v>10/17/2025</v>
      </c>
    </row>
    <row r="1212">
      <c r="A1212" s="1" t="str">
        <f>IFERROR(__xludf.DUMMYFUNCTION("""COMPUTED_VALUE"""),"Penzance Development Data Center")</f>
        <v>Penzance Development Data Center</v>
      </c>
      <c r="B1212" s="1" t="str">
        <f>IFERROR(__xludf.DUMMYFUNCTION("""COMPUTED_VALUE"""),"Stonecroft Rd and")</f>
        <v>Stonecroft Rd and</v>
      </c>
      <c r="C1212" s="1" t="str">
        <f>IFERROR(__xludf.DUMMYFUNCTION("""COMPUTED_VALUE"""),"Chantilly")</f>
        <v>Chantilly</v>
      </c>
      <c r="D1212" s="1" t="str">
        <f>IFERROR(__xludf.DUMMYFUNCTION("""COMPUTED_VALUE"""),"VA")</f>
        <v>VA</v>
      </c>
      <c r="E1212" s="1" t="str">
        <f>IFERROR(__xludf.DUMMYFUNCTION("""COMPUTED_VALUE"""),"20151")</f>
        <v>20151</v>
      </c>
      <c r="F1212" s="1" t="str">
        <f>IFERROR(__xludf.DUMMYFUNCTION("""COMPUTED_VALUE"""),"Fairfax")</f>
        <v>Fairfax</v>
      </c>
      <c r="G1212" s="1" t="str">
        <f>IFERROR(__xludf.DUMMYFUNCTION("""COMPUTED_VALUE"""),"38.90522")</f>
        <v>38.90522</v>
      </c>
      <c r="H1212" s="1" t="str">
        <f>IFERROR(__xludf.DUMMYFUNCTION("""COMPUTED_VALUE"""),"-77.4554")</f>
        <v>-77.4554</v>
      </c>
      <c r="I1212" s="1" t="str">
        <f>IFERROR(__xludf.DUMMYFUNCTION("""COMPUTED_VALUE"""),"Approved/Permitted/Under construction")</f>
        <v>Approved/Permitted/Under construction</v>
      </c>
      <c r="J1212" s="1" t="str">
        <f>IFERROR(__xludf.DUMMYFUNCTION("""COMPUTED_VALUE"""),"Medium")</f>
        <v>Medium</v>
      </c>
      <c r="K1212" s="1" t="str">
        <f>IFERROR(__xludf.DUMMYFUNCTION("""COMPUTED_VALUE"""),"")</f>
        <v/>
      </c>
      <c r="L1212" s="1" t="str">
        <f>IFERROR(__xludf.DUMMYFUNCTION("""COMPUTED_VALUE"""),"")</f>
        <v/>
      </c>
      <c r="M1212" s="1" t="str">
        <f>IFERROR(__xludf.DUMMYFUNCTION("""COMPUTED_VALUE"""),"")</f>
        <v/>
      </c>
      <c r="N1212" s="1" t="str">
        <f>IFERROR(__xludf.DUMMYFUNCTION("""COMPUTED_VALUE"""),"")</f>
        <v/>
      </c>
      <c r="O1212" s="1" t="str">
        <f>IFERROR(__xludf.DUMMYFUNCTION("""COMPUTED_VALUE"""),"Unknown")</f>
        <v>Unknown</v>
      </c>
      <c r="P1212" s="1" t="str">
        <f>IFERROR(__xludf.DUMMYFUNCTION("""COMPUTED_VALUE"""),"")</f>
        <v/>
      </c>
      <c r="Q1212" s="1" t="str">
        <f>IFERROR(__xludf.DUMMYFUNCTION("""COMPUTED_VALUE"""),"")</f>
        <v/>
      </c>
      <c r="R1212" s="1" t="str">
        <f>IFERROR(__xludf.DUMMYFUNCTION("""COMPUTED_VALUE"""),"")</f>
        <v/>
      </c>
      <c r="S1212" s="1" t="str">
        <f>IFERROR(__xludf.DUMMYFUNCTION("""COMPUTED_VALUE"""),"")</f>
        <v/>
      </c>
      <c r="T1212" s="1" t="str">
        <f>IFERROR(__xludf.DUMMYFUNCTION("""COMPUTED_VALUE"""),"")</f>
        <v/>
      </c>
      <c r="U1212" s="1" t="str">
        <f>IFERROR(__xludf.DUMMYFUNCTION("""COMPUTED_VALUE"""),"")</f>
        <v/>
      </c>
      <c r="V1212" s="1" t="str">
        <f>IFERROR(__xludf.DUMMYFUNCTION("""COMPUTED_VALUE"""),"402,000")</f>
        <v>402,000</v>
      </c>
      <c r="W1212" s="1" t="str">
        <f>IFERROR(__xludf.DUMMYFUNCTION("""COMPUTED_VALUE"""),"")</f>
        <v/>
      </c>
      <c r="X1212" s="1" t="str">
        <f>IFERROR(__xludf.DUMMYFUNCTION("""COMPUTED_VALUE"""),"")</f>
        <v/>
      </c>
      <c r="Y1212" s="1" t="str">
        <f>IFERROR(__xludf.DUMMYFUNCTION("""COMPUTED_VALUE"""),"2027")</f>
        <v>2027</v>
      </c>
      <c r="Z1212" s="1" t="str">
        <f>IFERROR(__xludf.DUMMYFUNCTION("""COMPUTED_VALUE"""),"Unknown")</f>
        <v>Unknown</v>
      </c>
      <c r="AA1212" s="1" t="str">
        <f>IFERROR(__xludf.DUMMYFUNCTION("""COMPUTED_VALUE"""),"")</f>
        <v/>
      </c>
      <c r="AB1212" s="1" t="str">
        <f>IFERROR(__xludf.DUMMYFUNCTION("""COMPUTED_VALUE"""),"")</f>
        <v/>
      </c>
      <c r="AC1212" s="1" t="str">
        <f>IFERROR(__xludf.DUMMYFUNCTION("""COMPUTED_VALUE"""),"")</f>
        <v/>
      </c>
      <c r="AD1212" s="1" t="str">
        <f>IFERROR(__xludf.DUMMYFUNCTION("""COMPUTED_VALUE"""),"")</f>
        <v/>
      </c>
      <c r="AE1212" s="1" t="str">
        <f>IFERROR(__xludf.DUMMYFUNCTION("""COMPUTED_VALUE"""),"")</f>
        <v/>
      </c>
      <c r="AF1212" s="1" t="str">
        <f>IFERROR(__xludf.DUMMYFUNCTION("""COMPUTED_VALUE"""),"")</f>
        <v/>
      </c>
      <c r="AG1212" s="1" t="str">
        <f>IFERROR(__xludf.DUMMYFUNCTION("""COMPUTED_VALUE"""),"")</f>
        <v/>
      </c>
      <c r="AH1212" s="1" t="str">
        <f>IFERROR(__xludf.DUMMYFUNCTION("""COMPUTED_VALUE"""),"Media Monitoring")</f>
        <v>Media Monitoring</v>
      </c>
      <c r="AI1212" s="2" t="str">
        <f>IFERROR(__xludf.DUMMYFUNCTION("""COMPUTED_VALUE"""),"https://www.datacenterdynamics.com/en/news/fairfax-county-approves-data-center-in-chantilly-virginia/")</f>
        <v>https://www.datacenterdynamics.com/en/news/fairfax-county-approves-data-center-in-chantilly-virginia/</v>
      </c>
      <c r="AJ1212" s="2" t="str">
        <f>IFERROR(__xludf.DUMMYFUNCTION("""COMPUTED_VALUE"""),"https://www.datacenterdynamics.com/en/news/penzance-breaks-ground-on-data-center-in-chantilly-virginia/")</f>
        <v>https://www.datacenterdynamics.com/en/news/penzance-breaks-ground-on-data-center-in-chantilly-virginia/</v>
      </c>
      <c r="AK1212" s="1" t="str">
        <f>IFERROR(__xludf.DUMMYFUNCTION("""COMPUTED_VALUE"""),"")</f>
        <v/>
      </c>
      <c r="AL1212" s="1" t="str">
        <f>IFERROR(__xludf.DUMMYFUNCTION("""COMPUTED_VALUE"""),"")</f>
        <v/>
      </c>
      <c r="AM1212" s="1" t="str">
        <f>IFERROR(__xludf.DUMMYFUNCTION("""COMPUTED_VALUE"""),"")</f>
        <v/>
      </c>
      <c r="AN1212" s="1" t="str">
        <f>IFERROR(__xludf.DUMMYFUNCTION("""COMPUTED_VALUE"""),"")</f>
        <v/>
      </c>
      <c r="AO1212" s="1" t="str">
        <f>IFERROR(__xludf.DUMMYFUNCTION("""COMPUTED_VALUE"""),"")</f>
        <v/>
      </c>
      <c r="AP1212" s="1" t="str">
        <f>IFERROR(__xludf.DUMMYFUNCTION("""COMPUTED_VALUE"""),"")</f>
        <v/>
      </c>
      <c r="AQ1212" s="1" t="str">
        <f>IFERROR(__xludf.DUMMYFUNCTION("""COMPUTED_VALUE"""),"07/29/2025")</f>
        <v>07/29/2025</v>
      </c>
      <c r="AR1212" s="1" t="str">
        <f>IFERROR(__xludf.DUMMYFUNCTION("""COMPUTED_VALUE"""),"10/15/2025")</f>
        <v>10/15/2025</v>
      </c>
    </row>
    <row r="1213">
      <c r="A1213" s="1" t="str">
        <f>IFERROR(__xludf.DUMMYFUNCTION("""COMPUTED_VALUE"""),"SCG Global Holdings LLC Data Center")</f>
        <v>SCG Global Holdings LLC Data Center</v>
      </c>
      <c r="B1213" s="1" t="str">
        <f>IFERROR(__xludf.DUMMYFUNCTION("""COMPUTED_VALUE"""),"3721 Stonecroft Blvd")</f>
        <v>3721 Stonecroft Blvd</v>
      </c>
      <c r="C1213" s="1" t="str">
        <f>IFERROR(__xludf.DUMMYFUNCTION("""COMPUTED_VALUE"""),"Chantilly")</f>
        <v>Chantilly</v>
      </c>
      <c r="D1213" s="1" t="str">
        <f>IFERROR(__xludf.DUMMYFUNCTION("""COMPUTED_VALUE"""),"VA")</f>
        <v>VA</v>
      </c>
      <c r="E1213" s="1" t="str">
        <f>IFERROR(__xludf.DUMMYFUNCTION("""COMPUTED_VALUE"""),"20151")</f>
        <v>20151</v>
      </c>
      <c r="F1213" s="1" t="str">
        <f>IFERROR(__xludf.DUMMYFUNCTION("""COMPUTED_VALUE"""),"Fairfax")</f>
        <v>Fairfax</v>
      </c>
      <c r="G1213" s="1" t="str">
        <f>IFERROR(__xludf.DUMMYFUNCTION("""COMPUTED_VALUE"""),"38.91267")</f>
        <v>38.91267</v>
      </c>
      <c r="H1213" s="1" t="str">
        <f>IFERROR(__xludf.DUMMYFUNCTION("""COMPUTED_VALUE"""),"-77.451675")</f>
        <v>-77.451675</v>
      </c>
      <c r="I1213" s="1" t="str">
        <f>IFERROR(__xludf.DUMMYFUNCTION("""COMPUTED_VALUE"""),"Proposed")</f>
        <v>Proposed</v>
      </c>
      <c r="J1213" s="1" t="str">
        <f>IFERROR(__xludf.DUMMYFUNCTION("""COMPUTED_VALUE"""),"High")</f>
        <v>High</v>
      </c>
      <c r="K1213" s="1" t="str">
        <f>IFERROR(__xludf.DUMMYFUNCTION("""COMPUTED_VALUE"""),"")</f>
        <v/>
      </c>
      <c r="L1213" s="1" t="str">
        <f>IFERROR(__xludf.DUMMYFUNCTION("""COMPUTED_VALUE"""),"")</f>
        <v/>
      </c>
      <c r="M1213" s="1" t="str">
        <f>IFERROR(__xludf.DUMMYFUNCTION("""COMPUTED_VALUE"""),"")</f>
        <v/>
      </c>
      <c r="N1213" s="1" t="str">
        <f>IFERROR(__xludf.DUMMYFUNCTION("""COMPUTED_VALUE"""),"")</f>
        <v/>
      </c>
      <c r="O1213" s="1" t="str">
        <f>IFERROR(__xludf.DUMMYFUNCTION("""COMPUTED_VALUE"""),"Unknown")</f>
        <v>Unknown</v>
      </c>
      <c r="P1213" s="1" t="str">
        <f>IFERROR(__xludf.DUMMYFUNCTION("""COMPUTED_VALUE"""),"")</f>
        <v/>
      </c>
      <c r="Q1213" s="1" t="str">
        <f>IFERROR(__xludf.DUMMYFUNCTION("""COMPUTED_VALUE"""),"")</f>
        <v/>
      </c>
      <c r="R1213" s="1" t="str">
        <f>IFERROR(__xludf.DUMMYFUNCTION("""COMPUTED_VALUE"""),"")</f>
        <v/>
      </c>
      <c r="S1213" s="1" t="str">
        <f>IFERROR(__xludf.DUMMYFUNCTION("""COMPUTED_VALUE"""),"")</f>
        <v/>
      </c>
      <c r="T1213" s="1" t="str">
        <f>IFERROR(__xludf.DUMMYFUNCTION("""COMPUTED_VALUE"""),"")</f>
        <v/>
      </c>
      <c r="U1213" s="1" t="str">
        <f>IFERROR(__xludf.DUMMYFUNCTION("""COMPUTED_VALUE"""),"")</f>
        <v/>
      </c>
      <c r="V1213" s="1" t="str">
        <f>IFERROR(__xludf.DUMMYFUNCTION("""COMPUTED_VALUE"""),"")</f>
        <v/>
      </c>
      <c r="W1213" s="1" t="str">
        <f>IFERROR(__xludf.DUMMYFUNCTION("""COMPUTED_VALUE"""),"42")</f>
        <v>42</v>
      </c>
      <c r="X1213" s="1" t="str">
        <f>IFERROR(__xludf.DUMMYFUNCTION("""COMPUTED_VALUE""")," $166.8 million")</f>
        <v> $166.8 million</v>
      </c>
      <c r="Y1213" s="1" t="str">
        <f>IFERROR(__xludf.DUMMYFUNCTION("""COMPUTED_VALUE"""),"")</f>
        <v/>
      </c>
      <c r="Z1213" s="1" t="str">
        <f>IFERROR(__xludf.DUMMYFUNCTION("""COMPUTED_VALUE"""),"Unknown")</f>
        <v>Unknown</v>
      </c>
      <c r="AA1213" s="1" t="str">
        <f>IFERROR(__xludf.DUMMYFUNCTION("""COMPUTED_VALUE"""),"")</f>
        <v/>
      </c>
      <c r="AB1213" s="1" t="str">
        <f>IFERROR(__xludf.DUMMYFUNCTION("""COMPUTED_VALUE"""),"")</f>
        <v/>
      </c>
      <c r="AC1213" s="1" t="str">
        <f>IFERROR(__xludf.DUMMYFUNCTION("""COMPUTED_VALUE"""),"")</f>
        <v/>
      </c>
      <c r="AD1213" s="1" t="str">
        <f>IFERROR(__xludf.DUMMYFUNCTION("""COMPUTED_VALUE"""),"")</f>
        <v/>
      </c>
      <c r="AE1213" s="1" t="str">
        <f>IFERROR(__xludf.DUMMYFUNCTION("""COMPUTED_VALUE"""),"")</f>
        <v/>
      </c>
      <c r="AF1213" s="1" t="str">
        <f>IFERROR(__xludf.DUMMYFUNCTION("""COMPUTED_VALUE"""),"")</f>
        <v/>
      </c>
      <c r="AG1213" s="1" t="str">
        <f>IFERROR(__xludf.DUMMYFUNCTION("""COMPUTED_VALUE"""),"")</f>
        <v/>
      </c>
      <c r="AH1213" s="1" t="str">
        <f>IFERROR(__xludf.DUMMYFUNCTION("""COMPUTED_VALUE"""),"Media Monitoring")</f>
        <v>Media Monitoring</v>
      </c>
      <c r="AI1213" s="2" t="str">
        <f>IFERROR(__xludf.DUMMYFUNCTION("""COMPUTED_VALUE"""),"https://www.datacenterdynamics.com/en/news/starwood-looks-to-buy-county-owned-land-in-fairfax-virginia-for-data-center-development/")</f>
        <v>https://www.datacenterdynamics.com/en/news/starwood-looks-to-buy-county-owned-land-in-fairfax-virginia-for-data-center-development/</v>
      </c>
      <c r="AJ1213" s="1" t="str">
        <f>IFERROR(__xludf.DUMMYFUNCTION("""COMPUTED_VALUE"""),"")</f>
        <v/>
      </c>
      <c r="AK1213" s="1" t="str">
        <f>IFERROR(__xludf.DUMMYFUNCTION("""COMPUTED_VALUE"""),"")</f>
        <v/>
      </c>
      <c r="AL1213" s="1" t="str">
        <f>IFERROR(__xludf.DUMMYFUNCTION("""COMPUTED_VALUE"""),"")</f>
        <v/>
      </c>
      <c r="AM1213" s="1" t="str">
        <f>IFERROR(__xludf.DUMMYFUNCTION("""COMPUTED_VALUE"""),"")</f>
        <v/>
      </c>
      <c r="AN1213" s="1" t="str">
        <f>IFERROR(__xludf.DUMMYFUNCTION("""COMPUTED_VALUE"""),"")</f>
        <v/>
      </c>
      <c r="AO1213" s="1" t="str">
        <f>IFERROR(__xludf.DUMMYFUNCTION("""COMPUTED_VALUE"""),"")</f>
        <v/>
      </c>
      <c r="AP1213" s="1" t="str">
        <f>IFERROR(__xludf.DUMMYFUNCTION("""COMPUTED_VALUE"""),"")</f>
        <v/>
      </c>
      <c r="AQ1213" s="1" t="str">
        <f>IFERROR(__xludf.DUMMYFUNCTION("""COMPUTED_VALUE"""),"03/04/2026")</f>
        <v>03/04/2026</v>
      </c>
      <c r="AR1213" s="1" t="str">
        <f>IFERROR(__xludf.DUMMYFUNCTION("""COMPUTED_VALUE"""),"03/04/2026")</f>
        <v>03/04/2026</v>
      </c>
    </row>
    <row r="1214">
      <c r="A1214" s="1" t="str">
        <f>IFERROR(__xludf.DUMMYFUNCTION("""COMPUTED_VALUE"""),"TFG INDEPENDENCE CENTER I PROPERTY")</f>
        <v>TFG INDEPENDENCE CENTER I PROPERTY</v>
      </c>
      <c r="B1214" s="1" t="str">
        <f>IFERROR(__xludf.DUMMYFUNCTION("""COMPUTED_VALUE"""),"15036 CONFERENCE CENTER DR")</f>
        <v>15036 CONFERENCE CENTER DR</v>
      </c>
      <c r="C1214" s="1" t="str">
        <f>IFERROR(__xludf.DUMMYFUNCTION("""COMPUTED_VALUE"""),"Chantilly")</f>
        <v>Chantilly</v>
      </c>
      <c r="D1214" s="1" t="str">
        <f>IFERROR(__xludf.DUMMYFUNCTION("""COMPUTED_VALUE"""),"VA")</f>
        <v>VA</v>
      </c>
      <c r="E1214" s="1" t="str">
        <f>IFERROR(__xludf.DUMMYFUNCTION("""COMPUTED_VALUE"""),"20151")</f>
        <v>20151</v>
      </c>
      <c r="F1214" s="1" t="str">
        <f>IFERROR(__xludf.DUMMYFUNCTION("""COMPUTED_VALUE"""),"Fairfax")</f>
        <v>Fairfax</v>
      </c>
      <c r="G1214" s="1" t="str">
        <f>IFERROR(__xludf.DUMMYFUNCTION("""COMPUTED_VALUE"""),"38.880272")</f>
        <v>38.880272</v>
      </c>
      <c r="H1214" s="1" t="str">
        <f>IFERROR(__xludf.DUMMYFUNCTION("""COMPUTED_VALUE"""),"-77.462234")</f>
        <v>-77.462234</v>
      </c>
      <c r="I1214" s="1" t="str">
        <f>IFERROR(__xludf.DUMMYFUNCTION("""COMPUTED_VALUE"""),"Operating")</f>
        <v>Operating</v>
      </c>
      <c r="J1214" s="1" t="str">
        <f>IFERROR(__xludf.DUMMYFUNCTION("""COMPUTED_VALUE"""),"High")</f>
        <v>High</v>
      </c>
      <c r="K1214" s="1" t="str">
        <f>IFERROR(__xludf.DUMMYFUNCTION("""COMPUTED_VALUE"""),"")</f>
        <v/>
      </c>
      <c r="L1214" s="1" t="str">
        <f>IFERROR(__xludf.DUMMYFUNCTION("""COMPUTED_VALUE"""),"TFG INDEPENDENCE CENTER I PROPERTY LLC")</f>
        <v>TFG INDEPENDENCE CENTER I PROPERTY LLC</v>
      </c>
      <c r="M1214" s="1" t="str">
        <f>IFERROR(__xludf.DUMMYFUNCTION("""COMPUTED_VALUE"""),"")</f>
        <v/>
      </c>
      <c r="N1214" s="1" t="str">
        <f>IFERROR(__xludf.DUMMYFUNCTION("""COMPUTED_VALUE"""),"")</f>
        <v/>
      </c>
      <c r="O1214" s="1" t="str">
        <f>IFERROR(__xludf.DUMMYFUNCTION("""COMPUTED_VALUE"""),"Unknown")</f>
        <v>Unknown</v>
      </c>
      <c r="P1214" s="1" t="str">
        <f>IFERROR(__xludf.DUMMYFUNCTION("""COMPUTED_VALUE"""),"")</f>
        <v/>
      </c>
      <c r="Q1214" s="1" t="str">
        <f>IFERROR(__xludf.DUMMYFUNCTION("""COMPUTED_VALUE"""),"")</f>
        <v/>
      </c>
      <c r="R1214" s="1" t="str">
        <f>IFERROR(__xludf.DUMMYFUNCTION("""COMPUTED_VALUE"""),"")</f>
        <v/>
      </c>
      <c r="S1214" s="1" t="str">
        <f>IFERROR(__xludf.DUMMYFUNCTION("""COMPUTED_VALUE"""),"")</f>
        <v/>
      </c>
      <c r="T1214" s="1" t="str">
        <f>IFERROR(__xludf.DUMMYFUNCTION("""COMPUTED_VALUE"""),"")</f>
        <v/>
      </c>
      <c r="U1214" s="1" t="str">
        <f>IFERROR(__xludf.DUMMYFUNCTION("""COMPUTED_VALUE"""),"")</f>
        <v/>
      </c>
      <c r="V1214" s="1" t="str">
        <f>IFERROR(__xludf.DUMMYFUNCTION("""COMPUTED_VALUE"""),"293,514")</f>
        <v>293,514</v>
      </c>
      <c r="W1214" s="1" t="str">
        <f>IFERROR(__xludf.DUMMYFUNCTION("""COMPUTED_VALUE"""),"11")</f>
        <v>11</v>
      </c>
      <c r="X1214" s="1" t="str">
        <f>IFERROR(__xludf.DUMMYFUNCTION("""COMPUTED_VALUE"""),"")</f>
        <v/>
      </c>
      <c r="Y1214" s="1" t="str">
        <f>IFERROR(__xludf.DUMMYFUNCTION("""COMPUTED_VALUE"""),"")</f>
        <v/>
      </c>
      <c r="Z1214" s="1" t="str">
        <f>IFERROR(__xludf.DUMMYFUNCTION("""COMPUTED_VALUE"""),"Unknown")</f>
        <v>Unknown</v>
      </c>
      <c r="AA1214" s="1" t="str">
        <f>IFERROR(__xludf.DUMMYFUNCTION("""COMPUTED_VALUE"""),"")</f>
        <v/>
      </c>
      <c r="AB1214" s="1" t="str">
        <f>IFERROR(__xludf.DUMMYFUNCTION("""COMPUTED_VALUE"""),"")</f>
        <v/>
      </c>
      <c r="AC1214" s="1" t="str">
        <f>IFERROR(__xludf.DUMMYFUNCTION("""COMPUTED_VALUE"""),"")</f>
        <v/>
      </c>
      <c r="AD1214" s="1" t="str">
        <f>IFERROR(__xludf.DUMMYFUNCTION("""COMPUTED_VALUE"""),"")</f>
        <v/>
      </c>
      <c r="AE1214" s="1" t="str">
        <f>IFERROR(__xludf.DUMMYFUNCTION("""COMPUTED_VALUE"""),"")</f>
        <v/>
      </c>
      <c r="AF1214" s="1" t="str">
        <f>IFERROR(__xludf.DUMMYFUNCTION("""COMPUTED_VALUE"""),"")</f>
        <v/>
      </c>
      <c r="AG1214" s="1" t="str">
        <f>IFERROR(__xludf.DUMMYFUNCTION("""COMPUTED_VALUE"""),"")</f>
        <v/>
      </c>
      <c r="AH1214" s="1" t="str">
        <f>IFERROR(__xludf.DUMMYFUNCTION("""COMPUTED_VALUE"""),"PEC")</f>
        <v>PEC</v>
      </c>
      <c r="AI1214" s="2" t="str">
        <f>IFERROR(__xludf.DUMMYFUNCTION("""COMPUTED_VALUE"""),"https://icare.fairfaxcounty.gov/ffxcare/Datalets/Datalet.aspx?mode=&amp;UseSearch=no&amp;pin=0432%2002%20%200029B2&amp;jur=129&amp;taxyr=2025")</f>
        <v>https://icare.fairfaxcounty.gov/ffxcare/Datalets/Datalet.aspx?mode=&amp;UseSearch=no&amp;pin=0432%2002%20%200029B2&amp;jur=129&amp;taxyr=2025</v>
      </c>
      <c r="AJ1214" s="1" t="str">
        <f>IFERROR(__xludf.DUMMYFUNCTION("""COMPUTED_VALUE"""),"")</f>
        <v/>
      </c>
      <c r="AK1214" s="1" t="str">
        <f>IFERROR(__xludf.DUMMYFUNCTION("""COMPUTED_VALUE"""),"")</f>
        <v/>
      </c>
      <c r="AL1214" s="1" t="str">
        <f>IFERROR(__xludf.DUMMYFUNCTION("""COMPUTED_VALUE"""),"")</f>
        <v/>
      </c>
      <c r="AM1214" s="1" t="str">
        <f>IFERROR(__xludf.DUMMYFUNCTION("""COMPUTED_VALUE"""),"")</f>
        <v/>
      </c>
      <c r="AN1214" s="1" t="str">
        <f>IFERROR(__xludf.DUMMYFUNCTION("""COMPUTED_VALUE"""),"")</f>
        <v/>
      </c>
      <c r="AO1214" s="1" t="str">
        <f>IFERROR(__xludf.DUMMYFUNCTION("""COMPUTED_VALUE"""),"")</f>
        <v/>
      </c>
      <c r="AP1214" s="1" t="str">
        <f>IFERROR(__xludf.DUMMYFUNCTION("""COMPUTED_VALUE"""),"")</f>
        <v/>
      </c>
      <c r="AQ1214" s="1" t="str">
        <f>IFERROR(__xludf.DUMMYFUNCTION("""COMPUTED_VALUE"""),"04/10/2024")</f>
        <v>04/10/2024</v>
      </c>
      <c r="AR1214" s="1" t="str">
        <f>IFERROR(__xludf.DUMMYFUNCTION("""COMPUTED_VALUE"""),"10/17/2025")</f>
        <v>10/17/2025</v>
      </c>
    </row>
    <row r="1215">
      <c r="A1215" s="1" t="str">
        <f>IFERROR(__xludf.DUMMYFUNCTION("""COMPUTED_VALUE"""),"AWS IAD61-IAD63 South Riding")</f>
        <v>AWS IAD61-IAD63 South Riding</v>
      </c>
      <c r="B1215" s="1" t="str">
        <f>IFERROR(__xludf.DUMMYFUNCTION("""COMPUTED_VALUE"""),"25316 PREDICTION LN")</f>
        <v>25316 PREDICTION LN</v>
      </c>
      <c r="C1215" s="1" t="str">
        <f>IFERROR(__xludf.DUMMYFUNCTION("""COMPUTED_VALUE"""),"Chantily")</f>
        <v>Chantily</v>
      </c>
      <c r="D1215" s="1" t="str">
        <f>IFERROR(__xludf.DUMMYFUNCTION("""COMPUTED_VALUE"""),"VA")</f>
        <v>VA</v>
      </c>
      <c r="E1215" s="1" t="str">
        <f>IFERROR(__xludf.DUMMYFUNCTION("""COMPUTED_VALUE"""),"20152")</f>
        <v>20152</v>
      </c>
      <c r="F1215" s="1" t="str">
        <f>IFERROR(__xludf.DUMMYFUNCTION("""COMPUTED_VALUE"""),"Loudoun")</f>
        <v>Loudoun</v>
      </c>
      <c r="G1215" s="1" t="str">
        <f>IFERROR(__xludf.DUMMYFUNCTION("""COMPUTED_VALUE"""),"38.916767")</f>
        <v>38.916767</v>
      </c>
      <c r="H1215" s="1" t="str">
        <f>IFERROR(__xludf.DUMMYFUNCTION("""COMPUTED_VALUE"""),"-77.4938")</f>
        <v>-77.4938</v>
      </c>
      <c r="I1215" s="1" t="str">
        <f>IFERROR(__xludf.DUMMYFUNCTION("""COMPUTED_VALUE"""),"Operating")</f>
        <v>Operating</v>
      </c>
      <c r="J1215" s="1" t="str">
        <f>IFERROR(__xludf.DUMMYFUNCTION("""COMPUTED_VALUE"""),"High")</f>
        <v>High</v>
      </c>
      <c r="K1215" s="1" t="str">
        <f>IFERROR(__xludf.DUMMYFUNCTION("""COMPUTED_VALUE"""),"")</f>
        <v/>
      </c>
      <c r="L1215" s="1" t="str">
        <f>IFERROR(__xludf.DUMMYFUNCTION("""COMPUTED_VALUE"""),"Amazon")</f>
        <v>Amazon</v>
      </c>
      <c r="M1215" s="1" t="str">
        <f>IFERROR(__xludf.DUMMYFUNCTION("""COMPUTED_VALUE"""),"")</f>
        <v/>
      </c>
      <c r="N1215" s="1" t="str">
        <f>IFERROR(__xludf.DUMMYFUNCTION("""COMPUTED_VALUE"""),"")</f>
        <v/>
      </c>
      <c r="O1215" s="1" t="str">
        <f>IFERROR(__xludf.DUMMYFUNCTION("""COMPUTED_VALUE"""),"Unknown")</f>
        <v>Unknown</v>
      </c>
      <c r="P1215" s="1" t="str">
        <f>IFERROR(__xludf.DUMMYFUNCTION("""COMPUTED_VALUE"""),"")</f>
        <v/>
      </c>
      <c r="Q1215" s="1" t="str">
        <f>IFERROR(__xludf.DUMMYFUNCTION("""COMPUTED_VALUE"""),"")</f>
        <v/>
      </c>
      <c r="R1215" s="1" t="str">
        <f>IFERROR(__xludf.DUMMYFUNCTION("""COMPUTED_VALUE"""),"")</f>
        <v/>
      </c>
      <c r="S1215" s="1" t="str">
        <f>IFERROR(__xludf.DUMMYFUNCTION("""COMPUTED_VALUE"""),"")</f>
        <v/>
      </c>
      <c r="T1215" s="1" t="str">
        <f>IFERROR(__xludf.DUMMYFUNCTION("""COMPUTED_VALUE"""),"")</f>
        <v/>
      </c>
      <c r="U1215" s="1" t="str">
        <f>IFERROR(__xludf.DUMMYFUNCTION("""COMPUTED_VALUE"""),"")</f>
        <v/>
      </c>
      <c r="V1215" s="1" t="str">
        <f>IFERROR(__xludf.DUMMYFUNCTION("""COMPUTED_VALUE"""),"778,426")</f>
        <v>778,426</v>
      </c>
      <c r="W1215" s="1" t="str">
        <f>IFERROR(__xludf.DUMMYFUNCTION("""COMPUTED_VALUE"""),"48")</f>
        <v>48</v>
      </c>
      <c r="X1215" s="1" t="str">
        <f>IFERROR(__xludf.DUMMYFUNCTION("""COMPUTED_VALUE"""),"")</f>
        <v/>
      </c>
      <c r="Y1215" s="1" t="str">
        <f>IFERROR(__xludf.DUMMYFUNCTION("""COMPUTED_VALUE"""),"")</f>
        <v/>
      </c>
      <c r="Z1215" s="1" t="str">
        <f>IFERROR(__xludf.DUMMYFUNCTION("""COMPUTED_VALUE"""),"Unknown")</f>
        <v>Unknown</v>
      </c>
      <c r="AA1215" s="1" t="str">
        <f>IFERROR(__xludf.DUMMYFUNCTION("""COMPUTED_VALUE"""),"")</f>
        <v/>
      </c>
      <c r="AB1215" s="1" t="str">
        <f>IFERROR(__xludf.DUMMYFUNCTION("""COMPUTED_VALUE"""),"")</f>
        <v/>
      </c>
      <c r="AC1215" s="1" t="str">
        <f>IFERROR(__xludf.DUMMYFUNCTION("""COMPUTED_VALUE"""),"")</f>
        <v/>
      </c>
      <c r="AD1215" s="1" t="str">
        <f>IFERROR(__xludf.DUMMYFUNCTION("""COMPUTED_VALUE"""),"")</f>
        <v/>
      </c>
      <c r="AE1215" s="1" t="str">
        <f>IFERROR(__xludf.DUMMYFUNCTION("""COMPUTED_VALUE"""),"")</f>
        <v/>
      </c>
      <c r="AF1215" s="1" t="str">
        <f>IFERROR(__xludf.DUMMYFUNCTION("""COMPUTED_VALUE"""),"")</f>
        <v/>
      </c>
      <c r="AG1215" s="1" t="str">
        <f>IFERROR(__xludf.DUMMYFUNCTION("""COMPUTED_VALUE"""),"Computer Center")</f>
        <v>Computer Center</v>
      </c>
      <c r="AH1215" s="1" t="str">
        <f>IFERROR(__xludf.DUMMYFUNCTION("""COMPUTED_VALUE"""),"PEC")</f>
        <v>PEC</v>
      </c>
      <c r="AI1215" s="2" t="str">
        <f>IFERROR(__xludf.DUMMYFUNCTION("""COMPUTED_VALUE"""),"https://reparcelasmt.loudoun.gov/pt/Datalets/Datalet.aspx?mode=commercial&amp;UseSearch=no&amp;pin=097354183000&amp;jur=107&amp;taxyr=2024&amp;card=6&amp;item=0&amp;State=5|1|1|1|1|&amp;items=4")</f>
        <v>https://reparcelasmt.loudoun.gov/pt/Datalets/Datalet.aspx?mode=commercial&amp;UseSearch=no&amp;pin=097354183000&amp;jur=107&amp;taxyr=2024&amp;card=6&amp;item=0&amp;State=5|1|1|1|1|&amp;items=4</v>
      </c>
      <c r="AJ1215" s="1" t="str">
        <f>IFERROR(__xludf.DUMMYFUNCTION("""COMPUTED_VALUE"""),"")</f>
        <v/>
      </c>
      <c r="AK1215" s="1" t="str">
        <f>IFERROR(__xludf.DUMMYFUNCTION("""COMPUTED_VALUE"""),"")</f>
        <v/>
      </c>
      <c r="AL1215" s="1" t="str">
        <f>IFERROR(__xludf.DUMMYFUNCTION("""COMPUTED_VALUE"""),"")</f>
        <v/>
      </c>
      <c r="AM1215" s="1" t="str">
        <f>IFERROR(__xludf.DUMMYFUNCTION("""COMPUTED_VALUE"""),"")</f>
        <v/>
      </c>
      <c r="AN1215" s="1" t="str">
        <f>IFERROR(__xludf.DUMMYFUNCTION("""COMPUTED_VALUE"""),"")</f>
        <v/>
      </c>
      <c r="AO1215" s="1" t="str">
        <f>IFERROR(__xludf.DUMMYFUNCTION("""COMPUTED_VALUE"""),"")</f>
        <v/>
      </c>
      <c r="AP1215" s="1" t="str">
        <f>IFERROR(__xludf.DUMMYFUNCTION("""COMPUTED_VALUE"""),"")</f>
        <v/>
      </c>
      <c r="AQ1215" s="1" t="str">
        <f>IFERROR(__xludf.DUMMYFUNCTION("""COMPUTED_VALUE"""),"04/10/2024")</f>
        <v>04/10/2024</v>
      </c>
      <c r="AR1215" s="1" t="str">
        <f>IFERROR(__xludf.DUMMYFUNCTION("""COMPUTED_VALUE"""),"10/17/2025")</f>
        <v>10/17/2025</v>
      </c>
    </row>
    <row r="1216">
      <c r="A1216" s="1" t="str">
        <f>IFERROR(__xludf.DUMMYFUNCTION("""COMPUTED_VALUE"""),"AWS Westfax A")</f>
        <v>AWS Westfax A</v>
      </c>
      <c r="B1216" s="1" t="str">
        <f>IFERROR(__xludf.DUMMYFUNCTION("""COMPUTED_VALUE"""),"4101 WESTFAX DR")</f>
        <v>4101 WESTFAX DR</v>
      </c>
      <c r="C1216" s="1" t="str">
        <f>IFERROR(__xludf.DUMMYFUNCTION("""COMPUTED_VALUE"""),"Chantily")</f>
        <v>Chantily</v>
      </c>
      <c r="D1216" s="1" t="str">
        <f>IFERROR(__xludf.DUMMYFUNCTION("""COMPUTED_VALUE"""),"VA")</f>
        <v>VA</v>
      </c>
      <c r="E1216" s="1" t="str">
        <f>IFERROR(__xludf.DUMMYFUNCTION("""COMPUTED_VALUE"""),"20151")</f>
        <v>20151</v>
      </c>
      <c r="F1216" s="1" t="str">
        <f>IFERROR(__xludf.DUMMYFUNCTION("""COMPUTED_VALUE"""),"Fairfax")</f>
        <v>Fairfax</v>
      </c>
      <c r="G1216" s="1" t="str">
        <f>IFERROR(__xludf.DUMMYFUNCTION("""COMPUTED_VALUE"""),"38.897987")</f>
        <v>38.897987</v>
      </c>
      <c r="H1216" s="1" t="str">
        <f>IFERROR(__xludf.DUMMYFUNCTION("""COMPUTED_VALUE"""),"-77.454025")</f>
        <v>-77.454025</v>
      </c>
      <c r="I1216" s="1" t="str">
        <f>IFERROR(__xludf.DUMMYFUNCTION("""COMPUTED_VALUE"""),"Operating")</f>
        <v>Operating</v>
      </c>
      <c r="J1216" s="1" t="str">
        <f>IFERROR(__xludf.DUMMYFUNCTION("""COMPUTED_VALUE"""),"High")</f>
        <v>High</v>
      </c>
      <c r="K1216" s="1" t="str">
        <f>IFERROR(__xludf.DUMMYFUNCTION("""COMPUTED_VALUE"""),"")</f>
        <v/>
      </c>
      <c r="L1216" s="1" t="str">
        <f>IFERROR(__xludf.DUMMYFUNCTION("""COMPUTED_VALUE"""),"Amazon")</f>
        <v>Amazon</v>
      </c>
      <c r="M1216" s="1" t="str">
        <f>IFERROR(__xludf.DUMMYFUNCTION("""COMPUTED_VALUE"""),"")</f>
        <v/>
      </c>
      <c r="N1216" s="1" t="str">
        <f>IFERROR(__xludf.DUMMYFUNCTION("""COMPUTED_VALUE"""),"")</f>
        <v/>
      </c>
      <c r="O1216" s="1" t="str">
        <f>IFERROR(__xludf.DUMMYFUNCTION("""COMPUTED_VALUE"""),"Unknown")</f>
        <v>Unknown</v>
      </c>
      <c r="P1216" s="1" t="str">
        <f>IFERROR(__xludf.DUMMYFUNCTION("""COMPUTED_VALUE"""),"")</f>
        <v/>
      </c>
      <c r="Q1216" s="1" t="str">
        <f>IFERROR(__xludf.DUMMYFUNCTION("""COMPUTED_VALUE"""),"")</f>
        <v/>
      </c>
      <c r="R1216" s="1" t="str">
        <f>IFERROR(__xludf.DUMMYFUNCTION("""COMPUTED_VALUE"""),"")</f>
        <v/>
      </c>
      <c r="S1216" s="1" t="str">
        <f>IFERROR(__xludf.DUMMYFUNCTION("""COMPUTED_VALUE"""),"")</f>
        <v/>
      </c>
      <c r="T1216" s="1" t="str">
        <f>IFERROR(__xludf.DUMMYFUNCTION("""COMPUTED_VALUE"""),"")</f>
        <v/>
      </c>
      <c r="U1216" s="1" t="str">
        <f>IFERROR(__xludf.DUMMYFUNCTION("""COMPUTED_VALUE"""),"")</f>
        <v/>
      </c>
      <c r="V1216" s="1" t="str">
        <f>IFERROR(__xludf.DUMMYFUNCTION("""COMPUTED_VALUE"""),"95,000")</f>
        <v>95,000</v>
      </c>
      <c r="W1216" s="1" t="str">
        <f>IFERROR(__xludf.DUMMYFUNCTION("""COMPUTED_VALUE"""),"6")</f>
        <v>6</v>
      </c>
      <c r="X1216" s="1" t="str">
        <f>IFERROR(__xludf.DUMMYFUNCTION("""COMPUTED_VALUE"""),"")</f>
        <v/>
      </c>
      <c r="Y1216" s="1" t="str">
        <f>IFERROR(__xludf.DUMMYFUNCTION("""COMPUTED_VALUE"""),"")</f>
        <v/>
      </c>
      <c r="Z1216" s="1" t="str">
        <f>IFERROR(__xludf.DUMMYFUNCTION("""COMPUTED_VALUE"""),"Unknown")</f>
        <v>Unknown</v>
      </c>
      <c r="AA1216" s="1" t="str">
        <f>IFERROR(__xludf.DUMMYFUNCTION("""COMPUTED_VALUE"""),"")</f>
        <v/>
      </c>
      <c r="AB1216" s="1" t="str">
        <f>IFERROR(__xludf.DUMMYFUNCTION("""COMPUTED_VALUE"""),"")</f>
        <v/>
      </c>
      <c r="AC1216" s="1" t="str">
        <f>IFERROR(__xludf.DUMMYFUNCTION("""COMPUTED_VALUE"""),"")</f>
        <v/>
      </c>
      <c r="AD1216" s="1" t="str">
        <f>IFERROR(__xludf.DUMMYFUNCTION("""COMPUTED_VALUE"""),"")</f>
        <v/>
      </c>
      <c r="AE1216" s="1" t="str">
        <f>IFERROR(__xludf.DUMMYFUNCTION("""COMPUTED_VALUE"""),"")</f>
        <v/>
      </c>
      <c r="AF1216" s="1" t="str">
        <f>IFERROR(__xludf.DUMMYFUNCTION("""COMPUTED_VALUE"""),"")</f>
        <v/>
      </c>
      <c r="AG1216" s="1" t="str">
        <f>IFERROR(__xludf.DUMMYFUNCTION("""COMPUTED_VALUE"""),"")</f>
        <v/>
      </c>
      <c r="AH1216" s="1" t="str">
        <f>IFERROR(__xludf.DUMMYFUNCTION("""COMPUTED_VALUE"""),"PEC")</f>
        <v>PEC</v>
      </c>
      <c r="AI1216" s="2" t="str">
        <f>IFERROR(__xludf.DUMMYFUNCTION("""COMPUTED_VALUE"""),"https://www.fairfaxcounty.gov/planning-development/sites/planning-development/files/Assets/Documents/PDF/data-centers-report.pdf#page=1")</f>
        <v>https://www.fairfaxcounty.gov/planning-development/sites/planning-development/files/Assets/Documents/PDF/data-centers-report.pdf#page=1</v>
      </c>
      <c r="AJ1216" s="2" t="str">
        <f>IFERROR(__xludf.DUMMYFUNCTION("""COMPUTED_VALUE"""),"https://icare.fairfaxcounty.gov/ffxcare/Datalets/Datalet.aspx?mode=&amp;UseSearch=no&amp;pin=0343%2009%20%200004&amp;jur=129&amp;taxyr=2025")</f>
        <v>https://icare.fairfaxcounty.gov/ffxcare/Datalets/Datalet.aspx?mode=&amp;UseSearch=no&amp;pin=0343%2009%20%200004&amp;jur=129&amp;taxyr=2025</v>
      </c>
      <c r="AK1216" s="1" t="str">
        <f>IFERROR(__xludf.DUMMYFUNCTION("""COMPUTED_VALUE"""),"")</f>
        <v/>
      </c>
      <c r="AL1216" s="1" t="str">
        <f>IFERROR(__xludf.DUMMYFUNCTION("""COMPUTED_VALUE"""),"")</f>
        <v/>
      </c>
      <c r="AM1216" s="1" t="str">
        <f>IFERROR(__xludf.DUMMYFUNCTION("""COMPUTED_VALUE"""),"")</f>
        <v/>
      </c>
      <c r="AN1216" s="1" t="str">
        <f>IFERROR(__xludf.DUMMYFUNCTION("""COMPUTED_VALUE"""),"")</f>
        <v/>
      </c>
      <c r="AO1216" s="1" t="str">
        <f>IFERROR(__xludf.DUMMYFUNCTION("""COMPUTED_VALUE"""),"")</f>
        <v/>
      </c>
      <c r="AP1216" s="1" t="str">
        <f>IFERROR(__xludf.DUMMYFUNCTION("""COMPUTED_VALUE"""),"")</f>
        <v/>
      </c>
      <c r="AQ1216" s="1" t="str">
        <f>IFERROR(__xludf.DUMMYFUNCTION("""COMPUTED_VALUE"""),"04/10/2024")</f>
        <v>04/10/2024</v>
      </c>
      <c r="AR1216" s="1" t="str">
        <f>IFERROR(__xludf.DUMMYFUNCTION("""COMPUTED_VALUE"""),"10/17/2025")</f>
        <v>10/17/2025</v>
      </c>
    </row>
    <row r="1217">
      <c r="A1217" s="1" t="str">
        <f>IFERROR(__xludf.DUMMYFUNCTION("""COMPUTED_VALUE"""),"AWS Westfax B")</f>
        <v>AWS Westfax B</v>
      </c>
      <c r="B1217" s="1" t="str">
        <f>IFERROR(__xludf.DUMMYFUNCTION("""COMPUTED_VALUE"""),"4100 WESTFAX DR")</f>
        <v>4100 WESTFAX DR</v>
      </c>
      <c r="C1217" s="1" t="str">
        <f>IFERROR(__xludf.DUMMYFUNCTION("""COMPUTED_VALUE"""),"Chantily")</f>
        <v>Chantily</v>
      </c>
      <c r="D1217" s="1" t="str">
        <f>IFERROR(__xludf.DUMMYFUNCTION("""COMPUTED_VALUE"""),"VA")</f>
        <v>VA</v>
      </c>
      <c r="E1217" s="1" t="str">
        <f>IFERROR(__xludf.DUMMYFUNCTION("""COMPUTED_VALUE"""),"20151")</f>
        <v>20151</v>
      </c>
      <c r="F1217" s="1" t="str">
        <f>IFERROR(__xludf.DUMMYFUNCTION("""COMPUTED_VALUE"""),"Fairfax")</f>
        <v>Fairfax</v>
      </c>
      <c r="G1217" s="1" t="str">
        <f>IFERROR(__xludf.DUMMYFUNCTION("""COMPUTED_VALUE"""),"38.899593")</f>
        <v>38.899593</v>
      </c>
      <c r="H1217" s="1" t="str">
        <f>IFERROR(__xludf.DUMMYFUNCTION("""COMPUTED_VALUE"""),"-77.45344")</f>
        <v>-77.45344</v>
      </c>
      <c r="I1217" s="1" t="str">
        <f>IFERROR(__xludf.DUMMYFUNCTION("""COMPUTED_VALUE"""),"Operating")</f>
        <v>Operating</v>
      </c>
      <c r="J1217" s="1" t="str">
        <f>IFERROR(__xludf.DUMMYFUNCTION("""COMPUTED_VALUE"""),"High")</f>
        <v>High</v>
      </c>
      <c r="K1217" s="1" t="str">
        <f>IFERROR(__xludf.DUMMYFUNCTION("""COMPUTED_VALUE"""),"")</f>
        <v/>
      </c>
      <c r="L1217" s="1" t="str">
        <f>IFERROR(__xludf.DUMMYFUNCTION("""COMPUTED_VALUE"""),"Amazon")</f>
        <v>Amazon</v>
      </c>
      <c r="M1217" s="1" t="str">
        <f>IFERROR(__xludf.DUMMYFUNCTION("""COMPUTED_VALUE"""),"")</f>
        <v/>
      </c>
      <c r="N1217" s="1" t="str">
        <f>IFERROR(__xludf.DUMMYFUNCTION("""COMPUTED_VALUE"""),"")</f>
        <v/>
      </c>
      <c r="O1217" s="1" t="str">
        <f>IFERROR(__xludf.DUMMYFUNCTION("""COMPUTED_VALUE"""),"Unknown")</f>
        <v>Unknown</v>
      </c>
      <c r="P1217" s="1" t="str">
        <f>IFERROR(__xludf.DUMMYFUNCTION("""COMPUTED_VALUE"""),"")</f>
        <v/>
      </c>
      <c r="Q1217" s="1" t="str">
        <f>IFERROR(__xludf.DUMMYFUNCTION("""COMPUTED_VALUE"""),"")</f>
        <v/>
      </c>
      <c r="R1217" s="1" t="str">
        <f>IFERROR(__xludf.DUMMYFUNCTION("""COMPUTED_VALUE"""),"")</f>
        <v/>
      </c>
      <c r="S1217" s="1" t="str">
        <f>IFERROR(__xludf.DUMMYFUNCTION("""COMPUTED_VALUE"""),"")</f>
        <v/>
      </c>
      <c r="T1217" s="1" t="str">
        <f>IFERROR(__xludf.DUMMYFUNCTION("""COMPUTED_VALUE"""),"")</f>
        <v/>
      </c>
      <c r="U1217" s="1" t="str">
        <f>IFERROR(__xludf.DUMMYFUNCTION("""COMPUTED_VALUE"""),"")</f>
        <v/>
      </c>
      <c r="V1217" s="1" t="str">
        <f>IFERROR(__xludf.DUMMYFUNCTION("""COMPUTED_VALUE"""),"95,000")</f>
        <v>95,000</v>
      </c>
      <c r="W1217" s="1" t="str">
        <f>IFERROR(__xludf.DUMMYFUNCTION("""COMPUTED_VALUE"""),"7")</f>
        <v>7</v>
      </c>
      <c r="X1217" s="1" t="str">
        <f>IFERROR(__xludf.DUMMYFUNCTION("""COMPUTED_VALUE"""),"")</f>
        <v/>
      </c>
      <c r="Y1217" s="1" t="str">
        <f>IFERROR(__xludf.DUMMYFUNCTION("""COMPUTED_VALUE"""),"")</f>
        <v/>
      </c>
      <c r="Z1217" s="1" t="str">
        <f>IFERROR(__xludf.DUMMYFUNCTION("""COMPUTED_VALUE"""),"Unknown")</f>
        <v>Unknown</v>
      </c>
      <c r="AA1217" s="1" t="str">
        <f>IFERROR(__xludf.DUMMYFUNCTION("""COMPUTED_VALUE"""),"")</f>
        <v/>
      </c>
      <c r="AB1217" s="1" t="str">
        <f>IFERROR(__xludf.DUMMYFUNCTION("""COMPUTED_VALUE"""),"")</f>
        <v/>
      </c>
      <c r="AC1217" s="1" t="str">
        <f>IFERROR(__xludf.DUMMYFUNCTION("""COMPUTED_VALUE"""),"")</f>
        <v/>
      </c>
      <c r="AD1217" s="1" t="str">
        <f>IFERROR(__xludf.DUMMYFUNCTION("""COMPUTED_VALUE"""),"")</f>
        <v/>
      </c>
      <c r="AE1217" s="1" t="str">
        <f>IFERROR(__xludf.DUMMYFUNCTION("""COMPUTED_VALUE"""),"")</f>
        <v/>
      </c>
      <c r="AF1217" s="1" t="str">
        <f>IFERROR(__xludf.DUMMYFUNCTION("""COMPUTED_VALUE"""),"")</f>
        <v/>
      </c>
      <c r="AG1217" s="1" t="str">
        <f>IFERROR(__xludf.DUMMYFUNCTION("""COMPUTED_VALUE"""),"")</f>
        <v/>
      </c>
      <c r="AH1217" s="1" t="str">
        <f>IFERROR(__xludf.DUMMYFUNCTION("""COMPUTED_VALUE"""),"PEC")</f>
        <v>PEC</v>
      </c>
      <c r="AI1217" s="2" t="str">
        <f>IFERROR(__xludf.DUMMYFUNCTION("""COMPUTED_VALUE"""),"https://www.fairfaxcounty.gov/planning-development/sites/planning-development/files/Assets/Documents/PDF/data-centers-report.pdf#page=1")</f>
        <v>https://www.fairfaxcounty.gov/planning-development/sites/planning-development/files/Assets/Documents/PDF/data-centers-report.pdf#page=1</v>
      </c>
      <c r="AJ1217" s="2" t="str">
        <f>IFERROR(__xludf.DUMMYFUNCTION("""COMPUTED_VALUE"""),"https://icare.fairfaxcounty.gov/ffxcare/Datalets/Datalet.aspx?mode=&amp;UseSearch=no&amp;pin=0343%2009%20%200003A&amp;jur=129&amp;taxyr=2025")</f>
        <v>https://icare.fairfaxcounty.gov/ffxcare/Datalets/Datalet.aspx?mode=&amp;UseSearch=no&amp;pin=0343%2009%20%200003A&amp;jur=129&amp;taxyr=2025</v>
      </c>
      <c r="AK1217" s="1" t="str">
        <f>IFERROR(__xludf.DUMMYFUNCTION("""COMPUTED_VALUE"""),"")</f>
        <v/>
      </c>
      <c r="AL1217" s="1" t="str">
        <f>IFERROR(__xludf.DUMMYFUNCTION("""COMPUTED_VALUE"""),"")</f>
        <v/>
      </c>
      <c r="AM1217" s="1" t="str">
        <f>IFERROR(__xludf.DUMMYFUNCTION("""COMPUTED_VALUE"""),"")</f>
        <v/>
      </c>
      <c r="AN1217" s="1" t="str">
        <f>IFERROR(__xludf.DUMMYFUNCTION("""COMPUTED_VALUE"""),"")</f>
        <v/>
      </c>
      <c r="AO1217" s="1" t="str">
        <f>IFERROR(__xludf.DUMMYFUNCTION("""COMPUTED_VALUE"""),"")</f>
        <v/>
      </c>
      <c r="AP1217" s="1" t="str">
        <f>IFERROR(__xludf.DUMMYFUNCTION("""COMPUTED_VALUE"""),"")</f>
        <v/>
      </c>
      <c r="AQ1217" s="1" t="str">
        <f>IFERROR(__xludf.DUMMYFUNCTION("""COMPUTED_VALUE"""),"04/10/2024")</f>
        <v>04/10/2024</v>
      </c>
      <c r="AR1217" s="1" t="str">
        <f>IFERROR(__xludf.DUMMYFUNCTION("""COMPUTED_VALUE"""),"10/17/2025")</f>
        <v>10/17/2025</v>
      </c>
    </row>
    <row r="1218">
      <c r="A1218" s="1" t="str">
        <f>IFERROR(__xludf.DUMMYFUNCTION("""COMPUTED_VALUE"""),"CHANTILLY TECHNOLOGY PARTNERS")</f>
        <v>CHANTILLY TECHNOLOGY PARTNERS</v>
      </c>
      <c r="B1218" s="1" t="str">
        <f>IFERROR(__xludf.DUMMYFUNCTION("""COMPUTED_VALUE"""),"4030 LAFAYETTE CENTER DR")</f>
        <v>4030 LAFAYETTE CENTER DR</v>
      </c>
      <c r="C1218" s="1" t="str">
        <f>IFERROR(__xludf.DUMMYFUNCTION("""COMPUTED_VALUE"""),"Chantily")</f>
        <v>Chantily</v>
      </c>
      <c r="D1218" s="1" t="str">
        <f>IFERROR(__xludf.DUMMYFUNCTION("""COMPUTED_VALUE"""),"VA")</f>
        <v>VA</v>
      </c>
      <c r="E1218" s="1" t="str">
        <f>IFERROR(__xludf.DUMMYFUNCTION("""COMPUTED_VALUE"""),"20151")</f>
        <v>20151</v>
      </c>
      <c r="F1218" s="1" t="str">
        <f>IFERROR(__xludf.DUMMYFUNCTION("""COMPUTED_VALUE"""),"Fairfax")</f>
        <v>Fairfax</v>
      </c>
      <c r="G1218" s="1" t="str">
        <f>IFERROR(__xludf.DUMMYFUNCTION("""COMPUTED_VALUE"""),"38.91007")</f>
        <v>38.91007</v>
      </c>
      <c r="H1218" s="1" t="str">
        <f>IFERROR(__xludf.DUMMYFUNCTION("""COMPUTED_VALUE"""),"-77.472694")</f>
        <v>-77.472694</v>
      </c>
      <c r="I1218" s="1" t="str">
        <f>IFERROR(__xludf.DUMMYFUNCTION("""COMPUTED_VALUE"""),"Operating")</f>
        <v>Operating</v>
      </c>
      <c r="J1218" s="1" t="str">
        <f>IFERROR(__xludf.DUMMYFUNCTION("""COMPUTED_VALUE"""),"High")</f>
        <v>High</v>
      </c>
      <c r="K1218" s="1" t="str">
        <f>IFERROR(__xludf.DUMMYFUNCTION("""COMPUTED_VALUE"""),"")</f>
        <v/>
      </c>
      <c r="L1218" s="1" t="str">
        <f>IFERROR(__xludf.DUMMYFUNCTION("""COMPUTED_VALUE"""),"CHANTILLY TECHNOLOGY PARTNERS LLC")</f>
        <v>CHANTILLY TECHNOLOGY PARTNERS LLC</v>
      </c>
      <c r="M1218" s="1" t="str">
        <f>IFERROR(__xludf.DUMMYFUNCTION("""COMPUTED_VALUE"""),"")</f>
        <v/>
      </c>
      <c r="N1218" s="1" t="str">
        <f>IFERROR(__xludf.DUMMYFUNCTION("""COMPUTED_VALUE"""),"")</f>
        <v/>
      </c>
      <c r="O1218" s="1" t="str">
        <f>IFERROR(__xludf.DUMMYFUNCTION("""COMPUTED_VALUE"""),"Unknown")</f>
        <v>Unknown</v>
      </c>
      <c r="P1218" s="1" t="str">
        <f>IFERROR(__xludf.DUMMYFUNCTION("""COMPUTED_VALUE"""),"")</f>
        <v/>
      </c>
      <c r="Q1218" s="1" t="str">
        <f>IFERROR(__xludf.DUMMYFUNCTION("""COMPUTED_VALUE"""),"")</f>
        <v/>
      </c>
      <c r="R1218" s="1" t="str">
        <f>IFERROR(__xludf.DUMMYFUNCTION("""COMPUTED_VALUE"""),"")</f>
        <v/>
      </c>
      <c r="S1218" s="1" t="str">
        <f>IFERROR(__xludf.DUMMYFUNCTION("""COMPUTED_VALUE"""),"")</f>
        <v/>
      </c>
      <c r="T1218" s="1" t="str">
        <f>IFERROR(__xludf.DUMMYFUNCTION("""COMPUTED_VALUE"""),"")</f>
        <v/>
      </c>
      <c r="U1218" s="1" t="str">
        <f>IFERROR(__xludf.DUMMYFUNCTION("""COMPUTED_VALUE"""),"")</f>
        <v/>
      </c>
      <c r="V1218" s="1" t="str">
        <f>IFERROR(__xludf.DUMMYFUNCTION("""COMPUTED_VALUE"""),"145,409")</f>
        <v>145,409</v>
      </c>
      <c r="W1218" s="1" t="str">
        <f>IFERROR(__xludf.DUMMYFUNCTION("""COMPUTED_VALUE"""),"12")</f>
        <v>12</v>
      </c>
      <c r="X1218" s="1" t="str">
        <f>IFERROR(__xludf.DUMMYFUNCTION("""COMPUTED_VALUE"""),"")</f>
        <v/>
      </c>
      <c r="Y1218" s="1" t="str">
        <f>IFERROR(__xludf.DUMMYFUNCTION("""COMPUTED_VALUE"""),"")</f>
        <v/>
      </c>
      <c r="Z1218" s="1" t="str">
        <f>IFERROR(__xludf.DUMMYFUNCTION("""COMPUTED_VALUE"""),"Unknown")</f>
        <v>Unknown</v>
      </c>
      <c r="AA1218" s="1" t="str">
        <f>IFERROR(__xludf.DUMMYFUNCTION("""COMPUTED_VALUE"""),"")</f>
        <v/>
      </c>
      <c r="AB1218" s="1" t="str">
        <f>IFERROR(__xludf.DUMMYFUNCTION("""COMPUTED_VALUE"""),"")</f>
        <v/>
      </c>
      <c r="AC1218" s="1" t="str">
        <f>IFERROR(__xludf.DUMMYFUNCTION("""COMPUTED_VALUE"""),"")</f>
        <v/>
      </c>
      <c r="AD1218" s="1" t="str">
        <f>IFERROR(__xludf.DUMMYFUNCTION("""COMPUTED_VALUE"""),"")</f>
        <v/>
      </c>
      <c r="AE1218" s="1" t="str">
        <f>IFERROR(__xludf.DUMMYFUNCTION("""COMPUTED_VALUE"""),"")</f>
        <v/>
      </c>
      <c r="AF1218" s="1" t="str">
        <f>IFERROR(__xludf.DUMMYFUNCTION("""COMPUTED_VALUE"""),"")</f>
        <v/>
      </c>
      <c r="AG1218" s="1" t="str">
        <f>IFERROR(__xludf.DUMMYFUNCTION("""COMPUTED_VALUE"""),"")</f>
        <v/>
      </c>
      <c r="AH1218" s="1" t="str">
        <f>IFERROR(__xludf.DUMMYFUNCTION("""COMPUTED_VALUE"""),"PEC")</f>
        <v>PEC</v>
      </c>
      <c r="AI1218" s="2" t="str">
        <f>IFERROR(__xludf.DUMMYFUNCTION("""COMPUTED_VALUE"""),"https://icare.fairfaxcounty.gov/ffxcare/Datalets/Datalet.aspx?mode=&amp;UseSearch=no&amp;pin=0332%2001%20%200010D&amp;jur=129&amp;taxyr=2025")</f>
        <v>https://icare.fairfaxcounty.gov/ffxcare/Datalets/Datalet.aspx?mode=&amp;UseSearch=no&amp;pin=0332%2001%20%200010D&amp;jur=129&amp;taxyr=2025</v>
      </c>
      <c r="AJ1218" s="1" t="str">
        <f>IFERROR(__xludf.DUMMYFUNCTION("""COMPUTED_VALUE"""),"")</f>
        <v/>
      </c>
      <c r="AK1218" s="1" t="str">
        <f>IFERROR(__xludf.DUMMYFUNCTION("""COMPUTED_VALUE"""),"")</f>
        <v/>
      </c>
      <c r="AL1218" s="1" t="str">
        <f>IFERROR(__xludf.DUMMYFUNCTION("""COMPUTED_VALUE"""),"")</f>
        <v/>
      </c>
      <c r="AM1218" s="1" t="str">
        <f>IFERROR(__xludf.DUMMYFUNCTION("""COMPUTED_VALUE"""),"")</f>
        <v/>
      </c>
      <c r="AN1218" s="1" t="str">
        <f>IFERROR(__xludf.DUMMYFUNCTION("""COMPUTED_VALUE"""),"")</f>
        <v/>
      </c>
      <c r="AO1218" s="1" t="str">
        <f>IFERROR(__xludf.DUMMYFUNCTION("""COMPUTED_VALUE"""),"")</f>
        <v/>
      </c>
      <c r="AP1218" s="1" t="str">
        <f>IFERROR(__xludf.DUMMYFUNCTION("""COMPUTED_VALUE"""),"")</f>
        <v/>
      </c>
      <c r="AQ1218" s="1" t="str">
        <f>IFERROR(__xludf.DUMMYFUNCTION("""COMPUTED_VALUE"""),"04/10/2024")</f>
        <v>04/10/2024</v>
      </c>
      <c r="AR1218" s="1" t="str">
        <f>IFERROR(__xludf.DUMMYFUNCTION("""COMPUTED_VALUE"""),"10/17/2025")</f>
        <v>10/17/2025</v>
      </c>
    </row>
    <row r="1219">
      <c r="A1219" s="1" t="str">
        <f>IFERROR(__xludf.DUMMYFUNCTION("""COMPUTED_VALUE"""),"Diode Ventures Data Center")</f>
        <v>Diode Ventures Data Center</v>
      </c>
      <c r="B1219" s="1" t="str">
        <f>IFERROR(__xludf.DUMMYFUNCTION("""COMPUTED_VALUE"""),"~2043 State Rte 622")</f>
        <v>~2043 State Rte 622</v>
      </c>
      <c r="C1219" s="1" t="str">
        <f>IFERROR(__xludf.DUMMYFUNCTION("""COMPUTED_VALUE"""),"Charles City")</f>
        <v>Charles City</v>
      </c>
      <c r="D1219" s="1" t="str">
        <f>IFERROR(__xludf.DUMMYFUNCTION("""COMPUTED_VALUE"""),"VA")</f>
        <v>VA</v>
      </c>
      <c r="E1219" s="1" t="str">
        <f>IFERROR(__xludf.DUMMYFUNCTION("""COMPUTED_VALUE"""),"23030")</f>
        <v>23030</v>
      </c>
      <c r="F1219" s="1" t="str">
        <f>IFERROR(__xludf.DUMMYFUNCTION("""COMPUTED_VALUE"""),"Charles City")</f>
        <v>Charles City</v>
      </c>
      <c r="G1219" s="1" t="str">
        <f>IFERROR(__xludf.DUMMYFUNCTION("""COMPUTED_VALUE"""),"37.46036")</f>
        <v>37.46036</v>
      </c>
      <c r="H1219" s="1" t="str">
        <f>IFERROR(__xludf.DUMMYFUNCTION("""COMPUTED_VALUE"""),"-77.1559")</f>
        <v>-77.1559</v>
      </c>
      <c r="I1219" s="1" t="str">
        <f>IFERROR(__xludf.DUMMYFUNCTION("""COMPUTED_VALUE"""),"Cancelled")</f>
        <v>Cancelled</v>
      </c>
      <c r="J1219" s="1" t="str">
        <f>IFERROR(__xludf.DUMMYFUNCTION("""COMPUTED_VALUE"""),"Medium")</f>
        <v>Medium</v>
      </c>
      <c r="K1219" s="1" t="str">
        <f>IFERROR(__xludf.DUMMYFUNCTION("""COMPUTED_VALUE"""),"")</f>
        <v/>
      </c>
      <c r="L1219" s="1" t="str">
        <f>IFERROR(__xludf.DUMMYFUNCTION("""COMPUTED_VALUE"""),"")</f>
        <v/>
      </c>
      <c r="M1219" s="1" t="str">
        <f>IFERROR(__xludf.DUMMYFUNCTION("""COMPUTED_VALUE"""),"")</f>
        <v/>
      </c>
      <c r="N1219" s="1" t="str">
        <f>IFERROR(__xludf.DUMMYFUNCTION("""COMPUTED_VALUE"""),"")</f>
        <v/>
      </c>
      <c r="O1219" s="1" t="str">
        <f>IFERROR(__xludf.DUMMYFUNCTION("""COMPUTED_VALUE"""),"Unknown")</f>
        <v>Unknown</v>
      </c>
      <c r="P1219" s="1" t="str">
        <f>IFERROR(__xludf.DUMMYFUNCTION("""COMPUTED_VALUE"""),"")</f>
        <v/>
      </c>
      <c r="Q1219" s="1" t="str">
        <f>IFERROR(__xludf.DUMMYFUNCTION("""COMPUTED_VALUE"""),"")</f>
        <v/>
      </c>
      <c r="R1219" s="1" t="str">
        <f>IFERROR(__xludf.DUMMYFUNCTION("""COMPUTED_VALUE"""),"")</f>
        <v/>
      </c>
      <c r="S1219" s="1" t="str">
        <f>IFERROR(__xludf.DUMMYFUNCTION("""COMPUTED_VALUE"""),"")</f>
        <v/>
      </c>
      <c r="T1219" s="1" t="str">
        <f>IFERROR(__xludf.DUMMYFUNCTION("""COMPUTED_VALUE"""),"")</f>
        <v/>
      </c>
      <c r="U1219" s="1" t="str">
        <f>IFERROR(__xludf.DUMMYFUNCTION("""COMPUTED_VALUE"""),"")</f>
        <v/>
      </c>
      <c r="V1219" s="1" t="str">
        <f>IFERROR(__xludf.DUMMYFUNCTION("""COMPUTED_VALUE"""),"")</f>
        <v/>
      </c>
      <c r="W1219" s="1" t="str">
        <f>IFERROR(__xludf.DUMMYFUNCTION("""COMPUTED_VALUE"""),"515")</f>
        <v>515</v>
      </c>
      <c r="X1219" s="1" t="str">
        <f>IFERROR(__xludf.DUMMYFUNCTION("""COMPUTED_VALUE"""),"")</f>
        <v/>
      </c>
      <c r="Y1219" s="1" t="str">
        <f>IFERROR(__xludf.DUMMYFUNCTION("""COMPUTED_VALUE"""),"")</f>
        <v/>
      </c>
      <c r="Z1219" s="1" t="str">
        <f>IFERROR(__xludf.DUMMYFUNCTION("""COMPUTED_VALUE"""),"Unknown")</f>
        <v>Unknown</v>
      </c>
      <c r="AA1219" s="1" t="str">
        <f>IFERROR(__xludf.DUMMYFUNCTION("""COMPUTED_VALUE"""),"")</f>
        <v/>
      </c>
      <c r="AB1219" s="1" t="str">
        <f>IFERROR(__xludf.DUMMYFUNCTION("""COMPUTED_VALUE"""),"")</f>
        <v/>
      </c>
      <c r="AC1219" s="1" t="str">
        <f>IFERROR(__xludf.DUMMYFUNCTION("""COMPUTED_VALUE"""),"")</f>
        <v/>
      </c>
      <c r="AD1219" s="1" t="str">
        <f>IFERROR(__xludf.DUMMYFUNCTION("""COMPUTED_VALUE"""),"")</f>
        <v/>
      </c>
      <c r="AE1219" s="1" t="str">
        <f>IFERROR(__xludf.DUMMYFUNCTION("""COMPUTED_VALUE"""),"")</f>
        <v/>
      </c>
      <c r="AF1219" s="1" t="str">
        <f>IFERROR(__xludf.DUMMYFUNCTION("""COMPUTED_VALUE"""),"")</f>
        <v/>
      </c>
      <c r="AG1219" s="1" t="str">
        <f>IFERROR(__xludf.DUMMYFUNCTION("""COMPUTED_VALUE"""),"Local opposition")</f>
        <v>Local opposition</v>
      </c>
      <c r="AH1219" s="1" t="str">
        <f>IFERROR(__xludf.DUMMYFUNCTION("""COMPUTED_VALUE"""),"Media Monitoring")</f>
        <v>Media Monitoring</v>
      </c>
      <c r="AI1219" s="2" t="str">
        <f>IFERROR(__xludf.DUMMYFUNCTION("""COMPUTED_VALUE"""),"https://www.datacenterdynamics.com/en/news/diode-drops-plans-for-500-acre-data-center-campus-outside-richmond-virginia/")</f>
        <v>https://www.datacenterdynamics.com/en/news/diode-drops-plans-for-500-acre-data-center-campus-outside-richmond-virginia/</v>
      </c>
      <c r="AJ1219" s="1" t="str">
        <f>IFERROR(__xludf.DUMMYFUNCTION("""COMPUTED_VALUE"""),"")</f>
        <v/>
      </c>
      <c r="AK1219" s="1" t="str">
        <f>IFERROR(__xludf.DUMMYFUNCTION("""COMPUTED_VALUE"""),"")</f>
        <v/>
      </c>
      <c r="AL1219" s="1" t="str">
        <f>IFERROR(__xludf.DUMMYFUNCTION("""COMPUTED_VALUE"""),"")</f>
        <v/>
      </c>
      <c r="AM1219" s="1" t="str">
        <f>IFERROR(__xludf.DUMMYFUNCTION("""COMPUTED_VALUE"""),"")</f>
        <v/>
      </c>
      <c r="AN1219" s="1" t="str">
        <f>IFERROR(__xludf.DUMMYFUNCTION("""COMPUTED_VALUE"""),"")</f>
        <v/>
      </c>
      <c r="AO1219" s="1" t="str">
        <f>IFERROR(__xludf.DUMMYFUNCTION("""COMPUTED_VALUE"""),"")</f>
        <v/>
      </c>
      <c r="AP1219" s="1" t="str">
        <f>IFERROR(__xludf.DUMMYFUNCTION("""COMPUTED_VALUE"""),"")</f>
        <v/>
      </c>
      <c r="AQ1219" s="1" t="str">
        <f>IFERROR(__xludf.DUMMYFUNCTION("""COMPUTED_VALUE"""),"08/25/2025")</f>
        <v>08/25/2025</v>
      </c>
      <c r="AR1219" s="1" t="str">
        <f>IFERROR(__xludf.DUMMYFUNCTION("""COMPUTED_VALUE"""),"08/25/2025")</f>
        <v>08/25/2025</v>
      </c>
    </row>
    <row r="1220">
      <c r="A1220" s="1" t="str">
        <f>IFERROR(__xludf.DUMMYFUNCTION("""COMPUTED_VALUE"""),"LYH03 Bailey – Microsoft")</f>
        <v>LYH03 Bailey – Microsoft</v>
      </c>
      <c r="B1220" s="1" t="str">
        <f>IFERROR(__xludf.DUMMYFUNCTION("""COMPUTED_VALUE"""),"313-A HIGH STREET")</f>
        <v>313-A HIGH STREET</v>
      </c>
      <c r="C1220" s="1" t="str">
        <f>IFERROR(__xludf.DUMMYFUNCTION("""COMPUTED_VALUE"""),"Chase City")</f>
        <v>Chase City</v>
      </c>
      <c r="D1220" s="1" t="str">
        <f>IFERROR(__xludf.DUMMYFUNCTION("""COMPUTED_VALUE"""),"VA")</f>
        <v>VA</v>
      </c>
      <c r="E1220" s="1" t="str">
        <f>IFERROR(__xludf.DUMMYFUNCTION("""COMPUTED_VALUE"""),"23924")</f>
        <v>23924</v>
      </c>
      <c r="F1220" s="1" t="str">
        <f>IFERROR(__xludf.DUMMYFUNCTION("""COMPUTED_VALUE"""),"Mecklenburg")</f>
        <v>Mecklenburg</v>
      </c>
      <c r="G1220" s="1" t="str">
        <f>IFERROR(__xludf.DUMMYFUNCTION("""COMPUTED_VALUE"""),"36.780624")</f>
        <v>36.780624</v>
      </c>
      <c r="H1220" s="1" t="str">
        <f>IFERROR(__xludf.DUMMYFUNCTION("""COMPUTED_VALUE"""),"-78.467834")</f>
        <v>-78.467834</v>
      </c>
      <c r="I1220" s="1" t="str">
        <f>IFERROR(__xludf.DUMMYFUNCTION("""COMPUTED_VALUE"""),"Proposed")</f>
        <v>Proposed</v>
      </c>
      <c r="J1220" s="1" t="str">
        <f>IFERROR(__xludf.DUMMYFUNCTION("""COMPUTED_VALUE"""),"High")</f>
        <v>High</v>
      </c>
      <c r="K1220" s="1" t="str">
        <f>IFERROR(__xludf.DUMMYFUNCTION("""COMPUTED_VALUE"""),"")</f>
        <v/>
      </c>
      <c r="L1220" s="1" t="str">
        <f>IFERROR(__xludf.DUMMYFUNCTION("""COMPUTED_VALUE"""),"Microsoft")</f>
        <v>Microsoft</v>
      </c>
      <c r="M1220" s="1" t="str">
        <f>IFERROR(__xludf.DUMMYFUNCTION("""COMPUTED_VALUE"""),"")</f>
        <v/>
      </c>
      <c r="N1220" s="1" t="str">
        <f>IFERROR(__xludf.DUMMYFUNCTION("""COMPUTED_VALUE"""),"")</f>
        <v/>
      </c>
      <c r="O1220" s="1" t="str">
        <f>IFERROR(__xludf.DUMMYFUNCTION("""COMPUTED_VALUE"""),"Unknown")</f>
        <v>Unknown</v>
      </c>
      <c r="P1220" s="1" t="str">
        <f>IFERROR(__xludf.DUMMYFUNCTION("""COMPUTED_VALUE"""),"")</f>
        <v/>
      </c>
      <c r="Q1220" s="1" t="str">
        <f>IFERROR(__xludf.DUMMYFUNCTION("""COMPUTED_VALUE"""),"")</f>
        <v/>
      </c>
      <c r="R1220" s="1" t="str">
        <f>IFERROR(__xludf.DUMMYFUNCTION("""COMPUTED_VALUE"""),"")</f>
        <v/>
      </c>
      <c r="S1220" s="1" t="str">
        <f>IFERROR(__xludf.DUMMYFUNCTION("""COMPUTED_VALUE"""),"")</f>
        <v/>
      </c>
      <c r="T1220" s="1" t="str">
        <f>IFERROR(__xludf.DUMMYFUNCTION("""COMPUTED_VALUE"""),"")</f>
        <v/>
      </c>
      <c r="U1220" s="1" t="str">
        <f>IFERROR(__xludf.DUMMYFUNCTION("""COMPUTED_VALUE"""),"")</f>
        <v/>
      </c>
      <c r="V1220" s="1" t="str">
        <f>IFERROR(__xludf.DUMMYFUNCTION("""COMPUTED_VALUE"""),"")</f>
        <v/>
      </c>
      <c r="W1220" s="1" t="str">
        <f>IFERROR(__xludf.DUMMYFUNCTION("""COMPUTED_VALUE"""),"369")</f>
        <v>369</v>
      </c>
      <c r="X1220" s="1" t="str">
        <f>IFERROR(__xludf.DUMMYFUNCTION("""COMPUTED_VALUE"""),"")</f>
        <v/>
      </c>
      <c r="Y1220" s="1" t="str">
        <f>IFERROR(__xludf.DUMMYFUNCTION("""COMPUTED_VALUE"""),"")</f>
        <v/>
      </c>
      <c r="Z1220" s="1" t="str">
        <f>IFERROR(__xludf.DUMMYFUNCTION("""COMPUTED_VALUE"""),"Unknown")</f>
        <v>Unknown</v>
      </c>
      <c r="AA1220" s="1" t="str">
        <f>IFERROR(__xludf.DUMMYFUNCTION("""COMPUTED_VALUE"""),"")</f>
        <v/>
      </c>
      <c r="AB1220" s="1" t="str">
        <f>IFERROR(__xludf.DUMMYFUNCTION("""COMPUTED_VALUE"""),"")</f>
        <v/>
      </c>
      <c r="AC1220" s="1" t="str">
        <f>IFERROR(__xludf.DUMMYFUNCTION("""COMPUTED_VALUE"""),"")</f>
        <v/>
      </c>
      <c r="AD1220" s="1" t="str">
        <f>IFERROR(__xludf.DUMMYFUNCTION("""COMPUTED_VALUE"""),"")</f>
        <v/>
      </c>
      <c r="AE1220" s="1" t="str">
        <f>IFERROR(__xludf.DUMMYFUNCTION("""COMPUTED_VALUE"""),"")</f>
        <v/>
      </c>
      <c r="AF1220" s="1" t="str">
        <f>IFERROR(__xludf.DUMMYFUNCTION("""COMPUTED_VALUE"""),"")</f>
        <v/>
      </c>
      <c r="AG1220" s="1" t="str">
        <f>IFERROR(__xludf.DUMMYFUNCTION("""COMPUTED_VALUE"""),"This project covers multiple parcels. The total acreage has been represented here.")</f>
        <v>This project covers multiple parcels. The total acreage has been represented here.</v>
      </c>
      <c r="AH1220" s="1" t="str">
        <f>IFERROR(__xludf.DUMMYFUNCTION("""COMPUTED_VALUE"""),"PEC")</f>
        <v>PEC</v>
      </c>
      <c r="AI1220" s="2" t="str">
        <f>IFERROR(__xludf.DUMMYFUNCTION("""COMPUTED_VALUE"""),"https://www.nao.usace.army.mil/Media/Public-Notices/Article/3357496/nao-2022-02394-vmrc-22-v2715-microsoft-data-center-mecklenburg-county-virginia/")</f>
        <v>https://www.nao.usace.army.mil/Media/Public-Notices/Article/3357496/nao-2022-02394-vmrc-22-v2715-microsoft-data-center-mecklenburg-county-virginia/</v>
      </c>
      <c r="AJ1220" s="2" t="str">
        <f>IFERROR(__xludf.DUMMYFUNCTION("""COMPUTED_VALUE"""),"https://mecklenburg.cama.concisesystems.com/PropertyPage.aspx?id=39284&amp;direct=1")</f>
        <v>https://mecklenburg.cama.concisesystems.com/PropertyPage.aspx?id=39284&amp;direct=1</v>
      </c>
      <c r="AK1220" s="1" t="str">
        <f>IFERROR(__xludf.DUMMYFUNCTION("""COMPUTED_VALUE"""),"")</f>
        <v/>
      </c>
      <c r="AL1220" s="1" t="str">
        <f>IFERROR(__xludf.DUMMYFUNCTION("""COMPUTED_VALUE"""),"")</f>
        <v/>
      </c>
      <c r="AM1220" s="1" t="str">
        <f>IFERROR(__xludf.DUMMYFUNCTION("""COMPUTED_VALUE"""),"")</f>
        <v/>
      </c>
      <c r="AN1220" s="1" t="str">
        <f>IFERROR(__xludf.DUMMYFUNCTION("""COMPUTED_VALUE"""),"")</f>
        <v/>
      </c>
      <c r="AO1220" s="1" t="str">
        <f>IFERROR(__xludf.DUMMYFUNCTION("""COMPUTED_VALUE"""),"")</f>
        <v/>
      </c>
      <c r="AP1220" s="1" t="str">
        <f>IFERROR(__xludf.DUMMYFUNCTION("""COMPUTED_VALUE"""),"")</f>
        <v/>
      </c>
      <c r="AQ1220" s="1" t="str">
        <f>IFERROR(__xludf.DUMMYFUNCTION("""COMPUTED_VALUE"""),"04/10/2024")</f>
        <v>04/10/2024</v>
      </c>
      <c r="AR1220" s="1" t="str">
        <f>IFERROR(__xludf.DUMMYFUNCTION("""COMPUTED_VALUE"""),"10/17/2025")</f>
        <v>10/17/2025</v>
      </c>
    </row>
    <row r="1221">
      <c r="A1221" s="1" t="str">
        <f>IFERROR(__xludf.DUMMYFUNCTION("""COMPUTED_VALUE"""),"Pittsylvania County Data Center")</f>
        <v>Pittsylvania County Data Center</v>
      </c>
      <c r="B1221" s="1" t="str">
        <f>IFERROR(__xludf.DUMMYFUNCTION("""COMPUTED_VALUE"""),"Chalk Level Rd near Mill Creek Rd")</f>
        <v>Chalk Level Rd near Mill Creek Rd</v>
      </c>
      <c r="C1221" s="1" t="str">
        <f>IFERROR(__xludf.DUMMYFUNCTION("""COMPUTED_VALUE"""),"Chatham")</f>
        <v>Chatham</v>
      </c>
      <c r="D1221" s="1" t="str">
        <f>IFERROR(__xludf.DUMMYFUNCTION("""COMPUTED_VALUE"""),"VA")</f>
        <v>VA</v>
      </c>
      <c r="E1221" s="1" t="str">
        <f>IFERROR(__xludf.DUMMYFUNCTION("""COMPUTED_VALUE"""),"24531")</f>
        <v>24531</v>
      </c>
      <c r="F1221" s="1" t="str">
        <f>IFERROR(__xludf.DUMMYFUNCTION("""COMPUTED_VALUE"""),"Pittsylvania")</f>
        <v>Pittsylvania</v>
      </c>
      <c r="G1221" s="1" t="str">
        <f>IFERROR(__xludf.DUMMYFUNCTION("""COMPUTED_VALUE"""),"36.84796")</f>
        <v>36.84796</v>
      </c>
      <c r="H1221" s="1" t="str">
        <f>IFERROR(__xludf.DUMMYFUNCTION("""COMPUTED_VALUE"""),"-79.370255")</f>
        <v>-79.370255</v>
      </c>
      <c r="I1221" s="1" t="str">
        <f>IFERROR(__xludf.DUMMYFUNCTION("""COMPUTED_VALUE"""),"Cancelled")</f>
        <v>Cancelled</v>
      </c>
      <c r="J1221" s="1" t="str">
        <f>IFERROR(__xludf.DUMMYFUNCTION("""COMPUTED_VALUE"""),"Medium")</f>
        <v>Medium</v>
      </c>
      <c r="K1221" s="1" t="str">
        <f>IFERROR(__xludf.DUMMYFUNCTION("""COMPUTED_VALUE"""),"")</f>
        <v/>
      </c>
      <c r="L1221" s="1" t="str">
        <f>IFERROR(__xludf.DUMMYFUNCTION("""COMPUTED_VALUE"""),"Balico LLC")</f>
        <v>Balico LLC</v>
      </c>
      <c r="M1221" s="1" t="str">
        <f>IFERROR(__xludf.DUMMYFUNCTION("""COMPUTED_VALUE"""),"")</f>
        <v/>
      </c>
      <c r="N1221" s="1" t="str">
        <f>IFERROR(__xludf.DUMMYFUNCTION("""COMPUTED_VALUE"""),"3500")</f>
        <v>3500</v>
      </c>
      <c r="O1221" s="1" t="str">
        <f>IFERROR(__xludf.DUMMYFUNCTION("""COMPUTED_VALUE"""),"Mega campus (&gt;1,000 MW)")</f>
        <v>Mega campus (&gt;1,000 MW)</v>
      </c>
      <c r="P1221" s="1" t="str">
        <f>IFERROR(__xludf.DUMMYFUNCTION("""COMPUTED_VALUE"""),"")</f>
        <v/>
      </c>
      <c r="Q1221" s="1" t="str">
        <f>IFERROR(__xludf.DUMMYFUNCTION("""COMPUTED_VALUE"""),"")</f>
        <v/>
      </c>
      <c r="R1221" s="1" t="str">
        <f>IFERROR(__xludf.DUMMYFUNCTION("""COMPUTED_VALUE"""),"")</f>
        <v/>
      </c>
      <c r="S1221" s="1" t="str">
        <f>IFERROR(__xludf.DUMMYFUNCTION("""COMPUTED_VALUE"""),"12")</f>
        <v>12</v>
      </c>
      <c r="T1221" s="1" t="str">
        <f>IFERROR(__xludf.DUMMYFUNCTION("""COMPUTED_VALUE"""),"")</f>
        <v/>
      </c>
      <c r="U1221" s="1" t="str">
        <f>IFERROR(__xludf.DUMMYFUNCTION("""COMPUTED_VALUE"""),"")</f>
        <v/>
      </c>
      <c r="V1221" s="1" t="str">
        <f>IFERROR(__xludf.DUMMYFUNCTION("""COMPUTED_VALUE"""),"4,752,000")</f>
        <v>4,752,000</v>
      </c>
      <c r="W1221" s="1" t="str">
        <f>IFERROR(__xludf.DUMMYFUNCTION("""COMPUTED_VALUE"""),"763")</f>
        <v>763</v>
      </c>
      <c r="X1221" s="1" t="str">
        <f>IFERROR(__xludf.DUMMYFUNCTION("""COMPUTED_VALUE"""),"$3.7 billion")</f>
        <v>$3.7 billion</v>
      </c>
      <c r="Y1221" s="1" t="str">
        <f>IFERROR(__xludf.DUMMYFUNCTION("""COMPUTED_VALUE"""),"")</f>
        <v/>
      </c>
      <c r="Z1221" s="1" t="str">
        <f>IFERROR(__xludf.DUMMYFUNCTION("""COMPUTED_VALUE"""),"Yes")</f>
        <v>Yes</v>
      </c>
      <c r="AA1221" s="2" t="str">
        <f>IFERROR(__xludf.DUMMYFUNCTION("""COMPUTED_VALUE"""),"https://cardinalnews.org/2025/04/14/a-grassroots-fight-against-data-centers-builds-in-rural-pittsylvania-county/")</f>
        <v>https://cardinalnews.org/2025/04/14/a-grassroots-fight-against-data-centers-builds-in-rural-pittsylvania-county/</v>
      </c>
      <c r="AB1221" s="1" t="str">
        <f>IFERROR(__xludf.DUMMYFUNCTION("""COMPUTED_VALUE"""),"")</f>
        <v/>
      </c>
      <c r="AC1221" s="1" t="str">
        <f>IFERROR(__xludf.DUMMYFUNCTION("""COMPUTED_VALUE"""),"")</f>
        <v/>
      </c>
      <c r="AD1221" s="1" t="str">
        <f>IFERROR(__xludf.DUMMYFUNCTION("""COMPUTED_VALUE"""),"")</f>
        <v/>
      </c>
      <c r="AE1221" s="1" t="str">
        <f>IFERROR(__xludf.DUMMYFUNCTION("""COMPUTED_VALUE"""),"")</f>
        <v/>
      </c>
      <c r="AF1221" s="1" t="str">
        <f>IFERROR(__xludf.DUMMYFUNCTION("""COMPUTED_VALUE"""),"")</f>
        <v/>
      </c>
      <c r="AG1221" s="1" t="str">
        <f>IFERROR(__xludf.DUMMYFUNCTION("""COMPUTED_VALUE"""),"This project covers multiple parcels. The total acreage has been represented here. Also includes a 3500 MW gas plant. Blocked, then withdrawn by developer")</f>
        <v>This project covers multiple parcels. The total acreage has been represented here. Also includes a 3500 MW gas plant. Blocked, then withdrawn by developer</v>
      </c>
      <c r="AH1221" s="1" t="str">
        <f>IFERROR(__xludf.DUMMYFUNCTION("""COMPUTED_VALUE"""),"PEC")</f>
        <v>PEC</v>
      </c>
      <c r="AI1221" s="2" t="str">
        <f>IFERROR(__xludf.DUMMYFUNCTION("""COMPUTED_VALUE"""),"https://www.pittsylvaniacountyva.gov/home/showpublisheddocument/6067/638714338508430000")</f>
        <v>https://www.pittsylvaniacountyva.gov/home/showpublisheddocument/6067/638714338508430000</v>
      </c>
      <c r="AJ1221" s="2" t="str">
        <f>IFERROR(__xludf.DUMMYFUNCTION("""COMPUTED_VALUE"""),"https://cardinalnews.org/2025/04/14/a-grassroots-fight-against-data-centers-builds-in-rural-pittsylvania-county/")</f>
        <v>https://cardinalnews.org/2025/04/14/a-grassroots-fight-against-data-centers-builds-in-rural-pittsylvania-county/</v>
      </c>
      <c r="AK1221" s="1" t="str">
        <f>IFERROR(__xludf.DUMMYFUNCTION("""COMPUTED_VALUE"""),"")</f>
        <v/>
      </c>
      <c r="AL1221" s="1" t="str">
        <f>IFERROR(__xludf.DUMMYFUNCTION("""COMPUTED_VALUE"""),"")</f>
        <v/>
      </c>
      <c r="AM1221" s="1" t="str">
        <f>IFERROR(__xludf.DUMMYFUNCTION("""COMPUTED_VALUE"""),"")</f>
        <v/>
      </c>
      <c r="AN1221" s="1" t="str">
        <f>IFERROR(__xludf.DUMMYFUNCTION("""COMPUTED_VALUE"""),"")</f>
        <v/>
      </c>
      <c r="AO1221" s="1" t="str">
        <f>IFERROR(__xludf.DUMMYFUNCTION("""COMPUTED_VALUE"""),"")</f>
        <v/>
      </c>
      <c r="AP1221" s="1" t="str">
        <f>IFERROR(__xludf.DUMMYFUNCTION("""COMPUTED_VALUE"""),"")</f>
        <v/>
      </c>
      <c r="AQ1221" s="1" t="str">
        <f>IFERROR(__xludf.DUMMYFUNCTION("""COMPUTED_VALUE"""),"01/15/2025")</f>
        <v>01/15/2025</v>
      </c>
      <c r="AR1221" s="1" t="str">
        <f>IFERROR(__xludf.DUMMYFUNCTION("""COMPUTED_VALUE"""),"03/16/2026")</f>
        <v>03/16/2026</v>
      </c>
    </row>
    <row r="1222">
      <c r="A1222" s="1" t="str">
        <f>IFERROR(__xludf.DUMMYFUNCTION("""COMPUTED_VALUE"""),"Chesterfield Google Data Center")</f>
        <v>Chesterfield Google Data Center</v>
      </c>
      <c r="B1222" s="1" t="str">
        <f>IFERROR(__xludf.DUMMYFUNCTION("""COMPUTED_VALUE"""),"2700 Bermuda Hundred Rd")</f>
        <v>2700 Bermuda Hundred Rd</v>
      </c>
      <c r="C1222" s="1" t="str">
        <f>IFERROR(__xludf.DUMMYFUNCTION("""COMPUTED_VALUE"""),"Chester")</f>
        <v>Chester</v>
      </c>
      <c r="D1222" s="1" t="str">
        <f>IFERROR(__xludf.DUMMYFUNCTION("""COMPUTED_VALUE"""),"VA")</f>
        <v>VA</v>
      </c>
      <c r="E1222" s="1" t="str">
        <f>IFERROR(__xludf.DUMMYFUNCTION("""COMPUTED_VALUE"""),"23836")</f>
        <v>23836</v>
      </c>
      <c r="F1222" s="1" t="str">
        <f>IFERROR(__xludf.DUMMYFUNCTION("""COMPUTED_VALUE"""),"Chesterfield")</f>
        <v>Chesterfield</v>
      </c>
      <c r="G1222" s="1" t="str">
        <f>IFERROR(__xludf.DUMMYFUNCTION("""COMPUTED_VALUE"""),"37.34593")</f>
        <v>37.34593</v>
      </c>
      <c r="H1222" s="1" t="str">
        <f>IFERROR(__xludf.DUMMYFUNCTION("""COMPUTED_VALUE"""),"-77.3102")</f>
        <v>-77.3102</v>
      </c>
      <c r="I1222" s="1" t="str">
        <f>IFERROR(__xludf.DUMMYFUNCTION("""COMPUTED_VALUE"""),"Proposed")</f>
        <v>Proposed</v>
      </c>
      <c r="J1222" s="1" t="str">
        <f>IFERROR(__xludf.DUMMYFUNCTION("""COMPUTED_VALUE"""),"High")</f>
        <v>High</v>
      </c>
      <c r="K1222" s="1" t="str">
        <f>IFERROR(__xludf.DUMMYFUNCTION("""COMPUTED_VALUE"""),"")</f>
        <v/>
      </c>
      <c r="L1222" s="1" t="str">
        <f>IFERROR(__xludf.DUMMYFUNCTION("""COMPUTED_VALUE"""),"Google")</f>
        <v>Google</v>
      </c>
      <c r="M1222" s="1" t="str">
        <f>IFERROR(__xludf.DUMMYFUNCTION("""COMPUTED_VALUE"""),"")</f>
        <v/>
      </c>
      <c r="N1222" s="1" t="str">
        <f>IFERROR(__xludf.DUMMYFUNCTION("""COMPUTED_VALUE"""),"200")</f>
        <v>200</v>
      </c>
      <c r="O1222" s="1" t="str">
        <f>IFERROR(__xludf.DUMMYFUNCTION("""COMPUTED_VALUE"""),"Hyperscale (100-999 MW)")</f>
        <v>Hyperscale (100-999 MW)</v>
      </c>
      <c r="P1222" s="1" t="str">
        <f>IFERROR(__xludf.DUMMYFUNCTION("""COMPUTED_VALUE"""),"")</f>
        <v/>
      </c>
      <c r="Q1222" s="1" t="str">
        <f>IFERROR(__xludf.DUMMYFUNCTION("""COMPUTED_VALUE"""),"")</f>
        <v/>
      </c>
      <c r="R1222" s="1" t="str">
        <f>IFERROR(__xludf.DUMMYFUNCTION("""COMPUTED_VALUE"""),"")</f>
        <v/>
      </c>
      <c r="S1222" s="1" t="str">
        <f>IFERROR(__xludf.DUMMYFUNCTION("""COMPUTED_VALUE"""),"")</f>
        <v/>
      </c>
      <c r="T1222" s="1" t="str">
        <f>IFERROR(__xludf.DUMMYFUNCTION("""COMPUTED_VALUE"""),"")</f>
        <v/>
      </c>
      <c r="U1222" s="1" t="str">
        <f>IFERROR(__xludf.DUMMYFUNCTION("""COMPUTED_VALUE"""),"")</f>
        <v/>
      </c>
      <c r="V1222" s="1" t="str">
        <f>IFERROR(__xludf.DUMMYFUNCTION("""COMPUTED_VALUE"""),"856,000")</f>
        <v>856,000</v>
      </c>
      <c r="W1222" s="1" t="str">
        <f>IFERROR(__xludf.DUMMYFUNCTION("""COMPUTED_VALUE"""),"300")</f>
        <v>300</v>
      </c>
      <c r="X1222" s="1" t="str">
        <f>IFERROR(__xludf.DUMMYFUNCTION("""COMPUTED_VALUE"""),"")</f>
        <v/>
      </c>
      <c r="Y1222" s="1" t="str">
        <f>IFERROR(__xludf.DUMMYFUNCTION("""COMPUTED_VALUE"""),"")</f>
        <v/>
      </c>
      <c r="Z1222" s="1" t="str">
        <f>IFERROR(__xludf.DUMMYFUNCTION("""COMPUTED_VALUE"""),"Unknown")</f>
        <v>Unknown</v>
      </c>
      <c r="AA1222" s="1" t="str">
        <f>IFERROR(__xludf.DUMMYFUNCTION("""COMPUTED_VALUE"""),"")</f>
        <v/>
      </c>
      <c r="AB1222" s="1" t="str">
        <f>IFERROR(__xludf.DUMMYFUNCTION("""COMPUTED_VALUE"""),"")</f>
        <v/>
      </c>
      <c r="AC1222" s="1" t="str">
        <f>IFERROR(__xludf.DUMMYFUNCTION("""COMPUTED_VALUE"""),"")</f>
        <v/>
      </c>
      <c r="AD1222" s="1" t="str">
        <f>IFERROR(__xludf.DUMMYFUNCTION("""COMPUTED_VALUE"""),"")</f>
        <v/>
      </c>
      <c r="AE1222" s="1" t="str">
        <f>IFERROR(__xludf.DUMMYFUNCTION("""COMPUTED_VALUE"""),"")</f>
        <v/>
      </c>
      <c r="AF1222" s="1" t="str">
        <f>IFERROR(__xludf.DUMMYFUNCTION("""COMPUTED_VALUE"""),"")</f>
        <v/>
      </c>
      <c r="AG1222" s="1" t="str">
        <f>IFERROR(__xludf.DUMMYFUNCTION("""COMPUTED_VALUE"""),"")</f>
        <v/>
      </c>
      <c r="AH1222" s="1" t="str">
        <f>IFERROR(__xludf.DUMMYFUNCTION("""COMPUTED_VALUE"""),"Media Monitoring")</f>
        <v>Media Monitoring</v>
      </c>
      <c r="AI1222" s="2" t="str">
        <f>IFERROR(__xludf.DUMMYFUNCTION("""COMPUTED_VALUE"""),"https://www.wtvr.com/news/local-news/google-chesterfield-data-center-aug-27-2025#google_vignette")</f>
        <v>https://www.wtvr.com/news/local-news/google-chesterfield-data-center-aug-27-2025#google_vignette</v>
      </c>
      <c r="AJ1222" s="2" t="str">
        <f>IFERROR(__xludf.DUMMYFUNCTION("""COMPUTED_VALUE"""),"https://richmondbizsense.com/2025/08/27/breaking-news-google-planning-chesterfield-data-center-as-part-of-9b-expansion-in-virginia/")</f>
        <v>https://richmondbizsense.com/2025/08/27/breaking-news-google-planning-chesterfield-data-center-as-part-of-9b-expansion-in-virginia/</v>
      </c>
      <c r="AK1222" s="2" t="str">
        <f>IFERROR(__xludf.DUMMYFUNCTION("""COMPUTED_VALUE"""),"https://richmondbizsense.com/2025/08/28/chesterfield-scores-a-google-trifecta-tech-giant-reveals-ties-to-3-massive-sites-across-the-county/")</f>
        <v>https://richmondbizsense.com/2025/08/28/chesterfield-scores-a-google-trifecta-tech-giant-reveals-ties-to-3-massive-sites-across-the-county/</v>
      </c>
      <c r="AL1222" s="2" t="str">
        <f>IFERROR(__xludf.DUMMYFUNCTION("""COMPUTED_VALUE"""),"https://www.wtvr.com/news/local-news/google-chesterfield-data-center-update-nov-11-2025")</f>
        <v>https://www.wtvr.com/news/local-news/google-chesterfield-data-center-update-nov-11-2025</v>
      </c>
      <c r="AM1222" s="2" t="str">
        <f>IFERROR(__xludf.DUMMYFUNCTION("""COMPUTED_VALUE"""),"https://www.reddit.com/r/Virginia/comments/1n34t0p/peanut_llc_in_chesterfield_data_center_will_be/")</f>
        <v>https://www.reddit.com/r/Virginia/comments/1n34t0p/peanut_llc_in_chesterfield_data_center_will_be/</v>
      </c>
      <c r="AN1222" s="2" t="str">
        <f>IFERROR(__xludf.DUMMYFUNCTION("""COMPUTED_VALUE"""),"https://www.wric.com/news/local-news/chesterfield-county/google-site-plan-project-peanut-data-center-chesterfield")</f>
        <v>https://www.wric.com/news/local-news/chesterfield-county/google-site-plan-project-peanut-data-center-chesterfield</v>
      </c>
      <c r="AO1222" s="1" t="str">
        <f>IFERROR(__xludf.DUMMYFUNCTION("""COMPUTED_VALUE"""),"")</f>
        <v/>
      </c>
      <c r="AP1222" s="1" t="str">
        <f>IFERROR(__xludf.DUMMYFUNCTION("""COMPUTED_VALUE"""),"")</f>
        <v/>
      </c>
      <c r="AQ1222" s="1" t="str">
        <f>IFERROR(__xludf.DUMMYFUNCTION("""COMPUTED_VALUE"""),"08/27/2025")</f>
        <v>08/27/2025</v>
      </c>
      <c r="AR1222" s="1" t="str">
        <f>IFERROR(__xludf.DUMMYFUNCTION("""COMPUTED_VALUE"""),"03/16/2026")</f>
        <v>03/16/2026</v>
      </c>
    </row>
    <row r="1223">
      <c r="A1223" s="1" t="str">
        <f>IFERROR(__xludf.DUMMYFUNCTION("""COMPUTED_VALUE"""),"CoreWeave")</f>
        <v>CoreWeave</v>
      </c>
      <c r="B1223" s="1" t="str">
        <f>IFERROR(__xludf.DUMMYFUNCTION("""COMPUTED_VALUE"""),"1401 Meadowville Technology Pkwy")</f>
        <v>1401 Meadowville Technology Pkwy</v>
      </c>
      <c r="C1223" s="1" t="str">
        <f>IFERROR(__xludf.DUMMYFUNCTION("""COMPUTED_VALUE"""),"Chester")</f>
        <v>Chester</v>
      </c>
      <c r="D1223" s="1" t="str">
        <f>IFERROR(__xludf.DUMMYFUNCTION("""COMPUTED_VALUE"""),"VA")</f>
        <v>VA</v>
      </c>
      <c r="E1223" s="1" t="str">
        <f>IFERROR(__xludf.DUMMYFUNCTION("""COMPUTED_VALUE"""),"23836")</f>
        <v>23836</v>
      </c>
      <c r="F1223" s="1" t="str">
        <f>IFERROR(__xludf.DUMMYFUNCTION("""COMPUTED_VALUE"""),"Chesterfield")</f>
        <v>Chesterfield</v>
      </c>
      <c r="G1223" s="1" t="str">
        <f>IFERROR(__xludf.DUMMYFUNCTION("""COMPUTED_VALUE"""),"37.36344")</f>
        <v>37.36344</v>
      </c>
      <c r="H1223" s="1" t="str">
        <f>IFERROR(__xludf.DUMMYFUNCTION("""COMPUTED_VALUE"""),"-77.3273")</f>
        <v>-77.3273</v>
      </c>
      <c r="I1223" s="1" t="str">
        <f>IFERROR(__xludf.DUMMYFUNCTION("""COMPUTED_VALUE"""),"Proposed")</f>
        <v>Proposed</v>
      </c>
      <c r="J1223" s="1" t="str">
        <f>IFERROR(__xludf.DUMMYFUNCTION("""COMPUTED_VALUE"""),"Medium")</f>
        <v>Medium</v>
      </c>
      <c r="K1223" s="1" t="str">
        <f>IFERROR(__xludf.DUMMYFUNCTION("""COMPUTED_VALUE"""),"")</f>
        <v/>
      </c>
      <c r="L1223" s="1" t="str">
        <f>IFERROR(__xludf.DUMMYFUNCTION("""COMPUTED_VALUE"""),"")</f>
        <v/>
      </c>
      <c r="M1223" s="1" t="str">
        <f>IFERROR(__xludf.DUMMYFUNCTION("""COMPUTED_VALUE"""),"")</f>
        <v/>
      </c>
      <c r="N1223" s="1" t="str">
        <f>IFERROR(__xludf.DUMMYFUNCTION("""COMPUTED_VALUE"""),"")</f>
        <v/>
      </c>
      <c r="O1223" s="1" t="str">
        <f>IFERROR(__xludf.DUMMYFUNCTION("""COMPUTED_VALUE"""),"Unknown")</f>
        <v>Unknown</v>
      </c>
      <c r="P1223" s="1" t="str">
        <f>IFERROR(__xludf.DUMMYFUNCTION("""COMPUTED_VALUE"""),"")</f>
        <v/>
      </c>
      <c r="Q1223" s="1" t="str">
        <f>IFERROR(__xludf.DUMMYFUNCTION("""COMPUTED_VALUE"""),"")</f>
        <v/>
      </c>
      <c r="R1223" s="1" t="str">
        <f>IFERROR(__xludf.DUMMYFUNCTION("""COMPUTED_VALUE"""),"")</f>
        <v/>
      </c>
      <c r="S1223" s="1" t="str">
        <f>IFERROR(__xludf.DUMMYFUNCTION("""COMPUTED_VALUE"""),"")</f>
        <v/>
      </c>
      <c r="T1223" s="1" t="str">
        <f>IFERROR(__xludf.DUMMYFUNCTION("""COMPUTED_VALUE"""),"")</f>
        <v/>
      </c>
      <c r="U1223" s="1" t="str">
        <f>IFERROR(__xludf.DUMMYFUNCTION("""COMPUTED_VALUE"""),"")</f>
        <v/>
      </c>
      <c r="V1223" s="1" t="str">
        <f>IFERROR(__xludf.DUMMYFUNCTION("""COMPUTED_VALUE"""),"")</f>
        <v/>
      </c>
      <c r="W1223" s="1" t="str">
        <f>IFERROR(__xludf.DUMMYFUNCTION("""COMPUTED_VALUE"""),"")</f>
        <v/>
      </c>
      <c r="X1223" s="1" t="str">
        <f>IFERROR(__xludf.DUMMYFUNCTION("""COMPUTED_VALUE"""),"")</f>
        <v/>
      </c>
      <c r="Y1223" s="1" t="str">
        <f>IFERROR(__xludf.DUMMYFUNCTION("""COMPUTED_VALUE"""),"")</f>
        <v/>
      </c>
      <c r="Z1223" s="1" t="str">
        <f>IFERROR(__xludf.DUMMYFUNCTION("""COMPUTED_VALUE"""),"Unknown")</f>
        <v>Unknown</v>
      </c>
      <c r="AA1223" s="1" t="str">
        <f>IFERROR(__xludf.DUMMYFUNCTION("""COMPUTED_VALUE"""),"")</f>
        <v/>
      </c>
      <c r="AB1223" s="1" t="str">
        <f>IFERROR(__xludf.DUMMYFUNCTION("""COMPUTED_VALUE"""),"")</f>
        <v/>
      </c>
      <c r="AC1223" s="1" t="str">
        <f>IFERROR(__xludf.DUMMYFUNCTION("""COMPUTED_VALUE"""),"")</f>
        <v/>
      </c>
      <c r="AD1223" s="1" t="str">
        <f>IFERROR(__xludf.DUMMYFUNCTION("""COMPUTED_VALUE"""),"")</f>
        <v/>
      </c>
      <c r="AE1223" s="1" t="str">
        <f>IFERROR(__xludf.DUMMYFUNCTION("""COMPUTED_VALUE"""),"")</f>
        <v/>
      </c>
      <c r="AF1223" s="1" t="str">
        <f>IFERROR(__xludf.DUMMYFUNCTION("""COMPUTED_VALUE"""),"")</f>
        <v/>
      </c>
      <c r="AG1223" s="1" t="str">
        <f>IFERROR(__xludf.DUMMYFUNCTION("""COMPUTED_VALUE"""),"Build-out of existing Chirisa technology park")</f>
        <v>Build-out of existing Chirisa technology park</v>
      </c>
      <c r="AH1223" s="1" t="str">
        <f>IFERROR(__xludf.DUMMYFUNCTION("""COMPUTED_VALUE"""),"Media Monitoring")</f>
        <v>Media Monitoring</v>
      </c>
      <c r="AI1223" s="2" t="str">
        <f>IFERROR(__xludf.DUMMYFUNCTION("""COMPUTED_VALUE"""),"https://www.datacenterdynamics.com/en/news/blue-owl-led-jv-secures-750m-to-build-out-data-centers-for-coreweave/")</f>
        <v>https://www.datacenterdynamics.com/en/news/blue-owl-led-jv-secures-750m-to-build-out-data-centers-for-coreweave/</v>
      </c>
      <c r="AJ1223" s="1" t="str">
        <f>IFERROR(__xludf.DUMMYFUNCTION("""COMPUTED_VALUE"""),"")</f>
        <v/>
      </c>
      <c r="AK1223" s="1" t="str">
        <f>IFERROR(__xludf.DUMMYFUNCTION("""COMPUTED_VALUE"""),"")</f>
        <v/>
      </c>
      <c r="AL1223" s="1" t="str">
        <f>IFERROR(__xludf.DUMMYFUNCTION("""COMPUTED_VALUE"""),"")</f>
        <v/>
      </c>
      <c r="AM1223" s="1" t="str">
        <f>IFERROR(__xludf.DUMMYFUNCTION("""COMPUTED_VALUE"""),"")</f>
        <v/>
      </c>
      <c r="AN1223" s="1" t="str">
        <f>IFERROR(__xludf.DUMMYFUNCTION("""COMPUTED_VALUE"""),"")</f>
        <v/>
      </c>
      <c r="AO1223" s="1" t="str">
        <f>IFERROR(__xludf.DUMMYFUNCTION("""COMPUTED_VALUE"""),"")</f>
        <v/>
      </c>
      <c r="AP1223" s="1" t="str">
        <f>IFERROR(__xludf.DUMMYFUNCTION("""COMPUTED_VALUE"""),"")</f>
        <v/>
      </c>
      <c r="AQ1223" s="1" t="str">
        <f>IFERROR(__xludf.DUMMYFUNCTION("""COMPUTED_VALUE"""),"06/05/2025")</f>
        <v>06/05/2025</v>
      </c>
      <c r="AR1223" s="1" t="str">
        <f>IFERROR(__xludf.DUMMYFUNCTION("""COMPUTED_VALUE"""),"06/05/2025")</f>
        <v>06/05/2025</v>
      </c>
    </row>
    <row r="1224">
      <c r="A1224" s="1" t="str">
        <f>IFERROR(__xludf.DUMMYFUNCTION("""COMPUTED_VALUE"""),"Digital Fortress: Richmond")</f>
        <v>Digital Fortress: Richmond</v>
      </c>
      <c r="B1224" s="1" t="str">
        <f>IFERROR(__xludf.DUMMYFUNCTION("""COMPUTED_VALUE"""),"1401 MEADOWVILLE TECH PARKWAY")</f>
        <v>1401 MEADOWVILLE TECH PARKWAY</v>
      </c>
      <c r="C1224" s="1" t="str">
        <f>IFERROR(__xludf.DUMMYFUNCTION("""COMPUTED_VALUE"""),"Chester")</f>
        <v>Chester</v>
      </c>
      <c r="D1224" s="1" t="str">
        <f>IFERROR(__xludf.DUMMYFUNCTION("""COMPUTED_VALUE"""),"VA")</f>
        <v>VA</v>
      </c>
      <c r="E1224" s="1" t="str">
        <f>IFERROR(__xludf.DUMMYFUNCTION("""COMPUTED_VALUE"""),"23836")</f>
        <v>23836</v>
      </c>
      <c r="F1224" s="1" t="str">
        <f>IFERROR(__xludf.DUMMYFUNCTION("""COMPUTED_VALUE"""),"Chesterfield")</f>
        <v>Chesterfield</v>
      </c>
      <c r="G1224" s="1" t="str">
        <f>IFERROR(__xludf.DUMMYFUNCTION("""COMPUTED_VALUE"""),"37.36048")</f>
        <v>37.36048</v>
      </c>
      <c r="H1224" s="1" t="str">
        <f>IFERROR(__xludf.DUMMYFUNCTION("""COMPUTED_VALUE"""),"-77.32741")</f>
        <v>-77.32741</v>
      </c>
      <c r="I1224" s="1" t="str">
        <f>IFERROR(__xludf.DUMMYFUNCTION("""COMPUTED_VALUE"""),"Operating")</f>
        <v>Operating</v>
      </c>
      <c r="J1224" s="1" t="str">
        <f>IFERROR(__xludf.DUMMYFUNCTION("""COMPUTED_VALUE"""),"High")</f>
        <v>High</v>
      </c>
      <c r="K1224" s="1" t="str">
        <f>IFERROR(__xludf.DUMMYFUNCTION("""COMPUTED_VALUE"""),"")</f>
        <v/>
      </c>
      <c r="L1224" s="1" t="str">
        <f>IFERROR(__xludf.DUMMYFUNCTION("""COMPUTED_VALUE"""),"CHIRISA RICHMOND LLC")</f>
        <v>CHIRISA RICHMOND LLC</v>
      </c>
      <c r="M1224" s="1" t="str">
        <f>IFERROR(__xludf.DUMMYFUNCTION("""COMPUTED_VALUE"""),"")</f>
        <v/>
      </c>
      <c r="N1224" s="1" t="str">
        <f>IFERROR(__xludf.DUMMYFUNCTION("""COMPUTED_VALUE"""),"25")</f>
        <v>25</v>
      </c>
      <c r="O1224" s="1" t="str">
        <f>IFERROR(__xludf.DUMMYFUNCTION("""COMPUTED_VALUE"""),"Medium (11-50 MW)")</f>
        <v>Medium (11-50 MW)</v>
      </c>
      <c r="P1224" s="1" t="str">
        <f>IFERROR(__xludf.DUMMYFUNCTION("""COMPUTED_VALUE"""),"")</f>
        <v/>
      </c>
      <c r="Q1224" s="1" t="str">
        <f>IFERROR(__xludf.DUMMYFUNCTION("""COMPUTED_VALUE"""),"")</f>
        <v/>
      </c>
      <c r="R1224" s="1" t="str">
        <f>IFERROR(__xludf.DUMMYFUNCTION("""COMPUTED_VALUE"""),"")</f>
        <v/>
      </c>
      <c r="S1224" s="1" t="str">
        <f>IFERROR(__xludf.DUMMYFUNCTION("""COMPUTED_VALUE"""),"")</f>
        <v/>
      </c>
      <c r="T1224" s="1" t="str">
        <f>IFERROR(__xludf.DUMMYFUNCTION("""COMPUTED_VALUE"""),"")</f>
        <v/>
      </c>
      <c r="U1224" s="1" t="str">
        <f>IFERROR(__xludf.DUMMYFUNCTION("""COMPUTED_VALUE"""),"")</f>
        <v/>
      </c>
      <c r="V1224" s="1" t="str">
        <f>IFERROR(__xludf.DUMMYFUNCTION("""COMPUTED_VALUE"""),"242,042")</f>
        <v>242,042</v>
      </c>
      <c r="W1224" s="1" t="str">
        <f>IFERROR(__xludf.DUMMYFUNCTION("""COMPUTED_VALUE"""),"75")</f>
        <v>75</v>
      </c>
      <c r="X1224" s="1" t="str">
        <f>IFERROR(__xludf.DUMMYFUNCTION("""COMPUTED_VALUE"""),"")</f>
        <v/>
      </c>
      <c r="Y1224" s="1" t="str">
        <f>IFERROR(__xludf.DUMMYFUNCTION("""COMPUTED_VALUE"""),"")</f>
        <v/>
      </c>
      <c r="Z1224" s="1" t="str">
        <f>IFERROR(__xludf.DUMMYFUNCTION("""COMPUTED_VALUE"""),"Unknown")</f>
        <v>Unknown</v>
      </c>
      <c r="AA1224" s="1" t="str">
        <f>IFERROR(__xludf.DUMMYFUNCTION("""COMPUTED_VALUE"""),"")</f>
        <v/>
      </c>
      <c r="AB1224" s="1" t="str">
        <f>IFERROR(__xludf.DUMMYFUNCTION("""COMPUTED_VALUE"""),"")</f>
        <v/>
      </c>
      <c r="AC1224" s="1" t="str">
        <f>IFERROR(__xludf.DUMMYFUNCTION("""COMPUTED_VALUE"""),"")</f>
        <v/>
      </c>
      <c r="AD1224" s="1" t="str">
        <f>IFERROR(__xludf.DUMMYFUNCTION("""COMPUTED_VALUE"""),"")</f>
        <v/>
      </c>
      <c r="AE1224" s="1" t="str">
        <f>IFERROR(__xludf.DUMMYFUNCTION("""COMPUTED_VALUE"""),"")</f>
        <v/>
      </c>
      <c r="AF1224" s="1" t="str">
        <f>IFERROR(__xludf.DUMMYFUNCTION("""COMPUTED_VALUE"""),"")</f>
        <v/>
      </c>
      <c r="AG1224" s="1" t="str">
        <f>IFERROR(__xludf.DUMMYFUNCTION("""COMPUTED_VALUE"""),"Formerly a Capital One data center - vacated and for sale")</f>
        <v>Formerly a Capital One data center - vacated and for sale</v>
      </c>
      <c r="AH1224" s="1" t="str">
        <f>IFERROR(__xludf.DUMMYFUNCTION("""COMPUTED_VALUE"""),"PEC")</f>
        <v>PEC</v>
      </c>
      <c r="AI1224" s="2" t="str">
        <f>IFERROR(__xludf.DUMMYFUNCTION("""COMPUTED_VALUE"""),"https://www.chesterfield.gov/828/Real-Estate-Assessment-Data#/Details/823657720300000")</f>
        <v>https://www.chesterfield.gov/828/Real-Estate-Assessment-Data#/Details/823657720300000</v>
      </c>
      <c r="AJ1224" s="1" t="str">
        <f>IFERROR(__xludf.DUMMYFUNCTION("""COMPUTED_VALUE"""),"")</f>
        <v/>
      </c>
      <c r="AK1224" s="1" t="str">
        <f>IFERROR(__xludf.DUMMYFUNCTION("""COMPUTED_VALUE"""),"")</f>
        <v/>
      </c>
      <c r="AL1224" s="1" t="str">
        <f>IFERROR(__xludf.DUMMYFUNCTION("""COMPUTED_VALUE"""),"")</f>
        <v/>
      </c>
      <c r="AM1224" s="1" t="str">
        <f>IFERROR(__xludf.DUMMYFUNCTION("""COMPUTED_VALUE"""),"")</f>
        <v/>
      </c>
      <c r="AN1224" s="1" t="str">
        <f>IFERROR(__xludf.DUMMYFUNCTION("""COMPUTED_VALUE"""),"")</f>
        <v/>
      </c>
      <c r="AO1224" s="1" t="str">
        <f>IFERROR(__xludf.DUMMYFUNCTION("""COMPUTED_VALUE"""),"")</f>
        <v/>
      </c>
      <c r="AP1224" s="1" t="str">
        <f>IFERROR(__xludf.DUMMYFUNCTION("""COMPUTED_VALUE"""),"")</f>
        <v/>
      </c>
      <c r="AQ1224" s="1" t="str">
        <f>IFERROR(__xludf.DUMMYFUNCTION("""COMPUTED_VALUE"""),"04/10/2024")</f>
        <v>04/10/2024</v>
      </c>
      <c r="AR1224" s="1" t="str">
        <f>IFERROR(__xludf.DUMMYFUNCTION("""COMPUTED_VALUE"""),"10/17/2025")</f>
        <v>10/17/2025</v>
      </c>
    </row>
    <row r="1225">
      <c r="A1225" s="1" t="str">
        <f>IFERROR(__xludf.DUMMYFUNCTION("""COMPUTED_VALUE"""),"Project Peanut")</f>
        <v>Project Peanut</v>
      </c>
      <c r="B1225" s="1" t="str">
        <f>IFERROR(__xludf.DUMMYFUNCTION("""COMPUTED_VALUE"""),"2700 Bermuda Hundred Road")</f>
        <v>2700 Bermuda Hundred Road</v>
      </c>
      <c r="C1225" s="1" t="str">
        <f>IFERROR(__xludf.DUMMYFUNCTION("""COMPUTED_VALUE"""),"Chester")</f>
        <v>Chester</v>
      </c>
      <c r="D1225" s="1" t="str">
        <f>IFERROR(__xludf.DUMMYFUNCTION("""COMPUTED_VALUE"""),"VA")</f>
        <v>VA</v>
      </c>
      <c r="E1225" s="1" t="str">
        <f>IFERROR(__xludf.DUMMYFUNCTION("""COMPUTED_VALUE"""),"23836")</f>
        <v>23836</v>
      </c>
      <c r="F1225" s="1" t="str">
        <f>IFERROR(__xludf.DUMMYFUNCTION("""COMPUTED_VALUE"""),"Chesterfield")</f>
        <v>Chesterfield</v>
      </c>
      <c r="G1225" s="1" t="str">
        <f>IFERROR(__xludf.DUMMYFUNCTION("""COMPUTED_VALUE"""),"37.34457")</f>
        <v>37.34457</v>
      </c>
      <c r="H1225" s="1" t="str">
        <f>IFERROR(__xludf.DUMMYFUNCTION("""COMPUTED_VALUE"""),"-77.30399")</f>
        <v>-77.30399</v>
      </c>
      <c r="I1225" s="1" t="str">
        <f>IFERROR(__xludf.DUMMYFUNCTION("""COMPUTED_VALUE"""),"Proposed")</f>
        <v>Proposed</v>
      </c>
      <c r="J1225" s="1" t="str">
        <f>IFERROR(__xludf.DUMMYFUNCTION("""COMPUTED_VALUE"""),"High")</f>
        <v>High</v>
      </c>
      <c r="K1225" s="1" t="str">
        <f>IFERROR(__xludf.DUMMYFUNCTION("""COMPUTED_VALUE"""),"")</f>
        <v/>
      </c>
      <c r="L1225" s="1" t="str">
        <f>IFERROR(__xludf.DUMMYFUNCTION("""COMPUTED_VALUE"""),"")</f>
        <v/>
      </c>
      <c r="M1225" s="1" t="str">
        <f>IFERROR(__xludf.DUMMYFUNCTION("""COMPUTED_VALUE"""),"")</f>
        <v/>
      </c>
      <c r="N1225" s="1" t="str">
        <f>IFERROR(__xludf.DUMMYFUNCTION("""COMPUTED_VALUE"""),"")</f>
        <v/>
      </c>
      <c r="O1225" s="1" t="str">
        <f>IFERROR(__xludf.DUMMYFUNCTION("""COMPUTED_VALUE"""),"Unknown")</f>
        <v>Unknown</v>
      </c>
      <c r="P1225" s="1" t="str">
        <f>IFERROR(__xludf.DUMMYFUNCTION("""COMPUTED_VALUE"""),"")</f>
        <v/>
      </c>
      <c r="Q1225" s="1" t="str">
        <f>IFERROR(__xludf.DUMMYFUNCTION("""COMPUTED_VALUE"""),"")</f>
        <v/>
      </c>
      <c r="R1225" s="1" t="str">
        <f>IFERROR(__xludf.DUMMYFUNCTION("""COMPUTED_VALUE"""),"")</f>
        <v/>
      </c>
      <c r="S1225" s="1" t="str">
        <f>IFERROR(__xludf.DUMMYFUNCTION("""COMPUTED_VALUE"""),"")</f>
        <v/>
      </c>
      <c r="T1225" s="1" t="str">
        <f>IFERROR(__xludf.DUMMYFUNCTION("""COMPUTED_VALUE"""),"")</f>
        <v/>
      </c>
      <c r="U1225" s="1" t="str">
        <f>IFERROR(__xludf.DUMMYFUNCTION("""COMPUTED_VALUE"""),"")</f>
        <v/>
      </c>
      <c r="V1225" s="1" t="str">
        <f>IFERROR(__xludf.DUMMYFUNCTION("""COMPUTED_VALUE"""),"")</f>
        <v/>
      </c>
      <c r="W1225" s="1" t="str">
        <f>IFERROR(__xludf.DUMMYFUNCTION("""COMPUTED_VALUE"""),"300")</f>
        <v>300</v>
      </c>
      <c r="X1225" s="1" t="str">
        <f>IFERROR(__xludf.DUMMYFUNCTION("""COMPUTED_VALUE"""),"")</f>
        <v/>
      </c>
      <c r="Y1225" s="1" t="str">
        <f>IFERROR(__xludf.DUMMYFUNCTION("""COMPUTED_VALUE"""),"")</f>
        <v/>
      </c>
      <c r="Z1225" s="1" t="str">
        <f>IFERROR(__xludf.DUMMYFUNCTION("""COMPUTED_VALUE"""),"Unknown")</f>
        <v>Unknown</v>
      </c>
      <c r="AA1225" s="1" t="str">
        <f>IFERROR(__xludf.DUMMYFUNCTION("""COMPUTED_VALUE"""),"")</f>
        <v/>
      </c>
      <c r="AB1225" s="1" t="str">
        <f>IFERROR(__xludf.DUMMYFUNCTION("""COMPUTED_VALUE"""),"")</f>
        <v/>
      </c>
      <c r="AC1225" s="1" t="str">
        <f>IFERROR(__xludf.DUMMYFUNCTION("""COMPUTED_VALUE"""),"")</f>
        <v/>
      </c>
      <c r="AD1225" s="1" t="str">
        <f>IFERROR(__xludf.DUMMYFUNCTION("""COMPUTED_VALUE"""),"")</f>
        <v/>
      </c>
      <c r="AE1225" s="1" t="str">
        <f>IFERROR(__xludf.DUMMYFUNCTION("""COMPUTED_VALUE"""),"")</f>
        <v/>
      </c>
      <c r="AF1225" s="1" t="str">
        <f>IFERROR(__xludf.DUMMYFUNCTION("""COMPUTED_VALUE"""),"")</f>
        <v/>
      </c>
      <c r="AG1225" s="1" t="str">
        <f>IFERROR(__xludf.DUMMYFUNCTION("""COMPUTED_VALUE"""),"")</f>
        <v/>
      </c>
      <c r="AH1225" s="1" t="str">
        <f>IFERROR(__xludf.DUMMYFUNCTION("""COMPUTED_VALUE"""),"PEC")</f>
        <v>PEC</v>
      </c>
      <c r="AI1225" s="2" t="str">
        <f>IFERROR(__xludf.DUMMYFUNCTION("""COMPUTED_VALUE"""),"https://www.datacenterdynamics.com/en/news/google-to-invest-9bn-in-virginia-data-centers-plans-new-campus-in-chesterfield-county/")</f>
        <v>https://www.datacenterdynamics.com/en/news/google-to-invest-9bn-in-virginia-data-centers-plans-new-campus-in-chesterfield-county/</v>
      </c>
      <c r="AJ1225" s="2" t="str">
        <f>IFERROR(__xludf.DUMMYFUNCTION("""COMPUTED_VALUE"""),"https://www.chesterfield.gov/828/Real-Estate-Assessment-Data#/Details/830651308400000")</f>
        <v>https://www.chesterfield.gov/828/Real-Estate-Assessment-Data#/Details/830651308400000</v>
      </c>
      <c r="AK1225" s="1" t="str">
        <f>IFERROR(__xludf.DUMMYFUNCTION("""COMPUTED_VALUE"""),"")</f>
        <v/>
      </c>
      <c r="AL1225" s="1" t="str">
        <f>IFERROR(__xludf.DUMMYFUNCTION("""COMPUTED_VALUE"""),"")</f>
        <v/>
      </c>
      <c r="AM1225" s="1" t="str">
        <f>IFERROR(__xludf.DUMMYFUNCTION("""COMPUTED_VALUE"""),"")</f>
        <v/>
      </c>
      <c r="AN1225" s="1" t="str">
        <f>IFERROR(__xludf.DUMMYFUNCTION("""COMPUTED_VALUE"""),"")</f>
        <v/>
      </c>
      <c r="AO1225" s="1" t="str">
        <f>IFERROR(__xludf.DUMMYFUNCTION("""COMPUTED_VALUE"""),"")</f>
        <v/>
      </c>
      <c r="AP1225" s="1" t="str">
        <f>IFERROR(__xludf.DUMMYFUNCTION("""COMPUTED_VALUE"""),"")</f>
        <v/>
      </c>
      <c r="AQ1225" s="1" t="str">
        <f>IFERROR(__xludf.DUMMYFUNCTION("""COMPUTED_VALUE"""),"09/12/2025")</f>
        <v>09/12/2025</v>
      </c>
      <c r="AR1225" s="1" t="str">
        <f>IFERROR(__xludf.DUMMYFUNCTION("""COMPUTED_VALUE"""),"10/17/2025")</f>
        <v>10/17/2025</v>
      </c>
    </row>
    <row r="1226">
      <c r="A1226" s="1" t="str">
        <f>IFERROR(__xludf.DUMMYFUNCTION("""COMPUTED_VALUE"""),"Tract Data Center")</f>
        <v>Tract Data Center</v>
      </c>
      <c r="B1226" s="1" t="str">
        <f>IFERROR(__xludf.DUMMYFUNCTION("""COMPUTED_VALUE"""),"16100 Branders Bridge Rd")</f>
        <v>16100 Branders Bridge Rd</v>
      </c>
      <c r="C1226" s="1" t="str">
        <f>IFERROR(__xludf.DUMMYFUNCTION("""COMPUTED_VALUE"""),"Chester")</f>
        <v>Chester</v>
      </c>
      <c r="D1226" s="1" t="str">
        <f>IFERROR(__xludf.DUMMYFUNCTION("""COMPUTED_VALUE"""),"VA")</f>
        <v>VA</v>
      </c>
      <c r="E1226" s="1" t="str">
        <f>IFERROR(__xludf.DUMMYFUNCTION("""COMPUTED_VALUE"""),"23831")</f>
        <v>23831</v>
      </c>
      <c r="F1226" s="1" t="str">
        <f>IFERROR(__xludf.DUMMYFUNCTION("""COMPUTED_VALUE"""),"Chesterfield")</f>
        <v>Chesterfield</v>
      </c>
      <c r="G1226" s="1" t="str">
        <f>IFERROR(__xludf.DUMMYFUNCTION("""COMPUTED_VALUE"""),"37.29442")</f>
        <v>37.29442</v>
      </c>
      <c r="H1226" s="1" t="str">
        <f>IFERROR(__xludf.DUMMYFUNCTION("""COMPUTED_VALUE"""),"-77.453")</f>
        <v>-77.453</v>
      </c>
      <c r="I1226" s="1" t="str">
        <f>IFERROR(__xludf.DUMMYFUNCTION("""COMPUTED_VALUE"""),"Suspended")</f>
        <v>Suspended</v>
      </c>
      <c r="J1226" s="1" t="str">
        <f>IFERROR(__xludf.DUMMYFUNCTION("""COMPUTED_VALUE"""),"High")</f>
        <v>High</v>
      </c>
      <c r="K1226" s="1" t="str">
        <f>IFERROR(__xludf.DUMMYFUNCTION("""COMPUTED_VALUE"""),"")</f>
        <v/>
      </c>
      <c r="L1226" s="1" t="str">
        <f>IFERROR(__xludf.DUMMYFUNCTION("""COMPUTED_VALUE"""),"")</f>
        <v/>
      </c>
      <c r="M1226" s="1" t="str">
        <f>IFERROR(__xludf.DUMMYFUNCTION("""COMPUTED_VALUE"""),"")</f>
        <v/>
      </c>
      <c r="N1226" s="1" t="str">
        <f>IFERROR(__xludf.DUMMYFUNCTION("""COMPUTED_VALUE"""),"")</f>
        <v/>
      </c>
      <c r="O1226" s="1" t="str">
        <f>IFERROR(__xludf.DUMMYFUNCTION("""COMPUTED_VALUE"""),"Unknown")</f>
        <v>Unknown</v>
      </c>
      <c r="P1226" s="1" t="str">
        <f>IFERROR(__xludf.DUMMYFUNCTION("""COMPUTED_VALUE"""),"")</f>
        <v/>
      </c>
      <c r="Q1226" s="1" t="str">
        <f>IFERROR(__xludf.DUMMYFUNCTION("""COMPUTED_VALUE"""),"")</f>
        <v/>
      </c>
      <c r="R1226" s="1" t="str">
        <f>IFERROR(__xludf.DUMMYFUNCTION("""COMPUTED_VALUE"""),"")</f>
        <v/>
      </c>
      <c r="S1226" s="1" t="str">
        <f>IFERROR(__xludf.DUMMYFUNCTION("""COMPUTED_VALUE"""),"")</f>
        <v/>
      </c>
      <c r="T1226" s="1" t="str">
        <f>IFERROR(__xludf.DUMMYFUNCTION("""COMPUTED_VALUE"""),"")</f>
        <v/>
      </c>
      <c r="U1226" s="1" t="str">
        <f>IFERROR(__xludf.DUMMYFUNCTION("""COMPUTED_VALUE"""),"")</f>
        <v/>
      </c>
      <c r="V1226" s="1" t="str">
        <f>IFERROR(__xludf.DUMMYFUNCTION("""COMPUTED_VALUE"""),"")</f>
        <v/>
      </c>
      <c r="W1226" s="1" t="str">
        <f>IFERROR(__xludf.DUMMYFUNCTION("""COMPUTED_VALUE"""),"744")</f>
        <v>744</v>
      </c>
      <c r="X1226" s="1" t="str">
        <f>IFERROR(__xludf.DUMMYFUNCTION("""COMPUTED_VALUE"""),"")</f>
        <v/>
      </c>
      <c r="Y1226" s="1" t="str">
        <f>IFERROR(__xludf.DUMMYFUNCTION("""COMPUTED_VALUE"""),"")</f>
        <v/>
      </c>
      <c r="Z1226" s="1" t="str">
        <f>IFERROR(__xludf.DUMMYFUNCTION("""COMPUTED_VALUE"""),"Unknown")</f>
        <v>Unknown</v>
      </c>
      <c r="AA1226" s="1" t="str">
        <f>IFERROR(__xludf.DUMMYFUNCTION("""COMPUTED_VALUE"""),"")</f>
        <v/>
      </c>
      <c r="AB1226" s="1" t="str">
        <f>IFERROR(__xludf.DUMMYFUNCTION("""COMPUTED_VALUE"""),"")</f>
        <v/>
      </c>
      <c r="AC1226" s="1" t="str">
        <f>IFERROR(__xludf.DUMMYFUNCTION("""COMPUTED_VALUE"""),"")</f>
        <v/>
      </c>
      <c r="AD1226" s="1" t="str">
        <f>IFERROR(__xludf.DUMMYFUNCTION("""COMPUTED_VALUE"""),"")</f>
        <v/>
      </c>
      <c r="AE1226" s="1" t="str">
        <f>IFERROR(__xludf.DUMMYFUNCTION("""COMPUTED_VALUE"""),"")</f>
        <v/>
      </c>
      <c r="AF1226" s="1" t="str">
        <f>IFERROR(__xludf.DUMMYFUNCTION("""COMPUTED_VALUE"""),"")</f>
        <v/>
      </c>
      <c r="AG1226" s="1" t="str">
        <f>IFERROR(__xludf.DUMMYFUNCTION("""COMPUTED_VALUE"""),"")</f>
        <v/>
      </c>
      <c r="AH1226" s="1" t="str">
        <f>IFERROR(__xludf.DUMMYFUNCTION("""COMPUTED_VALUE"""),"Media Monitoring")</f>
        <v>Media Monitoring</v>
      </c>
      <c r="AI1226" s="2" t="str">
        <f>IFERROR(__xludf.DUMMYFUNCTION("""COMPUTED_VALUE"""),"https://www.wric.com/news/local-news/chesterfield-county/tract-withdraws-data-center-application-after-chesterfield-recommends-against-it/")</f>
        <v>https://www.wric.com/news/local-news/chesterfield-county/tract-withdraws-data-center-application-after-chesterfield-recommends-against-it/</v>
      </c>
      <c r="AJ1226" s="1" t="str">
        <f>IFERROR(__xludf.DUMMYFUNCTION("""COMPUTED_VALUE"""),"")</f>
        <v/>
      </c>
      <c r="AK1226" s="1" t="str">
        <f>IFERROR(__xludf.DUMMYFUNCTION("""COMPUTED_VALUE"""),"")</f>
        <v/>
      </c>
      <c r="AL1226" s="1" t="str">
        <f>IFERROR(__xludf.DUMMYFUNCTION("""COMPUTED_VALUE"""),"")</f>
        <v/>
      </c>
      <c r="AM1226" s="1" t="str">
        <f>IFERROR(__xludf.DUMMYFUNCTION("""COMPUTED_VALUE"""),"")</f>
        <v/>
      </c>
      <c r="AN1226" s="1" t="str">
        <f>IFERROR(__xludf.DUMMYFUNCTION("""COMPUTED_VALUE"""),"")</f>
        <v/>
      </c>
      <c r="AO1226" s="1" t="str">
        <f>IFERROR(__xludf.DUMMYFUNCTION("""COMPUTED_VALUE"""),"")</f>
        <v/>
      </c>
      <c r="AP1226" s="1" t="str">
        <f>IFERROR(__xludf.DUMMYFUNCTION("""COMPUTED_VALUE"""),"")</f>
        <v/>
      </c>
      <c r="AQ1226" s="1" t="str">
        <f>IFERROR(__xludf.DUMMYFUNCTION("""COMPUTED_VALUE"""),"07/06/2025")</f>
        <v>07/06/2025</v>
      </c>
      <c r="AR1226" s="1" t="str">
        <f>IFERROR(__xludf.DUMMYFUNCTION("""COMPUTED_VALUE"""),"07/06/2025")</f>
        <v>07/06/2025</v>
      </c>
    </row>
    <row r="1227">
      <c r="A1227" s="1" t="str">
        <f>IFERROR(__xludf.DUMMYFUNCTION("""COMPUTED_VALUE"""),"Virginia Information Technologies Agency")</f>
        <v>Virginia Information Technologies Agency</v>
      </c>
      <c r="B1227" s="1" t="str">
        <f>IFERROR(__xludf.DUMMYFUNCTION("""COMPUTED_VALUE"""),"11751 MEADOWVILLE LANE")</f>
        <v>11751 MEADOWVILLE LANE</v>
      </c>
      <c r="C1227" s="1" t="str">
        <f>IFERROR(__xludf.DUMMYFUNCTION("""COMPUTED_VALUE"""),"Chester")</f>
        <v>Chester</v>
      </c>
      <c r="D1227" s="1" t="str">
        <f>IFERROR(__xludf.DUMMYFUNCTION("""COMPUTED_VALUE"""),"VA")</f>
        <v>VA</v>
      </c>
      <c r="E1227" s="1" t="str">
        <f>IFERROR(__xludf.DUMMYFUNCTION("""COMPUTED_VALUE"""),"23836")</f>
        <v>23836</v>
      </c>
      <c r="F1227" s="1" t="str">
        <f>IFERROR(__xludf.DUMMYFUNCTION("""COMPUTED_VALUE"""),"Chesterfield")</f>
        <v>Chesterfield</v>
      </c>
      <c r="G1227" s="1" t="str">
        <f>IFERROR(__xludf.DUMMYFUNCTION("""COMPUTED_VALUE"""),"37.360416")</f>
        <v>37.360416</v>
      </c>
      <c r="H1227" s="1" t="str">
        <f>IFERROR(__xludf.DUMMYFUNCTION("""COMPUTED_VALUE"""),"-77.33178")</f>
        <v>-77.33178</v>
      </c>
      <c r="I1227" s="1" t="str">
        <f>IFERROR(__xludf.DUMMYFUNCTION("""COMPUTED_VALUE"""),"Operating")</f>
        <v>Operating</v>
      </c>
      <c r="J1227" s="1" t="str">
        <f>IFERROR(__xludf.DUMMYFUNCTION("""COMPUTED_VALUE"""),"High")</f>
        <v>High</v>
      </c>
      <c r="K1227" s="1" t="str">
        <f>IFERROR(__xludf.DUMMYFUNCTION("""COMPUTED_VALUE"""),"")</f>
        <v/>
      </c>
      <c r="L1227" s="1" t="str">
        <f>IFERROR(__xludf.DUMMYFUNCTION("""COMPUTED_VALUE"""),"SLK GLOBAL SOLUTIONS AMERICA")</f>
        <v>SLK GLOBAL SOLUTIONS AMERICA</v>
      </c>
      <c r="M1227" s="1" t="str">
        <f>IFERROR(__xludf.DUMMYFUNCTION("""COMPUTED_VALUE"""),"")</f>
        <v/>
      </c>
      <c r="N1227" s="1" t="str">
        <f>IFERROR(__xludf.DUMMYFUNCTION("""COMPUTED_VALUE"""),"")</f>
        <v/>
      </c>
      <c r="O1227" s="1" t="str">
        <f>IFERROR(__xludf.DUMMYFUNCTION("""COMPUTED_VALUE"""),"Unknown")</f>
        <v>Unknown</v>
      </c>
      <c r="P1227" s="1" t="str">
        <f>IFERROR(__xludf.DUMMYFUNCTION("""COMPUTED_VALUE"""),"")</f>
        <v/>
      </c>
      <c r="Q1227" s="1" t="str">
        <f>IFERROR(__xludf.DUMMYFUNCTION("""COMPUTED_VALUE"""),"")</f>
        <v/>
      </c>
      <c r="R1227" s="1" t="str">
        <f>IFERROR(__xludf.DUMMYFUNCTION("""COMPUTED_VALUE"""),"")</f>
        <v/>
      </c>
      <c r="S1227" s="1" t="str">
        <f>IFERROR(__xludf.DUMMYFUNCTION("""COMPUTED_VALUE"""),"")</f>
        <v/>
      </c>
      <c r="T1227" s="1" t="str">
        <f>IFERROR(__xludf.DUMMYFUNCTION("""COMPUTED_VALUE"""),"")</f>
        <v/>
      </c>
      <c r="U1227" s="1" t="str">
        <f>IFERROR(__xludf.DUMMYFUNCTION("""COMPUTED_VALUE"""),"")</f>
        <v/>
      </c>
      <c r="V1227" s="1" t="str">
        <f>IFERROR(__xludf.DUMMYFUNCTION("""COMPUTED_VALUE"""),"192,195")</f>
        <v>192,195</v>
      </c>
      <c r="W1227" s="1" t="str">
        <f>IFERROR(__xludf.DUMMYFUNCTION("""COMPUTED_VALUE"""),"28")</f>
        <v>28</v>
      </c>
      <c r="X1227" s="1" t="str">
        <f>IFERROR(__xludf.DUMMYFUNCTION("""COMPUTED_VALUE"""),"")</f>
        <v/>
      </c>
      <c r="Y1227" s="1" t="str">
        <f>IFERROR(__xludf.DUMMYFUNCTION("""COMPUTED_VALUE"""),"")</f>
        <v/>
      </c>
      <c r="Z1227" s="1" t="str">
        <f>IFERROR(__xludf.DUMMYFUNCTION("""COMPUTED_VALUE"""),"Unknown")</f>
        <v>Unknown</v>
      </c>
      <c r="AA1227" s="1" t="str">
        <f>IFERROR(__xludf.DUMMYFUNCTION("""COMPUTED_VALUE"""),"")</f>
        <v/>
      </c>
      <c r="AB1227" s="1" t="str">
        <f>IFERROR(__xludf.DUMMYFUNCTION("""COMPUTED_VALUE"""),"")</f>
        <v/>
      </c>
      <c r="AC1227" s="1" t="str">
        <f>IFERROR(__xludf.DUMMYFUNCTION("""COMPUTED_VALUE"""),"")</f>
        <v/>
      </c>
      <c r="AD1227" s="1" t="str">
        <f>IFERROR(__xludf.DUMMYFUNCTION("""COMPUTED_VALUE"""),"")</f>
        <v/>
      </c>
      <c r="AE1227" s="1" t="str">
        <f>IFERROR(__xludf.DUMMYFUNCTION("""COMPUTED_VALUE"""),"")</f>
        <v/>
      </c>
      <c r="AF1227" s="1" t="str">
        <f>IFERROR(__xludf.DUMMYFUNCTION("""COMPUTED_VALUE"""),"")</f>
        <v/>
      </c>
      <c r="AG1227" s="1" t="str">
        <f>IFERROR(__xludf.DUMMYFUNCTION("""COMPUTED_VALUE"""),"")</f>
        <v/>
      </c>
      <c r="AH1227" s="1" t="str">
        <f>IFERROR(__xludf.DUMMYFUNCTION("""COMPUTED_VALUE"""),"PEC")</f>
        <v>PEC</v>
      </c>
      <c r="AI1227" s="2" t="str">
        <f>IFERROR(__xludf.DUMMYFUNCTION("""COMPUTED_VALUE"""),"https://www.chesterfield.gov/828/Real-Estate-Assessment-Data#/Details/822656429800000")</f>
        <v>https://www.chesterfield.gov/828/Real-Estate-Assessment-Data#/Details/822656429800000</v>
      </c>
      <c r="AJ1227" s="1" t="str">
        <f>IFERROR(__xludf.DUMMYFUNCTION("""COMPUTED_VALUE"""),"")</f>
        <v/>
      </c>
      <c r="AK1227" s="1" t="str">
        <f>IFERROR(__xludf.DUMMYFUNCTION("""COMPUTED_VALUE"""),"")</f>
        <v/>
      </c>
      <c r="AL1227" s="1" t="str">
        <f>IFERROR(__xludf.DUMMYFUNCTION("""COMPUTED_VALUE"""),"")</f>
        <v/>
      </c>
      <c r="AM1227" s="1" t="str">
        <f>IFERROR(__xludf.DUMMYFUNCTION("""COMPUTED_VALUE"""),"")</f>
        <v/>
      </c>
      <c r="AN1227" s="1" t="str">
        <f>IFERROR(__xludf.DUMMYFUNCTION("""COMPUTED_VALUE"""),"")</f>
        <v/>
      </c>
      <c r="AO1227" s="1" t="str">
        <f>IFERROR(__xludf.DUMMYFUNCTION("""COMPUTED_VALUE"""),"")</f>
        <v/>
      </c>
      <c r="AP1227" s="1" t="str">
        <f>IFERROR(__xludf.DUMMYFUNCTION("""COMPUTED_VALUE"""),"")</f>
        <v/>
      </c>
      <c r="AQ1227" s="1" t="str">
        <f>IFERROR(__xludf.DUMMYFUNCTION("""COMPUTED_VALUE"""),"04/10/2024")</f>
        <v>04/10/2024</v>
      </c>
      <c r="AR1227" s="1" t="str">
        <f>IFERROR(__xludf.DUMMYFUNCTION("""COMPUTED_VALUE"""),"10/17/2025")</f>
        <v>10/17/2025</v>
      </c>
    </row>
    <row r="1228">
      <c r="A1228" s="1" t="str">
        <f>IFERROR(__xludf.DUMMYFUNCTION("""COMPUTED_VALUE"""),"Clarksville Data Center Campus")</f>
        <v>Clarksville Data Center Campus</v>
      </c>
      <c r="B1228" s="1" t="str">
        <f>IFERROR(__xludf.DUMMYFUNCTION("""COMPUTED_VALUE"""),"Commerce Dr")</f>
        <v>Commerce Dr</v>
      </c>
      <c r="C1228" s="1" t="str">
        <f>IFERROR(__xludf.DUMMYFUNCTION("""COMPUTED_VALUE"""),"Clarksville")</f>
        <v>Clarksville</v>
      </c>
      <c r="D1228" s="1" t="str">
        <f>IFERROR(__xludf.DUMMYFUNCTION("""COMPUTED_VALUE"""),"VA")</f>
        <v>VA</v>
      </c>
      <c r="E1228" s="1" t="str">
        <f>IFERROR(__xludf.DUMMYFUNCTION("""COMPUTED_VALUE"""),"23927")</f>
        <v>23927</v>
      </c>
      <c r="F1228" s="1" t="str">
        <f>IFERROR(__xludf.DUMMYFUNCTION("""COMPUTED_VALUE"""),"Mecklenburg")</f>
        <v>Mecklenburg</v>
      </c>
      <c r="G1228" s="1" t="str">
        <f>IFERROR(__xludf.DUMMYFUNCTION("""COMPUTED_VALUE"""),"36.63564")</f>
        <v>36.63564</v>
      </c>
      <c r="H1228" s="1" t="str">
        <f>IFERROR(__xludf.DUMMYFUNCTION("""COMPUTED_VALUE"""),"-78.5181")</f>
        <v>-78.5181</v>
      </c>
      <c r="I1228" s="1" t="str">
        <f>IFERROR(__xludf.DUMMYFUNCTION("""COMPUTED_VALUE"""),"Proposed")</f>
        <v>Proposed</v>
      </c>
      <c r="J1228" s="1" t="str">
        <f>IFERROR(__xludf.DUMMYFUNCTION("""COMPUTED_VALUE"""),"High")</f>
        <v>High</v>
      </c>
      <c r="K1228" s="1" t="str">
        <f>IFERROR(__xludf.DUMMYFUNCTION("""COMPUTED_VALUE"""),"")</f>
        <v/>
      </c>
      <c r="L1228" s="1" t="str">
        <f>IFERROR(__xludf.DUMMYFUNCTION("""COMPUTED_VALUE"""),"Microsoft")</f>
        <v>Microsoft</v>
      </c>
      <c r="M1228" s="1" t="str">
        <f>IFERROR(__xludf.DUMMYFUNCTION("""COMPUTED_VALUE"""),"")</f>
        <v/>
      </c>
      <c r="N1228" s="1" t="str">
        <f>IFERROR(__xludf.DUMMYFUNCTION("""COMPUTED_VALUE"""),"")</f>
        <v/>
      </c>
      <c r="O1228" s="1" t="str">
        <f>IFERROR(__xludf.DUMMYFUNCTION("""COMPUTED_VALUE"""),"Unknown")</f>
        <v>Unknown</v>
      </c>
      <c r="P1228" s="1" t="str">
        <f>IFERROR(__xludf.DUMMYFUNCTION("""COMPUTED_VALUE"""),"")</f>
        <v/>
      </c>
      <c r="Q1228" s="1" t="str">
        <f>IFERROR(__xludf.DUMMYFUNCTION("""COMPUTED_VALUE"""),"")</f>
        <v/>
      </c>
      <c r="R1228" s="1" t="str">
        <f>IFERROR(__xludf.DUMMYFUNCTION("""COMPUTED_VALUE"""),"")</f>
        <v/>
      </c>
      <c r="S1228" s="1" t="str">
        <f>IFERROR(__xludf.DUMMYFUNCTION("""COMPUTED_VALUE"""),"")</f>
        <v/>
      </c>
      <c r="T1228" s="1" t="str">
        <f>IFERROR(__xludf.DUMMYFUNCTION("""COMPUTED_VALUE"""),"")</f>
        <v/>
      </c>
      <c r="U1228" s="1" t="str">
        <f>IFERROR(__xludf.DUMMYFUNCTION("""COMPUTED_VALUE"""),"")</f>
        <v/>
      </c>
      <c r="V1228" s="1" t="str">
        <f>IFERROR(__xludf.DUMMYFUNCTION("""COMPUTED_VALUE"""),"")</f>
        <v/>
      </c>
      <c r="W1228" s="1" t="str">
        <f>IFERROR(__xludf.DUMMYFUNCTION("""COMPUTED_VALUE"""),"259")</f>
        <v>259</v>
      </c>
      <c r="X1228" s="1" t="str">
        <f>IFERROR(__xludf.DUMMYFUNCTION("""COMPUTED_VALUE"""),"")</f>
        <v/>
      </c>
      <c r="Y1228" s="1" t="str">
        <f>IFERROR(__xludf.DUMMYFUNCTION("""COMPUTED_VALUE"""),"")</f>
        <v/>
      </c>
      <c r="Z1228" s="1" t="str">
        <f>IFERROR(__xludf.DUMMYFUNCTION("""COMPUTED_VALUE"""),"Unknown")</f>
        <v>Unknown</v>
      </c>
      <c r="AA1228" s="1" t="str">
        <f>IFERROR(__xludf.DUMMYFUNCTION("""COMPUTED_VALUE"""),"")</f>
        <v/>
      </c>
      <c r="AB1228" s="1" t="str">
        <f>IFERROR(__xludf.DUMMYFUNCTION("""COMPUTED_VALUE"""),"")</f>
        <v/>
      </c>
      <c r="AC1228" s="1" t="str">
        <f>IFERROR(__xludf.DUMMYFUNCTION("""COMPUTED_VALUE"""),"")</f>
        <v/>
      </c>
      <c r="AD1228" s="1" t="str">
        <f>IFERROR(__xludf.DUMMYFUNCTION("""COMPUTED_VALUE"""),"")</f>
        <v/>
      </c>
      <c r="AE1228" s="1" t="str">
        <f>IFERROR(__xludf.DUMMYFUNCTION("""COMPUTED_VALUE"""),"")</f>
        <v/>
      </c>
      <c r="AF1228" s="1" t="str">
        <f>IFERROR(__xludf.DUMMYFUNCTION("""COMPUTED_VALUE"""),"")</f>
        <v/>
      </c>
      <c r="AG1228" s="1" t="str">
        <f>IFERROR(__xludf.DUMMYFUNCTION("""COMPUTED_VALUE"""),"")</f>
        <v/>
      </c>
      <c r="AH1228" s="1" t="str">
        <f>IFERROR(__xludf.DUMMYFUNCTION("""COMPUTED_VALUE"""),"Media Monitoring")</f>
        <v>Media Monitoring</v>
      </c>
      <c r="AI1228" s="2" t="str">
        <f>IFERROR(__xludf.DUMMYFUNCTION("""COMPUTED_VALUE"""),"https://www.datacenterdynamics.com/en/news/microsoft-files-for-another-virginia-campus-in-mecklenburg-county/")</f>
        <v>https://www.datacenterdynamics.com/en/news/microsoft-files-for-another-virginia-campus-in-mecklenburg-county/</v>
      </c>
      <c r="AJ1228" s="1" t="str">
        <f>IFERROR(__xludf.DUMMYFUNCTION("""COMPUTED_VALUE"""),"")</f>
        <v/>
      </c>
      <c r="AK1228" s="1" t="str">
        <f>IFERROR(__xludf.DUMMYFUNCTION("""COMPUTED_VALUE"""),"")</f>
        <v/>
      </c>
      <c r="AL1228" s="1" t="str">
        <f>IFERROR(__xludf.DUMMYFUNCTION("""COMPUTED_VALUE"""),"")</f>
        <v/>
      </c>
      <c r="AM1228" s="1" t="str">
        <f>IFERROR(__xludf.DUMMYFUNCTION("""COMPUTED_VALUE"""),"")</f>
        <v/>
      </c>
      <c r="AN1228" s="1" t="str">
        <f>IFERROR(__xludf.DUMMYFUNCTION("""COMPUTED_VALUE"""),"")</f>
        <v/>
      </c>
      <c r="AO1228" s="1" t="str">
        <f>IFERROR(__xludf.DUMMYFUNCTION("""COMPUTED_VALUE"""),"")</f>
        <v/>
      </c>
      <c r="AP1228" s="1" t="str">
        <f>IFERROR(__xludf.DUMMYFUNCTION("""COMPUTED_VALUE"""),"")</f>
        <v/>
      </c>
      <c r="AQ1228" s="1" t="str">
        <f>IFERROR(__xludf.DUMMYFUNCTION("""COMPUTED_VALUE"""),"05/27/2025")</f>
        <v>05/27/2025</v>
      </c>
      <c r="AR1228" s="1" t="str">
        <f>IFERROR(__xludf.DUMMYFUNCTION("""COMPUTED_VALUE"""),"05/27/2025")</f>
        <v>05/27/2025</v>
      </c>
    </row>
    <row r="1229">
      <c r="A1229" s="1" t="str">
        <f>IFERROR(__xludf.DUMMYFUNCTION("""COMPUTED_VALUE"""),"Cielo Digital Infrastructure")</f>
        <v>Cielo Digital Infrastructure</v>
      </c>
      <c r="B1229" s="1" t="str">
        <f>IFERROR(__xludf.DUMMYFUNCTION("""COMPUTED_VALUE"""),"")</f>
        <v/>
      </c>
      <c r="C1229" s="1" t="str">
        <f>IFERROR(__xludf.DUMMYFUNCTION("""COMPUTED_VALUE"""),"Culpeper")</f>
        <v>Culpeper</v>
      </c>
      <c r="D1229" s="1" t="str">
        <f>IFERROR(__xludf.DUMMYFUNCTION("""COMPUTED_VALUE"""),"VA")</f>
        <v>VA</v>
      </c>
      <c r="E1229" s="1" t="str">
        <f>IFERROR(__xludf.DUMMYFUNCTION("""COMPUTED_VALUE"""),"22701")</f>
        <v>22701</v>
      </c>
      <c r="F1229" s="1" t="str">
        <f>IFERROR(__xludf.DUMMYFUNCTION("""COMPUTED_VALUE"""),"Culpeper")</f>
        <v>Culpeper</v>
      </c>
      <c r="G1229" s="1" t="str">
        <f>IFERROR(__xludf.DUMMYFUNCTION("""COMPUTED_VALUE"""),"38.466785")</f>
        <v>38.466785</v>
      </c>
      <c r="H1229" s="1" t="str">
        <f>IFERROR(__xludf.DUMMYFUNCTION("""COMPUTED_VALUE"""),"-77.96353")</f>
        <v>-77.96353</v>
      </c>
      <c r="I1229" s="1" t="str">
        <f>IFERROR(__xludf.DUMMYFUNCTION("""COMPUTED_VALUE"""),"Proposed")</f>
        <v>Proposed</v>
      </c>
      <c r="J1229" s="1" t="str">
        <f>IFERROR(__xludf.DUMMYFUNCTION("""COMPUTED_VALUE"""),"Medium")</f>
        <v>Medium</v>
      </c>
      <c r="K1229" s="1" t="str">
        <f>IFERROR(__xludf.DUMMYFUNCTION("""COMPUTED_VALUE"""),"")</f>
        <v/>
      </c>
      <c r="L1229" s="1" t="str">
        <f>IFERROR(__xludf.DUMMYFUNCTION("""COMPUTED_VALUE"""),"Cielo Digital Infrastructure")</f>
        <v>Cielo Digital Infrastructure</v>
      </c>
      <c r="M1229" s="1" t="str">
        <f>IFERROR(__xludf.DUMMYFUNCTION("""COMPUTED_VALUE"""),"")</f>
        <v/>
      </c>
      <c r="N1229" s="1" t="str">
        <f>IFERROR(__xludf.DUMMYFUNCTION("""COMPUTED_VALUE"""),"")</f>
        <v/>
      </c>
      <c r="O1229" s="1" t="str">
        <f>IFERROR(__xludf.DUMMYFUNCTION("""COMPUTED_VALUE"""),"Unknown")</f>
        <v>Unknown</v>
      </c>
      <c r="P1229" s="1" t="str">
        <f>IFERROR(__xludf.DUMMYFUNCTION("""COMPUTED_VALUE"""),"")</f>
        <v/>
      </c>
      <c r="Q1229" s="1" t="str">
        <f>IFERROR(__xludf.DUMMYFUNCTION("""COMPUTED_VALUE"""),"")</f>
        <v/>
      </c>
      <c r="R1229" s="1" t="str">
        <f>IFERROR(__xludf.DUMMYFUNCTION("""COMPUTED_VALUE"""),"")</f>
        <v/>
      </c>
      <c r="S1229" s="1" t="str">
        <f>IFERROR(__xludf.DUMMYFUNCTION("""COMPUTED_VALUE"""),"")</f>
        <v/>
      </c>
      <c r="T1229" s="1" t="str">
        <f>IFERROR(__xludf.DUMMYFUNCTION("""COMPUTED_VALUE"""),"")</f>
        <v/>
      </c>
      <c r="U1229" s="1" t="str">
        <f>IFERROR(__xludf.DUMMYFUNCTION("""COMPUTED_VALUE"""),"")</f>
        <v/>
      </c>
      <c r="V1229" s="1" t="str">
        <f>IFERROR(__xludf.DUMMYFUNCTION("""COMPUTED_VALUE"""),"1,400,000")</f>
        <v>1,400,000</v>
      </c>
      <c r="W1229" s="1" t="str">
        <f>IFERROR(__xludf.DUMMYFUNCTION("""COMPUTED_VALUE"""),"121")</f>
        <v>121</v>
      </c>
      <c r="X1229" s="1" t="str">
        <f>IFERROR(__xludf.DUMMYFUNCTION("""COMPUTED_VALUE"""),"")</f>
        <v/>
      </c>
      <c r="Y1229" s="1" t="str">
        <f>IFERROR(__xludf.DUMMYFUNCTION("""COMPUTED_VALUE"""),"")</f>
        <v/>
      </c>
      <c r="Z1229" s="1" t="str">
        <f>IFERROR(__xludf.DUMMYFUNCTION("""COMPUTED_VALUE"""),"Unknown")</f>
        <v>Unknown</v>
      </c>
      <c r="AA1229" s="1" t="str">
        <f>IFERROR(__xludf.DUMMYFUNCTION("""COMPUTED_VALUE"""),"")</f>
        <v/>
      </c>
      <c r="AB1229" s="1" t="str">
        <f>IFERROR(__xludf.DUMMYFUNCTION("""COMPUTED_VALUE"""),"")</f>
        <v/>
      </c>
      <c r="AC1229" s="1" t="str">
        <f>IFERROR(__xludf.DUMMYFUNCTION("""COMPUTED_VALUE"""),"")</f>
        <v/>
      </c>
      <c r="AD1229" s="1" t="str">
        <f>IFERROR(__xludf.DUMMYFUNCTION("""COMPUTED_VALUE"""),"")</f>
        <v/>
      </c>
      <c r="AE1229" s="1" t="str">
        <f>IFERROR(__xludf.DUMMYFUNCTION("""COMPUTED_VALUE"""),"")</f>
        <v/>
      </c>
      <c r="AF1229" s="1" t="str">
        <f>IFERROR(__xludf.DUMMYFUNCTION("""COMPUTED_VALUE"""),"")</f>
        <v/>
      </c>
      <c r="AG1229" s="1" t="str">
        <f>IFERROR(__xludf.DUMMYFUNCTION("""COMPUTED_VALUE"""),"Project covers more than one parcel, the acreage represents the combined acreage")</f>
        <v>Project covers more than one parcel, the acreage represents the combined acreage</v>
      </c>
      <c r="AH1229" s="1" t="str">
        <f>IFERROR(__xludf.DUMMYFUNCTION("""COMPUTED_VALUE"""),"PEC")</f>
        <v>PEC</v>
      </c>
      <c r="AI1229" s="2" t="str">
        <f>IFERROR(__xludf.DUMMYFUNCTION("""COMPUTED_VALUE"""),"http://go.boarddocs.com/va/ccva/Board.nsf/goto?open&amp;id=CWBKLL525B17")</f>
        <v>http://go.boarddocs.com/va/ccva/Board.nsf/goto?open&amp;id=CWBKLL525B17</v>
      </c>
      <c r="AJ1229" s="2" t="str">
        <f>IFERROR(__xludf.DUMMYFUNCTION("""COMPUTED_VALUE"""),"https://gis.vgsi.com/culpeperva/Parcel.aspx?pid=3148")</f>
        <v>https://gis.vgsi.com/culpeperva/Parcel.aspx?pid=3148</v>
      </c>
      <c r="AK1229" s="1" t="str">
        <f>IFERROR(__xludf.DUMMYFUNCTION("""COMPUTED_VALUE"""),"")</f>
        <v/>
      </c>
      <c r="AL1229" s="1" t="str">
        <f>IFERROR(__xludf.DUMMYFUNCTION("""COMPUTED_VALUE"""),"")</f>
        <v/>
      </c>
      <c r="AM1229" s="1" t="str">
        <f>IFERROR(__xludf.DUMMYFUNCTION("""COMPUTED_VALUE"""),"")</f>
        <v/>
      </c>
      <c r="AN1229" s="1" t="str">
        <f>IFERROR(__xludf.DUMMYFUNCTION("""COMPUTED_VALUE"""),"")</f>
        <v/>
      </c>
      <c r="AO1229" s="1" t="str">
        <f>IFERROR(__xludf.DUMMYFUNCTION("""COMPUTED_VALUE"""),"")</f>
        <v/>
      </c>
      <c r="AP1229" s="1" t="str">
        <f>IFERROR(__xludf.DUMMYFUNCTION("""COMPUTED_VALUE"""),"")</f>
        <v/>
      </c>
      <c r="AQ1229" s="1" t="str">
        <f>IFERROR(__xludf.DUMMYFUNCTION("""COMPUTED_VALUE"""),"04/10/2024")</f>
        <v>04/10/2024</v>
      </c>
      <c r="AR1229" s="1" t="str">
        <f>IFERROR(__xludf.DUMMYFUNCTION("""COMPUTED_VALUE"""),"10/17/2025")</f>
        <v>10/17/2025</v>
      </c>
    </row>
    <row r="1230">
      <c r="A1230" s="1" t="str">
        <f>IFERROR(__xludf.DUMMYFUNCTION("""COMPUTED_VALUE"""),"CloudHQ")</f>
        <v>CloudHQ</v>
      </c>
      <c r="B1230" s="1" t="str">
        <f>IFERROR(__xludf.DUMMYFUNCTION("""COMPUTED_VALUE"""),"14521 MCDEVITT DR")</f>
        <v>14521 MCDEVITT DR</v>
      </c>
      <c r="C1230" s="1" t="str">
        <f>IFERROR(__xludf.DUMMYFUNCTION("""COMPUTED_VALUE"""),"Culpeper")</f>
        <v>Culpeper</v>
      </c>
      <c r="D1230" s="1" t="str">
        <f>IFERROR(__xludf.DUMMYFUNCTION("""COMPUTED_VALUE"""),"VA")</f>
        <v>VA</v>
      </c>
      <c r="E1230" s="1" t="str">
        <f>IFERROR(__xludf.DUMMYFUNCTION("""COMPUTED_VALUE"""),"22701")</f>
        <v>22701</v>
      </c>
      <c r="F1230" s="1" t="str">
        <f>IFERROR(__xludf.DUMMYFUNCTION("""COMPUTED_VALUE"""),"Culpeper")</f>
        <v>Culpeper</v>
      </c>
      <c r="G1230" s="1" t="str">
        <f>IFERROR(__xludf.DUMMYFUNCTION("""COMPUTED_VALUE"""),"38.46164")</f>
        <v>38.46164</v>
      </c>
      <c r="H1230" s="1" t="str">
        <f>IFERROR(__xludf.DUMMYFUNCTION("""COMPUTED_VALUE"""),"-77.977615")</f>
        <v>-77.977615</v>
      </c>
      <c r="I1230" s="1" t="str">
        <f>IFERROR(__xludf.DUMMYFUNCTION("""COMPUTED_VALUE"""),"Proposed")</f>
        <v>Proposed</v>
      </c>
      <c r="J1230" s="1" t="str">
        <f>IFERROR(__xludf.DUMMYFUNCTION("""COMPUTED_VALUE"""),"High")</f>
        <v>High</v>
      </c>
      <c r="K1230" s="1" t="str">
        <f>IFERROR(__xludf.DUMMYFUNCTION("""COMPUTED_VALUE"""),"")</f>
        <v/>
      </c>
      <c r="L1230" s="1" t="str">
        <f>IFERROR(__xludf.DUMMYFUNCTION("""COMPUTED_VALUE"""),"CloudHQ")</f>
        <v>CloudHQ</v>
      </c>
      <c r="M1230" s="1" t="str">
        <f>IFERROR(__xludf.DUMMYFUNCTION("""COMPUTED_VALUE"""),"")</f>
        <v/>
      </c>
      <c r="N1230" s="1" t="str">
        <f>IFERROR(__xludf.DUMMYFUNCTION("""COMPUTED_VALUE"""),"")</f>
        <v/>
      </c>
      <c r="O1230" s="1" t="str">
        <f>IFERROR(__xludf.DUMMYFUNCTION("""COMPUTED_VALUE"""),"Unknown")</f>
        <v>Unknown</v>
      </c>
      <c r="P1230" s="1" t="str">
        <f>IFERROR(__xludf.DUMMYFUNCTION("""COMPUTED_VALUE"""),"")</f>
        <v/>
      </c>
      <c r="Q1230" s="1" t="str">
        <f>IFERROR(__xludf.DUMMYFUNCTION("""COMPUTED_VALUE"""),"")</f>
        <v/>
      </c>
      <c r="R1230" s="1" t="str">
        <f>IFERROR(__xludf.DUMMYFUNCTION("""COMPUTED_VALUE"""),"")</f>
        <v/>
      </c>
      <c r="S1230" s="1" t="str">
        <f>IFERROR(__xludf.DUMMYFUNCTION("""COMPUTED_VALUE"""),"")</f>
        <v/>
      </c>
      <c r="T1230" s="1" t="str">
        <f>IFERROR(__xludf.DUMMYFUNCTION("""COMPUTED_VALUE"""),"")</f>
        <v/>
      </c>
      <c r="U1230" s="1" t="str">
        <f>IFERROR(__xludf.DUMMYFUNCTION("""COMPUTED_VALUE"""),"")</f>
        <v/>
      </c>
      <c r="V1230" s="1" t="str">
        <f>IFERROR(__xludf.DUMMYFUNCTION("""COMPUTED_VALUE"""),"2,100,000")</f>
        <v>2,100,000</v>
      </c>
      <c r="W1230" s="1" t="str">
        <f>IFERROR(__xludf.DUMMYFUNCTION("""COMPUTED_VALUE"""),"99")</f>
        <v>99</v>
      </c>
      <c r="X1230" s="1" t="str">
        <f>IFERROR(__xludf.DUMMYFUNCTION("""COMPUTED_VALUE"""),"")</f>
        <v/>
      </c>
      <c r="Y1230" s="1" t="str">
        <f>IFERROR(__xludf.DUMMYFUNCTION("""COMPUTED_VALUE"""),"")</f>
        <v/>
      </c>
      <c r="Z1230" s="1" t="str">
        <f>IFERROR(__xludf.DUMMYFUNCTION("""COMPUTED_VALUE"""),"Unknown")</f>
        <v>Unknown</v>
      </c>
      <c r="AA1230" s="1" t="str">
        <f>IFERROR(__xludf.DUMMYFUNCTION("""COMPUTED_VALUE"""),"")</f>
        <v/>
      </c>
      <c r="AB1230" s="1" t="str">
        <f>IFERROR(__xludf.DUMMYFUNCTION("""COMPUTED_VALUE"""),"")</f>
        <v/>
      </c>
      <c r="AC1230" s="1" t="str">
        <f>IFERROR(__xludf.DUMMYFUNCTION("""COMPUTED_VALUE"""),"")</f>
        <v/>
      </c>
      <c r="AD1230" s="1" t="str">
        <f>IFERROR(__xludf.DUMMYFUNCTION("""COMPUTED_VALUE"""),"")</f>
        <v/>
      </c>
      <c r="AE1230" s="1" t="str">
        <f>IFERROR(__xludf.DUMMYFUNCTION("""COMPUTED_VALUE"""),"")</f>
        <v/>
      </c>
      <c r="AF1230" s="1" t="str">
        <f>IFERROR(__xludf.DUMMYFUNCTION("""COMPUTED_VALUE"""),"")</f>
        <v/>
      </c>
      <c r="AG1230" s="1" t="str">
        <f>IFERROR(__xludf.DUMMYFUNCTION("""COMPUTED_VALUE"""),"Project covers more than one parcel, the acreage represents the combined acreage")</f>
        <v>Project covers more than one parcel, the acreage represents the combined acreage</v>
      </c>
      <c r="AH1230" s="1" t="str">
        <f>IFERROR(__xludf.DUMMYFUNCTION("""COMPUTED_VALUE"""),"PEC")</f>
        <v>PEC</v>
      </c>
      <c r="AI1230" s="2" t="str">
        <f>IFERROR(__xludf.DUMMYFUNCTION("""COMPUTED_VALUE"""),"https://www.culpeperva.org/properties/cloudhq-culpeper/#:~:text=CloudHQ%2C%20a%20global%20data%20center,of%20critical%20IT%20load%20power.")</f>
        <v>https://www.culpeperva.org/properties/cloudhq-culpeper/#:~:text=CloudHQ%2C%20a%20global%20data%20center,of%20critical%20IT%20load%20power.</v>
      </c>
      <c r="AJ1230" s="2" t="str">
        <f>IFERROR(__xludf.DUMMYFUNCTION("""COMPUTED_VALUE"""),"https://gis.vgsi.com/culpeperva/Parcel.aspx?pid=21853")</f>
        <v>https://gis.vgsi.com/culpeperva/Parcel.aspx?pid=21853</v>
      </c>
      <c r="AK1230" s="1" t="str">
        <f>IFERROR(__xludf.DUMMYFUNCTION("""COMPUTED_VALUE"""),"")</f>
        <v/>
      </c>
      <c r="AL1230" s="1" t="str">
        <f>IFERROR(__xludf.DUMMYFUNCTION("""COMPUTED_VALUE"""),"")</f>
        <v/>
      </c>
      <c r="AM1230" s="1" t="str">
        <f>IFERROR(__xludf.DUMMYFUNCTION("""COMPUTED_VALUE"""),"")</f>
        <v/>
      </c>
      <c r="AN1230" s="1" t="str">
        <f>IFERROR(__xludf.DUMMYFUNCTION("""COMPUTED_VALUE"""),"")</f>
        <v/>
      </c>
      <c r="AO1230" s="1" t="str">
        <f>IFERROR(__xludf.DUMMYFUNCTION("""COMPUTED_VALUE"""),"")</f>
        <v/>
      </c>
      <c r="AP1230" s="1" t="str">
        <f>IFERROR(__xludf.DUMMYFUNCTION("""COMPUTED_VALUE"""),"")</f>
        <v/>
      </c>
      <c r="AQ1230" s="1" t="str">
        <f>IFERROR(__xludf.DUMMYFUNCTION("""COMPUTED_VALUE"""),"04/10/2024")</f>
        <v>04/10/2024</v>
      </c>
      <c r="AR1230" s="1" t="str">
        <f>IFERROR(__xludf.DUMMYFUNCTION("""COMPUTED_VALUE"""),"10/17/2025")</f>
        <v>10/17/2025</v>
      </c>
    </row>
    <row r="1231">
      <c r="A1231" s="1" t="str">
        <f>IFERROR(__xludf.DUMMYFUNCTION("""COMPUTED_VALUE"""),"Copper Ridge")</f>
        <v>Copper Ridge</v>
      </c>
      <c r="B1231" s="1" t="str">
        <f>IFERROR(__xludf.DUMMYFUNCTION("""COMPUTED_VALUE"""),"Corner of E. Chandler and McDevitt Drive")</f>
        <v>Corner of E. Chandler and McDevitt Drive</v>
      </c>
      <c r="C1231" s="1" t="str">
        <f>IFERROR(__xludf.DUMMYFUNCTION("""COMPUTED_VALUE"""),"Culpeper")</f>
        <v>Culpeper</v>
      </c>
      <c r="D1231" s="1" t="str">
        <f>IFERROR(__xludf.DUMMYFUNCTION("""COMPUTED_VALUE"""),"VA")</f>
        <v>VA</v>
      </c>
      <c r="E1231" s="1" t="str">
        <f>IFERROR(__xludf.DUMMYFUNCTION("""COMPUTED_VALUE"""),"22701")</f>
        <v>22701</v>
      </c>
      <c r="F1231" s="1" t="str">
        <f>IFERROR(__xludf.DUMMYFUNCTION("""COMPUTED_VALUE"""),"Culpeper")</f>
        <v>Culpeper</v>
      </c>
      <c r="G1231" s="1" t="str">
        <f>IFERROR(__xludf.DUMMYFUNCTION("""COMPUTED_VALUE"""),"38.465294")</f>
        <v>38.465294</v>
      </c>
      <c r="H1231" s="1" t="str">
        <f>IFERROR(__xludf.DUMMYFUNCTION("""COMPUTED_VALUE"""),"-77.98739")</f>
        <v>-77.98739</v>
      </c>
      <c r="I1231" s="1" t="str">
        <f>IFERROR(__xludf.DUMMYFUNCTION("""COMPUTED_VALUE"""),"Proposed")</f>
        <v>Proposed</v>
      </c>
      <c r="J1231" s="1" t="str">
        <f>IFERROR(__xludf.DUMMYFUNCTION("""COMPUTED_VALUE"""),"Medium")</f>
        <v>Medium</v>
      </c>
      <c r="K1231" s="1" t="str">
        <f>IFERROR(__xludf.DUMMYFUNCTION("""COMPUTED_VALUE"""),"")</f>
        <v/>
      </c>
      <c r="L1231" s="1" t="str">
        <f>IFERROR(__xludf.DUMMYFUNCTION("""COMPUTED_VALUE"""),"")</f>
        <v/>
      </c>
      <c r="M1231" s="1" t="str">
        <f>IFERROR(__xludf.DUMMYFUNCTION("""COMPUTED_VALUE"""),"")</f>
        <v/>
      </c>
      <c r="N1231" s="1" t="str">
        <f>IFERROR(__xludf.DUMMYFUNCTION("""COMPUTED_VALUE"""),"")</f>
        <v/>
      </c>
      <c r="O1231" s="1" t="str">
        <f>IFERROR(__xludf.DUMMYFUNCTION("""COMPUTED_VALUE"""),"Unknown")</f>
        <v>Unknown</v>
      </c>
      <c r="P1231" s="1" t="str">
        <f>IFERROR(__xludf.DUMMYFUNCTION("""COMPUTED_VALUE"""),"")</f>
        <v/>
      </c>
      <c r="Q1231" s="1" t="str">
        <f>IFERROR(__xludf.DUMMYFUNCTION("""COMPUTED_VALUE"""),"")</f>
        <v/>
      </c>
      <c r="R1231" s="1" t="str">
        <f>IFERROR(__xludf.DUMMYFUNCTION("""COMPUTED_VALUE"""),"")</f>
        <v/>
      </c>
      <c r="S1231" s="1" t="str">
        <f>IFERROR(__xludf.DUMMYFUNCTION("""COMPUTED_VALUE"""),"")</f>
        <v/>
      </c>
      <c r="T1231" s="1" t="str">
        <f>IFERROR(__xludf.DUMMYFUNCTION("""COMPUTED_VALUE"""),"")</f>
        <v/>
      </c>
      <c r="U1231" s="1" t="str">
        <f>IFERROR(__xludf.DUMMYFUNCTION("""COMPUTED_VALUE"""),"")</f>
        <v/>
      </c>
      <c r="V1231" s="1" t="str">
        <f>IFERROR(__xludf.DUMMYFUNCTION("""COMPUTED_VALUE"""),"2,200,000")</f>
        <v>2,200,000</v>
      </c>
      <c r="W1231" s="1" t="str">
        <f>IFERROR(__xludf.DUMMYFUNCTION("""COMPUTED_VALUE"""),"117")</f>
        <v>117</v>
      </c>
      <c r="X1231" s="1" t="str">
        <f>IFERROR(__xludf.DUMMYFUNCTION("""COMPUTED_VALUE"""),"")</f>
        <v/>
      </c>
      <c r="Y1231" s="1" t="str">
        <f>IFERROR(__xludf.DUMMYFUNCTION("""COMPUTED_VALUE"""),"")</f>
        <v/>
      </c>
      <c r="Z1231" s="1" t="str">
        <f>IFERROR(__xludf.DUMMYFUNCTION("""COMPUTED_VALUE"""),"Unknown")</f>
        <v>Unknown</v>
      </c>
      <c r="AA1231" s="1" t="str">
        <f>IFERROR(__xludf.DUMMYFUNCTION("""COMPUTED_VALUE"""),"")</f>
        <v/>
      </c>
      <c r="AB1231" s="1" t="str">
        <f>IFERROR(__xludf.DUMMYFUNCTION("""COMPUTED_VALUE"""),"")</f>
        <v/>
      </c>
      <c r="AC1231" s="1" t="str">
        <f>IFERROR(__xludf.DUMMYFUNCTION("""COMPUTED_VALUE"""),"")</f>
        <v/>
      </c>
      <c r="AD1231" s="1" t="str">
        <f>IFERROR(__xludf.DUMMYFUNCTION("""COMPUTED_VALUE"""),"")</f>
        <v/>
      </c>
      <c r="AE1231" s="1" t="str">
        <f>IFERROR(__xludf.DUMMYFUNCTION("""COMPUTED_VALUE"""),"")</f>
        <v/>
      </c>
      <c r="AF1231" s="1" t="str">
        <f>IFERROR(__xludf.DUMMYFUNCTION("""COMPUTED_VALUE"""),"")</f>
        <v/>
      </c>
      <c r="AG1231" s="1" t="str">
        <f>IFERROR(__xludf.DUMMYFUNCTION("""COMPUTED_VALUE"""),"Project covers more than one parcel, the acreage represents the combined acreage")</f>
        <v>Project covers more than one parcel, the acreage represents the combined acreage</v>
      </c>
      <c r="AH1231" s="1" t="str">
        <f>IFERROR(__xludf.DUMMYFUNCTION("""COMPUTED_VALUE"""),"PEC")</f>
        <v>PEC</v>
      </c>
      <c r="AI1231" s="2" t="str">
        <f>IFERROR(__xludf.DUMMYFUNCTION("""COMPUTED_VALUE"""),"https://datacenterdynamics.com/en/news/amazon-granted-rezoning-approval-for-data-centers-in-culpeper-county-virginia/")</f>
        <v>https://datacenterdynamics.com/en/news/amazon-granted-rezoning-approval-for-data-centers-in-culpeper-county-virginia/</v>
      </c>
      <c r="AJ1231" s="2" t="str">
        <f>IFERROR(__xludf.DUMMYFUNCTION("""COMPUTED_VALUE"""),"https://gis.vgsi.com/culpeperva/Parcel.aspx?pid=10698")</f>
        <v>https://gis.vgsi.com/culpeperva/Parcel.aspx?pid=10698</v>
      </c>
      <c r="AK1231" s="1" t="str">
        <f>IFERROR(__xludf.DUMMYFUNCTION("""COMPUTED_VALUE"""),"")</f>
        <v/>
      </c>
      <c r="AL1231" s="1" t="str">
        <f>IFERROR(__xludf.DUMMYFUNCTION("""COMPUTED_VALUE"""),"")</f>
        <v/>
      </c>
      <c r="AM1231" s="1" t="str">
        <f>IFERROR(__xludf.DUMMYFUNCTION("""COMPUTED_VALUE"""),"")</f>
        <v/>
      </c>
      <c r="AN1231" s="1" t="str">
        <f>IFERROR(__xludf.DUMMYFUNCTION("""COMPUTED_VALUE"""),"")</f>
        <v/>
      </c>
      <c r="AO1231" s="1" t="str">
        <f>IFERROR(__xludf.DUMMYFUNCTION("""COMPUTED_VALUE"""),"")</f>
        <v/>
      </c>
      <c r="AP1231" s="1" t="str">
        <f>IFERROR(__xludf.DUMMYFUNCTION("""COMPUTED_VALUE"""),"")</f>
        <v/>
      </c>
      <c r="AQ1231" s="1" t="str">
        <f>IFERROR(__xludf.DUMMYFUNCTION("""COMPUTED_VALUE"""),"07/18/2025")</f>
        <v>07/18/2025</v>
      </c>
      <c r="AR1231" s="1" t="str">
        <f>IFERROR(__xludf.DUMMYFUNCTION("""COMPUTED_VALUE"""),"10/17/2025")</f>
        <v>10/17/2025</v>
      </c>
    </row>
    <row r="1232">
      <c r="A1232" s="1" t="str">
        <f>IFERROR(__xludf.DUMMYFUNCTION("""COMPUTED_VALUE"""),"Culpeper Data Center ")</f>
        <v>Culpeper Data Center </v>
      </c>
      <c r="B1232" s="1" t="str">
        <f>IFERROR(__xludf.DUMMYFUNCTION("""COMPUTED_VALUE"""),"Nalles Mill Rd")</f>
        <v>Nalles Mill Rd</v>
      </c>
      <c r="C1232" s="1" t="str">
        <f>IFERROR(__xludf.DUMMYFUNCTION("""COMPUTED_VALUE"""),"Culpeper")</f>
        <v>Culpeper</v>
      </c>
      <c r="D1232" s="1" t="str">
        <f>IFERROR(__xludf.DUMMYFUNCTION("""COMPUTED_VALUE"""),"VA")</f>
        <v>VA</v>
      </c>
      <c r="E1232" s="1" t="str">
        <f>IFERROR(__xludf.DUMMYFUNCTION("""COMPUTED_VALUE"""),"22701")</f>
        <v>22701</v>
      </c>
      <c r="F1232" s="1" t="str">
        <f>IFERROR(__xludf.DUMMYFUNCTION("""COMPUTED_VALUE"""),"Culpeper")</f>
        <v>Culpeper</v>
      </c>
      <c r="G1232" s="1" t="str">
        <f>IFERROR(__xludf.DUMMYFUNCTION("""COMPUTED_VALUE"""),"38.47151")</f>
        <v>38.47151</v>
      </c>
      <c r="H1232" s="1" t="str">
        <f>IFERROR(__xludf.DUMMYFUNCTION("""COMPUTED_VALUE"""),"-77.9693")</f>
        <v>-77.9693</v>
      </c>
      <c r="I1232" s="1" t="str">
        <f>IFERROR(__xludf.DUMMYFUNCTION("""COMPUTED_VALUE"""),"Proposed")</f>
        <v>Proposed</v>
      </c>
      <c r="J1232" s="1" t="str">
        <f>IFERROR(__xludf.DUMMYFUNCTION("""COMPUTED_VALUE"""),"Medium")</f>
        <v>Medium</v>
      </c>
      <c r="K1232" s="1" t="str">
        <f>IFERROR(__xludf.DUMMYFUNCTION("""COMPUTED_VALUE"""),"")</f>
        <v/>
      </c>
      <c r="L1232" s="1" t="str">
        <f>IFERROR(__xludf.DUMMYFUNCTION("""COMPUTED_VALUE"""),"")</f>
        <v/>
      </c>
      <c r="M1232" s="1" t="str">
        <f>IFERROR(__xludf.DUMMYFUNCTION("""COMPUTED_VALUE"""),"")</f>
        <v/>
      </c>
      <c r="N1232" s="1" t="str">
        <f>IFERROR(__xludf.DUMMYFUNCTION("""COMPUTED_VALUE"""),"215-432")</f>
        <v>215-432</v>
      </c>
      <c r="O1232" s="1" t="str">
        <f>IFERROR(__xludf.DUMMYFUNCTION("""COMPUTED_VALUE"""),"Hyperscale (100-999 MW)")</f>
        <v>Hyperscale (100-999 MW)</v>
      </c>
      <c r="P1232" s="1" t="str">
        <f>IFERROR(__xludf.DUMMYFUNCTION("""COMPUTED_VALUE"""),"")</f>
        <v/>
      </c>
      <c r="Q1232" s="1" t="str">
        <f>IFERROR(__xludf.DUMMYFUNCTION("""COMPUTED_VALUE"""),"")</f>
        <v/>
      </c>
      <c r="R1232" s="1" t="str">
        <f>IFERROR(__xludf.DUMMYFUNCTION("""COMPUTED_VALUE"""),"")</f>
        <v/>
      </c>
      <c r="S1232" s="1" t="str">
        <f>IFERROR(__xludf.DUMMYFUNCTION("""COMPUTED_VALUE"""),"")</f>
        <v/>
      </c>
      <c r="T1232" s="1" t="str">
        <f>IFERROR(__xludf.DUMMYFUNCTION("""COMPUTED_VALUE"""),"")</f>
        <v/>
      </c>
      <c r="U1232" s="1" t="str">
        <f>IFERROR(__xludf.DUMMYFUNCTION("""COMPUTED_VALUE"""),"")</f>
        <v/>
      </c>
      <c r="V1232" s="1" t="str">
        <f>IFERROR(__xludf.DUMMYFUNCTION("""COMPUTED_VALUE"""),"1,400,000")</f>
        <v>1,400,000</v>
      </c>
      <c r="W1232" s="1" t="str">
        <f>IFERROR(__xludf.DUMMYFUNCTION("""COMPUTED_VALUE"""),"")</f>
        <v/>
      </c>
      <c r="X1232" s="1" t="str">
        <f>IFERROR(__xludf.DUMMYFUNCTION("""COMPUTED_VALUE"""),"$18.75 million")</f>
        <v>$18.75 million</v>
      </c>
      <c r="Y1232" s="1" t="str">
        <f>IFERROR(__xludf.DUMMYFUNCTION("""COMPUTED_VALUE"""),"")</f>
        <v/>
      </c>
      <c r="Z1232" s="1" t="str">
        <f>IFERROR(__xludf.DUMMYFUNCTION("""COMPUTED_VALUE"""),"Unknown")</f>
        <v>Unknown</v>
      </c>
      <c r="AA1232" s="1" t="str">
        <f>IFERROR(__xludf.DUMMYFUNCTION("""COMPUTED_VALUE"""),"")</f>
        <v/>
      </c>
      <c r="AB1232" s="1" t="str">
        <f>IFERROR(__xludf.DUMMYFUNCTION("""COMPUTED_VALUE"""),"")</f>
        <v/>
      </c>
      <c r="AC1232" s="1" t="str">
        <f>IFERROR(__xludf.DUMMYFUNCTION("""COMPUTED_VALUE"""),"")</f>
        <v/>
      </c>
      <c r="AD1232" s="1" t="str">
        <f>IFERROR(__xludf.DUMMYFUNCTION("""COMPUTED_VALUE"""),"")</f>
        <v/>
      </c>
      <c r="AE1232" s="1" t="str">
        <f>IFERROR(__xludf.DUMMYFUNCTION("""COMPUTED_VALUE"""),"")</f>
        <v/>
      </c>
      <c r="AF1232" s="1" t="str">
        <f>IFERROR(__xludf.DUMMYFUNCTION("""COMPUTED_VALUE"""),"")</f>
        <v/>
      </c>
      <c r="AG1232" s="1" t="str">
        <f>IFERROR(__xludf.DUMMYFUNCTION("""COMPUTED_VALUE"""),"")</f>
        <v/>
      </c>
      <c r="AH1232" s="1" t="str">
        <f>IFERROR(__xludf.DUMMYFUNCTION("""COMPUTED_VALUE"""),"Media Monitoring")</f>
        <v>Media Monitoring</v>
      </c>
      <c r="AI1232" s="2" t="str">
        <f>IFERROR(__xludf.DUMMYFUNCTION("""COMPUTED_VALUE"""),"https://cieloinfra.com/insight/edgecore-acquires-cielo-data-center-project-in-culpeper-for-undisclosed-amount/")</f>
        <v>https://cieloinfra.com/insight/edgecore-acquires-cielo-data-center-project-in-culpeper-for-undisclosed-amount/</v>
      </c>
      <c r="AJ1232" s="1" t="str">
        <f>IFERROR(__xludf.DUMMYFUNCTION("""COMPUTED_VALUE"""),"")</f>
        <v/>
      </c>
      <c r="AK1232" s="1" t="str">
        <f>IFERROR(__xludf.DUMMYFUNCTION("""COMPUTED_VALUE"""),"")</f>
        <v/>
      </c>
      <c r="AL1232" s="1" t="str">
        <f>IFERROR(__xludf.DUMMYFUNCTION("""COMPUTED_VALUE"""),"")</f>
        <v/>
      </c>
      <c r="AM1232" s="1" t="str">
        <f>IFERROR(__xludf.DUMMYFUNCTION("""COMPUTED_VALUE"""),"")</f>
        <v/>
      </c>
      <c r="AN1232" s="1" t="str">
        <f>IFERROR(__xludf.DUMMYFUNCTION("""COMPUTED_VALUE"""),"")</f>
        <v/>
      </c>
      <c r="AO1232" s="1" t="str">
        <f>IFERROR(__xludf.DUMMYFUNCTION("""COMPUTED_VALUE"""),"")</f>
        <v/>
      </c>
      <c r="AP1232" s="1" t="str">
        <f>IFERROR(__xludf.DUMMYFUNCTION("""COMPUTED_VALUE"""),"")</f>
        <v/>
      </c>
      <c r="AQ1232" s="1" t="str">
        <f>IFERROR(__xludf.DUMMYFUNCTION("""COMPUTED_VALUE"""),"06/24/2025")</f>
        <v>06/24/2025</v>
      </c>
      <c r="AR1232" s="1" t="str">
        <f>IFERROR(__xludf.DUMMYFUNCTION("""COMPUTED_VALUE"""),"06/24/2025")</f>
        <v>06/24/2025</v>
      </c>
    </row>
    <row r="1233">
      <c r="A1233" s="1" t="str">
        <f>IFERROR(__xludf.DUMMYFUNCTION("""COMPUTED_VALUE"""),"Culpeper Technology Campus")</f>
        <v>Culpeper Technology Campus</v>
      </c>
      <c r="B1233" s="1" t="str">
        <f>IFERROR(__xludf.DUMMYFUNCTION("""COMPUTED_VALUE"""),"Corner of Germanna HWY and McDevitt Drive")</f>
        <v>Corner of Germanna HWY and McDevitt Drive</v>
      </c>
      <c r="C1233" s="1" t="str">
        <f>IFERROR(__xludf.DUMMYFUNCTION("""COMPUTED_VALUE"""),"Culpeper")</f>
        <v>Culpeper</v>
      </c>
      <c r="D1233" s="1" t="str">
        <f>IFERROR(__xludf.DUMMYFUNCTION("""COMPUTED_VALUE"""),"VA")</f>
        <v>VA</v>
      </c>
      <c r="E1233" s="1" t="str">
        <f>IFERROR(__xludf.DUMMYFUNCTION("""COMPUTED_VALUE"""),"22701")</f>
        <v>22701</v>
      </c>
      <c r="F1233" s="1" t="str">
        <f>IFERROR(__xludf.DUMMYFUNCTION("""COMPUTED_VALUE"""),"Culpeper")</f>
        <v>Culpeper</v>
      </c>
      <c r="G1233" s="1" t="str">
        <f>IFERROR(__xludf.DUMMYFUNCTION("""COMPUTED_VALUE"""),"38.46024")</f>
        <v>38.46024</v>
      </c>
      <c r="H1233" s="1" t="str">
        <f>IFERROR(__xludf.DUMMYFUNCTION("""COMPUTED_VALUE"""),"-77.98773")</f>
        <v>-77.98773</v>
      </c>
      <c r="I1233" s="1" t="str">
        <f>IFERROR(__xludf.DUMMYFUNCTION("""COMPUTED_VALUE"""),"Proposed")</f>
        <v>Proposed</v>
      </c>
      <c r="J1233" s="1" t="str">
        <f>IFERROR(__xludf.DUMMYFUNCTION("""COMPUTED_VALUE"""),"Medium")</f>
        <v>Medium</v>
      </c>
      <c r="K1233" s="1" t="str">
        <f>IFERROR(__xludf.DUMMYFUNCTION("""COMPUTED_VALUE"""),"")</f>
        <v/>
      </c>
      <c r="L1233" s="1" t="str">
        <f>IFERROR(__xludf.DUMMYFUNCTION("""COMPUTED_VALUE"""),"")</f>
        <v/>
      </c>
      <c r="M1233" s="1" t="str">
        <f>IFERROR(__xludf.DUMMYFUNCTION("""COMPUTED_VALUE"""),"")</f>
        <v/>
      </c>
      <c r="N1233" s="1" t="str">
        <f>IFERROR(__xludf.DUMMYFUNCTION("""COMPUTED_VALUE"""),"")</f>
        <v/>
      </c>
      <c r="O1233" s="1" t="str">
        <f>IFERROR(__xludf.DUMMYFUNCTION("""COMPUTED_VALUE"""),"Unknown")</f>
        <v>Unknown</v>
      </c>
      <c r="P1233" s="1" t="str">
        <f>IFERROR(__xludf.DUMMYFUNCTION("""COMPUTED_VALUE"""),"")</f>
        <v/>
      </c>
      <c r="Q1233" s="1" t="str">
        <f>IFERROR(__xludf.DUMMYFUNCTION("""COMPUTED_VALUE"""),"")</f>
        <v/>
      </c>
      <c r="R1233" s="1" t="str">
        <f>IFERROR(__xludf.DUMMYFUNCTION("""COMPUTED_VALUE"""),"")</f>
        <v/>
      </c>
      <c r="S1233" s="1" t="str">
        <f>IFERROR(__xludf.DUMMYFUNCTION("""COMPUTED_VALUE"""),"")</f>
        <v/>
      </c>
      <c r="T1233" s="1" t="str">
        <f>IFERROR(__xludf.DUMMYFUNCTION("""COMPUTED_VALUE"""),"")</f>
        <v/>
      </c>
      <c r="U1233" s="1" t="str">
        <f>IFERROR(__xludf.DUMMYFUNCTION("""COMPUTED_VALUE"""),"")</f>
        <v/>
      </c>
      <c r="V1233" s="1" t="str">
        <f>IFERROR(__xludf.DUMMYFUNCTION("""COMPUTED_VALUE"""),"2,100,000")</f>
        <v>2,100,000</v>
      </c>
      <c r="W1233" s="1" t="str">
        <f>IFERROR(__xludf.DUMMYFUNCTION("""COMPUTED_VALUE"""),"155")</f>
        <v>155</v>
      </c>
      <c r="X1233" s="1" t="str">
        <f>IFERROR(__xludf.DUMMYFUNCTION("""COMPUTED_VALUE"""),"")</f>
        <v/>
      </c>
      <c r="Y1233" s="1" t="str">
        <f>IFERROR(__xludf.DUMMYFUNCTION("""COMPUTED_VALUE"""),"")</f>
        <v/>
      </c>
      <c r="Z1233" s="1" t="str">
        <f>IFERROR(__xludf.DUMMYFUNCTION("""COMPUTED_VALUE"""),"Unknown")</f>
        <v>Unknown</v>
      </c>
      <c r="AA1233" s="1" t="str">
        <f>IFERROR(__xludf.DUMMYFUNCTION("""COMPUTED_VALUE"""),"")</f>
        <v/>
      </c>
      <c r="AB1233" s="1" t="str">
        <f>IFERROR(__xludf.DUMMYFUNCTION("""COMPUTED_VALUE"""),"")</f>
        <v/>
      </c>
      <c r="AC1233" s="1" t="str">
        <f>IFERROR(__xludf.DUMMYFUNCTION("""COMPUTED_VALUE"""),"")</f>
        <v/>
      </c>
      <c r="AD1233" s="1" t="str">
        <f>IFERROR(__xludf.DUMMYFUNCTION("""COMPUTED_VALUE"""),"")</f>
        <v/>
      </c>
      <c r="AE1233" s="1" t="str">
        <f>IFERROR(__xludf.DUMMYFUNCTION("""COMPUTED_VALUE"""),"")</f>
        <v/>
      </c>
      <c r="AF1233" s="1" t="str">
        <f>IFERROR(__xludf.DUMMYFUNCTION("""COMPUTED_VALUE"""),"")</f>
        <v/>
      </c>
      <c r="AG1233" s="1" t="str">
        <f>IFERROR(__xludf.DUMMYFUNCTION("""COMPUTED_VALUE"""),"Project covers more than one parcel, the acreage represents the combined acreage")</f>
        <v>Project covers more than one parcel, the acreage represents the combined acreage</v>
      </c>
      <c r="AH1233" s="1" t="str">
        <f>IFERROR(__xludf.DUMMYFUNCTION("""COMPUTED_VALUE"""),"PEC")</f>
        <v>PEC</v>
      </c>
      <c r="AI1233" s="2" t="str">
        <f>IFERROR(__xludf.DUMMYFUNCTION("""COMPUTED_VALUE"""),"https://www.bisnow.com/national/news/data-center/peterson-companies-developing-2m-sf-data-center-campus-in-northern-virginia-119735")</f>
        <v>https://www.bisnow.com/national/news/data-center/peterson-companies-developing-2m-sf-data-center-campus-in-northern-virginia-119735</v>
      </c>
      <c r="AJ1233" s="2" t="str">
        <f>IFERROR(__xludf.DUMMYFUNCTION("""COMPUTED_VALUE"""),"https://gis.vgsi.com/culpeperva/Parcel.aspx?pid=19739")</f>
        <v>https://gis.vgsi.com/culpeperva/Parcel.aspx?pid=19739</v>
      </c>
      <c r="AK1233" s="1" t="str">
        <f>IFERROR(__xludf.DUMMYFUNCTION("""COMPUTED_VALUE"""),"")</f>
        <v/>
      </c>
      <c r="AL1233" s="1" t="str">
        <f>IFERROR(__xludf.DUMMYFUNCTION("""COMPUTED_VALUE"""),"")</f>
        <v/>
      </c>
      <c r="AM1233" s="1" t="str">
        <f>IFERROR(__xludf.DUMMYFUNCTION("""COMPUTED_VALUE"""),"")</f>
        <v/>
      </c>
      <c r="AN1233" s="1" t="str">
        <f>IFERROR(__xludf.DUMMYFUNCTION("""COMPUTED_VALUE"""),"")</f>
        <v/>
      </c>
      <c r="AO1233" s="1" t="str">
        <f>IFERROR(__xludf.DUMMYFUNCTION("""COMPUTED_VALUE"""),"")</f>
        <v/>
      </c>
      <c r="AP1233" s="1" t="str">
        <f>IFERROR(__xludf.DUMMYFUNCTION("""COMPUTED_VALUE"""),"")</f>
        <v/>
      </c>
      <c r="AQ1233" s="1" t="str">
        <f>IFERROR(__xludf.DUMMYFUNCTION("""COMPUTED_VALUE"""),"07/18/2025")</f>
        <v>07/18/2025</v>
      </c>
      <c r="AR1233" s="1" t="str">
        <f>IFERROR(__xludf.DUMMYFUNCTION("""COMPUTED_VALUE"""),"10/17/2025")</f>
        <v>10/17/2025</v>
      </c>
    </row>
    <row r="1234">
      <c r="A1234" s="1" t="str">
        <f>IFERROR(__xludf.DUMMYFUNCTION("""COMPUTED_VALUE"""),"DataBank")</f>
        <v>DataBank</v>
      </c>
      <c r="B1234" s="1" t="str">
        <f>IFERROR(__xludf.DUMMYFUNCTION("""COMPUTED_VALUE"""),"14601 GERMANNA HWY")</f>
        <v>14601 GERMANNA HWY</v>
      </c>
      <c r="C1234" s="1" t="str">
        <f>IFERROR(__xludf.DUMMYFUNCTION("""COMPUTED_VALUE"""),"Culpeper")</f>
        <v>Culpeper</v>
      </c>
      <c r="D1234" s="1" t="str">
        <f>IFERROR(__xludf.DUMMYFUNCTION("""COMPUTED_VALUE"""),"VA")</f>
        <v>VA</v>
      </c>
      <c r="E1234" s="1" t="str">
        <f>IFERROR(__xludf.DUMMYFUNCTION("""COMPUTED_VALUE"""),"22701")</f>
        <v>22701</v>
      </c>
      <c r="F1234" s="1" t="str">
        <f>IFERROR(__xludf.DUMMYFUNCTION("""COMPUTED_VALUE"""),"Culpeper")</f>
        <v>Culpeper</v>
      </c>
      <c r="G1234" s="1" t="str">
        <f>IFERROR(__xludf.DUMMYFUNCTION("""COMPUTED_VALUE"""),"38.44996")</f>
        <v>38.44996</v>
      </c>
      <c r="H1234" s="1" t="str">
        <f>IFERROR(__xludf.DUMMYFUNCTION("""COMPUTED_VALUE"""),"-77.97819")</f>
        <v>-77.97819</v>
      </c>
      <c r="I1234" s="1" t="str">
        <f>IFERROR(__xludf.DUMMYFUNCTION("""COMPUTED_VALUE"""),"Proposed")</f>
        <v>Proposed</v>
      </c>
      <c r="J1234" s="1" t="str">
        <f>IFERROR(__xludf.DUMMYFUNCTION("""COMPUTED_VALUE"""),"High")</f>
        <v>High</v>
      </c>
      <c r="K1234" s="1" t="str">
        <f>IFERROR(__xludf.DUMMYFUNCTION("""COMPUTED_VALUE"""),"")</f>
        <v/>
      </c>
      <c r="L1234" s="1" t="str">
        <f>IFERROR(__xludf.DUMMYFUNCTION("""COMPUTED_VALUE"""),"")</f>
        <v/>
      </c>
      <c r="M1234" s="1" t="str">
        <f>IFERROR(__xludf.DUMMYFUNCTION("""COMPUTED_VALUE"""),"")</f>
        <v/>
      </c>
      <c r="N1234" s="1" t="str">
        <f>IFERROR(__xludf.DUMMYFUNCTION("""COMPUTED_VALUE"""),"")</f>
        <v/>
      </c>
      <c r="O1234" s="1" t="str">
        <f>IFERROR(__xludf.DUMMYFUNCTION("""COMPUTED_VALUE"""),"Unknown")</f>
        <v>Unknown</v>
      </c>
      <c r="P1234" s="1" t="str">
        <f>IFERROR(__xludf.DUMMYFUNCTION("""COMPUTED_VALUE"""),"")</f>
        <v/>
      </c>
      <c r="Q1234" s="1" t="str">
        <f>IFERROR(__xludf.DUMMYFUNCTION("""COMPUTED_VALUE"""),"")</f>
        <v/>
      </c>
      <c r="R1234" s="1" t="str">
        <f>IFERROR(__xludf.DUMMYFUNCTION("""COMPUTED_VALUE"""),"")</f>
        <v/>
      </c>
      <c r="S1234" s="1" t="str">
        <f>IFERROR(__xludf.DUMMYFUNCTION("""COMPUTED_VALUE"""),"")</f>
        <v/>
      </c>
      <c r="T1234" s="1" t="str">
        <f>IFERROR(__xludf.DUMMYFUNCTION("""COMPUTED_VALUE"""),"")</f>
        <v/>
      </c>
      <c r="U1234" s="1" t="str">
        <f>IFERROR(__xludf.DUMMYFUNCTION("""COMPUTED_VALUE"""),"")</f>
        <v/>
      </c>
      <c r="V1234" s="1" t="str">
        <f>IFERROR(__xludf.DUMMYFUNCTION("""COMPUTED_VALUE"""),"1,299,804")</f>
        <v>1,299,804</v>
      </c>
      <c r="W1234" s="1" t="str">
        <f>IFERROR(__xludf.DUMMYFUNCTION("""COMPUTED_VALUE"""),"85")</f>
        <v>85</v>
      </c>
      <c r="X1234" s="1" t="str">
        <f>IFERROR(__xludf.DUMMYFUNCTION("""COMPUTED_VALUE"""),"")</f>
        <v/>
      </c>
      <c r="Y1234" s="1" t="str">
        <f>IFERROR(__xludf.DUMMYFUNCTION("""COMPUTED_VALUE"""),"")</f>
        <v/>
      </c>
      <c r="Z1234" s="1" t="str">
        <f>IFERROR(__xludf.DUMMYFUNCTION("""COMPUTED_VALUE"""),"Unknown")</f>
        <v>Unknown</v>
      </c>
      <c r="AA1234" s="1" t="str">
        <f>IFERROR(__xludf.DUMMYFUNCTION("""COMPUTED_VALUE"""),"")</f>
        <v/>
      </c>
      <c r="AB1234" s="1" t="str">
        <f>IFERROR(__xludf.DUMMYFUNCTION("""COMPUTED_VALUE"""),"")</f>
        <v/>
      </c>
      <c r="AC1234" s="1" t="str">
        <f>IFERROR(__xludf.DUMMYFUNCTION("""COMPUTED_VALUE"""),"")</f>
        <v/>
      </c>
      <c r="AD1234" s="1" t="str">
        <f>IFERROR(__xludf.DUMMYFUNCTION("""COMPUTED_VALUE"""),"")</f>
        <v/>
      </c>
      <c r="AE1234" s="1" t="str">
        <f>IFERROR(__xludf.DUMMYFUNCTION("""COMPUTED_VALUE"""),"")</f>
        <v/>
      </c>
      <c r="AF1234" s="1" t="str">
        <f>IFERROR(__xludf.DUMMYFUNCTION("""COMPUTED_VALUE"""),"")</f>
        <v/>
      </c>
      <c r="AG1234" s="1" t="str">
        <f>IFERROR(__xludf.DUMMYFUNCTION("""COMPUTED_VALUE"""),"")</f>
        <v/>
      </c>
      <c r="AH1234" s="1" t="str">
        <f>IFERROR(__xludf.DUMMYFUNCTION("""COMPUTED_VALUE"""),"PEC")</f>
        <v>PEC</v>
      </c>
      <c r="AI1234" s="2" t="str">
        <f>IFERROR(__xludf.DUMMYFUNCTION("""COMPUTED_VALUE"""),"http://go.boarddocs.com/va/ccva/Board.nsf/goto?open&amp;id=BD5H3G466E8A")</f>
        <v>http://go.boarddocs.com/va/ccva/Board.nsf/goto?open&amp;id=BD5H3G466E8A</v>
      </c>
      <c r="AJ1234" s="2" t="str">
        <f>IFERROR(__xludf.DUMMYFUNCTION("""COMPUTED_VALUE"""),"https://gis.vgsi.com/culpeperva/Parcel.aspx?pid=11743")</f>
        <v>https://gis.vgsi.com/culpeperva/Parcel.aspx?pid=11743</v>
      </c>
      <c r="AK1234" s="1" t="str">
        <f>IFERROR(__xludf.DUMMYFUNCTION("""COMPUTED_VALUE"""),"")</f>
        <v/>
      </c>
      <c r="AL1234" s="1" t="str">
        <f>IFERROR(__xludf.DUMMYFUNCTION("""COMPUTED_VALUE"""),"")</f>
        <v/>
      </c>
      <c r="AM1234" s="1" t="str">
        <f>IFERROR(__xludf.DUMMYFUNCTION("""COMPUTED_VALUE"""),"")</f>
        <v/>
      </c>
      <c r="AN1234" s="1" t="str">
        <f>IFERROR(__xludf.DUMMYFUNCTION("""COMPUTED_VALUE"""),"")</f>
        <v/>
      </c>
      <c r="AO1234" s="1" t="str">
        <f>IFERROR(__xludf.DUMMYFUNCTION("""COMPUTED_VALUE"""),"")</f>
        <v/>
      </c>
      <c r="AP1234" s="1" t="str">
        <f>IFERROR(__xludf.DUMMYFUNCTION("""COMPUTED_VALUE"""),"")</f>
        <v/>
      </c>
      <c r="AQ1234" s="1" t="str">
        <f>IFERROR(__xludf.DUMMYFUNCTION("""COMPUTED_VALUE"""),"07/18/2025")</f>
        <v>07/18/2025</v>
      </c>
      <c r="AR1234" s="1" t="str">
        <f>IFERROR(__xludf.DUMMYFUNCTION("""COMPUTED_VALUE"""),"10/17/2025")</f>
        <v>10/17/2025</v>
      </c>
    </row>
    <row r="1235">
      <c r="A1235" s="1" t="str">
        <f>IFERROR(__xludf.DUMMYFUNCTION("""COMPUTED_VALUE"""),"Equinix Data Center")</f>
        <v>Equinix Data Center</v>
      </c>
      <c r="B1235" s="1" t="str">
        <f>IFERROR(__xludf.DUMMYFUNCTION("""COMPUTED_VALUE"""),"18155 Technology Dr")</f>
        <v>18155 Technology Dr</v>
      </c>
      <c r="C1235" s="1" t="str">
        <f>IFERROR(__xludf.DUMMYFUNCTION("""COMPUTED_VALUE"""),"Culpeper")</f>
        <v>Culpeper</v>
      </c>
      <c r="D1235" s="1" t="str">
        <f>IFERROR(__xludf.DUMMYFUNCTION("""COMPUTED_VALUE"""),"VA")</f>
        <v>VA</v>
      </c>
      <c r="E1235" s="1" t="str">
        <f>IFERROR(__xludf.DUMMYFUNCTION("""COMPUTED_VALUE"""),"22701")</f>
        <v>22701</v>
      </c>
      <c r="F1235" s="1" t="str">
        <f>IFERROR(__xludf.DUMMYFUNCTION("""COMPUTED_VALUE"""),"Culpeper")</f>
        <v>Culpeper</v>
      </c>
      <c r="G1235" s="1" t="str">
        <f>IFERROR(__xludf.DUMMYFUNCTION("""COMPUTED_VALUE"""),"38.45487")</f>
        <v>38.45487</v>
      </c>
      <c r="H1235" s="1" t="str">
        <f>IFERROR(__xludf.DUMMYFUNCTION("""COMPUTED_VALUE"""),"-77.9783")</f>
        <v>-77.9783</v>
      </c>
      <c r="I1235" s="1" t="str">
        <f>IFERROR(__xludf.DUMMYFUNCTION("""COMPUTED_VALUE"""),"Operating")</f>
        <v>Operating</v>
      </c>
      <c r="J1235" s="1" t="str">
        <f>IFERROR(__xludf.DUMMYFUNCTION("""COMPUTED_VALUE"""),"High")</f>
        <v>High</v>
      </c>
      <c r="K1235" s="1" t="str">
        <f>IFERROR(__xludf.DUMMYFUNCTION("""COMPUTED_VALUE"""),"")</f>
        <v/>
      </c>
      <c r="L1235" s="1" t="str">
        <f>IFERROR(__xludf.DUMMYFUNCTION("""COMPUTED_VALUE"""),"Equinix")</f>
        <v>Equinix</v>
      </c>
      <c r="M1235" s="1" t="str">
        <f>IFERROR(__xludf.DUMMYFUNCTION("""COMPUTED_VALUE"""),"")</f>
        <v/>
      </c>
      <c r="N1235" s="1" t="str">
        <f>IFERROR(__xludf.DUMMYFUNCTION("""COMPUTED_VALUE"""),"")</f>
        <v/>
      </c>
      <c r="O1235" s="1" t="str">
        <f>IFERROR(__xludf.DUMMYFUNCTION("""COMPUTED_VALUE"""),"Unknown")</f>
        <v>Unknown</v>
      </c>
      <c r="P1235" s="1" t="str">
        <f>IFERROR(__xludf.DUMMYFUNCTION("""COMPUTED_VALUE"""),"")</f>
        <v/>
      </c>
      <c r="Q1235" s="1" t="str">
        <f>IFERROR(__xludf.DUMMYFUNCTION("""COMPUTED_VALUE"""),"")</f>
        <v/>
      </c>
      <c r="R1235" s="1" t="str">
        <f>IFERROR(__xludf.DUMMYFUNCTION("""COMPUTED_VALUE"""),"")</f>
        <v/>
      </c>
      <c r="S1235" s="1" t="str">
        <f>IFERROR(__xludf.DUMMYFUNCTION("""COMPUTED_VALUE"""),"")</f>
        <v/>
      </c>
      <c r="T1235" s="1" t="str">
        <f>IFERROR(__xludf.DUMMYFUNCTION("""COMPUTED_VALUE"""),"")</f>
        <v/>
      </c>
      <c r="U1235" s="1" t="str">
        <f>IFERROR(__xludf.DUMMYFUNCTION("""COMPUTED_VALUE"""),"")</f>
        <v/>
      </c>
      <c r="V1235" s="1" t="str">
        <f>IFERROR(__xludf.DUMMYFUNCTION("""COMPUTED_VALUE"""),"370,000")</f>
        <v>370,000</v>
      </c>
      <c r="W1235" s="1" t="str">
        <f>IFERROR(__xludf.DUMMYFUNCTION("""COMPUTED_VALUE"""),"30")</f>
        <v>30</v>
      </c>
      <c r="X1235" s="1" t="str">
        <f>IFERROR(__xludf.DUMMYFUNCTION("""COMPUTED_VALUE"""),"")</f>
        <v/>
      </c>
      <c r="Y1235" s="1" t="str">
        <f>IFERROR(__xludf.DUMMYFUNCTION("""COMPUTED_VALUE"""),"")</f>
        <v/>
      </c>
      <c r="Z1235" s="1" t="str">
        <f>IFERROR(__xludf.DUMMYFUNCTION("""COMPUTED_VALUE"""),"Unknown")</f>
        <v>Unknown</v>
      </c>
      <c r="AA1235" s="1" t="str">
        <f>IFERROR(__xludf.DUMMYFUNCTION("""COMPUTED_VALUE"""),"")</f>
        <v/>
      </c>
      <c r="AB1235" s="1" t="str">
        <f>IFERROR(__xludf.DUMMYFUNCTION("""COMPUTED_VALUE"""),"")</f>
        <v/>
      </c>
      <c r="AC1235" s="1" t="str">
        <f>IFERROR(__xludf.DUMMYFUNCTION("""COMPUTED_VALUE"""),"")</f>
        <v/>
      </c>
      <c r="AD1235" s="1" t="str">
        <f>IFERROR(__xludf.DUMMYFUNCTION("""COMPUTED_VALUE"""),"")</f>
        <v/>
      </c>
      <c r="AE1235" s="1" t="str">
        <f>IFERROR(__xludf.DUMMYFUNCTION("""COMPUTED_VALUE"""),"")</f>
        <v/>
      </c>
      <c r="AF1235" s="1" t="str">
        <f>IFERROR(__xludf.DUMMYFUNCTION("""COMPUTED_VALUE"""),"")</f>
        <v/>
      </c>
      <c r="AG1235" s="1" t="str">
        <f>IFERROR(__xludf.DUMMYFUNCTION("""COMPUTED_VALUE"""),"")</f>
        <v/>
      </c>
      <c r="AH1235" s="1" t="str">
        <f>IFERROR(__xludf.DUMMYFUNCTION("""COMPUTED_VALUE"""),"Media Monitoring")</f>
        <v>Media Monitoring</v>
      </c>
      <c r="AI1235" s="2" t="str">
        <f>IFERROR(__xludf.DUMMYFUNCTION("""COMPUTED_VALUE"""),"https://gis.vgsi.com/culpeperva/Parcel.aspx?pid=10680")</f>
        <v>https://gis.vgsi.com/culpeperva/Parcel.aspx?pid=10680</v>
      </c>
      <c r="AJ1235" s="1" t="str">
        <f>IFERROR(__xludf.DUMMYFUNCTION("""COMPUTED_VALUE"""),"")</f>
        <v/>
      </c>
      <c r="AK1235" s="1" t="str">
        <f>IFERROR(__xludf.DUMMYFUNCTION("""COMPUTED_VALUE"""),"")</f>
        <v/>
      </c>
      <c r="AL1235" s="1" t="str">
        <f>IFERROR(__xludf.DUMMYFUNCTION("""COMPUTED_VALUE"""),"")</f>
        <v/>
      </c>
      <c r="AM1235" s="1" t="str">
        <f>IFERROR(__xludf.DUMMYFUNCTION("""COMPUTED_VALUE"""),"")</f>
        <v/>
      </c>
      <c r="AN1235" s="1" t="str">
        <f>IFERROR(__xludf.DUMMYFUNCTION("""COMPUTED_VALUE"""),"")</f>
        <v/>
      </c>
      <c r="AO1235" s="1" t="str">
        <f>IFERROR(__xludf.DUMMYFUNCTION("""COMPUTED_VALUE"""),"")</f>
        <v/>
      </c>
      <c r="AP1235" s="1" t="str">
        <f>IFERROR(__xludf.DUMMYFUNCTION("""COMPUTED_VALUE"""),"")</f>
        <v/>
      </c>
      <c r="AQ1235" s="1" t="str">
        <f>IFERROR(__xludf.DUMMYFUNCTION("""COMPUTED_VALUE"""),"06/24/2025")</f>
        <v>06/24/2025</v>
      </c>
      <c r="AR1235" s="1" t="str">
        <f>IFERROR(__xludf.DUMMYFUNCTION("""COMPUTED_VALUE"""),"06/24/2025")</f>
        <v>06/24/2025</v>
      </c>
    </row>
    <row r="1236">
      <c r="A1236" s="1" t="str">
        <f>IFERROR(__xludf.DUMMYFUNCTION("""COMPUTED_VALUE"""),"Keyser Farm")</f>
        <v>Keyser Farm</v>
      </c>
      <c r="B1236" s="1" t="str">
        <f>IFERROR(__xludf.DUMMYFUNCTION("""COMPUTED_VALUE"""),"15140 KEYSER RD")</f>
        <v>15140 KEYSER RD</v>
      </c>
      <c r="C1236" s="1" t="str">
        <f>IFERROR(__xludf.DUMMYFUNCTION("""COMPUTED_VALUE"""),"Culpeper")</f>
        <v>Culpeper</v>
      </c>
      <c r="D1236" s="1" t="str">
        <f>IFERROR(__xludf.DUMMYFUNCTION("""COMPUTED_VALUE"""),"VA")</f>
        <v>VA</v>
      </c>
      <c r="E1236" s="1" t="str">
        <f>IFERROR(__xludf.DUMMYFUNCTION("""COMPUTED_VALUE"""),"22701")</f>
        <v>22701</v>
      </c>
      <c r="F1236" s="1" t="str">
        <f>IFERROR(__xludf.DUMMYFUNCTION("""COMPUTED_VALUE"""),"Culpeper")</f>
        <v>Culpeper</v>
      </c>
      <c r="G1236" s="1" t="str">
        <f>IFERROR(__xludf.DUMMYFUNCTION("""COMPUTED_VALUE"""),"38.46971")</f>
        <v>38.46971</v>
      </c>
      <c r="H1236" s="1" t="str">
        <f>IFERROR(__xludf.DUMMYFUNCTION("""COMPUTED_VALUE"""),"-77.973755")</f>
        <v>-77.973755</v>
      </c>
      <c r="I1236" s="1" t="str">
        <f>IFERROR(__xludf.DUMMYFUNCTION("""COMPUTED_VALUE"""),"Proposed")</f>
        <v>Proposed</v>
      </c>
      <c r="J1236" s="1" t="str">
        <f>IFERROR(__xludf.DUMMYFUNCTION("""COMPUTED_VALUE"""),"High")</f>
        <v>High</v>
      </c>
      <c r="K1236" s="1" t="str">
        <f>IFERROR(__xludf.DUMMYFUNCTION("""COMPUTED_VALUE"""),"")</f>
        <v/>
      </c>
      <c r="L1236" s="1" t="str">
        <f>IFERROR(__xludf.DUMMYFUNCTION("""COMPUTED_VALUE"""),"")</f>
        <v/>
      </c>
      <c r="M1236" s="1" t="str">
        <f>IFERROR(__xludf.DUMMYFUNCTION("""COMPUTED_VALUE"""),"")</f>
        <v/>
      </c>
      <c r="N1236" s="1" t="str">
        <f>IFERROR(__xludf.DUMMYFUNCTION("""COMPUTED_VALUE"""),"")</f>
        <v/>
      </c>
      <c r="O1236" s="1" t="str">
        <f>IFERROR(__xludf.DUMMYFUNCTION("""COMPUTED_VALUE"""),"Unknown")</f>
        <v>Unknown</v>
      </c>
      <c r="P1236" s="1" t="str">
        <f>IFERROR(__xludf.DUMMYFUNCTION("""COMPUTED_VALUE"""),"")</f>
        <v/>
      </c>
      <c r="Q1236" s="1" t="str">
        <f>IFERROR(__xludf.DUMMYFUNCTION("""COMPUTED_VALUE"""),"")</f>
        <v/>
      </c>
      <c r="R1236" s="1" t="str">
        <f>IFERROR(__xludf.DUMMYFUNCTION("""COMPUTED_VALUE"""),"")</f>
        <v/>
      </c>
      <c r="S1236" s="1" t="str">
        <f>IFERROR(__xludf.DUMMYFUNCTION("""COMPUTED_VALUE"""),"")</f>
        <v/>
      </c>
      <c r="T1236" s="1" t="str">
        <f>IFERROR(__xludf.DUMMYFUNCTION("""COMPUTED_VALUE"""),"")</f>
        <v/>
      </c>
      <c r="U1236" s="1" t="str">
        <f>IFERROR(__xludf.DUMMYFUNCTION("""COMPUTED_VALUE"""),"")</f>
        <v/>
      </c>
      <c r="V1236" s="1" t="str">
        <f>IFERROR(__xludf.DUMMYFUNCTION("""COMPUTED_VALUE"""),"1,506,582")</f>
        <v>1,506,582</v>
      </c>
      <c r="W1236" s="1" t="str">
        <f>IFERROR(__xludf.DUMMYFUNCTION("""COMPUTED_VALUE"""),"62")</f>
        <v>62</v>
      </c>
      <c r="X1236" s="1" t="str">
        <f>IFERROR(__xludf.DUMMYFUNCTION("""COMPUTED_VALUE"""),"")</f>
        <v/>
      </c>
      <c r="Y1236" s="1" t="str">
        <f>IFERROR(__xludf.DUMMYFUNCTION("""COMPUTED_VALUE"""),"")</f>
        <v/>
      </c>
      <c r="Z1236" s="1" t="str">
        <f>IFERROR(__xludf.DUMMYFUNCTION("""COMPUTED_VALUE"""),"Unknown")</f>
        <v>Unknown</v>
      </c>
      <c r="AA1236" s="1" t="str">
        <f>IFERROR(__xludf.DUMMYFUNCTION("""COMPUTED_VALUE"""),"")</f>
        <v/>
      </c>
      <c r="AB1236" s="1" t="str">
        <f>IFERROR(__xludf.DUMMYFUNCTION("""COMPUTED_VALUE"""),"")</f>
        <v/>
      </c>
      <c r="AC1236" s="1" t="str">
        <f>IFERROR(__xludf.DUMMYFUNCTION("""COMPUTED_VALUE"""),"")</f>
        <v/>
      </c>
      <c r="AD1236" s="1" t="str">
        <f>IFERROR(__xludf.DUMMYFUNCTION("""COMPUTED_VALUE"""),"")</f>
        <v/>
      </c>
      <c r="AE1236" s="1" t="str">
        <f>IFERROR(__xludf.DUMMYFUNCTION("""COMPUTED_VALUE"""),"")</f>
        <v/>
      </c>
      <c r="AF1236" s="1" t="str">
        <f>IFERROR(__xludf.DUMMYFUNCTION("""COMPUTED_VALUE"""),"")</f>
        <v/>
      </c>
      <c r="AG1236" s="1" t="str">
        <f>IFERROR(__xludf.DUMMYFUNCTION("""COMPUTED_VALUE"""),"application has been filed with the county")</f>
        <v>application has been filed with the county</v>
      </c>
      <c r="AH1236" s="1" t="str">
        <f>IFERROR(__xludf.DUMMYFUNCTION("""COMPUTED_VALUE"""),"PEC")</f>
        <v>PEC</v>
      </c>
      <c r="AI1236" s="2" t="str">
        <f>IFERROR(__xludf.DUMMYFUNCTION("""COMPUTED_VALUE"""),"https://gis.vgsi.com/culpeperva/Parcel.aspx?pid=6279")</f>
        <v>https://gis.vgsi.com/culpeperva/Parcel.aspx?pid=6279</v>
      </c>
      <c r="AJ1236" s="1" t="str">
        <f>IFERROR(__xludf.DUMMYFUNCTION("""COMPUTED_VALUE"""),"")</f>
        <v/>
      </c>
      <c r="AK1236" s="1" t="str">
        <f>IFERROR(__xludf.DUMMYFUNCTION("""COMPUTED_VALUE"""),"")</f>
        <v/>
      </c>
      <c r="AL1236" s="1" t="str">
        <f>IFERROR(__xludf.DUMMYFUNCTION("""COMPUTED_VALUE"""),"")</f>
        <v/>
      </c>
      <c r="AM1236" s="1" t="str">
        <f>IFERROR(__xludf.DUMMYFUNCTION("""COMPUTED_VALUE"""),"")</f>
        <v/>
      </c>
      <c r="AN1236" s="1" t="str">
        <f>IFERROR(__xludf.DUMMYFUNCTION("""COMPUTED_VALUE"""),"")</f>
        <v/>
      </c>
      <c r="AO1236" s="1" t="str">
        <f>IFERROR(__xludf.DUMMYFUNCTION("""COMPUTED_VALUE"""),"")</f>
        <v/>
      </c>
      <c r="AP1236" s="1" t="str">
        <f>IFERROR(__xludf.DUMMYFUNCTION("""COMPUTED_VALUE"""),"")</f>
        <v/>
      </c>
      <c r="AQ1236" s="1" t="str">
        <f>IFERROR(__xludf.DUMMYFUNCTION("""COMPUTED_VALUE"""),"07/18/2025")</f>
        <v>07/18/2025</v>
      </c>
      <c r="AR1236" s="1" t="str">
        <f>IFERROR(__xludf.DUMMYFUNCTION("""COMPUTED_VALUE"""),"10/17/2025")</f>
        <v>10/17/2025</v>
      </c>
    </row>
    <row r="1237">
      <c r="A1237" s="1" t="str">
        <f>IFERROR(__xludf.DUMMYFUNCTION("""COMPUTED_VALUE"""),"SWIFT")</f>
        <v>SWIFT</v>
      </c>
      <c r="B1237" s="1" t="str">
        <f>IFERROR(__xludf.DUMMYFUNCTION("""COMPUTED_VALUE"""),"Corner of McDevitt Dr and Technology Drive")</f>
        <v>Corner of McDevitt Dr and Technology Drive</v>
      </c>
      <c r="C1237" s="1" t="str">
        <f>IFERROR(__xludf.DUMMYFUNCTION("""COMPUTED_VALUE"""),"Culpeper")</f>
        <v>Culpeper</v>
      </c>
      <c r="D1237" s="1" t="str">
        <f>IFERROR(__xludf.DUMMYFUNCTION("""COMPUTED_VALUE"""),"VA")</f>
        <v>VA</v>
      </c>
      <c r="E1237" s="1" t="str">
        <f>IFERROR(__xludf.DUMMYFUNCTION("""COMPUTED_VALUE"""),"22701")</f>
        <v>22701</v>
      </c>
      <c r="F1237" s="1" t="str">
        <f>IFERROR(__xludf.DUMMYFUNCTION("""COMPUTED_VALUE"""),"Culpeper")</f>
        <v>Culpeper</v>
      </c>
      <c r="G1237" s="1" t="str">
        <f>IFERROR(__xludf.DUMMYFUNCTION("""COMPUTED_VALUE"""),"38.45554")</f>
        <v>38.45554</v>
      </c>
      <c r="H1237" s="1" t="str">
        <f>IFERROR(__xludf.DUMMYFUNCTION("""COMPUTED_VALUE"""),"-77.98348")</f>
        <v>-77.98348</v>
      </c>
      <c r="I1237" s="1" t="str">
        <f>IFERROR(__xludf.DUMMYFUNCTION("""COMPUTED_VALUE"""),"Operating")</f>
        <v>Operating</v>
      </c>
      <c r="J1237" s="1" t="str">
        <f>IFERROR(__xludf.DUMMYFUNCTION("""COMPUTED_VALUE"""),"Medium")</f>
        <v>Medium</v>
      </c>
      <c r="K1237" s="1" t="str">
        <f>IFERROR(__xludf.DUMMYFUNCTION("""COMPUTED_VALUE"""),"")</f>
        <v/>
      </c>
      <c r="L1237" s="1" t="str">
        <f>IFERROR(__xludf.DUMMYFUNCTION("""COMPUTED_VALUE"""),"")</f>
        <v/>
      </c>
      <c r="M1237" s="1" t="str">
        <f>IFERROR(__xludf.DUMMYFUNCTION("""COMPUTED_VALUE"""),"")</f>
        <v/>
      </c>
      <c r="N1237" s="1" t="str">
        <f>IFERROR(__xludf.DUMMYFUNCTION("""COMPUTED_VALUE"""),"")</f>
        <v/>
      </c>
      <c r="O1237" s="1" t="str">
        <f>IFERROR(__xludf.DUMMYFUNCTION("""COMPUTED_VALUE"""),"Unknown")</f>
        <v>Unknown</v>
      </c>
      <c r="P1237" s="1" t="str">
        <f>IFERROR(__xludf.DUMMYFUNCTION("""COMPUTED_VALUE"""),"")</f>
        <v/>
      </c>
      <c r="Q1237" s="1" t="str">
        <f>IFERROR(__xludf.DUMMYFUNCTION("""COMPUTED_VALUE"""),"")</f>
        <v/>
      </c>
      <c r="R1237" s="1" t="str">
        <f>IFERROR(__xludf.DUMMYFUNCTION("""COMPUTED_VALUE"""),"")</f>
        <v/>
      </c>
      <c r="S1237" s="1" t="str">
        <f>IFERROR(__xludf.DUMMYFUNCTION("""COMPUTED_VALUE"""),"")</f>
        <v/>
      </c>
      <c r="T1237" s="1" t="str">
        <f>IFERROR(__xludf.DUMMYFUNCTION("""COMPUTED_VALUE"""),"")</f>
        <v/>
      </c>
      <c r="U1237" s="1" t="str">
        <f>IFERROR(__xludf.DUMMYFUNCTION("""COMPUTED_VALUE"""),"")</f>
        <v/>
      </c>
      <c r="V1237" s="1" t="str">
        <f>IFERROR(__xludf.DUMMYFUNCTION("""COMPUTED_VALUE"""),"90,000")</f>
        <v>90,000</v>
      </c>
      <c r="W1237" s="1" t="str">
        <f>IFERROR(__xludf.DUMMYFUNCTION("""COMPUTED_VALUE"""),"30")</f>
        <v>30</v>
      </c>
      <c r="X1237" s="1" t="str">
        <f>IFERROR(__xludf.DUMMYFUNCTION("""COMPUTED_VALUE"""),"")</f>
        <v/>
      </c>
      <c r="Y1237" s="1" t="str">
        <f>IFERROR(__xludf.DUMMYFUNCTION("""COMPUTED_VALUE"""),"")</f>
        <v/>
      </c>
      <c r="Z1237" s="1" t="str">
        <f>IFERROR(__xludf.DUMMYFUNCTION("""COMPUTED_VALUE"""),"Unknown")</f>
        <v>Unknown</v>
      </c>
      <c r="AA1237" s="1" t="str">
        <f>IFERROR(__xludf.DUMMYFUNCTION("""COMPUTED_VALUE"""),"")</f>
        <v/>
      </c>
      <c r="AB1237" s="1" t="str">
        <f>IFERROR(__xludf.DUMMYFUNCTION("""COMPUTED_VALUE"""),"")</f>
        <v/>
      </c>
      <c r="AC1237" s="1" t="str">
        <f>IFERROR(__xludf.DUMMYFUNCTION("""COMPUTED_VALUE"""),"")</f>
        <v/>
      </c>
      <c r="AD1237" s="1" t="str">
        <f>IFERROR(__xludf.DUMMYFUNCTION("""COMPUTED_VALUE"""),"")</f>
        <v/>
      </c>
      <c r="AE1237" s="1" t="str">
        <f>IFERROR(__xludf.DUMMYFUNCTION("""COMPUTED_VALUE"""),"")</f>
        <v/>
      </c>
      <c r="AF1237" s="1" t="str">
        <f>IFERROR(__xludf.DUMMYFUNCTION("""COMPUTED_VALUE"""),"")</f>
        <v/>
      </c>
      <c r="AG1237" s="1" t="str">
        <f>IFERROR(__xludf.DUMMYFUNCTION("""COMPUTED_VALUE"""),"")</f>
        <v/>
      </c>
      <c r="AH1237" s="1" t="str">
        <f>IFERROR(__xludf.DUMMYFUNCTION("""COMPUTED_VALUE"""),"PEC")</f>
        <v>PEC</v>
      </c>
      <c r="AI1237" s="2" t="str">
        <f>IFERROR(__xludf.DUMMYFUNCTION("""COMPUTED_VALUE"""),"https://gis.vgsi.com/culpeperva/Parcel.aspx?pid=9903")</f>
        <v>https://gis.vgsi.com/culpeperva/Parcel.aspx?pid=9903</v>
      </c>
      <c r="AJ1237" s="1" t="str">
        <f>IFERROR(__xludf.DUMMYFUNCTION("""COMPUTED_VALUE"""),"")</f>
        <v/>
      </c>
      <c r="AK1237" s="1" t="str">
        <f>IFERROR(__xludf.DUMMYFUNCTION("""COMPUTED_VALUE"""),"")</f>
        <v/>
      </c>
      <c r="AL1237" s="1" t="str">
        <f>IFERROR(__xludf.DUMMYFUNCTION("""COMPUTED_VALUE"""),"")</f>
        <v/>
      </c>
      <c r="AM1237" s="1" t="str">
        <f>IFERROR(__xludf.DUMMYFUNCTION("""COMPUTED_VALUE"""),"")</f>
        <v/>
      </c>
      <c r="AN1237" s="1" t="str">
        <f>IFERROR(__xludf.DUMMYFUNCTION("""COMPUTED_VALUE"""),"")</f>
        <v/>
      </c>
      <c r="AO1237" s="1" t="str">
        <f>IFERROR(__xludf.DUMMYFUNCTION("""COMPUTED_VALUE"""),"")</f>
        <v/>
      </c>
      <c r="AP1237" s="1" t="str">
        <f>IFERROR(__xludf.DUMMYFUNCTION("""COMPUTED_VALUE"""),"")</f>
        <v/>
      </c>
      <c r="AQ1237" s="1" t="str">
        <f>IFERROR(__xludf.DUMMYFUNCTION("""COMPUTED_VALUE"""),"07/18/2025")</f>
        <v>07/18/2025</v>
      </c>
      <c r="AR1237" s="1" t="str">
        <f>IFERROR(__xludf.DUMMYFUNCTION("""COMPUTED_VALUE"""),"10/17/2025")</f>
        <v>10/17/2025</v>
      </c>
    </row>
    <row r="1238">
      <c r="A1238" s="1" t="str">
        <f>IFERROR(__xludf.DUMMYFUNCTION("""COMPUTED_VALUE"""),"XX Tech Park")</f>
        <v>XX Tech Park</v>
      </c>
      <c r="B1238" s="1" t="str">
        <f>IFERROR(__xludf.DUMMYFUNCTION("""COMPUTED_VALUE"""),"15170 HOFFMAN LN")</f>
        <v>15170 HOFFMAN LN</v>
      </c>
      <c r="C1238" s="1" t="str">
        <f>IFERROR(__xludf.DUMMYFUNCTION("""COMPUTED_VALUE"""),"Culpeper")</f>
        <v>Culpeper</v>
      </c>
      <c r="D1238" s="1" t="str">
        <f>IFERROR(__xludf.DUMMYFUNCTION("""COMPUTED_VALUE"""),"VA")</f>
        <v>VA</v>
      </c>
      <c r="E1238" s="1" t="str">
        <f>IFERROR(__xludf.DUMMYFUNCTION("""COMPUTED_VALUE"""),"22701")</f>
        <v>22701</v>
      </c>
      <c r="F1238" s="1" t="str">
        <f>IFERROR(__xludf.DUMMYFUNCTION("""COMPUTED_VALUE"""),"Culpeper")</f>
        <v>Culpeper</v>
      </c>
      <c r="G1238" s="1" t="str">
        <f>IFERROR(__xludf.DUMMYFUNCTION("""COMPUTED_VALUE"""),"38.49927")</f>
        <v>38.49927</v>
      </c>
      <c r="H1238" s="1" t="str">
        <f>IFERROR(__xludf.DUMMYFUNCTION("""COMPUTED_VALUE"""),"-77.8971")</f>
        <v>-77.8971</v>
      </c>
      <c r="I1238" s="1" t="str">
        <f>IFERROR(__xludf.DUMMYFUNCTION("""COMPUTED_VALUE"""),"Proposed")</f>
        <v>Proposed</v>
      </c>
      <c r="J1238" s="1" t="str">
        <f>IFERROR(__xludf.DUMMYFUNCTION("""COMPUTED_VALUE"""),"High")</f>
        <v>High</v>
      </c>
      <c r="K1238" s="1" t="str">
        <f>IFERROR(__xludf.DUMMYFUNCTION("""COMPUTED_VALUE"""),"")</f>
        <v/>
      </c>
      <c r="L1238" s="1" t="str">
        <f>IFERROR(__xludf.DUMMYFUNCTION("""COMPUTED_VALUE"""),"")</f>
        <v/>
      </c>
      <c r="M1238" s="1" t="str">
        <f>IFERROR(__xludf.DUMMYFUNCTION("""COMPUTED_VALUE"""),"")</f>
        <v/>
      </c>
      <c r="N1238" s="1" t="str">
        <f>IFERROR(__xludf.DUMMYFUNCTION("""COMPUTED_VALUE"""),"")</f>
        <v/>
      </c>
      <c r="O1238" s="1" t="str">
        <f>IFERROR(__xludf.DUMMYFUNCTION("""COMPUTED_VALUE"""),"Unknown")</f>
        <v>Unknown</v>
      </c>
      <c r="P1238" s="1" t="str">
        <f>IFERROR(__xludf.DUMMYFUNCTION("""COMPUTED_VALUE"""),"")</f>
        <v/>
      </c>
      <c r="Q1238" s="1" t="str">
        <f>IFERROR(__xludf.DUMMYFUNCTION("""COMPUTED_VALUE"""),"")</f>
        <v/>
      </c>
      <c r="R1238" s="1" t="str">
        <f>IFERROR(__xludf.DUMMYFUNCTION("""COMPUTED_VALUE"""),"")</f>
        <v/>
      </c>
      <c r="S1238" s="1" t="str">
        <f>IFERROR(__xludf.DUMMYFUNCTION("""COMPUTED_VALUE"""),"")</f>
        <v/>
      </c>
      <c r="T1238" s="1" t="str">
        <f>IFERROR(__xludf.DUMMYFUNCTION("""COMPUTED_VALUE"""),"")</f>
        <v/>
      </c>
      <c r="U1238" s="1" t="str">
        <f>IFERROR(__xludf.DUMMYFUNCTION("""COMPUTED_VALUE"""),"")</f>
        <v/>
      </c>
      <c r="V1238" s="1" t="str">
        <f>IFERROR(__xludf.DUMMYFUNCTION("""COMPUTED_VALUE"""),"4,638,704")</f>
        <v>4,638,704</v>
      </c>
      <c r="W1238" s="1" t="str">
        <f>IFERROR(__xludf.DUMMYFUNCTION("""COMPUTED_VALUE"""),"352")</f>
        <v>352</v>
      </c>
      <c r="X1238" s="1" t="str">
        <f>IFERROR(__xludf.DUMMYFUNCTION("""COMPUTED_VALUE"""),"")</f>
        <v/>
      </c>
      <c r="Y1238" s="1" t="str">
        <f>IFERROR(__xludf.DUMMYFUNCTION("""COMPUTED_VALUE"""),"")</f>
        <v/>
      </c>
      <c r="Z1238" s="1" t="str">
        <f>IFERROR(__xludf.DUMMYFUNCTION("""COMPUTED_VALUE"""),"Unknown")</f>
        <v>Unknown</v>
      </c>
      <c r="AA1238" s="1" t="str">
        <f>IFERROR(__xludf.DUMMYFUNCTION("""COMPUTED_VALUE"""),"")</f>
        <v/>
      </c>
      <c r="AB1238" s="1" t="str">
        <f>IFERROR(__xludf.DUMMYFUNCTION("""COMPUTED_VALUE"""),"")</f>
        <v/>
      </c>
      <c r="AC1238" s="1" t="str">
        <f>IFERROR(__xludf.DUMMYFUNCTION("""COMPUTED_VALUE"""),"")</f>
        <v/>
      </c>
      <c r="AD1238" s="1" t="str">
        <f>IFERROR(__xludf.DUMMYFUNCTION("""COMPUTED_VALUE"""),"")</f>
        <v/>
      </c>
      <c r="AE1238" s="1" t="str">
        <f>IFERROR(__xludf.DUMMYFUNCTION("""COMPUTED_VALUE"""),"")</f>
        <v/>
      </c>
      <c r="AF1238" s="1" t="str">
        <f>IFERROR(__xludf.DUMMYFUNCTION("""COMPUTED_VALUE"""),"")</f>
        <v/>
      </c>
      <c r="AG1238" s="1" t="str">
        <f>IFERROR(__xludf.DUMMYFUNCTION("""COMPUTED_VALUE"""),"application has been filed with the county")</f>
        <v>application has been filed with the county</v>
      </c>
      <c r="AH1238" s="1" t="str">
        <f>IFERROR(__xludf.DUMMYFUNCTION("""COMPUTED_VALUE"""),"PEC")</f>
        <v>PEC</v>
      </c>
      <c r="AI1238" s="2" t="str">
        <f>IFERROR(__xludf.DUMMYFUNCTION("""COMPUTED_VALUE"""),"https://gis.vgsi.com/culpeperva/Parcel.aspx?pid=7077")</f>
        <v>https://gis.vgsi.com/culpeperva/Parcel.aspx?pid=7077</v>
      </c>
      <c r="AJ1238" s="1" t="str">
        <f>IFERROR(__xludf.DUMMYFUNCTION("""COMPUTED_VALUE"""),"")</f>
        <v/>
      </c>
      <c r="AK1238" s="1" t="str">
        <f>IFERROR(__xludf.DUMMYFUNCTION("""COMPUTED_VALUE"""),"")</f>
        <v/>
      </c>
      <c r="AL1238" s="1" t="str">
        <f>IFERROR(__xludf.DUMMYFUNCTION("""COMPUTED_VALUE"""),"")</f>
        <v/>
      </c>
      <c r="AM1238" s="1" t="str">
        <f>IFERROR(__xludf.DUMMYFUNCTION("""COMPUTED_VALUE"""),"")</f>
        <v/>
      </c>
      <c r="AN1238" s="1" t="str">
        <f>IFERROR(__xludf.DUMMYFUNCTION("""COMPUTED_VALUE"""),"")</f>
        <v/>
      </c>
      <c r="AO1238" s="1" t="str">
        <f>IFERROR(__xludf.DUMMYFUNCTION("""COMPUTED_VALUE"""),"")</f>
        <v/>
      </c>
      <c r="AP1238" s="1" t="str">
        <f>IFERROR(__xludf.DUMMYFUNCTION("""COMPUTED_VALUE"""),"")</f>
        <v/>
      </c>
      <c r="AQ1238" s="1" t="str">
        <f>IFERROR(__xludf.DUMMYFUNCTION("""COMPUTED_VALUE"""),"07/18/2025")</f>
        <v>07/18/2025</v>
      </c>
      <c r="AR1238" s="1" t="str">
        <f>IFERROR(__xludf.DUMMYFUNCTION("""COMPUTED_VALUE"""),"10/17/2025")</f>
        <v>10/17/2025</v>
      </c>
    </row>
    <row r="1239">
      <c r="A1239" s="1" t="str">
        <f>IFERROR(__xludf.DUMMYFUNCTION("""COMPUTED_VALUE"""),"Greenfield")</f>
        <v>Greenfield</v>
      </c>
      <c r="B1239" s="1" t="str">
        <f>IFERROR(__xludf.DUMMYFUNCTION("""COMPUTED_VALUE"""),"INTERNATIONAL PKWY")</f>
        <v>INTERNATIONAL PKWY</v>
      </c>
      <c r="C1239" s="1" t="str">
        <f>IFERROR(__xludf.DUMMYFUNCTION("""COMPUTED_VALUE"""),"DALEVILLE")</f>
        <v>DALEVILLE</v>
      </c>
      <c r="D1239" s="1" t="str">
        <f>IFERROR(__xludf.DUMMYFUNCTION("""COMPUTED_VALUE"""),"VA")</f>
        <v>VA</v>
      </c>
      <c r="E1239" s="1" t="str">
        <f>IFERROR(__xludf.DUMMYFUNCTION("""COMPUTED_VALUE"""),"24083")</f>
        <v>24083</v>
      </c>
      <c r="F1239" s="1" t="str">
        <f>IFERROR(__xludf.DUMMYFUNCTION("""COMPUTED_VALUE"""),"Botetourt")</f>
        <v>Botetourt</v>
      </c>
      <c r="G1239" s="1" t="str">
        <f>IFERROR(__xludf.DUMMYFUNCTION("""COMPUTED_VALUE"""),"37.441696")</f>
        <v>37.441696</v>
      </c>
      <c r="H1239" s="1" t="str">
        <f>IFERROR(__xludf.DUMMYFUNCTION("""COMPUTED_VALUE"""),"-79.9127")</f>
        <v>-79.9127</v>
      </c>
      <c r="I1239" s="1" t="str">
        <f>IFERROR(__xludf.DUMMYFUNCTION("""COMPUTED_VALUE"""),"Proposed")</f>
        <v>Proposed</v>
      </c>
      <c r="J1239" s="1" t="str">
        <f>IFERROR(__xludf.DUMMYFUNCTION("""COMPUTED_VALUE"""),"High")</f>
        <v>High</v>
      </c>
      <c r="K1239" s="1" t="str">
        <f>IFERROR(__xludf.DUMMYFUNCTION("""COMPUTED_VALUE"""),"")</f>
        <v/>
      </c>
      <c r="L1239" s="1" t="str">
        <f>IFERROR(__xludf.DUMMYFUNCTION("""COMPUTED_VALUE"""),"")</f>
        <v/>
      </c>
      <c r="M1239" s="1" t="str">
        <f>IFERROR(__xludf.DUMMYFUNCTION("""COMPUTED_VALUE"""),"")</f>
        <v/>
      </c>
      <c r="N1239" s="1" t="str">
        <f>IFERROR(__xludf.DUMMYFUNCTION("""COMPUTED_VALUE"""),"")</f>
        <v/>
      </c>
      <c r="O1239" s="1" t="str">
        <f>IFERROR(__xludf.DUMMYFUNCTION("""COMPUTED_VALUE"""),"Unknown")</f>
        <v>Unknown</v>
      </c>
      <c r="P1239" s="1" t="str">
        <f>IFERROR(__xludf.DUMMYFUNCTION("""COMPUTED_VALUE"""),"")</f>
        <v/>
      </c>
      <c r="Q1239" s="1" t="str">
        <f>IFERROR(__xludf.DUMMYFUNCTION("""COMPUTED_VALUE"""),"")</f>
        <v/>
      </c>
      <c r="R1239" s="1" t="str">
        <f>IFERROR(__xludf.DUMMYFUNCTION("""COMPUTED_VALUE"""),"")</f>
        <v/>
      </c>
      <c r="S1239" s="1" t="str">
        <f>IFERROR(__xludf.DUMMYFUNCTION("""COMPUTED_VALUE"""),"")</f>
        <v/>
      </c>
      <c r="T1239" s="1" t="str">
        <f>IFERROR(__xludf.DUMMYFUNCTION("""COMPUTED_VALUE"""),"")</f>
        <v/>
      </c>
      <c r="U1239" s="1" t="str">
        <f>IFERROR(__xludf.DUMMYFUNCTION("""COMPUTED_VALUE"""),"")</f>
        <v/>
      </c>
      <c r="V1239" s="1" t="str">
        <f>IFERROR(__xludf.DUMMYFUNCTION("""COMPUTED_VALUE"""),"")</f>
        <v/>
      </c>
      <c r="W1239" s="1" t="str">
        <f>IFERROR(__xludf.DUMMYFUNCTION("""COMPUTED_VALUE"""),"312")</f>
        <v>312</v>
      </c>
      <c r="X1239" s="1" t="str">
        <f>IFERROR(__xludf.DUMMYFUNCTION("""COMPUTED_VALUE"""),"")</f>
        <v/>
      </c>
      <c r="Y1239" s="1" t="str">
        <f>IFERROR(__xludf.DUMMYFUNCTION("""COMPUTED_VALUE"""),"")</f>
        <v/>
      </c>
      <c r="Z1239" s="1" t="str">
        <f>IFERROR(__xludf.DUMMYFUNCTION("""COMPUTED_VALUE"""),"Unknown")</f>
        <v>Unknown</v>
      </c>
      <c r="AA1239" s="1" t="str">
        <f>IFERROR(__xludf.DUMMYFUNCTION("""COMPUTED_VALUE"""),"")</f>
        <v/>
      </c>
      <c r="AB1239" s="1" t="str">
        <f>IFERROR(__xludf.DUMMYFUNCTION("""COMPUTED_VALUE"""),"")</f>
        <v/>
      </c>
      <c r="AC1239" s="1" t="str">
        <f>IFERROR(__xludf.DUMMYFUNCTION("""COMPUTED_VALUE"""),"")</f>
        <v/>
      </c>
      <c r="AD1239" s="1" t="str">
        <f>IFERROR(__xludf.DUMMYFUNCTION("""COMPUTED_VALUE"""),"")</f>
        <v/>
      </c>
      <c r="AE1239" s="1" t="str">
        <f>IFERROR(__xludf.DUMMYFUNCTION("""COMPUTED_VALUE"""),"")</f>
        <v/>
      </c>
      <c r="AF1239" s="1" t="str">
        <f>IFERROR(__xludf.DUMMYFUNCTION("""COMPUTED_VALUE"""),"")</f>
        <v/>
      </c>
      <c r="AG1239" s="1" t="str">
        <f>IFERROR(__xludf.DUMMYFUNCTION("""COMPUTED_VALUE"""),"Land purchased from Botetourt Economic Development Authority")</f>
        <v>Land purchased from Botetourt Economic Development Authority</v>
      </c>
      <c r="AH1239" s="1" t="str">
        <f>IFERROR(__xludf.DUMMYFUNCTION("""COMPUTED_VALUE"""),"PEC")</f>
        <v>PEC</v>
      </c>
      <c r="AI1239" s="2" t="str">
        <f>IFERROR(__xludf.DUMMYFUNCTION("""COMPUTED_VALUE"""),"https://www.datacenterdynamics.com/en/news/google-buys-land-for-data-center-in-botetourt-county-west-virginia/")</f>
        <v>https://www.datacenterdynamics.com/en/news/google-buys-land-for-data-center-in-botetourt-county-west-virginia/</v>
      </c>
      <c r="AJ1239" s="2" t="str">
        <f>IFERROR(__xludf.DUMMYFUNCTION("""COMPUTED_VALUE"""),"https://www.webgis.net/va/botetourtco/?id=Parcels|LINK|88(26)3")</f>
        <v>https://www.webgis.net/va/botetourtco/?id=Parcels|LINK|88(26)3</v>
      </c>
      <c r="AK1239" s="1" t="str">
        <f>IFERROR(__xludf.DUMMYFUNCTION("""COMPUTED_VALUE"""),"")</f>
        <v/>
      </c>
      <c r="AL1239" s="1" t="str">
        <f>IFERROR(__xludf.DUMMYFUNCTION("""COMPUTED_VALUE"""),"")</f>
        <v/>
      </c>
      <c r="AM1239" s="1" t="str">
        <f>IFERROR(__xludf.DUMMYFUNCTION("""COMPUTED_VALUE"""),"")</f>
        <v/>
      </c>
      <c r="AN1239" s="1" t="str">
        <f>IFERROR(__xludf.DUMMYFUNCTION("""COMPUTED_VALUE"""),"")</f>
        <v/>
      </c>
      <c r="AO1239" s="1" t="str">
        <f>IFERROR(__xludf.DUMMYFUNCTION("""COMPUTED_VALUE"""),"")</f>
        <v/>
      </c>
      <c r="AP1239" s="1" t="str">
        <f>IFERROR(__xludf.DUMMYFUNCTION("""COMPUTED_VALUE"""),"")</f>
        <v/>
      </c>
      <c r="AQ1239" s="1" t="str">
        <f>IFERROR(__xludf.DUMMYFUNCTION("""COMPUTED_VALUE"""),"07/09/2025")</f>
        <v>07/09/2025</v>
      </c>
      <c r="AR1239" s="1" t="str">
        <f>IFERROR(__xludf.DUMMYFUNCTION("""COMPUTED_VALUE"""),"10/17/2025")</f>
        <v>10/17/2025</v>
      </c>
    </row>
    <row r="1240">
      <c r="A1240" s="1" t="str">
        <f>IFERROR(__xludf.DUMMYFUNCTION("""COMPUTED_VALUE"""),"Duffield Premier Data Center Site")</f>
        <v>Duffield Premier Data Center Site</v>
      </c>
      <c r="B1240" s="1" t="str">
        <f>IFERROR(__xludf.DUMMYFUNCTION("""COMPUTED_VALUE"""),"158 Advanced Technology Dr")</f>
        <v>158 Advanced Technology Dr</v>
      </c>
      <c r="C1240" s="1" t="str">
        <f>IFERROR(__xludf.DUMMYFUNCTION("""COMPUTED_VALUE"""),"Duffield")</f>
        <v>Duffield</v>
      </c>
      <c r="D1240" s="1" t="str">
        <f>IFERROR(__xludf.DUMMYFUNCTION("""COMPUTED_VALUE"""),"VA")</f>
        <v>VA</v>
      </c>
      <c r="E1240" s="1" t="str">
        <f>IFERROR(__xludf.DUMMYFUNCTION("""COMPUTED_VALUE"""),"24244")</f>
        <v>24244</v>
      </c>
      <c r="F1240" s="1" t="str">
        <f>IFERROR(__xludf.DUMMYFUNCTION("""COMPUTED_VALUE"""),"Scott")</f>
        <v>Scott</v>
      </c>
      <c r="G1240" s="1" t="str">
        <f>IFERROR(__xludf.DUMMYFUNCTION("""COMPUTED_VALUE"""),"36.712566")</f>
        <v>36.712566</v>
      </c>
      <c r="H1240" s="1" t="str">
        <f>IFERROR(__xludf.DUMMYFUNCTION("""COMPUTED_VALUE"""),"-82.802505")</f>
        <v>-82.802505</v>
      </c>
      <c r="I1240" s="1" t="str">
        <f>IFERROR(__xludf.DUMMYFUNCTION("""COMPUTED_VALUE"""),"Operating")</f>
        <v>Operating</v>
      </c>
      <c r="J1240" s="1" t="str">
        <f>IFERROR(__xludf.DUMMYFUNCTION("""COMPUTED_VALUE"""),"High")</f>
        <v>High</v>
      </c>
      <c r="K1240" s="1" t="str">
        <f>IFERROR(__xludf.DUMMYFUNCTION("""COMPUTED_VALUE"""),"")</f>
        <v/>
      </c>
      <c r="L1240" s="1" t="str">
        <f>IFERROR(__xludf.DUMMYFUNCTION("""COMPUTED_VALUE"""),"ONEPARTNER LLC")</f>
        <v>ONEPARTNER LLC</v>
      </c>
      <c r="M1240" s="1" t="str">
        <f>IFERROR(__xludf.DUMMYFUNCTION("""COMPUTED_VALUE"""),"")</f>
        <v/>
      </c>
      <c r="N1240" s="1" t="str">
        <f>IFERROR(__xludf.DUMMYFUNCTION("""COMPUTED_VALUE"""),"")</f>
        <v/>
      </c>
      <c r="O1240" s="1" t="str">
        <f>IFERROR(__xludf.DUMMYFUNCTION("""COMPUTED_VALUE"""),"Unknown")</f>
        <v>Unknown</v>
      </c>
      <c r="P1240" s="1" t="str">
        <f>IFERROR(__xludf.DUMMYFUNCTION("""COMPUTED_VALUE"""),"")</f>
        <v/>
      </c>
      <c r="Q1240" s="1" t="str">
        <f>IFERROR(__xludf.DUMMYFUNCTION("""COMPUTED_VALUE"""),"")</f>
        <v/>
      </c>
      <c r="R1240" s="1" t="str">
        <f>IFERROR(__xludf.DUMMYFUNCTION("""COMPUTED_VALUE"""),"")</f>
        <v/>
      </c>
      <c r="S1240" s="1" t="str">
        <f>IFERROR(__xludf.DUMMYFUNCTION("""COMPUTED_VALUE"""),"")</f>
        <v/>
      </c>
      <c r="T1240" s="1" t="str">
        <f>IFERROR(__xludf.DUMMYFUNCTION("""COMPUTED_VALUE"""),"")</f>
        <v/>
      </c>
      <c r="U1240" s="1" t="str">
        <f>IFERROR(__xludf.DUMMYFUNCTION("""COMPUTED_VALUE"""),"")</f>
        <v/>
      </c>
      <c r="V1240" s="1" t="str">
        <f>IFERROR(__xludf.DUMMYFUNCTION("""COMPUTED_VALUE"""),"9,200")</f>
        <v>9,200</v>
      </c>
      <c r="W1240" s="1" t="str">
        <f>IFERROR(__xludf.DUMMYFUNCTION("""COMPUTED_VALUE"""),"2")</f>
        <v>2</v>
      </c>
      <c r="X1240" s="1" t="str">
        <f>IFERROR(__xludf.DUMMYFUNCTION("""COMPUTED_VALUE"""),"")</f>
        <v/>
      </c>
      <c r="Y1240" s="1" t="str">
        <f>IFERROR(__xludf.DUMMYFUNCTION("""COMPUTED_VALUE"""),"")</f>
        <v/>
      </c>
      <c r="Z1240" s="1" t="str">
        <f>IFERROR(__xludf.DUMMYFUNCTION("""COMPUTED_VALUE"""),"Unknown")</f>
        <v>Unknown</v>
      </c>
      <c r="AA1240" s="1" t="str">
        <f>IFERROR(__xludf.DUMMYFUNCTION("""COMPUTED_VALUE"""),"")</f>
        <v/>
      </c>
      <c r="AB1240" s="1" t="str">
        <f>IFERROR(__xludf.DUMMYFUNCTION("""COMPUTED_VALUE"""),"")</f>
        <v/>
      </c>
      <c r="AC1240" s="1" t="str">
        <f>IFERROR(__xludf.DUMMYFUNCTION("""COMPUTED_VALUE"""),"")</f>
        <v/>
      </c>
      <c r="AD1240" s="1" t="str">
        <f>IFERROR(__xludf.DUMMYFUNCTION("""COMPUTED_VALUE"""),"")</f>
        <v/>
      </c>
      <c r="AE1240" s="1" t="str">
        <f>IFERROR(__xludf.DUMMYFUNCTION("""COMPUTED_VALUE"""),"")</f>
        <v/>
      </c>
      <c r="AF1240" s="1" t="str">
        <f>IFERROR(__xludf.DUMMYFUNCTION("""COMPUTED_VALUE"""),"")</f>
        <v/>
      </c>
      <c r="AG1240" s="1" t="str">
        <f>IFERROR(__xludf.DUMMYFUNCTION("""COMPUTED_VALUE"""),"")</f>
        <v/>
      </c>
      <c r="AH1240" s="1" t="str">
        <f>IFERROR(__xludf.DUMMYFUNCTION("""COMPUTED_VALUE"""),"PEC")</f>
        <v>PEC</v>
      </c>
      <c r="AI1240" s="2" t="str">
        <f>IFERROR(__xludf.DUMMYFUNCTION("""COMPUTED_VALUE"""),"https://cloudandcolocation.com/datacenters/onepartner-duffield-data-center-atac/")</f>
        <v>https://cloudandcolocation.com/datacenters/onepartner-duffield-data-center-atac/</v>
      </c>
      <c r="AJ1240" s="2" t="str">
        <f>IFERROR(__xludf.DUMMYFUNCTION("""COMPUTED_VALUE"""),"https://scottcova.interactivegis.com/jtf/10308")</f>
        <v>https://scottcova.interactivegis.com/jtf/10308</v>
      </c>
      <c r="AK1240" s="1" t="str">
        <f>IFERROR(__xludf.DUMMYFUNCTION("""COMPUTED_VALUE"""),"")</f>
        <v/>
      </c>
      <c r="AL1240" s="1" t="str">
        <f>IFERROR(__xludf.DUMMYFUNCTION("""COMPUTED_VALUE"""),"")</f>
        <v/>
      </c>
      <c r="AM1240" s="1" t="str">
        <f>IFERROR(__xludf.DUMMYFUNCTION("""COMPUTED_VALUE"""),"")</f>
        <v/>
      </c>
      <c r="AN1240" s="1" t="str">
        <f>IFERROR(__xludf.DUMMYFUNCTION("""COMPUTED_VALUE"""),"")</f>
        <v/>
      </c>
      <c r="AO1240" s="1" t="str">
        <f>IFERROR(__xludf.DUMMYFUNCTION("""COMPUTED_VALUE"""),"")</f>
        <v/>
      </c>
      <c r="AP1240" s="1" t="str">
        <f>IFERROR(__xludf.DUMMYFUNCTION("""COMPUTED_VALUE"""),"")</f>
        <v/>
      </c>
      <c r="AQ1240" s="1" t="str">
        <f>IFERROR(__xludf.DUMMYFUNCTION("""COMPUTED_VALUE"""),"04/10/2024")</f>
        <v>04/10/2024</v>
      </c>
      <c r="AR1240" s="1" t="str">
        <f>IFERROR(__xludf.DUMMYFUNCTION("""COMPUTED_VALUE"""),"10/17/2025")</f>
        <v>10/17/2025</v>
      </c>
    </row>
    <row r="1241">
      <c r="A1241" s="1" t="str">
        <f>IFERROR(__xludf.DUMMYFUNCTION("""COMPUTED_VALUE"""),"Scott County Regional Business &amp; Technology Park")</f>
        <v>Scott County Regional Business &amp; Technology Park</v>
      </c>
      <c r="B1241" s="1" t="str">
        <f>IFERROR(__xludf.DUMMYFUNCTION("""COMPUTED_VALUE"""),"372 Technology Trail Ln")</f>
        <v>372 Technology Trail Ln</v>
      </c>
      <c r="C1241" s="1" t="str">
        <f>IFERROR(__xludf.DUMMYFUNCTION("""COMPUTED_VALUE"""),"Duffield")</f>
        <v>Duffield</v>
      </c>
      <c r="D1241" s="1" t="str">
        <f>IFERROR(__xludf.DUMMYFUNCTION("""COMPUTED_VALUE"""),"VA")</f>
        <v>VA</v>
      </c>
      <c r="E1241" s="1" t="str">
        <f>IFERROR(__xludf.DUMMYFUNCTION("""COMPUTED_VALUE"""),"24244")</f>
        <v>24244</v>
      </c>
      <c r="F1241" s="1" t="str">
        <f>IFERROR(__xludf.DUMMYFUNCTION("""COMPUTED_VALUE"""),"Scott")</f>
        <v>Scott</v>
      </c>
      <c r="G1241" s="1" t="str">
        <f>IFERROR(__xludf.DUMMYFUNCTION("""COMPUTED_VALUE"""),"36.715855")</f>
        <v>36.715855</v>
      </c>
      <c r="H1241" s="1" t="str">
        <f>IFERROR(__xludf.DUMMYFUNCTION("""COMPUTED_VALUE"""),"-82.80459")</f>
        <v>-82.80459</v>
      </c>
      <c r="I1241" s="1" t="str">
        <f>IFERROR(__xludf.DUMMYFUNCTION("""COMPUTED_VALUE"""),"Proposed")</f>
        <v>Proposed</v>
      </c>
      <c r="J1241" s="1" t="str">
        <f>IFERROR(__xludf.DUMMYFUNCTION("""COMPUTED_VALUE"""),"High")</f>
        <v>High</v>
      </c>
      <c r="K1241" s="1" t="str">
        <f>IFERROR(__xludf.DUMMYFUNCTION("""COMPUTED_VALUE"""),"")</f>
        <v/>
      </c>
      <c r="L1241" s="1" t="str">
        <f>IFERROR(__xludf.DUMMYFUNCTION("""COMPUTED_VALUE"""),"SCOTT COUNTY INDUSTRIAL DEV.")</f>
        <v>SCOTT COUNTY INDUSTRIAL DEV.</v>
      </c>
      <c r="M1241" s="1" t="str">
        <f>IFERROR(__xludf.DUMMYFUNCTION("""COMPUTED_VALUE"""),"")</f>
        <v/>
      </c>
      <c r="N1241" s="1" t="str">
        <f>IFERROR(__xludf.DUMMYFUNCTION("""COMPUTED_VALUE"""),"")</f>
        <v/>
      </c>
      <c r="O1241" s="1" t="str">
        <f>IFERROR(__xludf.DUMMYFUNCTION("""COMPUTED_VALUE"""),"Unknown")</f>
        <v>Unknown</v>
      </c>
      <c r="P1241" s="1" t="str">
        <f>IFERROR(__xludf.DUMMYFUNCTION("""COMPUTED_VALUE"""),"")</f>
        <v/>
      </c>
      <c r="Q1241" s="1" t="str">
        <f>IFERROR(__xludf.DUMMYFUNCTION("""COMPUTED_VALUE"""),"")</f>
        <v/>
      </c>
      <c r="R1241" s="1" t="str">
        <f>IFERROR(__xludf.DUMMYFUNCTION("""COMPUTED_VALUE"""),"")</f>
        <v/>
      </c>
      <c r="S1241" s="1" t="str">
        <f>IFERROR(__xludf.DUMMYFUNCTION("""COMPUTED_VALUE"""),"")</f>
        <v/>
      </c>
      <c r="T1241" s="1" t="str">
        <f>IFERROR(__xludf.DUMMYFUNCTION("""COMPUTED_VALUE"""),"")</f>
        <v/>
      </c>
      <c r="U1241" s="1" t="str">
        <f>IFERROR(__xludf.DUMMYFUNCTION("""COMPUTED_VALUE"""),"")</f>
        <v/>
      </c>
      <c r="V1241" s="1" t="str">
        <f>IFERROR(__xludf.DUMMYFUNCTION("""COMPUTED_VALUE"""),"")</f>
        <v/>
      </c>
      <c r="W1241" s="1" t="str">
        <f>IFERROR(__xludf.DUMMYFUNCTION("""COMPUTED_VALUE"""),"55")</f>
        <v>55</v>
      </c>
      <c r="X1241" s="1" t="str">
        <f>IFERROR(__xludf.DUMMYFUNCTION("""COMPUTED_VALUE"""),"")</f>
        <v/>
      </c>
      <c r="Y1241" s="1" t="str">
        <f>IFERROR(__xludf.DUMMYFUNCTION("""COMPUTED_VALUE"""),"")</f>
        <v/>
      </c>
      <c r="Z1241" s="1" t="str">
        <f>IFERROR(__xludf.DUMMYFUNCTION("""COMPUTED_VALUE"""),"Unknown")</f>
        <v>Unknown</v>
      </c>
      <c r="AA1241" s="1" t="str">
        <f>IFERROR(__xludf.DUMMYFUNCTION("""COMPUTED_VALUE"""),"")</f>
        <v/>
      </c>
      <c r="AB1241" s="1" t="str">
        <f>IFERROR(__xludf.DUMMYFUNCTION("""COMPUTED_VALUE"""),"")</f>
        <v/>
      </c>
      <c r="AC1241" s="1" t="str">
        <f>IFERROR(__xludf.DUMMYFUNCTION("""COMPUTED_VALUE"""),"")</f>
        <v/>
      </c>
      <c r="AD1241" s="1" t="str">
        <f>IFERROR(__xludf.DUMMYFUNCTION("""COMPUTED_VALUE"""),"")</f>
        <v/>
      </c>
      <c r="AE1241" s="1" t="str">
        <f>IFERROR(__xludf.DUMMYFUNCTION("""COMPUTED_VALUE"""),"")</f>
        <v/>
      </c>
      <c r="AF1241" s="1" t="str">
        <f>IFERROR(__xludf.DUMMYFUNCTION("""COMPUTED_VALUE"""),"")</f>
        <v/>
      </c>
      <c r="AG1241" s="1" t="str">
        <f>IFERROR(__xludf.DUMMYFUNCTION("""COMPUTED_VALUE"""),"")</f>
        <v/>
      </c>
      <c r="AH1241" s="1" t="str">
        <f>IFERROR(__xludf.DUMMYFUNCTION("""COMPUTED_VALUE"""),"PEC")</f>
        <v>PEC</v>
      </c>
      <c r="AI1241" s="2" t="str">
        <f>IFERROR(__xludf.DUMMYFUNCTION("""COMPUTED_VALUE"""),"https://www.scottcountyva.com/188/Sites-Buildings")</f>
        <v>https://www.scottcountyva.com/188/Sites-Buildings</v>
      </c>
      <c r="AJ1241" s="2" t="str">
        <f>IFERROR(__xludf.DUMMYFUNCTION("""COMPUTED_VALUE"""),"https://scottcova.interactivegis.com/jtf/1112")</f>
        <v>https://scottcova.interactivegis.com/jtf/1112</v>
      </c>
      <c r="AK1241" s="1" t="str">
        <f>IFERROR(__xludf.DUMMYFUNCTION("""COMPUTED_VALUE"""),"")</f>
        <v/>
      </c>
      <c r="AL1241" s="1" t="str">
        <f>IFERROR(__xludf.DUMMYFUNCTION("""COMPUTED_VALUE"""),"")</f>
        <v/>
      </c>
      <c r="AM1241" s="1" t="str">
        <f>IFERROR(__xludf.DUMMYFUNCTION("""COMPUTED_VALUE"""),"")</f>
        <v/>
      </c>
      <c r="AN1241" s="1" t="str">
        <f>IFERROR(__xludf.DUMMYFUNCTION("""COMPUTED_VALUE"""),"")</f>
        <v/>
      </c>
      <c r="AO1241" s="1" t="str">
        <f>IFERROR(__xludf.DUMMYFUNCTION("""COMPUTED_VALUE"""),"")</f>
        <v/>
      </c>
      <c r="AP1241" s="1" t="str">
        <f>IFERROR(__xludf.DUMMYFUNCTION("""COMPUTED_VALUE"""),"")</f>
        <v/>
      </c>
      <c r="AQ1241" s="1" t="str">
        <f>IFERROR(__xludf.DUMMYFUNCTION("""COMPUTED_VALUE"""),"04/10/2024")</f>
        <v>04/10/2024</v>
      </c>
      <c r="AR1241" s="1" t="str">
        <f>IFERROR(__xludf.DUMMYFUNCTION("""COMPUTED_VALUE"""),"10/17/2025")</f>
        <v>10/17/2025</v>
      </c>
    </row>
    <row r="1242">
      <c r="A1242" s="1" t="str">
        <f>IFERROR(__xludf.DUMMYFUNCTION("""COMPUTED_VALUE"""),"DIGITAL LOUDOUN IV")</f>
        <v>DIGITAL LOUDOUN IV</v>
      </c>
      <c r="B1242" s="1" t="str">
        <f>IFERROR(__xludf.DUMMYFUNCTION("""COMPUTED_VALUE"""),"22125 BRODERICK DR")</f>
        <v>22125 BRODERICK DR</v>
      </c>
      <c r="C1242" s="1" t="str">
        <f>IFERROR(__xludf.DUMMYFUNCTION("""COMPUTED_VALUE"""),"Dulles")</f>
        <v>Dulles</v>
      </c>
      <c r="D1242" s="1" t="str">
        <f>IFERROR(__xludf.DUMMYFUNCTION("""COMPUTED_VALUE"""),"VA")</f>
        <v>VA</v>
      </c>
      <c r="E1242" s="1" t="str">
        <f>IFERROR(__xludf.DUMMYFUNCTION("""COMPUTED_VALUE"""),"20166")</f>
        <v>20166</v>
      </c>
      <c r="F1242" s="1" t="str">
        <f>IFERROR(__xludf.DUMMYFUNCTION("""COMPUTED_VALUE"""),"Loudoun")</f>
        <v>Loudoun</v>
      </c>
      <c r="G1242" s="1" t="str">
        <f>IFERROR(__xludf.DUMMYFUNCTION("""COMPUTED_VALUE"""),"39.005142")</f>
        <v>39.005142</v>
      </c>
      <c r="H1242" s="1" t="str">
        <f>IFERROR(__xludf.DUMMYFUNCTION("""COMPUTED_VALUE"""),"-77.451195")</f>
        <v>-77.451195</v>
      </c>
      <c r="I1242" s="1" t="str">
        <f>IFERROR(__xludf.DUMMYFUNCTION("""COMPUTED_VALUE"""),"Operating")</f>
        <v>Operating</v>
      </c>
      <c r="J1242" s="1" t="str">
        <f>IFERROR(__xludf.DUMMYFUNCTION("""COMPUTED_VALUE"""),"High")</f>
        <v>High</v>
      </c>
      <c r="K1242" s="1" t="str">
        <f>IFERROR(__xludf.DUMMYFUNCTION("""COMPUTED_VALUE"""),"")</f>
        <v/>
      </c>
      <c r="L1242" s="1" t="str">
        <f>IFERROR(__xludf.DUMMYFUNCTION("""COMPUTED_VALUE"""),"DIGITAL LOUDOUN IV LLC")</f>
        <v>DIGITAL LOUDOUN IV LLC</v>
      </c>
      <c r="M1242" s="1" t="str">
        <f>IFERROR(__xludf.DUMMYFUNCTION("""COMPUTED_VALUE"""),"")</f>
        <v/>
      </c>
      <c r="N1242" s="1" t="str">
        <f>IFERROR(__xludf.DUMMYFUNCTION("""COMPUTED_VALUE"""),"")</f>
        <v/>
      </c>
      <c r="O1242" s="1" t="str">
        <f>IFERROR(__xludf.DUMMYFUNCTION("""COMPUTED_VALUE"""),"Unknown")</f>
        <v>Unknown</v>
      </c>
      <c r="P1242" s="1" t="str">
        <f>IFERROR(__xludf.DUMMYFUNCTION("""COMPUTED_VALUE"""),"")</f>
        <v/>
      </c>
      <c r="Q1242" s="1" t="str">
        <f>IFERROR(__xludf.DUMMYFUNCTION("""COMPUTED_VALUE"""),"")</f>
        <v/>
      </c>
      <c r="R1242" s="1" t="str">
        <f>IFERROR(__xludf.DUMMYFUNCTION("""COMPUTED_VALUE"""),"")</f>
        <v/>
      </c>
      <c r="S1242" s="1" t="str">
        <f>IFERROR(__xludf.DUMMYFUNCTION("""COMPUTED_VALUE"""),"")</f>
        <v/>
      </c>
      <c r="T1242" s="1" t="str">
        <f>IFERROR(__xludf.DUMMYFUNCTION("""COMPUTED_VALUE"""),"")</f>
        <v/>
      </c>
      <c r="U1242" s="1" t="str">
        <f>IFERROR(__xludf.DUMMYFUNCTION("""COMPUTED_VALUE"""),"")</f>
        <v/>
      </c>
      <c r="V1242" s="1" t="str">
        <f>IFERROR(__xludf.DUMMYFUNCTION("""COMPUTED_VALUE"""),"800,702")</f>
        <v>800,702</v>
      </c>
      <c r="W1242" s="1" t="str">
        <f>IFERROR(__xludf.DUMMYFUNCTION("""COMPUTED_VALUE"""),"112")</f>
        <v>112</v>
      </c>
      <c r="X1242" s="1" t="str">
        <f>IFERROR(__xludf.DUMMYFUNCTION("""COMPUTED_VALUE"""),"")</f>
        <v/>
      </c>
      <c r="Y1242" s="1" t="str">
        <f>IFERROR(__xludf.DUMMYFUNCTION("""COMPUTED_VALUE"""),"")</f>
        <v/>
      </c>
      <c r="Z1242" s="1" t="str">
        <f>IFERROR(__xludf.DUMMYFUNCTION("""COMPUTED_VALUE"""),"Unknown")</f>
        <v>Unknown</v>
      </c>
      <c r="AA1242" s="1" t="str">
        <f>IFERROR(__xludf.DUMMYFUNCTION("""COMPUTED_VALUE"""),"")</f>
        <v/>
      </c>
      <c r="AB1242" s="1" t="str">
        <f>IFERROR(__xludf.DUMMYFUNCTION("""COMPUTED_VALUE"""),"")</f>
        <v/>
      </c>
      <c r="AC1242" s="1" t="str">
        <f>IFERROR(__xludf.DUMMYFUNCTION("""COMPUTED_VALUE"""),"")</f>
        <v/>
      </c>
      <c r="AD1242" s="1" t="str">
        <f>IFERROR(__xludf.DUMMYFUNCTION("""COMPUTED_VALUE"""),"")</f>
        <v/>
      </c>
      <c r="AE1242" s="1" t="str">
        <f>IFERROR(__xludf.DUMMYFUNCTION("""COMPUTED_VALUE"""),"")</f>
        <v/>
      </c>
      <c r="AF1242" s="1" t="str">
        <f>IFERROR(__xludf.DUMMYFUNCTION("""COMPUTED_VALUE"""),"")</f>
        <v/>
      </c>
      <c r="AG1242" s="1" t="str">
        <f>IFERROR(__xludf.DUMMYFUNCTION("""COMPUTED_VALUE"""),"Computer Center")</f>
        <v>Computer Center</v>
      </c>
      <c r="AH1242" s="1" t="str">
        <f>IFERROR(__xludf.DUMMYFUNCTION("""COMPUTED_VALUE"""),"PEC")</f>
        <v>PEC</v>
      </c>
      <c r="AI1242" s="2" t="str">
        <f>IFERROR(__xludf.DUMMYFUNCTION("""COMPUTED_VALUE"""),"https://reparcelasmt.loudoun.gov/pt/datalets/datalet.aspx?mode=profileall&amp;UseSearch=no&amp;pin=044370416000&amp;jur=107&amp;taxyr=2024&amp;LMparent=20")</f>
        <v>https://reparcelasmt.loudoun.gov/pt/datalets/datalet.aspx?mode=profileall&amp;UseSearch=no&amp;pin=044370416000&amp;jur=107&amp;taxyr=2024&amp;LMparent=20</v>
      </c>
      <c r="AJ1242" s="1" t="str">
        <f>IFERROR(__xludf.DUMMYFUNCTION("""COMPUTED_VALUE"""),"")</f>
        <v/>
      </c>
      <c r="AK1242" s="1" t="str">
        <f>IFERROR(__xludf.DUMMYFUNCTION("""COMPUTED_VALUE"""),"")</f>
        <v/>
      </c>
      <c r="AL1242" s="1" t="str">
        <f>IFERROR(__xludf.DUMMYFUNCTION("""COMPUTED_VALUE"""),"")</f>
        <v/>
      </c>
      <c r="AM1242" s="1" t="str">
        <f>IFERROR(__xludf.DUMMYFUNCTION("""COMPUTED_VALUE"""),"")</f>
        <v/>
      </c>
      <c r="AN1242" s="1" t="str">
        <f>IFERROR(__xludf.DUMMYFUNCTION("""COMPUTED_VALUE"""),"")</f>
        <v/>
      </c>
      <c r="AO1242" s="1" t="str">
        <f>IFERROR(__xludf.DUMMYFUNCTION("""COMPUTED_VALUE"""),"")</f>
        <v/>
      </c>
      <c r="AP1242" s="1" t="str">
        <f>IFERROR(__xludf.DUMMYFUNCTION("""COMPUTED_VALUE"""),"")</f>
        <v/>
      </c>
      <c r="AQ1242" s="1" t="str">
        <f>IFERROR(__xludf.DUMMYFUNCTION("""COMPUTED_VALUE"""),"04/10/2024")</f>
        <v>04/10/2024</v>
      </c>
      <c r="AR1242" s="1" t="str">
        <f>IFERROR(__xludf.DUMMYFUNCTION("""COMPUTED_VALUE"""),"10/17/2025")</f>
        <v>10/17/2025</v>
      </c>
    </row>
    <row r="1243">
      <c r="A1243" s="1" t="str">
        <f>IFERROR(__xludf.DUMMYFUNCTION("""COMPUTED_VALUE"""),"Fadeley Campus")</f>
        <v>Fadeley Campus</v>
      </c>
      <c r="B1243" s="1" t="str">
        <f>IFERROR(__xludf.DUMMYFUNCTION("""COMPUTED_VALUE"""),"42949 FADELEY LN")</f>
        <v>42949 FADELEY LN</v>
      </c>
      <c r="C1243" s="1" t="str">
        <f>IFERROR(__xludf.DUMMYFUNCTION("""COMPUTED_VALUE"""),"Dulles")</f>
        <v>Dulles</v>
      </c>
      <c r="D1243" s="1" t="str">
        <f>IFERROR(__xludf.DUMMYFUNCTION("""COMPUTED_VALUE"""),"VA")</f>
        <v>VA</v>
      </c>
      <c r="E1243" s="1" t="str">
        <f>IFERROR(__xludf.DUMMYFUNCTION("""COMPUTED_VALUE"""),"20166")</f>
        <v>20166</v>
      </c>
      <c r="F1243" s="1" t="str">
        <f>IFERROR(__xludf.DUMMYFUNCTION("""COMPUTED_VALUE"""),"Loudoun")</f>
        <v>Loudoun</v>
      </c>
      <c r="G1243" s="1" t="str">
        <f>IFERROR(__xludf.DUMMYFUNCTION("""COMPUTED_VALUE"""),"38.948956")</f>
        <v>38.948956</v>
      </c>
      <c r="H1243" s="1" t="str">
        <f>IFERROR(__xludf.DUMMYFUNCTION("""COMPUTED_VALUE"""),"-77.52148")</f>
        <v>-77.52148</v>
      </c>
      <c r="I1243" s="1" t="str">
        <f>IFERROR(__xludf.DUMMYFUNCTION("""COMPUTED_VALUE"""),"Operating")</f>
        <v>Operating</v>
      </c>
      <c r="J1243" s="1" t="str">
        <f>IFERROR(__xludf.DUMMYFUNCTION("""COMPUTED_VALUE"""),"High")</f>
        <v>High</v>
      </c>
      <c r="K1243" s="1" t="str">
        <f>IFERROR(__xludf.DUMMYFUNCTION("""COMPUTED_VALUE"""),"")</f>
        <v/>
      </c>
      <c r="L1243" s="1" t="str">
        <f>IFERROR(__xludf.DUMMYFUNCTION("""COMPUTED_VALUE"""),"Amazon")</f>
        <v>Amazon</v>
      </c>
      <c r="M1243" s="1" t="str">
        <f>IFERROR(__xludf.DUMMYFUNCTION("""COMPUTED_VALUE"""),"")</f>
        <v/>
      </c>
      <c r="N1243" s="1" t="str">
        <f>IFERROR(__xludf.DUMMYFUNCTION("""COMPUTED_VALUE"""),"")</f>
        <v/>
      </c>
      <c r="O1243" s="1" t="str">
        <f>IFERROR(__xludf.DUMMYFUNCTION("""COMPUTED_VALUE"""),"Unknown")</f>
        <v>Unknown</v>
      </c>
      <c r="P1243" s="1" t="str">
        <f>IFERROR(__xludf.DUMMYFUNCTION("""COMPUTED_VALUE"""),"")</f>
        <v/>
      </c>
      <c r="Q1243" s="1" t="str">
        <f>IFERROR(__xludf.DUMMYFUNCTION("""COMPUTED_VALUE"""),"")</f>
        <v/>
      </c>
      <c r="R1243" s="1" t="str">
        <f>IFERROR(__xludf.DUMMYFUNCTION("""COMPUTED_VALUE"""),"")</f>
        <v/>
      </c>
      <c r="S1243" s="1" t="str">
        <f>IFERROR(__xludf.DUMMYFUNCTION("""COMPUTED_VALUE"""),"")</f>
        <v/>
      </c>
      <c r="T1243" s="1" t="str">
        <f>IFERROR(__xludf.DUMMYFUNCTION("""COMPUTED_VALUE"""),"")</f>
        <v/>
      </c>
      <c r="U1243" s="1" t="str">
        <f>IFERROR(__xludf.DUMMYFUNCTION("""COMPUTED_VALUE"""),"")</f>
        <v/>
      </c>
      <c r="V1243" s="1" t="str">
        <f>IFERROR(__xludf.DUMMYFUNCTION("""COMPUTED_VALUE"""),"695,321")</f>
        <v>695,321</v>
      </c>
      <c r="W1243" s="1" t="str">
        <f>IFERROR(__xludf.DUMMYFUNCTION("""COMPUTED_VALUE"""),"64")</f>
        <v>64</v>
      </c>
      <c r="X1243" s="1" t="str">
        <f>IFERROR(__xludf.DUMMYFUNCTION("""COMPUTED_VALUE"""),"")</f>
        <v/>
      </c>
      <c r="Y1243" s="1" t="str">
        <f>IFERROR(__xludf.DUMMYFUNCTION("""COMPUTED_VALUE"""),"")</f>
        <v/>
      </c>
      <c r="Z1243" s="1" t="str">
        <f>IFERROR(__xludf.DUMMYFUNCTION("""COMPUTED_VALUE"""),"Unknown")</f>
        <v>Unknown</v>
      </c>
      <c r="AA1243" s="1" t="str">
        <f>IFERROR(__xludf.DUMMYFUNCTION("""COMPUTED_VALUE"""),"")</f>
        <v/>
      </c>
      <c r="AB1243" s="1" t="str">
        <f>IFERROR(__xludf.DUMMYFUNCTION("""COMPUTED_VALUE"""),"")</f>
        <v/>
      </c>
      <c r="AC1243" s="1" t="str">
        <f>IFERROR(__xludf.DUMMYFUNCTION("""COMPUTED_VALUE"""),"")</f>
        <v/>
      </c>
      <c r="AD1243" s="1" t="str">
        <f>IFERROR(__xludf.DUMMYFUNCTION("""COMPUTED_VALUE"""),"")</f>
        <v/>
      </c>
      <c r="AE1243" s="1" t="str">
        <f>IFERROR(__xludf.DUMMYFUNCTION("""COMPUTED_VALUE"""),"")</f>
        <v/>
      </c>
      <c r="AF1243" s="1" t="str">
        <f>IFERROR(__xludf.DUMMYFUNCTION("""COMPUTED_VALUE"""),"")</f>
        <v/>
      </c>
      <c r="AG1243" s="1" t="str">
        <f>IFERROR(__xludf.DUMMYFUNCTION("""COMPUTED_VALUE"""),"Computer Center")</f>
        <v>Computer Center</v>
      </c>
      <c r="AH1243" s="1" t="str">
        <f>IFERROR(__xludf.DUMMYFUNCTION("""COMPUTED_VALUE"""),"PEC")</f>
        <v>PEC</v>
      </c>
      <c r="AI1243" s="2" t="str">
        <f>IFERROR(__xludf.DUMMYFUNCTION("""COMPUTED_VALUE"""),"https://reparcelasmt.loudoun.gov/pt/datalets/datalet.aspx?mode=profileall&amp;UseSearch=no&amp;pin=162392026000&amp;jur=107&amp;taxyr=2024&amp;LMparent=20")</f>
        <v>https://reparcelasmt.loudoun.gov/pt/datalets/datalet.aspx?mode=profileall&amp;UseSearch=no&amp;pin=162392026000&amp;jur=107&amp;taxyr=2024&amp;LMparent=20</v>
      </c>
      <c r="AJ1243" s="1" t="str">
        <f>IFERROR(__xludf.DUMMYFUNCTION("""COMPUTED_VALUE"""),"")</f>
        <v/>
      </c>
      <c r="AK1243" s="1" t="str">
        <f>IFERROR(__xludf.DUMMYFUNCTION("""COMPUTED_VALUE"""),"")</f>
        <v/>
      </c>
      <c r="AL1243" s="1" t="str">
        <f>IFERROR(__xludf.DUMMYFUNCTION("""COMPUTED_VALUE"""),"")</f>
        <v/>
      </c>
      <c r="AM1243" s="1" t="str">
        <f>IFERROR(__xludf.DUMMYFUNCTION("""COMPUTED_VALUE"""),"")</f>
        <v/>
      </c>
      <c r="AN1243" s="1" t="str">
        <f>IFERROR(__xludf.DUMMYFUNCTION("""COMPUTED_VALUE"""),"")</f>
        <v/>
      </c>
      <c r="AO1243" s="1" t="str">
        <f>IFERROR(__xludf.DUMMYFUNCTION("""COMPUTED_VALUE"""),"")</f>
        <v/>
      </c>
      <c r="AP1243" s="1" t="str">
        <f>IFERROR(__xludf.DUMMYFUNCTION("""COMPUTED_VALUE"""),"")</f>
        <v/>
      </c>
      <c r="AQ1243" s="1" t="str">
        <f>IFERROR(__xludf.DUMMYFUNCTION("""COMPUTED_VALUE"""),"04/10/2024")</f>
        <v>04/10/2024</v>
      </c>
      <c r="AR1243" s="1" t="str">
        <f>IFERROR(__xludf.DUMMYFUNCTION("""COMPUTED_VALUE"""),"10/17/2025")</f>
        <v>10/17/2025</v>
      </c>
    </row>
    <row r="1244">
      <c r="A1244" s="1" t="str">
        <f>IFERROR(__xludf.DUMMYFUNCTION("""COMPUTED_VALUE"""),"Farah-Naples Data Center")</f>
        <v>Farah-Naples Data Center</v>
      </c>
      <c r="B1244" s="1" t="str">
        <f>IFERROR(__xludf.DUMMYFUNCTION("""COMPUTED_VALUE"""),"Loudoun County Parkway and Old Ox Road")</f>
        <v>Loudoun County Parkway and Old Ox Road</v>
      </c>
      <c r="C1244" s="1" t="str">
        <f>IFERROR(__xludf.DUMMYFUNCTION("""COMPUTED_VALUE"""),"Dulles")</f>
        <v>Dulles</v>
      </c>
      <c r="D1244" s="1" t="str">
        <f>IFERROR(__xludf.DUMMYFUNCTION("""COMPUTED_VALUE"""),"VA")</f>
        <v>VA</v>
      </c>
      <c r="E1244" s="1" t="str">
        <f>IFERROR(__xludf.DUMMYFUNCTION("""COMPUTED_VALUE"""),"20166")</f>
        <v>20166</v>
      </c>
      <c r="F1244" s="1" t="str">
        <f>IFERROR(__xludf.DUMMYFUNCTION("""COMPUTED_VALUE"""),"Loudoun")</f>
        <v>Loudoun</v>
      </c>
      <c r="G1244" s="1" t="str">
        <f>IFERROR(__xludf.DUMMYFUNCTION("""COMPUTED_VALUE"""),"38.95731")</f>
        <v>38.95731</v>
      </c>
      <c r="H1244" s="1" t="str">
        <f>IFERROR(__xludf.DUMMYFUNCTION("""COMPUTED_VALUE"""),"-77.51306")</f>
        <v>-77.51306</v>
      </c>
      <c r="I1244" s="1" t="str">
        <f>IFERROR(__xludf.DUMMYFUNCTION("""COMPUTED_VALUE"""),"Proposed")</f>
        <v>Proposed</v>
      </c>
      <c r="J1244" s="1" t="str">
        <f>IFERROR(__xludf.DUMMYFUNCTION("""COMPUTED_VALUE"""),"Medium")</f>
        <v>Medium</v>
      </c>
      <c r="K1244" s="1" t="str">
        <f>IFERROR(__xludf.DUMMYFUNCTION("""COMPUTED_VALUE"""),"")</f>
        <v/>
      </c>
      <c r="L1244" s="1" t="str">
        <f>IFERROR(__xludf.DUMMYFUNCTION("""COMPUTED_VALUE"""),"")</f>
        <v/>
      </c>
      <c r="M1244" s="1" t="str">
        <f>IFERROR(__xludf.DUMMYFUNCTION("""COMPUTED_VALUE"""),"")</f>
        <v/>
      </c>
      <c r="N1244" s="1" t="str">
        <f>IFERROR(__xludf.DUMMYFUNCTION("""COMPUTED_VALUE"""),"")</f>
        <v/>
      </c>
      <c r="O1244" s="1" t="str">
        <f>IFERROR(__xludf.DUMMYFUNCTION("""COMPUTED_VALUE"""),"Unknown")</f>
        <v>Unknown</v>
      </c>
      <c r="P1244" s="1" t="str">
        <f>IFERROR(__xludf.DUMMYFUNCTION("""COMPUTED_VALUE"""),"")</f>
        <v/>
      </c>
      <c r="Q1244" s="1" t="str">
        <f>IFERROR(__xludf.DUMMYFUNCTION("""COMPUTED_VALUE"""),"")</f>
        <v/>
      </c>
      <c r="R1244" s="1" t="str">
        <f>IFERROR(__xludf.DUMMYFUNCTION("""COMPUTED_VALUE"""),"")</f>
        <v/>
      </c>
      <c r="S1244" s="1" t="str">
        <f>IFERROR(__xludf.DUMMYFUNCTION("""COMPUTED_VALUE"""),"")</f>
        <v/>
      </c>
      <c r="T1244" s="1" t="str">
        <f>IFERROR(__xludf.DUMMYFUNCTION("""COMPUTED_VALUE"""),"")</f>
        <v/>
      </c>
      <c r="U1244" s="1" t="str">
        <f>IFERROR(__xludf.DUMMYFUNCTION("""COMPUTED_VALUE"""),"")</f>
        <v/>
      </c>
      <c r="V1244" s="1" t="str">
        <f>IFERROR(__xludf.DUMMYFUNCTION("""COMPUTED_VALUE"""),"100,000")</f>
        <v>100,000</v>
      </c>
      <c r="W1244" s="1" t="str">
        <f>IFERROR(__xludf.DUMMYFUNCTION("""COMPUTED_VALUE"""),"11")</f>
        <v>11</v>
      </c>
      <c r="X1244" s="1" t="str">
        <f>IFERROR(__xludf.DUMMYFUNCTION("""COMPUTED_VALUE"""),"")</f>
        <v/>
      </c>
      <c r="Y1244" s="1" t="str">
        <f>IFERROR(__xludf.DUMMYFUNCTION("""COMPUTED_VALUE"""),"")</f>
        <v/>
      </c>
      <c r="Z1244" s="1" t="str">
        <f>IFERROR(__xludf.DUMMYFUNCTION("""COMPUTED_VALUE"""),"Unknown")</f>
        <v>Unknown</v>
      </c>
      <c r="AA1244" s="1" t="str">
        <f>IFERROR(__xludf.DUMMYFUNCTION("""COMPUTED_VALUE"""),"")</f>
        <v/>
      </c>
      <c r="AB1244" s="1" t="str">
        <f>IFERROR(__xludf.DUMMYFUNCTION("""COMPUTED_VALUE"""),"")</f>
        <v/>
      </c>
      <c r="AC1244" s="1" t="str">
        <f>IFERROR(__xludf.DUMMYFUNCTION("""COMPUTED_VALUE"""),"")</f>
        <v/>
      </c>
      <c r="AD1244" s="1" t="str">
        <f>IFERROR(__xludf.DUMMYFUNCTION("""COMPUTED_VALUE"""),"")</f>
        <v/>
      </c>
      <c r="AE1244" s="1" t="str">
        <f>IFERROR(__xludf.DUMMYFUNCTION("""COMPUTED_VALUE"""),"")</f>
        <v/>
      </c>
      <c r="AF1244" s="1" t="str">
        <f>IFERROR(__xludf.DUMMYFUNCTION("""COMPUTED_VALUE"""),"")</f>
        <v/>
      </c>
      <c r="AG1244" s="1" t="str">
        <f>IFERROR(__xludf.DUMMYFUNCTION("""COMPUTED_VALUE"""),"")</f>
        <v/>
      </c>
      <c r="AH1244" s="1" t="str">
        <f>IFERROR(__xludf.DUMMYFUNCTION("""COMPUTED_VALUE"""),"PEC")</f>
        <v>PEC</v>
      </c>
      <c r="AI1244" s="2" t="str">
        <f>IFERROR(__xludf.DUMMYFUNCTION("""COMPUTED_VALUE"""),"https://loudouncountyvaeg.tylerhost.net/prod/selfservice#/plan/67e8f7f1-74de-4d91-8514-f6be79d00e61?tab=locations")</f>
        <v>https://loudouncountyvaeg.tylerhost.net/prod/selfservice#/plan/67e8f7f1-74de-4d91-8514-f6be79d00e61?tab=locations</v>
      </c>
      <c r="AJ1244" s="2" t="str">
        <f>IFERROR(__xludf.DUMMYFUNCTION("""COMPUTED_VALUE"""),"https://reparcelasmt.loudoun.gov/pt/Datalets/Datalet.aspx?UseSearch=no&amp;mode=profileall&amp;pin=124256520000&amp;jur=107&amp;taxyr=2025")</f>
        <v>https://reparcelasmt.loudoun.gov/pt/Datalets/Datalet.aspx?UseSearch=no&amp;mode=profileall&amp;pin=124256520000&amp;jur=107&amp;taxyr=2025</v>
      </c>
      <c r="AK1244" s="1" t="str">
        <f>IFERROR(__xludf.DUMMYFUNCTION("""COMPUTED_VALUE"""),"")</f>
        <v/>
      </c>
      <c r="AL1244" s="1" t="str">
        <f>IFERROR(__xludf.DUMMYFUNCTION("""COMPUTED_VALUE"""),"")</f>
        <v/>
      </c>
      <c r="AM1244" s="1" t="str">
        <f>IFERROR(__xludf.DUMMYFUNCTION("""COMPUTED_VALUE"""),"")</f>
        <v/>
      </c>
      <c r="AN1244" s="1" t="str">
        <f>IFERROR(__xludf.DUMMYFUNCTION("""COMPUTED_VALUE"""),"")</f>
        <v/>
      </c>
      <c r="AO1244" s="1" t="str">
        <f>IFERROR(__xludf.DUMMYFUNCTION("""COMPUTED_VALUE"""),"")</f>
        <v/>
      </c>
      <c r="AP1244" s="1" t="str">
        <f>IFERROR(__xludf.DUMMYFUNCTION("""COMPUTED_VALUE"""),"")</f>
        <v/>
      </c>
      <c r="AQ1244" s="1" t="str">
        <f>IFERROR(__xludf.DUMMYFUNCTION("""COMPUTED_VALUE"""),"08/06/2025")</f>
        <v>08/06/2025</v>
      </c>
      <c r="AR1244" s="1" t="str">
        <f>IFERROR(__xludf.DUMMYFUNCTION("""COMPUTED_VALUE"""),"10/17/2025")</f>
        <v>10/17/2025</v>
      </c>
    </row>
    <row r="1245">
      <c r="A1245" s="1" t="str">
        <f>IFERROR(__xludf.DUMMYFUNCTION("""COMPUTED_VALUE"""),"IAD44")</f>
        <v>IAD44</v>
      </c>
      <c r="B1245" s="1" t="str">
        <f>IFERROR(__xludf.DUMMYFUNCTION("""COMPUTED_VALUE"""),"43704 EFFICIENCY DR")</f>
        <v>43704 EFFICIENCY DR</v>
      </c>
      <c r="C1245" s="1" t="str">
        <f>IFERROR(__xludf.DUMMYFUNCTION("""COMPUTED_VALUE"""),"Dulles")</f>
        <v>Dulles</v>
      </c>
      <c r="D1245" s="1" t="str">
        <f>IFERROR(__xludf.DUMMYFUNCTION("""COMPUTED_VALUE"""),"VA")</f>
        <v>VA</v>
      </c>
      <c r="E1245" s="1" t="str">
        <f>IFERROR(__xludf.DUMMYFUNCTION("""COMPUTED_VALUE"""),"20166")</f>
        <v>20166</v>
      </c>
      <c r="F1245" s="1" t="str">
        <f>IFERROR(__xludf.DUMMYFUNCTION("""COMPUTED_VALUE"""),"Loudoun")</f>
        <v>Loudoun</v>
      </c>
      <c r="G1245" s="1" t="str">
        <f>IFERROR(__xludf.DUMMYFUNCTION("""COMPUTED_VALUE"""),"38.96118")</f>
        <v>38.96118</v>
      </c>
      <c r="H1245" s="1" t="str">
        <f>IFERROR(__xludf.DUMMYFUNCTION("""COMPUTED_VALUE"""),"-77.490524")</f>
        <v>-77.490524</v>
      </c>
      <c r="I1245" s="1" t="str">
        <f>IFERROR(__xludf.DUMMYFUNCTION("""COMPUTED_VALUE"""),"Operating")</f>
        <v>Operating</v>
      </c>
      <c r="J1245" s="1" t="str">
        <f>IFERROR(__xludf.DUMMYFUNCTION("""COMPUTED_VALUE"""),"High")</f>
        <v>High</v>
      </c>
      <c r="K1245" s="1" t="str">
        <f>IFERROR(__xludf.DUMMYFUNCTION("""COMPUTED_VALUE"""),"")</f>
        <v/>
      </c>
      <c r="L1245" s="1" t="str">
        <f>IFERROR(__xludf.DUMMYFUNCTION("""COMPUTED_VALUE"""),"Digital Realty")</f>
        <v>Digital Realty</v>
      </c>
      <c r="M1245" s="1" t="str">
        <f>IFERROR(__xludf.DUMMYFUNCTION("""COMPUTED_VALUE"""),"")</f>
        <v/>
      </c>
      <c r="N1245" s="1" t="str">
        <f>IFERROR(__xludf.DUMMYFUNCTION("""COMPUTED_VALUE"""),"")</f>
        <v/>
      </c>
      <c r="O1245" s="1" t="str">
        <f>IFERROR(__xludf.DUMMYFUNCTION("""COMPUTED_VALUE"""),"Unknown")</f>
        <v>Unknown</v>
      </c>
      <c r="P1245" s="1" t="str">
        <f>IFERROR(__xludf.DUMMYFUNCTION("""COMPUTED_VALUE"""),"")</f>
        <v/>
      </c>
      <c r="Q1245" s="1" t="str">
        <f>IFERROR(__xludf.DUMMYFUNCTION("""COMPUTED_VALUE"""),"")</f>
        <v/>
      </c>
      <c r="R1245" s="1" t="str">
        <f>IFERROR(__xludf.DUMMYFUNCTION("""COMPUTED_VALUE"""),"")</f>
        <v/>
      </c>
      <c r="S1245" s="1" t="str">
        <f>IFERROR(__xludf.DUMMYFUNCTION("""COMPUTED_VALUE"""),"")</f>
        <v/>
      </c>
      <c r="T1245" s="1" t="str">
        <f>IFERROR(__xludf.DUMMYFUNCTION("""COMPUTED_VALUE"""),"")</f>
        <v/>
      </c>
      <c r="U1245" s="1" t="str">
        <f>IFERROR(__xludf.DUMMYFUNCTION("""COMPUTED_VALUE"""),"")</f>
        <v/>
      </c>
      <c r="V1245" s="1" t="str">
        <f>IFERROR(__xludf.DUMMYFUNCTION("""COMPUTED_VALUE"""),"784,204")</f>
        <v>784,204</v>
      </c>
      <c r="W1245" s="1" t="str">
        <f>IFERROR(__xludf.DUMMYFUNCTION("""COMPUTED_VALUE"""),"18")</f>
        <v>18</v>
      </c>
      <c r="X1245" s="1" t="str">
        <f>IFERROR(__xludf.DUMMYFUNCTION("""COMPUTED_VALUE"""),"")</f>
        <v/>
      </c>
      <c r="Y1245" s="1" t="str">
        <f>IFERROR(__xludf.DUMMYFUNCTION("""COMPUTED_VALUE"""),"")</f>
        <v/>
      </c>
      <c r="Z1245" s="1" t="str">
        <f>IFERROR(__xludf.DUMMYFUNCTION("""COMPUTED_VALUE"""),"Unknown")</f>
        <v>Unknown</v>
      </c>
      <c r="AA1245" s="1" t="str">
        <f>IFERROR(__xludf.DUMMYFUNCTION("""COMPUTED_VALUE"""),"")</f>
        <v/>
      </c>
      <c r="AB1245" s="1" t="str">
        <f>IFERROR(__xludf.DUMMYFUNCTION("""COMPUTED_VALUE"""),"")</f>
        <v/>
      </c>
      <c r="AC1245" s="1" t="str">
        <f>IFERROR(__xludf.DUMMYFUNCTION("""COMPUTED_VALUE"""),"")</f>
        <v/>
      </c>
      <c r="AD1245" s="1" t="str">
        <f>IFERROR(__xludf.DUMMYFUNCTION("""COMPUTED_VALUE"""),"")</f>
        <v/>
      </c>
      <c r="AE1245" s="1" t="str">
        <f>IFERROR(__xludf.DUMMYFUNCTION("""COMPUTED_VALUE"""),"")</f>
        <v/>
      </c>
      <c r="AF1245" s="1" t="str">
        <f>IFERROR(__xludf.DUMMYFUNCTION("""COMPUTED_VALUE"""),"")</f>
        <v/>
      </c>
      <c r="AG1245" s="1" t="str">
        <f>IFERROR(__xludf.DUMMYFUNCTION("""COMPUTED_VALUE"""),"DIGITAL WL 2834 LLC &amp; DIGITAL WL 5459 LLC, Phase 1 and 2")</f>
        <v>DIGITAL WL 2834 LLC &amp; DIGITAL WL 5459 LLC, Phase 1 and 2</v>
      </c>
      <c r="AH1245" s="1" t="str">
        <f>IFERROR(__xludf.DUMMYFUNCTION("""COMPUTED_VALUE"""),"PEC")</f>
        <v>PEC</v>
      </c>
      <c r="AI1245" s="2" t="str">
        <f>IFERROR(__xludf.DUMMYFUNCTION("""COMPUTED_VALUE"""),"https://reparcelasmt.loudoun.gov/pt/Datalets/Datalet.aspx?mode=commercial&amp;UseSearch=no&amp;pin=093365404003&amp;jur=107&amp;taxyr=2025&amp;card=1&amp;item=0&amp;State=2|1|1|1|1|&amp;items=4")</f>
        <v>https://reparcelasmt.loudoun.gov/pt/Datalets/Datalet.aspx?mode=commercial&amp;UseSearch=no&amp;pin=093365404003&amp;jur=107&amp;taxyr=2025&amp;card=1&amp;item=0&amp;State=2|1|1|1|1|&amp;items=4</v>
      </c>
      <c r="AJ1245" s="1" t="str">
        <f>IFERROR(__xludf.DUMMYFUNCTION("""COMPUTED_VALUE"""),"")</f>
        <v/>
      </c>
      <c r="AK1245" s="1" t="str">
        <f>IFERROR(__xludf.DUMMYFUNCTION("""COMPUTED_VALUE"""),"")</f>
        <v/>
      </c>
      <c r="AL1245" s="1" t="str">
        <f>IFERROR(__xludf.DUMMYFUNCTION("""COMPUTED_VALUE"""),"")</f>
        <v/>
      </c>
      <c r="AM1245" s="1" t="str">
        <f>IFERROR(__xludf.DUMMYFUNCTION("""COMPUTED_VALUE"""),"")</f>
        <v/>
      </c>
      <c r="AN1245" s="1" t="str">
        <f>IFERROR(__xludf.DUMMYFUNCTION("""COMPUTED_VALUE"""),"")</f>
        <v/>
      </c>
      <c r="AO1245" s="1" t="str">
        <f>IFERROR(__xludf.DUMMYFUNCTION("""COMPUTED_VALUE"""),"")</f>
        <v/>
      </c>
      <c r="AP1245" s="1" t="str">
        <f>IFERROR(__xludf.DUMMYFUNCTION("""COMPUTED_VALUE"""),"")</f>
        <v/>
      </c>
      <c r="AQ1245" s="1" t="str">
        <f>IFERROR(__xludf.DUMMYFUNCTION("""COMPUTED_VALUE"""),"08/06/2025")</f>
        <v>08/06/2025</v>
      </c>
      <c r="AR1245" s="1" t="str">
        <f>IFERROR(__xludf.DUMMYFUNCTION("""COMPUTED_VALUE"""),"10/17/2025")</f>
        <v>10/17/2025</v>
      </c>
    </row>
    <row r="1246">
      <c r="A1246" s="1" t="str">
        <f>IFERROR(__xludf.DUMMYFUNCTION("""COMPUTED_VALUE"""),"Northwoods Property")</f>
        <v>Northwoods Property</v>
      </c>
      <c r="B1246" s="1" t="str">
        <f>IFERROR(__xludf.DUMMYFUNCTION("""COMPUTED_VALUE"""),"43649 LIGHT SPEED PLZ")</f>
        <v>43649 LIGHT SPEED PLZ</v>
      </c>
      <c r="C1246" s="1" t="str">
        <f>IFERROR(__xludf.DUMMYFUNCTION("""COMPUTED_VALUE"""),"Dulles")</f>
        <v>Dulles</v>
      </c>
      <c r="D1246" s="1" t="str">
        <f>IFERROR(__xludf.DUMMYFUNCTION("""COMPUTED_VALUE"""),"VA")</f>
        <v>VA</v>
      </c>
      <c r="E1246" s="1" t="str">
        <f>IFERROR(__xludf.DUMMYFUNCTION("""COMPUTED_VALUE"""),"20166")</f>
        <v>20166</v>
      </c>
      <c r="F1246" s="1" t="str">
        <f>IFERROR(__xludf.DUMMYFUNCTION("""COMPUTED_VALUE"""),"Loudoun")</f>
        <v>Loudoun</v>
      </c>
      <c r="G1246" s="1" t="str">
        <f>IFERROR(__xludf.DUMMYFUNCTION("""COMPUTED_VALUE"""),"38.980717")</f>
        <v>38.980717</v>
      </c>
      <c r="H1246" s="1" t="str">
        <f>IFERROR(__xludf.DUMMYFUNCTION("""COMPUTED_VALUE"""),"-77.49382")</f>
        <v>-77.49382</v>
      </c>
      <c r="I1246" s="1" t="str">
        <f>IFERROR(__xludf.DUMMYFUNCTION("""COMPUTED_VALUE"""),"Expanding")</f>
        <v>Expanding</v>
      </c>
      <c r="J1246" s="1" t="str">
        <f>IFERROR(__xludf.DUMMYFUNCTION("""COMPUTED_VALUE"""),"High")</f>
        <v>High</v>
      </c>
      <c r="K1246" s="1" t="str">
        <f>IFERROR(__xludf.DUMMYFUNCTION("""COMPUTED_VALUE"""),"")</f>
        <v/>
      </c>
      <c r="L1246" s="1" t="str">
        <f>IFERROR(__xludf.DUMMYFUNCTION("""COMPUTED_VALUE"""),"Amazon")</f>
        <v>Amazon</v>
      </c>
      <c r="M1246" s="1" t="str">
        <f>IFERROR(__xludf.DUMMYFUNCTION("""COMPUTED_VALUE"""),"")</f>
        <v/>
      </c>
      <c r="N1246" s="1" t="str">
        <f>IFERROR(__xludf.DUMMYFUNCTION("""COMPUTED_VALUE"""),"")</f>
        <v/>
      </c>
      <c r="O1246" s="1" t="str">
        <f>IFERROR(__xludf.DUMMYFUNCTION("""COMPUTED_VALUE"""),"Unknown")</f>
        <v>Unknown</v>
      </c>
      <c r="P1246" s="1" t="str">
        <f>IFERROR(__xludf.DUMMYFUNCTION("""COMPUTED_VALUE"""),"")</f>
        <v/>
      </c>
      <c r="Q1246" s="1" t="str">
        <f>IFERROR(__xludf.DUMMYFUNCTION("""COMPUTED_VALUE"""),"")</f>
        <v/>
      </c>
      <c r="R1246" s="1" t="str">
        <f>IFERROR(__xludf.DUMMYFUNCTION("""COMPUTED_VALUE"""),"")</f>
        <v/>
      </c>
      <c r="S1246" s="1" t="str">
        <f>IFERROR(__xludf.DUMMYFUNCTION("""COMPUTED_VALUE"""),"")</f>
        <v/>
      </c>
      <c r="T1246" s="1" t="str">
        <f>IFERROR(__xludf.DUMMYFUNCTION("""COMPUTED_VALUE"""),"")</f>
        <v/>
      </c>
      <c r="U1246" s="1" t="str">
        <f>IFERROR(__xludf.DUMMYFUNCTION("""COMPUTED_VALUE"""),"")</f>
        <v/>
      </c>
      <c r="V1246" s="1" t="str">
        <f>IFERROR(__xludf.DUMMYFUNCTION("""COMPUTED_VALUE"""),"263,340")</f>
        <v>263,340</v>
      </c>
      <c r="W1246" s="1" t="str">
        <f>IFERROR(__xludf.DUMMYFUNCTION("""COMPUTED_VALUE"""),"80")</f>
        <v>80</v>
      </c>
      <c r="X1246" s="1" t="str">
        <f>IFERROR(__xludf.DUMMYFUNCTION("""COMPUTED_VALUE"""),"")</f>
        <v/>
      </c>
      <c r="Y1246" s="1" t="str">
        <f>IFERROR(__xludf.DUMMYFUNCTION("""COMPUTED_VALUE"""),"")</f>
        <v/>
      </c>
      <c r="Z1246" s="1" t="str">
        <f>IFERROR(__xludf.DUMMYFUNCTION("""COMPUTED_VALUE"""),"Unknown")</f>
        <v>Unknown</v>
      </c>
      <c r="AA1246" s="1" t="str">
        <f>IFERROR(__xludf.DUMMYFUNCTION("""COMPUTED_VALUE"""),"")</f>
        <v/>
      </c>
      <c r="AB1246" s="1" t="str">
        <f>IFERROR(__xludf.DUMMYFUNCTION("""COMPUTED_VALUE"""),"")</f>
        <v/>
      </c>
      <c r="AC1246" s="1" t="str">
        <f>IFERROR(__xludf.DUMMYFUNCTION("""COMPUTED_VALUE"""),"")</f>
        <v/>
      </c>
      <c r="AD1246" s="1" t="str">
        <f>IFERROR(__xludf.DUMMYFUNCTION("""COMPUTED_VALUE"""),"")</f>
        <v/>
      </c>
      <c r="AE1246" s="1" t="str">
        <f>IFERROR(__xludf.DUMMYFUNCTION("""COMPUTED_VALUE"""),"")</f>
        <v/>
      </c>
      <c r="AF1246" s="1" t="str">
        <f>IFERROR(__xludf.DUMMYFUNCTION("""COMPUTED_VALUE"""),"")</f>
        <v/>
      </c>
      <c r="AG1246" s="1" t="str">
        <f>IFERROR(__xludf.DUMMYFUNCTION("""COMPUTED_VALUE"""),"Four buildings, building A is complete and has been removed from the square footage. This parcel may be divided in the future. Expansions total 755,090 sq ft")</f>
        <v>Four buildings, building A is complete and has been removed from the square footage. This parcel may be divided in the future. Expansions total 755,090 sq ft</v>
      </c>
      <c r="AH1246" s="1" t="str">
        <f>IFERROR(__xludf.DUMMYFUNCTION("""COMPUTED_VALUE"""),"PEC")</f>
        <v>PEC</v>
      </c>
      <c r="AI1246" s="2" t="str">
        <f>IFERROR(__xludf.DUMMYFUNCTION("""COMPUTED_VALUE"""),"https://loudouncountyvaeg.tylerhost.net/prod/selfservice#/plan/3399a93f-9e75-48d2-a377-ecd0d9be35c1?tab=attachments")</f>
        <v>https://loudouncountyvaeg.tylerhost.net/prod/selfservice#/plan/3399a93f-9e75-48d2-a377-ecd0d9be35c1?tab=attachments</v>
      </c>
      <c r="AJ1246" s="2" t="str">
        <f>IFERROR(__xludf.DUMMYFUNCTION("""COMPUTED_VALUE"""),"https://reparcelasmt.loudoun.gov/pt/datalets/datalet.aspx?mode=commercial&amp;UseSearch=no&amp;pin=122207249000&amp;jur=107&amp;taxyr=2025&amp;LMparent=20")</f>
        <v>https://reparcelasmt.loudoun.gov/pt/datalets/datalet.aspx?mode=commercial&amp;UseSearch=no&amp;pin=122207249000&amp;jur=107&amp;taxyr=2025&amp;LMparent=20</v>
      </c>
      <c r="AK1246" s="1" t="str">
        <f>IFERROR(__xludf.DUMMYFUNCTION("""COMPUTED_VALUE"""),"")</f>
        <v/>
      </c>
      <c r="AL1246" s="1" t="str">
        <f>IFERROR(__xludf.DUMMYFUNCTION("""COMPUTED_VALUE"""),"")</f>
        <v/>
      </c>
      <c r="AM1246" s="1" t="str">
        <f>IFERROR(__xludf.DUMMYFUNCTION("""COMPUTED_VALUE"""),"")</f>
        <v/>
      </c>
      <c r="AN1246" s="1" t="str">
        <f>IFERROR(__xludf.DUMMYFUNCTION("""COMPUTED_VALUE"""),"")</f>
        <v/>
      </c>
      <c r="AO1246" s="1" t="str">
        <f>IFERROR(__xludf.DUMMYFUNCTION("""COMPUTED_VALUE"""),"")</f>
        <v/>
      </c>
      <c r="AP1246" s="1" t="str">
        <f>IFERROR(__xludf.DUMMYFUNCTION("""COMPUTED_VALUE"""),"")</f>
        <v/>
      </c>
      <c r="AQ1246" s="1" t="str">
        <f>IFERROR(__xludf.DUMMYFUNCTION("""COMPUTED_VALUE"""),"08/06/2025")</f>
        <v>08/06/2025</v>
      </c>
      <c r="AR1246" s="1" t="str">
        <f>IFERROR(__xludf.DUMMYFUNCTION("""COMPUTED_VALUE"""),"02/10/2026")</f>
        <v>02/10/2026</v>
      </c>
    </row>
    <row r="1247">
      <c r="A1247" s="1" t="str">
        <f>IFERROR(__xludf.DUMMYFUNCTION("""COMPUTED_VALUE"""),"SENTINEL ASHBURN II")</f>
        <v>SENTINEL ASHBURN II</v>
      </c>
      <c r="B1247" s="1" t="str">
        <f>IFERROR(__xludf.DUMMYFUNCTION("""COMPUTED_VALUE"""),"22262 CLOUD PLZ")</f>
        <v>22262 CLOUD PLZ</v>
      </c>
      <c r="C1247" s="1" t="str">
        <f>IFERROR(__xludf.DUMMYFUNCTION("""COMPUTED_VALUE"""),"Dulles")</f>
        <v>Dulles</v>
      </c>
      <c r="D1247" s="1" t="str">
        <f>IFERROR(__xludf.DUMMYFUNCTION("""COMPUTED_VALUE"""),"VA")</f>
        <v>VA</v>
      </c>
      <c r="E1247" s="1" t="str">
        <f>IFERROR(__xludf.DUMMYFUNCTION("""COMPUTED_VALUE"""),"20166")</f>
        <v>20166</v>
      </c>
      <c r="F1247" s="1" t="str">
        <f>IFERROR(__xludf.DUMMYFUNCTION("""COMPUTED_VALUE"""),"Loudoun")</f>
        <v>Loudoun</v>
      </c>
      <c r="G1247" s="1" t="str">
        <f>IFERROR(__xludf.DUMMYFUNCTION("""COMPUTED_VALUE"""),"39.000603")</f>
        <v>39.000603</v>
      </c>
      <c r="H1247" s="1" t="str">
        <f>IFERROR(__xludf.DUMMYFUNCTION("""COMPUTED_VALUE"""),"-77.43986")</f>
        <v>-77.43986</v>
      </c>
      <c r="I1247" s="1" t="str">
        <f>IFERROR(__xludf.DUMMYFUNCTION("""COMPUTED_VALUE"""),"Operating")</f>
        <v>Operating</v>
      </c>
      <c r="J1247" s="1" t="str">
        <f>IFERROR(__xludf.DUMMYFUNCTION("""COMPUTED_VALUE"""),"High")</f>
        <v>High</v>
      </c>
      <c r="K1247" s="1" t="str">
        <f>IFERROR(__xludf.DUMMYFUNCTION("""COMPUTED_VALUE"""),"")</f>
        <v/>
      </c>
      <c r="L1247" s="1" t="str">
        <f>IFERROR(__xludf.DUMMYFUNCTION("""COMPUTED_VALUE"""),"GI TC LOUDOUN LLC")</f>
        <v>GI TC LOUDOUN LLC</v>
      </c>
      <c r="M1247" s="1" t="str">
        <f>IFERROR(__xludf.DUMMYFUNCTION("""COMPUTED_VALUE"""),"")</f>
        <v/>
      </c>
      <c r="N1247" s="1" t="str">
        <f>IFERROR(__xludf.DUMMYFUNCTION("""COMPUTED_VALUE"""),"")</f>
        <v/>
      </c>
      <c r="O1247" s="1" t="str">
        <f>IFERROR(__xludf.DUMMYFUNCTION("""COMPUTED_VALUE"""),"Unknown")</f>
        <v>Unknown</v>
      </c>
      <c r="P1247" s="1" t="str">
        <f>IFERROR(__xludf.DUMMYFUNCTION("""COMPUTED_VALUE"""),"")</f>
        <v/>
      </c>
      <c r="Q1247" s="1" t="str">
        <f>IFERROR(__xludf.DUMMYFUNCTION("""COMPUTED_VALUE"""),"")</f>
        <v/>
      </c>
      <c r="R1247" s="1" t="str">
        <f>IFERROR(__xludf.DUMMYFUNCTION("""COMPUTED_VALUE"""),"")</f>
        <v/>
      </c>
      <c r="S1247" s="1" t="str">
        <f>IFERROR(__xludf.DUMMYFUNCTION("""COMPUTED_VALUE"""),"")</f>
        <v/>
      </c>
      <c r="T1247" s="1" t="str">
        <f>IFERROR(__xludf.DUMMYFUNCTION("""COMPUTED_VALUE"""),"")</f>
        <v/>
      </c>
      <c r="U1247" s="1" t="str">
        <f>IFERROR(__xludf.DUMMYFUNCTION("""COMPUTED_VALUE"""),"")</f>
        <v/>
      </c>
      <c r="V1247" s="1" t="str">
        <f>IFERROR(__xludf.DUMMYFUNCTION("""COMPUTED_VALUE"""),"234,100")</f>
        <v>234,100</v>
      </c>
      <c r="W1247" s="1" t="str">
        <f>IFERROR(__xludf.DUMMYFUNCTION("""COMPUTED_VALUE"""),"24")</f>
        <v>24</v>
      </c>
      <c r="X1247" s="1" t="str">
        <f>IFERROR(__xludf.DUMMYFUNCTION("""COMPUTED_VALUE"""),"")</f>
        <v/>
      </c>
      <c r="Y1247" s="1" t="str">
        <f>IFERROR(__xludf.DUMMYFUNCTION("""COMPUTED_VALUE"""),"")</f>
        <v/>
      </c>
      <c r="Z1247" s="1" t="str">
        <f>IFERROR(__xludf.DUMMYFUNCTION("""COMPUTED_VALUE"""),"Unknown")</f>
        <v>Unknown</v>
      </c>
      <c r="AA1247" s="1" t="str">
        <f>IFERROR(__xludf.DUMMYFUNCTION("""COMPUTED_VALUE"""),"")</f>
        <v/>
      </c>
      <c r="AB1247" s="1" t="str">
        <f>IFERROR(__xludf.DUMMYFUNCTION("""COMPUTED_VALUE"""),"")</f>
        <v/>
      </c>
      <c r="AC1247" s="1" t="str">
        <f>IFERROR(__xludf.DUMMYFUNCTION("""COMPUTED_VALUE"""),"")</f>
        <v/>
      </c>
      <c r="AD1247" s="1" t="str">
        <f>IFERROR(__xludf.DUMMYFUNCTION("""COMPUTED_VALUE"""),"")</f>
        <v/>
      </c>
      <c r="AE1247" s="1" t="str">
        <f>IFERROR(__xludf.DUMMYFUNCTION("""COMPUTED_VALUE"""),"")</f>
        <v/>
      </c>
      <c r="AF1247" s="1" t="str">
        <f>IFERROR(__xludf.DUMMYFUNCTION("""COMPUTED_VALUE"""),"")</f>
        <v/>
      </c>
      <c r="AG1247" s="1" t="str">
        <f>IFERROR(__xludf.DUMMYFUNCTION("""COMPUTED_VALUE"""),"Computer Center")</f>
        <v>Computer Center</v>
      </c>
      <c r="AH1247" s="1" t="str">
        <f>IFERROR(__xludf.DUMMYFUNCTION("""COMPUTED_VALUE"""),"PEC")</f>
        <v>PEC</v>
      </c>
      <c r="AI1247" s="2" t="str">
        <f>IFERROR(__xludf.DUMMYFUNCTION("""COMPUTED_VALUE"""),"https://reparcelasmt.loudoun.gov/pt/datalets/datalet.aspx?mode=profileall&amp;UseSearch=no&amp;pin=044282013000&amp;jur=107&amp;taxyr=2024&amp;LMparent=20")</f>
        <v>https://reparcelasmt.loudoun.gov/pt/datalets/datalet.aspx?mode=profileall&amp;UseSearch=no&amp;pin=044282013000&amp;jur=107&amp;taxyr=2024&amp;LMparent=20</v>
      </c>
      <c r="AJ1247" s="1" t="str">
        <f>IFERROR(__xludf.DUMMYFUNCTION("""COMPUTED_VALUE"""),"")</f>
        <v/>
      </c>
      <c r="AK1247" s="1" t="str">
        <f>IFERROR(__xludf.DUMMYFUNCTION("""COMPUTED_VALUE"""),"")</f>
        <v/>
      </c>
      <c r="AL1247" s="1" t="str">
        <f>IFERROR(__xludf.DUMMYFUNCTION("""COMPUTED_VALUE"""),"")</f>
        <v/>
      </c>
      <c r="AM1247" s="1" t="str">
        <f>IFERROR(__xludf.DUMMYFUNCTION("""COMPUTED_VALUE"""),"")</f>
        <v/>
      </c>
      <c r="AN1247" s="1" t="str">
        <f>IFERROR(__xludf.DUMMYFUNCTION("""COMPUTED_VALUE"""),"")</f>
        <v/>
      </c>
      <c r="AO1247" s="1" t="str">
        <f>IFERROR(__xludf.DUMMYFUNCTION("""COMPUTED_VALUE"""),"")</f>
        <v/>
      </c>
      <c r="AP1247" s="1" t="str">
        <f>IFERROR(__xludf.DUMMYFUNCTION("""COMPUTED_VALUE"""),"")</f>
        <v/>
      </c>
      <c r="AQ1247" s="1" t="str">
        <f>IFERROR(__xludf.DUMMYFUNCTION("""COMPUTED_VALUE"""),"04/10/2024")</f>
        <v>04/10/2024</v>
      </c>
      <c r="AR1247" s="1" t="str">
        <f>IFERROR(__xludf.DUMMYFUNCTION("""COMPUTED_VALUE"""),"10/17/2025")</f>
        <v>10/17/2025</v>
      </c>
    </row>
    <row r="1248">
      <c r="A1248" s="1" t="str">
        <f>IFERROR(__xludf.DUMMYFUNCTION("""COMPUTED_VALUE"""),"WATERSIDE AWS")</f>
        <v>WATERSIDE AWS</v>
      </c>
      <c r="B1248" s="1" t="str">
        <f>IFERROR(__xludf.DUMMYFUNCTION("""COMPUTED_VALUE"""),"22900 PLATFORM PLZ")</f>
        <v>22900 PLATFORM PLZ</v>
      </c>
      <c r="C1248" s="1" t="str">
        <f>IFERROR(__xludf.DUMMYFUNCTION("""COMPUTED_VALUE"""),"Dulles")</f>
        <v>Dulles</v>
      </c>
      <c r="D1248" s="1" t="str">
        <f>IFERROR(__xludf.DUMMYFUNCTION("""COMPUTED_VALUE"""),"VA")</f>
        <v>VA</v>
      </c>
      <c r="E1248" s="1" t="str">
        <f>IFERROR(__xludf.DUMMYFUNCTION("""COMPUTED_VALUE"""),"20166")</f>
        <v>20166</v>
      </c>
      <c r="F1248" s="1" t="str">
        <f>IFERROR(__xludf.DUMMYFUNCTION("""COMPUTED_VALUE"""),"Loudoun")</f>
        <v>Loudoun</v>
      </c>
      <c r="G1248" s="1" t="str">
        <f>IFERROR(__xludf.DUMMYFUNCTION("""COMPUTED_VALUE"""),"38.98125")</f>
        <v>38.98125</v>
      </c>
      <c r="H1248" s="1" t="str">
        <f>IFERROR(__xludf.DUMMYFUNCTION("""COMPUTED_VALUE"""),"-77.41793")</f>
        <v>-77.41793</v>
      </c>
      <c r="I1248" s="1" t="str">
        <f>IFERROR(__xludf.DUMMYFUNCTION("""COMPUTED_VALUE"""),"Operating")</f>
        <v>Operating</v>
      </c>
      <c r="J1248" s="1" t="str">
        <f>IFERROR(__xludf.DUMMYFUNCTION("""COMPUTED_VALUE"""),"High")</f>
        <v>High</v>
      </c>
      <c r="K1248" s="1" t="str">
        <f>IFERROR(__xludf.DUMMYFUNCTION("""COMPUTED_VALUE"""),"")</f>
        <v/>
      </c>
      <c r="L1248" s="1" t="str">
        <f>IFERROR(__xludf.DUMMYFUNCTION("""COMPUTED_VALUE"""),"WATERSIDE I LLC")</f>
        <v>WATERSIDE I LLC</v>
      </c>
      <c r="M1248" s="1" t="str">
        <f>IFERROR(__xludf.DUMMYFUNCTION("""COMPUTED_VALUE"""),"")</f>
        <v/>
      </c>
      <c r="N1248" s="1" t="str">
        <f>IFERROR(__xludf.DUMMYFUNCTION("""COMPUTED_VALUE"""),"")</f>
        <v/>
      </c>
      <c r="O1248" s="1" t="str">
        <f>IFERROR(__xludf.DUMMYFUNCTION("""COMPUTED_VALUE"""),"Unknown")</f>
        <v>Unknown</v>
      </c>
      <c r="P1248" s="1" t="str">
        <f>IFERROR(__xludf.DUMMYFUNCTION("""COMPUTED_VALUE"""),"")</f>
        <v/>
      </c>
      <c r="Q1248" s="1" t="str">
        <f>IFERROR(__xludf.DUMMYFUNCTION("""COMPUTED_VALUE"""),"")</f>
        <v/>
      </c>
      <c r="R1248" s="1" t="str">
        <f>IFERROR(__xludf.DUMMYFUNCTION("""COMPUTED_VALUE"""),"")</f>
        <v/>
      </c>
      <c r="S1248" s="1" t="str">
        <f>IFERROR(__xludf.DUMMYFUNCTION("""COMPUTED_VALUE"""),"")</f>
        <v/>
      </c>
      <c r="T1248" s="1" t="str">
        <f>IFERROR(__xludf.DUMMYFUNCTION("""COMPUTED_VALUE"""),"")</f>
        <v/>
      </c>
      <c r="U1248" s="1" t="str">
        <f>IFERROR(__xludf.DUMMYFUNCTION("""COMPUTED_VALUE"""),"")</f>
        <v/>
      </c>
      <c r="V1248" s="1" t="str">
        <f>IFERROR(__xludf.DUMMYFUNCTION("""COMPUTED_VALUE"""),"976,046")</f>
        <v>976,046</v>
      </c>
      <c r="W1248" s="1" t="str">
        <f>IFERROR(__xludf.DUMMYFUNCTION("""COMPUTED_VALUE"""),"74")</f>
        <v>74</v>
      </c>
      <c r="X1248" s="1" t="str">
        <f>IFERROR(__xludf.DUMMYFUNCTION("""COMPUTED_VALUE"""),"")</f>
        <v/>
      </c>
      <c r="Y1248" s="1" t="str">
        <f>IFERROR(__xludf.DUMMYFUNCTION("""COMPUTED_VALUE"""),"")</f>
        <v/>
      </c>
      <c r="Z1248" s="1" t="str">
        <f>IFERROR(__xludf.DUMMYFUNCTION("""COMPUTED_VALUE"""),"Unknown")</f>
        <v>Unknown</v>
      </c>
      <c r="AA1248" s="1" t="str">
        <f>IFERROR(__xludf.DUMMYFUNCTION("""COMPUTED_VALUE"""),"")</f>
        <v/>
      </c>
      <c r="AB1248" s="1" t="str">
        <f>IFERROR(__xludf.DUMMYFUNCTION("""COMPUTED_VALUE"""),"")</f>
        <v/>
      </c>
      <c r="AC1248" s="1" t="str">
        <f>IFERROR(__xludf.DUMMYFUNCTION("""COMPUTED_VALUE"""),"")</f>
        <v/>
      </c>
      <c r="AD1248" s="1" t="str">
        <f>IFERROR(__xludf.DUMMYFUNCTION("""COMPUTED_VALUE"""),"")</f>
        <v/>
      </c>
      <c r="AE1248" s="1" t="str">
        <f>IFERROR(__xludf.DUMMYFUNCTION("""COMPUTED_VALUE"""),"")</f>
        <v/>
      </c>
      <c r="AF1248" s="1" t="str">
        <f>IFERROR(__xludf.DUMMYFUNCTION("""COMPUTED_VALUE"""),"")</f>
        <v/>
      </c>
      <c r="AG1248" s="1" t="str">
        <f>IFERROR(__xludf.DUMMYFUNCTION("""COMPUTED_VALUE"""),"Shown as ""Storage Warehouse""")</f>
        <v>Shown as "Storage Warehouse"</v>
      </c>
      <c r="AH1248" s="1" t="str">
        <f>IFERROR(__xludf.DUMMYFUNCTION("""COMPUTED_VALUE"""),"PEC")</f>
        <v>PEC</v>
      </c>
      <c r="AI1248" s="2" t="str">
        <f>IFERROR(__xludf.DUMMYFUNCTION("""COMPUTED_VALUE"""),"https://reparcelasmt.loudoun.gov/pt/datalets/datalet.aspx?mode=profileall&amp;UseSearch=no&amp;pin=034385918000&amp;jur=107&amp;taxyr=2024&amp;LMparent=20")</f>
        <v>https://reparcelasmt.loudoun.gov/pt/datalets/datalet.aspx?mode=profileall&amp;UseSearch=no&amp;pin=034385918000&amp;jur=107&amp;taxyr=2024&amp;LMparent=20</v>
      </c>
      <c r="AJ1248" s="1" t="str">
        <f>IFERROR(__xludf.DUMMYFUNCTION("""COMPUTED_VALUE"""),"")</f>
        <v/>
      </c>
      <c r="AK1248" s="1" t="str">
        <f>IFERROR(__xludf.DUMMYFUNCTION("""COMPUTED_VALUE"""),"")</f>
        <v/>
      </c>
      <c r="AL1248" s="1" t="str">
        <f>IFERROR(__xludf.DUMMYFUNCTION("""COMPUTED_VALUE"""),"")</f>
        <v/>
      </c>
      <c r="AM1248" s="1" t="str">
        <f>IFERROR(__xludf.DUMMYFUNCTION("""COMPUTED_VALUE"""),"")</f>
        <v/>
      </c>
      <c r="AN1248" s="1" t="str">
        <f>IFERROR(__xludf.DUMMYFUNCTION("""COMPUTED_VALUE"""),"")</f>
        <v/>
      </c>
      <c r="AO1248" s="1" t="str">
        <f>IFERROR(__xludf.DUMMYFUNCTION("""COMPUTED_VALUE"""),"")</f>
        <v/>
      </c>
      <c r="AP1248" s="1" t="str">
        <f>IFERROR(__xludf.DUMMYFUNCTION("""COMPUTED_VALUE"""),"")</f>
        <v/>
      </c>
      <c r="AQ1248" s="1" t="str">
        <f>IFERROR(__xludf.DUMMYFUNCTION("""COMPUTED_VALUE"""),"04/10/2024")</f>
        <v>04/10/2024</v>
      </c>
      <c r="AR1248" s="1" t="str">
        <f>IFERROR(__xludf.DUMMYFUNCTION("""COMPUTED_VALUE"""),"10/17/2025")</f>
        <v>10/17/2025</v>
      </c>
    </row>
    <row r="1249">
      <c r="A1249" s="1" t="str">
        <f>IFERROR(__xludf.DUMMYFUNCTION("""COMPUTED_VALUE"""),"WHEELER SURVEY COMPANY")</f>
        <v>WHEELER SURVEY COMPANY</v>
      </c>
      <c r="B1249" s="1" t="str">
        <f>IFERROR(__xludf.DUMMYFUNCTION("""COMPUTED_VALUE"""),"24400 HOWLING ROOSTER LN")</f>
        <v>24400 HOWLING ROOSTER LN</v>
      </c>
      <c r="C1249" s="1" t="str">
        <f>IFERROR(__xludf.DUMMYFUNCTION("""COMPUTED_VALUE"""),"Dulles")</f>
        <v>Dulles</v>
      </c>
      <c r="D1249" s="1" t="str">
        <f>IFERROR(__xludf.DUMMYFUNCTION("""COMPUTED_VALUE"""),"VA")</f>
        <v>VA</v>
      </c>
      <c r="E1249" s="1" t="str">
        <f>IFERROR(__xludf.DUMMYFUNCTION("""COMPUTED_VALUE"""),"20166")</f>
        <v>20166</v>
      </c>
      <c r="F1249" s="1" t="str">
        <f>IFERROR(__xludf.DUMMYFUNCTION("""COMPUTED_VALUE"""),"Loudoun")</f>
        <v>Loudoun</v>
      </c>
      <c r="G1249" s="1" t="str">
        <f>IFERROR(__xludf.DUMMYFUNCTION("""COMPUTED_VALUE"""),"38.942364")</f>
        <v>38.942364</v>
      </c>
      <c r="H1249" s="1" t="str">
        <f>IFERROR(__xludf.DUMMYFUNCTION("""COMPUTED_VALUE"""),"-77.52864")</f>
        <v>-77.52864</v>
      </c>
      <c r="I1249" s="1" t="str">
        <f>IFERROR(__xludf.DUMMYFUNCTION("""COMPUTED_VALUE"""),"Expanding")</f>
        <v>Expanding</v>
      </c>
      <c r="J1249" s="1" t="str">
        <f>IFERROR(__xludf.DUMMYFUNCTION("""COMPUTED_VALUE"""),"High")</f>
        <v>High</v>
      </c>
      <c r="K1249" s="1" t="str">
        <f>IFERROR(__xludf.DUMMYFUNCTION("""COMPUTED_VALUE"""),"")</f>
        <v/>
      </c>
      <c r="L1249" s="1" t="str">
        <f>IFERROR(__xludf.DUMMYFUNCTION("""COMPUTED_VALUE"""),"WHEELER SURVEY COMPANY LLC")</f>
        <v>WHEELER SURVEY COMPANY LLC</v>
      </c>
      <c r="M1249" s="1" t="str">
        <f>IFERROR(__xludf.DUMMYFUNCTION("""COMPUTED_VALUE"""),"")</f>
        <v/>
      </c>
      <c r="N1249" s="1" t="str">
        <f>IFERROR(__xludf.DUMMYFUNCTION("""COMPUTED_VALUE"""),"")</f>
        <v/>
      </c>
      <c r="O1249" s="1" t="str">
        <f>IFERROR(__xludf.DUMMYFUNCTION("""COMPUTED_VALUE"""),"Unknown")</f>
        <v>Unknown</v>
      </c>
      <c r="P1249" s="1" t="str">
        <f>IFERROR(__xludf.DUMMYFUNCTION("""COMPUTED_VALUE"""),"")</f>
        <v/>
      </c>
      <c r="Q1249" s="1" t="str">
        <f>IFERROR(__xludf.DUMMYFUNCTION("""COMPUTED_VALUE"""),"")</f>
        <v/>
      </c>
      <c r="R1249" s="1" t="str">
        <f>IFERROR(__xludf.DUMMYFUNCTION("""COMPUTED_VALUE"""),"")</f>
        <v/>
      </c>
      <c r="S1249" s="1" t="str">
        <f>IFERROR(__xludf.DUMMYFUNCTION("""COMPUTED_VALUE"""),"")</f>
        <v/>
      </c>
      <c r="T1249" s="1" t="str">
        <f>IFERROR(__xludf.DUMMYFUNCTION("""COMPUTED_VALUE"""),"")</f>
        <v/>
      </c>
      <c r="U1249" s="1" t="str">
        <f>IFERROR(__xludf.DUMMYFUNCTION("""COMPUTED_VALUE"""),"")</f>
        <v/>
      </c>
      <c r="V1249" s="1" t="str">
        <f>IFERROR(__xludf.DUMMYFUNCTION("""COMPUTED_VALUE"""),"538,565")</f>
        <v>538,565</v>
      </c>
      <c r="W1249" s="1" t="str">
        <f>IFERROR(__xludf.DUMMYFUNCTION("""COMPUTED_VALUE"""),"135")</f>
        <v>135</v>
      </c>
      <c r="X1249" s="1" t="str">
        <f>IFERROR(__xludf.DUMMYFUNCTION("""COMPUTED_VALUE"""),"")</f>
        <v/>
      </c>
      <c r="Y1249" s="1" t="str">
        <f>IFERROR(__xludf.DUMMYFUNCTION("""COMPUTED_VALUE"""),"")</f>
        <v/>
      </c>
      <c r="Z1249" s="1" t="str">
        <f>IFERROR(__xludf.DUMMYFUNCTION("""COMPUTED_VALUE"""),"Unknown")</f>
        <v>Unknown</v>
      </c>
      <c r="AA1249" s="1" t="str">
        <f>IFERROR(__xludf.DUMMYFUNCTION("""COMPUTED_VALUE"""),"")</f>
        <v/>
      </c>
      <c r="AB1249" s="1" t="str">
        <f>IFERROR(__xludf.DUMMYFUNCTION("""COMPUTED_VALUE"""),"")</f>
        <v/>
      </c>
      <c r="AC1249" s="1" t="str">
        <f>IFERROR(__xludf.DUMMYFUNCTION("""COMPUTED_VALUE"""),"")</f>
        <v/>
      </c>
      <c r="AD1249" s="1" t="str">
        <f>IFERROR(__xludf.DUMMYFUNCTION("""COMPUTED_VALUE"""),"")</f>
        <v/>
      </c>
      <c r="AE1249" s="1" t="str">
        <f>IFERROR(__xludf.DUMMYFUNCTION("""COMPUTED_VALUE"""),"")</f>
        <v/>
      </c>
      <c r="AF1249" s="1" t="str">
        <f>IFERROR(__xludf.DUMMYFUNCTION("""COMPUTED_VALUE"""),"")</f>
        <v/>
      </c>
      <c r="AG1249" s="1" t="str">
        <f>IFERROR(__xludf.DUMMYFUNCTION("""COMPUTED_VALUE"""),"Phase 1 and 2, Phase 3 353,385 sq ft expansion proposed")</f>
        <v>Phase 1 and 2, Phase 3 353,385 sq ft expansion proposed</v>
      </c>
      <c r="AH1249" s="1" t="str">
        <f>IFERROR(__xludf.DUMMYFUNCTION("""COMPUTED_VALUE"""),"PEC")</f>
        <v>PEC</v>
      </c>
      <c r="AI1249" s="2" t="str">
        <f>IFERROR(__xludf.DUMMYFUNCTION("""COMPUTED_VALUE"""),"https://loudouncountyvaeg.tylerhost.net/prod/selfservice#/plan/ceb6d3e2-f4d6-4a2f-a791-50cd5a6d03f3?tab=attachments")</f>
        <v>https://loudouncountyvaeg.tylerhost.net/prod/selfservice#/plan/ceb6d3e2-f4d6-4a2f-a791-50cd5a6d03f3?tab=attachments</v>
      </c>
      <c r="AJ1249" s="2" t="str">
        <f>IFERROR(__xludf.DUMMYFUNCTION("""COMPUTED_VALUE"""),"https://reparcelasmt.loudoun.gov/pt/datalets/datalet.aspx?mode=profileall&amp;UseSearch=no&amp;pin=162176713000&amp;jur=107&amp;taxyr=2024&amp;LMparent=20")</f>
        <v>https://reparcelasmt.loudoun.gov/pt/datalets/datalet.aspx?mode=profileall&amp;UseSearch=no&amp;pin=162176713000&amp;jur=107&amp;taxyr=2024&amp;LMparent=20</v>
      </c>
      <c r="AK1249" s="1" t="str">
        <f>IFERROR(__xludf.DUMMYFUNCTION("""COMPUTED_VALUE"""),"")</f>
        <v/>
      </c>
      <c r="AL1249" s="1" t="str">
        <f>IFERROR(__xludf.DUMMYFUNCTION("""COMPUTED_VALUE"""),"")</f>
        <v/>
      </c>
      <c r="AM1249" s="1" t="str">
        <f>IFERROR(__xludf.DUMMYFUNCTION("""COMPUTED_VALUE"""),"")</f>
        <v/>
      </c>
      <c r="AN1249" s="1" t="str">
        <f>IFERROR(__xludf.DUMMYFUNCTION("""COMPUTED_VALUE"""),"")</f>
        <v/>
      </c>
      <c r="AO1249" s="1" t="str">
        <f>IFERROR(__xludf.DUMMYFUNCTION("""COMPUTED_VALUE"""),"")</f>
        <v/>
      </c>
      <c r="AP1249" s="1" t="str">
        <f>IFERROR(__xludf.DUMMYFUNCTION("""COMPUTED_VALUE"""),"")</f>
        <v/>
      </c>
      <c r="AQ1249" s="1" t="str">
        <f>IFERROR(__xludf.DUMMYFUNCTION("""COMPUTED_VALUE"""),"08/06/2025")</f>
        <v>08/06/2025</v>
      </c>
      <c r="AR1249" s="1" t="str">
        <f>IFERROR(__xludf.DUMMYFUNCTION("""COMPUTED_VALUE"""),"02/10/2026")</f>
        <v>02/10/2026</v>
      </c>
    </row>
    <row r="1250">
      <c r="A1250" s="1" t="str">
        <f>IFERROR(__xludf.DUMMYFUNCTION("""COMPUTED_VALUE"""),"Mid-Atlantic Advanced Manufacturing Center")</f>
        <v>Mid-Atlantic Advanced Manufacturing Center</v>
      </c>
      <c r="B1250" s="1" t="str">
        <f>IFERROR(__xludf.DUMMYFUNCTION("""COMPUTED_VALUE"""),"1781 Greensville County Cir")</f>
        <v>1781 Greensville County Cir</v>
      </c>
      <c r="C1250" s="1" t="str">
        <f>IFERROR(__xludf.DUMMYFUNCTION("""COMPUTED_VALUE"""),"Emporia")</f>
        <v>Emporia</v>
      </c>
      <c r="D1250" s="1" t="str">
        <f>IFERROR(__xludf.DUMMYFUNCTION("""COMPUTED_VALUE"""),"VA")</f>
        <v>VA</v>
      </c>
      <c r="E1250" s="1" t="str">
        <f>IFERROR(__xludf.DUMMYFUNCTION("""COMPUTED_VALUE"""),"23847")</f>
        <v>23847</v>
      </c>
      <c r="F1250" s="1" t="str">
        <f>IFERROR(__xludf.DUMMYFUNCTION("""COMPUTED_VALUE"""),"Greensville")</f>
        <v>Greensville</v>
      </c>
      <c r="G1250" s="1" t="str">
        <f>IFERROR(__xludf.DUMMYFUNCTION("""COMPUTED_VALUE"""),"36.736736")</f>
        <v>36.736736</v>
      </c>
      <c r="H1250" s="1" t="str">
        <f>IFERROR(__xludf.DUMMYFUNCTION("""COMPUTED_VALUE"""),"-77.514694")</f>
        <v>-77.514694</v>
      </c>
      <c r="I1250" s="1" t="str">
        <f>IFERROR(__xludf.DUMMYFUNCTION("""COMPUTED_VALUE"""),"Proposed")</f>
        <v>Proposed</v>
      </c>
      <c r="J1250" s="1" t="str">
        <f>IFERROR(__xludf.DUMMYFUNCTION("""COMPUTED_VALUE"""),"High")</f>
        <v>High</v>
      </c>
      <c r="K1250" s="1" t="str">
        <f>IFERROR(__xludf.DUMMYFUNCTION("""COMPUTED_VALUE"""),"")</f>
        <v/>
      </c>
      <c r="L1250" s="1" t="str">
        <f>IFERROR(__xludf.DUMMYFUNCTION("""COMPUTED_VALUE"""),"Arup Americas Inc")</f>
        <v>Arup Americas Inc</v>
      </c>
      <c r="M1250" s="1" t="str">
        <f>IFERROR(__xludf.DUMMYFUNCTION("""COMPUTED_VALUE"""),"")</f>
        <v/>
      </c>
      <c r="N1250" s="1" t="str">
        <f>IFERROR(__xludf.DUMMYFUNCTION("""COMPUTED_VALUE"""),"")</f>
        <v/>
      </c>
      <c r="O1250" s="1" t="str">
        <f>IFERROR(__xludf.DUMMYFUNCTION("""COMPUTED_VALUE"""),"Unknown")</f>
        <v>Unknown</v>
      </c>
      <c r="P1250" s="1" t="str">
        <f>IFERROR(__xludf.DUMMYFUNCTION("""COMPUTED_VALUE"""),"")</f>
        <v/>
      </c>
      <c r="Q1250" s="1" t="str">
        <f>IFERROR(__xludf.DUMMYFUNCTION("""COMPUTED_VALUE"""),"")</f>
        <v/>
      </c>
      <c r="R1250" s="1" t="str">
        <f>IFERROR(__xludf.DUMMYFUNCTION("""COMPUTED_VALUE"""),"")</f>
        <v/>
      </c>
      <c r="S1250" s="1" t="str">
        <f>IFERROR(__xludf.DUMMYFUNCTION("""COMPUTED_VALUE"""),"")</f>
        <v/>
      </c>
      <c r="T1250" s="1" t="str">
        <f>IFERROR(__xludf.DUMMYFUNCTION("""COMPUTED_VALUE"""),"")</f>
        <v/>
      </c>
      <c r="U1250" s="1" t="str">
        <f>IFERROR(__xludf.DUMMYFUNCTION("""COMPUTED_VALUE"""),"")</f>
        <v/>
      </c>
      <c r="V1250" s="1" t="str">
        <f>IFERROR(__xludf.DUMMYFUNCTION("""COMPUTED_VALUE"""),"")</f>
        <v/>
      </c>
      <c r="W1250" s="1" t="str">
        <f>IFERROR(__xludf.DUMMYFUNCTION("""COMPUTED_VALUE"""),"930")</f>
        <v>930</v>
      </c>
      <c r="X1250" s="1" t="str">
        <f>IFERROR(__xludf.DUMMYFUNCTION("""COMPUTED_VALUE"""),"")</f>
        <v/>
      </c>
      <c r="Y1250" s="1" t="str">
        <f>IFERROR(__xludf.DUMMYFUNCTION("""COMPUTED_VALUE"""),"")</f>
        <v/>
      </c>
      <c r="Z1250" s="1" t="str">
        <f>IFERROR(__xludf.DUMMYFUNCTION("""COMPUTED_VALUE"""),"Unknown")</f>
        <v>Unknown</v>
      </c>
      <c r="AA1250" s="1" t="str">
        <f>IFERROR(__xludf.DUMMYFUNCTION("""COMPUTED_VALUE"""),"")</f>
        <v/>
      </c>
      <c r="AB1250" s="1" t="str">
        <f>IFERROR(__xludf.DUMMYFUNCTION("""COMPUTED_VALUE"""),"")</f>
        <v/>
      </c>
      <c r="AC1250" s="1" t="str">
        <f>IFERROR(__xludf.DUMMYFUNCTION("""COMPUTED_VALUE"""),"")</f>
        <v/>
      </c>
      <c r="AD1250" s="1" t="str">
        <f>IFERROR(__xludf.DUMMYFUNCTION("""COMPUTED_VALUE"""),"")</f>
        <v/>
      </c>
      <c r="AE1250" s="1" t="str">
        <f>IFERROR(__xludf.DUMMYFUNCTION("""COMPUTED_VALUE"""),"")</f>
        <v/>
      </c>
      <c r="AF1250" s="1" t="str">
        <f>IFERROR(__xludf.DUMMYFUNCTION("""COMPUTED_VALUE"""),"")</f>
        <v/>
      </c>
      <c r="AG1250" s="1" t="str">
        <f>IFERROR(__xludf.DUMMYFUNCTION("""COMPUTED_VALUE"""),"")</f>
        <v/>
      </c>
      <c r="AH1250" s="1" t="str">
        <f>IFERROR(__xludf.DUMMYFUNCTION("""COMPUTED_VALUE"""),"PEC")</f>
        <v>PEC</v>
      </c>
      <c r="AI1250" s="2" t="str">
        <f>IFERROR(__xludf.DUMMYFUNCTION("""COMPUTED_VALUE"""),"https://www.emporiaindependentmessenger.com/news/article_abbc9ab2-bd41-11ef-8e28-537ccf81ce7b.html")</f>
        <v>https://www.emporiaindependentmessenger.com/news/article_abbc9ab2-bd41-11ef-8e28-537ccf81ce7b.html</v>
      </c>
      <c r="AJ1250" s="2" t="str">
        <f>IFERROR(__xludf.DUMMYFUNCTION("""COMPUTED_VALUE"""),"https://www.webgis.net/va/greensville/?op=id&amp;id=1|parcels|MAP_PIN|21-97E")</f>
        <v>https://www.webgis.net/va/greensville/?op=id&amp;id=1|parcels|MAP_PIN|21-97E</v>
      </c>
      <c r="AK1250" s="1" t="str">
        <f>IFERROR(__xludf.DUMMYFUNCTION("""COMPUTED_VALUE"""),"")</f>
        <v/>
      </c>
      <c r="AL1250" s="1" t="str">
        <f>IFERROR(__xludf.DUMMYFUNCTION("""COMPUTED_VALUE"""),"")</f>
        <v/>
      </c>
      <c r="AM1250" s="1" t="str">
        <f>IFERROR(__xludf.DUMMYFUNCTION("""COMPUTED_VALUE"""),"")</f>
        <v/>
      </c>
      <c r="AN1250" s="1" t="str">
        <f>IFERROR(__xludf.DUMMYFUNCTION("""COMPUTED_VALUE"""),"")</f>
        <v/>
      </c>
      <c r="AO1250" s="1" t="str">
        <f>IFERROR(__xludf.DUMMYFUNCTION("""COMPUTED_VALUE"""),"")</f>
        <v/>
      </c>
      <c r="AP1250" s="1" t="str">
        <f>IFERROR(__xludf.DUMMYFUNCTION("""COMPUTED_VALUE"""),"")</f>
        <v/>
      </c>
      <c r="AQ1250" s="1" t="str">
        <f>IFERROR(__xludf.DUMMYFUNCTION("""COMPUTED_VALUE"""),"12/19/2024")</f>
        <v>12/19/2024</v>
      </c>
      <c r="AR1250" s="1" t="str">
        <f>IFERROR(__xludf.DUMMYFUNCTION("""COMPUTED_VALUE"""),"10/17/2025")</f>
        <v>10/17/2025</v>
      </c>
    </row>
    <row r="1251">
      <c r="A1251" s="1" t="str">
        <f>IFERROR(__xludf.DUMMYFUNCTION("""COMPUTED_VALUE"""),"BIT HOLDINGS FIFTY-FOUR")</f>
        <v>BIT HOLDINGS FIFTY-FOUR</v>
      </c>
      <c r="B1251" s="1" t="str">
        <f>IFERROR(__xludf.DUMMYFUNCTION("""COMPUTED_VALUE"""),"12902 FEDERAL SYSTEMS PARK DR")</f>
        <v>12902 FEDERAL SYSTEMS PARK DR</v>
      </c>
      <c r="C1251" s="1" t="str">
        <f>IFERROR(__xludf.DUMMYFUNCTION("""COMPUTED_VALUE"""),"Fairfax")</f>
        <v>Fairfax</v>
      </c>
      <c r="D1251" s="1" t="str">
        <f>IFERROR(__xludf.DUMMYFUNCTION("""COMPUTED_VALUE"""),"VA")</f>
        <v>VA</v>
      </c>
      <c r="E1251" s="1" t="str">
        <f>IFERROR(__xludf.DUMMYFUNCTION("""COMPUTED_VALUE"""),"22033")</f>
        <v>22033</v>
      </c>
      <c r="F1251" s="1" t="str">
        <f>IFERROR(__xludf.DUMMYFUNCTION("""COMPUTED_VALUE"""),"Fairfax")</f>
        <v>Fairfax</v>
      </c>
      <c r="G1251" s="1" t="str">
        <f>IFERROR(__xludf.DUMMYFUNCTION("""COMPUTED_VALUE"""),"38.860844")</f>
        <v>38.860844</v>
      </c>
      <c r="H1251" s="1" t="str">
        <f>IFERROR(__xludf.DUMMYFUNCTION("""COMPUTED_VALUE"""),"-77.39341")</f>
        <v>-77.39341</v>
      </c>
      <c r="I1251" s="1" t="str">
        <f>IFERROR(__xludf.DUMMYFUNCTION("""COMPUTED_VALUE"""),"Operating")</f>
        <v>Operating</v>
      </c>
      <c r="J1251" s="1" t="str">
        <f>IFERROR(__xludf.DUMMYFUNCTION("""COMPUTED_VALUE"""),"High")</f>
        <v>High</v>
      </c>
      <c r="K1251" s="1" t="str">
        <f>IFERROR(__xludf.DUMMYFUNCTION("""COMPUTED_VALUE"""),"")</f>
        <v/>
      </c>
      <c r="L1251" s="1" t="str">
        <f>IFERROR(__xludf.DUMMYFUNCTION("""COMPUTED_VALUE"""),"BIT HOLDINGS FIFTY-FOUR INC")</f>
        <v>BIT HOLDINGS FIFTY-FOUR INC</v>
      </c>
      <c r="M1251" s="1" t="str">
        <f>IFERROR(__xludf.DUMMYFUNCTION("""COMPUTED_VALUE"""),"")</f>
        <v/>
      </c>
      <c r="N1251" s="1" t="str">
        <f>IFERROR(__xludf.DUMMYFUNCTION("""COMPUTED_VALUE"""),"")</f>
        <v/>
      </c>
      <c r="O1251" s="1" t="str">
        <f>IFERROR(__xludf.DUMMYFUNCTION("""COMPUTED_VALUE"""),"Unknown")</f>
        <v>Unknown</v>
      </c>
      <c r="P1251" s="1" t="str">
        <f>IFERROR(__xludf.DUMMYFUNCTION("""COMPUTED_VALUE"""),"")</f>
        <v/>
      </c>
      <c r="Q1251" s="1" t="str">
        <f>IFERROR(__xludf.DUMMYFUNCTION("""COMPUTED_VALUE"""),"")</f>
        <v/>
      </c>
      <c r="R1251" s="1" t="str">
        <f>IFERROR(__xludf.DUMMYFUNCTION("""COMPUTED_VALUE"""),"")</f>
        <v/>
      </c>
      <c r="S1251" s="1" t="str">
        <f>IFERROR(__xludf.DUMMYFUNCTION("""COMPUTED_VALUE"""),"")</f>
        <v/>
      </c>
      <c r="T1251" s="1" t="str">
        <f>IFERROR(__xludf.DUMMYFUNCTION("""COMPUTED_VALUE"""),"")</f>
        <v/>
      </c>
      <c r="U1251" s="1" t="str">
        <f>IFERROR(__xludf.DUMMYFUNCTION("""COMPUTED_VALUE"""),"")</f>
        <v/>
      </c>
      <c r="V1251" s="1" t="str">
        <f>IFERROR(__xludf.DUMMYFUNCTION("""COMPUTED_VALUE"""),"338,364")</f>
        <v>338,364</v>
      </c>
      <c r="W1251" s="1" t="str">
        <f>IFERROR(__xludf.DUMMYFUNCTION("""COMPUTED_VALUE"""),"14")</f>
        <v>14</v>
      </c>
      <c r="X1251" s="1" t="str">
        <f>IFERROR(__xludf.DUMMYFUNCTION("""COMPUTED_VALUE"""),"")</f>
        <v/>
      </c>
      <c r="Y1251" s="1" t="str">
        <f>IFERROR(__xludf.DUMMYFUNCTION("""COMPUTED_VALUE"""),"")</f>
        <v/>
      </c>
      <c r="Z1251" s="1" t="str">
        <f>IFERROR(__xludf.DUMMYFUNCTION("""COMPUTED_VALUE"""),"Unknown")</f>
        <v>Unknown</v>
      </c>
      <c r="AA1251" s="1" t="str">
        <f>IFERROR(__xludf.DUMMYFUNCTION("""COMPUTED_VALUE"""),"")</f>
        <v/>
      </c>
      <c r="AB1251" s="1" t="str">
        <f>IFERROR(__xludf.DUMMYFUNCTION("""COMPUTED_VALUE"""),"")</f>
        <v/>
      </c>
      <c r="AC1251" s="1" t="str">
        <f>IFERROR(__xludf.DUMMYFUNCTION("""COMPUTED_VALUE"""),"")</f>
        <v/>
      </c>
      <c r="AD1251" s="1" t="str">
        <f>IFERROR(__xludf.DUMMYFUNCTION("""COMPUTED_VALUE"""),"")</f>
        <v/>
      </c>
      <c r="AE1251" s="1" t="str">
        <f>IFERROR(__xludf.DUMMYFUNCTION("""COMPUTED_VALUE"""),"")</f>
        <v/>
      </c>
      <c r="AF1251" s="1" t="str">
        <f>IFERROR(__xludf.DUMMYFUNCTION("""COMPUTED_VALUE"""),"")</f>
        <v/>
      </c>
      <c r="AG1251" s="1" t="str">
        <f>IFERROR(__xludf.DUMMYFUNCTION("""COMPUTED_VALUE"""),"")</f>
        <v/>
      </c>
      <c r="AH1251" s="1" t="str">
        <f>IFERROR(__xludf.DUMMYFUNCTION("""COMPUTED_VALUE"""),"PEC")</f>
        <v>PEC</v>
      </c>
      <c r="AI1251" s="2" t="str">
        <f>IFERROR(__xludf.DUMMYFUNCTION("""COMPUTED_VALUE"""),"https://icare.fairfaxcounty.gov/ffxcare/Datalets/Datalet.aspx?mode=&amp;UseSearch=no&amp;pin=0552%2001%20%200019&amp;jur=129&amp;taxyr=2025")</f>
        <v>https://icare.fairfaxcounty.gov/ffxcare/Datalets/Datalet.aspx?mode=&amp;UseSearch=no&amp;pin=0552%2001%20%200019&amp;jur=129&amp;taxyr=2025</v>
      </c>
      <c r="AJ1251" s="1" t="str">
        <f>IFERROR(__xludf.DUMMYFUNCTION("""COMPUTED_VALUE"""),"")</f>
        <v/>
      </c>
      <c r="AK1251" s="1" t="str">
        <f>IFERROR(__xludf.DUMMYFUNCTION("""COMPUTED_VALUE"""),"")</f>
        <v/>
      </c>
      <c r="AL1251" s="1" t="str">
        <f>IFERROR(__xludf.DUMMYFUNCTION("""COMPUTED_VALUE"""),"")</f>
        <v/>
      </c>
      <c r="AM1251" s="1" t="str">
        <f>IFERROR(__xludf.DUMMYFUNCTION("""COMPUTED_VALUE"""),"")</f>
        <v/>
      </c>
      <c r="AN1251" s="1" t="str">
        <f>IFERROR(__xludf.DUMMYFUNCTION("""COMPUTED_VALUE"""),"")</f>
        <v/>
      </c>
      <c r="AO1251" s="1" t="str">
        <f>IFERROR(__xludf.DUMMYFUNCTION("""COMPUTED_VALUE"""),"")</f>
        <v/>
      </c>
      <c r="AP1251" s="1" t="str">
        <f>IFERROR(__xludf.DUMMYFUNCTION("""COMPUTED_VALUE"""),"")</f>
        <v/>
      </c>
      <c r="AQ1251" s="1" t="str">
        <f>IFERROR(__xludf.DUMMYFUNCTION("""COMPUTED_VALUE"""),"04/10/2024")</f>
        <v>04/10/2024</v>
      </c>
      <c r="AR1251" s="1" t="str">
        <f>IFERROR(__xludf.DUMMYFUNCTION("""COMPUTED_VALUE"""),"10/17/2025")</f>
        <v>10/17/2025</v>
      </c>
    </row>
    <row r="1252">
      <c r="A1252" s="1" t="str">
        <f>IFERROR(__xludf.DUMMYFUNCTION("""COMPUTED_VALUE"""),"COPT STONECROFT")</f>
        <v>COPT STONECROFT</v>
      </c>
      <c r="B1252" s="1" t="str">
        <f>IFERROR(__xludf.DUMMYFUNCTION("""COMPUTED_VALUE"""),"4850 STONECROFT BLVD")</f>
        <v>4850 STONECROFT BLVD</v>
      </c>
      <c r="C1252" s="1" t="str">
        <f>IFERROR(__xludf.DUMMYFUNCTION("""COMPUTED_VALUE"""),"Fairfax")</f>
        <v>Fairfax</v>
      </c>
      <c r="D1252" s="1" t="str">
        <f>IFERROR(__xludf.DUMMYFUNCTION("""COMPUTED_VALUE"""),"VA")</f>
        <v>VA</v>
      </c>
      <c r="E1252" s="1" t="str">
        <f>IFERROR(__xludf.DUMMYFUNCTION("""COMPUTED_VALUE"""),"22033")</f>
        <v>22033</v>
      </c>
      <c r="F1252" s="1" t="str">
        <f>IFERROR(__xludf.DUMMYFUNCTION("""COMPUTED_VALUE"""),"Fairfax")</f>
        <v>Fairfax</v>
      </c>
      <c r="G1252" s="1" t="str">
        <f>IFERROR(__xludf.DUMMYFUNCTION("""COMPUTED_VALUE"""),"38.876263")</f>
        <v>38.876263</v>
      </c>
      <c r="H1252" s="1" t="str">
        <f>IFERROR(__xludf.DUMMYFUNCTION("""COMPUTED_VALUE"""),"-77.46178")</f>
        <v>-77.46178</v>
      </c>
      <c r="I1252" s="1" t="str">
        <f>IFERROR(__xludf.DUMMYFUNCTION("""COMPUTED_VALUE"""),"Operating")</f>
        <v>Operating</v>
      </c>
      <c r="J1252" s="1" t="str">
        <f>IFERROR(__xludf.DUMMYFUNCTION("""COMPUTED_VALUE"""),"High")</f>
        <v>High</v>
      </c>
      <c r="K1252" s="1" t="str">
        <f>IFERROR(__xludf.DUMMYFUNCTION("""COMPUTED_VALUE"""),"")</f>
        <v/>
      </c>
      <c r="L1252" s="1" t="str">
        <f>IFERROR(__xludf.DUMMYFUNCTION("""COMPUTED_VALUE"""),"COPT STONECROFT LLC")</f>
        <v>COPT STONECROFT LLC</v>
      </c>
      <c r="M1252" s="1" t="str">
        <f>IFERROR(__xludf.DUMMYFUNCTION("""COMPUTED_VALUE"""),"")</f>
        <v/>
      </c>
      <c r="N1252" s="1" t="str">
        <f>IFERROR(__xludf.DUMMYFUNCTION("""COMPUTED_VALUE"""),"")</f>
        <v/>
      </c>
      <c r="O1252" s="1" t="str">
        <f>IFERROR(__xludf.DUMMYFUNCTION("""COMPUTED_VALUE"""),"Unknown")</f>
        <v>Unknown</v>
      </c>
      <c r="P1252" s="1" t="str">
        <f>IFERROR(__xludf.DUMMYFUNCTION("""COMPUTED_VALUE"""),"")</f>
        <v/>
      </c>
      <c r="Q1252" s="1" t="str">
        <f>IFERROR(__xludf.DUMMYFUNCTION("""COMPUTED_VALUE"""),"")</f>
        <v/>
      </c>
      <c r="R1252" s="1" t="str">
        <f>IFERROR(__xludf.DUMMYFUNCTION("""COMPUTED_VALUE"""),"")</f>
        <v/>
      </c>
      <c r="S1252" s="1" t="str">
        <f>IFERROR(__xludf.DUMMYFUNCTION("""COMPUTED_VALUE"""),"")</f>
        <v/>
      </c>
      <c r="T1252" s="1" t="str">
        <f>IFERROR(__xludf.DUMMYFUNCTION("""COMPUTED_VALUE"""),"")</f>
        <v/>
      </c>
      <c r="U1252" s="1" t="str">
        <f>IFERROR(__xludf.DUMMYFUNCTION("""COMPUTED_VALUE"""),"")</f>
        <v/>
      </c>
      <c r="V1252" s="1" t="str">
        <f>IFERROR(__xludf.DUMMYFUNCTION("""COMPUTED_VALUE"""),"320,330")</f>
        <v>320,330</v>
      </c>
      <c r="W1252" s="1" t="str">
        <f>IFERROR(__xludf.DUMMYFUNCTION("""COMPUTED_VALUE"""),"64")</f>
        <v>64</v>
      </c>
      <c r="X1252" s="1" t="str">
        <f>IFERROR(__xludf.DUMMYFUNCTION("""COMPUTED_VALUE"""),"")</f>
        <v/>
      </c>
      <c r="Y1252" s="1" t="str">
        <f>IFERROR(__xludf.DUMMYFUNCTION("""COMPUTED_VALUE"""),"")</f>
        <v/>
      </c>
      <c r="Z1252" s="1" t="str">
        <f>IFERROR(__xludf.DUMMYFUNCTION("""COMPUTED_VALUE"""),"Unknown")</f>
        <v>Unknown</v>
      </c>
      <c r="AA1252" s="1" t="str">
        <f>IFERROR(__xludf.DUMMYFUNCTION("""COMPUTED_VALUE"""),"")</f>
        <v/>
      </c>
      <c r="AB1252" s="1" t="str">
        <f>IFERROR(__xludf.DUMMYFUNCTION("""COMPUTED_VALUE"""),"")</f>
        <v/>
      </c>
      <c r="AC1252" s="1" t="str">
        <f>IFERROR(__xludf.DUMMYFUNCTION("""COMPUTED_VALUE"""),"")</f>
        <v/>
      </c>
      <c r="AD1252" s="1" t="str">
        <f>IFERROR(__xludf.DUMMYFUNCTION("""COMPUTED_VALUE"""),"")</f>
        <v/>
      </c>
      <c r="AE1252" s="1" t="str">
        <f>IFERROR(__xludf.DUMMYFUNCTION("""COMPUTED_VALUE"""),"")</f>
        <v/>
      </c>
      <c r="AF1252" s="1" t="str">
        <f>IFERROR(__xludf.DUMMYFUNCTION("""COMPUTED_VALUE"""),"")</f>
        <v/>
      </c>
      <c r="AG1252" s="1" t="str">
        <f>IFERROR(__xludf.DUMMYFUNCTION("""COMPUTED_VALUE"""),"square footage may be underrepresented")</f>
        <v>square footage may be underrepresented</v>
      </c>
      <c r="AH1252" s="1" t="str">
        <f>IFERROR(__xludf.DUMMYFUNCTION("""COMPUTED_VALUE"""),"PEC")</f>
        <v>PEC</v>
      </c>
      <c r="AI1252" s="2" t="str">
        <f>IFERROR(__xludf.DUMMYFUNCTION("""COMPUTED_VALUE"""),"https://icare.fairfaxcounty.gov/ffxcare/datalets/datalet.aspx?mode=profileall&amp;UseSearch=no&amp;pin=0432%2002%20%200039C&amp;jur=129&amp;taxyr=2025&amp;LMparent=138")</f>
        <v>https://icare.fairfaxcounty.gov/ffxcare/datalets/datalet.aspx?mode=profileall&amp;UseSearch=no&amp;pin=0432%2002%20%200039C&amp;jur=129&amp;taxyr=2025&amp;LMparent=138</v>
      </c>
      <c r="AJ1252" s="1" t="str">
        <f>IFERROR(__xludf.DUMMYFUNCTION("""COMPUTED_VALUE"""),"")</f>
        <v/>
      </c>
      <c r="AK1252" s="1" t="str">
        <f>IFERROR(__xludf.DUMMYFUNCTION("""COMPUTED_VALUE"""),"")</f>
        <v/>
      </c>
      <c r="AL1252" s="1" t="str">
        <f>IFERROR(__xludf.DUMMYFUNCTION("""COMPUTED_VALUE"""),"")</f>
        <v/>
      </c>
      <c r="AM1252" s="1" t="str">
        <f>IFERROR(__xludf.DUMMYFUNCTION("""COMPUTED_VALUE"""),"")</f>
        <v/>
      </c>
      <c r="AN1252" s="1" t="str">
        <f>IFERROR(__xludf.DUMMYFUNCTION("""COMPUTED_VALUE"""),"")</f>
        <v/>
      </c>
      <c r="AO1252" s="1" t="str">
        <f>IFERROR(__xludf.DUMMYFUNCTION("""COMPUTED_VALUE"""),"")</f>
        <v/>
      </c>
      <c r="AP1252" s="1" t="str">
        <f>IFERROR(__xludf.DUMMYFUNCTION("""COMPUTED_VALUE"""),"")</f>
        <v/>
      </c>
      <c r="AQ1252" s="1" t="str">
        <f>IFERROR(__xludf.DUMMYFUNCTION("""COMPUTED_VALUE"""),"04/10/2024")</f>
        <v>04/10/2024</v>
      </c>
      <c r="AR1252" s="1" t="str">
        <f>IFERROR(__xludf.DUMMYFUNCTION("""COMPUTED_VALUE"""),"10/17/2025")</f>
        <v>10/17/2025</v>
      </c>
    </row>
    <row r="1253">
      <c r="A1253" s="1" t="str">
        <f>IFERROR(__xludf.DUMMYFUNCTION("""COMPUTED_VALUE"""),"Data center")</f>
        <v>Data center</v>
      </c>
      <c r="B1253" s="1" t="str">
        <f>IFERROR(__xludf.DUMMYFUNCTION("""COMPUTED_VALUE"""),"8132 US-29")</f>
        <v>8132 US-29</v>
      </c>
      <c r="C1253" s="1" t="str">
        <f>IFERROR(__xludf.DUMMYFUNCTION("""COMPUTED_VALUE"""),"Falls Church")</f>
        <v>Falls Church</v>
      </c>
      <c r="D1253" s="1" t="str">
        <f>IFERROR(__xludf.DUMMYFUNCTION("""COMPUTED_VALUE"""),"VA")</f>
        <v>VA</v>
      </c>
      <c r="E1253" s="1" t="str">
        <f>IFERROR(__xludf.DUMMYFUNCTION("""COMPUTED_VALUE"""),"22042")</f>
        <v>22042</v>
      </c>
      <c r="F1253" s="1" t="str">
        <f>IFERROR(__xludf.DUMMYFUNCTION("""COMPUTED_VALUE"""),"Prince William")</f>
        <v>Prince William</v>
      </c>
      <c r="G1253" s="1" t="str">
        <f>IFERROR(__xludf.DUMMYFUNCTION("""COMPUTED_VALUE"""),"38.846428")</f>
        <v>38.846428</v>
      </c>
      <c r="H1253" s="1" t="str">
        <f>IFERROR(__xludf.DUMMYFUNCTION("""COMPUTED_VALUE"""),"-77.36562")</f>
        <v>-77.36562</v>
      </c>
      <c r="I1253" s="1" t="str">
        <f>IFERROR(__xludf.DUMMYFUNCTION("""COMPUTED_VALUE"""),"Proposed")</f>
        <v>Proposed</v>
      </c>
      <c r="J1253" s="1" t="str">
        <f>IFERROR(__xludf.DUMMYFUNCTION("""COMPUTED_VALUE"""),"High")</f>
        <v>High</v>
      </c>
      <c r="K1253" s="1" t="str">
        <f>IFERROR(__xludf.DUMMYFUNCTION("""COMPUTED_VALUE"""),"")</f>
        <v/>
      </c>
      <c r="L1253" s="1" t="str">
        <f>IFERROR(__xludf.DUMMYFUNCTION("""COMPUTED_VALUE"""),"Black Chamber Partners, LLC")</f>
        <v>Black Chamber Partners, LLC</v>
      </c>
      <c r="M1253" s="1" t="str">
        <f>IFERROR(__xludf.DUMMYFUNCTION("""COMPUTED_VALUE"""),"")</f>
        <v/>
      </c>
      <c r="N1253" s="1" t="str">
        <f>IFERROR(__xludf.DUMMYFUNCTION("""COMPUTED_VALUE"""),"")</f>
        <v/>
      </c>
      <c r="O1253" s="1" t="str">
        <f>IFERROR(__xludf.DUMMYFUNCTION("""COMPUTED_VALUE"""),"Unknown")</f>
        <v>Unknown</v>
      </c>
      <c r="P1253" s="1" t="str">
        <f>IFERROR(__xludf.DUMMYFUNCTION("""COMPUTED_VALUE"""),"")</f>
        <v/>
      </c>
      <c r="Q1253" s="1" t="str">
        <f>IFERROR(__xludf.DUMMYFUNCTION("""COMPUTED_VALUE"""),"")</f>
        <v/>
      </c>
      <c r="R1253" s="1" t="str">
        <f>IFERROR(__xludf.DUMMYFUNCTION("""COMPUTED_VALUE"""),"")</f>
        <v/>
      </c>
      <c r="S1253" s="1" t="str">
        <f>IFERROR(__xludf.DUMMYFUNCTION("""COMPUTED_VALUE"""),"")</f>
        <v/>
      </c>
      <c r="T1253" s="1" t="str">
        <f>IFERROR(__xludf.DUMMYFUNCTION("""COMPUTED_VALUE"""),"")</f>
        <v/>
      </c>
      <c r="U1253" s="1" t="str">
        <f>IFERROR(__xludf.DUMMYFUNCTION("""COMPUTED_VALUE"""),"")</f>
        <v/>
      </c>
      <c r="V1253" s="1" t="str">
        <f>IFERROR(__xludf.DUMMYFUNCTION("""COMPUTED_VALUE"""),"")</f>
        <v/>
      </c>
      <c r="W1253" s="1" t="str">
        <f>IFERROR(__xludf.DUMMYFUNCTION("""COMPUTED_VALUE"""),"38")</f>
        <v>38</v>
      </c>
      <c r="X1253" s="1" t="str">
        <f>IFERROR(__xludf.DUMMYFUNCTION("""COMPUTED_VALUE"""),"$160 million")</f>
        <v>$160 million</v>
      </c>
      <c r="Y1253" s="1" t="str">
        <f>IFERROR(__xludf.DUMMYFUNCTION("""COMPUTED_VALUE"""),"")</f>
        <v/>
      </c>
      <c r="Z1253" s="1" t="str">
        <f>IFERROR(__xludf.DUMMYFUNCTION("""COMPUTED_VALUE"""),"Unknown")</f>
        <v>Unknown</v>
      </c>
      <c r="AA1253" s="1" t="str">
        <f>IFERROR(__xludf.DUMMYFUNCTION("""COMPUTED_VALUE"""),"")</f>
        <v/>
      </c>
      <c r="AB1253" s="1" t="str">
        <f>IFERROR(__xludf.DUMMYFUNCTION("""COMPUTED_VALUE"""),"")</f>
        <v/>
      </c>
      <c r="AC1253" s="1" t="str">
        <f>IFERROR(__xludf.DUMMYFUNCTION("""COMPUTED_VALUE"""),"")</f>
        <v/>
      </c>
      <c r="AD1253" s="1" t="str">
        <f>IFERROR(__xludf.DUMMYFUNCTION("""COMPUTED_VALUE"""),"")</f>
        <v/>
      </c>
      <c r="AE1253" s="1" t="str">
        <f>IFERROR(__xludf.DUMMYFUNCTION("""COMPUTED_VALUE"""),"")</f>
        <v/>
      </c>
      <c r="AF1253" s="1" t="str">
        <f>IFERROR(__xludf.DUMMYFUNCTION("""COMPUTED_VALUE"""),"")</f>
        <v/>
      </c>
      <c r="AG1253" s="1" t="str">
        <f>IFERROR(__xludf.DUMMYFUNCTION("""COMPUTED_VALUE"""),"")</f>
        <v/>
      </c>
      <c r="AH1253" s="1" t="str">
        <f>IFERROR(__xludf.DUMMYFUNCTION("""COMPUTED_VALUE"""),"Media Monitoring")</f>
        <v>Media Monitoring</v>
      </c>
      <c r="AI1253" s="2" t="str">
        <f>IFERROR(__xludf.DUMMYFUNCTION("""COMPUTED_VALUE"""),"https://www.princewilliamtimes.com/news/breaking-popular-merrifield-garden-center-to-close-after-selling-for-data-centers/article_38bbb8b7-f9d4-47d6-90b2-1cb26e9a81b8.html")</f>
        <v>https://www.princewilliamtimes.com/news/breaking-popular-merrifield-garden-center-to-close-after-selling-for-data-centers/article_38bbb8b7-f9d4-47d6-90b2-1cb26e9a81b8.html</v>
      </c>
      <c r="AJ1253" s="1" t="str">
        <f>IFERROR(__xludf.DUMMYFUNCTION("""COMPUTED_VALUE"""),"")</f>
        <v/>
      </c>
      <c r="AK1253" s="1" t="str">
        <f>IFERROR(__xludf.DUMMYFUNCTION("""COMPUTED_VALUE"""),"")</f>
        <v/>
      </c>
      <c r="AL1253" s="1" t="str">
        <f>IFERROR(__xludf.DUMMYFUNCTION("""COMPUTED_VALUE"""),"")</f>
        <v/>
      </c>
      <c r="AM1253" s="1" t="str">
        <f>IFERROR(__xludf.DUMMYFUNCTION("""COMPUTED_VALUE"""),"")</f>
        <v/>
      </c>
      <c r="AN1253" s="1" t="str">
        <f>IFERROR(__xludf.DUMMYFUNCTION("""COMPUTED_VALUE"""),"")</f>
        <v/>
      </c>
      <c r="AO1253" s="1" t="str">
        <f>IFERROR(__xludf.DUMMYFUNCTION("""COMPUTED_VALUE"""),"")</f>
        <v/>
      </c>
      <c r="AP1253" s="1" t="str">
        <f>IFERROR(__xludf.DUMMYFUNCTION("""COMPUTED_VALUE"""),"")</f>
        <v/>
      </c>
      <c r="AQ1253" s="1" t="str">
        <f>IFERROR(__xludf.DUMMYFUNCTION("""COMPUTED_VALUE"""),"10/21/2025")</f>
        <v>10/21/2025</v>
      </c>
      <c r="AR1253" s="1" t="str">
        <f>IFERROR(__xludf.DUMMYFUNCTION("""COMPUTED_VALUE"""),"10/21/2025")</f>
        <v>10/21/2025</v>
      </c>
    </row>
    <row r="1254">
      <c r="A1254" s="1" t="str">
        <f>IFERROR(__xludf.DUMMYFUNCTION("""COMPUTED_VALUE"""),"Northrop Grumman Systems Corporation")</f>
        <v>Northrop Grumman Systems Corporation</v>
      </c>
      <c r="B1254" s="1" t="str">
        <f>IFERROR(__xludf.DUMMYFUNCTION("""COMPUTED_VALUE"""),"7555 COLSHIRE DR")</f>
        <v>7555 COLSHIRE DR</v>
      </c>
      <c r="C1254" s="1" t="str">
        <f>IFERROR(__xludf.DUMMYFUNCTION("""COMPUTED_VALUE"""),"Falls Church")</f>
        <v>Falls Church</v>
      </c>
      <c r="D1254" s="1" t="str">
        <f>IFERROR(__xludf.DUMMYFUNCTION("""COMPUTED_VALUE"""),"VA")</f>
        <v>VA</v>
      </c>
      <c r="E1254" s="1" t="str">
        <f>IFERROR(__xludf.DUMMYFUNCTION("""COMPUTED_VALUE"""),"22042")</f>
        <v>22042</v>
      </c>
      <c r="F1254" s="1" t="str">
        <f>IFERROR(__xludf.DUMMYFUNCTION("""COMPUTED_VALUE"""),"Fairfax")</f>
        <v>Fairfax</v>
      </c>
      <c r="G1254" s="1" t="str">
        <f>IFERROR(__xludf.DUMMYFUNCTION("""COMPUTED_VALUE"""),"38.92188")</f>
        <v>38.92188</v>
      </c>
      <c r="H1254" s="1" t="str">
        <f>IFERROR(__xludf.DUMMYFUNCTION("""COMPUTED_VALUE"""),"-77.20684")</f>
        <v>-77.20684</v>
      </c>
      <c r="I1254" s="1" t="str">
        <f>IFERROR(__xludf.DUMMYFUNCTION("""COMPUTED_VALUE"""),"Operating")</f>
        <v>Operating</v>
      </c>
      <c r="J1254" s="1" t="str">
        <f>IFERROR(__xludf.DUMMYFUNCTION("""COMPUTED_VALUE"""),"High")</f>
        <v>High</v>
      </c>
      <c r="K1254" s="1" t="str">
        <f>IFERROR(__xludf.DUMMYFUNCTION("""COMPUTED_VALUE"""),"")</f>
        <v/>
      </c>
      <c r="L1254" s="1" t="str">
        <f>IFERROR(__xludf.DUMMYFUNCTION("""COMPUTED_VALUE"""),"NORTHROP GRUMMAN SYSTEMS CORP")</f>
        <v>NORTHROP GRUMMAN SYSTEMS CORP</v>
      </c>
      <c r="M1254" s="1" t="str">
        <f>IFERROR(__xludf.DUMMYFUNCTION("""COMPUTED_VALUE"""),"")</f>
        <v/>
      </c>
      <c r="N1254" s="1" t="str">
        <f>IFERROR(__xludf.DUMMYFUNCTION("""COMPUTED_VALUE"""),"")</f>
        <v/>
      </c>
      <c r="O1254" s="1" t="str">
        <f>IFERROR(__xludf.DUMMYFUNCTION("""COMPUTED_VALUE"""),"Unknown")</f>
        <v>Unknown</v>
      </c>
      <c r="P1254" s="1" t="str">
        <f>IFERROR(__xludf.DUMMYFUNCTION("""COMPUTED_VALUE"""),"")</f>
        <v/>
      </c>
      <c r="Q1254" s="1" t="str">
        <f>IFERROR(__xludf.DUMMYFUNCTION("""COMPUTED_VALUE"""),"")</f>
        <v/>
      </c>
      <c r="R1254" s="1" t="str">
        <f>IFERROR(__xludf.DUMMYFUNCTION("""COMPUTED_VALUE"""),"")</f>
        <v/>
      </c>
      <c r="S1254" s="1" t="str">
        <f>IFERROR(__xludf.DUMMYFUNCTION("""COMPUTED_VALUE"""),"")</f>
        <v/>
      </c>
      <c r="T1254" s="1" t="str">
        <f>IFERROR(__xludf.DUMMYFUNCTION("""COMPUTED_VALUE"""),"")</f>
        <v/>
      </c>
      <c r="U1254" s="1" t="str">
        <f>IFERROR(__xludf.DUMMYFUNCTION("""COMPUTED_VALUE"""),"")</f>
        <v/>
      </c>
      <c r="V1254" s="1" t="str">
        <f>IFERROR(__xludf.DUMMYFUNCTION("""COMPUTED_VALUE"""),"602,257")</f>
        <v>602,257</v>
      </c>
      <c r="W1254" s="1" t="str">
        <f>IFERROR(__xludf.DUMMYFUNCTION("""COMPUTED_VALUE"""),"12")</f>
        <v>12</v>
      </c>
      <c r="X1254" s="1" t="str">
        <f>IFERROR(__xludf.DUMMYFUNCTION("""COMPUTED_VALUE"""),"")</f>
        <v/>
      </c>
      <c r="Y1254" s="1" t="str">
        <f>IFERROR(__xludf.DUMMYFUNCTION("""COMPUTED_VALUE"""),"")</f>
        <v/>
      </c>
      <c r="Z1254" s="1" t="str">
        <f>IFERROR(__xludf.DUMMYFUNCTION("""COMPUTED_VALUE"""),"Unknown")</f>
        <v>Unknown</v>
      </c>
      <c r="AA1254" s="1" t="str">
        <f>IFERROR(__xludf.DUMMYFUNCTION("""COMPUTED_VALUE"""),"")</f>
        <v/>
      </c>
      <c r="AB1254" s="1" t="str">
        <f>IFERROR(__xludf.DUMMYFUNCTION("""COMPUTED_VALUE"""),"")</f>
        <v/>
      </c>
      <c r="AC1254" s="1" t="str">
        <f>IFERROR(__xludf.DUMMYFUNCTION("""COMPUTED_VALUE"""),"")</f>
        <v/>
      </c>
      <c r="AD1254" s="1" t="str">
        <f>IFERROR(__xludf.DUMMYFUNCTION("""COMPUTED_VALUE"""),"")</f>
        <v/>
      </c>
      <c r="AE1254" s="1" t="str">
        <f>IFERROR(__xludf.DUMMYFUNCTION("""COMPUTED_VALUE"""),"")</f>
        <v/>
      </c>
      <c r="AF1254" s="1" t="str">
        <f>IFERROR(__xludf.DUMMYFUNCTION("""COMPUTED_VALUE"""),"")</f>
        <v/>
      </c>
      <c r="AG1254" s="1" t="str">
        <f>IFERROR(__xludf.DUMMYFUNCTION("""COMPUTED_VALUE"""),"")</f>
        <v/>
      </c>
      <c r="AH1254" s="1" t="str">
        <f>IFERROR(__xludf.DUMMYFUNCTION("""COMPUTED_VALUE"""),"PEC")</f>
        <v>PEC</v>
      </c>
      <c r="AI1254" s="2" t="str">
        <f>IFERROR(__xludf.DUMMYFUNCTION("""COMPUTED_VALUE"""),"https://icare.fairfaxcounty.gov/ffxcare/Datalets/Datalet.aspx?mode=&amp;UseSearch=no&amp;pin=0303%2028%20%20%20%20%20%20C2&amp;jur=129&amp;taxyr=2025")</f>
        <v>https://icare.fairfaxcounty.gov/ffxcare/Datalets/Datalet.aspx?mode=&amp;UseSearch=no&amp;pin=0303%2028%20%20%20%20%20%20C2&amp;jur=129&amp;taxyr=2025</v>
      </c>
      <c r="AJ1254" s="1" t="str">
        <f>IFERROR(__xludf.DUMMYFUNCTION("""COMPUTED_VALUE"""),"")</f>
        <v/>
      </c>
      <c r="AK1254" s="1" t="str">
        <f>IFERROR(__xludf.DUMMYFUNCTION("""COMPUTED_VALUE"""),"")</f>
        <v/>
      </c>
      <c r="AL1254" s="1" t="str">
        <f>IFERROR(__xludf.DUMMYFUNCTION("""COMPUTED_VALUE"""),"")</f>
        <v/>
      </c>
      <c r="AM1254" s="1" t="str">
        <f>IFERROR(__xludf.DUMMYFUNCTION("""COMPUTED_VALUE"""),"")</f>
        <v/>
      </c>
      <c r="AN1254" s="1" t="str">
        <f>IFERROR(__xludf.DUMMYFUNCTION("""COMPUTED_VALUE"""),"")</f>
        <v/>
      </c>
      <c r="AO1254" s="1" t="str">
        <f>IFERROR(__xludf.DUMMYFUNCTION("""COMPUTED_VALUE"""),"")</f>
        <v/>
      </c>
      <c r="AP1254" s="1" t="str">
        <f>IFERROR(__xludf.DUMMYFUNCTION("""COMPUTED_VALUE"""),"")</f>
        <v/>
      </c>
      <c r="AQ1254" s="1" t="str">
        <f>IFERROR(__xludf.DUMMYFUNCTION("""COMPUTED_VALUE"""),"04/10/2024")</f>
        <v>04/10/2024</v>
      </c>
      <c r="AR1254" s="1" t="str">
        <f>IFERROR(__xludf.DUMMYFUNCTION("""COMPUTED_VALUE"""),"10/17/2025")</f>
        <v>10/17/2025</v>
      </c>
    </row>
    <row r="1255">
      <c r="A1255" s="1" t="str">
        <f>IFERROR(__xludf.DUMMYFUNCTION("""COMPUTED_VALUE"""),"Northrop Grummon Systems Corporation")</f>
        <v>Northrop Grummon Systems Corporation</v>
      </c>
      <c r="B1255" s="1" t="str">
        <f>IFERROR(__xludf.DUMMYFUNCTION("""COMPUTED_VALUE"""),"2980 FAIRVIEW PARK DR")</f>
        <v>2980 FAIRVIEW PARK DR</v>
      </c>
      <c r="C1255" s="1" t="str">
        <f>IFERROR(__xludf.DUMMYFUNCTION("""COMPUTED_VALUE"""),"Falls Church")</f>
        <v>Falls Church</v>
      </c>
      <c r="D1255" s="1" t="str">
        <f>IFERROR(__xludf.DUMMYFUNCTION("""COMPUTED_VALUE"""),"VA")</f>
        <v>VA</v>
      </c>
      <c r="E1255" s="1" t="str">
        <f>IFERROR(__xludf.DUMMYFUNCTION("""COMPUTED_VALUE"""),"22042")</f>
        <v>22042</v>
      </c>
      <c r="F1255" s="1" t="str">
        <f>IFERROR(__xludf.DUMMYFUNCTION("""COMPUTED_VALUE"""),"Fairfax")</f>
        <v>Fairfax</v>
      </c>
      <c r="G1255" s="1" t="str">
        <f>IFERROR(__xludf.DUMMYFUNCTION("""COMPUTED_VALUE"""),"38.867813")</f>
        <v>38.867813</v>
      </c>
      <c r="H1255" s="1" t="str">
        <f>IFERROR(__xludf.DUMMYFUNCTION("""COMPUTED_VALUE"""),"-77.21562")</f>
        <v>-77.21562</v>
      </c>
      <c r="I1255" s="1" t="str">
        <f>IFERROR(__xludf.DUMMYFUNCTION("""COMPUTED_VALUE"""),"Operating")</f>
        <v>Operating</v>
      </c>
      <c r="J1255" s="1" t="str">
        <f>IFERROR(__xludf.DUMMYFUNCTION("""COMPUTED_VALUE"""),"High")</f>
        <v>High</v>
      </c>
      <c r="K1255" s="1" t="str">
        <f>IFERROR(__xludf.DUMMYFUNCTION("""COMPUTED_VALUE"""),"")</f>
        <v/>
      </c>
      <c r="L1255" s="1" t="str">
        <f>IFERROR(__xludf.DUMMYFUNCTION("""COMPUTED_VALUE"""),"NORTHROP GRUMMAN SYSTEMS CORP")</f>
        <v>NORTHROP GRUMMAN SYSTEMS CORP</v>
      </c>
      <c r="M1255" s="1" t="str">
        <f>IFERROR(__xludf.DUMMYFUNCTION("""COMPUTED_VALUE"""),"")</f>
        <v/>
      </c>
      <c r="N1255" s="1" t="str">
        <f>IFERROR(__xludf.DUMMYFUNCTION("""COMPUTED_VALUE"""),"")</f>
        <v/>
      </c>
      <c r="O1255" s="1" t="str">
        <f>IFERROR(__xludf.DUMMYFUNCTION("""COMPUTED_VALUE"""),"Unknown")</f>
        <v>Unknown</v>
      </c>
      <c r="P1255" s="1" t="str">
        <f>IFERROR(__xludf.DUMMYFUNCTION("""COMPUTED_VALUE"""),"")</f>
        <v/>
      </c>
      <c r="Q1255" s="1" t="str">
        <f>IFERROR(__xludf.DUMMYFUNCTION("""COMPUTED_VALUE"""),"")</f>
        <v/>
      </c>
      <c r="R1255" s="1" t="str">
        <f>IFERROR(__xludf.DUMMYFUNCTION("""COMPUTED_VALUE"""),"")</f>
        <v/>
      </c>
      <c r="S1255" s="1" t="str">
        <f>IFERROR(__xludf.DUMMYFUNCTION("""COMPUTED_VALUE"""),"")</f>
        <v/>
      </c>
      <c r="T1255" s="1" t="str">
        <f>IFERROR(__xludf.DUMMYFUNCTION("""COMPUTED_VALUE"""),"")</f>
        <v/>
      </c>
      <c r="U1255" s="1" t="str">
        <f>IFERROR(__xludf.DUMMYFUNCTION("""COMPUTED_VALUE"""),"")</f>
        <v/>
      </c>
      <c r="V1255" s="1" t="str">
        <f>IFERROR(__xludf.DUMMYFUNCTION("""COMPUTED_VALUE"""),"358,898")</f>
        <v>358,898</v>
      </c>
      <c r="W1255" s="1" t="str">
        <f>IFERROR(__xludf.DUMMYFUNCTION("""COMPUTED_VALUE"""),"6")</f>
        <v>6</v>
      </c>
      <c r="X1255" s="1" t="str">
        <f>IFERROR(__xludf.DUMMYFUNCTION("""COMPUTED_VALUE"""),"")</f>
        <v/>
      </c>
      <c r="Y1255" s="1" t="str">
        <f>IFERROR(__xludf.DUMMYFUNCTION("""COMPUTED_VALUE"""),"")</f>
        <v/>
      </c>
      <c r="Z1255" s="1" t="str">
        <f>IFERROR(__xludf.DUMMYFUNCTION("""COMPUTED_VALUE"""),"Unknown")</f>
        <v>Unknown</v>
      </c>
      <c r="AA1255" s="1" t="str">
        <f>IFERROR(__xludf.DUMMYFUNCTION("""COMPUTED_VALUE"""),"")</f>
        <v/>
      </c>
      <c r="AB1255" s="1" t="str">
        <f>IFERROR(__xludf.DUMMYFUNCTION("""COMPUTED_VALUE"""),"")</f>
        <v/>
      </c>
      <c r="AC1255" s="1" t="str">
        <f>IFERROR(__xludf.DUMMYFUNCTION("""COMPUTED_VALUE"""),"")</f>
        <v/>
      </c>
      <c r="AD1255" s="1" t="str">
        <f>IFERROR(__xludf.DUMMYFUNCTION("""COMPUTED_VALUE"""),"")</f>
        <v/>
      </c>
      <c r="AE1255" s="1" t="str">
        <f>IFERROR(__xludf.DUMMYFUNCTION("""COMPUTED_VALUE"""),"")</f>
        <v/>
      </c>
      <c r="AF1255" s="1" t="str">
        <f>IFERROR(__xludf.DUMMYFUNCTION("""COMPUTED_VALUE"""),"")</f>
        <v/>
      </c>
      <c r="AG1255" s="1" t="str">
        <f>IFERROR(__xludf.DUMMYFUNCTION("""COMPUTED_VALUE"""),"")</f>
        <v/>
      </c>
      <c r="AH1255" s="1" t="str">
        <f>IFERROR(__xludf.DUMMYFUNCTION("""COMPUTED_VALUE"""),"PEC")</f>
        <v>PEC</v>
      </c>
      <c r="AI1255" s="2" t="str">
        <f>IFERROR(__xludf.DUMMYFUNCTION("""COMPUTED_VALUE"""),"https://icare.fairfaxcounty.gov/ffxcare/Datalets/Datalet.aspx?mode=&amp;UseSearch=no&amp;pin=0494%2013%20%200013&amp;jur=129&amp;taxyr=2025")</f>
        <v>https://icare.fairfaxcounty.gov/ffxcare/Datalets/Datalet.aspx?mode=&amp;UseSearch=no&amp;pin=0494%2013%20%200013&amp;jur=129&amp;taxyr=2025</v>
      </c>
      <c r="AJ1255" s="1" t="str">
        <f>IFERROR(__xludf.DUMMYFUNCTION("""COMPUTED_VALUE"""),"")</f>
        <v/>
      </c>
      <c r="AK1255" s="1" t="str">
        <f>IFERROR(__xludf.DUMMYFUNCTION("""COMPUTED_VALUE"""),"")</f>
        <v/>
      </c>
      <c r="AL1255" s="1" t="str">
        <f>IFERROR(__xludf.DUMMYFUNCTION("""COMPUTED_VALUE"""),"")</f>
        <v/>
      </c>
      <c r="AM1255" s="1" t="str">
        <f>IFERROR(__xludf.DUMMYFUNCTION("""COMPUTED_VALUE"""),"")</f>
        <v/>
      </c>
      <c r="AN1255" s="1" t="str">
        <f>IFERROR(__xludf.DUMMYFUNCTION("""COMPUTED_VALUE"""),"")</f>
        <v/>
      </c>
      <c r="AO1255" s="1" t="str">
        <f>IFERROR(__xludf.DUMMYFUNCTION("""COMPUTED_VALUE"""),"")</f>
        <v/>
      </c>
      <c r="AP1255" s="1" t="str">
        <f>IFERROR(__xludf.DUMMYFUNCTION("""COMPUTED_VALUE"""),"")</f>
        <v/>
      </c>
      <c r="AQ1255" s="1" t="str">
        <f>IFERROR(__xludf.DUMMYFUNCTION("""COMPUTED_VALUE"""),"04/10/2024")</f>
        <v>04/10/2024</v>
      </c>
      <c r="AR1255" s="1" t="str">
        <f>IFERROR(__xludf.DUMMYFUNCTION("""COMPUTED_VALUE"""),"10/17/2025")</f>
        <v>10/17/2025</v>
      </c>
    </row>
    <row r="1256">
      <c r="A1256" s="1" t="str">
        <f>IFERROR(__xludf.DUMMYFUNCTION("""COMPUTED_VALUE"""),"Heartland Innovative Technology (HIT) Park")</f>
        <v>Heartland Innovative Technology (HIT) Park</v>
      </c>
      <c r="B1256" s="1" t="str">
        <f>IFERROR(__xludf.DUMMYFUNCTION("""COMPUTED_VALUE"""),"230 KELLY LANE")</f>
        <v>230 KELLY LANE</v>
      </c>
      <c r="C1256" s="1" t="str">
        <f>IFERROR(__xludf.DUMMYFUNCTION("""COMPUTED_VALUE"""),"Farmville")</f>
        <v>Farmville</v>
      </c>
      <c r="D1256" s="1" t="str">
        <f>IFERROR(__xludf.DUMMYFUNCTION("""COMPUTED_VALUE"""),"VA")</f>
        <v>VA</v>
      </c>
      <c r="E1256" s="1" t="str">
        <f>IFERROR(__xludf.DUMMYFUNCTION("""COMPUTED_VALUE"""),"23901")</f>
        <v>23901</v>
      </c>
      <c r="F1256" s="1" t="str">
        <f>IFERROR(__xludf.DUMMYFUNCTION("""COMPUTED_VALUE"""),"Prince Edward")</f>
        <v>Prince Edward</v>
      </c>
      <c r="G1256" s="1" t="str">
        <f>IFERROR(__xludf.DUMMYFUNCTION("""COMPUTED_VALUE"""),"37.288517")</f>
        <v>37.288517</v>
      </c>
      <c r="H1256" s="1" t="str">
        <f>IFERROR(__xludf.DUMMYFUNCTION("""COMPUTED_VALUE"""),"-78.35012")</f>
        <v>-78.35012</v>
      </c>
      <c r="I1256" s="1" t="str">
        <f>IFERROR(__xludf.DUMMYFUNCTION("""COMPUTED_VALUE"""),"Proposed")</f>
        <v>Proposed</v>
      </c>
      <c r="J1256" s="1" t="str">
        <f>IFERROR(__xludf.DUMMYFUNCTION("""COMPUTED_VALUE"""),"High")</f>
        <v>High</v>
      </c>
      <c r="K1256" s="1" t="str">
        <f>IFERROR(__xludf.DUMMYFUNCTION("""COMPUTED_VALUE"""),"")</f>
        <v/>
      </c>
      <c r="L1256" s="1" t="str">
        <f>IFERROR(__xludf.DUMMYFUNCTION("""COMPUTED_VALUE"""),"Prince Edward County Industrial Development Authority")</f>
        <v>Prince Edward County Industrial Development Authority</v>
      </c>
      <c r="M1256" s="1" t="str">
        <f>IFERROR(__xludf.DUMMYFUNCTION("""COMPUTED_VALUE"""),"")</f>
        <v/>
      </c>
      <c r="N1256" s="1" t="str">
        <f>IFERROR(__xludf.DUMMYFUNCTION("""COMPUTED_VALUE"""),"")</f>
        <v/>
      </c>
      <c r="O1256" s="1" t="str">
        <f>IFERROR(__xludf.DUMMYFUNCTION("""COMPUTED_VALUE"""),"Unknown")</f>
        <v>Unknown</v>
      </c>
      <c r="P1256" s="1" t="str">
        <f>IFERROR(__xludf.DUMMYFUNCTION("""COMPUTED_VALUE"""),"")</f>
        <v/>
      </c>
      <c r="Q1256" s="1" t="str">
        <f>IFERROR(__xludf.DUMMYFUNCTION("""COMPUTED_VALUE"""),"")</f>
        <v/>
      </c>
      <c r="R1256" s="1" t="str">
        <f>IFERROR(__xludf.DUMMYFUNCTION("""COMPUTED_VALUE"""),"")</f>
        <v/>
      </c>
      <c r="S1256" s="1" t="str">
        <f>IFERROR(__xludf.DUMMYFUNCTION("""COMPUTED_VALUE"""),"")</f>
        <v/>
      </c>
      <c r="T1256" s="1" t="str">
        <f>IFERROR(__xludf.DUMMYFUNCTION("""COMPUTED_VALUE"""),"")</f>
        <v/>
      </c>
      <c r="U1256" s="1" t="str">
        <f>IFERROR(__xludf.DUMMYFUNCTION("""COMPUTED_VALUE"""),"")</f>
        <v/>
      </c>
      <c r="V1256" s="1" t="str">
        <f>IFERROR(__xludf.DUMMYFUNCTION("""COMPUTED_VALUE"""),"1,300,000")</f>
        <v>1,300,000</v>
      </c>
      <c r="W1256" s="1" t="str">
        <f>IFERROR(__xludf.DUMMYFUNCTION("""COMPUTED_VALUE"""),"280")</f>
        <v>280</v>
      </c>
      <c r="X1256" s="1" t="str">
        <f>IFERROR(__xludf.DUMMYFUNCTION("""COMPUTED_VALUE"""),"")</f>
        <v/>
      </c>
      <c r="Y1256" s="1" t="str">
        <f>IFERROR(__xludf.DUMMYFUNCTION("""COMPUTED_VALUE"""),"")</f>
        <v/>
      </c>
      <c r="Z1256" s="1" t="str">
        <f>IFERROR(__xludf.DUMMYFUNCTION("""COMPUTED_VALUE"""),"Unknown")</f>
        <v>Unknown</v>
      </c>
      <c r="AA1256" s="1" t="str">
        <f>IFERROR(__xludf.DUMMYFUNCTION("""COMPUTED_VALUE"""),"")</f>
        <v/>
      </c>
      <c r="AB1256" s="1" t="str">
        <f>IFERROR(__xludf.DUMMYFUNCTION("""COMPUTED_VALUE"""),"")</f>
        <v/>
      </c>
      <c r="AC1256" s="1" t="str">
        <f>IFERROR(__xludf.DUMMYFUNCTION("""COMPUTED_VALUE"""),"")</f>
        <v/>
      </c>
      <c r="AD1256" s="1" t="str">
        <f>IFERROR(__xludf.DUMMYFUNCTION("""COMPUTED_VALUE"""),"")</f>
        <v/>
      </c>
      <c r="AE1256" s="1" t="str">
        <f>IFERROR(__xludf.DUMMYFUNCTION("""COMPUTED_VALUE"""),"")</f>
        <v/>
      </c>
      <c r="AF1256" s="1" t="str">
        <f>IFERROR(__xludf.DUMMYFUNCTION("""COMPUTED_VALUE"""),"")</f>
        <v/>
      </c>
      <c r="AG1256" s="1" t="str">
        <f>IFERROR(__xludf.DUMMYFUNCTION("""COMPUTED_VALUE"""),"This project covers multiple parcels. The total acreage has been represented here.")</f>
        <v>This project covers multiple parcels. The total acreage has been represented here.</v>
      </c>
      <c r="AH1256" s="1" t="str">
        <f>IFERROR(__xludf.DUMMYFUNCTION("""COMPUTED_VALUE"""),"PEC")</f>
        <v>PEC</v>
      </c>
      <c r="AI1256" s="2" t="str">
        <f>IFERROR(__xludf.DUMMYFUNCTION("""COMPUTED_VALUE"""),"https://www.co.prince-edward.va.us/economic-development/heartland-innovative-technology-park-210")</f>
        <v>https://www.co.prince-edward.va.us/economic-development/heartland-innovative-technology-park-210</v>
      </c>
      <c r="AJ1256" s="2" t="str">
        <f>IFERROR(__xludf.DUMMYFUNCTION("""COMPUTED_VALUE"""),"https://epayments.co.prince-edward.va.us/applications/txapps/VPCindex.htm")</f>
        <v>https://epayments.co.prince-edward.va.us/applications/txapps/VPCindex.htm</v>
      </c>
      <c r="AK1256" s="1" t="str">
        <f>IFERROR(__xludf.DUMMYFUNCTION("""COMPUTED_VALUE"""),"")</f>
        <v/>
      </c>
      <c r="AL1256" s="1" t="str">
        <f>IFERROR(__xludf.DUMMYFUNCTION("""COMPUTED_VALUE"""),"")</f>
        <v/>
      </c>
      <c r="AM1256" s="1" t="str">
        <f>IFERROR(__xludf.DUMMYFUNCTION("""COMPUTED_VALUE"""),"")</f>
        <v/>
      </c>
      <c r="AN1256" s="1" t="str">
        <f>IFERROR(__xludf.DUMMYFUNCTION("""COMPUTED_VALUE"""),"")</f>
        <v/>
      </c>
      <c r="AO1256" s="1" t="str">
        <f>IFERROR(__xludf.DUMMYFUNCTION("""COMPUTED_VALUE"""),"")</f>
        <v/>
      </c>
      <c r="AP1256" s="1" t="str">
        <f>IFERROR(__xludf.DUMMYFUNCTION("""COMPUTED_VALUE"""),"")</f>
        <v/>
      </c>
      <c r="AQ1256" s="1" t="str">
        <f>IFERROR(__xludf.DUMMYFUNCTION("""COMPUTED_VALUE"""),"04/10/2024")</f>
        <v>04/10/2024</v>
      </c>
      <c r="AR1256" s="1" t="str">
        <f>IFERROR(__xludf.DUMMYFUNCTION("""COMPUTED_VALUE"""),"10/17/2025")</f>
        <v>10/17/2025</v>
      </c>
    </row>
    <row r="1257">
      <c r="A1257" s="1" t="str">
        <f>IFERROR(__xludf.DUMMYFUNCTION("""COMPUTED_VALUE"""),"Amazon Data Services")</f>
        <v>Amazon Data Services</v>
      </c>
      <c r="B1257" s="1" t="str">
        <f>IFERROR(__xludf.DUMMYFUNCTION("""COMPUTED_VALUE"""),"4049 Massaponax Church Rd,")</f>
        <v>4049 Massaponax Church Rd,</v>
      </c>
      <c r="C1257" s="1" t="str">
        <f>IFERROR(__xludf.DUMMYFUNCTION("""COMPUTED_VALUE"""),"Fredericksburg")</f>
        <v>Fredericksburg</v>
      </c>
      <c r="D1257" s="1" t="str">
        <f>IFERROR(__xludf.DUMMYFUNCTION("""COMPUTED_VALUE"""),"VA")</f>
        <v>VA</v>
      </c>
      <c r="E1257" s="1" t="str">
        <f>IFERROR(__xludf.DUMMYFUNCTION("""COMPUTED_VALUE"""),"22408")</f>
        <v>22408</v>
      </c>
      <c r="F1257" s="1" t="str">
        <f>IFERROR(__xludf.DUMMYFUNCTION("""COMPUTED_VALUE"""),"Spotsylvania")</f>
        <v>Spotsylvania</v>
      </c>
      <c r="G1257" s="1" t="str">
        <f>IFERROR(__xludf.DUMMYFUNCTION("""COMPUTED_VALUE"""),"38.19853")</f>
        <v>38.19853</v>
      </c>
      <c r="H1257" s="1" t="str">
        <f>IFERROR(__xludf.DUMMYFUNCTION("""COMPUTED_VALUE"""),"-77.475")</f>
        <v>-77.475</v>
      </c>
      <c r="I1257" s="1" t="str">
        <f>IFERROR(__xludf.DUMMYFUNCTION("""COMPUTED_VALUE"""),"Proposed")</f>
        <v>Proposed</v>
      </c>
      <c r="J1257" s="1" t="str">
        <f>IFERROR(__xludf.DUMMYFUNCTION("""COMPUTED_VALUE"""),"High")</f>
        <v>High</v>
      </c>
      <c r="K1257" s="1" t="str">
        <f>IFERROR(__xludf.DUMMYFUNCTION("""COMPUTED_VALUE"""),"")</f>
        <v/>
      </c>
      <c r="L1257" s="1" t="str">
        <f>IFERROR(__xludf.DUMMYFUNCTION("""COMPUTED_VALUE"""),"Amazon")</f>
        <v>Amazon</v>
      </c>
      <c r="M1257" s="1" t="str">
        <f>IFERROR(__xludf.DUMMYFUNCTION("""COMPUTED_VALUE"""),"")</f>
        <v/>
      </c>
      <c r="N1257" s="1" t="str">
        <f>IFERROR(__xludf.DUMMYFUNCTION("""COMPUTED_VALUE"""),"")</f>
        <v/>
      </c>
      <c r="O1257" s="1" t="str">
        <f>IFERROR(__xludf.DUMMYFUNCTION("""COMPUTED_VALUE"""),"Unknown")</f>
        <v>Unknown</v>
      </c>
      <c r="P1257" s="1" t="str">
        <f>IFERROR(__xludf.DUMMYFUNCTION("""COMPUTED_VALUE"""),"")</f>
        <v/>
      </c>
      <c r="Q1257" s="1" t="str">
        <f>IFERROR(__xludf.DUMMYFUNCTION("""COMPUTED_VALUE"""),"")</f>
        <v/>
      </c>
      <c r="R1257" s="1" t="str">
        <f>IFERROR(__xludf.DUMMYFUNCTION("""COMPUTED_VALUE"""),"")</f>
        <v/>
      </c>
      <c r="S1257" s="1" t="str">
        <f>IFERROR(__xludf.DUMMYFUNCTION("""COMPUTED_VALUE"""),"")</f>
        <v/>
      </c>
      <c r="T1257" s="1" t="str">
        <f>IFERROR(__xludf.DUMMYFUNCTION("""COMPUTED_VALUE"""),"")</f>
        <v/>
      </c>
      <c r="U1257" s="1" t="str">
        <f>IFERROR(__xludf.DUMMYFUNCTION("""COMPUTED_VALUE"""),"")</f>
        <v/>
      </c>
      <c r="V1257" s="1" t="str">
        <f>IFERROR(__xludf.DUMMYFUNCTION("""COMPUTED_VALUE"""),"")</f>
        <v/>
      </c>
      <c r="W1257" s="1" t="str">
        <f>IFERROR(__xludf.DUMMYFUNCTION("""COMPUTED_VALUE"""),"")</f>
        <v/>
      </c>
      <c r="X1257" s="1" t="str">
        <f>IFERROR(__xludf.DUMMYFUNCTION("""COMPUTED_VALUE"""),"")</f>
        <v/>
      </c>
      <c r="Y1257" s="1" t="str">
        <f>IFERROR(__xludf.DUMMYFUNCTION("""COMPUTED_VALUE"""),"")</f>
        <v/>
      </c>
      <c r="Z1257" s="1" t="str">
        <f>IFERROR(__xludf.DUMMYFUNCTION("""COMPUTED_VALUE"""),"Unknown")</f>
        <v>Unknown</v>
      </c>
      <c r="AA1257" s="1" t="str">
        <f>IFERROR(__xludf.DUMMYFUNCTION("""COMPUTED_VALUE"""),"")</f>
        <v/>
      </c>
      <c r="AB1257" s="1" t="str">
        <f>IFERROR(__xludf.DUMMYFUNCTION("""COMPUTED_VALUE"""),"")</f>
        <v/>
      </c>
      <c r="AC1257" s="1" t="str">
        <f>IFERROR(__xludf.DUMMYFUNCTION("""COMPUTED_VALUE"""),"")</f>
        <v/>
      </c>
      <c r="AD1257" s="1" t="str">
        <f>IFERROR(__xludf.DUMMYFUNCTION("""COMPUTED_VALUE"""),"")</f>
        <v/>
      </c>
      <c r="AE1257" s="1" t="str">
        <f>IFERROR(__xludf.DUMMYFUNCTION("""COMPUTED_VALUE"""),"")</f>
        <v/>
      </c>
      <c r="AF1257" s="1" t="str">
        <f>IFERROR(__xludf.DUMMYFUNCTION("""COMPUTED_VALUE"""),"")</f>
        <v/>
      </c>
      <c r="AG1257" s="1" t="str">
        <f>IFERROR(__xludf.DUMMYFUNCTION("""COMPUTED_VALUE"""),"")</f>
        <v/>
      </c>
      <c r="AH1257" s="1" t="str">
        <f>IFERROR(__xludf.DUMMYFUNCTION("""COMPUTED_VALUE"""),"Media Monitoring")</f>
        <v>Media Monitoring</v>
      </c>
      <c r="AI1257" s="2" t="str">
        <f>IFERROR(__xludf.DUMMYFUNCTION("""COMPUTED_VALUE"""),"https://www.datacenterdynamics.com/en/news/10m-sq-ft-amazon-files-for-four-data-center-campuses-in-virginias-spotsylvania-and-caroline-counties/")</f>
        <v>https://www.datacenterdynamics.com/en/news/10m-sq-ft-amazon-files-for-four-data-center-campuses-in-virginias-spotsylvania-and-caroline-counties/</v>
      </c>
      <c r="AJ1257" s="1" t="str">
        <f>IFERROR(__xludf.DUMMYFUNCTION("""COMPUTED_VALUE"""),"")</f>
        <v/>
      </c>
      <c r="AK1257" s="1" t="str">
        <f>IFERROR(__xludf.DUMMYFUNCTION("""COMPUTED_VALUE"""),"")</f>
        <v/>
      </c>
      <c r="AL1257" s="1" t="str">
        <f>IFERROR(__xludf.DUMMYFUNCTION("""COMPUTED_VALUE"""),"")</f>
        <v/>
      </c>
      <c r="AM1257" s="1" t="str">
        <f>IFERROR(__xludf.DUMMYFUNCTION("""COMPUTED_VALUE"""),"")</f>
        <v/>
      </c>
      <c r="AN1257" s="1" t="str">
        <f>IFERROR(__xludf.DUMMYFUNCTION("""COMPUTED_VALUE"""),"")</f>
        <v/>
      </c>
      <c r="AO1257" s="1" t="str">
        <f>IFERROR(__xludf.DUMMYFUNCTION("""COMPUTED_VALUE"""),"")</f>
        <v/>
      </c>
      <c r="AP1257" s="1" t="str">
        <f>IFERROR(__xludf.DUMMYFUNCTION("""COMPUTED_VALUE"""),"")</f>
        <v/>
      </c>
      <c r="AQ1257" s="1" t="str">
        <f>IFERROR(__xludf.DUMMYFUNCTION("""COMPUTED_VALUE"""),"09/19/2025")</f>
        <v>09/19/2025</v>
      </c>
      <c r="AR1257" s="1" t="str">
        <f>IFERROR(__xludf.DUMMYFUNCTION("""COMPUTED_VALUE"""),"09/19/2025")</f>
        <v>09/19/2025</v>
      </c>
    </row>
    <row r="1258">
      <c r="A1258" s="1" t="str">
        <f>IFERROR(__xludf.DUMMYFUNCTION("""COMPUTED_VALUE"""),"Amazon Data Services: Carter's Store Tech Campus")</f>
        <v>Amazon Data Services: Carter's Store Tech Campus</v>
      </c>
      <c r="B1258" s="1" t="str">
        <f>IFERROR(__xludf.DUMMYFUNCTION("""COMPUTED_VALUE"""),"8432 Flippo Dr")</f>
        <v>8432 Flippo Dr</v>
      </c>
      <c r="C1258" s="1" t="str">
        <f>IFERROR(__xludf.DUMMYFUNCTION("""COMPUTED_VALUE"""),"Fredericksburg")</f>
        <v>Fredericksburg</v>
      </c>
      <c r="D1258" s="1" t="str">
        <f>IFERROR(__xludf.DUMMYFUNCTION("""COMPUTED_VALUE"""),"VA")</f>
        <v>VA</v>
      </c>
      <c r="E1258" s="1" t="str">
        <f>IFERROR(__xludf.DUMMYFUNCTION("""COMPUTED_VALUE"""),"22408")</f>
        <v>22408</v>
      </c>
      <c r="F1258" s="1" t="str">
        <f>IFERROR(__xludf.DUMMYFUNCTION("""COMPUTED_VALUE"""),"Spotsylvania")</f>
        <v>Spotsylvania</v>
      </c>
      <c r="G1258" s="1" t="str">
        <f>IFERROR(__xludf.DUMMYFUNCTION("""COMPUTED_VALUE"""),"38.191605")</f>
        <v>38.191605</v>
      </c>
      <c r="H1258" s="1" t="str">
        <f>IFERROR(__xludf.DUMMYFUNCTION("""COMPUTED_VALUE"""),"-77.47005")</f>
        <v>-77.47005</v>
      </c>
      <c r="I1258" s="1" t="str">
        <f>IFERROR(__xludf.DUMMYFUNCTION("""COMPUTED_VALUE"""),"Proposed")</f>
        <v>Proposed</v>
      </c>
      <c r="J1258" s="1" t="str">
        <f>IFERROR(__xludf.DUMMYFUNCTION("""COMPUTED_VALUE"""),"High")</f>
        <v>High</v>
      </c>
      <c r="K1258" s="1" t="str">
        <f>IFERROR(__xludf.DUMMYFUNCTION("""COMPUTED_VALUE"""),"")</f>
        <v/>
      </c>
      <c r="L1258" s="1" t="str">
        <f>IFERROR(__xludf.DUMMYFUNCTION("""COMPUTED_VALUE"""),"Amazon")</f>
        <v>Amazon</v>
      </c>
      <c r="M1258" s="1" t="str">
        <f>IFERROR(__xludf.DUMMYFUNCTION("""COMPUTED_VALUE"""),"")</f>
        <v/>
      </c>
      <c r="N1258" s="1" t="str">
        <f>IFERROR(__xludf.DUMMYFUNCTION("""COMPUTED_VALUE"""),"")</f>
        <v/>
      </c>
      <c r="O1258" s="1" t="str">
        <f>IFERROR(__xludf.DUMMYFUNCTION("""COMPUTED_VALUE"""),"Hyperscale (100-999 MW)")</f>
        <v>Hyperscale (100-999 MW)</v>
      </c>
      <c r="P1258" s="1" t="str">
        <f>IFERROR(__xludf.DUMMYFUNCTION("""COMPUTED_VALUE"""),"")</f>
        <v/>
      </c>
      <c r="Q1258" s="1" t="str">
        <f>IFERROR(__xludf.DUMMYFUNCTION("""COMPUTED_VALUE"""),"")</f>
        <v/>
      </c>
      <c r="R1258" s="1" t="str">
        <f>IFERROR(__xludf.DUMMYFUNCTION("""COMPUTED_VALUE"""),"")</f>
        <v/>
      </c>
      <c r="S1258" s="1" t="str">
        <f>IFERROR(__xludf.DUMMYFUNCTION("""COMPUTED_VALUE"""),"")</f>
        <v/>
      </c>
      <c r="T1258" s="1" t="str">
        <f>IFERROR(__xludf.DUMMYFUNCTION("""COMPUTED_VALUE"""),"")</f>
        <v/>
      </c>
      <c r="U1258" s="1" t="str">
        <f>IFERROR(__xludf.DUMMYFUNCTION("""COMPUTED_VALUE"""),"")</f>
        <v/>
      </c>
      <c r="V1258" s="1" t="str">
        <f>IFERROR(__xludf.DUMMYFUNCTION("""COMPUTED_VALUE"""),"2,600,000")</f>
        <v>2,600,000</v>
      </c>
      <c r="W1258" s="1" t="str">
        <f>IFERROR(__xludf.DUMMYFUNCTION("""COMPUTED_VALUE"""),"315")</f>
        <v>315</v>
      </c>
      <c r="X1258" s="1" t="str">
        <f>IFERROR(__xludf.DUMMYFUNCTION("""COMPUTED_VALUE"""),"")</f>
        <v/>
      </c>
      <c r="Y1258" s="1" t="str">
        <f>IFERROR(__xludf.DUMMYFUNCTION("""COMPUTED_VALUE"""),"2035")</f>
        <v>2035</v>
      </c>
      <c r="Z1258" s="1" t="str">
        <f>IFERROR(__xludf.DUMMYFUNCTION("""COMPUTED_VALUE"""),"Unknown")</f>
        <v>Unknown</v>
      </c>
      <c r="AA1258" s="1" t="str">
        <f>IFERROR(__xludf.DUMMYFUNCTION("""COMPUTED_VALUE"""),"")</f>
        <v/>
      </c>
      <c r="AB1258" s="1" t="str">
        <f>IFERROR(__xludf.DUMMYFUNCTION("""COMPUTED_VALUE"""),"")</f>
        <v/>
      </c>
      <c r="AC1258" s="1" t="str">
        <f>IFERROR(__xludf.DUMMYFUNCTION("""COMPUTED_VALUE"""),"")</f>
        <v/>
      </c>
      <c r="AD1258" s="1" t="str">
        <f>IFERROR(__xludf.DUMMYFUNCTION("""COMPUTED_VALUE"""),"")</f>
        <v/>
      </c>
      <c r="AE1258" s="1" t="str">
        <f>IFERROR(__xludf.DUMMYFUNCTION("""COMPUTED_VALUE"""),"")</f>
        <v/>
      </c>
      <c r="AF1258" s="1" t="str">
        <f>IFERROR(__xludf.DUMMYFUNCTION("""COMPUTED_VALUE"""),"")</f>
        <v/>
      </c>
      <c r="AG1258" s="1" t="str">
        <f>IFERROR(__xludf.DUMMYFUNCTION("""COMPUTED_VALUE"""),"")</f>
        <v/>
      </c>
      <c r="AH1258" s="1" t="str">
        <f>IFERROR(__xludf.DUMMYFUNCTION("""COMPUTED_VALUE"""),"Media Monitoring")</f>
        <v>Media Monitoring</v>
      </c>
      <c r="AI1258" s="2" t="str">
        <f>IFERROR(__xludf.DUMMYFUNCTION("""COMPUTED_VALUE"""),"https://www.datacenterdynamics.com/en/news/10m-sq-ft-amazon-files-for-four-data-center-campuses-in-virginias-spotsylvania-and-caroline-counties/")</f>
        <v>https://www.datacenterdynamics.com/en/news/10m-sq-ft-amazon-files-for-four-data-center-campuses-in-virginias-spotsylvania-and-caroline-counties/</v>
      </c>
      <c r="AJ1258" s="1" t="str">
        <f>IFERROR(__xludf.DUMMYFUNCTION("""COMPUTED_VALUE"""),"")</f>
        <v/>
      </c>
      <c r="AK1258" s="1" t="str">
        <f>IFERROR(__xludf.DUMMYFUNCTION("""COMPUTED_VALUE"""),"")</f>
        <v/>
      </c>
      <c r="AL1258" s="1" t="str">
        <f>IFERROR(__xludf.DUMMYFUNCTION("""COMPUTED_VALUE"""),"")</f>
        <v/>
      </c>
      <c r="AM1258" s="1" t="str">
        <f>IFERROR(__xludf.DUMMYFUNCTION("""COMPUTED_VALUE"""),"")</f>
        <v/>
      </c>
      <c r="AN1258" s="1" t="str">
        <f>IFERROR(__xludf.DUMMYFUNCTION("""COMPUTED_VALUE"""),"")</f>
        <v/>
      </c>
      <c r="AO1258" s="1" t="str">
        <f>IFERROR(__xludf.DUMMYFUNCTION("""COMPUTED_VALUE"""),"")</f>
        <v/>
      </c>
      <c r="AP1258" s="1" t="str">
        <f>IFERROR(__xludf.DUMMYFUNCTION("""COMPUTED_VALUE"""),"")</f>
        <v/>
      </c>
      <c r="AQ1258" s="1" t="str">
        <f>IFERROR(__xludf.DUMMYFUNCTION("""COMPUTED_VALUE"""),"01/23/2026")</f>
        <v>01/23/2026</v>
      </c>
      <c r="AR1258" s="1" t="str">
        <f>IFERROR(__xludf.DUMMYFUNCTION("""COMPUTED_VALUE"""),"01/23/2026")</f>
        <v>01/23/2026</v>
      </c>
    </row>
    <row r="1259">
      <c r="A1259" s="1" t="str">
        <f>IFERROR(__xludf.DUMMYFUNCTION("""COMPUTED_VALUE"""),"Amazon Data Services: Cosner Tech Campus")</f>
        <v>Amazon Data Services: Cosner Tech Campus</v>
      </c>
      <c r="B1259" s="1" t="str">
        <f>IFERROR(__xludf.DUMMYFUNCTION("""COMPUTED_VALUE"""),"4049 Massaponax Church Rd")</f>
        <v>4049 Massaponax Church Rd</v>
      </c>
      <c r="C1259" s="1" t="str">
        <f>IFERROR(__xludf.DUMMYFUNCTION("""COMPUTED_VALUE"""),"Fredericksburg")</f>
        <v>Fredericksburg</v>
      </c>
      <c r="D1259" s="1" t="str">
        <f>IFERROR(__xludf.DUMMYFUNCTION("""COMPUTED_VALUE"""),"VA")</f>
        <v>VA</v>
      </c>
      <c r="E1259" s="1" t="str">
        <f>IFERROR(__xludf.DUMMYFUNCTION("""COMPUTED_VALUE"""),"22408")</f>
        <v>22408</v>
      </c>
      <c r="F1259" s="1" t="str">
        <f>IFERROR(__xludf.DUMMYFUNCTION("""COMPUTED_VALUE"""),"Spotsylvania")</f>
        <v>Spotsylvania</v>
      </c>
      <c r="G1259" s="1" t="str">
        <f>IFERROR(__xludf.DUMMYFUNCTION("""COMPUTED_VALUE"""),"38.198624")</f>
        <v>38.198624</v>
      </c>
      <c r="H1259" s="1" t="str">
        <f>IFERROR(__xludf.DUMMYFUNCTION("""COMPUTED_VALUE"""),"-77.47505")</f>
        <v>-77.47505</v>
      </c>
      <c r="I1259" s="1" t="str">
        <f>IFERROR(__xludf.DUMMYFUNCTION("""COMPUTED_VALUE"""),"Proposed")</f>
        <v>Proposed</v>
      </c>
      <c r="J1259" s="1" t="str">
        <f>IFERROR(__xludf.DUMMYFUNCTION("""COMPUTED_VALUE"""),"High")</f>
        <v>High</v>
      </c>
      <c r="K1259" s="1" t="str">
        <f>IFERROR(__xludf.DUMMYFUNCTION("""COMPUTED_VALUE"""),"")</f>
        <v/>
      </c>
      <c r="L1259" s="1" t="str">
        <f>IFERROR(__xludf.DUMMYFUNCTION("""COMPUTED_VALUE"""),"Amazon")</f>
        <v>Amazon</v>
      </c>
      <c r="M1259" s="1" t="str">
        <f>IFERROR(__xludf.DUMMYFUNCTION("""COMPUTED_VALUE"""),"")</f>
        <v/>
      </c>
      <c r="N1259" s="1" t="str">
        <f>IFERROR(__xludf.DUMMYFUNCTION("""COMPUTED_VALUE"""),"")</f>
        <v/>
      </c>
      <c r="O1259" s="1" t="str">
        <f>IFERROR(__xludf.DUMMYFUNCTION("""COMPUTED_VALUE"""),"Hyperscale (100-999 MW)")</f>
        <v>Hyperscale (100-999 MW)</v>
      </c>
      <c r="P1259" s="1" t="str">
        <f>IFERROR(__xludf.DUMMYFUNCTION("""COMPUTED_VALUE"""),"")</f>
        <v/>
      </c>
      <c r="Q1259" s="1" t="str">
        <f>IFERROR(__xludf.DUMMYFUNCTION("""COMPUTED_VALUE"""),"")</f>
        <v/>
      </c>
      <c r="R1259" s="1" t="str">
        <f>IFERROR(__xludf.DUMMYFUNCTION("""COMPUTED_VALUE"""),"")</f>
        <v/>
      </c>
      <c r="S1259" s="1" t="str">
        <f>IFERROR(__xludf.DUMMYFUNCTION("""COMPUTED_VALUE"""),"")</f>
        <v/>
      </c>
      <c r="T1259" s="1" t="str">
        <f>IFERROR(__xludf.DUMMYFUNCTION("""COMPUTED_VALUE"""),"")</f>
        <v/>
      </c>
      <c r="U1259" s="1" t="str">
        <f>IFERROR(__xludf.DUMMYFUNCTION("""COMPUTED_VALUE"""),"")</f>
        <v/>
      </c>
      <c r="V1259" s="1" t="str">
        <f>IFERROR(__xludf.DUMMYFUNCTION("""COMPUTED_VALUE"""),"1,900,000")</f>
        <v>1,900,000</v>
      </c>
      <c r="W1259" s="1" t="str">
        <f>IFERROR(__xludf.DUMMYFUNCTION("""COMPUTED_VALUE"""),"329")</f>
        <v>329</v>
      </c>
      <c r="X1259" s="1" t="str">
        <f>IFERROR(__xludf.DUMMYFUNCTION("""COMPUTED_VALUE"""),"")</f>
        <v/>
      </c>
      <c r="Y1259" s="1" t="str">
        <f>IFERROR(__xludf.DUMMYFUNCTION("""COMPUTED_VALUE"""),"")</f>
        <v/>
      </c>
      <c r="Z1259" s="1" t="str">
        <f>IFERROR(__xludf.DUMMYFUNCTION("""COMPUTED_VALUE"""),"Unknown")</f>
        <v>Unknown</v>
      </c>
      <c r="AA1259" s="1" t="str">
        <f>IFERROR(__xludf.DUMMYFUNCTION("""COMPUTED_VALUE"""),"")</f>
        <v/>
      </c>
      <c r="AB1259" s="1" t="str">
        <f>IFERROR(__xludf.DUMMYFUNCTION("""COMPUTED_VALUE"""),"")</f>
        <v/>
      </c>
      <c r="AC1259" s="1" t="str">
        <f>IFERROR(__xludf.DUMMYFUNCTION("""COMPUTED_VALUE"""),"")</f>
        <v/>
      </c>
      <c r="AD1259" s="1" t="str">
        <f>IFERROR(__xludf.DUMMYFUNCTION("""COMPUTED_VALUE"""),"")</f>
        <v/>
      </c>
      <c r="AE1259" s="1" t="str">
        <f>IFERROR(__xludf.DUMMYFUNCTION("""COMPUTED_VALUE"""),"")</f>
        <v/>
      </c>
      <c r="AF1259" s="1" t="str">
        <f>IFERROR(__xludf.DUMMYFUNCTION("""COMPUTED_VALUE"""),"")</f>
        <v/>
      </c>
      <c r="AG1259" s="1" t="str">
        <f>IFERROR(__xludf.DUMMYFUNCTION("""COMPUTED_VALUE"""),"")</f>
        <v/>
      </c>
      <c r="AH1259" s="1" t="str">
        <f>IFERROR(__xludf.DUMMYFUNCTION("""COMPUTED_VALUE"""),"Media Monitoring")</f>
        <v>Media Monitoring</v>
      </c>
      <c r="AI1259" s="2" t="str">
        <f>IFERROR(__xludf.DUMMYFUNCTION("""COMPUTED_VALUE"""),"https://www.datacenterdynamics.com/en/news/10m-sq-ft-amazon-files-for-four-data-center-campuses-in-virginias-spotsylvania-and-caroline-counties/")</f>
        <v>https://www.datacenterdynamics.com/en/news/10m-sq-ft-amazon-files-for-four-data-center-campuses-in-virginias-spotsylvania-and-caroline-counties/</v>
      </c>
      <c r="AJ1259" s="1" t="str">
        <f>IFERROR(__xludf.DUMMYFUNCTION("""COMPUTED_VALUE"""),"")</f>
        <v/>
      </c>
      <c r="AK1259" s="1" t="str">
        <f>IFERROR(__xludf.DUMMYFUNCTION("""COMPUTED_VALUE"""),"")</f>
        <v/>
      </c>
      <c r="AL1259" s="1" t="str">
        <f>IFERROR(__xludf.DUMMYFUNCTION("""COMPUTED_VALUE"""),"")</f>
        <v/>
      </c>
      <c r="AM1259" s="1" t="str">
        <f>IFERROR(__xludf.DUMMYFUNCTION("""COMPUTED_VALUE"""),"")</f>
        <v/>
      </c>
      <c r="AN1259" s="1" t="str">
        <f>IFERROR(__xludf.DUMMYFUNCTION("""COMPUTED_VALUE"""),"")</f>
        <v/>
      </c>
      <c r="AO1259" s="1" t="str">
        <f>IFERROR(__xludf.DUMMYFUNCTION("""COMPUTED_VALUE"""),"")</f>
        <v/>
      </c>
      <c r="AP1259" s="1" t="str">
        <f>IFERROR(__xludf.DUMMYFUNCTION("""COMPUTED_VALUE"""),"")</f>
        <v/>
      </c>
      <c r="AQ1259" s="1" t="str">
        <f>IFERROR(__xludf.DUMMYFUNCTION("""COMPUTED_VALUE"""),"01/23/2026")</f>
        <v>01/23/2026</v>
      </c>
      <c r="AR1259" s="1" t="str">
        <f>IFERROR(__xludf.DUMMYFUNCTION("""COMPUTED_VALUE"""),"01/23/2026")</f>
        <v>01/23/2026</v>
      </c>
    </row>
    <row r="1260">
      <c r="A1260" s="1" t="str">
        <f>IFERROR(__xludf.DUMMYFUNCTION("""COMPUTED_VALUE"""),"Blaisdell Property Data Center")</f>
        <v>Blaisdell Property Data Center</v>
      </c>
      <c r="B1260" s="1" t="str">
        <f>IFERROR(__xludf.DUMMYFUNCTION("""COMPUTED_VALUE"""),"Old Forge Drive")</f>
        <v>Old Forge Drive</v>
      </c>
      <c r="C1260" s="1" t="str">
        <f>IFERROR(__xludf.DUMMYFUNCTION("""COMPUTED_VALUE"""),"Fredericksburg")</f>
        <v>Fredericksburg</v>
      </c>
      <c r="D1260" s="1" t="str">
        <f>IFERROR(__xludf.DUMMYFUNCTION("""COMPUTED_VALUE"""),"VA")</f>
        <v>VA</v>
      </c>
      <c r="E1260" s="1" t="str">
        <f>IFERROR(__xludf.DUMMYFUNCTION("""COMPUTED_VALUE"""),"22405")</f>
        <v>22405</v>
      </c>
      <c r="F1260" s="1" t="str">
        <f>IFERROR(__xludf.DUMMYFUNCTION("""COMPUTED_VALUE"""),"Spotsylvania")</f>
        <v>Spotsylvania</v>
      </c>
      <c r="G1260" s="1" t="str">
        <f>IFERROR(__xludf.DUMMYFUNCTION("""COMPUTED_VALUE"""),"38.33172")</f>
        <v>38.33172</v>
      </c>
      <c r="H1260" s="1" t="str">
        <f>IFERROR(__xludf.DUMMYFUNCTION("""COMPUTED_VALUE"""),"-77.48733")</f>
        <v>-77.48733</v>
      </c>
      <c r="I1260" s="1" t="str">
        <f>IFERROR(__xludf.DUMMYFUNCTION("""COMPUTED_VALUE"""),"Proposed")</f>
        <v>Proposed</v>
      </c>
      <c r="J1260" s="1" t="str">
        <f>IFERROR(__xludf.DUMMYFUNCTION("""COMPUTED_VALUE"""),"Medium")</f>
        <v>Medium</v>
      </c>
      <c r="K1260" s="1" t="str">
        <f>IFERROR(__xludf.DUMMYFUNCTION("""COMPUTED_VALUE"""),"")</f>
        <v/>
      </c>
      <c r="L1260" s="1" t="str">
        <f>IFERROR(__xludf.DUMMYFUNCTION("""COMPUTED_VALUE"""),"")</f>
        <v/>
      </c>
      <c r="M1260" s="1" t="str">
        <f>IFERROR(__xludf.DUMMYFUNCTION("""COMPUTED_VALUE"""),"")</f>
        <v/>
      </c>
      <c r="N1260" s="1" t="str">
        <f>IFERROR(__xludf.DUMMYFUNCTION("""COMPUTED_VALUE"""),"")</f>
        <v/>
      </c>
      <c r="O1260" s="1" t="str">
        <f>IFERROR(__xludf.DUMMYFUNCTION("""COMPUTED_VALUE"""),"Unknown")</f>
        <v>Unknown</v>
      </c>
      <c r="P1260" s="1" t="str">
        <f>IFERROR(__xludf.DUMMYFUNCTION("""COMPUTED_VALUE"""),"")</f>
        <v/>
      </c>
      <c r="Q1260" s="1" t="str">
        <f>IFERROR(__xludf.DUMMYFUNCTION("""COMPUTED_VALUE"""),"")</f>
        <v/>
      </c>
      <c r="R1260" s="1" t="str">
        <f>IFERROR(__xludf.DUMMYFUNCTION("""COMPUTED_VALUE"""),"")</f>
        <v/>
      </c>
      <c r="S1260" s="1" t="str">
        <f>IFERROR(__xludf.DUMMYFUNCTION("""COMPUTED_VALUE"""),"")</f>
        <v/>
      </c>
      <c r="T1260" s="1" t="str">
        <f>IFERROR(__xludf.DUMMYFUNCTION("""COMPUTED_VALUE"""),"")</f>
        <v/>
      </c>
      <c r="U1260" s="1" t="str">
        <f>IFERROR(__xludf.DUMMYFUNCTION("""COMPUTED_VALUE"""),"")</f>
        <v/>
      </c>
      <c r="V1260" s="1" t="str">
        <f>IFERROR(__xludf.DUMMYFUNCTION("""COMPUTED_VALUE"""),"1,480,000")</f>
        <v>1,480,000</v>
      </c>
      <c r="W1260" s="1" t="str">
        <f>IFERROR(__xludf.DUMMYFUNCTION("""COMPUTED_VALUE"""),"181")</f>
        <v>181</v>
      </c>
      <c r="X1260" s="1" t="str">
        <f>IFERROR(__xludf.DUMMYFUNCTION("""COMPUTED_VALUE"""),"")</f>
        <v/>
      </c>
      <c r="Y1260" s="1" t="str">
        <f>IFERROR(__xludf.DUMMYFUNCTION("""COMPUTED_VALUE"""),"")</f>
        <v/>
      </c>
      <c r="Z1260" s="1" t="str">
        <f>IFERROR(__xludf.DUMMYFUNCTION("""COMPUTED_VALUE"""),"Unknown")</f>
        <v>Unknown</v>
      </c>
      <c r="AA1260" s="1" t="str">
        <f>IFERROR(__xludf.DUMMYFUNCTION("""COMPUTED_VALUE"""),"")</f>
        <v/>
      </c>
      <c r="AB1260" s="1" t="str">
        <f>IFERROR(__xludf.DUMMYFUNCTION("""COMPUTED_VALUE"""),"")</f>
        <v/>
      </c>
      <c r="AC1260" s="1" t="str">
        <f>IFERROR(__xludf.DUMMYFUNCTION("""COMPUTED_VALUE"""),"")</f>
        <v/>
      </c>
      <c r="AD1260" s="1" t="str">
        <f>IFERROR(__xludf.DUMMYFUNCTION("""COMPUTED_VALUE"""),"")</f>
        <v/>
      </c>
      <c r="AE1260" s="1" t="str">
        <f>IFERROR(__xludf.DUMMYFUNCTION("""COMPUTED_VALUE"""),"")</f>
        <v/>
      </c>
      <c r="AF1260" s="1" t="str">
        <f>IFERROR(__xludf.DUMMYFUNCTION("""COMPUTED_VALUE"""),"")</f>
        <v/>
      </c>
      <c r="AG1260" s="1" t="str">
        <f>IFERROR(__xludf.DUMMYFUNCTION("""COMPUTED_VALUE"""),"This project covers multiple parcels. The total acreage has been represented here.")</f>
        <v>This project covers multiple parcels. The total acreage has been represented here.</v>
      </c>
      <c r="AH1260" s="1" t="str">
        <f>IFERROR(__xludf.DUMMYFUNCTION("""COMPUTED_VALUE"""),"PEC")</f>
        <v>PEC</v>
      </c>
      <c r="AI1260" s="2" t="str">
        <f>IFERROR(__xludf.DUMMYFUNCTION("""COMPUTED_VALUE"""),"https://www.fxbgadvance.com/p/data-center-proposed-in-historic")</f>
        <v>https://www.fxbgadvance.com/p/data-center-proposed-in-historic</v>
      </c>
      <c r="AJ1260" s="2" t="str">
        <f>IFERROR(__xludf.DUMMYFUNCTION("""COMPUTED_VALUE"""),"https://va-stafford-assessor.publicaccessnow.com/PropertySearch/PropertyDetails.aspx?p=53%20%20%20%20%20%20%20%20%201M&amp;a=31432")</f>
        <v>https://va-stafford-assessor.publicaccessnow.com/PropertySearch/PropertyDetails.aspx?p=53%20%20%20%20%20%20%20%20%201M&amp;a=31432</v>
      </c>
      <c r="AK1260" s="1" t="str">
        <f>IFERROR(__xludf.DUMMYFUNCTION("""COMPUTED_VALUE"""),"")</f>
        <v/>
      </c>
      <c r="AL1260" s="1" t="str">
        <f>IFERROR(__xludf.DUMMYFUNCTION("""COMPUTED_VALUE"""),"")</f>
        <v/>
      </c>
      <c r="AM1260" s="1" t="str">
        <f>IFERROR(__xludf.DUMMYFUNCTION("""COMPUTED_VALUE"""),"")</f>
        <v/>
      </c>
      <c r="AN1260" s="1" t="str">
        <f>IFERROR(__xludf.DUMMYFUNCTION("""COMPUTED_VALUE"""),"")</f>
        <v/>
      </c>
      <c r="AO1260" s="1" t="str">
        <f>IFERROR(__xludf.DUMMYFUNCTION("""COMPUTED_VALUE"""),"")</f>
        <v/>
      </c>
      <c r="AP1260" s="1" t="str">
        <f>IFERROR(__xludf.DUMMYFUNCTION("""COMPUTED_VALUE"""),"")</f>
        <v/>
      </c>
      <c r="AQ1260" s="1" t="str">
        <f>IFERROR(__xludf.DUMMYFUNCTION("""COMPUTED_VALUE"""),"04/28/2025")</f>
        <v>04/28/2025</v>
      </c>
      <c r="AR1260" s="1" t="str">
        <f>IFERROR(__xludf.DUMMYFUNCTION("""COMPUTED_VALUE"""),"10/17/2025")</f>
        <v>10/17/2025</v>
      </c>
    </row>
    <row r="1261">
      <c r="A1261" s="1" t="str">
        <f>IFERROR(__xludf.DUMMYFUNCTION("""COMPUTED_VALUE"""),"Carter's Store Tech Campus")</f>
        <v>Carter's Store Tech Campus</v>
      </c>
      <c r="B1261" s="1" t="str">
        <f>IFERROR(__xludf.DUMMYFUNCTION("""COMPUTED_VALUE"""),"")</f>
        <v/>
      </c>
      <c r="C1261" s="1" t="str">
        <f>IFERROR(__xludf.DUMMYFUNCTION("""COMPUTED_VALUE"""),"Fredericksburg")</f>
        <v>Fredericksburg</v>
      </c>
      <c r="D1261" s="1" t="str">
        <f>IFERROR(__xludf.DUMMYFUNCTION("""COMPUTED_VALUE"""),"VA")</f>
        <v>VA</v>
      </c>
      <c r="E1261" s="1" t="str">
        <f>IFERROR(__xludf.DUMMYFUNCTION("""COMPUTED_VALUE"""),"22408")</f>
        <v>22408</v>
      </c>
      <c r="F1261" s="1" t="str">
        <f>IFERROR(__xludf.DUMMYFUNCTION("""COMPUTED_VALUE"""),"Spotsylvania")</f>
        <v>Spotsylvania</v>
      </c>
      <c r="G1261" s="1" t="str">
        <f>IFERROR(__xludf.DUMMYFUNCTION("""COMPUTED_VALUE"""),"38.18951")</f>
        <v>38.18951</v>
      </c>
      <c r="H1261" s="1" t="str">
        <f>IFERROR(__xludf.DUMMYFUNCTION("""COMPUTED_VALUE"""),"-77.45481")</f>
        <v>-77.45481</v>
      </c>
      <c r="I1261" s="1" t="str">
        <f>IFERROR(__xludf.DUMMYFUNCTION("""COMPUTED_VALUE"""),"Proposed")</f>
        <v>Proposed</v>
      </c>
      <c r="J1261" s="1" t="str">
        <f>IFERROR(__xludf.DUMMYFUNCTION("""COMPUTED_VALUE"""),"Medium")</f>
        <v>Medium</v>
      </c>
      <c r="K1261" s="1" t="str">
        <f>IFERROR(__xludf.DUMMYFUNCTION("""COMPUTED_VALUE"""),"")</f>
        <v/>
      </c>
      <c r="L1261" s="1" t="str">
        <f>IFERROR(__xludf.DUMMYFUNCTION("""COMPUTED_VALUE"""),"Amazon")</f>
        <v>Amazon</v>
      </c>
      <c r="M1261" s="1" t="str">
        <f>IFERROR(__xludf.DUMMYFUNCTION("""COMPUTED_VALUE"""),"")</f>
        <v/>
      </c>
      <c r="N1261" s="1" t="str">
        <f>IFERROR(__xludf.DUMMYFUNCTION("""COMPUTED_VALUE"""),"")</f>
        <v/>
      </c>
      <c r="O1261" s="1" t="str">
        <f>IFERROR(__xludf.DUMMYFUNCTION("""COMPUTED_VALUE"""),"Unknown")</f>
        <v>Unknown</v>
      </c>
      <c r="P1261" s="1" t="str">
        <f>IFERROR(__xludf.DUMMYFUNCTION("""COMPUTED_VALUE"""),"")</f>
        <v/>
      </c>
      <c r="Q1261" s="1" t="str">
        <f>IFERROR(__xludf.DUMMYFUNCTION("""COMPUTED_VALUE"""),"")</f>
        <v/>
      </c>
      <c r="R1261" s="1" t="str">
        <f>IFERROR(__xludf.DUMMYFUNCTION("""COMPUTED_VALUE"""),"")</f>
        <v/>
      </c>
      <c r="S1261" s="1" t="str">
        <f>IFERROR(__xludf.DUMMYFUNCTION("""COMPUTED_VALUE"""),"")</f>
        <v/>
      </c>
      <c r="T1261" s="1" t="str">
        <f>IFERROR(__xludf.DUMMYFUNCTION("""COMPUTED_VALUE"""),"")</f>
        <v/>
      </c>
      <c r="U1261" s="1" t="str">
        <f>IFERROR(__xludf.DUMMYFUNCTION("""COMPUTED_VALUE"""),"")</f>
        <v/>
      </c>
      <c r="V1261" s="1" t="str">
        <f>IFERROR(__xludf.DUMMYFUNCTION("""COMPUTED_VALUE"""),"2,600,000")</f>
        <v>2,600,000</v>
      </c>
      <c r="W1261" s="1" t="str">
        <f>IFERROR(__xludf.DUMMYFUNCTION("""COMPUTED_VALUE"""),"313")</f>
        <v>313</v>
      </c>
      <c r="X1261" s="1" t="str">
        <f>IFERROR(__xludf.DUMMYFUNCTION("""COMPUTED_VALUE"""),"")</f>
        <v/>
      </c>
      <c r="Y1261" s="1" t="str">
        <f>IFERROR(__xludf.DUMMYFUNCTION("""COMPUTED_VALUE"""),"")</f>
        <v/>
      </c>
      <c r="Z1261" s="1" t="str">
        <f>IFERROR(__xludf.DUMMYFUNCTION("""COMPUTED_VALUE"""),"Unknown")</f>
        <v>Unknown</v>
      </c>
      <c r="AA1261" s="1" t="str">
        <f>IFERROR(__xludf.DUMMYFUNCTION("""COMPUTED_VALUE"""),"")</f>
        <v/>
      </c>
      <c r="AB1261" s="1" t="str">
        <f>IFERROR(__xludf.DUMMYFUNCTION("""COMPUTED_VALUE"""),"")</f>
        <v/>
      </c>
      <c r="AC1261" s="1" t="str">
        <f>IFERROR(__xludf.DUMMYFUNCTION("""COMPUTED_VALUE"""),"")</f>
        <v/>
      </c>
      <c r="AD1261" s="1" t="str">
        <f>IFERROR(__xludf.DUMMYFUNCTION("""COMPUTED_VALUE"""),"")</f>
        <v/>
      </c>
      <c r="AE1261" s="1" t="str">
        <f>IFERROR(__xludf.DUMMYFUNCTION("""COMPUTED_VALUE"""),"")</f>
        <v/>
      </c>
      <c r="AF1261" s="1" t="str">
        <f>IFERROR(__xludf.DUMMYFUNCTION("""COMPUTED_VALUE"""),"")</f>
        <v/>
      </c>
      <c r="AG1261" s="1" t="str">
        <f>IFERROR(__xludf.DUMMYFUNCTION("""COMPUTED_VALUE"""),"This project covers multiple parcels. The total acreage has been represented here.")</f>
        <v>This project covers multiple parcels. The total acreage has been represented here.</v>
      </c>
      <c r="AH1261" s="1" t="str">
        <f>IFERROR(__xludf.DUMMYFUNCTION("""COMPUTED_VALUE"""),"PEC")</f>
        <v>PEC</v>
      </c>
      <c r="AI1261" s="2" t="str">
        <f>IFERROR(__xludf.DUMMYFUNCTION("""COMPUTED_VALUE"""),"https://www.datacenterfrontier.com/cloud/article/33006046/amazon-plans-major-data-center-expansion-in-virginias-spotsylvania-county")</f>
        <v>https://www.datacenterfrontier.com/cloud/article/33006046/amazon-plans-major-data-center-expansion-in-virginias-spotsylvania-county</v>
      </c>
      <c r="AJ1261" s="1" t="str">
        <f>IFERROR(__xludf.DUMMYFUNCTION("""COMPUTED_VALUE"""),"")</f>
        <v/>
      </c>
      <c r="AK1261" s="1" t="str">
        <f>IFERROR(__xludf.DUMMYFUNCTION("""COMPUTED_VALUE"""),"")</f>
        <v/>
      </c>
      <c r="AL1261" s="1" t="str">
        <f>IFERROR(__xludf.DUMMYFUNCTION("""COMPUTED_VALUE"""),"")</f>
        <v/>
      </c>
      <c r="AM1261" s="1" t="str">
        <f>IFERROR(__xludf.DUMMYFUNCTION("""COMPUTED_VALUE"""),"")</f>
        <v/>
      </c>
      <c r="AN1261" s="1" t="str">
        <f>IFERROR(__xludf.DUMMYFUNCTION("""COMPUTED_VALUE"""),"")</f>
        <v/>
      </c>
      <c r="AO1261" s="1" t="str">
        <f>IFERROR(__xludf.DUMMYFUNCTION("""COMPUTED_VALUE"""),"")</f>
        <v/>
      </c>
      <c r="AP1261" s="1" t="str">
        <f>IFERROR(__xludf.DUMMYFUNCTION("""COMPUTED_VALUE"""),"")</f>
        <v/>
      </c>
      <c r="AQ1261" s="1" t="str">
        <f>IFERROR(__xludf.DUMMYFUNCTION("""COMPUTED_VALUE"""),"04/10/2024")</f>
        <v>04/10/2024</v>
      </c>
      <c r="AR1261" s="1" t="str">
        <f>IFERROR(__xludf.DUMMYFUNCTION("""COMPUTED_VALUE"""),"10/17/2025")</f>
        <v>10/17/2025</v>
      </c>
    </row>
    <row r="1262">
      <c r="A1262" s="1" t="str">
        <f>IFERROR(__xludf.DUMMYFUNCTION("""COMPUTED_VALUE"""),"Cosner Tech Campus")</f>
        <v>Cosner Tech Campus</v>
      </c>
      <c r="B1262" s="1" t="str">
        <f>IFERROR(__xludf.DUMMYFUNCTION("""COMPUTED_VALUE"""),"4049 Massaponax Church Road")</f>
        <v>4049 Massaponax Church Road</v>
      </c>
      <c r="C1262" s="1" t="str">
        <f>IFERROR(__xludf.DUMMYFUNCTION("""COMPUTED_VALUE"""),"Fredericksburg")</f>
        <v>Fredericksburg</v>
      </c>
      <c r="D1262" s="1" t="str">
        <f>IFERROR(__xludf.DUMMYFUNCTION("""COMPUTED_VALUE"""),"VA")</f>
        <v>VA</v>
      </c>
      <c r="E1262" s="1" t="str">
        <f>IFERROR(__xludf.DUMMYFUNCTION("""COMPUTED_VALUE"""),"22408")</f>
        <v>22408</v>
      </c>
      <c r="F1262" s="1" t="str">
        <f>IFERROR(__xludf.DUMMYFUNCTION("""COMPUTED_VALUE"""),"Spotsylvania")</f>
        <v>Spotsylvania</v>
      </c>
      <c r="G1262" s="1" t="str">
        <f>IFERROR(__xludf.DUMMYFUNCTION("""COMPUTED_VALUE"""),"38.209717")</f>
        <v>38.209717</v>
      </c>
      <c r="H1262" s="1" t="str">
        <f>IFERROR(__xludf.DUMMYFUNCTION("""COMPUTED_VALUE"""),"-77.48423")</f>
        <v>-77.48423</v>
      </c>
      <c r="I1262" s="1" t="str">
        <f>IFERROR(__xludf.DUMMYFUNCTION("""COMPUTED_VALUE"""),"Proposed")</f>
        <v>Proposed</v>
      </c>
      <c r="J1262" s="1" t="str">
        <f>IFERROR(__xludf.DUMMYFUNCTION("""COMPUTED_VALUE"""),"High")</f>
        <v>High</v>
      </c>
      <c r="K1262" s="1" t="str">
        <f>IFERROR(__xludf.DUMMYFUNCTION("""COMPUTED_VALUE"""),"")</f>
        <v/>
      </c>
      <c r="L1262" s="1" t="str">
        <f>IFERROR(__xludf.DUMMYFUNCTION("""COMPUTED_VALUE"""),"Amazon")</f>
        <v>Amazon</v>
      </c>
      <c r="M1262" s="1" t="str">
        <f>IFERROR(__xludf.DUMMYFUNCTION("""COMPUTED_VALUE"""),"")</f>
        <v/>
      </c>
      <c r="N1262" s="1" t="str">
        <f>IFERROR(__xludf.DUMMYFUNCTION("""COMPUTED_VALUE"""),"")</f>
        <v/>
      </c>
      <c r="O1262" s="1" t="str">
        <f>IFERROR(__xludf.DUMMYFUNCTION("""COMPUTED_VALUE"""),"Unknown")</f>
        <v>Unknown</v>
      </c>
      <c r="P1262" s="1" t="str">
        <f>IFERROR(__xludf.DUMMYFUNCTION("""COMPUTED_VALUE"""),"")</f>
        <v/>
      </c>
      <c r="Q1262" s="1" t="str">
        <f>IFERROR(__xludf.DUMMYFUNCTION("""COMPUTED_VALUE"""),"")</f>
        <v/>
      </c>
      <c r="R1262" s="1" t="str">
        <f>IFERROR(__xludf.DUMMYFUNCTION("""COMPUTED_VALUE"""),"")</f>
        <v/>
      </c>
      <c r="S1262" s="1" t="str">
        <f>IFERROR(__xludf.DUMMYFUNCTION("""COMPUTED_VALUE"""),"")</f>
        <v/>
      </c>
      <c r="T1262" s="1" t="str">
        <f>IFERROR(__xludf.DUMMYFUNCTION("""COMPUTED_VALUE"""),"")</f>
        <v/>
      </c>
      <c r="U1262" s="1" t="str">
        <f>IFERROR(__xludf.DUMMYFUNCTION("""COMPUTED_VALUE"""),"")</f>
        <v/>
      </c>
      <c r="V1262" s="1" t="str">
        <f>IFERROR(__xludf.DUMMYFUNCTION("""COMPUTED_VALUE"""),"1,900,000")</f>
        <v>1,900,000</v>
      </c>
      <c r="W1262" s="1" t="str">
        <f>IFERROR(__xludf.DUMMYFUNCTION("""COMPUTED_VALUE"""),"329")</f>
        <v>329</v>
      </c>
      <c r="X1262" s="1" t="str">
        <f>IFERROR(__xludf.DUMMYFUNCTION("""COMPUTED_VALUE"""),"")</f>
        <v/>
      </c>
      <c r="Y1262" s="1" t="str">
        <f>IFERROR(__xludf.DUMMYFUNCTION("""COMPUTED_VALUE"""),"")</f>
        <v/>
      </c>
      <c r="Z1262" s="1" t="str">
        <f>IFERROR(__xludf.DUMMYFUNCTION("""COMPUTED_VALUE"""),"Unknown")</f>
        <v>Unknown</v>
      </c>
      <c r="AA1262" s="1" t="str">
        <f>IFERROR(__xludf.DUMMYFUNCTION("""COMPUTED_VALUE"""),"")</f>
        <v/>
      </c>
      <c r="AB1262" s="1" t="str">
        <f>IFERROR(__xludf.DUMMYFUNCTION("""COMPUTED_VALUE"""),"")</f>
        <v/>
      </c>
      <c r="AC1262" s="1" t="str">
        <f>IFERROR(__xludf.DUMMYFUNCTION("""COMPUTED_VALUE"""),"")</f>
        <v/>
      </c>
      <c r="AD1262" s="1" t="str">
        <f>IFERROR(__xludf.DUMMYFUNCTION("""COMPUTED_VALUE"""),"")</f>
        <v/>
      </c>
      <c r="AE1262" s="1" t="str">
        <f>IFERROR(__xludf.DUMMYFUNCTION("""COMPUTED_VALUE"""),"")</f>
        <v/>
      </c>
      <c r="AF1262" s="1" t="str">
        <f>IFERROR(__xludf.DUMMYFUNCTION("""COMPUTED_VALUE"""),"")</f>
        <v/>
      </c>
      <c r="AG1262" s="1" t="str">
        <f>IFERROR(__xludf.DUMMYFUNCTION("""COMPUTED_VALUE"""),"This project covers multiple parcels. The total acreage has been represented here.")</f>
        <v>This project covers multiple parcels. The total acreage has been represented here.</v>
      </c>
      <c r="AH1262" s="1" t="str">
        <f>IFERROR(__xludf.DUMMYFUNCTION("""COMPUTED_VALUE"""),"PEC")</f>
        <v>PEC</v>
      </c>
      <c r="AI1262" s="2" t="str">
        <f>IFERROR(__xludf.DUMMYFUNCTION("""COMPUTED_VALUE"""),"https://www.datacenterdynamics.com/en/news/10m-sq-ft-amazon-files-for-four-data-center-campuses-in-virginias-spotsylvania-and-caroline-counties/")</f>
        <v>https://www.datacenterdynamics.com/en/news/10m-sq-ft-amazon-files-for-four-data-center-campuses-in-virginias-spotsylvania-and-caroline-counties/</v>
      </c>
      <c r="AJ1262" s="1" t="str">
        <f>IFERROR(__xludf.DUMMYFUNCTION("""COMPUTED_VALUE"""),"")</f>
        <v/>
      </c>
      <c r="AK1262" s="1" t="str">
        <f>IFERROR(__xludf.DUMMYFUNCTION("""COMPUTED_VALUE"""),"")</f>
        <v/>
      </c>
      <c r="AL1262" s="1" t="str">
        <f>IFERROR(__xludf.DUMMYFUNCTION("""COMPUTED_VALUE"""),"")</f>
        <v/>
      </c>
      <c r="AM1262" s="1" t="str">
        <f>IFERROR(__xludf.DUMMYFUNCTION("""COMPUTED_VALUE"""),"")</f>
        <v/>
      </c>
      <c r="AN1262" s="1" t="str">
        <f>IFERROR(__xludf.DUMMYFUNCTION("""COMPUTED_VALUE"""),"")</f>
        <v/>
      </c>
      <c r="AO1262" s="1" t="str">
        <f>IFERROR(__xludf.DUMMYFUNCTION("""COMPUTED_VALUE"""),"")</f>
        <v/>
      </c>
      <c r="AP1262" s="1" t="str">
        <f>IFERROR(__xludf.DUMMYFUNCTION("""COMPUTED_VALUE"""),"")</f>
        <v/>
      </c>
      <c r="AQ1262" s="1" t="str">
        <f>IFERROR(__xludf.DUMMYFUNCTION("""COMPUTED_VALUE"""),"04/10/2024")</f>
        <v>04/10/2024</v>
      </c>
      <c r="AR1262" s="1" t="str">
        <f>IFERROR(__xludf.DUMMYFUNCTION("""COMPUTED_VALUE"""),"10/17/2025")</f>
        <v>10/17/2025</v>
      </c>
    </row>
    <row r="1263">
      <c r="A1263" s="1" t="str">
        <f>IFERROR(__xludf.DUMMYFUNCTION("""COMPUTED_VALUE"""),"Cranes Corner Data Center")</f>
        <v>Cranes Corner Data Center</v>
      </c>
      <c r="B1263" s="1" t="str">
        <f>IFERROR(__xludf.DUMMYFUNCTION("""COMPUTED_VALUE"""),"east of U.S. 1 and about 1,400 feet north of the Centreport Parkway intersection")</f>
        <v>east of U.S. 1 and about 1,400 feet north of the Centreport Parkway intersection</v>
      </c>
      <c r="C1263" s="1" t="str">
        <f>IFERROR(__xludf.DUMMYFUNCTION("""COMPUTED_VALUE"""),"Fredericksburg")</f>
        <v>Fredericksburg</v>
      </c>
      <c r="D1263" s="1" t="str">
        <f>IFERROR(__xludf.DUMMYFUNCTION("""COMPUTED_VALUE"""),"VA")</f>
        <v>VA</v>
      </c>
      <c r="E1263" s="1" t="str">
        <f>IFERROR(__xludf.DUMMYFUNCTION("""COMPUTED_VALUE"""),"22405")</f>
        <v>22405</v>
      </c>
      <c r="F1263" s="1" t="str">
        <f>IFERROR(__xludf.DUMMYFUNCTION("""COMPUTED_VALUE"""),"Spotsylvania")</f>
        <v>Spotsylvania</v>
      </c>
      <c r="G1263" s="1" t="str">
        <f>IFERROR(__xludf.DUMMYFUNCTION("""COMPUTED_VALUE"""),"38.371296")</f>
        <v>38.371296</v>
      </c>
      <c r="H1263" s="1" t="str">
        <f>IFERROR(__xludf.DUMMYFUNCTION("""COMPUTED_VALUE"""),"-77.45144")</f>
        <v>-77.45144</v>
      </c>
      <c r="I1263" s="1" t="str">
        <f>IFERROR(__xludf.DUMMYFUNCTION("""COMPUTED_VALUE"""),"Proposed")</f>
        <v>Proposed</v>
      </c>
      <c r="J1263" s="1" t="str">
        <f>IFERROR(__xludf.DUMMYFUNCTION("""COMPUTED_VALUE"""),"Medium")</f>
        <v>Medium</v>
      </c>
      <c r="K1263" s="1" t="str">
        <f>IFERROR(__xludf.DUMMYFUNCTION("""COMPUTED_VALUE"""),"")</f>
        <v/>
      </c>
      <c r="L1263" s="1" t="str">
        <f>IFERROR(__xludf.DUMMYFUNCTION("""COMPUTED_VALUE"""),"")</f>
        <v/>
      </c>
      <c r="M1263" s="1" t="str">
        <f>IFERROR(__xludf.DUMMYFUNCTION("""COMPUTED_VALUE"""),"")</f>
        <v/>
      </c>
      <c r="N1263" s="1" t="str">
        <f>IFERROR(__xludf.DUMMYFUNCTION("""COMPUTED_VALUE"""),"")</f>
        <v/>
      </c>
      <c r="O1263" s="1" t="str">
        <f>IFERROR(__xludf.DUMMYFUNCTION("""COMPUTED_VALUE"""),"Unknown")</f>
        <v>Unknown</v>
      </c>
      <c r="P1263" s="1" t="str">
        <f>IFERROR(__xludf.DUMMYFUNCTION("""COMPUTED_VALUE"""),"")</f>
        <v/>
      </c>
      <c r="Q1263" s="1" t="str">
        <f>IFERROR(__xludf.DUMMYFUNCTION("""COMPUTED_VALUE"""),"")</f>
        <v/>
      </c>
      <c r="R1263" s="1" t="str">
        <f>IFERROR(__xludf.DUMMYFUNCTION("""COMPUTED_VALUE"""),"")</f>
        <v/>
      </c>
      <c r="S1263" s="1" t="str">
        <f>IFERROR(__xludf.DUMMYFUNCTION("""COMPUTED_VALUE"""),"")</f>
        <v/>
      </c>
      <c r="T1263" s="1" t="str">
        <f>IFERROR(__xludf.DUMMYFUNCTION("""COMPUTED_VALUE"""),"")</f>
        <v/>
      </c>
      <c r="U1263" s="1" t="str">
        <f>IFERROR(__xludf.DUMMYFUNCTION("""COMPUTED_VALUE"""),"")</f>
        <v/>
      </c>
      <c r="V1263" s="1" t="str">
        <f>IFERROR(__xludf.DUMMYFUNCTION("""COMPUTED_VALUE"""),"900,000")</f>
        <v>900,000</v>
      </c>
      <c r="W1263" s="1" t="str">
        <f>IFERROR(__xludf.DUMMYFUNCTION("""COMPUTED_VALUE"""),"46")</f>
        <v>46</v>
      </c>
      <c r="X1263" s="1" t="str">
        <f>IFERROR(__xludf.DUMMYFUNCTION("""COMPUTED_VALUE"""),"")</f>
        <v/>
      </c>
      <c r="Y1263" s="1" t="str">
        <f>IFERROR(__xludf.DUMMYFUNCTION("""COMPUTED_VALUE"""),"")</f>
        <v/>
      </c>
      <c r="Z1263" s="1" t="str">
        <f>IFERROR(__xludf.DUMMYFUNCTION("""COMPUTED_VALUE"""),"Unknown")</f>
        <v>Unknown</v>
      </c>
      <c r="AA1263" s="1" t="str">
        <f>IFERROR(__xludf.DUMMYFUNCTION("""COMPUTED_VALUE"""),"")</f>
        <v/>
      </c>
      <c r="AB1263" s="1" t="str">
        <f>IFERROR(__xludf.DUMMYFUNCTION("""COMPUTED_VALUE"""),"")</f>
        <v/>
      </c>
      <c r="AC1263" s="1" t="str">
        <f>IFERROR(__xludf.DUMMYFUNCTION("""COMPUTED_VALUE"""),"")</f>
        <v/>
      </c>
      <c r="AD1263" s="1" t="str">
        <f>IFERROR(__xludf.DUMMYFUNCTION("""COMPUTED_VALUE"""),"")</f>
        <v/>
      </c>
      <c r="AE1263" s="1" t="str">
        <f>IFERROR(__xludf.DUMMYFUNCTION("""COMPUTED_VALUE"""),"")</f>
        <v/>
      </c>
      <c r="AF1263" s="1" t="str">
        <f>IFERROR(__xludf.DUMMYFUNCTION("""COMPUTED_VALUE"""),"")</f>
        <v/>
      </c>
      <c r="AG1263" s="1" t="str">
        <f>IFERROR(__xludf.DUMMYFUNCTION("""COMPUTED_VALUE"""),"This project covers multiple parcels. The total acreage has been represented here. May have a connection to Enron Road")</f>
        <v>This project covers multiple parcels. The total acreage has been represented here. May have a connection to Enron Road</v>
      </c>
      <c r="AH1263" s="1" t="str">
        <f>IFERROR(__xludf.DUMMYFUNCTION("""COMPUTED_VALUE"""),"PEC")</f>
        <v>PEC</v>
      </c>
      <c r="AI1263" s="2" t="str">
        <f>IFERROR(__xludf.DUMMYFUNCTION("""COMPUTED_VALUE"""),"https://www.fredericksburgfreepress.com/2025/01/22/biz-beat-roundup-more-data-centers-proposed-in-stafford/")</f>
        <v>https://www.fredericksburgfreepress.com/2025/01/22/biz-beat-roundup-more-data-centers-proposed-in-stafford/</v>
      </c>
      <c r="AJ1263" s="2" t="str">
        <f>IFERROR(__xludf.DUMMYFUNCTION("""COMPUTED_VALUE"""),"https://va-stafford-assessor.publicaccessnow.com/PropertySearch/PropertyDetails.aspx?p=46%20%20%20%20%20%20%20%2010&amp;a=29012")</f>
        <v>https://va-stafford-assessor.publicaccessnow.com/PropertySearch/PropertyDetails.aspx?p=46%20%20%20%20%20%20%20%2010&amp;a=29012</v>
      </c>
      <c r="AK1263" s="1" t="str">
        <f>IFERROR(__xludf.DUMMYFUNCTION("""COMPUTED_VALUE"""),"")</f>
        <v/>
      </c>
      <c r="AL1263" s="1" t="str">
        <f>IFERROR(__xludf.DUMMYFUNCTION("""COMPUTED_VALUE"""),"")</f>
        <v/>
      </c>
      <c r="AM1263" s="1" t="str">
        <f>IFERROR(__xludf.DUMMYFUNCTION("""COMPUTED_VALUE"""),"")</f>
        <v/>
      </c>
      <c r="AN1263" s="1" t="str">
        <f>IFERROR(__xludf.DUMMYFUNCTION("""COMPUTED_VALUE"""),"")</f>
        <v/>
      </c>
      <c r="AO1263" s="1" t="str">
        <f>IFERROR(__xludf.DUMMYFUNCTION("""COMPUTED_VALUE"""),"")</f>
        <v/>
      </c>
      <c r="AP1263" s="1" t="str">
        <f>IFERROR(__xludf.DUMMYFUNCTION("""COMPUTED_VALUE"""),"")</f>
        <v/>
      </c>
      <c r="AQ1263" s="1" t="str">
        <f>IFERROR(__xludf.DUMMYFUNCTION("""COMPUTED_VALUE"""),"04/28/2025")</f>
        <v>04/28/2025</v>
      </c>
      <c r="AR1263" s="1" t="str">
        <f>IFERROR(__xludf.DUMMYFUNCTION("""COMPUTED_VALUE"""),"10/17/2025")</f>
        <v>10/17/2025</v>
      </c>
    </row>
    <row r="1264">
      <c r="A1264" s="1" t="str">
        <f>IFERROR(__xludf.DUMMYFUNCTION("""COMPUTED_VALUE"""),"Enon Road Technologies")</f>
        <v>Enon Road Technologies</v>
      </c>
      <c r="B1264" s="1" t="str">
        <f>IFERROR(__xludf.DUMMYFUNCTION("""COMPUTED_VALUE"""),"south of Enon Road near the intersection with Wyatt Lane")</f>
        <v>south of Enon Road near the intersection with Wyatt Lane</v>
      </c>
      <c r="C1264" s="1" t="str">
        <f>IFERROR(__xludf.DUMMYFUNCTION("""COMPUTED_VALUE"""),"Fredericksburg")</f>
        <v>Fredericksburg</v>
      </c>
      <c r="D1264" s="1" t="str">
        <f>IFERROR(__xludf.DUMMYFUNCTION("""COMPUTED_VALUE"""),"VA")</f>
        <v>VA</v>
      </c>
      <c r="E1264" s="1" t="str">
        <f>IFERROR(__xludf.DUMMYFUNCTION("""COMPUTED_VALUE"""),"22406")</f>
        <v>22406</v>
      </c>
      <c r="F1264" s="1" t="str">
        <f>IFERROR(__xludf.DUMMYFUNCTION("""COMPUTED_VALUE"""),"Spotsylvania")</f>
        <v>Spotsylvania</v>
      </c>
      <c r="G1264" s="1" t="str">
        <f>IFERROR(__xludf.DUMMYFUNCTION("""COMPUTED_VALUE"""),"38.36789")</f>
        <v>38.36789</v>
      </c>
      <c r="H1264" s="1" t="str">
        <f>IFERROR(__xludf.DUMMYFUNCTION("""COMPUTED_VALUE"""),"-77.47358")</f>
        <v>-77.47358</v>
      </c>
      <c r="I1264" s="1" t="str">
        <f>IFERROR(__xludf.DUMMYFUNCTION("""COMPUTED_VALUE"""),"Proposed")</f>
        <v>Proposed</v>
      </c>
      <c r="J1264" s="1" t="str">
        <f>IFERROR(__xludf.DUMMYFUNCTION("""COMPUTED_VALUE"""),"Medium")</f>
        <v>Medium</v>
      </c>
      <c r="K1264" s="1" t="str">
        <f>IFERROR(__xludf.DUMMYFUNCTION("""COMPUTED_VALUE"""),"")</f>
        <v/>
      </c>
      <c r="L1264" s="1" t="str">
        <f>IFERROR(__xludf.DUMMYFUNCTION("""COMPUTED_VALUE"""),"")</f>
        <v/>
      </c>
      <c r="M1264" s="1" t="str">
        <f>IFERROR(__xludf.DUMMYFUNCTION("""COMPUTED_VALUE"""),"")</f>
        <v/>
      </c>
      <c r="N1264" s="1" t="str">
        <f>IFERROR(__xludf.DUMMYFUNCTION("""COMPUTED_VALUE"""),"")</f>
        <v/>
      </c>
      <c r="O1264" s="1" t="str">
        <f>IFERROR(__xludf.DUMMYFUNCTION("""COMPUTED_VALUE"""),"Unknown")</f>
        <v>Unknown</v>
      </c>
      <c r="P1264" s="1" t="str">
        <f>IFERROR(__xludf.DUMMYFUNCTION("""COMPUTED_VALUE"""),"")</f>
        <v/>
      </c>
      <c r="Q1264" s="1" t="str">
        <f>IFERROR(__xludf.DUMMYFUNCTION("""COMPUTED_VALUE"""),"")</f>
        <v/>
      </c>
      <c r="R1264" s="1" t="str">
        <f>IFERROR(__xludf.DUMMYFUNCTION("""COMPUTED_VALUE"""),"")</f>
        <v/>
      </c>
      <c r="S1264" s="1" t="str">
        <f>IFERROR(__xludf.DUMMYFUNCTION("""COMPUTED_VALUE"""),"")</f>
        <v/>
      </c>
      <c r="T1264" s="1" t="str">
        <f>IFERROR(__xludf.DUMMYFUNCTION("""COMPUTED_VALUE"""),"")</f>
        <v/>
      </c>
      <c r="U1264" s="1" t="str">
        <f>IFERROR(__xludf.DUMMYFUNCTION("""COMPUTED_VALUE"""),"")</f>
        <v/>
      </c>
      <c r="V1264" s="1" t="str">
        <f>IFERROR(__xludf.DUMMYFUNCTION("""COMPUTED_VALUE"""),"2,000,000")</f>
        <v>2,000,000</v>
      </c>
      <c r="W1264" s="1" t="str">
        <f>IFERROR(__xludf.DUMMYFUNCTION("""COMPUTED_VALUE"""),"162")</f>
        <v>162</v>
      </c>
      <c r="X1264" s="1" t="str">
        <f>IFERROR(__xludf.DUMMYFUNCTION("""COMPUTED_VALUE"""),"")</f>
        <v/>
      </c>
      <c r="Y1264" s="1" t="str">
        <f>IFERROR(__xludf.DUMMYFUNCTION("""COMPUTED_VALUE"""),"")</f>
        <v/>
      </c>
      <c r="Z1264" s="1" t="str">
        <f>IFERROR(__xludf.DUMMYFUNCTION("""COMPUTED_VALUE"""),"Unknown")</f>
        <v>Unknown</v>
      </c>
      <c r="AA1264" s="1" t="str">
        <f>IFERROR(__xludf.DUMMYFUNCTION("""COMPUTED_VALUE"""),"")</f>
        <v/>
      </c>
      <c r="AB1264" s="1" t="str">
        <f>IFERROR(__xludf.DUMMYFUNCTION("""COMPUTED_VALUE"""),"")</f>
        <v/>
      </c>
      <c r="AC1264" s="1" t="str">
        <f>IFERROR(__xludf.DUMMYFUNCTION("""COMPUTED_VALUE"""),"")</f>
        <v/>
      </c>
      <c r="AD1264" s="1" t="str">
        <f>IFERROR(__xludf.DUMMYFUNCTION("""COMPUTED_VALUE"""),"")</f>
        <v/>
      </c>
      <c r="AE1264" s="1" t="str">
        <f>IFERROR(__xludf.DUMMYFUNCTION("""COMPUTED_VALUE"""),"")</f>
        <v/>
      </c>
      <c r="AF1264" s="1" t="str">
        <f>IFERROR(__xludf.DUMMYFUNCTION("""COMPUTED_VALUE"""),"")</f>
        <v/>
      </c>
      <c r="AG1264" s="1" t="str">
        <f>IFERROR(__xludf.DUMMYFUNCTION("""COMPUTED_VALUE"""),"This project covers multiple parcels. The total acreage has been represented here.")</f>
        <v>This project covers multiple parcels. The total acreage has been represented here.</v>
      </c>
      <c r="AH1264" s="1" t="str">
        <f>IFERROR(__xludf.DUMMYFUNCTION("""COMPUTED_VALUE"""),"PEC")</f>
        <v>PEC</v>
      </c>
      <c r="AI1264" s="2" t="str">
        <f>IFERROR(__xludf.DUMMYFUNCTION("""COMPUTED_VALUE"""),"https://www.fredericksburgfreepress.com/2025/01/22/biz-beat-roundup-more-data-centers-proposed-in-stafford/")</f>
        <v>https://www.fredericksburgfreepress.com/2025/01/22/biz-beat-roundup-more-data-centers-proposed-in-stafford/</v>
      </c>
      <c r="AJ1264" s="2" t="str">
        <f>IFERROR(__xludf.DUMMYFUNCTION("""COMPUTED_VALUE"""),"https://va-stafford-assessor.publicaccessnow.com/PropertySearch/PropertyDetails.aspx?p=45%20%20%20%20%20%20%20227&amp;a=27932")</f>
        <v>https://va-stafford-assessor.publicaccessnow.com/PropertySearch/PropertyDetails.aspx?p=45%20%20%20%20%20%20%20227&amp;a=27932</v>
      </c>
      <c r="AK1264" s="1" t="str">
        <f>IFERROR(__xludf.DUMMYFUNCTION("""COMPUTED_VALUE"""),"")</f>
        <v/>
      </c>
      <c r="AL1264" s="1" t="str">
        <f>IFERROR(__xludf.DUMMYFUNCTION("""COMPUTED_VALUE"""),"")</f>
        <v/>
      </c>
      <c r="AM1264" s="1" t="str">
        <f>IFERROR(__xludf.DUMMYFUNCTION("""COMPUTED_VALUE"""),"")</f>
        <v/>
      </c>
      <c r="AN1264" s="1" t="str">
        <f>IFERROR(__xludf.DUMMYFUNCTION("""COMPUTED_VALUE"""),"")</f>
        <v/>
      </c>
      <c r="AO1264" s="1" t="str">
        <f>IFERROR(__xludf.DUMMYFUNCTION("""COMPUTED_VALUE"""),"")</f>
        <v/>
      </c>
      <c r="AP1264" s="1" t="str">
        <f>IFERROR(__xludf.DUMMYFUNCTION("""COMPUTED_VALUE"""),"")</f>
        <v/>
      </c>
      <c r="AQ1264" s="1" t="str">
        <f>IFERROR(__xludf.DUMMYFUNCTION("""COMPUTED_VALUE"""),"04/28/2025")</f>
        <v>04/28/2025</v>
      </c>
      <c r="AR1264" s="1" t="str">
        <f>IFERROR(__xludf.DUMMYFUNCTION("""COMPUTED_VALUE"""),"10/17/2025")</f>
        <v>10/17/2025</v>
      </c>
    </row>
    <row r="1265">
      <c r="A1265" s="1" t="str">
        <f>IFERROR(__xludf.DUMMYFUNCTION("""COMPUTED_VALUE"""),"Forest Lane Data Center")</f>
        <v>Forest Lane Data Center</v>
      </c>
      <c r="B1265" s="1" t="str">
        <f>IFERROR(__xludf.DUMMYFUNCTION("""COMPUTED_VALUE"""),"Between Caisson Rd and Kings Hwy")</f>
        <v>Between Caisson Rd and Kings Hwy</v>
      </c>
      <c r="C1265" s="1" t="str">
        <f>IFERROR(__xludf.DUMMYFUNCTION("""COMPUTED_VALUE"""),"Fredericksburg")</f>
        <v>Fredericksburg</v>
      </c>
      <c r="D1265" s="1" t="str">
        <f>IFERROR(__xludf.DUMMYFUNCTION("""COMPUTED_VALUE"""),"VA")</f>
        <v>VA</v>
      </c>
      <c r="E1265" s="1" t="str">
        <f>IFERROR(__xludf.DUMMYFUNCTION("""COMPUTED_VALUE"""),"22405")</f>
        <v>22405</v>
      </c>
      <c r="F1265" s="1" t="str">
        <f>IFERROR(__xludf.DUMMYFUNCTION("""COMPUTED_VALUE"""),"Spotsylvania")</f>
        <v>Spotsylvania</v>
      </c>
      <c r="G1265" s="1" t="str">
        <f>IFERROR(__xludf.DUMMYFUNCTION("""COMPUTED_VALUE"""),"38.26742")</f>
        <v>38.26742</v>
      </c>
      <c r="H1265" s="1" t="str">
        <f>IFERROR(__xludf.DUMMYFUNCTION("""COMPUTED_VALUE"""),"-77.3867")</f>
        <v>-77.3867</v>
      </c>
      <c r="I1265" s="1" t="str">
        <f>IFERROR(__xludf.DUMMYFUNCTION("""COMPUTED_VALUE"""),"Proposed")</f>
        <v>Proposed</v>
      </c>
      <c r="J1265" s="1" t="str">
        <f>IFERROR(__xludf.DUMMYFUNCTION("""COMPUTED_VALUE"""),"Medium")</f>
        <v>Medium</v>
      </c>
      <c r="K1265" s="1" t="str">
        <f>IFERROR(__xludf.DUMMYFUNCTION("""COMPUTED_VALUE"""),"")</f>
        <v/>
      </c>
      <c r="L1265" s="1" t="str">
        <f>IFERROR(__xludf.DUMMYFUNCTION("""COMPUTED_VALUE"""),"")</f>
        <v/>
      </c>
      <c r="M1265" s="1" t="str">
        <f>IFERROR(__xludf.DUMMYFUNCTION("""COMPUTED_VALUE"""),"")</f>
        <v/>
      </c>
      <c r="N1265" s="1" t="str">
        <f>IFERROR(__xludf.DUMMYFUNCTION("""COMPUTED_VALUE"""),"")</f>
        <v/>
      </c>
      <c r="O1265" s="1" t="str">
        <f>IFERROR(__xludf.DUMMYFUNCTION("""COMPUTED_VALUE"""),"Unknown")</f>
        <v>Unknown</v>
      </c>
      <c r="P1265" s="1" t="str">
        <f>IFERROR(__xludf.DUMMYFUNCTION("""COMPUTED_VALUE"""),"")</f>
        <v/>
      </c>
      <c r="Q1265" s="1" t="str">
        <f>IFERROR(__xludf.DUMMYFUNCTION("""COMPUTED_VALUE"""),"")</f>
        <v/>
      </c>
      <c r="R1265" s="1" t="str">
        <f>IFERROR(__xludf.DUMMYFUNCTION("""COMPUTED_VALUE"""),"")</f>
        <v/>
      </c>
      <c r="S1265" s="1" t="str">
        <f>IFERROR(__xludf.DUMMYFUNCTION("""COMPUTED_VALUE"""),"")</f>
        <v/>
      </c>
      <c r="T1265" s="1" t="str">
        <f>IFERROR(__xludf.DUMMYFUNCTION("""COMPUTED_VALUE"""),"")</f>
        <v/>
      </c>
      <c r="U1265" s="1" t="str">
        <f>IFERROR(__xludf.DUMMYFUNCTION("""COMPUTED_VALUE"""),"")</f>
        <v/>
      </c>
      <c r="V1265" s="1" t="str">
        <f>IFERROR(__xludf.DUMMYFUNCTION("""COMPUTED_VALUE"""),"7,068,000")</f>
        <v>7,068,000</v>
      </c>
      <c r="W1265" s="1" t="str">
        <f>IFERROR(__xludf.DUMMYFUNCTION("""COMPUTED_VALUE"""),"850")</f>
        <v>850</v>
      </c>
      <c r="X1265" s="1" t="str">
        <f>IFERROR(__xludf.DUMMYFUNCTION("""COMPUTED_VALUE"""),"")</f>
        <v/>
      </c>
      <c r="Y1265" s="1" t="str">
        <f>IFERROR(__xludf.DUMMYFUNCTION("""COMPUTED_VALUE"""),"")</f>
        <v/>
      </c>
      <c r="Z1265" s="1" t="str">
        <f>IFERROR(__xludf.DUMMYFUNCTION("""COMPUTED_VALUE"""),"Unknown")</f>
        <v>Unknown</v>
      </c>
      <c r="AA1265" s="1" t="str">
        <f>IFERROR(__xludf.DUMMYFUNCTION("""COMPUTED_VALUE"""),"")</f>
        <v/>
      </c>
      <c r="AB1265" s="1" t="str">
        <f>IFERROR(__xludf.DUMMYFUNCTION("""COMPUTED_VALUE"""),"")</f>
        <v/>
      </c>
      <c r="AC1265" s="1" t="str">
        <f>IFERROR(__xludf.DUMMYFUNCTION("""COMPUTED_VALUE"""),"")</f>
        <v/>
      </c>
      <c r="AD1265" s="1" t="str">
        <f>IFERROR(__xludf.DUMMYFUNCTION("""COMPUTED_VALUE"""),"")</f>
        <v/>
      </c>
      <c r="AE1265" s="1" t="str">
        <f>IFERROR(__xludf.DUMMYFUNCTION("""COMPUTED_VALUE"""),"")</f>
        <v/>
      </c>
      <c r="AF1265" s="1" t="str">
        <f>IFERROR(__xludf.DUMMYFUNCTION("""COMPUTED_VALUE"""),"")</f>
        <v/>
      </c>
      <c r="AG1265" s="1" t="str">
        <f>IFERROR(__xludf.DUMMYFUNCTION("""COMPUTED_VALUE"""),"This project covers multiple parcels. The total acreage has been represented here. Previously zoned for residential development")</f>
        <v>This project covers multiple parcels. The total acreage has been represented here. Previously zoned for residential development</v>
      </c>
      <c r="AH1265" s="1" t="str">
        <f>IFERROR(__xludf.DUMMYFUNCTION("""COMPUTED_VALUE"""),"Media Monitoring")</f>
        <v>Media Monitoring</v>
      </c>
      <c r="AI1265" s="2" t="str">
        <f>IFERROR(__xludf.DUMMYFUNCTION("""COMPUTED_VALUE"""),"https://www.datacenterdynamics.com/en/news/data-center-proposed-for-850-acres-of-land-in-stafford-county-virginia/")</f>
        <v>https://www.datacenterdynamics.com/en/news/data-center-proposed-for-850-acres-of-land-in-stafford-county-virginia/</v>
      </c>
      <c r="AJ1265" s="2" t="str">
        <f>IFERROR(__xludf.DUMMYFUNCTION("""COMPUTED_VALUE"""),"https://app.sharebase.com/#/folder/45768/share/528-njPyo32MePFy87Z5AbBoo0pC540")</f>
        <v>https://app.sharebase.com/#/folder/45768/share/528-njPyo32MePFy87Z5AbBoo0pC540</v>
      </c>
      <c r="AK1265" s="2" t="str">
        <f>IFERROR(__xludf.DUMMYFUNCTION("""COMPUTED_VALUE"""),"https://va-stafford-assessor.publicaccessnow.com/PropertySearch/PropertyDetails.aspx?p=59%20%20%20%20%20%20%20%2070&amp;a=39515")</f>
        <v>https://va-stafford-assessor.publicaccessnow.com/PropertySearch/PropertyDetails.aspx?p=59%20%20%20%20%20%20%20%2070&amp;a=39515</v>
      </c>
      <c r="AL1265" s="1" t="str">
        <f>IFERROR(__xludf.DUMMYFUNCTION("""COMPUTED_VALUE"""),"")</f>
        <v/>
      </c>
      <c r="AM1265" s="1" t="str">
        <f>IFERROR(__xludf.DUMMYFUNCTION("""COMPUTED_VALUE"""),"")</f>
        <v/>
      </c>
      <c r="AN1265" s="1" t="str">
        <f>IFERROR(__xludf.DUMMYFUNCTION("""COMPUTED_VALUE"""),"")</f>
        <v/>
      </c>
      <c r="AO1265" s="1" t="str">
        <f>IFERROR(__xludf.DUMMYFUNCTION("""COMPUTED_VALUE"""),"")</f>
        <v/>
      </c>
      <c r="AP1265" s="1" t="str">
        <f>IFERROR(__xludf.DUMMYFUNCTION("""COMPUTED_VALUE"""),"")</f>
        <v/>
      </c>
      <c r="AQ1265" s="1" t="str">
        <f>IFERROR(__xludf.DUMMYFUNCTION("""COMPUTED_VALUE"""),"08/02/2025")</f>
        <v>08/02/2025</v>
      </c>
      <c r="AR1265" s="1" t="str">
        <f>IFERROR(__xludf.DUMMYFUNCTION("""COMPUTED_VALUE"""),"08/02/2025")</f>
        <v>08/02/2025</v>
      </c>
    </row>
    <row r="1266">
      <c r="A1266" s="1" t="str">
        <f>IFERROR(__xludf.DUMMYFUNCTION("""COMPUTED_VALUE"""),"George Washington Village Data Center")</f>
        <v>George Washington Village Data Center</v>
      </c>
      <c r="B1266" s="1" t="str">
        <f>IFERROR(__xludf.DUMMYFUNCTION("""COMPUTED_VALUE"""),"Courthouse Rd/Interstate 95, Hartwood District")</f>
        <v>Courthouse Rd/Interstate 95, Hartwood District</v>
      </c>
      <c r="C1266" s="1" t="str">
        <f>IFERROR(__xludf.DUMMYFUNCTION("""COMPUTED_VALUE"""),"Fredericksburg")</f>
        <v>Fredericksburg</v>
      </c>
      <c r="D1266" s="1" t="str">
        <f>IFERROR(__xludf.DUMMYFUNCTION("""COMPUTED_VALUE"""),"VA")</f>
        <v>VA</v>
      </c>
      <c r="E1266" s="1" t="str">
        <f>IFERROR(__xludf.DUMMYFUNCTION("""COMPUTED_VALUE"""),"22406")</f>
        <v>22406</v>
      </c>
      <c r="F1266" s="1" t="str">
        <f>IFERROR(__xludf.DUMMYFUNCTION("""COMPUTED_VALUE"""),"Spotsylvania")</f>
        <v>Spotsylvania</v>
      </c>
      <c r="G1266" s="1" t="str">
        <f>IFERROR(__xludf.DUMMYFUNCTION("""COMPUTED_VALUE"""),"38.40892")</f>
        <v>38.40892</v>
      </c>
      <c r="H1266" s="1" t="str">
        <f>IFERROR(__xludf.DUMMYFUNCTION("""COMPUTED_VALUE"""),"-77.44693")</f>
        <v>-77.44693</v>
      </c>
      <c r="I1266" s="1" t="str">
        <f>IFERROR(__xludf.DUMMYFUNCTION("""COMPUTED_VALUE"""),"Proposed")</f>
        <v>Proposed</v>
      </c>
      <c r="J1266" s="1" t="str">
        <f>IFERROR(__xludf.DUMMYFUNCTION("""COMPUTED_VALUE"""),"Medium")</f>
        <v>Medium</v>
      </c>
      <c r="K1266" s="1" t="str">
        <f>IFERROR(__xludf.DUMMYFUNCTION("""COMPUTED_VALUE"""),"")</f>
        <v/>
      </c>
      <c r="L1266" s="1" t="str">
        <f>IFERROR(__xludf.DUMMYFUNCTION("""COMPUTED_VALUE"""),"")</f>
        <v/>
      </c>
      <c r="M1266" s="1" t="str">
        <f>IFERROR(__xludf.DUMMYFUNCTION("""COMPUTED_VALUE"""),"")</f>
        <v/>
      </c>
      <c r="N1266" s="1" t="str">
        <f>IFERROR(__xludf.DUMMYFUNCTION("""COMPUTED_VALUE"""),"")</f>
        <v/>
      </c>
      <c r="O1266" s="1" t="str">
        <f>IFERROR(__xludf.DUMMYFUNCTION("""COMPUTED_VALUE"""),"Unknown")</f>
        <v>Unknown</v>
      </c>
      <c r="P1266" s="1" t="str">
        <f>IFERROR(__xludf.DUMMYFUNCTION("""COMPUTED_VALUE"""),"")</f>
        <v/>
      </c>
      <c r="Q1266" s="1" t="str">
        <f>IFERROR(__xludf.DUMMYFUNCTION("""COMPUTED_VALUE"""),"")</f>
        <v/>
      </c>
      <c r="R1266" s="1" t="str">
        <f>IFERROR(__xludf.DUMMYFUNCTION("""COMPUTED_VALUE"""),"")</f>
        <v/>
      </c>
      <c r="S1266" s="1" t="str">
        <f>IFERROR(__xludf.DUMMYFUNCTION("""COMPUTED_VALUE"""),"")</f>
        <v/>
      </c>
      <c r="T1266" s="1" t="str">
        <f>IFERROR(__xludf.DUMMYFUNCTION("""COMPUTED_VALUE"""),"")</f>
        <v/>
      </c>
      <c r="U1266" s="1" t="str">
        <f>IFERROR(__xludf.DUMMYFUNCTION("""COMPUTED_VALUE"""),"")</f>
        <v/>
      </c>
      <c r="V1266" s="1" t="str">
        <f>IFERROR(__xludf.DUMMYFUNCTION("""COMPUTED_VALUE"""),"7,900,000")</f>
        <v>7,900,000</v>
      </c>
      <c r="W1266" s="1" t="str">
        <f>IFERROR(__xludf.DUMMYFUNCTION("""COMPUTED_VALUE"""),"1042")</f>
        <v>1042</v>
      </c>
      <c r="X1266" s="1" t="str">
        <f>IFERROR(__xludf.DUMMYFUNCTION("""COMPUTED_VALUE"""),"")</f>
        <v/>
      </c>
      <c r="Y1266" s="1" t="str">
        <f>IFERROR(__xludf.DUMMYFUNCTION("""COMPUTED_VALUE"""),"")</f>
        <v/>
      </c>
      <c r="Z1266" s="1" t="str">
        <f>IFERROR(__xludf.DUMMYFUNCTION("""COMPUTED_VALUE"""),"Unknown")</f>
        <v>Unknown</v>
      </c>
      <c r="AA1266" s="1" t="str">
        <f>IFERROR(__xludf.DUMMYFUNCTION("""COMPUTED_VALUE"""),"")</f>
        <v/>
      </c>
      <c r="AB1266" s="1" t="str">
        <f>IFERROR(__xludf.DUMMYFUNCTION("""COMPUTED_VALUE"""),"")</f>
        <v/>
      </c>
      <c r="AC1266" s="1" t="str">
        <f>IFERROR(__xludf.DUMMYFUNCTION("""COMPUTED_VALUE"""),"")</f>
        <v/>
      </c>
      <c r="AD1266" s="1" t="str">
        <f>IFERROR(__xludf.DUMMYFUNCTION("""COMPUTED_VALUE"""),"")</f>
        <v/>
      </c>
      <c r="AE1266" s="1" t="str">
        <f>IFERROR(__xludf.DUMMYFUNCTION("""COMPUTED_VALUE"""),"")</f>
        <v/>
      </c>
      <c r="AF1266" s="1" t="str">
        <f>IFERROR(__xludf.DUMMYFUNCTION("""COMPUTED_VALUE"""),"")</f>
        <v/>
      </c>
      <c r="AG1266" s="1" t="str">
        <f>IFERROR(__xludf.DUMMYFUNCTION("""COMPUTED_VALUE"""),"This project covers multiple parcels. The total acreage has been represented here.")</f>
        <v>This project covers multiple parcels. The total acreage has been represented here.</v>
      </c>
      <c r="AH1266" s="1" t="str">
        <f>IFERROR(__xludf.DUMMYFUNCTION("""COMPUTED_VALUE"""),"PEC")</f>
        <v>PEC</v>
      </c>
      <c r="AI1266" s="2" t="str">
        <f>IFERROR(__xludf.DUMMYFUNCTION("""COMPUTED_VALUE"""),"https://cdn.staffordcountyva.gov/Planning%20and%20Zoning/Development%20Review%20Meetings-Applications/December%202024/GWV%20Data%20Center%20CUP/3-%20Impact%20Statement%20(10-15-24)%20-%20GWV%20Data%20Center.pdf")</f>
        <v>https://cdn.staffordcountyva.gov/Planning%20and%20Zoning/Development%20Review%20Meetings-Applications/December%202024/GWV%20Data%20Center%20CUP/3-%20Impact%20Statement%20(10-15-24)%20-%20GWV%20Data%20Center.pdf</v>
      </c>
      <c r="AJ1266" s="2" t="str">
        <f>IFERROR(__xludf.DUMMYFUNCTION("""COMPUTED_VALUE"""),"https://va-stafford-assessor.publicaccessnow.com/PropertySearch/PropertyDetails.aspx?p=38%20%20%20%20%20%20%20%2070&amp;a=23902")</f>
        <v>https://va-stafford-assessor.publicaccessnow.com/PropertySearch/PropertyDetails.aspx?p=38%20%20%20%20%20%20%20%2070&amp;a=23902</v>
      </c>
      <c r="AK1266" s="1" t="str">
        <f>IFERROR(__xludf.DUMMYFUNCTION("""COMPUTED_VALUE"""),"")</f>
        <v/>
      </c>
      <c r="AL1266" s="1" t="str">
        <f>IFERROR(__xludf.DUMMYFUNCTION("""COMPUTED_VALUE"""),"")</f>
        <v/>
      </c>
      <c r="AM1266" s="1" t="str">
        <f>IFERROR(__xludf.DUMMYFUNCTION("""COMPUTED_VALUE"""),"")</f>
        <v/>
      </c>
      <c r="AN1266" s="1" t="str">
        <f>IFERROR(__xludf.DUMMYFUNCTION("""COMPUTED_VALUE"""),"")</f>
        <v/>
      </c>
      <c r="AO1266" s="1" t="str">
        <f>IFERROR(__xludf.DUMMYFUNCTION("""COMPUTED_VALUE"""),"")</f>
        <v/>
      </c>
      <c r="AP1266" s="1" t="str">
        <f>IFERROR(__xludf.DUMMYFUNCTION("""COMPUTED_VALUE"""),"")</f>
        <v/>
      </c>
      <c r="AQ1266" s="1" t="str">
        <f>IFERROR(__xludf.DUMMYFUNCTION("""COMPUTED_VALUE"""),"04/28/2025")</f>
        <v>04/28/2025</v>
      </c>
      <c r="AR1266" s="1" t="str">
        <f>IFERROR(__xludf.DUMMYFUNCTION("""COMPUTED_VALUE"""),"10/17/2025")</f>
        <v>10/17/2025</v>
      </c>
    </row>
    <row r="1267">
      <c r="A1267" s="1" t="str">
        <f>IFERROR(__xludf.DUMMYFUNCTION("""COMPUTED_VALUE"""),"Hunters Ridge LLC Data Center")</f>
        <v>Hunters Ridge LLC Data Center</v>
      </c>
      <c r="B1267" s="1" t="str">
        <f>IFERROR(__xludf.DUMMYFUNCTION("""COMPUTED_VALUE"""),"4110 Overview Dr")</f>
        <v>4110 Overview Dr</v>
      </c>
      <c r="C1267" s="1" t="str">
        <f>IFERROR(__xludf.DUMMYFUNCTION("""COMPUTED_VALUE"""),"Fredericksburg")</f>
        <v>Fredericksburg</v>
      </c>
      <c r="D1267" s="1" t="str">
        <f>IFERROR(__xludf.DUMMYFUNCTION("""COMPUTED_VALUE"""),"VA")</f>
        <v>VA</v>
      </c>
      <c r="E1267" s="1" t="str">
        <f>IFERROR(__xludf.DUMMYFUNCTION("""COMPUTED_VALUE"""),"22408")</f>
        <v>22408</v>
      </c>
      <c r="F1267" s="1" t="str">
        <f>IFERROR(__xludf.DUMMYFUNCTION("""COMPUTED_VALUE"""),"Spotsylvania")</f>
        <v>Spotsylvania</v>
      </c>
      <c r="G1267" s="1" t="str">
        <f>IFERROR(__xludf.DUMMYFUNCTION("""COMPUTED_VALUE"""),"38.22135")</f>
        <v>38.22135</v>
      </c>
      <c r="H1267" s="1" t="str">
        <f>IFERROR(__xludf.DUMMYFUNCTION("""COMPUTED_VALUE"""),"-77.47741")</f>
        <v>-77.47741</v>
      </c>
      <c r="I1267" s="1" t="str">
        <f>IFERROR(__xludf.DUMMYFUNCTION("""COMPUTED_VALUE"""),"Proposed")</f>
        <v>Proposed</v>
      </c>
      <c r="J1267" s="1" t="str">
        <f>IFERROR(__xludf.DUMMYFUNCTION("""COMPUTED_VALUE"""),"High")</f>
        <v>High</v>
      </c>
      <c r="K1267" s="1" t="str">
        <f>IFERROR(__xludf.DUMMYFUNCTION("""COMPUTED_VALUE"""),"")</f>
        <v/>
      </c>
      <c r="L1267" s="1" t="str">
        <f>IFERROR(__xludf.DUMMYFUNCTION("""COMPUTED_VALUE"""),"")</f>
        <v/>
      </c>
      <c r="M1267" s="1" t="str">
        <f>IFERROR(__xludf.DUMMYFUNCTION("""COMPUTED_VALUE"""),"")</f>
        <v/>
      </c>
      <c r="N1267" s="1" t="str">
        <f>IFERROR(__xludf.DUMMYFUNCTION("""COMPUTED_VALUE"""),"")</f>
        <v/>
      </c>
      <c r="O1267" s="1" t="str">
        <f>IFERROR(__xludf.DUMMYFUNCTION("""COMPUTED_VALUE"""),"Hyperscale (100-999 MW)")</f>
        <v>Hyperscale (100-999 MW)</v>
      </c>
      <c r="P1267" s="1" t="str">
        <f>IFERROR(__xludf.DUMMYFUNCTION("""COMPUTED_VALUE"""),"")</f>
        <v/>
      </c>
      <c r="Q1267" s="1" t="str">
        <f>IFERROR(__xludf.DUMMYFUNCTION("""COMPUTED_VALUE"""),"")</f>
        <v/>
      </c>
      <c r="R1267" s="1" t="str">
        <f>IFERROR(__xludf.DUMMYFUNCTION("""COMPUTED_VALUE"""),"")</f>
        <v/>
      </c>
      <c r="S1267" s="1" t="str">
        <f>IFERROR(__xludf.DUMMYFUNCTION("""COMPUTED_VALUE"""),"2-8")</f>
        <v>2-8</v>
      </c>
      <c r="T1267" s="1" t="str">
        <f>IFERROR(__xludf.DUMMYFUNCTION("""COMPUTED_VALUE"""),"")</f>
        <v/>
      </c>
      <c r="U1267" s="1" t="str">
        <f>IFERROR(__xludf.DUMMYFUNCTION("""COMPUTED_VALUE"""),"")</f>
        <v/>
      </c>
      <c r="V1267" s="1" t="str">
        <f>IFERROR(__xludf.DUMMYFUNCTION("""COMPUTED_VALUE"""),"300,000")</f>
        <v>300,000</v>
      </c>
      <c r="W1267" s="1" t="str">
        <f>IFERROR(__xludf.DUMMYFUNCTION("""COMPUTED_VALUE"""),"127")</f>
        <v>127</v>
      </c>
      <c r="X1267" s="1" t="str">
        <f>IFERROR(__xludf.DUMMYFUNCTION("""COMPUTED_VALUE"""),"")</f>
        <v/>
      </c>
      <c r="Y1267" s="1" t="str">
        <f>IFERROR(__xludf.DUMMYFUNCTION("""COMPUTED_VALUE"""),"")</f>
        <v/>
      </c>
      <c r="Z1267" s="1" t="str">
        <f>IFERROR(__xludf.DUMMYFUNCTION("""COMPUTED_VALUE"""),"Unknown")</f>
        <v>Unknown</v>
      </c>
      <c r="AA1267" s="1" t="str">
        <f>IFERROR(__xludf.DUMMYFUNCTION("""COMPUTED_VALUE"""),"")</f>
        <v/>
      </c>
      <c r="AB1267" s="1" t="str">
        <f>IFERROR(__xludf.DUMMYFUNCTION("""COMPUTED_VALUE"""),"")</f>
        <v/>
      </c>
      <c r="AC1267" s="1" t="str">
        <f>IFERROR(__xludf.DUMMYFUNCTION("""COMPUTED_VALUE"""),"")</f>
        <v/>
      </c>
      <c r="AD1267" s="1" t="str">
        <f>IFERROR(__xludf.DUMMYFUNCTION("""COMPUTED_VALUE"""),"")</f>
        <v/>
      </c>
      <c r="AE1267" s="1" t="str">
        <f>IFERROR(__xludf.DUMMYFUNCTION("""COMPUTED_VALUE"""),"")</f>
        <v/>
      </c>
      <c r="AF1267" s="1" t="str">
        <f>IFERROR(__xludf.DUMMYFUNCTION("""COMPUTED_VALUE"""),"")</f>
        <v/>
      </c>
      <c r="AG1267" s="1" t="str">
        <f>IFERROR(__xludf.DUMMYFUNCTION("""COMPUTED_VALUE"""),"")</f>
        <v/>
      </c>
      <c r="AH1267" s="1" t="str">
        <f>IFERROR(__xludf.DUMMYFUNCTION("""COMPUTED_VALUE"""),"Media Monitoring")</f>
        <v>Media Monitoring</v>
      </c>
      <c r="AI1267" s="2" t="str">
        <f>IFERROR(__xludf.DUMMYFUNCTION("""COMPUTED_VALUE"""),"https://www.datacenterdynamics.com/en/news/10m-sq-ft-amazon-files-for-four-data-center-campuses-in-virginias-spotsylvania-and-caroline-counties/")</f>
        <v>https://www.datacenterdynamics.com/en/news/10m-sq-ft-amazon-files-for-four-data-center-campuses-in-virginias-spotsylvania-and-caroline-counties/</v>
      </c>
      <c r="AJ1267" s="1" t="str">
        <f>IFERROR(__xludf.DUMMYFUNCTION("""COMPUTED_VALUE"""),"")</f>
        <v/>
      </c>
      <c r="AK1267" s="1" t="str">
        <f>IFERROR(__xludf.DUMMYFUNCTION("""COMPUTED_VALUE"""),"")</f>
        <v/>
      </c>
      <c r="AL1267" s="1" t="str">
        <f>IFERROR(__xludf.DUMMYFUNCTION("""COMPUTED_VALUE"""),"")</f>
        <v/>
      </c>
      <c r="AM1267" s="1" t="str">
        <f>IFERROR(__xludf.DUMMYFUNCTION("""COMPUTED_VALUE"""),"")</f>
        <v/>
      </c>
      <c r="AN1267" s="1" t="str">
        <f>IFERROR(__xludf.DUMMYFUNCTION("""COMPUTED_VALUE"""),"")</f>
        <v/>
      </c>
      <c r="AO1267" s="1" t="str">
        <f>IFERROR(__xludf.DUMMYFUNCTION("""COMPUTED_VALUE"""),"")</f>
        <v/>
      </c>
      <c r="AP1267" s="1" t="str">
        <f>IFERROR(__xludf.DUMMYFUNCTION("""COMPUTED_VALUE"""),"")</f>
        <v/>
      </c>
      <c r="AQ1267" s="1" t="str">
        <f>IFERROR(__xludf.DUMMYFUNCTION("""COMPUTED_VALUE"""),"01/23/2026")</f>
        <v>01/23/2026</v>
      </c>
      <c r="AR1267" s="1" t="str">
        <f>IFERROR(__xludf.DUMMYFUNCTION("""COMPUTED_VALUE"""),"01/23/2026")</f>
        <v>01/23/2026</v>
      </c>
    </row>
    <row r="1268">
      <c r="A1268" s="1" t="str">
        <f>IFERROR(__xludf.DUMMYFUNCTION("""COMPUTED_VALUE"""),"Hunter's Ridge South")</f>
        <v>Hunter's Ridge South</v>
      </c>
      <c r="B1268" s="1" t="str">
        <f>IFERROR(__xludf.DUMMYFUNCTION("""COMPUTED_VALUE"""),"Industrial and Fleet Dr")</f>
        <v>Industrial and Fleet Dr</v>
      </c>
      <c r="C1268" s="1" t="str">
        <f>IFERROR(__xludf.DUMMYFUNCTION("""COMPUTED_VALUE"""),"Fredericksburg")</f>
        <v>Fredericksburg</v>
      </c>
      <c r="D1268" s="1" t="str">
        <f>IFERROR(__xludf.DUMMYFUNCTION("""COMPUTED_VALUE"""),"VA")</f>
        <v>VA</v>
      </c>
      <c r="E1268" s="1" t="str">
        <f>IFERROR(__xludf.DUMMYFUNCTION("""COMPUTED_VALUE"""),"22580")</f>
        <v>22580</v>
      </c>
      <c r="F1268" s="1" t="str">
        <f>IFERROR(__xludf.DUMMYFUNCTION("""COMPUTED_VALUE"""),"Spotsylvania")</f>
        <v>Spotsylvania</v>
      </c>
      <c r="G1268" s="1" t="str">
        <f>IFERROR(__xludf.DUMMYFUNCTION("""COMPUTED_VALUE"""),"38.12168")</f>
        <v>38.12168</v>
      </c>
      <c r="H1268" s="1" t="str">
        <f>IFERROR(__xludf.DUMMYFUNCTION("""COMPUTED_VALUE"""),"-77.504196")</f>
        <v>-77.504196</v>
      </c>
      <c r="I1268" s="1" t="str">
        <f>IFERROR(__xludf.DUMMYFUNCTION("""COMPUTED_VALUE"""),"Proposed")</f>
        <v>Proposed</v>
      </c>
      <c r="J1268" s="1" t="str">
        <f>IFERROR(__xludf.DUMMYFUNCTION("""COMPUTED_VALUE"""),"High")</f>
        <v>High</v>
      </c>
      <c r="K1268" s="1" t="str">
        <f>IFERROR(__xludf.DUMMYFUNCTION("""COMPUTED_VALUE"""),"")</f>
        <v/>
      </c>
      <c r="L1268" s="1" t="str">
        <f>IFERROR(__xludf.DUMMYFUNCTION("""COMPUTED_VALUE"""),"AREP SOF III HRS LLC C/O AMERICAN REAL ESTATE PARTNERS, LLC")</f>
        <v>AREP SOF III HRS LLC C/O AMERICAN REAL ESTATE PARTNERS, LLC</v>
      </c>
      <c r="M1268" s="1" t="str">
        <f>IFERROR(__xludf.DUMMYFUNCTION("""COMPUTED_VALUE"""),"")</f>
        <v/>
      </c>
      <c r="N1268" s="1" t="str">
        <f>IFERROR(__xludf.DUMMYFUNCTION("""COMPUTED_VALUE"""),"")</f>
        <v/>
      </c>
      <c r="O1268" s="1" t="str">
        <f>IFERROR(__xludf.DUMMYFUNCTION("""COMPUTED_VALUE"""),"Unknown")</f>
        <v>Unknown</v>
      </c>
      <c r="P1268" s="1" t="str">
        <f>IFERROR(__xludf.DUMMYFUNCTION("""COMPUTED_VALUE"""),"")</f>
        <v/>
      </c>
      <c r="Q1268" s="1" t="str">
        <f>IFERROR(__xludf.DUMMYFUNCTION("""COMPUTED_VALUE"""),"")</f>
        <v/>
      </c>
      <c r="R1268" s="1" t="str">
        <f>IFERROR(__xludf.DUMMYFUNCTION("""COMPUTED_VALUE"""),"")</f>
        <v/>
      </c>
      <c r="S1268" s="1" t="str">
        <f>IFERROR(__xludf.DUMMYFUNCTION("""COMPUTED_VALUE"""),"")</f>
        <v/>
      </c>
      <c r="T1268" s="1" t="str">
        <f>IFERROR(__xludf.DUMMYFUNCTION("""COMPUTED_VALUE"""),"")</f>
        <v/>
      </c>
      <c r="U1268" s="1" t="str">
        <f>IFERROR(__xludf.DUMMYFUNCTION("""COMPUTED_VALUE"""),"")</f>
        <v/>
      </c>
      <c r="V1268" s="1" t="str">
        <f>IFERROR(__xludf.DUMMYFUNCTION("""COMPUTED_VALUE"""),"2,549,131")</f>
        <v>2,549,131</v>
      </c>
      <c r="W1268" s="1" t="str">
        <f>IFERROR(__xludf.DUMMYFUNCTION("""COMPUTED_VALUE"""),"73")</f>
        <v>73</v>
      </c>
      <c r="X1268" s="1" t="str">
        <f>IFERROR(__xludf.DUMMYFUNCTION("""COMPUTED_VALUE"""),"")</f>
        <v/>
      </c>
      <c r="Y1268" s="1" t="str">
        <f>IFERROR(__xludf.DUMMYFUNCTION("""COMPUTED_VALUE"""),"")</f>
        <v/>
      </c>
      <c r="Z1268" s="1" t="str">
        <f>IFERROR(__xludf.DUMMYFUNCTION("""COMPUTED_VALUE"""),"Unknown")</f>
        <v>Unknown</v>
      </c>
      <c r="AA1268" s="1" t="str">
        <f>IFERROR(__xludf.DUMMYFUNCTION("""COMPUTED_VALUE"""),"")</f>
        <v/>
      </c>
      <c r="AB1268" s="1" t="str">
        <f>IFERROR(__xludf.DUMMYFUNCTION("""COMPUTED_VALUE"""),"")</f>
        <v/>
      </c>
      <c r="AC1268" s="1" t="str">
        <f>IFERROR(__xludf.DUMMYFUNCTION("""COMPUTED_VALUE"""),"")</f>
        <v/>
      </c>
      <c r="AD1268" s="1" t="str">
        <f>IFERROR(__xludf.DUMMYFUNCTION("""COMPUTED_VALUE"""),"")</f>
        <v/>
      </c>
      <c r="AE1268" s="1" t="str">
        <f>IFERROR(__xludf.DUMMYFUNCTION("""COMPUTED_VALUE"""),"")</f>
        <v/>
      </c>
      <c r="AF1268" s="1" t="str">
        <f>IFERROR(__xludf.DUMMYFUNCTION("""COMPUTED_VALUE"""),"")</f>
        <v/>
      </c>
      <c r="AG1268" s="1" t="str">
        <f>IFERROR(__xludf.DUMMYFUNCTION("""COMPUTED_VALUE"""),"This project covers multiple parcels. The total acreage has been represented here.")</f>
        <v>This project covers multiple parcels. The total acreage has been represented here.</v>
      </c>
      <c r="AH1268" s="1" t="str">
        <f>IFERROR(__xludf.DUMMYFUNCTION("""COMPUTED_VALUE"""),"PEC")</f>
        <v>PEC</v>
      </c>
      <c r="AI1268" s="2" t="str">
        <f>IFERROR(__xludf.DUMMYFUNCTION("""COMPUTED_VALUE"""),"https://www.spotsylvania.va.us/DocumentCenter/View/29414/Proffer-Statement-")</f>
        <v>https://www.spotsylvania.va.us/DocumentCenter/View/29414/Proffer-Statement-</v>
      </c>
      <c r="AJ1268" s="2" t="str">
        <f>IFERROR(__xludf.DUMMYFUNCTION("""COMPUTED_VALUE"""),"https://gis.spotsylvania.va.us/spotsylvania/#/mwl?zoom=16&amp;location=-77.475132_38.214893")</f>
        <v>https://gis.spotsylvania.va.us/spotsylvania/#/mwl?zoom=16&amp;location=-77.475132_38.214893</v>
      </c>
      <c r="AK1268" s="1" t="str">
        <f>IFERROR(__xludf.DUMMYFUNCTION("""COMPUTED_VALUE"""),"")</f>
        <v/>
      </c>
      <c r="AL1268" s="1" t="str">
        <f>IFERROR(__xludf.DUMMYFUNCTION("""COMPUTED_VALUE"""),"")</f>
        <v/>
      </c>
      <c r="AM1268" s="1" t="str">
        <f>IFERROR(__xludf.DUMMYFUNCTION("""COMPUTED_VALUE"""),"")</f>
        <v/>
      </c>
      <c r="AN1268" s="1" t="str">
        <f>IFERROR(__xludf.DUMMYFUNCTION("""COMPUTED_VALUE"""),"")</f>
        <v/>
      </c>
      <c r="AO1268" s="1" t="str">
        <f>IFERROR(__xludf.DUMMYFUNCTION("""COMPUTED_VALUE"""),"")</f>
        <v/>
      </c>
      <c r="AP1268" s="1" t="str">
        <f>IFERROR(__xludf.DUMMYFUNCTION("""COMPUTED_VALUE"""),"")</f>
        <v/>
      </c>
      <c r="AQ1268" s="1" t="str">
        <f>IFERROR(__xludf.DUMMYFUNCTION("""COMPUTED_VALUE"""),"07/18/2025")</f>
        <v>07/18/2025</v>
      </c>
      <c r="AR1268" s="1" t="str">
        <f>IFERROR(__xludf.DUMMYFUNCTION("""COMPUTED_VALUE"""),"10/17/2025")</f>
        <v>10/17/2025</v>
      </c>
    </row>
    <row r="1269">
      <c r="A1269" s="1" t="str">
        <f>IFERROR(__xludf.DUMMYFUNCTION("""COMPUTED_VALUE"""),"Hunters Ridge South Data Center (Amazon Data Services)")</f>
        <v>Hunters Ridge South Data Center (Amazon Data Services)</v>
      </c>
      <c r="B1269" s="1" t="str">
        <f>IFERROR(__xludf.DUMMYFUNCTION("""COMPUTED_VALUE"""),"9300 Cosner Dr")</f>
        <v>9300 Cosner Dr</v>
      </c>
      <c r="C1269" s="1" t="str">
        <f>IFERROR(__xludf.DUMMYFUNCTION("""COMPUTED_VALUE"""),"Fredericksburg")</f>
        <v>Fredericksburg</v>
      </c>
      <c r="D1269" s="1" t="str">
        <f>IFERROR(__xludf.DUMMYFUNCTION("""COMPUTED_VALUE"""),"VA")</f>
        <v>VA</v>
      </c>
      <c r="E1269" s="1" t="str">
        <f>IFERROR(__xludf.DUMMYFUNCTION("""COMPUTED_VALUE"""),"22401")</f>
        <v>22401</v>
      </c>
      <c r="F1269" s="1" t="str">
        <f>IFERROR(__xludf.DUMMYFUNCTION("""COMPUTED_VALUE"""),"Spotsylvania")</f>
        <v>Spotsylvania</v>
      </c>
      <c r="G1269" s="1" t="str">
        <f>IFERROR(__xludf.DUMMYFUNCTION("""COMPUTED_VALUE"""),"38.21137")</f>
        <v>38.21137</v>
      </c>
      <c r="H1269" s="1" t="str">
        <f>IFERROR(__xludf.DUMMYFUNCTION("""COMPUTED_VALUE"""),"-77.4848")</f>
        <v>-77.4848</v>
      </c>
      <c r="I1269" s="1" t="str">
        <f>IFERROR(__xludf.DUMMYFUNCTION("""COMPUTED_VALUE"""),"Approved/Permitted/Under construction")</f>
        <v>Approved/Permitted/Under construction</v>
      </c>
      <c r="J1269" s="1" t="str">
        <f>IFERROR(__xludf.DUMMYFUNCTION("""COMPUTED_VALUE"""),"High")</f>
        <v>High</v>
      </c>
      <c r="K1269" s="1" t="str">
        <f>IFERROR(__xludf.DUMMYFUNCTION("""COMPUTED_VALUE"""),"")</f>
        <v/>
      </c>
      <c r="L1269" s="1" t="str">
        <f>IFERROR(__xludf.DUMMYFUNCTION("""COMPUTED_VALUE"""),"Amazon")</f>
        <v>Amazon</v>
      </c>
      <c r="M1269" s="1" t="str">
        <f>IFERROR(__xludf.DUMMYFUNCTION("""COMPUTED_VALUE"""),"")</f>
        <v/>
      </c>
      <c r="N1269" s="1" t="str">
        <f>IFERROR(__xludf.DUMMYFUNCTION("""COMPUTED_VALUE"""),"")</f>
        <v/>
      </c>
      <c r="O1269" s="1" t="str">
        <f>IFERROR(__xludf.DUMMYFUNCTION("""COMPUTED_VALUE"""),"Unknown")</f>
        <v>Unknown</v>
      </c>
      <c r="P1269" s="1" t="str">
        <f>IFERROR(__xludf.DUMMYFUNCTION("""COMPUTED_VALUE"""),"")</f>
        <v/>
      </c>
      <c r="Q1269" s="1" t="str">
        <f>IFERROR(__xludf.DUMMYFUNCTION("""COMPUTED_VALUE"""),"")</f>
        <v/>
      </c>
      <c r="R1269" s="1" t="str">
        <f>IFERROR(__xludf.DUMMYFUNCTION("""COMPUTED_VALUE"""),"")</f>
        <v/>
      </c>
      <c r="S1269" s="1" t="str">
        <f>IFERROR(__xludf.DUMMYFUNCTION("""COMPUTED_VALUE"""),"")</f>
        <v/>
      </c>
      <c r="T1269" s="1" t="str">
        <f>IFERROR(__xludf.DUMMYFUNCTION("""COMPUTED_VALUE"""),"")</f>
        <v/>
      </c>
      <c r="U1269" s="1" t="str">
        <f>IFERROR(__xludf.DUMMYFUNCTION("""COMPUTED_VALUE"""),"")</f>
        <v/>
      </c>
      <c r="V1269" s="1" t="str">
        <f>IFERROR(__xludf.DUMMYFUNCTION("""COMPUTED_VALUE"""),"2,200,000")</f>
        <v>2,200,000</v>
      </c>
      <c r="W1269" s="1" t="str">
        <f>IFERROR(__xludf.DUMMYFUNCTION("""COMPUTED_VALUE"""),"")</f>
        <v/>
      </c>
      <c r="X1269" s="1" t="str">
        <f>IFERROR(__xludf.DUMMYFUNCTION("""COMPUTED_VALUE"""),"")</f>
        <v/>
      </c>
      <c r="Y1269" s="1" t="str">
        <f>IFERROR(__xludf.DUMMYFUNCTION("""COMPUTED_VALUE"""),"")</f>
        <v/>
      </c>
      <c r="Z1269" s="1" t="str">
        <f>IFERROR(__xludf.DUMMYFUNCTION("""COMPUTED_VALUE"""),"Unknown")</f>
        <v>Unknown</v>
      </c>
      <c r="AA1269" s="1" t="str">
        <f>IFERROR(__xludf.DUMMYFUNCTION("""COMPUTED_VALUE"""),"")</f>
        <v/>
      </c>
      <c r="AB1269" s="1" t="str">
        <f>IFERROR(__xludf.DUMMYFUNCTION("""COMPUTED_VALUE"""),"")</f>
        <v/>
      </c>
      <c r="AC1269" s="1" t="str">
        <f>IFERROR(__xludf.DUMMYFUNCTION("""COMPUTED_VALUE"""),"")</f>
        <v/>
      </c>
      <c r="AD1269" s="1" t="str">
        <f>IFERROR(__xludf.DUMMYFUNCTION("""COMPUTED_VALUE"""),"")</f>
        <v/>
      </c>
      <c r="AE1269" s="1" t="str">
        <f>IFERROR(__xludf.DUMMYFUNCTION("""COMPUTED_VALUE"""),"")</f>
        <v/>
      </c>
      <c r="AF1269" s="1" t="str">
        <f>IFERROR(__xludf.DUMMYFUNCTION("""COMPUTED_VALUE"""),"")</f>
        <v/>
      </c>
      <c r="AG1269" s="1" t="str">
        <f>IFERROR(__xludf.DUMMYFUNCTION("""COMPUTED_VALUE"""),"")</f>
        <v/>
      </c>
      <c r="AH1269" s="1" t="str">
        <f>IFERROR(__xludf.DUMMYFUNCTION("""COMPUTED_VALUE"""),"Media Monitoring")</f>
        <v>Media Monitoring</v>
      </c>
      <c r="AI1269" s="2" t="str">
        <f>IFERROR(__xludf.DUMMYFUNCTION("""COMPUTED_VALUE"""),"https://www.fredericksburgfreepress.com/2025/08/27/spotsylvania-board-of-supervisors-approve-potential-2-2-million-square-foot-data-center-campus/")</f>
        <v>https://www.fredericksburgfreepress.com/2025/08/27/spotsylvania-board-of-supervisors-approve-potential-2-2-million-square-foot-data-center-campus/</v>
      </c>
      <c r="AJ1269" s="2" t="str">
        <f>IFERROR(__xludf.DUMMYFUNCTION("""COMPUTED_VALUE"""),"https://www.datacenterdynamics.com/en/news/10m-sq-ft-amazon-files-for-four-data-center-campuses-in-virginias-spotsylvania-and-caroline-counties/")</f>
        <v>https://www.datacenterdynamics.com/en/news/10m-sq-ft-amazon-files-for-four-data-center-campuses-in-virginias-spotsylvania-and-caroline-counties/</v>
      </c>
      <c r="AK1269" s="1" t="str">
        <f>IFERROR(__xludf.DUMMYFUNCTION("""COMPUTED_VALUE"""),"")</f>
        <v/>
      </c>
      <c r="AL1269" s="1" t="str">
        <f>IFERROR(__xludf.DUMMYFUNCTION("""COMPUTED_VALUE"""),"")</f>
        <v/>
      </c>
      <c r="AM1269" s="1" t="str">
        <f>IFERROR(__xludf.DUMMYFUNCTION("""COMPUTED_VALUE"""),"")</f>
        <v/>
      </c>
      <c r="AN1269" s="1" t="str">
        <f>IFERROR(__xludf.DUMMYFUNCTION("""COMPUTED_VALUE"""),"")</f>
        <v/>
      </c>
      <c r="AO1269" s="1" t="str">
        <f>IFERROR(__xludf.DUMMYFUNCTION("""COMPUTED_VALUE"""),"")</f>
        <v/>
      </c>
      <c r="AP1269" s="1" t="str">
        <f>IFERROR(__xludf.DUMMYFUNCTION("""COMPUTED_VALUE"""),"")</f>
        <v/>
      </c>
      <c r="AQ1269" s="1" t="str">
        <f>IFERROR(__xludf.DUMMYFUNCTION("""COMPUTED_VALUE"""),"09/19/2025")</f>
        <v>09/19/2025</v>
      </c>
      <c r="AR1269" s="1" t="str">
        <f>IFERROR(__xludf.DUMMYFUNCTION("""COMPUTED_VALUE"""),"09/19/2025")</f>
        <v>09/19/2025</v>
      </c>
    </row>
    <row r="1270">
      <c r="A1270" s="1" t="str">
        <f>IFERROR(__xludf.DUMMYFUNCTION("""COMPUTED_VALUE"""),"NEON AT CELEBRATE VIRGINIA SOUTH")</f>
        <v>NEON AT CELEBRATE VIRGINIA SOUTH</v>
      </c>
      <c r="B1270" s="1" t="str">
        <f>IFERROR(__xludf.DUMMYFUNCTION("""COMPUTED_VALUE"""),"3050 GORDON W SHELTON")</f>
        <v>3050 GORDON W SHELTON</v>
      </c>
      <c r="C1270" s="1" t="str">
        <f>IFERROR(__xludf.DUMMYFUNCTION("""COMPUTED_VALUE"""),"Fredericksburg")</f>
        <v>Fredericksburg</v>
      </c>
      <c r="D1270" s="1" t="str">
        <f>IFERROR(__xludf.DUMMYFUNCTION("""COMPUTED_VALUE"""),"VA")</f>
        <v>VA</v>
      </c>
      <c r="E1270" s="1" t="str">
        <f>IFERROR(__xludf.DUMMYFUNCTION("""COMPUTED_VALUE"""),"22401")</f>
        <v>22401</v>
      </c>
      <c r="F1270" s="1" t="str">
        <f>IFERROR(__xludf.DUMMYFUNCTION("""COMPUTED_VALUE"""),"Spotsylvania")</f>
        <v>Spotsylvania</v>
      </c>
      <c r="G1270" s="1" t="str">
        <f>IFERROR(__xludf.DUMMYFUNCTION("""COMPUTED_VALUE"""),"38.318707")</f>
        <v>38.318707</v>
      </c>
      <c r="H1270" s="1" t="str">
        <f>IFERROR(__xludf.DUMMYFUNCTION("""COMPUTED_VALUE"""),"-77.51735")</f>
        <v>-77.51735</v>
      </c>
      <c r="I1270" s="1" t="str">
        <f>IFERROR(__xludf.DUMMYFUNCTION("""COMPUTED_VALUE"""),"Proposed")</f>
        <v>Proposed</v>
      </c>
      <c r="J1270" s="1" t="str">
        <f>IFERROR(__xludf.DUMMYFUNCTION("""COMPUTED_VALUE"""),"High")</f>
        <v>High</v>
      </c>
      <c r="K1270" s="1" t="str">
        <f>IFERROR(__xludf.DUMMYFUNCTION("""COMPUTED_VALUE"""),"")</f>
        <v/>
      </c>
      <c r="L1270" s="1" t="str">
        <f>IFERROR(__xludf.DUMMYFUNCTION("""COMPUTED_VALUE"""),"STACK INFRASTRUCTURE")</f>
        <v>STACK INFRASTRUCTURE</v>
      </c>
      <c r="M1270" s="1" t="str">
        <f>IFERROR(__xludf.DUMMYFUNCTION("""COMPUTED_VALUE"""),"")</f>
        <v/>
      </c>
      <c r="N1270" s="1" t="str">
        <f>IFERROR(__xludf.DUMMYFUNCTION("""COMPUTED_VALUE"""),"")</f>
        <v/>
      </c>
      <c r="O1270" s="1" t="str">
        <f>IFERROR(__xludf.DUMMYFUNCTION("""COMPUTED_VALUE"""),"Unknown")</f>
        <v>Unknown</v>
      </c>
      <c r="P1270" s="1" t="str">
        <f>IFERROR(__xludf.DUMMYFUNCTION("""COMPUTED_VALUE"""),"")</f>
        <v/>
      </c>
      <c r="Q1270" s="1" t="str">
        <f>IFERROR(__xludf.DUMMYFUNCTION("""COMPUTED_VALUE"""),"")</f>
        <v/>
      </c>
      <c r="R1270" s="1" t="str">
        <f>IFERROR(__xludf.DUMMYFUNCTION("""COMPUTED_VALUE"""),"")</f>
        <v/>
      </c>
      <c r="S1270" s="1" t="str">
        <f>IFERROR(__xludf.DUMMYFUNCTION("""COMPUTED_VALUE"""),"")</f>
        <v/>
      </c>
      <c r="T1270" s="1" t="str">
        <f>IFERROR(__xludf.DUMMYFUNCTION("""COMPUTED_VALUE"""),"")</f>
        <v/>
      </c>
      <c r="U1270" s="1" t="str">
        <f>IFERROR(__xludf.DUMMYFUNCTION("""COMPUTED_VALUE"""),"")</f>
        <v/>
      </c>
      <c r="V1270" s="1" t="str">
        <f>IFERROR(__xludf.DUMMYFUNCTION("""COMPUTED_VALUE"""),"")</f>
        <v/>
      </c>
      <c r="W1270" s="1" t="str">
        <f>IFERROR(__xludf.DUMMYFUNCTION("""COMPUTED_VALUE"""),"250")</f>
        <v>250</v>
      </c>
      <c r="X1270" s="1" t="str">
        <f>IFERROR(__xludf.DUMMYFUNCTION("""COMPUTED_VALUE"""),"")</f>
        <v/>
      </c>
      <c r="Y1270" s="1" t="str">
        <f>IFERROR(__xludf.DUMMYFUNCTION("""COMPUTED_VALUE"""),"")</f>
        <v/>
      </c>
      <c r="Z1270" s="1" t="str">
        <f>IFERROR(__xludf.DUMMYFUNCTION("""COMPUTED_VALUE"""),"Unknown")</f>
        <v>Unknown</v>
      </c>
      <c r="AA1270" s="1" t="str">
        <f>IFERROR(__xludf.DUMMYFUNCTION("""COMPUTED_VALUE"""),"")</f>
        <v/>
      </c>
      <c r="AB1270" s="1" t="str">
        <f>IFERROR(__xludf.DUMMYFUNCTION("""COMPUTED_VALUE"""),"")</f>
        <v/>
      </c>
      <c r="AC1270" s="1" t="str">
        <f>IFERROR(__xludf.DUMMYFUNCTION("""COMPUTED_VALUE"""),"")</f>
        <v/>
      </c>
      <c r="AD1270" s="1" t="str">
        <f>IFERROR(__xludf.DUMMYFUNCTION("""COMPUTED_VALUE"""),"")</f>
        <v/>
      </c>
      <c r="AE1270" s="1" t="str">
        <f>IFERROR(__xludf.DUMMYFUNCTION("""COMPUTED_VALUE"""),"")</f>
        <v/>
      </c>
      <c r="AF1270" s="1" t="str">
        <f>IFERROR(__xludf.DUMMYFUNCTION("""COMPUTED_VALUE"""),"")</f>
        <v/>
      </c>
      <c r="AG1270" s="1" t="str">
        <f>IFERROR(__xludf.DUMMYFUNCTION("""COMPUTED_VALUE"""),"No square footage, but 8-12 building anticipated. This project covers multiple parcels. The total acreage has been represented here.")</f>
        <v>No square footage, but 8-12 building anticipated. This project covers multiple parcels. The total acreage has been represented here.</v>
      </c>
      <c r="AH1270" s="1" t="str">
        <f>IFERROR(__xludf.DUMMYFUNCTION("""COMPUTED_VALUE"""),"PEC")</f>
        <v>PEC</v>
      </c>
      <c r="AI1270" s="2" t="str">
        <f>IFERROR(__xludf.DUMMYFUNCTION("""COMPUTED_VALUE"""),"https://www.datacenterdynamics.com/en/news/stack-infrastructure-files-for-10bn-data-center-in-fredericksburg-virginia/")</f>
        <v>https://www.datacenterdynamics.com/en/news/stack-infrastructure-files-for-10bn-data-center-in-fredericksburg-virginia/</v>
      </c>
      <c r="AJ1270" s="2" t="str">
        <f>IFERROR(__xludf.DUMMYFUNCTION("""COMPUTED_VALUE"""),"https://maps.fredericksburgva.gov/ParcelViewer/#/mwl?zoom=16&amp;location=-77.515419_38.317444")</f>
        <v>https://maps.fredericksburgva.gov/ParcelViewer/#/mwl?zoom=16&amp;location=-77.515419_38.317444</v>
      </c>
      <c r="AK1270" s="1" t="str">
        <f>IFERROR(__xludf.DUMMYFUNCTION("""COMPUTED_VALUE"""),"")</f>
        <v/>
      </c>
      <c r="AL1270" s="1" t="str">
        <f>IFERROR(__xludf.DUMMYFUNCTION("""COMPUTED_VALUE"""),"")</f>
        <v/>
      </c>
      <c r="AM1270" s="1" t="str">
        <f>IFERROR(__xludf.DUMMYFUNCTION("""COMPUTED_VALUE"""),"")</f>
        <v/>
      </c>
      <c r="AN1270" s="1" t="str">
        <f>IFERROR(__xludf.DUMMYFUNCTION("""COMPUTED_VALUE"""),"")</f>
        <v/>
      </c>
      <c r="AO1270" s="1" t="str">
        <f>IFERROR(__xludf.DUMMYFUNCTION("""COMPUTED_VALUE"""),"")</f>
        <v/>
      </c>
      <c r="AP1270" s="1" t="str">
        <f>IFERROR(__xludf.DUMMYFUNCTION("""COMPUTED_VALUE"""),"")</f>
        <v/>
      </c>
      <c r="AQ1270" s="1" t="str">
        <f>IFERROR(__xludf.DUMMYFUNCTION("""COMPUTED_VALUE"""),"08/11/2025")</f>
        <v>08/11/2025</v>
      </c>
      <c r="AR1270" s="1" t="str">
        <f>IFERROR(__xludf.DUMMYFUNCTION("""COMPUTED_VALUE"""),"10/17/2025")</f>
        <v>10/17/2025</v>
      </c>
    </row>
    <row r="1271">
      <c r="A1271" s="1" t="str">
        <f>IFERROR(__xludf.DUMMYFUNCTION("""COMPUTED_VALUE"""),"Oasis Data Center")</f>
        <v>Oasis Data Center</v>
      </c>
      <c r="B1271" s="1" t="str">
        <f>IFERROR(__xludf.DUMMYFUNCTION("""COMPUTED_VALUE"""),"Dahlgren West, north side of James Madison Parkway")</f>
        <v>Dahlgren West, north side of James Madison Parkway</v>
      </c>
      <c r="C1271" s="1" t="str">
        <f>IFERROR(__xludf.DUMMYFUNCTION("""COMPUTED_VALUE"""),"Fredericksburg")</f>
        <v>Fredericksburg</v>
      </c>
      <c r="D1271" s="1" t="str">
        <f>IFERROR(__xludf.DUMMYFUNCTION("""COMPUTED_VALUE"""),"VA")</f>
        <v>VA</v>
      </c>
      <c r="E1271" s="1" t="str">
        <f>IFERROR(__xludf.DUMMYFUNCTION("""COMPUTED_VALUE"""),"22485")</f>
        <v>22485</v>
      </c>
      <c r="F1271" s="1" t="str">
        <f>IFERROR(__xludf.DUMMYFUNCTION("""COMPUTED_VALUE"""),"Spotsylvania")</f>
        <v>Spotsylvania</v>
      </c>
      <c r="G1271" s="1" t="str">
        <f>IFERROR(__xludf.DUMMYFUNCTION("""COMPUTED_VALUE"""),"38.30967")</f>
        <v>38.30967</v>
      </c>
      <c r="H1271" s="1" t="str">
        <f>IFERROR(__xludf.DUMMYFUNCTION("""COMPUTED_VALUE"""),"-77.1084")</f>
        <v>-77.1084</v>
      </c>
      <c r="I1271" s="1" t="str">
        <f>IFERROR(__xludf.DUMMYFUNCTION("""COMPUTED_VALUE"""),"Approved/Permitted/Under construction")</f>
        <v>Approved/Permitted/Under construction</v>
      </c>
      <c r="J1271" s="1" t="str">
        <f>IFERROR(__xludf.DUMMYFUNCTION("""COMPUTED_VALUE"""),"Medium")</f>
        <v>Medium</v>
      </c>
      <c r="K1271" s="1" t="str">
        <f>IFERROR(__xludf.DUMMYFUNCTION("""COMPUTED_VALUE"""),"")</f>
        <v/>
      </c>
      <c r="L1271" s="1" t="str">
        <f>IFERROR(__xludf.DUMMYFUNCTION("""COMPUTED_VALUE"""),"")</f>
        <v/>
      </c>
      <c r="M1271" s="1" t="str">
        <f>IFERROR(__xludf.DUMMYFUNCTION("""COMPUTED_VALUE"""),"")</f>
        <v/>
      </c>
      <c r="N1271" s="1" t="str">
        <f>IFERROR(__xludf.DUMMYFUNCTION("""COMPUTED_VALUE"""),"1200")</f>
        <v>1200</v>
      </c>
      <c r="O1271" s="1" t="str">
        <f>IFERROR(__xludf.DUMMYFUNCTION("""COMPUTED_VALUE"""),"Mega campus (&gt;1,000 MW)")</f>
        <v>Mega campus (&gt;1,000 MW)</v>
      </c>
      <c r="P1271" s="1" t="str">
        <f>IFERROR(__xludf.DUMMYFUNCTION("""COMPUTED_VALUE"""),"")</f>
        <v/>
      </c>
      <c r="Q1271" s="1" t="str">
        <f>IFERROR(__xludf.DUMMYFUNCTION("""COMPUTED_VALUE"""),"")</f>
        <v/>
      </c>
      <c r="R1271" s="1" t="str">
        <f>IFERROR(__xludf.DUMMYFUNCTION("""COMPUTED_VALUE"""),"")</f>
        <v/>
      </c>
      <c r="S1271" s="1" t="str">
        <f>IFERROR(__xludf.DUMMYFUNCTION("""COMPUTED_VALUE"""),"10")</f>
        <v>10</v>
      </c>
      <c r="T1271" s="1" t="str">
        <f>IFERROR(__xludf.DUMMYFUNCTION("""COMPUTED_VALUE"""),"")</f>
        <v/>
      </c>
      <c r="U1271" s="1" t="str">
        <f>IFERROR(__xludf.DUMMYFUNCTION("""COMPUTED_VALUE"""),"")</f>
        <v/>
      </c>
      <c r="V1271" s="1" t="str">
        <f>IFERROR(__xludf.DUMMYFUNCTION("""COMPUTED_VALUE"""),"6,800,000")</f>
        <v>6,800,000</v>
      </c>
      <c r="W1271" s="1" t="str">
        <f>IFERROR(__xludf.DUMMYFUNCTION("""COMPUTED_VALUE"""),"485")</f>
        <v>485</v>
      </c>
      <c r="X1271" s="1" t="str">
        <f>IFERROR(__xludf.DUMMYFUNCTION("""COMPUTED_VALUE"""),"")</f>
        <v/>
      </c>
      <c r="Y1271" s="1" t="str">
        <f>IFERROR(__xludf.DUMMYFUNCTION("""COMPUTED_VALUE"""),"")</f>
        <v/>
      </c>
      <c r="Z1271" s="1" t="str">
        <f>IFERROR(__xludf.DUMMYFUNCTION("""COMPUTED_VALUE"""),"Unknown")</f>
        <v>Unknown</v>
      </c>
      <c r="AA1271" s="1" t="str">
        <f>IFERROR(__xludf.DUMMYFUNCTION("""COMPUTED_VALUE"""),"")</f>
        <v/>
      </c>
      <c r="AB1271" s="1" t="str">
        <f>IFERROR(__xludf.DUMMYFUNCTION("""COMPUTED_VALUE"""),"")</f>
        <v/>
      </c>
      <c r="AC1271" s="1" t="str">
        <f>IFERROR(__xludf.DUMMYFUNCTION("""COMPUTED_VALUE"""),"")</f>
        <v/>
      </c>
      <c r="AD1271" s="1" t="str">
        <f>IFERROR(__xludf.DUMMYFUNCTION("""COMPUTED_VALUE"""),"")</f>
        <v/>
      </c>
      <c r="AE1271" s="1" t="str">
        <f>IFERROR(__xludf.DUMMYFUNCTION("""COMPUTED_VALUE"""),"")</f>
        <v/>
      </c>
      <c r="AF1271" s="1" t="str">
        <f>IFERROR(__xludf.DUMMYFUNCTION("""COMPUTED_VALUE"""),"")</f>
        <v/>
      </c>
      <c r="AG1271" s="1" t="str">
        <f>IFERROR(__xludf.DUMMYFUNCTION("""COMPUTED_VALUE"""),"")</f>
        <v/>
      </c>
      <c r="AH1271" s="1" t="str">
        <f>IFERROR(__xludf.DUMMYFUNCTION("""COMPUTED_VALUE"""),"Media Monitoring")</f>
        <v>Media Monitoring</v>
      </c>
      <c r="AI1271" s="2" t="str">
        <f>IFERROR(__xludf.DUMMYFUNCTION("""COMPUTED_VALUE"""),"https://dahlgrenwest.com/")</f>
        <v>https://dahlgrenwest.com/</v>
      </c>
      <c r="AJ1271" s="2" t="str">
        <f>IFERROR(__xludf.DUMMYFUNCTION("""COMPUTED_VALUE"""),"https://www.datacenterdynamics.com/en/news/oasis-digital-properties-gets-greenlight-for-12gw-data-center-in-king-george-county-virginia/")</f>
        <v>https://www.datacenterdynamics.com/en/news/oasis-digital-properties-gets-greenlight-for-12gw-data-center-in-king-george-county-virginia/</v>
      </c>
      <c r="AK1271" s="1" t="str">
        <f>IFERROR(__xludf.DUMMYFUNCTION("""COMPUTED_VALUE"""),"")</f>
        <v/>
      </c>
      <c r="AL1271" s="1" t="str">
        <f>IFERROR(__xludf.DUMMYFUNCTION("""COMPUTED_VALUE"""),"")</f>
        <v/>
      </c>
      <c r="AM1271" s="1" t="str">
        <f>IFERROR(__xludf.DUMMYFUNCTION("""COMPUTED_VALUE"""),"")</f>
        <v/>
      </c>
      <c r="AN1271" s="1" t="str">
        <f>IFERROR(__xludf.DUMMYFUNCTION("""COMPUTED_VALUE"""),"")</f>
        <v/>
      </c>
      <c r="AO1271" s="1" t="str">
        <f>IFERROR(__xludf.DUMMYFUNCTION("""COMPUTED_VALUE"""),"")</f>
        <v/>
      </c>
      <c r="AP1271" s="1" t="str">
        <f>IFERROR(__xludf.DUMMYFUNCTION("""COMPUTED_VALUE"""),"")</f>
        <v/>
      </c>
      <c r="AQ1271" s="1" t="str">
        <f>IFERROR(__xludf.DUMMYFUNCTION("""COMPUTED_VALUE"""),"08/27/2025")</f>
        <v>08/27/2025</v>
      </c>
      <c r="AR1271" s="1" t="str">
        <f>IFERROR(__xludf.DUMMYFUNCTION("""COMPUTED_VALUE"""),"08/27/2025")</f>
        <v>08/27/2025</v>
      </c>
    </row>
    <row r="1272">
      <c r="A1272" s="1" t="str">
        <f>IFERROR(__xludf.DUMMYFUNCTION("""COMPUTED_VALUE"""),"Penzance Development Data Center")</f>
        <v>Penzance Development Data Center</v>
      </c>
      <c r="B1272" s="1" t="str">
        <f>IFERROR(__xludf.DUMMYFUNCTION("""COMPUTED_VALUE"""),"1500 Gateway Boulevard")</f>
        <v>1500 Gateway Boulevard</v>
      </c>
      <c r="C1272" s="1" t="str">
        <f>IFERROR(__xludf.DUMMYFUNCTION("""COMPUTED_VALUE"""),"Fredericksburg")</f>
        <v>Fredericksburg</v>
      </c>
      <c r="D1272" s="1" t="str">
        <f>IFERROR(__xludf.DUMMYFUNCTION("""COMPUTED_VALUE"""),"VA")</f>
        <v>VA</v>
      </c>
      <c r="E1272" s="1" t="str">
        <f>IFERROR(__xludf.DUMMYFUNCTION("""COMPUTED_VALUE"""),"22401")</f>
        <v>22401</v>
      </c>
      <c r="F1272" s="1" t="str">
        <f>IFERROR(__xludf.DUMMYFUNCTION("""COMPUTED_VALUE"""),"Spotsylvania")</f>
        <v>Spotsylvania</v>
      </c>
      <c r="G1272" s="1" t="str">
        <f>IFERROR(__xludf.DUMMYFUNCTION("""COMPUTED_VALUE"""),"38.29463")</f>
        <v>38.29463</v>
      </c>
      <c r="H1272" s="1" t="str">
        <f>IFERROR(__xludf.DUMMYFUNCTION("""COMPUTED_VALUE"""),"-77.5023")</f>
        <v>-77.5023</v>
      </c>
      <c r="I1272" s="1" t="str">
        <f>IFERROR(__xludf.DUMMYFUNCTION("""COMPUTED_VALUE"""),"Suspended")</f>
        <v>Suspended</v>
      </c>
      <c r="J1272" s="1" t="str">
        <f>IFERROR(__xludf.DUMMYFUNCTION("""COMPUTED_VALUE"""),"High")</f>
        <v>High</v>
      </c>
      <c r="K1272" s="1" t="str">
        <f>IFERROR(__xludf.DUMMYFUNCTION("""COMPUTED_VALUE"""),"")</f>
        <v/>
      </c>
      <c r="L1272" s="1" t="str">
        <f>IFERROR(__xludf.DUMMYFUNCTION("""COMPUTED_VALUE"""),"")</f>
        <v/>
      </c>
      <c r="M1272" s="1" t="str">
        <f>IFERROR(__xludf.DUMMYFUNCTION("""COMPUTED_VALUE"""),"")</f>
        <v/>
      </c>
      <c r="N1272" s="1" t="str">
        <f>IFERROR(__xludf.DUMMYFUNCTION("""COMPUTED_VALUE"""),"")</f>
        <v/>
      </c>
      <c r="O1272" s="1" t="str">
        <f>IFERROR(__xludf.DUMMYFUNCTION("""COMPUTED_VALUE"""),"Unknown")</f>
        <v>Unknown</v>
      </c>
      <c r="P1272" s="1" t="str">
        <f>IFERROR(__xludf.DUMMYFUNCTION("""COMPUTED_VALUE"""),"")</f>
        <v/>
      </c>
      <c r="Q1272" s="1" t="str">
        <f>IFERROR(__xludf.DUMMYFUNCTION("""COMPUTED_VALUE"""),"")</f>
        <v/>
      </c>
      <c r="R1272" s="1" t="str">
        <f>IFERROR(__xludf.DUMMYFUNCTION("""COMPUTED_VALUE"""),"")</f>
        <v/>
      </c>
      <c r="S1272" s="1" t="str">
        <f>IFERROR(__xludf.DUMMYFUNCTION("""COMPUTED_VALUE"""),"")</f>
        <v/>
      </c>
      <c r="T1272" s="1" t="str">
        <f>IFERROR(__xludf.DUMMYFUNCTION("""COMPUTED_VALUE"""),"")</f>
        <v/>
      </c>
      <c r="U1272" s="1" t="str">
        <f>IFERROR(__xludf.DUMMYFUNCTION("""COMPUTED_VALUE"""),"")</f>
        <v/>
      </c>
      <c r="V1272" s="1" t="str">
        <f>IFERROR(__xludf.DUMMYFUNCTION("""COMPUTED_VALUE"""),"2,100,000")</f>
        <v>2,100,000</v>
      </c>
      <c r="W1272" s="1" t="str">
        <f>IFERROR(__xludf.DUMMYFUNCTION("""COMPUTED_VALUE"""),"")</f>
        <v/>
      </c>
      <c r="X1272" s="1" t="str">
        <f>IFERROR(__xludf.DUMMYFUNCTION("""COMPUTED_VALUE"""),"")</f>
        <v/>
      </c>
      <c r="Y1272" s="1" t="str">
        <f>IFERROR(__xludf.DUMMYFUNCTION("""COMPUTED_VALUE"""),"")</f>
        <v/>
      </c>
      <c r="Z1272" s="1" t="str">
        <f>IFERROR(__xludf.DUMMYFUNCTION("""COMPUTED_VALUE"""),"Unknown")</f>
        <v>Unknown</v>
      </c>
      <c r="AA1272" s="1" t="str">
        <f>IFERROR(__xludf.DUMMYFUNCTION("""COMPUTED_VALUE"""),"")</f>
        <v/>
      </c>
      <c r="AB1272" s="1" t="str">
        <f>IFERROR(__xludf.DUMMYFUNCTION("""COMPUTED_VALUE"""),"")</f>
        <v/>
      </c>
      <c r="AC1272" s="1" t="str">
        <f>IFERROR(__xludf.DUMMYFUNCTION("""COMPUTED_VALUE"""),"")</f>
        <v/>
      </c>
      <c r="AD1272" s="1" t="str">
        <f>IFERROR(__xludf.DUMMYFUNCTION("""COMPUTED_VALUE"""),"")</f>
        <v/>
      </c>
      <c r="AE1272" s="1" t="str">
        <f>IFERROR(__xludf.DUMMYFUNCTION("""COMPUTED_VALUE"""),"")</f>
        <v/>
      </c>
      <c r="AF1272" s="1" t="str">
        <f>IFERROR(__xludf.DUMMYFUNCTION("""COMPUTED_VALUE"""),"")</f>
        <v/>
      </c>
      <c r="AG1272" s="1" t="str">
        <f>IFERROR(__xludf.DUMMYFUNCTION("""COMPUTED_VALUE"""),"")</f>
        <v/>
      </c>
      <c r="AH1272" s="1" t="str">
        <f>IFERROR(__xludf.DUMMYFUNCTION("""COMPUTED_VALUE"""),"Media Monitoring")</f>
        <v>Media Monitoring</v>
      </c>
      <c r="AI1272" s="2" t="str">
        <f>IFERROR(__xludf.DUMMYFUNCTION("""COMPUTED_VALUE"""),"https://www.datacenterdynamics.com/en/news/data-center-campus-recommended-for-disapproval-by-fredericksburg-planning-commission/")</f>
        <v>https://www.datacenterdynamics.com/en/news/data-center-campus-recommended-for-disapproval-by-fredericksburg-planning-commission/</v>
      </c>
      <c r="AJ1272" s="1" t="str">
        <f>IFERROR(__xludf.DUMMYFUNCTION("""COMPUTED_VALUE"""),"")</f>
        <v/>
      </c>
      <c r="AK1272" s="1" t="str">
        <f>IFERROR(__xludf.DUMMYFUNCTION("""COMPUTED_VALUE"""),"")</f>
        <v/>
      </c>
      <c r="AL1272" s="1" t="str">
        <f>IFERROR(__xludf.DUMMYFUNCTION("""COMPUTED_VALUE"""),"")</f>
        <v/>
      </c>
      <c r="AM1272" s="1" t="str">
        <f>IFERROR(__xludf.DUMMYFUNCTION("""COMPUTED_VALUE"""),"")</f>
        <v/>
      </c>
      <c r="AN1272" s="1" t="str">
        <f>IFERROR(__xludf.DUMMYFUNCTION("""COMPUTED_VALUE"""),"")</f>
        <v/>
      </c>
      <c r="AO1272" s="1" t="str">
        <f>IFERROR(__xludf.DUMMYFUNCTION("""COMPUTED_VALUE"""),"")</f>
        <v/>
      </c>
      <c r="AP1272" s="1" t="str">
        <f>IFERROR(__xludf.DUMMYFUNCTION("""COMPUTED_VALUE"""),"")</f>
        <v/>
      </c>
      <c r="AQ1272" s="1" t="str">
        <f>IFERROR(__xludf.DUMMYFUNCTION("""COMPUTED_VALUE"""),"07/29/2025")</f>
        <v>07/29/2025</v>
      </c>
      <c r="AR1272" s="1" t="str">
        <f>IFERROR(__xludf.DUMMYFUNCTION("""COMPUTED_VALUE"""),"07/29/2025")</f>
        <v>07/29/2025</v>
      </c>
    </row>
    <row r="1273">
      <c r="A1273" s="1" t="str">
        <f>IFERROR(__xludf.DUMMYFUNCTION("""COMPUTED_VALUE"""),"PowerHouse95")</f>
        <v>PowerHouse95</v>
      </c>
      <c r="B1273" s="1" t="str">
        <f>IFERROR(__xludf.DUMMYFUNCTION("""COMPUTED_VALUE"""),"0 Overview DR")</f>
        <v>0 Overview DR</v>
      </c>
      <c r="C1273" s="1" t="str">
        <f>IFERROR(__xludf.DUMMYFUNCTION("""COMPUTED_VALUE"""),"Fredericksburg")</f>
        <v>Fredericksburg</v>
      </c>
      <c r="D1273" s="1" t="str">
        <f>IFERROR(__xludf.DUMMYFUNCTION("""COMPUTED_VALUE"""),"VA")</f>
        <v>VA</v>
      </c>
      <c r="E1273" s="1" t="str">
        <f>IFERROR(__xludf.DUMMYFUNCTION("""COMPUTED_VALUE"""),"22408")</f>
        <v>22408</v>
      </c>
      <c r="F1273" s="1" t="str">
        <f>IFERROR(__xludf.DUMMYFUNCTION("""COMPUTED_VALUE"""),"Spotsylvania")</f>
        <v>Spotsylvania</v>
      </c>
      <c r="G1273" s="1" t="str">
        <f>IFERROR(__xludf.DUMMYFUNCTION("""COMPUTED_VALUE"""),"38.222046")</f>
        <v>38.222046</v>
      </c>
      <c r="H1273" s="1" t="str">
        <f>IFERROR(__xludf.DUMMYFUNCTION("""COMPUTED_VALUE"""),"-77.4771")</f>
        <v>-77.4771</v>
      </c>
      <c r="I1273" s="1" t="str">
        <f>IFERROR(__xludf.DUMMYFUNCTION("""COMPUTED_VALUE"""),"Expanding")</f>
        <v>Expanding</v>
      </c>
      <c r="J1273" s="1" t="str">
        <f>IFERROR(__xludf.DUMMYFUNCTION("""COMPUTED_VALUE"""),"High")</f>
        <v>High</v>
      </c>
      <c r="K1273" s="1" t="str">
        <f>IFERROR(__xludf.DUMMYFUNCTION("""COMPUTED_VALUE"""),"")</f>
        <v/>
      </c>
      <c r="L1273" s="1" t="str">
        <f>IFERROR(__xludf.DUMMYFUNCTION("""COMPUTED_VALUE"""),"")</f>
        <v/>
      </c>
      <c r="M1273" s="1" t="str">
        <f>IFERROR(__xludf.DUMMYFUNCTION("""COMPUTED_VALUE"""),"")</f>
        <v/>
      </c>
      <c r="N1273" s="1" t="str">
        <f>IFERROR(__xludf.DUMMYFUNCTION("""COMPUTED_VALUE"""),"150")</f>
        <v>150</v>
      </c>
      <c r="O1273" s="1" t="str">
        <f>IFERROR(__xludf.DUMMYFUNCTION("""COMPUTED_VALUE"""),"Hyperscale (100-999 MW)")</f>
        <v>Hyperscale (100-999 MW)</v>
      </c>
      <c r="P1273" s="1" t="str">
        <f>IFERROR(__xludf.DUMMYFUNCTION("""COMPUTED_VALUE"""),"")</f>
        <v/>
      </c>
      <c r="Q1273" s="1" t="str">
        <f>IFERROR(__xludf.DUMMYFUNCTION("""COMPUTED_VALUE"""),"")</f>
        <v/>
      </c>
      <c r="R1273" s="1" t="str">
        <f>IFERROR(__xludf.DUMMYFUNCTION("""COMPUTED_VALUE"""),"")</f>
        <v/>
      </c>
      <c r="S1273" s="1" t="str">
        <f>IFERROR(__xludf.DUMMYFUNCTION("""COMPUTED_VALUE"""),"7+")</f>
        <v>7+</v>
      </c>
      <c r="T1273" s="1" t="str">
        <f>IFERROR(__xludf.DUMMYFUNCTION("""COMPUTED_VALUE"""),"")</f>
        <v/>
      </c>
      <c r="U1273" s="1" t="str">
        <f>IFERROR(__xludf.DUMMYFUNCTION("""COMPUTED_VALUE"""),"")</f>
        <v/>
      </c>
      <c r="V1273" s="1" t="str">
        <f>IFERROR(__xludf.DUMMYFUNCTION("""COMPUTED_VALUE"""),"3,500,000")</f>
        <v>3,500,000</v>
      </c>
      <c r="W1273" s="1" t="str">
        <f>IFERROR(__xludf.DUMMYFUNCTION("""COMPUTED_VALUE"""),"145")</f>
        <v>145</v>
      </c>
      <c r="X1273" s="1" t="str">
        <f>IFERROR(__xludf.DUMMYFUNCTION("""COMPUTED_VALUE"""),"")</f>
        <v/>
      </c>
      <c r="Y1273" s="1" t="str">
        <f>IFERROR(__xludf.DUMMYFUNCTION("""COMPUTED_VALUE"""),"")</f>
        <v/>
      </c>
      <c r="Z1273" s="1" t="str">
        <f>IFERROR(__xludf.DUMMYFUNCTION("""COMPUTED_VALUE"""),"Unknown")</f>
        <v>Unknown</v>
      </c>
      <c r="AA1273" s="1" t="str">
        <f>IFERROR(__xludf.DUMMYFUNCTION("""COMPUTED_VALUE"""),"")</f>
        <v/>
      </c>
      <c r="AB1273" s="1" t="str">
        <f>IFERROR(__xludf.DUMMYFUNCTION("""COMPUTED_VALUE"""),"")</f>
        <v/>
      </c>
      <c r="AC1273" s="1" t="str">
        <f>IFERROR(__xludf.DUMMYFUNCTION("""COMPUTED_VALUE"""),"")</f>
        <v/>
      </c>
      <c r="AD1273" s="1" t="str">
        <f>IFERROR(__xludf.DUMMYFUNCTION("""COMPUTED_VALUE"""),"")</f>
        <v/>
      </c>
      <c r="AE1273" s="1" t="str">
        <f>IFERROR(__xludf.DUMMYFUNCTION("""COMPUTED_VALUE"""),"")</f>
        <v/>
      </c>
      <c r="AF1273" s="1" t="str">
        <f>IFERROR(__xludf.DUMMYFUNCTION("""COMPUTED_VALUE"""),"")</f>
        <v/>
      </c>
      <c r="AG1273" s="1" t="str">
        <f>IFERROR(__xludf.DUMMYFUNCTION("""COMPUTED_VALUE"""),"This project covers multiple parcels. The total acreage has been represented here.")</f>
        <v>This project covers multiple parcels. The total acreage has been represented here.</v>
      </c>
      <c r="AH1273" s="1" t="str">
        <f>IFERROR(__xludf.DUMMYFUNCTION("""COMPUTED_VALUE"""),"PEC")</f>
        <v>PEC</v>
      </c>
      <c r="AI1273" s="2" t="str">
        <f>IFERROR(__xludf.DUMMYFUNCTION("""COMPUTED_VALUE"""),"https://www.datacenterdynamics.com/en/news/powerhouse-plans-800mw-campus-in-virginias-spotsylvania-county/")</f>
        <v>https://www.datacenterdynamics.com/en/news/powerhouse-plans-800mw-campus-in-virginias-spotsylvania-county/</v>
      </c>
      <c r="AJ1273" s="2" t="str">
        <f>IFERROR(__xludf.DUMMYFUNCTION("""COMPUTED_VALUE"""),"https://gis.spotsylvania.va.us/spotsylvania/#/mwl?zoom=15&amp;location=-77.473518_38.223581")</f>
        <v>https://gis.spotsylvania.va.us/spotsylvania/#/mwl?zoom=15&amp;location=-77.473518_38.223581</v>
      </c>
      <c r="AK1273" s="2" t="str">
        <f>IFERROR(__xludf.DUMMYFUNCTION("""COMPUTED_VALUE"""),"https://www.datacenterdynamics.com/en/news/powerhouse-files-to-develop-second-phase-of-spotsylvania-data-center-campus-in-virginia/")</f>
        <v>https://www.datacenterdynamics.com/en/news/powerhouse-files-to-develop-second-phase-of-spotsylvania-data-center-campus-in-virginia/</v>
      </c>
      <c r="AL1273" s="2" t="str">
        <f>IFERROR(__xludf.DUMMYFUNCTION("""COMPUTED_VALUE"""),"https://www.nao.usace.army.mil/Media/Public-Notices/Article/4391426/nao-2021-03032-powerhouse95-data-center-phase-ii-spotsylvania-county-virginia/")</f>
        <v>https://www.nao.usace.army.mil/Media/Public-Notices/Article/4391426/nao-2021-03032-powerhouse95-data-center-phase-ii-spotsylvania-county-virginia/</v>
      </c>
      <c r="AM1273" s="1" t="str">
        <f>IFERROR(__xludf.DUMMYFUNCTION("""COMPUTED_VALUE"""),"")</f>
        <v/>
      </c>
      <c r="AN1273" s="1" t="str">
        <f>IFERROR(__xludf.DUMMYFUNCTION("""COMPUTED_VALUE"""),"")</f>
        <v/>
      </c>
      <c r="AO1273" s="1" t="str">
        <f>IFERROR(__xludf.DUMMYFUNCTION("""COMPUTED_VALUE"""),"")</f>
        <v/>
      </c>
      <c r="AP1273" s="1" t="str">
        <f>IFERROR(__xludf.DUMMYFUNCTION("""COMPUTED_VALUE"""),"")</f>
        <v/>
      </c>
      <c r="AQ1273" s="1" t="str">
        <f>IFERROR(__xludf.DUMMYFUNCTION("""COMPUTED_VALUE"""),"04/10/2024")</f>
        <v>04/10/2024</v>
      </c>
      <c r="AR1273" s="1" t="str">
        <f>IFERROR(__xludf.DUMMYFUNCTION("""COMPUTED_VALUE"""),"02/15/2026")</f>
        <v>02/15/2026</v>
      </c>
    </row>
    <row r="1274">
      <c r="A1274" s="1" t="str">
        <f>IFERROR(__xludf.DUMMYFUNCTION("""COMPUTED_VALUE"""),"Sisson North")</f>
        <v>Sisson North</v>
      </c>
      <c r="B1274" s="1" t="str">
        <f>IFERROR(__xludf.DUMMYFUNCTION("""COMPUTED_VALUE"""),"1301 KINGS HWY")</f>
        <v>1301 KINGS HWY</v>
      </c>
      <c r="C1274" s="1" t="str">
        <f>IFERROR(__xludf.DUMMYFUNCTION("""COMPUTED_VALUE"""),"Fredericksburg")</f>
        <v>Fredericksburg</v>
      </c>
      <c r="D1274" s="1" t="str">
        <f>IFERROR(__xludf.DUMMYFUNCTION("""COMPUTED_VALUE"""),"VA")</f>
        <v>VA</v>
      </c>
      <c r="E1274" s="1" t="str">
        <f>IFERROR(__xludf.DUMMYFUNCTION("""COMPUTED_VALUE"""),"22405")</f>
        <v>22405</v>
      </c>
      <c r="F1274" s="1" t="str">
        <f>IFERROR(__xludf.DUMMYFUNCTION("""COMPUTED_VALUE"""),"Spotsylvania")</f>
        <v>Spotsylvania</v>
      </c>
      <c r="G1274" s="1" t="str">
        <f>IFERROR(__xludf.DUMMYFUNCTION("""COMPUTED_VALUE"""),"38.25873")</f>
        <v>38.25873</v>
      </c>
      <c r="H1274" s="1" t="str">
        <f>IFERROR(__xludf.DUMMYFUNCTION("""COMPUTED_VALUE"""),"-77.38705")</f>
        <v>-77.38705</v>
      </c>
      <c r="I1274" s="1" t="str">
        <f>IFERROR(__xludf.DUMMYFUNCTION("""COMPUTED_VALUE"""),"Proposed")</f>
        <v>Proposed</v>
      </c>
      <c r="J1274" s="1" t="str">
        <f>IFERROR(__xludf.DUMMYFUNCTION("""COMPUTED_VALUE"""),"High")</f>
        <v>High</v>
      </c>
      <c r="K1274" s="1" t="str">
        <f>IFERROR(__xludf.DUMMYFUNCTION("""COMPUTED_VALUE"""),"")</f>
        <v/>
      </c>
      <c r="L1274" s="1" t="str">
        <f>IFERROR(__xludf.DUMMYFUNCTION("""COMPUTED_VALUE"""),"")</f>
        <v/>
      </c>
      <c r="M1274" s="1" t="str">
        <f>IFERROR(__xludf.DUMMYFUNCTION("""COMPUTED_VALUE"""),"")</f>
        <v/>
      </c>
      <c r="N1274" s="1" t="str">
        <f>IFERROR(__xludf.DUMMYFUNCTION("""COMPUTED_VALUE"""),"")</f>
        <v/>
      </c>
      <c r="O1274" s="1" t="str">
        <f>IFERROR(__xludf.DUMMYFUNCTION("""COMPUTED_VALUE"""),"Unknown")</f>
        <v>Unknown</v>
      </c>
      <c r="P1274" s="1" t="str">
        <f>IFERROR(__xludf.DUMMYFUNCTION("""COMPUTED_VALUE"""),"")</f>
        <v/>
      </c>
      <c r="Q1274" s="1" t="str">
        <f>IFERROR(__xludf.DUMMYFUNCTION("""COMPUTED_VALUE"""),"")</f>
        <v/>
      </c>
      <c r="R1274" s="1" t="str">
        <f>IFERROR(__xludf.DUMMYFUNCTION("""COMPUTED_VALUE"""),"")</f>
        <v/>
      </c>
      <c r="S1274" s="1" t="str">
        <f>IFERROR(__xludf.DUMMYFUNCTION("""COMPUTED_VALUE"""),"")</f>
        <v/>
      </c>
      <c r="T1274" s="1" t="str">
        <f>IFERROR(__xludf.DUMMYFUNCTION("""COMPUTED_VALUE"""),"")</f>
        <v/>
      </c>
      <c r="U1274" s="1" t="str">
        <f>IFERROR(__xludf.DUMMYFUNCTION("""COMPUTED_VALUE"""),"")</f>
        <v/>
      </c>
      <c r="V1274" s="1" t="str">
        <f>IFERROR(__xludf.DUMMYFUNCTION("""COMPUTED_VALUE"""),"1,140,000")</f>
        <v>1,140,000</v>
      </c>
      <c r="W1274" s="1" t="str">
        <f>IFERROR(__xludf.DUMMYFUNCTION("""COMPUTED_VALUE"""),"106")</f>
        <v>106</v>
      </c>
      <c r="X1274" s="1" t="str">
        <f>IFERROR(__xludf.DUMMYFUNCTION("""COMPUTED_VALUE"""),"")</f>
        <v/>
      </c>
      <c r="Y1274" s="1" t="str">
        <f>IFERROR(__xludf.DUMMYFUNCTION("""COMPUTED_VALUE"""),"")</f>
        <v/>
      </c>
      <c r="Z1274" s="1" t="str">
        <f>IFERROR(__xludf.DUMMYFUNCTION("""COMPUTED_VALUE"""),"Unknown")</f>
        <v>Unknown</v>
      </c>
      <c r="AA1274" s="1" t="str">
        <f>IFERROR(__xludf.DUMMYFUNCTION("""COMPUTED_VALUE"""),"")</f>
        <v/>
      </c>
      <c r="AB1274" s="1" t="str">
        <f>IFERROR(__xludf.DUMMYFUNCTION("""COMPUTED_VALUE"""),"")</f>
        <v/>
      </c>
      <c r="AC1274" s="1" t="str">
        <f>IFERROR(__xludf.DUMMYFUNCTION("""COMPUTED_VALUE"""),"")</f>
        <v/>
      </c>
      <c r="AD1274" s="1" t="str">
        <f>IFERROR(__xludf.DUMMYFUNCTION("""COMPUTED_VALUE"""),"")</f>
        <v/>
      </c>
      <c r="AE1274" s="1" t="str">
        <f>IFERROR(__xludf.DUMMYFUNCTION("""COMPUTED_VALUE"""),"")</f>
        <v/>
      </c>
      <c r="AF1274" s="1" t="str">
        <f>IFERROR(__xludf.DUMMYFUNCTION("""COMPUTED_VALUE"""),"")</f>
        <v/>
      </c>
      <c r="AG1274" s="1" t="str">
        <f>IFERROR(__xludf.DUMMYFUNCTION("""COMPUTED_VALUE"""),"This project covers multiple parcels. The total acreage has been represented here. Potentially tied to the Forest Lane Data Center")</f>
        <v>This project covers multiple parcels. The total acreage has been represented here. Potentially tied to the Forest Lane Data Center</v>
      </c>
      <c r="AH1274" s="1" t="str">
        <f>IFERROR(__xludf.DUMMYFUNCTION("""COMPUTED_VALUE"""),"PEC")</f>
        <v>PEC</v>
      </c>
      <c r="AI1274" s="2" t="str">
        <f>IFERROR(__xludf.DUMMYFUNCTION("""COMPUTED_VALUE"""),"https://app.sharebase.com/#/folder/25961/share/528-yQozqmn5XpbUDzV-NPVaxs9--JIo")</f>
        <v>https://app.sharebase.com/#/folder/25961/share/528-yQozqmn5XpbUDzV-NPVaxs9--JIo</v>
      </c>
      <c r="AJ1274" s="2" t="str">
        <f>IFERROR(__xludf.DUMMYFUNCTION("""COMPUTED_VALUE"""),"https://va-stafford-assessor.publicaccessnow.com/PropertySearch/PropertyDetails.aspx?p=59%20%20%20%20%20%20%20%2075D&amp;a=58576")</f>
        <v>https://va-stafford-assessor.publicaccessnow.com/PropertySearch/PropertyDetails.aspx?p=59%20%20%20%20%20%20%20%2075D&amp;a=58576</v>
      </c>
      <c r="AK1274" s="1" t="str">
        <f>IFERROR(__xludf.DUMMYFUNCTION("""COMPUTED_VALUE"""),"")</f>
        <v/>
      </c>
      <c r="AL1274" s="1" t="str">
        <f>IFERROR(__xludf.DUMMYFUNCTION("""COMPUTED_VALUE"""),"")</f>
        <v/>
      </c>
      <c r="AM1274" s="1" t="str">
        <f>IFERROR(__xludf.DUMMYFUNCTION("""COMPUTED_VALUE"""),"")</f>
        <v/>
      </c>
      <c r="AN1274" s="1" t="str">
        <f>IFERROR(__xludf.DUMMYFUNCTION("""COMPUTED_VALUE"""),"")</f>
        <v/>
      </c>
      <c r="AO1274" s="1" t="str">
        <f>IFERROR(__xludf.DUMMYFUNCTION("""COMPUTED_VALUE"""),"")</f>
        <v/>
      </c>
      <c r="AP1274" s="1" t="str">
        <f>IFERROR(__xludf.DUMMYFUNCTION("""COMPUTED_VALUE"""),"")</f>
        <v/>
      </c>
      <c r="AQ1274" s="1" t="str">
        <f>IFERROR(__xludf.DUMMYFUNCTION("""COMPUTED_VALUE"""),"08/11/2025")</f>
        <v>08/11/2025</v>
      </c>
      <c r="AR1274" s="1" t="str">
        <f>IFERROR(__xludf.DUMMYFUNCTION("""COMPUTED_VALUE"""),"10/17/2025")</f>
        <v>10/17/2025</v>
      </c>
    </row>
    <row r="1275">
      <c r="A1275" s="1" t="str">
        <f>IFERROR(__xludf.DUMMYFUNCTION("""COMPUTED_VALUE"""),"Stack Infrastructure Data Center")</f>
        <v>Stack Infrastructure Data Center</v>
      </c>
      <c r="B1275" s="1" t="str">
        <f>IFERROR(__xludf.DUMMYFUNCTION("""COMPUTED_VALUE"""),"Hilton Dr")</f>
        <v>Hilton Dr</v>
      </c>
      <c r="C1275" s="1" t="str">
        <f>IFERROR(__xludf.DUMMYFUNCTION("""COMPUTED_VALUE"""),"Fredericksburg")</f>
        <v>Fredericksburg</v>
      </c>
      <c r="D1275" s="1" t="str">
        <f>IFERROR(__xludf.DUMMYFUNCTION("""COMPUTED_VALUE"""),"VA")</f>
        <v>VA</v>
      </c>
      <c r="E1275" s="1" t="str">
        <f>IFERROR(__xludf.DUMMYFUNCTION("""COMPUTED_VALUE"""),"22401")</f>
        <v>22401</v>
      </c>
      <c r="F1275" s="1" t="str">
        <f>IFERROR(__xludf.DUMMYFUNCTION("""COMPUTED_VALUE"""),"Spotsylvania")</f>
        <v>Spotsylvania</v>
      </c>
      <c r="G1275" s="1" t="str">
        <f>IFERROR(__xludf.DUMMYFUNCTION("""COMPUTED_VALUE"""),"38.31828")</f>
        <v>38.31828</v>
      </c>
      <c r="H1275" s="1" t="str">
        <f>IFERROR(__xludf.DUMMYFUNCTION("""COMPUTED_VALUE"""),"-77.5166")</f>
        <v>-77.5166</v>
      </c>
      <c r="I1275" s="1" t="str">
        <f>IFERROR(__xludf.DUMMYFUNCTION("""COMPUTED_VALUE"""),"Proposed")</f>
        <v>Proposed</v>
      </c>
      <c r="J1275" s="1" t="str">
        <f>IFERROR(__xludf.DUMMYFUNCTION("""COMPUTED_VALUE"""),"Medium")</f>
        <v>Medium</v>
      </c>
      <c r="K1275" s="1" t="str">
        <f>IFERROR(__xludf.DUMMYFUNCTION("""COMPUTED_VALUE"""),"")</f>
        <v/>
      </c>
      <c r="L1275" s="1" t="str">
        <f>IFERROR(__xludf.DUMMYFUNCTION("""COMPUTED_VALUE"""),"")</f>
        <v/>
      </c>
      <c r="M1275" s="1" t="str">
        <f>IFERROR(__xludf.DUMMYFUNCTION("""COMPUTED_VALUE"""),"")</f>
        <v/>
      </c>
      <c r="N1275" s="1" t="str">
        <f>IFERROR(__xludf.DUMMYFUNCTION("""COMPUTED_VALUE"""),"")</f>
        <v/>
      </c>
      <c r="O1275" s="1" t="str">
        <f>IFERROR(__xludf.DUMMYFUNCTION("""COMPUTED_VALUE"""),"Unknown")</f>
        <v>Unknown</v>
      </c>
      <c r="P1275" s="1" t="str">
        <f>IFERROR(__xludf.DUMMYFUNCTION("""COMPUTED_VALUE"""),"")</f>
        <v/>
      </c>
      <c r="Q1275" s="1" t="str">
        <f>IFERROR(__xludf.DUMMYFUNCTION("""COMPUTED_VALUE"""),"")</f>
        <v/>
      </c>
      <c r="R1275" s="1" t="str">
        <f>IFERROR(__xludf.DUMMYFUNCTION("""COMPUTED_VALUE"""),"")</f>
        <v/>
      </c>
      <c r="S1275" s="1" t="str">
        <f>IFERROR(__xludf.DUMMYFUNCTION("""COMPUTED_VALUE"""),"")</f>
        <v/>
      </c>
      <c r="T1275" s="1" t="str">
        <f>IFERROR(__xludf.DUMMYFUNCTION("""COMPUTED_VALUE"""),"")</f>
        <v/>
      </c>
      <c r="U1275" s="1" t="str">
        <f>IFERROR(__xludf.DUMMYFUNCTION("""COMPUTED_VALUE"""),"")</f>
        <v/>
      </c>
      <c r="V1275" s="1" t="str">
        <f>IFERROR(__xludf.DUMMYFUNCTION("""COMPUTED_VALUE"""),"")</f>
        <v/>
      </c>
      <c r="W1275" s="1" t="str">
        <f>IFERROR(__xludf.DUMMYFUNCTION("""COMPUTED_VALUE"""),"250")</f>
        <v>250</v>
      </c>
      <c r="X1275" s="1" t="str">
        <f>IFERROR(__xludf.DUMMYFUNCTION("""COMPUTED_VALUE"""),"$10 billion")</f>
        <v>$10 billion</v>
      </c>
      <c r="Y1275" s="1" t="str">
        <f>IFERROR(__xludf.DUMMYFUNCTION("""COMPUTED_VALUE"""),"")</f>
        <v/>
      </c>
      <c r="Z1275" s="1" t="str">
        <f>IFERROR(__xludf.DUMMYFUNCTION("""COMPUTED_VALUE"""),"Unknown")</f>
        <v>Unknown</v>
      </c>
      <c r="AA1275" s="1" t="str">
        <f>IFERROR(__xludf.DUMMYFUNCTION("""COMPUTED_VALUE"""),"")</f>
        <v/>
      </c>
      <c r="AB1275" s="1" t="str">
        <f>IFERROR(__xludf.DUMMYFUNCTION("""COMPUTED_VALUE"""),"")</f>
        <v/>
      </c>
      <c r="AC1275" s="1" t="str">
        <f>IFERROR(__xludf.DUMMYFUNCTION("""COMPUTED_VALUE"""),"")</f>
        <v/>
      </c>
      <c r="AD1275" s="1" t="str">
        <f>IFERROR(__xludf.DUMMYFUNCTION("""COMPUTED_VALUE"""),"")</f>
        <v/>
      </c>
      <c r="AE1275" s="1" t="str">
        <f>IFERROR(__xludf.DUMMYFUNCTION("""COMPUTED_VALUE"""),"")</f>
        <v/>
      </c>
      <c r="AF1275" s="1" t="str">
        <f>IFERROR(__xludf.DUMMYFUNCTION("""COMPUTED_VALUE"""),"")</f>
        <v/>
      </c>
      <c r="AG1275" s="1" t="str">
        <f>IFERROR(__xludf.DUMMYFUNCTION("""COMPUTED_VALUE"""),"")</f>
        <v/>
      </c>
      <c r="AH1275" s="1" t="str">
        <f>IFERROR(__xludf.DUMMYFUNCTION("""COMPUTED_VALUE"""),"Media Monitoring")</f>
        <v>Media Monitoring</v>
      </c>
      <c r="AI1275" s="2" t="str">
        <f>IFERROR(__xludf.DUMMYFUNCTION("""COMPUTED_VALUE"""),"https://www.datacenterdynamics.com/en/news/data-center-campus-recommended-for-disapproval-by-fredericksburg-planning-commission/")</f>
        <v>https://www.datacenterdynamics.com/en/news/data-center-campus-recommended-for-disapproval-by-fredericksburg-planning-commission/</v>
      </c>
      <c r="AJ1275" s="1" t="str">
        <f>IFERROR(__xludf.DUMMYFUNCTION("""COMPUTED_VALUE"""),"")</f>
        <v/>
      </c>
      <c r="AK1275" s="1" t="str">
        <f>IFERROR(__xludf.DUMMYFUNCTION("""COMPUTED_VALUE"""),"")</f>
        <v/>
      </c>
      <c r="AL1275" s="1" t="str">
        <f>IFERROR(__xludf.DUMMYFUNCTION("""COMPUTED_VALUE"""),"")</f>
        <v/>
      </c>
      <c r="AM1275" s="1" t="str">
        <f>IFERROR(__xludf.DUMMYFUNCTION("""COMPUTED_VALUE"""),"")</f>
        <v/>
      </c>
      <c r="AN1275" s="1" t="str">
        <f>IFERROR(__xludf.DUMMYFUNCTION("""COMPUTED_VALUE"""),"")</f>
        <v/>
      </c>
      <c r="AO1275" s="1" t="str">
        <f>IFERROR(__xludf.DUMMYFUNCTION("""COMPUTED_VALUE"""),"")</f>
        <v/>
      </c>
      <c r="AP1275" s="1" t="str">
        <f>IFERROR(__xludf.DUMMYFUNCTION("""COMPUTED_VALUE"""),"")</f>
        <v/>
      </c>
      <c r="AQ1275" s="1" t="str">
        <f>IFERROR(__xludf.DUMMYFUNCTION("""COMPUTED_VALUE"""),"07/29/2025")</f>
        <v>07/29/2025</v>
      </c>
      <c r="AR1275" s="1" t="str">
        <f>IFERROR(__xludf.DUMMYFUNCTION("""COMPUTED_VALUE"""),"07/29/2025")</f>
        <v>07/29/2025</v>
      </c>
    </row>
    <row r="1276">
      <c r="A1276" s="1" t="str">
        <f>IFERROR(__xludf.DUMMYFUNCTION("""COMPUTED_VALUE"""),"Summit Crossing (Amazon)")</f>
        <v>Summit Crossing (Amazon)</v>
      </c>
      <c r="B1276" s="1" t="str">
        <f>IFERROR(__xludf.DUMMYFUNCTION("""COMPUTED_VALUE"""),"~3001 Summit Crossing Rd")</f>
        <v>~3001 Summit Crossing Rd</v>
      </c>
      <c r="C1276" s="1" t="str">
        <f>IFERROR(__xludf.DUMMYFUNCTION("""COMPUTED_VALUE"""),"Fredericksburg")</f>
        <v>Fredericksburg</v>
      </c>
      <c r="D1276" s="1" t="str">
        <f>IFERROR(__xludf.DUMMYFUNCTION("""COMPUTED_VALUE"""),"VA")</f>
        <v>VA</v>
      </c>
      <c r="E1276" s="1" t="str">
        <f>IFERROR(__xludf.DUMMYFUNCTION("""COMPUTED_VALUE"""),"22408")</f>
        <v>22408</v>
      </c>
      <c r="F1276" s="1" t="str">
        <f>IFERROR(__xludf.DUMMYFUNCTION("""COMPUTED_VALUE"""),"Spotsylvania")</f>
        <v>Spotsylvania</v>
      </c>
      <c r="G1276" s="1" t="str">
        <f>IFERROR(__xludf.DUMMYFUNCTION("""COMPUTED_VALUE"""),"38.19338")</f>
        <v>38.19338</v>
      </c>
      <c r="H1276" s="1" t="str">
        <f>IFERROR(__xludf.DUMMYFUNCTION("""COMPUTED_VALUE"""),"-77.43845")</f>
        <v>-77.43845</v>
      </c>
      <c r="I1276" s="1" t="str">
        <f>IFERROR(__xludf.DUMMYFUNCTION("""COMPUTED_VALUE"""),"Approved/Permitted/Under construction")</f>
        <v>Approved/Permitted/Under construction</v>
      </c>
      <c r="J1276" s="1" t="str">
        <f>IFERROR(__xludf.DUMMYFUNCTION("""COMPUTED_VALUE"""),"High")</f>
        <v>High</v>
      </c>
      <c r="K1276" s="1" t="str">
        <f>IFERROR(__xludf.DUMMYFUNCTION("""COMPUTED_VALUE"""),"")</f>
        <v/>
      </c>
      <c r="L1276" s="1" t="str">
        <f>IFERROR(__xludf.DUMMYFUNCTION("""COMPUTED_VALUE"""),"Amazon")</f>
        <v>Amazon</v>
      </c>
      <c r="M1276" s="1" t="str">
        <f>IFERROR(__xludf.DUMMYFUNCTION("""COMPUTED_VALUE"""),"")</f>
        <v/>
      </c>
      <c r="N1276" s="1" t="str">
        <f>IFERROR(__xludf.DUMMYFUNCTION("""COMPUTED_VALUE"""),"")</f>
        <v/>
      </c>
      <c r="O1276" s="1" t="str">
        <f>IFERROR(__xludf.DUMMYFUNCTION("""COMPUTED_VALUE"""),"Unknown")</f>
        <v>Unknown</v>
      </c>
      <c r="P1276" s="1" t="str">
        <f>IFERROR(__xludf.DUMMYFUNCTION("""COMPUTED_VALUE"""),"")</f>
        <v/>
      </c>
      <c r="Q1276" s="1" t="str">
        <f>IFERROR(__xludf.DUMMYFUNCTION("""COMPUTED_VALUE"""),"")</f>
        <v/>
      </c>
      <c r="R1276" s="1" t="str">
        <f>IFERROR(__xludf.DUMMYFUNCTION("""COMPUTED_VALUE"""),"")</f>
        <v/>
      </c>
      <c r="S1276" s="1" t="str">
        <f>IFERROR(__xludf.DUMMYFUNCTION("""COMPUTED_VALUE"""),"")</f>
        <v/>
      </c>
      <c r="T1276" s="1" t="str">
        <f>IFERROR(__xludf.DUMMYFUNCTION("""COMPUTED_VALUE"""),"")</f>
        <v/>
      </c>
      <c r="U1276" s="1" t="str">
        <f>IFERROR(__xludf.DUMMYFUNCTION("""COMPUTED_VALUE"""),"")</f>
        <v/>
      </c>
      <c r="V1276" s="1" t="str">
        <f>IFERROR(__xludf.DUMMYFUNCTION("""COMPUTED_VALUE"""),"2,100,000")</f>
        <v>2,100,000</v>
      </c>
      <c r="W1276" s="1" t="str">
        <f>IFERROR(__xludf.DUMMYFUNCTION("""COMPUTED_VALUE"""),"231")</f>
        <v>231</v>
      </c>
      <c r="X1276" s="1" t="str">
        <f>IFERROR(__xludf.DUMMYFUNCTION("""COMPUTED_VALUE"""),"")</f>
        <v/>
      </c>
      <c r="Y1276" s="1" t="str">
        <f>IFERROR(__xludf.DUMMYFUNCTION("""COMPUTED_VALUE"""),"2026")</f>
        <v>2026</v>
      </c>
      <c r="Z1276" s="1" t="str">
        <f>IFERROR(__xludf.DUMMYFUNCTION("""COMPUTED_VALUE"""),"Unknown")</f>
        <v>Unknown</v>
      </c>
      <c r="AA1276" s="1" t="str">
        <f>IFERROR(__xludf.DUMMYFUNCTION("""COMPUTED_VALUE"""),"")</f>
        <v/>
      </c>
      <c r="AB1276" s="1" t="str">
        <f>IFERROR(__xludf.DUMMYFUNCTION("""COMPUTED_VALUE"""),"")</f>
        <v/>
      </c>
      <c r="AC1276" s="1" t="str">
        <f>IFERROR(__xludf.DUMMYFUNCTION("""COMPUTED_VALUE"""),"")</f>
        <v/>
      </c>
      <c r="AD1276" s="1" t="str">
        <f>IFERROR(__xludf.DUMMYFUNCTION("""COMPUTED_VALUE"""),"")</f>
        <v/>
      </c>
      <c r="AE1276" s="1" t="str">
        <f>IFERROR(__xludf.DUMMYFUNCTION("""COMPUTED_VALUE"""),"")</f>
        <v/>
      </c>
      <c r="AF1276" s="1" t="str">
        <f>IFERROR(__xludf.DUMMYFUNCTION("""COMPUTED_VALUE"""),"")</f>
        <v/>
      </c>
      <c r="AG1276" s="1" t="str">
        <f>IFERROR(__xludf.DUMMYFUNCTION("""COMPUTED_VALUE"""),"")</f>
        <v/>
      </c>
      <c r="AH1276" s="1" t="str">
        <f>IFERROR(__xludf.DUMMYFUNCTION("""COMPUTED_VALUE"""),"Media Monitoring")</f>
        <v>Media Monitoring</v>
      </c>
      <c r="AI1276" s="2" t="str">
        <f>IFERROR(__xludf.DUMMYFUNCTION("""COMPUTED_VALUE"""),"https://baxtel.com/data-center/amazon-summit-crossing-tech-campus")</f>
        <v>https://baxtel.com/data-center/amazon-summit-crossing-tech-campus</v>
      </c>
      <c r="AJ1276" s="2" t="str">
        <f>IFERROR(__xludf.DUMMYFUNCTION("""COMPUTED_VALUE"""),"https://www.datacenterdynamics.com/en/news/10m-sq-ft-amazon-files-for-four-data-center-campuses-in-virginias-spotsylvania-and-caroline-counties/")</f>
        <v>https://www.datacenterdynamics.com/en/news/10m-sq-ft-amazon-files-for-four-data-center-campuses-in-virginias-spotsylvania-and-caroline-counties/</v>
      </c>
      <c r="AK1276" s="1" t="str">
        <f>IFERROR(__xludf.DUMMYFUNCTION("""COMPUTED_VALUE"""),"")</f>
        <v/>
      </c>
      <c r="AL1276" s="1" t="str">
        <f>IFERROR(__xludf.DUMMYFUNCTION("""COMPUTED_VALUE"""),"")</f>
        <v/>
      </c>
      <c r="AM1276" s="1" t="str">
        <f>IFERROR(__xludf.DUMMYFUNCTION("""COMPUTED_VALUE"""),"")</f>
        <v/>
      </c>
      <c r="AN1276" s="1" t="str">
        <f>IFERROR(__xludf.DUMMYFUNCTION("""COMPUTED_VALUE"""),"")</f>
        <v/>
      </c>
      <c r="AO1276" s="1" t="str">
        <f>IFERROR(__xludf.DUMMYFUNCTION("""COMPUTED_VALUE"""),"")</f>
        <v/>
      </c>
      <c r="AP1276" s="1" t="str">
        <f>IFERROR(__xludf.DUMMYFUNCTION("""COMPUTED_VALUE"""),"")</f>
        <v/>
      </c>
      <c r="AQ1276" s="1" t="str">
        <f>IFERROR(__xludf.DUMMYFUNCTION("""COMPUTED_VALUE"""),"09/20/2025")</f>
        <v>09/20/2025</v>
      </c>
      <c r="AR1276" s="1" t="str">
        <f>IFERROR(__xludf.DUMMYFUNCTION("""COMPUTED_VALUE"""),"01/23/2026")</f>
        <v>01/23/2026</v>
      </c>
    </row>
    <row r="1277">
      <c r="A1277" s="1" t="str">
        <f>IFERROR(__xludf.DUMMYFUNCTION("""COMPUTED_VALUE"""),"Summit Crossing Tech Campus")</f>
        <v>Summit Crossing Tech Campus</v>
      </c>
      <c r="B1277" s="1" t="str">
        <f>IFERROR(__xludf.DUMMYFUNCTION("""COMPUTED_VALUE"""),"Summit Crossing Road")</f>
        <v>Summit Crossing Road</v>
      </c>
      <c r="C1277" s="1" t="str">
        <f>IFERROR(__xludf.DUMMYFUNCTION("""COMPUTED_VALUE"""),"Fredericksburg")</f>
        <v>Fredericksburg</v>
      </c>
      <c r="D1277" s="1" t="str">
        <f>IFERROR(__xludf.DUMMYFUNCTION("""COMPUTED_VALUE"""),"VA")</f>
        <v>VA</v>
      </c>
      <c r="E1277" s="1" t="str">
        <f>IFERROR(__xludf.DUMMYFUNCTION("""COMPUTED_VALUE"""),"22408")</f>
        <v>22408</v>
      </c>
      <c r="F1277" s="1" t="str">
        <f>IFERROR(__xludf.DUMMYFUNCTION("""COMPUTED_VALUE"""),"Spotsylvania")</f>
        <v>Spotsylvania</v>
      </c>
      <c r="G1277" s="1" t="str">
        <f>IFERROR(__xludf.DUMMYFUNCTION("""COMPUTED_VALUE"""),"38.188473")</f>
        <v>38.188473</v>
      </c>
      <c r="H1277" s="1" t="str">
        <f>IFERROR(__xludf.DUMMYFUNCTION("""COMPUTED_VALUE"""),"-77.44053")</f>
        <v>-77.44053</v>
      </c>
      <c r="I1277" s="1" t="str">
        <f>IFERROR(__xludf.DUMMYFUNCTION("""COMPUTED_VALUE"""),"Proposed")</f>
        <v>Proposed</v>
      </c>
      <c r="J1277" s="1" t="str">
        <f>IFERROR(__xludf.DUMMYFUNCTION("""COMPUTED_VALUE"""),"Medium")</f>
        <v>Medium</v>
      </c>
      <c r="K1277" s="1" t="str">
        <f>IFERROR(__xludf.DUMMYFUNCTION("""COMPUTED_VALUE"""),"")</f>
        <v/>
      </c>
      <c r="L1277" s="1" t="str">
        <f>IFERROR(__xludf.DUMMYFUNCTION("""COMPUTED_VALUE"""),"")</f>
        <v/>
      </c>
      <c r="M1277" s="1" t="str">
        <f>IFERROR(__xludf.DUMMYFUNCTION("""COMPUTED_VALUE"""),"")</f>
        <v/>
      </c>
      <c r="N1277" s="1" t="str">
        <f>IFERROR(__xludf.DUMMYFUNCTION("""COMPUTED_VALUE"""),"")</f>
        <v/>
      </c>
      <c r="O1277" s="1" t="str">
        <f>IFERROR(__xludf.DUMMYFUNCTION("""COMPUTED_VALUE"""),"Unknown")</f>
        <v>Unknown</v>
      </c>
      <c r="P1277" s="1" t="str">
        <f>IFERROR(__xludf.DUMMYFUNCTION("""COMPUTED_VALUE"""),"")</f>
        <v/>
      </c>
      <c r="Q1277" s="1" t="str">
        <f>IFERROR(__xludf.DUMMYFUNCTION("""COMPUTED_VALUE"""),"")</f>
        <v/>
      </c>
      <c r="R1277" s="1" t="str">
        <f>IFERROR(__xludf.DUMMYFUNCTION("""COMPUTED_VALUE"""),"")</f>
        <v/>
      </c>
      <c r="S1277" s="1" t="str">
        <f>IFERROR(__xludf.DUMMYFUNCTION("""COMPUTED_VALUE"""),"")</f>
        <v/>
      </c>
      <c r="T1277" s="1" t="str">
        <f>IFERROR(__xludf.DUMMYFUNCTION("""COMPUTED_VALUE"""),"")</f>
        <v/>
      </c>
      <c r="U1277" s="1" t="str">
        <f>IFERROR(__xludf.DUMMYFUNCTION("""COMPUTED_VALUE"""),"")</f>
        <v/>
      </c>
      <c r="V1277" s="1" t="str">
        <f>IFERROR(__xludf.DUMMYFUNCTION("""COMPUTED_VALUE"""),"2,100,000")</f>
        <v>2,100,000</v>
      </c>
      <c r="W1277" s="1" t="str">
        <f>IFERROR(__xludf.DUMMYFUNCTION("""COMPUTED_VALUE"""),"231")</f>
        <v>231</v>
      </c>
      <c r="X1277" s="1" t="str">
        <f>IFERROR(__xludf.DUMMYFUNCTION("""COMPUTED_VALUE"""),"")</f>
        <v/>
      </c>
      <c r="Y1277" s="1" t="str">
        <f>IFERROR(__xludf.DUMMYFUNCTION("""COMPUTED_VALUE"""),"")</f>
        <v/>
      </c>
      <c r="Z1277" s="1" t="str">
        <f>IFERROR(__xludf.DUMMYFUNCTION("""COMPUTED_VALUE"""),"Unknown")</f>
        <v>Unknown</v>
      </c>
      <c r="AA1277" s="1" t="str">
        <f>IFERROR(__xludf.DUMMYFUNCTION("""COMPUTED_VALUE"""),"")</f>
        <v/>
      </c>
      <c r="AB1277" s="1" t="str">
        <f>IFERROR(__xludf.DUMMYFUNCTION("""COMPUTED_VALUE"""),"")</f>
        <v/>
      </c>
      <c r="AC1277" s="1" t="str">
        <f>IFERROR(__xludf.DUMMYFUNCTION("""COMPUTED_VALUE"""),"")</f>
        <v/>
      </c>
      <c r="AD1277" s="1" t="str">
        <f>IFERROR(__xludf.DUMMYFUNCTION("""COMPUTED_VALUE"""),"")</f>
        <v/>
      </c>
      <c r="AE1277" s="1" t="str">
        <f>IFERROR(__xludf.DUMMYFUNCTION("""COMPUTED_VALUE"""),"")</f>
        <v/>
      </c>
      <c r="AF1277" s="1" t="str">
        <f>IFERROR(__xludf.DUMMYFUNCTION("""COMPUTED_VALUE"""),"")</f>
        <v/>
      </c>
      <c r="AG1277" s="1" t="str">
        <f>IFERROR(__xludf.DUMMYFUNCTION("""COMPUTED_VALUE"""),"")</f>
        <v/>
      </c>
      <c r="AH1277" s="1" t="str">
        <f>IFERROR(__xludf.DUMMYFUNCTION("""COMPUTED_VALUE"""),"PEC")</f>
        <v>PEC</v>
      </c>
      <c r="AI1277" s="2" t="str">
        <f>IFERROR(__xludf.DUMMYFUNCTION("""COMPUTED_VALUE"""),"https://www.datacenterdynamics.com/en/news/10m-sq-ft-amazon-files-for-four-data-center-campuses-in-virginias-spotsylvania-and-caroline-counties/")</f>
        <v>https://www.datacenterdynamics.com/en/news/10m-sq-ft-amazon-files-for-four-data-center-campuses-in-virginias-spotsylvania-and-caroline-counties/</v>
      </c>
      <c r="AJ1277" s="2" t="str">
        <f>IFERROR(__xludf.DUMMYFUNCTION("""COMPUTED_VALUE"""),"https://gis.spotsylvania.va.us/spotsylvania/#/mwl?zoom=15&amp;location=-77.432007_38.188576")</f>
        <v>https://gis.spotsylvania.va.us/spotsylvania/#/mwl?zoom=15&amp;location=-77.432007_38.188576</v>
      </c>
      <c r="AK1277" s="1" t="str">
        <f>IFERROR(__xludf.DUMMYFUNCTION("""COMPUTED_VALUE"""),"")</f>
        <v/>
      </c>
      <c r="AL1277" s="1" t="str">
        <f>IFERROR(__xludf.DUMMYFUNCTION("""COMPUTED_VALUE"""),"")</f>
        <v/>
      </c>
      <c r="AM1277" s="1" t="str">
        <f>IFERROR(__xludf.DUMMYFUNCTION("""COMPUTED_VALUE"""),"")</f>
        <v/>
      </c>
      <c r="AN1277" s="1" t="str">
        <f>IFERROR(__xludf.DUMMYFUNCTION("""COMPUTED_VALUE"""),"")</f>
        <v/>
      </c>
      <c r="AO1277" s="1" t="str">
        <f>IFERROR(__xludf.DUMMYFUNCTION("""COMPUTED_VALUE"""),"")</f>
        <v/>
      </c>
      <c r="AP1277" s="1" t="str">
        <f>IFERROR(__xludf.DUMMYFUNCTION("""COMPUTED_VALUE"""),"")</f>
        <v/>
      </c>
      <c r="AQ1277" s="1" t="str">
        <f>IFERROR(__xludf.DUMMYFUNCTION("""COMPUTED_VALUE"""),"07/18/2025")</f>
        <v>07/18/2025</v>
      </c>
      <c r="AR1277" s="1" t="str">
        <f>IFERROR(__xludf.DUMMYFUNCTION("""COMPUTED_VALUE"""),"10/17/2025")</f>
        <v>10/17/2025</v>
      </c>
    </row>
    <row r="1278">
      <c r="A1278" s="1" t="str">
        <f>IFERROR(__xludf.DUMMYFUNCTION("""COMPUTED_VALUE"""),"Summit Technology Park")</f>
        <v>Summit Technology Park</v>
      </c>
      <c r="B1278" s="1" t="str">
        <f>IFERROR(__xludf.DUMMYFUNCTION("""COMPUTED_VALUE"""),"2901 Summit Crossing RD")</f>
        <v>2901 Summit Crossing RD</v>
      </c>
      <c r="C1278" s="1" t="str">
        <f>IFERROR(__xludf.DUMMYFUNCTION("""COMPUTED_VALUE"""),"Fredericksburg")</f>
        <v>Fredericksburg</v>
      </c>
      <c r="D1278" s="1" t="str">
        <f>IFERROR(__xludf.DUMMYFUNCTION("""COMPUTED_VALUE"""),"VA")</f>
        <v>VA</v>
      </c>
      <c r="E1278" s="1" t="str">
        <f>IFERROR(__xludf.DUMMYFUNCTION("""COMPUTED_VALUE"""),"22408")</f>
        <v>22408</v>
      </c>
      <c r="F1278" s="1" t="str">
        <f>IFERROR(__xludf.DUMMYFUNCTION("""COMPUTED_VALUE"""),"Spotsylvania")</f>
        <v>Spotsylvania</v>
      </c>
      <c r="G1278" s="1" t="str">
        <f>IFERROR(__xludf.DUMMYFUNCTION("""COMPUTED_VALUE"""),"38.19514")</f>
        <v>38.19514</v>
      </c>
      <c r="H1278" s="1" t="str">
        <f>IFERROR(__xludf.DUMMYFUNCTION("""COMPUTED_VALUE"""),"-77.43207")</f>
        <v>-77.43207</v>
      </c>
      <c r="I1278" s="1" t="str">
        <f>IFERROR(__xludf.DUMMYFUNCTION("""COMPUTED_VALUE"""),"Proposed")</f>
        <v>Proposed</v>
      </c>
      <c r="J1278" s="1" t="str">
        <f>IFERROR(__xludf.DUMMYFUNCTION("""COMPUTED_VALUE"""),"High")</f>
        <v>High</v>
      </c>
      <c r="K1278" s="1" t="str">
        <f>IFERROR(__xludf.DUMMYFUNCTION("""COMPUTED_VALUE"""),"")</f>
        <v/>
      </c>
      <c r="L1278" s="1" t="str">
        <f>IFERROR(__xludf.DUMMYFUNCTION("""COMPUTED_VALUE"""),"")</f>
        <v/>
      </c>
      <c r="M1278" s="1" t="str">
        <f>IFERROR(__xludf.DUMMYFUNCTION("""COMPUTED_VALUE"""),"")</f>
        <v/>
      </c>
      <c r="N1278" s="1" t="str">
        <f>IFERROR(__xludf.DUMMYFUNCTION("""COMPUTED_VALUE"""),"")</f>
        <v/>
      </c>
      <c r="O1278" s="1" t="str">
        <f>IFERROR(__xludf.DUMMYFUNCTION("""COMPUTED_VALUE"""),"Unknown")</f>
        <v>Unknown</v>
      </c>
      <c r="P1278" s="1" t="str">
        <f>IFERROR(__xludf.DUMMYFUNCTION("""COMPUTED_VALUE"""),"")</f>
        <v/>
      </c>
      <c r="Q1278" s="1" t="str">
        <f>IFERROR(__xludf.DUMMYFUNCTION("""COMPUTED_VALUE"""),"")</f>
        <v/>
      </c>
      <c r="R1278" s="1" t="str">
        <f>IFERROR(__xludf.DUMMYFUNCTION("""COMPUTED_VALUE"""),"")</f>
        <v/>
      </c>
      <c r="S1278" s="1" t="str">
        <f>IFERROR(__xludf.DUMMYFUNCTION("""COMPUTED_VALUE"""),"")</f>
        <v/>
      </c>
      <c r="T1278" s="1" t="str">
        <f>IFERROR(__xludf.DUMMYFUNCTION("""COMPUTED_VALUE"""),"")</f>
        <v/>
      </c>
      <c r="U1278" s="1" t="str">
        <f>IFERROR(__xludf.DUMMYFUNCTION("""COMPUTED_VALUE"""),"")</f>
        <v/>
      </c>
      <c r="V1278" s="1" t="str">
        <f>IFERROR(__xludf.DUMMYFUNCTION("""COMPUTED_VALUE"""),"2,200,000")</f>
        <v>2,200,000</v>
      </c>
      <c r="W1278" s="1" t="str">
        <f>IFERROR(__xludf.DUMMYFUNCTION("""COMPUTED_VALUE"""),"125")</f>
        <v>125</v>
      </c>
      <c r="X1278" s="1" t="str">
        <f>IFERROR(__xludf.DUMMYFUNCTION("""COMPUTED_VALUE"""),"")</f>
        <v/>
      </c>
      <c r="Y1278" s="1" t="str">
        <f>IFERROR(__xludf.DUMMYFUNCTION("""COMPUTED_VALUE"""),"")</f>
        <v/>
      </c>
      <c r="Z1278" s="1" t="str">
        <f>IFERROR(__xludf.DUMMYFUNCTION("""COMPUTED_VALUE"""),"Unknown")</f>
        <v>Unknown</v>
      </c>
      <c r="AA1278" s="1" t="str">
        <f>IFERROR(__xludf.DUMMYFUNCTION("""COMPUTED_VALUE"""),"")</f>
        <v/>
      </c>
      <c r="AB1278" s="1" t="str">
        <f>IFERROR(__xludf.DUMMYFUNCTION("""COMPUTED_VALUE"""),"")</f>
        <v/>
      </c>
      <c r="AC1278" s="1" t="str">
        <f>IFERROR(__xludf.DUMMYFUNCTION("""COMPUTED_VALUE"""),"")</f>
        <v/>
      </c>
      <c r="AD1278" s="1" t="str">
        <f>IFERROR(__xludf.DUMMYFUNCTION("""COMPUTED_VALUE"""),"")</f>
        <v/>
      </c>
      <c r="AE1278" s="1" t="str">
        <f>IFERROR(__xludf.DUMMYFUNCTION("""COMPUTED_VALUE"""),"")</f>
        <v/>
      </c>
      <c r="AF1278" s="1" t="str">
        <f>IFERROR(__xludf.DUMMYFUNCTION("""COMPUTED_VALUE"""),"")</f>
        <v/>
      </c>
      <c r="AG1278" s="1" t="str">
        <f>IFERROR(__xludf.DUMMYFUNCTION("""COMPUTED_VALUE"""),"")</f>
        <v/>
      </c>
      <c r="AH1278" s="1" t="str">
        <f>IFERROR(__xludf.DUMMYFUNCTION("""COMPUTED_VALUE"""),"PEC")</f>
        <v>PEC</v>
      </c>
      <c r="AI1278" s="2" t="str">
        <f>IFERROR(__xludf.DUMMYFUNCTION("""COMPUTED_VALUE"""),"https://www.spotsylvania.va.us/DocumentCenter/View/33280/1st-Submission-Narrative-22125")</f>
        <v>https://www.spotsylvania.va.us/DocumentCenter/View/33280/1st-Submission-Narrative-22125</v>
      </c>
      <c r="AJ1278" s="2" t="str">
        <f>IFERROR(__xludf.DUMMYFUNCTION("""COMPUTED_VALUE"""),"https://gis.spotsylvania.va.us/spotsylvania/#/mwl?zoom=16&amp;location=-77.428204_38.194825")</f>
        <v>https://gis.spotsylvania.va.us/spotsylvania/#/mwl?zoom=16&amp;location=-77.428204_38.194825</v>
      </c>
      <c r="AK1278" s="1" t="str">
        <f>IFERROR(__xludf.DUMMYFUNCTION("""COMPUTED_VALUE"""),"")</f>
        <v/>
      </c>
      <c r="AL1278" s="1" t="str">
        <f>IFERROR(__xludf.DUMMYFUNCTION("""COMPUTED_VALUE"""),"")</f>
        <v/>
      </c>
      <c r="AM1278" s="1" t="str">
        <f>IFERROR(__xludf.DUMMYFUNCTION("""COMPUTED_VALUE"""),"")</f>
        <v/>
      </c>
      <c r="AN1278" s="1" t="str">
        <f>IFERROR(__xludf.DUMMYFUNCTION("""COMPUTED_VALUE"""),"")</f>
        <v/>
      </c>
      <c r="AO1278" s="1" t="str">
        <f>IFERROR(__xludf.DUMMYFUNCTION("""COMPUTED_VALUE"""),"")</f>
        <v/>
      </c>
      <c r="AP1278" s="1" t="str">
        <f>IFERROR(__xludf.DUMMYFUNCTION("""COMPUTED_VALUE"""),"")</f>
        <v/>
      </c>
      <c r="AQ1278" s="1" t="str">
        <f>IFERROR(__xludf.DUMMYFUNCTION("""COMPUTED_VALUE"""),"07/18/2025")</f>
        <v>07/18/2025</v>
      </c>
      <c r="AR1278" s="1" t="str">
        <f>IFERROR(__xludf.DUMMYFUNCTION("""COMPUTED_VALUE"""),"10/17/2025")</f>
        <v>10/17/2025</v>
      </c>
    </row>
    <row r="1279">
      <c r="A1279" s="1" t="str">
        <f>IFERROR(__xludf.DUMMYFUNCTION("""COMPUTED_VALUE"""),"Vantage Data Center")</f>
        <v>Vantage Data Center</v>
      </c>
      <c r="B1279" s="1" t="str">
        <f>IFERROR(__xludf.DUMMYFUNCTION("""COMPUTED_VALUE"""),"225 Centreport Parkway")</f>
        <v>225 Centreport Parkway</v>
      </c>
      <c r="C1279" s="1" t="str">
        <f>IFERROR(__xludf.DUMMYFUNCTION("""COMPUTED_VALUE"""),"Fredericksburg")</f>
        <v>Fredericksburg</v>
      </c>
      <c r="D1279" s="1" t="str">
        <f>IFERROR(__xludf.DUMMYFUNCTION("""COMPUTED_VALUE"""),"VA")</f>
        <v>VA</v>
      </c>
      <c r="E1279" s="1" t="str">
        <f>IFERROR(__xludf.DUMMYFUNCTION("""COMPUTED_VALUE"""),"22406")</f>
        <v>22406</v>
      </c>
      <c r="F1279" s="1" t="str">
        <f>IFERROR(__xludf.DUMMYFUNCTION("""COMPUTED_VALUE"""),"Spotsylvania")</f>
        <v>Spotsylvania</v>
      </c>
      <c r="G1279" s="1" t="str">
        <f>IFERROR(__xludf.DUMMYFUNCTION("""COMPUTED_VALUE"""),"38.39153")</f>
        <v>38.39153</v>
      </c>
      <c r="H1279" s="1" t="str">
        <f>IFERROR(__xludf.DUMMYFUNCTION("""COMPUTED_VALUE"""),"-77.46516")</f>
        <v>-77.46516</v>
      </c>
      <c r="I1279" s="1" t="str">
        <f>IFERROR(__xludf.DUMMYFUNCTION("""COMPUTED_VALUE"""),"Operating")</f>
        <v>Operating</v>
      </c>
      <c r="J1279" s="1" t="str">
        <f>IFERROR(__xludf.DUMMYFUNCTION("""COMPUTED_VALUE"""),"High")</f>
        <v>High</v>
      </c>
      <c r="K1279" s="1" t="str">
        <f>IFERROR(__xludf.DUMMYFUNCTION("""COMPUTED_VALUE"""),"")</f>
        <v/>
      </c>
      <c r="L1279" s="1" t="str">
        <f>IFERROR(__xludf.DUMMYFUNCTION("""COMPUTED_VALUE"""),"")</f>
        <v/>
      </c>
      <c r="M1279" s="1" t="str">
        <f>IFERROR(__xludf.DUMMYFUNCTION("""COMPUTED_VALUE"""),"")</f>
        <v/>
      </c>
      <c r="N1279" s="1" t="str">
        <f>IFERROR(__xludf.DUMMYFUNCTION("""COMPUTED_VALUE"""),"")</f>
        <v/>
      </c>
      <c r="O1279" s="1" t="str">
        <f>IFERROR(__xludf.DUMMYFUNCTION("""COMPUTED_VALUE"""),"Unknown")</f>
        <v>Unknown</v>
      </c>
      <c r="P1279" s="1" t="str">
        <f>IFERROR(__xludf.DUMMYFUNCTION("""COMPUTED_VALUE"""),"")</f>
        <v/>
      </c>
      <c r="Q1279" s="1" t="str">
        <f>IFERROR(__xludf.DUMMYFUNCTION("""COMPUTED_VALUE"""),"")</f>
        <v/>
      </c>
      <c r="R1279" s="1" t="str">
        <f>IFERROR(__xludf.DUMMYFUNCTION("""COMPUTED_VALUE"""),"")</f>
        <v/>
      </c>
      <c r="S1279" s="1" t="str">
        <f>IFERROR(__xludf.DUMMYFUNCTION("""COMPUTED_VALUE"""),"")</f>
        <v/>
      </c>
      <c r="T1279" s="1" t="str">
        <f>IFERROR(__xludf.DUMMYFUNCTION("""COMPUTED_VALUE"""),"")</f>
        <v/>
      </c>
      <c r="U1279" s="1" t="str">
        <f>IFERROR(__xludf.DUMMYFUNCTION("""COMPUTED_VALUE"""),"")</f>
        <v/>
      </c>
      <c r="V1279" s="1" t="str">
        <f>IFERROR(__xludf.DUMMYFUNCTION("""COMPUTED_VALUE"""),"")</f>
        <v/>
      </c>
      <c r="W1279" s="1" t="str">
        <f>IFERROR(__xludf.DUMMYFUNCTION("""COMPUTED_VALUE"""),"")</f>
        <v/>
      </c>
      <c r="X1279" s="1" t="str">
        <f>IFERROR(__xludf.DUMMYFUNCTION("""COMPUTED_VALUE"""),"")</f>
        <v/>
      </c>
      <c r="Y1279" s="1" t="str">
        <f>IFERROR(__xludf.DUMMYFUNCTION("""COMPUTED_VALUE"""),"")</f>
        <v/>
      </c>
      <c r="Z1279" s="1" t="str">
        <f>IFERROR(__xludf.DUMMYFUNCTION("""COMPUTED_VALUE"""),"Unknown")</f>
        <v>Unknown</v>
      </c>
      <c r="AA1279" s="1" t="str">
        <f>IFERROR(__xludf.DUMMYFUNCTION("""COMPUTED_VALUE"""),"")</f>
        <v/>
      </c>
      <c r="AB1279" s="1" t="str">
        <f>IFERROR(__xludf.DUMMYFUNCTION("""COMPUTED_VALUE"""),"")</f>
        <v/>
      </c>
      <c r="AC1279" s="1" t="str">
        <f>IFERROR(__xludf.DUMMYFUNCTION("""COMPUTED_VALUE"""),"")</f>
        <v/>
      </c>
      <c r="AD1279" s="1" t="str">
        <f>IFERROR(__xludf.DUMMYFUNCTION("""COMPUTED_VALUE"""),"")</f>
        <v/>
      </c>
      <c r="AE1279" s="1" t="str">
        <f>IFERROR(__xludf.DUMMYFUNCTION("""COMPUTED_VALUE"""),"")</f>
        <v/>
      </c>
      <c r="AF1279" s="1" t="str">
        <f>IFERROR(__xludf.DUMMYFUNCTION("""COMPUTED_VALUE"""),"")</f>
        <v/>
      </c>
      <c r="AG1279" s="1" t="str">
        <f>IFERROR(__xludf.DUMMYFUNCTION("""COMPUTED_VALUE"""),"")</f>
        <v/>
      </c>
      <c r="AH1279" s="1" t="str">
        <f>IFERROR(__xludf.DUMMYFUNCTION("""COMPUTED_VALUE"""),"Media Monitoring")</f>
        <v>Media Monitoring</v>
      </c>
      <c r="AI1279" s="2" t="str">
        <f>IFERROR(__xludf.DUMMYFUNCTION("""COMPUTED_VALUE"""),"https://vantage-dc.com/company/contact-us/")</f>
        <v>https://vantage-dc.com/company/contact-us/</v>
      </c>
      <c r="AJ1279" s="1" t="str">
        <f>IFERROR(__xludf.DUMMYFUNCTION("""COMPUTED_VALUE"""),"")</f>
        <v/>
      </c>
      <c r="AK1279" s="1" t="str">
        <f>IFERROR(__xludf.DUMMYFUNCTION("""COMPUTED_VALUE"""),"")</f>
        <v/>
      </c>
      <c r="AL1279" s="1" t="str">
        <f>IFERROR(__xludf.DUMMYFUNCTION("""COMPUTED_VALUE"""),"")</f>
        <v/>
      </c>
      <c r="AM1279" s="1" t="str">
        <f>IFERROR(__xludf.DUMMYFUNCTION("""COMPUTED_VALUE"""),"")</f>
        <v/>
      </c>
      <c r="AN1279" s="1" t="str">
        <f>IFERROR(__xludf.DUMMYFUNCTION("""COMPUTED_VALUE"""),"")</f>
        <v/>
      </c>
      <c r="AO1279" s="1" t="str">
        <f>IFERROR(__xludf.DUMMYFUNCTION("""COMPUTED_VALUE"""),"")</f>
        <v/>
      </c>
      <c r="AP1279" s="1" t="str">
        <f>IFERROR(__xludf.DUMMYFUNCTION("""COMPUTED_VALUE"""),"")</f>
        <v/>
      </c>
      <c r="AQ1279" s="1" t="str">
        <f>IFERROR(__xludf.DUMMYFUNCTION("""COMPUTED_VALUE"""),"11/09/2025")</f>
        <v>11/09/2025</v>
      </c>
      <c r="AR1279" s="1" t="str">
        <f>IFERROR(__xludf.DUMMYFUNCTION("""COMPUTED_VALUE"""),"11/09/2025")</f>
        <v>11/09/2025</v>
      </c>
    </row>
    <row r="1280">
      <c r="A1280" s="1" t="str">
        <f>IFERROR(__xludf.DUMMYFUNCTION("""COMPUTED_VALUE"""),"COPT DC 19 LLC")</f>
        <v>COPT DC 19 LLC</v>
      </c>
      <c r="B1280" s="1" t="str">
        <f>IFERROR(__xludf.DUMMYFUNCTION("""COMPUTED_VALUE"""),"8170 BETHLEHEM RD")</f>
        <v>8170 BETHLEHEM RD</v>
      </c>
      <c r="C1280" s="1" t="str">
        <f>IFERROR(__xludf.DUMMYFUNCTION("""COMPUTED_VALUE"""),"Gainesville")</f>
        <v>Gainesville</v>
      </c>
      <c r="D1280" s="1" t="str">
        <f>IFERROR(__xludf.DUMMYFUNCTION("""COMPUTED_VALUE"""),"VA")</f>
        <v>VA</v>
      </c>
      <c r="E1280" s="1" t="str">
        <f>IFERROR(__xludf.DUMMYFUNCTION("""COMPUTED_VALUE"""),"20155")</f>
        <v>20155</v>
      </c>
      <c r="F1280" s="1" t="str">
        <f>IFERROR(__xludf.DUMMYFUNCTION("""COMPUTED_VALUE"""),"Prince William")</f>
        <v>Prince William</v>
      </c>
      <c r="G1280" s="1" t="str">
        <f>IFERROR(__xludf.DUMMYFUNCTION("""COMPUTED_VALUE"""),"38.779423")</f>
        <v>38.779423</v>
      </c>
      <c r="H1280" s="1" t="str">
        <f>IFERROR(__xludf.DUMMYFUNCTION("""COMPUTED_VALUE"""),"-77.54248")</f>
        <v>-77.54248</v>
      </c>
      <c r="I1280" s="1" t="str">
        <f>IFERROR(__xludf.DUMMYFUNCTION("""COMPUTED_VALUE"""),"Operating")</f>
        <v>Operating</v>
      </c>
      <c r="J1280" s="1" t="str">
        <f>IFERROR(__xludf.DUMMYFUNCTION("""COMPUTED_VALUE"""),"High")</f>
        <v>High</v>
      </c>
      <c r="K1280" s="1" t="str">
        <f>IFERROR(__xludf.DUMMYFUNCTION("""COMPUTED_VALUE"""),"")</f>
        <v/>
      </c>
      <c r="L1280" s="1" t="str">
        <f>IFERROR(__xludf.DUMMYFUNCTION("""COMPUTED_VALUE"""),"COPT DC 19 LLC")</f>
        <v>COPT DC 19 LLC</v>
      </c>
      <c r="M1280" s="1" t="str">
        <f>IFERROR(__xludf.DUMMYFUNCTION("""COMPUTED_VALUE"""),"")</f>
        <v/>
      </c>
      <c r="N1280" s="1" t="str">
        <f>IFERROR(__xludf.DUMMYFUNCTION("""COMPUTED_VALUE"""),"")</f>
        <v/>
      </c>
      <c r="O1280" s="1" t="str">
        <f>IFERROR(__xludf.DUMMYFUNCTION("""COMPUTED_VALUE"""),"Unknown")</f>
        <v>Unknown</v>
      </c>
      <c r="P1280" s="1" t="str">
        <f>IFERROR(__xludf.DUMMYFUNCTION("""COMPUTED_VALUE"""),"")</f>
        <v/>
      </c>
      <c r="Q1280" s="1" t="str">
        <f>IFERROR(__xludf.DUMMYFUNCTION("""COMPUTED_VALUE"""),"")</f>
        <v/>
      </c>
      <c r="R1280" s="1" t="str">
        <f>IFERROR(__xludf.DUMMYFUNCTION("""COMPUTED_VALUE"""),"")</f>
        <v/>
      </c>
      <c r="S1280" s="1" t="str">
        <f>IFERROR(__xludf.DUMMYFUNCTION("""COMPUTED_VALUE"""),"")</f>
        <v/>
      </c>
      <c r="T1280" s="1" t="str">
        <f>IFERROR(__xludf.DUMMYFUNCTION("""COMPUTED_VALUE"""),"")</f>
        <v/>
      </c>
      <c r="U1280" s="1" t="str">
        <f>IFERROR(__xludf.DUMMYFUNCTION("""COMPUTED_VALUE"""),"")</f>
        <v/>
      </c>
      <c r="V1280" s="1" t="str">
        <f>IFERROR(__xludf.DUMMYFUNCTION("""COMPUTED_VALUE"""),"719,742")</f>
        <v>719,742</v>
      </c>
      <c r="W1280" s="1" t="str">
        <f>IFERROR(__xludf.DUMMYFUNCTION("""COMPUTED_VALUE"""),"62")</f>
        <v>62</v>
      </c>
      <c r="X1280" s="1" t="str">
        <f>IFERROR(__xludf.DUMMYFUNCTION("""COMPUTED_VALUE"""),"")</f>
        <v/>
      </c>
      <c r="Y1280" s="1" t="str">
        <f>IFERROR(__xludf.DUMMYFUNCTION("""COMPUTED_VALUE"""),"")</f>
        <v/>
      </c>
      <c r="Z1280" s="1" t="str">
        <f>IFERROR(__xludf.DUMMYFUNCTION("""COMPUTED_VALUE"""),"Unknown")</f>
        <v>Unknown</v>
      </c>
      <c r="AA1280" s="1" t="str">
        <f>IFERROR(__xludf.DUMMYFUNCTION("""COMPUTED_VALUE"""),"")</f>
        <v/>
      </c>
      <c r="AB1280" s="1" t="str">
        <f>IFERROR(__xludf.DUMMYFUNCTION("""COMPUTED_VALUE"""),"")</f>
        <v/>
      </c>
      <c r="AC1280" s="1" t="str">
        <f>IFERROR(__xludf.DUMMYFUNCTION("""COMPUTED_VALUE"""),"")</f>
        <v/>
      </c>
      <c r="AD1280" s="1" t="str">
        <f>IFERROR(__xludf.DUMMYFUNCTION("""COMPUTED_VALUE"""),"")</f>
        <v/>
      </c>
      <c r="AE1280" s="1" t="str">
        <f>IFERROR(__xludf.DUMMYFUNCTION("""COMPUTED_VALUE"""),"")</f>
        <v/>
      </c>
      <c r="AF1280" s="1" t="str">
        <f>IFERROR(__xludf.DUMMYFUNCTION("""COMPUTED_VALUE"""),"")</f>
        <v/>
      </c>
      <c r="AG1280" s="1" t="str">
        <f>IFERROR(__xludf.DUMMYFUNCTION("""COMPUTED_VALUE"""),"")</f>
        <v/>
      </c>
      <c r="AH1280" s="1" t="str">
        <f>IFERROR(__xludf.DUMMYFUNCTION("""COMPUTED_VALUE"""),"PEC")</f>
        <v>PEC</v>
      </c>
      <c r="AI1280" s="2" t="str">
        <f>IFERROR(__xludf.DUMMYFUNCTION("""COMPUTED_VALUE"""),"https://pwc.publicaccessnow.com/PropertyDetail.aspx?mpropertynumber=091439&amp;mtab=property&amp;p=091439")</f>
        <v>https://pwc.publicaccessnow.com/PropertyDetail.aspx?mpropertynumber=091439&amp;mtab=property&amp;p=091439</v>
      </c>
      <c r="AJ1280" s="1" t="str">
        <f>IFERROR(__xludf.DUMMYFUNCTION("""COMPUTED_VALUE"""),"")</f>
        <v/>
      </c>
      <c r="AK1280" s="1" t="str">
        <f>IFERROR(__xludf.DUMMYFUNCTION("""COMPUTED_VALUE"""),"")</f>
        <v/>
      </c>
      <c r="AL1280" s="1" t="str">
        <f>IFERROR(__xludf.DUMMYFUNCTION("""COMPUTED_VALUE"""),"")</f>
        <v/>
      </c>
      <c r="AM1280" s="1" t="str">
        <f>IFERROR(__xludf.DUMMYFUNCTION("""COMPUTED_VALUE"""),"")</f>
        <v/>
      </c>
      <c r="AN1280" s="1" t="str">
        <f>IFERROR(__xludf.DUMMYFUNCTION("""COMPUTED_VALUE"""),"")</f>
        <v/>
      </c>
      <c r="AO1280" s="1" t="str">
        <f>IFERROR(__xludf.DUMMYFUNCTION("""COMPUTED_VALUE"""),"")</f>
        <v/>
      </c>
      <c r="AP1280" s="1" t="str">
        <f>IFERROR(__xludf.DUMMYFUNCTION("""COMPUTED_VALUE"""),"")</f>
        <v/>
      </c>
      <c r="AQ1280" s="1" t="str">
        <f>IFERROR(__xludf.DUMMYFUNCTION("""COMPUTED_VALUE"""),"04/10/2024")</f>
        <v>04/10/2024</v>
      </c>
      <c r="AR1280" s="1" t="str">
        <f>IFERROR(__xludf.DUMMYFUNCTION("""COMPUTED_VALUE"""),"10/17/2025")</f>
        <v>10/17/2025</v>
      </c>
    </row>
    <row r="1281">
      <c r="A1281" s="1" t="str">
        <f>IFERROR(__xludf.DUMMYFUNCTION("""COMPUTED_VALUE"""),"Gainesville Crossing Data Campus")</f>
        <v>Gainesville Crossing Data Campus</v>
      </c>
      <c r="B1281" s="1" t="str">
        <f>IFERROR(__xludf.DUMMYFUNCTION("""COMPUTED_VALUE"""),"13700 UNIVERSITY BLVD")</f>
        <v>13700 UNIVERSITY BLVD</v>
      </c>
      <c r="C1281" s="1" t="str">
        <f>IFERROR(__xludf.DUMMYFUNCTION("""COMPUTED_VALUE"""),"Gainesville")</f>
        <v>Gainesville</v>
      </c>
      <c r="D1281" s="1" t="str">
        <f>IFERROR(__xludf.DUMMYFUNCTION("""COMPUTED_VALUE"""),"VA")</f>
        <v>VA</v>
      </c>
      <c r="E1281" s="1" t="str">
        <f>IFERROR(__xludf.DUMMYFUNCTION("""COMPUTED_VALUE"""),"20155")</f>
        <v>20155</v>
      </c>
      <c r="F1281" s="1" t="str">
        <f>IFERROR(__xludf.DUMMYFUNCTION("""COMPUTED_VALUE"""),"Prince William")</f>
        <v>Prince William</v>
      </c>
      <c r="G1281" s="1" t="str">
        <f>IFERROR(__xludf.DUMMYFUNCTION("""COMPUTED_VALUE"""),"38.801327")</f>
        <v>38.801327</v>
      </c>
      <c r="H1281" s="1" t="str">
        <f>IFERROR(__xludf.DUMMYFUNCTION("""COMPUTED_VALUE"""),"-77.5803")</f>
        <v>-77.5803</v>
      </c>
      <c r="I1281" s="1" t="str">
        <f>IFERROR(__xludf.DUMMYFUNCTION("""COMPUTED_VALUE"""),"Expanding")</f>
        <v>Expanding</v>
      </c>
      <c r="J1281" s="1" t="str">
        <f>IFERROR(__xludf.DUMMYFUNCTION("""COMPUTED_VALUE"""),"High")</f>
        <v>High</v>
      </c>
      <c r="K1281" s="1" t="str">
        <f>IFERROR(__xludf.DUMMYFUNCTION("""COMPUTED_VALUE"""),"")</f>
        <v/>
      </c>
      <c r="L1281" s="1" t="str">
        <f>IFERROR(__xludf.DUMMYFUNCTION("""COMPUTED_VALUE"""),"CORSCALE")</f>
        <v>CORSCALE</v>
      </c>
      <c r="M1281" s="1" t="str">
        <f>IFERROR(__xludf.DUMMYFUNCTION("""COMPUTED_VALUE"""),"")</f>
        <v/>
      </c>
      <c r="N1281" s="1" t="str">
        <f>IFERROR(__xludf.DUMMYFUNCTION("""COMPUTED_VALUE"""),"306")</f>
        <v>306</v>
      </c>
      <c r="O1281" s="1" t="str">
        <f>IFERROR(__xludf.DUMMYFUNCTION("""COMPUTED_VALUE"""),"Hyperscale (100-999 MW)")</f>
        <v>Hyperscale (100-999 MW)</v>
      </c>
      <c r="P1281" s="1" t="str">
        <f>IFERROR(__xludf.DUMMYFUNCTION("""COMPUTED_VALUE"""),"")</f>
        <v/>
      </c>
      <c r="Q1281" s="1" t="str">
        <f>IFERROR(__xludf.DUMMYFUNCTION("""COMPUTED_VALUE"""),"")</f>
        <v/>
      </c>
      <c r="R1281" s="1" t="str">
        <f>IFERROR(__xludf.DUMMYFUNCTION("""COMPUTED_VALUE"""),"")</f>
        <v/>
      </c>
      <c r="S1281" s="1" t="str">
        <f>IFERROR(__xludf.DUMMYFUNCTION("""COMPUTED_VALUE"""),"")</f>
        <v/>
      </c>
      <c r="T1281" s="1" t="str">
        <f>IFERROR(__xludf.DUMMYFUNCTION("""COMPUTED_VALUE"""),"")</f>
        <v/>
      </c>
      <c r="U1281" s="1" t="str">
        <f>IFERROR(__xludf.DUMMYFUNCTION("""COMPUTED_VALUE"""),"")</f>
        <v/>
      </c>
      <c r="V1281" s="1" t="str">
        <f>IFERROR(__xludf.DUMMYFUNCTION("""COMPUTED_VALUE"""),"1,817,777")</f>
        <v>1,817,777</v>
      </c>
      <c r="W1281" s="1" t="str">
        <f>IFERROR(__xludf.DUMMYFUNCTION("""COMPUTED_VALUE"""),"130")</f>
        <v>130</v>
      </c>
      <c r="X1281" s="1" t="str">
        <f>IFERROR(__xludf.DUMMYFUNCTION("""COMPUTED_VALUE"""),"")</f>
        <v/>
      </c>
      <c r="Y1281" s="1" t="str">
        <f>IFERROR(__xludf.DUMMYFUNCTION("""COMPUTED_VALUE"""),"")</f>
        <v/>
      </c>
      <c r="Z1281" s="1" t="str">
        <f>IFERROR(__xludf.DUMMYFUNCTION("""COMPUTED_VALUE"""),"Unknown")</f>
        <v>Unknown</v>
      </c>
      <c r="AA1281" s="1" t="str">
        <f>IFERROR(__xludf.DUMMYFUNCTION("""COMPUTED_VALUE"""),"")</f>
        <v/>
      </c>
      <c r="AB1281" s="1" t="str">
        <f>IFERROR(__xludf.DUMMYFUNCTION("""COMPUTED_VALUE"""),"")</f>
        <v/>
      </c>
      <c r="AC1281" s="1" t="str">
        <f>IFERROR(__xludf.DUMMYFUNCTION("""COMPUTED_VALUE"""),"")</f>
        <v/>
      </c>
      <c r="AD1281" s="1" t="str">
        <f>IFERROR(__xludf.DUMMYFUNCTION("""COMPUTED_VALUE"""),"")</f>
        <v/>
      </c>
      <c r="AE1281" s="1" t="str">
        <f>IFERROR(__xludf.DUMMYFUNCTION("""COMPUTED_VALUE"""),"")</f>
        <v/>
      </c>
      <c r="AF1281" s="1" t="str">
        <f>IFERROR(__xludf.DUMMYFUNCTION("""COMPUTED_VALUE"""),"")</f>
        <v/>
      </c>
      <c r="AG1281" s="1" t="str">
        <f>IFERROR(__xludf.DUMMYFUNCTION("""COMPUTED_VALUE"""),"This project covers multiple parcels. Proposed 482223 sq ft expansion")</f>
        <v>This project covers multiple parcels. Proposed 482223 sq ft expansion</v>
      </c>
      <c r="AH1281" s="1" t="str">
        <f>IFERROR(__xludf.DUMMYFUNCTION("""COMPUTED_VALUE"""),"PEC")</f>
        <v>PEC</v>
      </c>
      <c r="AI1281" s="2" t="str">
        <f>IFERROR(__xludf.DUMMYFUNCTION("""COMPUTED_VALUE"""),"https://corscale.com/gainesville-crossing-data-center/")</f>
        <v>https://corscale.com/gainesville-crossing-data-center/</v>
      </c>
      <c r="AJ1281" s="2" t="str">
        <f>IFERROR(__xludf.DUMMYFUNCTION("""COMPUTED_VALUE"""),"https://pwc.publicaccessnow.com/PropertyDetail.aspx?mtab=property&amp;mpropertynumber=265831")</f>
        <v>https://pwc.publicaccessnow.com/PropertyDetail.aspx?mtab=property&amp;mpropertynumber=265831</v>
      </c>
      <c r="AK1281" s="1" t="str">
        <f>IFERROR(__xludf.DUMMYFUNCTION("""COMPUTED_VALUE"""),"")</f>
        <v/>
      </c>
      <c r="AL1281" s="1" t="str">
        <f>IFERROR(__xludf.DUMMYFUNCTION("""COMPUTED_VALUE"""),"")</f>
        <v/>
      </c>
      <c r="AM1281" s="1" t="str">
        <f>IFERROR(__xludf.DUMMYFUNCTION("""COMPUTED_VALUE"""),"")</f>
        <v/>
      </c>
      <c r="AN1281" s="1" t="str">
        <f>IFERROR(__xludf.DUMMYFUNCTION("""COMPUTED_VALUE"""),"")</f>
        <v/>
      </c>
      <c r="AO1281" s="1" t="str">
        <f>IFERROR(__xludf.DUMMYFUNCTION("""COMPUTED_VALUE"""),"")</f>
        <v/>
      </c>
      <c r="AP1281" s="1" t="str">
        <f>IFERROR(__xludf.DUMMYFUNCTION("""COMPUTED_VALUE"""),"")</f>
        <v/>
      </c>
      <c r="AQ1281" s="1" t="str">
        <f>IFERROR(__xludf.DUMMYFUNCTION("""COMPUTED_VALUE"""),"04/10/2024")</f>
        <v>04/10/2024</v>
      </c>
      <c r="AR1281" s="1" t="str">
        <f>IFERROR(__xludf.DUMMYFUNCTION("""COMPUTED_VALUE"""),"02/10/2025")</f>
        <v>02/10/2025</v>
      </c>
    </row>
    <row r="1282">
      <c r="A1282" s="1" t="str">
        <f>IFERROR(__xludf.DUMMYFUNCTION("""COMPUTED_VALUE"""),"Gainsville East")</f>
        <v>Gainsville East</v>
      </c>
      <c r="B1282" s="1" t="str">
        <f>IFERROR(__xludf.DUMMYFUNCTION("""COMPUTED_VALUE"""),"5945 WELLINGTON RD")</f>
        <v>5945 WELLINGTON RD</v>
      </c>
      <c r="C1282" s="1" t="str">
        <f>IFERROR(__xludf.DUMMYFUNCTION("""COMPUTED_VALUE"""),"Gainesville")</f>
        <v>Gainesville</v>
      </c>
      <c r="D1282" s="1" t="str">
        <f>IFERROR(__xludf.DUMMYFUNCTION("""COMPUTED_VALUE"""),"VA")</f>
        <v>VA</v>
      </c>
      <c r="E1282" s="1" t="str">
        <f>IFERROR(__xludf.DUMMYFUNCTION("""COMPUTED_VALUE"""),"20155")</f>
        <v>20155</v>
      </c>
      <c r="F1282" s="1" t="str">
        <f>IFERROR(__xludf.DUMMYFUNCTION("""COMPUTED_VALUE"""),"Prince William")</f>
        <v>Prince William</v>
      </c>
      <c r="G1282" s="1" t="str">
        <f>IFERROR(__xludf.DUMMYFUNCTION("""COMPUTED_VALUE"""),"38.790676")</f>
        <v>38.790676</v>
      </c>
      <c r="H1282" s="1" t="str">
        <f>IFERROR(__xludf.DUMMYFUNCTION("""COMPUTED_VALUE"""),"-77.587975")</f>
        <v>-77.587975</v>
      </c>
      <c r="I1282" s="1" t="str">
        <f>IFERROR(__xludf.DUMMYFUNCTION("""COMPUTED_VALUE"""),"Proposed")</f>
        <v>Proposed</v>
      </c>
      <c r="J1282" s="1" t="str">
        <f>IFERROR(__xludf.DUMMYFUNCTION("""COMPUTED_VALUE"""),"High")</f>
        <v>High</v>
      </c>
      <c r="K1282" s="1" t="str">
        <f>IFERROR(__xludf.DUMMYFUNCTION("""COMPUTED_VALUE"""),"")</f>
        <v/>
      </c>
      <c r="L1282" s="1" t="str">
        <f>IFERROR(__xludf.DUMMYFUNCTION("""COMPUTED_VALUE"""),"Amazon")</f>
        <v>Amazon</v>
      </c>
      <c r="M1282" s="1" t="str">
        <f>IFERROR(__xludf.DUMMYFUNCTION("""COMPUTED_VALUE"""),"")</f>
        <v/>
      </c>
      <c r="N1282" s="1" t="str">
        <f>IFERROR(__xludf.DUMMYFUNCTION("""COMPUTED_VALUE"""),"")</f>
        <v/>
      </c>
      <c r="O1282" s="1" t="str">
        <f>IFERROR(__xludf.DUMMYFUNCTION("""COMPUTED_VALUE"""),"Unknown")</f>
        <v>Unknown</v>
      </c>
      <c r="P1282" s="1" t="str">
        <f>IFERROR(__xludf.DUMMYFUNCTION("""COMPUTED_VALUE"""),"")</f>
        <v/>
      </c>
      <c r="Q1282" s="1" t="str">
        <f>IFERROR(__xludf.DUMMYFUNCTION("""COMPUTED_VALUE"""),"")</f>
        <v/>
      </c>
      <c r="R1282" s="1" t="str">
        <f>IFERROR(__xludf.DUMMYFUNCTION("""COMPUTED_VALUE"""),"")</f>
        <v/>
      </c>
      <c r="S1282" s="1" t="str">
        <f>IFERROR(__xludf.DUMMYFUNCTION("""COMPUTED_VALUE"""),"")</f>
        <v/>
      </c>
      <c r="T1282" s="1" t="str">
        <f>IFERROR(__xludf.DUMMYFUNCTION("""COMPUTED_VALUE"""),"")</f>
        <v/>
      </c>
      <c r="U1282" s="1" t="str">
        <f>IFERROR(__xludf.DUMMYFUNCTION("""COMPUTED_VALUE"""),"")</f>
        <v/>
      </c>
      <c r="V1282" s="1" t="str">
        <f>IFERROR(__xludf.DUMMYFUNCTION("""COMPUTED_VALUE"""),"2,200,000")</f>
        <v>2,200,000</v>
      </c>
      <c r="W1282" s="1" t="str">
        <f>IFERROR(__xludf.DUMMYFUNCTION("""COMPUTED_VALUE"""),"117")</f>
        <v>117</v>
      </c>
      <c r="X1282" s="1" t="str">
        <f>IFERROR(__xludf.DUMMYFUNCTION("""COMPUTED_VALUE"""),"")</f>
        <v/>
      </c>
      <c r="Y1282" s="1" t="str">
        <f>IFERROR(__xludf.DUMMYFUNCTION("""COMPUTED_VALUE"""),"")</f>
        <v/>
      </c>
      <c r="Z1282" s="1" t="str">
        <f>IFERROR(__xludf.DUMMYFUNCTION("""COMPUTED_VALUE"""),"Unknown")</f>
        <v>Unknown</v>
      </c>
      <c r="AA1282" s="1" t="str">
        <f>IFERROR(__xludf.DUMMYFUNCTION("""COMPUTED_VALUE"""),"")</f>
        <v/>
      </c>
      <c r="AB1282" s="1" t="str">
        <f>IFERROR(__xludf.DUMMYFUNCTION("""COMPUTED_VALUE"""),"")</f>
        <v/>
      </c>
      <c r="AC1282" s="1" t="str">
        <f>IFERROR(__xludf.DUMMYFUNCTION("""COMPUTED_VALUE"""),"")</f>
        <v/>
      </c>
      <c r="AD1282" s="1" t="str">
        <f>IFERROR(__xludf.DUMMYFUNCTION("""COMPUTED_VALUE"""),"")</f>
        <v/>
      </c>
      <c r="AE1282" s="1" t="str">
        <f>IFERROR(__xludf.DUMMYFUNCTION("""COMPUTED_VALUE"""),"")</f>
        <v/>
      </c>
      <c r="AF1282" s="1" t="str">
        <f>IFERROR(__xludf.DUMMYFUNCTION("""COMPUTED_VALUE"""),"")</f>
        <v/>
      </c>
      <c r="AG1282" s="1" t="str">
        <f>IFERROR(__xludf.DUMMYFUNCTION("""COMPUTED_VALUE"""),"This project covers multiple parcels. The total acreage has been represented here.")</f>
        <v>This project covers multiple parcels. The total acreage has been represented here.</v>
      </c>
      <c r="AH1282" s="1" t="str">
        <f>IFERROR(__xludf.DUMMYFUNCTION("""COMPUTED_VALUE"""),"PEC")</f>
        <v>PEC</v>
      </c>
      <c r="AI1282" s="2" t="str">
        <f>IFERROR(__xludf.DUMMYFUNCTION("""COMPUTED_VALUE"""),"https://www.datacenterdynamics.com/en/news/aws-qts-and-jk-land-holdings-planning-data-center-developments-in-virginias-prince-william-county/")</f>
        <v>https://www.datacenterdynamics.com/en/news/aws-qts-and-jk-land-holdings-planning-data-center-developments-in-virginias-prince-william-county/</v>
      </c>
      <c r="AJ1282" s="2" t="str">
        <f>IFERROR(__xludf.DUMMYFUNCTION("""COMPUTED_VALUE"""),"https://pwc.publicaccessnow.com/PropertyDetail.aspx?mtab=property&amp;mpropertynumber=264261")</f>
        <v>https://pwc.publicaccessnow.com/PropertyDetail.aspx?mtab=property&amp;mpropertynumber=264261</v>
      </c>
      <c r="AK1282" s="1" t="str">
        <f>IFERROR(__xludf.DUMMYFUNCTION("""COMPUTED_VALUE"""),"")</f>
        <v/>
      </c>
      <c r="AL1282" s="1" t="str">
        <f>IFERROR(__xludf.DUMMYFUNCTION("""COMPUTED_VALUE"""),"")</f>
        <v/>
      </c>
      <c r="AM1282" s="1" t="str">
        <f>IFERROR(__xludf.DUMMYFUNCTION("""COMPUTED_VALUE"""),"")</f>
        <v/>
      </c>
      <c r="AN1282" s="1" t="str">
        <f>IFERROR(__xludf.DUMMYFUNCTION("""COMPUTED_VALUE"""),"")</f>
        <v/>
      </c>
      <c r="AO1282" s="1" t="str">
        <f>IFERROR(__xludf.DUMMYFUNCTION("""COMPUTED_VALUE"""),"")</f>
        <v/>
      </c>
      <c r="AP1282" s="1" t="str">
        <f>IFERROR(__xludf.DUMMYFUNCTION("""COMPUTED_VALUE"""),"")</f>
        <v/>
      </c>
      <c r="AQ1282" s="1" t="str">
        <f>IFERROR(__xludf.DUMMYFUNCTION("""COMPUTED_VALUE"""),"04/10/2024")</f>
        <v>04/10/2024</v>
      </c>
      <c r="AR1282" s="1" t="str">
        <f>IFERROR(__xludf.DUMMYFUNCTION("""COMPUTED_VALUE"""),"10/17/2025")</f>
        <v>10/17/2025</v>
      </c>
    </row>
    <row r="1283">
      <c r="A1283" s="1" t="str">
        <f>IFERROR(__xludf.DUMMYFUNCTION("""COMPUTED_VALUE"""),"Gardner Property")</f>
        <v>Gardner Property</v>
      </c>
      <c r="B1283" s="1" t="str">
        <f>IFERROR(__xludf.DUMMYFUNCTION("""COMPUTED_VALUE"""),"14414 MCGRAWS CORNER")</f>
        <v>14414 MCGRAWS CORNER</v>
      </c>
      <c r="C1283" s="1" t="str">
        <f>IFERROR(__xludf.DUMMYFUNCTION("""COMPUTED_VALUE"""),"Gainesville")</f>
        <v>Gainesville</v>
      </c>
      <c r="D1283" s="1" t="str">
        <f>IFERROR(__xludf.DUMMYFUNCTION("""COMPUTED_VALUE"""),"VA")</f>
        <v>VA</v>
      </c>
      <c r="E1283" s="1" t="str">
        <f>IFERROR(__xludf.DUMMYFUNCTION("""COMPUTED_VALUE"""),"20155")</f>
        <v>20155</v>
      </c>
      <c r="F1283" s="1" t="str">
        <f>IFERROR(__xludf.DUMMYFUNCTION("""COMPUTED_VALUE"""),"Prince William")</f>
        <v>Prince William</v>
      </c>
      <c r="G1283" s="1" t="str">
        <f>IFERROR(__xludf.DUMMYFUNCTION("""COMPUTED_VALUE"""),"38.7958")</f>
        <v>38.7958</v>
      </c>
      <c r="H1283" s="1" t="str">
        <f>IFERROR(__xludf.DUMMYFUNCTION("""COMPUTED_VALUE"""),"-77.62219")</f>
        <v>-77.62219</v>
      </c>
      <c r="I1283" s="1" t="str">
        <f>IFERROR(__xludf.DUMMYFUNCTION("""COMPUTED_VALUE"""),"Proposed")</f>
        <v>Proposed</v>
      </c>
      <c r="J1283" s="1" t="str">
        <f>IFERROR(__xludf.DUMMYFUNCTION("""COMPUTED_VALUE"""),"High")</f>
        <v>High</v>
      </c>
      <c r="K1283" s="1" t="str">
        <f>IFERROR(__xludf.DUMMYFUNCTION("""COMPUTED_VALUE"""),"")</f>
        <v/>
      </c>
      <c r="L1283" s="1" t="str">
        <f>IFERROR(__xludf.DUMMYFUNCTION("""COMPUTED_VALUE"""),"")</f>
        <v/>
      </c>
      <c r="M1283" s="1" t="str">
        <f>IFERROR(__xludf.DUMMYFUNCTION("""COMPUTED_VALUE"""),"")</f>
        <v/>
      </c>
      <c r="N1283" s="1" t="str">
        <f>IFERROR(__xludf.DUMMYFUNCTION("""COMPUTED_VALUE"""),"")</f>
        <v/>
      </c>
      <c r="O1283" s="1" t="str">
        <f>IFERROR(__xludf.DUMMYFUNCTION("""COMPUTED_VALUE"""),"Unknown")</f>
        <v>Unknown</v>
      </c>
      <c r="P1283" s="1" t="str">
        <f>IFERROR(__xludf.DUMMYFUNCTION("""COMPUTED_VALUE"""),"")</f>
        <v/>
      </c>
      <c r="Q1283" s="1" t="str">
        <f>IFERROR(__xludf.DUMMYFUNCTION("""COMPUTED_VALUE"""),"")</f>
        <v/>
      </c>
      <c r="R1283" s="1" t="str">
        <f>IFERROR(__xludf.DUMMYFUNCTION("""COMPUTED_VALUE"""),"")</f>
        <v/>
      </c>
      <c r="S1283" s="1" t="str">
        <f>IFERROR(__xludf.DUMMYFUNCTION("""COMPUTED_VALUE"""),"")</f>
        <v/>
      </c>
      <c r="T1283" s="1" t="str">
        <f>IFERROR(__xludf.DUMMYFUNCTION("""COMPUTED_VALUE"""),"")</f>
        <v/>
      </c>
      <c r="U1283" s="1" t="str">
        <f>IFERROR(__xludf.DUMMYFUNCTION("""COMPUTED_VALUE"""),"")</f>
        <v/>
      </c>
      <c r="V1283" s="1" t="str">
        <f>IFERROR(__xludf.DUMMYFUNCTION("""COMPUTED_VALUE"""),"1,787,266")</f>
        <v>1,787,266</v>
      </c>
      <c r="W1283" s="1" t="str">
        <f>IFERROR(__xludf.DUMMYFUNCTION("""COMPUTED_VALUE"""),"82")</f>
        <v>82</v>
      </c>
      <c r="X1283" s="1" t="str">
        <f>IFERROR(__xludf.DUMMYFUNCTION("""COMPUTED_VALUE"""),"")</f>
        <v/>
      </c>
      <c r="Y1283" s="1" t="str">
        <f>IFERROR(__xludf.DUMMYFUNCTION("""COMPUTED_VALUE"""),"")</f>
        <v/>
      </c>
      <c r="Z1283" s="1" t="str">
        <f>IFERROR(__xludf.DUMMYFUNCTION("""COMPUTED_VALUE"""),"Unknown")</f>
        <v>Unknown</v>
      </c>
      <c r="AA1283" s="1" t="str">
        <f>IFERROR(__xludf.DUMMYFUNCTION("""COMPUTED_VALUE"""),"")</f>
        <v/>
      </c>
      <c r="AB1283" s="1" t="str">
        <f>IFERROR(__xludf.DUMMYFUNCTION("""COMPUTED_VALUE"""),"")</f>
        <v/>
      </c>
      <c r="AC1283" s="1" t="str">
        <f>IFERROR(__xludf.DUMMYFUNCTION("""COMPUTED_VALUE"""),"")</f>
        <v/>
      </c>
      <c r="AD1283" s="1" t="str">
        <f>IFERROR(__xludf.DUMMYFUNCTION("""COMPUTED_VALUE"""),"")</f>
        <v/>
      </c>
      <c r="AE1283" s="1" t="str">
        <f>IFERROR(__xludf.DUMMYFUNCTION("""COMPUTED_VALUE"""),"")</f>
        <v/>
      </c>
      <c r="AF1283" s="1" t="str">
        <f>IFERROR(__xludf.DUMMYFUNCTION("""COMPUTED_VALUE"""),"")</f>
        <v/>
      </c>
      <c r="AG1283" s="1" t="str">
        <f>IFERROR(__xludf.DUMMYFUNCTION("""COMPUTED_VALUE"""),"This project covers multiple parcels. The total acreage has been represented here.")</f>
        <v>This project covers multiple parcels. The total acreage has been represented here.</v>
      </c>
      <c r="AH1283" s="1" t="str">
        <f>IFERROR(__xludf.DUMMYFUNCTION("""COMPUTED_VALUE"""),"PEC")</f>
        <v>PEC</v>
      </c>
      <c r="AI1283" s="1" t="str">
        <f>IFERROR(__xludf.DUMMYFUNCTION("""COMPUTED_VALUE"""),"://egcss.pwcgov.org/SelfSerhttpsvice#/plan/54197449-7161-4168-861a-d85676a180a3")</f>
        <v>://egcss.pwcgov.org/SelfSerhttpsvice#/plan/54197449-7161-4168-861a-d85676a180a3</v>
      </c>
      <c r="AJ1283" s="2" t="str">
        <f>IFERROR(__xludf.DUMMYFUNCTION("""COMPUTED_VALUE"""),"https://pwc.publicaccessnow.com/PropertyDetail.aspx?mpropertynumber=252670&amp;mtab=property&amp;p=252670")</f>
        <v>https://pwc.publicaccessnow.com/PropertyDetail.aspx?mpropertynumber=252670&amp;mtab=property&amp;p=252670</v>
      </c>
      <c r="AK1283" s="1" t="str">
        <f>IFERROR(__xludf.DUMMYFUNCTION("""COMPUTED_VALUE"""),"")</f>
        <v/>
      </c>
      <c r="AL1283" s="1" t="str">
        <f>IFERROR(__xludf.DUMMYFUNCTION("""COMPUTED_VALUE"""),"")</f>
        <v/>
      </c>
      <c r="AM1283" s="1" t="str">
        <f>IFERROR(__xludf.DUMMYFUNCTION("""COMPUTED_VALUE"""),"")</f>
        <v/>
      </c>
      <c r="AN1283" s="1" t="str">
        <f>IFERROR(__xludf.DUMMYFUNCTION("""COMPUTED_VALUE"""),"")</f>
        <v/>
      </c>
      <c r="AO1283" s="1" t="str">
        <f>IFERROR(__xludf.DUMMYFUNCTION("""COMPUTED_VALUE"""),"")</f>
        <v/>
      </c>
      <c r="AP1283" s="1" t="str">
        <f>IFERROR(__xludf.DUMMYFUNCTION("""COMPUTED_VALUE"""),"")</f>
        <v/>
      </c>
      <c r="AQ1283" s="1" t="str">
        <f>IFERROR(__xludf.DUMMYFUNCTION("""COMPUTED_VALUE"""),"07/15/2025")</f>
        <v>07/15/2025</v>
      </c>
      <c r="AR1283" s="1" t="str">
        <f>IFERROR(__xludf.DUMMYFUNCTION("""COMPUTED_VALUE"""),"10/17/2025")</f>
        <v>10/17/2025</v>
      </c>
    </row>
    <row r="1284">
      <c r="A1284" s="1" t="str">
        <f>IFERROR(__xludf.DUMMYFUNCTION("""COMPUTED_VALUE"""),"GCDC PURCHASER PHASE 1 LLC")</f>
        <v>GCDC PURCHASER PHASE 1 LLC</v>
      </c>
      <c r="B1284" s="1" t="str">
        <f>IFERROR(__xludf.DUMMYFUNCTION("""COMPUTED_VALUE"""),"13760 UNIVERSITY BLVD")</f>
        <v>13760 UNIVERSITY BLVD</v>
      </c>
      <c r="C1284" s="1" t="str">
        <f>IFERROR(__xludf.DUMMYFUNCTION("""COMPUTED_VALUE"""),"Gainesville")</f>
        <v>Gainesville</v>
      </c>
      <c r="D1284" s="1" t="str">
        <f>IFERROR(__xludf.DUMMYFUNCTION("""COMPUTED_VALUE"""),"VA")</f>
        <v>VA</v>
      </c>
      <c r="E1284" s="1" t="str">
        <f>IFERROR(__xludf.DUMMYFUNCTION("""COMPUTED_VALUE"""),"20109")</f>
        <v>20109</v>
      </c>
      <c r="F1284" s="1" t="str">
        <f>IFERROR(__xludf.DUMMYFUNCTION("""COMPUTED_VALUE"""),"Prince William")</f>
        <v>Prince William</v>
      </c>
      <c r="G1284" s="1" t="str">
        <f>IFERROR(__xludf.DUMMYFUNCTION("""COMPUTED_VALUE"""),"38.802406")</f>
        <v>38.802406</v>
      </c>
      <c r="H1284" s="1" t="str">
        <f>IFERROR(__xludf.DUMMYFUNCTION("""COMPUTED_VALUE"""),"-77.58256")</f>
        <v>-77.58256</v>
      </c>
      <c r="I1284" s="1" t="str">
        <f>IFERROR(__xludf.DUMMYFUNCTION("""COMPUTED_VALUE"""),"Expanding")</f>
        <v>Expanding</v>
      </c>
      <c r="J1284" s="1" t="str">
        <f>IFERROR(__xludf.DUMMYFUNCTION("""COMPUTED_VALUE"""),"High")</f>
        <v>High</v>
      </c>
      <c r="K1284" s="1" t="str">
        <f>IFERROR(__xludf.DUMMYFUNCTION("""COMPUTED_VALUE"""),"")</f>
        <v/>
      </c>
      <c r="L1284" s="1" t="str">
        <f>IFERROR(__xludf.DUMMYFUNCTION("""COMPUTED_VALUE"""),"GCDC PURCHASER PHASE 1 LLC")</f>
        <v>GCDC PURCHASER PHASE 1 LLC</v>
      </c>
      <c r="M1284" s="1" t="str">
        <f>IFERROR(__xludf.DUMMYFUNCTION("""COMPUTED_VALUE"""),"")</f>
        <v/>
      </c>
      <c r="N1284" s="1" t="str">
        <f>IFERROR(__xludf.DUMMYFUNCTION("""COMPUTED_VALUE"""),"")</f>
        <v/>
      </c>
      <c r="O1284" s="1" t="str">
        <f>IFERROR(__xludf.DUMMYFUNCTION("""COMPUTED_VALUE"""),"Unknown")</f>
        <v>Unknown</v>
      </c>
      <c r="P1284" s="1" t="str">
        <f>IFERROR(__xludf.DUMMYFUNCTION("""COMPUTED_VALUE"""),"")</f>
        <v/>
      </c>
      <c r="Q1284" s="1" t="str">
        <f>IFERROR(__xludf.DUMMYFUNCTION("""COMPUTED_VALUE"""),"")</f>
        <v/>
      </c>
      <c r="R1284" s="1" t="str">
        <f>IFERROR(__xludf.DUMMYFUNCTION("""COMPUTED_VALUE"""),"")</f>
        <v/>
      </c>
      <c r="S1284" s="1" t="str">
        <f>IFERROR(__xludf.DUMMYFUNCTION("""COMPUTED_VALUE"""),"")</f>
        <v/>
      </c>
      <c r="T1284" s="1" t="str">
        <f>IFERROR(__xludf.DUMMYFUNCTION("""COMPUTED_VALUE"""),"")</f>
        <v/>
      </c>
      <c r="U1284" s="1" t="str">
        <f>IFERROR(__xludf.DUMMYFUNCTION("""COMPUTED_VALUE"""),"")</f>
        <v/>
      </c>
      <c r="V1284" s="1" t="str">
        <f>IFERROR(__xludf.DUMMYFUNCTION("""COMPUTED_VALUE"""),"482,223")</f>
        <v>482,223</v>
      </c>
      <c r="W1284" s="1" t="str">
        <f>IFERROR(__xludf.DUMMYFUNCTION("""COMPUTED_VALUE"""),"28")</f>
        <v>28</v>
      </c>
      <c r="X1284" s="1" t="str">
        <f>IFERROR(__xludf.DUMMYFUNCTION("""COMPUTED_VALUE"""),"")</f>
        <v/>
      </c>
      <c r="Y1284" s="1" t="str">
        <f>IFERROR(__xludf.DUMMYFUNCTION("""COMPUTED_VALUE"""),"")</f>
        <v/>
      </c>
      <c r="Z1284" s="1" t="str">
        <f>IFERROR(__xludf.DUMMYFUNCTION("""COMPUTED_VALUE"""),"Unknown")</f>
        <v>Unknown</v>
      </c>
      <c r="AA1284" s="1" t="str">
        <f>IFERROR(__xludf.DUMMYFUNCTION("""COMPUTED_VALUE"""),"")</f>
        <v/>
      </c>
      <c r="AB1284" s="1" t="str">
        <f>IFERROR(__xludf.DUMMYFUNCTION("""COMPUTED_VALUE"""),"")</f>
        <v/>
      </c>
      <c r="AC1284" s="1" t="str">
        <f>IFERROR(__xludf.DUMMYFUNCTION("""COMPUTED_VALUE"""),"")</f>
        <v/>
      </c>
      <c r="AD1284" s="1" t="str">
        <f>IFERROR(__xludf.DUMMYFUNCTION("""COMPUTED_VALUE"""),"")</f>
        <v/>
      </c>
      <c r="AE1284" s="1" t="str">
        <f>IFERROR(__xludf.DUMMYFUNCTION("""COMPUTED_VALUE"""),"")</f>
        <v/>
      </c>
      <c r="AF1284" s="1" t="str">
        <f>IFERROR(__xludf.DUMMYFUNCTION("""COMPUTED_VALUE"""),"")</f>
        <v/>
      </c>
      <c r="AG1284" s="1" t="str">
        <f>IFERROR(__xludf.DUMMYFUNCTION("""COMPUTED_VALUE"""),"")</f>
        <v/>
      </c>
      <c r="AH1284" s="1" t="str">
        <f>IFERROR(__xludf.DUMMYFUNCTION("""COMPUTED_VALUE"""),"PEC")</f>
        <v>PEC</v>
      </c>
      <c r="AI1284" s="2" t="str">
        <f>IFERROR(__xludf.DUMMYFUNCTION("""COMPUTED_VALUE"""),"https://pwc.publicaccessnow.com/PropertyDetail.aspx?mpropertynumber=026368&amp;mtab=property&amp;p=026368")</f>
        <v>https://pwc.publicaccessnow.com/PropertyDetail.aspx?mpropertynumber=026368&amp;mtab=property&amp;p=026368</v>
      </c>
      <c r="AJ1284" s="1" t="str">
        <f>IFERROR(__xludf.DUMMYFUNCTION("""COMPUTED_VALUE"""),"")</f>
        <v/>
      </c>
      <c r="AK1284" s="1" t="str">
        <f>IFERROR(__xludf.DUMMYFUNCTION("""COMPUTED_VALUE"""),"")</f>
        <v/>
      </c>
      <c r="AL1284" s="1" t="str">
        <f>IFERROR(__xludf.DUMMYFUNCTION("""COMPUTED_VALUE"""),"")</f>
        <v/>
      </c>
      <c r="AM1284" s="1" t="str">
        <f>IFERROR(__xludf.DUMMYFUNCTION("""COMPUTED_VALUE"""),"")</f>
        <v/>
      </c>
      <c r="AN1284" s="1" t="str">
        <f>IFERROR(__xludf.DUMMYFUNCTION("""COMPUTED_VALUE"""),"")</f>
        <v/>
      </c>
      <c r="AO1284" s="1" t="str">
        <f>IFERROR(__xludf.DUMMYFUNCTION("""COMPUTED_VALUE"""),"")</f>
        <v/>
      </c>
      <c r="AP1284" s="1" t="str">
        <f>IFERROR(__xludf.DUMMYFUNCTION("""COMPUTED_VALUE"""),"")</f>
        <v/>
      </c>
      <c r="AQ1284" s="1" t="str">
        <f>IFERROR(__xludf.DUMMYFUNCTION("""COMPUTED_VALUE"""),"04/10/2024")</f>
        <v>04/10/2024</v>
      </c>
      <c r="AR1284" s="1" t="str">
        <f>IFERROR(__xludf.DUMMYFUNCTION("""COMPUTED_VALUE"""),"02/10/2025")</f>
        <v>02/10/2025</v>
      </c>
    </row>
    <row r="1285">
      <c r="A1285" s="1" t="str">
        <f>IFERROR(__xludf.DUMMYFUNCTION("""COMPUTED_VALUE"""),"I-66 and Route 29 Technology Park")</f>
        <v>I-66 and Route 29 Technology Park</v>
      </c>
      <c r="B1285" s="1" t="str">
        <f>IFERROR(__xludf.DUMMYFUNCTION("""COMPUTED_VALUE"""),"14300 JOHN MARSHALL HWY")</f>
        <v>14300 JOHN MARSHALL HWY</v>
      </c>
      <c r="C1285" s="1" t="str">
        <f>IFERROR(__xludf.DUMMYFUNCTION("""COMPUTED_VALUE"""),"Gainesville")</f>
        <v>Gainesville</v>
      </c>
      <c r="D1285" s="1" t="str">
        <f>IFERROR(__xludf.DUMMYFUNCTION("""COMPUTED_VALUE"""),"VA")</f>
        <v>VA</v>
      </c>
      <c r="E1285" s="1" t="str">
        <f>IFERROR(__xludf.DUMMYFUNCTION("""COMPUTED_VALUE"""),"20155")</f>
        <v>20155</v>
      </c>
      <c r="F1285" s="1" t="str">
        <f>IFERROR(__xludf.DUMMYFUNCTION("""COMPUTED_VALUE"""),"Prince William")</f>
        <v>Prince William</v>
      </c>
      <c r="G1285" s="1" t="str">
        <f>IFERROR(__xludf.DUMMYFUNCTION("""COMPUTED_VALUE"""),"38.8008")</f>
        <v>38.8008</v>
      </c>
      <c r="H1285" s="1" t="str">
        <f>IFERROR(__xludf.DUMMYFUNCTION("""COMPUTED_VALUE"""),"-77.61256")</f>
        <v>-77.61256</v>
      </c>
      <c r="I1285" s="1" t="str">
        <f>IFERROR(__xludf.DUMMYFUNCTION("""COMPUTED_VALUE"""),"Proposed")</f>
        <v>Proposed</v>
      </c>
      <c r="J1285" s="1" t="str">
        <f>IFERROR(__xludf.DUMMYFUNCTION("""COMPUTED_VALUE"""),"High")</f>
        <v>High</v>
      </c>
      <c r="K1285" s="1" t="str">
        <f>IFERROR(__xludf.DUMMYFUNCTION("""COMPUTED_VALUE"""),"")</f>
        <v/>
      </c>
      <c r="L1285" s="1" t="str">
        <f>IFERROR(__xludf.DUMMYFUNCTION("""COMPUTED_VALUE"""),"NTT Global Data Centers")</f>
        <v>NTT Global Data Centers</v>
      </c>
      <c r="M1285" s="1" t="str">
        <f>IFERROR(__xludf.DUMMYFUNCTION("""COMPUTED_VALUE"""),"")</f>
        <v/>
      </c>
      <c r="N1285" s="1" t="str">
        <f>IFERROR(__xludf.DUMMYFUNCTION("""COMPUTED_VALUE"""),"")</f>
        <v/>
      </c>
      <c r="O1285" s="1" t="str">
        <f>IFERROR(__xludf.DUMMYFUNCTION("""COMPUTED_VALUE"""),"Unknown")</f>
        <v>Unknown</v>
      </c>
      <c r="P1285" s="1" t="str">
        <f>IFERROR(__xludf.DUMMYFUNCTION("""COMPUTED_VALUE"""),"")</f>
        <v/>
      </c>
      <c r="Q1285" s="1" t="str">
        <f>IFERROR(__xludf.DUMMYFUNCTION("""COMPUTED_VALUE"""),"")</f>
        <v/>
      </c>
      <c r="R1285" s="1" t="str">
        <f>IFERROR(__xludf.DUMMYFUNCTION("""COMPUTED_VALUE"""),"")</f>
        <v/>
      </c>
      <c r="S1285" s="1" t="str">
        <f>IFERROR(__xludf.DUMMYFUNCTION("""COMPUTED_VALUE"""),"")</f>
        <v/>
      </c>
      <c r="T1285" s="1" t="str">
        <f>IFERROR(__xludf.DUMMYFUNCTION("""COMPUTED_VALUE"""),"")</f>
        <v/>
      </c>
      <c r="U1285" s="1" t="str">
        <f>IFERROR(__xludf.DUMMYFUNCTION("""COMPUTED_VALUE"""),"")</f>
        <v/>
      </c>
      <c r="V1285" s="1" t="str">
        <f>IFERROR(__xludf.DUMMYFUNCTION("""COMPUTED_VALUE"""),"2,957,680")</f>
        <v>2,957,680</v>
      </c>
      <c r="W1285" s="1" t="str">
        <f>IFERROR(__xludf.DUMMYFUNCTION("""COMPUTED_VALUE"""),"102")</f>
        <v>102</v>
      </c>
      <c r="X1285" s="1" t="str">
        <f>IFERROR(__xludf.DUMMYFUNCTION("""COMPUTED_VALUE"""),"")</f>
        <v/>
      </c>
      <c r="Y1285" s="1" t="str">
        <f>IFERROR(__xludf.DUMMYFUNCTION("""COMPUTED_VALUE"""),"")</f>
        <v/>
      </c>
      <c r="Z1285" s="1" t="str">
        <f>IFERROR(__xludf.DUMMYFUNCTION("""COMPUTED_VALUE"""),"Unknown")</f>
        <v>Unknown</v>
      </c>
      <c r="AA1285" s="1" t="str">
        <f>IFERROR(__xludf.DUMMYFUNCTION("""COMPUTED_VALUE"""),"")</f>
        <v/>
      </c>
      <c r="AB1285" s="1" t="str">
        <f>IFERROR(__xludf.DUMMYFUNCTION("""COMPUTED_VALUE"""),"")</f>
        <v/>
      </c>
      <c r="AC1285" s="1" t="str">
        <f>IFERROR(__xludf.DUMMYFUNCTION("""COMPUTED_VALUE"""),"")</f>
        <v/>
      </c>
      <c r="AD1285" s="1" t="str">
        <f>IFERROR(__xludf.DUMMYFUNCTION("""COMPUTED_VALUE"""),"")</f>
        <v/>
      </c>
      <c r="AE1285" s="1" t="str">
        <f>IFERROR(__xludf.DUMMYFUNCTION("""COMPUTED_VALUE"""),"")</f>
        <v/>
      </c>
      <c r="AF1285" s="1" t="str">
        <f>IFERROR(__xludf.DUMMYFUNCTION("""COMPUTED_VALUE"""),"")</f>
        <v/>
      </c>
      <c r="AG1285" s="1" t="str">
        <f>IFERROR(__xludf.DUMMYFUNCTION("""COMPUTED_VALUE"""),"This project covers multiple parcels. The total acreage has been represented here.")</f>
        <v>This project covers multiple parcels. The total acreage has been represented here.</v>
      </c>
      <c r="AH1285" s="1" t="str">
        <f>IFERROR(__xludf.DUMMYFUNCTION("""COMPUTED_VALUE"""),"PEC")</f>
        <v>PEC</v>
      </c>
      <c r="AI1285" s="2" t="str">
        <f>IFERROR(__xludf.DUMMYFUNCTION("""COMPUTED_VALUE"""),"https://www.datacenterdynamics.com/en/news/data-center-granted-rezoning-and-special-use-permission-in-prince-william-county-virginia/")</f>
        <v>https://www.datacenterdynamics.com/en/news/data-center-granted-rezoning-and-special-use-permission-in-prince-william-county-virginia/</v>
      </c>
      <c r="AJ1285" s="2" t="str">
        <f>IFERROR(__xludf.DUMMYFUNCTION("""COMPUTED_VALUE"""),"https://pwc.publicaccessnow.com/PropertyDetail.aspx?mtab=property&amp;mpropertynumber=013273")</f>
        <v>https://pwc.publicaccessnow.com/PropertyDetail.aspx?mtab=property&amp;mpropertynumber=013273</v>
      </c>
      <c r="AK1285" s="1" t="str">
        <f>IFERROR(__xludf.DUMMYFUNCTION("""COMPUTED_VALUE"""),"")</f>
        <v/>
      </c>
      <c r="AL1285" s="1" t="str">
        <f>IFERROR(__xludf.DUMMYFUNCTION("""COMPUTED_VALUE"""),"")</f>
        <v/>
      </c>
      <c r="AM1285" s="1" t="str">
        <f>IFERROR(__xludf.DUMMYFUNCTION("""COMPUTED_VALUE"""),"")</f>
        <v/>
      </c>
      <c r="AN1285" s="1" t="str">
        <f>IFERROR(__xludf.DUMMYFUNCTION("""COMPUTED_VALUE"""),"")</f>
        <v/>
      </c>
      <c r="AO1285" s="1" t="str">
        <f>IFERROR(__xludf.DUMMYFUNCTION("""COMPUTED_VALUE"""),"")</f>
        <v/>
      </c>
      <c r="AP1285" s="1" t="str">
        <f>IFERROR(__xludf.DUMMYFUNCTION("""COMPUTED_VALUE"""),"")</f>
        <v/>
      </c>
      <c r="AQ1285" s="1" t="str">
        <f>IFERROR(__xludf.DUMMYFUNCTION("""COMPUTED_VALUE"""),"04/10/2024")</f>
        <v>04/10/2024</v>
      </c>
      <c r="AR1285" s="1" t="str">
        <f>IFERROR(__xludf.DUMMYFUNCTION("""COMPUTED_VALUE"""),"10/17/2025")</f>
        <v>10/17/2025</v>
      </c>
    </row>
    <row r="1286">
      <c r="A1286" s="1" t="str">
        <f>IFERROR(__xludf.DUMMYFUNCTION("""COMPUTED_VALUE"""),"John Marshall CommonsTech Park")</f>
        <v>John Marshall CommonsTech Park</v>
      </c>
      <c r="B1286" s="1" t="str">
        <f>IFERROR(__xludf.DUMMYFUNCTION("""COMPUTED_VALUE"""),"14392 JOHN MARSHALL HWY")</f>
        <v>14392 JOHN MARSHALL HWY</v>
      </c>
      <c r="C1286" s="1" t="str">
        <f>IFERROR(__xludf.DUMMYFUNCTION("""COMPUTED_VALUE"""),"Gainesville")</f>
        <v>Gainesville</v>
      </c>
      <c r="D1286" s="1" t="str">
        <f>IFERROR(__xludf.DUMMYFUNCTION("""COMPUTED_VALUE"""),"VA")</f>
        <v>VA</v>
      </c>
      <c r="E1286" s="1" t="str">
        <f>IFERROR(__xludf.DUMMYFUNCTION("""COMPUTED_VALUE"""),"20155")</f>
        <v>20155</v>
      </c>
      <c r="F1286" s="1" t="str">
        <f>IFERROR(__xludf.DUMMYFUNCTION("""COMPUTED_VALUE"""),"Prince William")</f>
        <v>Prince William</v>
      </c>
      <c r="G1286" s="1" t="str">
        <f>IFERROR(__xludf.DUMMYFUNCTION("""COMPUTED_VALUE"""),"38.803947")</f>
        <v>38.803947</v>
      </c>
      <c r="H1286" s="1" t="str">
        <f>IFERROR(__xludf.DUMMYFUNCTION("""COMPUTED_VALUE"""),"-77.61687")</f>
        <v>-77.61687</v>
      </c>
      <c r="I1286" s="1" t="str">
        <f>IFERROR(__xludf.DUMMYFUNCTION("""COMPUTED_VALUE"""),"Proposed")</f>
        <v>Proposed</v>
      </c>
      <c r="J1286" s="1" t="str">
        <f>IFERROR(__xludf.DUMMYFUNCTION("""COMPUTED_VALUE"""),"High")</f>
        <v>High</v>
      </c>
      <c r="K1286" s="1" t="str">
        <f>IFERROR(__xludf.DUMMYFUNCTION("""COMPUTED_VALUE"""),"")</f>
        <v/>
      </c>
      <c r="L1286" s="1" t="str">
        <f>IFERROR(__xludf.DUMMYFUNCTION("""COMPUTED_VALUE"""),"CTP-1 LLC")</f>
        <v>CTP-1 LLC</v>
      </c>
      <c r="M1286" s="1" t="str">
        <f>IFERROR(__xludf.DUMMYFUNCTION("""COMPUTED_VALUE"""),"")</f>
        <v/>
      </c>
      <c r="N1286" s="1" t="str">
        <f>IFERROR(__xludf.DUMMYFUNCTION("""COMPUTED_VALUE"""),"")</f>
        <v/>
      </c>
      <c r="O1286" s="1" t="str">
        <f>IFERROR(__xludf.DUMMYFUNCTION("""COMPUTED_VALUE"""),"Unknown")</f>
        <v>Unknown</v>
      </c>
      <c r="P1286" s="1" t="str">
        <f>IFERROR(__xludf.DUMMYFUNCTION("""COMPUTED_VALUE"""),"")</f>
        <v/>
      </c>
      <c r="Q1286" s="1" t="str">
        <f>IFERROR(__xludf.DUMMYFUNCTION("""COMPUTED_VALUE"""),"")</f>
        <v/>
      </c>
      <c r="R1286" s="1" t="str">
        <f>IFERROR(__xludf.DUMMYFUNCTION("""COMPUTED_VALUE"""),"")</f>
        <v/>
      </c>
      <c r="S1286" s="1" t="str">
        <f>IFERROR(__xludf.DUMMYFUNCTION("""COMPUTED_VALUE"""),"")</f>
        <v/>
      </c>
      <c r="T1286" s="1" t="str">
        <f>IFERROR(__xludf.DUMMYFUNCTION("""COMPUTED_VALUE"""),"")</f>
        <v/>
      </c>
      <c r="U1286" s="1" t="str">
        <f>IFERROR(__xludf.DUMMYFUNCTION("""COMPUTED_VALUE"""),"")</f>
        <v/>
      </c>
      <c r="V1286" s="1" t="str">
        <f>IFERROR(__xludf.DUMMYFUNCTION("""COMPUTED_VALUE"""),"530,000")</f>
        <v>530,000</v>
      </c>
      <c r="W1286" s="1" t="str">
        <f>IFERROR(__xludf.DUMMYFUNCTION("""COMPUTED_VALUE"""),"23")</f>
        <v>23</v>
      </c>
      <c r="X1286" s="1" t="str">
        <f>IFERROR(__xludf.DUMMYFUNCTION("""COMPUTED_VALUE"""),"")</f>
        <v/>
      </c>
      <c r="Y1286" s="1" t="str">
        <f>IFERROR(__xludf.DUMMYFUNCTION("""COMPUTED_VALUE"""),"")</f>
        <v/>
      </c>
      <c r="Z1286" s="1" t="str">
        <f>IFERROR(__xludf.DUMMYFUNCTION("""COMPUTED_VALUE"""),"Unknown")</f>
        <v>Unknown</v>
      </c>
      <c r="AA1286" s="1" t="str">
        <f>IFERROR(__xludf.DUMMYFUNCTION("""COMPUTED_VALUE"""),"")</f>
        <v/>
      </c>
      <c r="AB1286" s="1" t="str">
        <f>IFERROR(__xludf.DUMMYFUNCTION("""COMPUTED_VALUE"""),"")</f>
        <v/>
      </c>
      <c r="AC1286" s="1" t="str">
        <f>IFERROR(__xludf.DUMMYFUNCTION("""COMPUTED_VALUE"""),"")</f>
        <v/>
      </c>
      <c r="AD1286" s="1" t="str">
        <f>IFERROR(__xludf.DUMMYFUNCTION("""COMPUTED_VALUE"""),"")</f>
        <v/>
      </c>
      <c r="AE1286" s="1" t="str">
        <f>IFERROR(__xludf.DUMMYFUNCTION("""COMPUTED_VALUE"""),"")</f>
        <v/>
      </c>
      <c r="AF1286" s="1" t="str">
        <f>IFERROR(__xludf.DUMMYFUNCTION("""COMPUTED_VALUE"""),"")</f>
        <v/>
      </c>
      <c r="AG1286" s="1" t="str">
        <f>IFERROR(__xludf.DUMMYFUNCTION("""COMPUTED_VALUE"""),"This project covers multiple parcels. The total acreage has been represented here.")</f>
        <v>This project covers multiple parcels. The total acreage has been represented here.</v>
      </c>
      <c r="AH1286" s="1" t="str">
        <f>IFERROR(__xludf.DUMMYFUNCTION("""COMPUTED_VALUE"""),"PEC")</f>
        <v>PEC</v>
      </c>
      <c r="AI1286" s="2" t="str">
        <f>IFERROR(__xludf.DUMMYFUNCTION("""COMPUTED_VALUE"""),"https://egcss.pwcgov.org/SelfService#/plan/823a2554-aa0a-47c1-8c5f-010ff3d947ce")</f>
        <v>https://egcss.pwcgov.org/SelfService#/plan/823a2554-aa0a-47c1-8c5f-010ff3d947ce</v>
      </c>
      <c r="AJ1286" s="2" t="str">
        <f>IFERROR(__xludf.DUMMYFUNCTION("""COMPUTED_VALUE"""),"https://pwc.publicaccessnow.com/PropertyDetail.aspx?mpropertynumber=114169&amp;mtab=property&amp;p=114169")</f>
        <v>https://pwc.publicaccessnow.com/PropertyDetail.aspx?mpropertynumber=114169&amp;mtab=property&amp;p=114169</v>
      </c>
      <c r="AK1286" s="1" t="str">
        <f>IFERROR(__xludf.DUMMYFUNCTION("""COMPUTED_VALUE"""),"")</f>
        <v/>
      </c>
      <c r="AL1286" s="1" t="str">
        <f>IFERROR(__xludf.DUMMYFUNCTION("""COMPUTED_VALUE"""),"")</f>
        <v/>
      </c>
      <c r="AM1286" s="1" t="str">
        <f>IFERROR(__xludf.DUMMYFUNCTION("""COMPUTED_VALUE"""),"")</f>
        <v/>
      </c>
      <c r="AN1286" s="1" t="str">
        <f>IFERROR(__xludf.DUMMYFUNCTION("""COMPUTED_VALUE"""),"")</f>
        <v/>
      </c>
      <c r="AO1286" s="1" t="str">
        <f>IFERROR(__xludf.DUMMYFUNCTION("""COMPUTED_VALUE"""),"")</f>
        <v/>
      </c>
      <c r="AP1286" s="1" t="str">
        <f>IFERROR(__xludf.DUMMYFUNCTION("""COMPUTED_VALUE"""),"")</f>
        <v/>
      </c>
      <c r="AQ1286" s="1" t="str">
        <f>IFERROR(__xludf.DUMMYFUNCTION("""COMPUTED_VALUE"""),"04/10/2024")</f>
        <v>04/10/2024</v>
      </c>
      <c r="AR1286" s="1" t="str">
        <f>IFERROR(__xludf.DUMMYFUNCTION("""COMPUTED_VALUE"""),"10/17/2025")</f>
        <v>10/17/2025</v>
      </c>
    </row>
    <row r="1287">
      <c r="A1287" s="1" t="str">
        <f>IFERROR(__xludf.DUMMYFUNCTION("""COMPUTED_VALUE"""),"NTT Data Center")</f>
        <v>NTT Data Center</v>
      </c>
      <c r="B1287" s="1" t="str">
        <f>IFERROR(__xludf.DUMMYFUNCTION("""COMPUTED_VALUE""")," 7253 Grove Hill Blvd")</f>
        <v> 7253 Grove Hill Blvd</v>
      </c>
      <c r="C1287" s="1" t="str">
        <f>IFERROR(__xludf.DUMMYFUNCTION("""COMPUTED_VALUE"""),"Gainesville")</f>
        <v>Gainesville</v>
      </c>
      <c r="D1287" s="1" t="str">
        <f>IFERROR(__xludf.DUMMYFUNCTION("""COMPUTED_VALUE"""),"VA")</f>
        <v>VA</v>
      </c>
      <c r="E1287" s="1" t="str">
        <f>IFERROR(__xludf.DUMMYFUNCTION("""COMPUTED_VALUE"""),"20155")</f>
        <v>20155</v>
      </c>
      <c r="F1287" s="1" t="str">
        <f>IFERROR(__xludf.DUMMYFUNCTION("""COMPUTED_VALUE"""),"Prince William")</f>
        <v>Prince William</v>
      </c>
      <c r="G1287" s="1" t="str">
        <f>IFERROR(__xludf.DUMMYFUNCTION("""COMPUTED_VALUE"""),"38.800114")</f>
        <v>38.800114</v>
      </c>
      <c r="H1287" s="1" t="str">
        <f>IFERROR(__xludf.DUMMYFUNCTION("""COMPUTED_VALUE"""),"-77.60961")</f>
        <v>-77.60961</v>
      </c>
      <c r="I1287" s="1" t="str">
        <f>IFERROR(__xludf.DUMMYFUNCTION("""COMPUTED_VALUE"""),"Proposed")</f>
        <v>Proposed</v>
      </c>
      <c r="J1287" s="1" t="str">
        <f>IFERROR(__xludf.DUMMYFUNCTION("""COMPUTED_VALUE"""),"High")</f>
        <v>High</v>
      </c>
      <c r="K1287" s="1" t="str">
        <f>IFERROR(__xludf.DUMMYFUNCTION("""COMPUTED_VALUE"""),"")</f>
        <v/>
      </c>
      <c r="L1287" s="1" t="str">
        <f>IFERROR(__xludf.DUMMYFUNCTION("""COMPUTED_VALUE"""),"")</f>
        <v/>
      </c>
      <c r="M1287" s="1" t="str">
        <f>IFERROR(__xludf.DUMMYFUNCTION("""COMPUTED_VALUE"""),"")</f>
        <v/>
      </c>
      <c r="N1287" s="1" t="str">
        <f>IFERROR(__xludf.DUMMYFUNCTION("""COMPUTED_VALUE"""),"96")</f>
        <v>96</v>
      </c>
      <c r="O1287" s="1" t="str">
        <f>IFERROR(__xludf.DUMMYFUNCTION("""COMPUTED_VALUE"""),"Large (51-99 MW)")</f>
        <v>Large (51-99 MW)</v>
      </c>
      <c r="P1287" s="1" t="str">
        <f>IFERROR(__xludf.DUMMYFUNCTION("""COMPUTED_VALUE"""),"")</f>
        <v/>
      </c>
      <c r="Q1287" s="1" t="str">
        <f>IFERROR(__xludf.DUMMYFUNCTION("""COMPUTED_VALUE"""),"")</f>
        <v/>
      </c>
      <c r="R1287" s="1" t="str">
        <f>IFERROR(__xludf.DUMMYFUNCTION("""COMPUTED_VALUE"""),"")</f>
        <v/>
      </c>
      <c r="S1287" s="1" t="str">
        <f>IFERROR(__xludf.DUMMYFUNCTION("""COMPUTED_VALUE"""),"")</f>
        <v/>
      </c>
      <c r="T1287" s="1" t="str">
        <f>IFERROR(__xludf.DUMMYFUNCTION("""COMPUTED_VALUE"""),"")</f>
        <v/>
      </c>
      <c r="U1287" s="1" t="str">
        <f>IFERROR(__xludf.DUMMYFUNCTION("""COMPUTED_VALUE"""),"")</f>
        <v/>
      </c>
      <c r="V1287" s="1" t="str">
        <f>IFERROR(__xludf.DUMMYFUNCTION("""COMPUTED_VALUE"""),"300,000")</f>
        <v>300,000</v>
      </c>
      <c r="W1287" s="1" t="str">
        <f>IFERROR(__xludf.DUMMYFUNCTION("""COMPUTED_VALUE"""),"")</f>
        <v/>
      </c>
      <c r="X1287" s="1" t="str">
        <f>IFERROR(__xludf.DUMMYFUNCTION("""COMPUTED_VALUE"""),"")</f>
        <v/>
      </c>
      <c r="Y1287" s="1" t="str">
        <f>IFERROR(__xludf.DUMMYFUNCTION("""COMPUTED_VALUE"""),"")</f>
        <v/>
      </c>
      <c r="Z1287" s="1" t="str">
        <f>IFERROR(__xludf.DUMMYFUNCTION("""COMPUTED_VALUE"""),"Unknown")</f>
        <v>Unknown</v>
      </c>
      <c r="AA1287" s="1" t="str">
        <f>IFERROR(__xludf.DUMMYFUNCTION("""COMPUTED_VALUE"""),"")</f>
        <v/>
      </c>
      <c r="AB1287" s="1" t="str">
        <f>IFERROR(__xludf.DUMMYFUNCTION("""COMPUTED_VALUE"""),"")</f>
        <v/>
      </c>
      <c r="AC1287" s="1" t="str">
        <f>IFERROR(__xludf.DUMMYFUNCTION("""COMPUTED_VALUE"""),"")</f>
        <v/>
      </c>
      <c r="AD1287" s="1" t="str">
        <f>IFERROR(__xludf.DUMMYFUNCTION("""COMPUTED_VALUE"""),"")</f>
        <v/>
      </c>
      <c r="AE1287" s="1" t="str">
        <f>IFERROR(__xludf.DUMMYFUNCTION("""COMPUTED_VALUE"""),"")</f>
        <v/>
      </c>
      <c r="AF1287" s="1" t="str">
        <f>IFERROR(__xludf.DUMMYFUNCTION("""COMPUTED_VALUE"""),"")</f>
        <v/>
      </c>
      <c r="AG1287" s="1" t="str">
        <f>IFERROR(__xludf.DUMMYFUNCTION("""COMPUTED_VALUE"""),"")</f>
        <v/>
      </c>
      <c r="AH1287" s="1" t="str">
        <f>IFERROR(__xludf.DUMMYFUNCTION("""COMPUTED_VALUE"""),"Media Monitoring")</f>
        <v>Media Monitoring</v>
      </c>
      <c r="AI1287" s="2" t="str">
        <f>IFERROR(__xludf.DUMMYFUNCTION("""COMPUTED_VALUE"""),"https://www.datacenterdynamics.com/en/news/ntt-secures-four-data-center-leases-in-us-totaling-115mw/")</f>
        <v>https://www.datacenterdynamics.com/en/news/ntt-secures-four-data-center-leases-in-us-totaling-115mw/</v>
      </c>
      <c r="AJ1287" s="1" t="str">
        <f>IFERROR(__xludf.DUMMYFUNCTION("""COMPUTED_VALUE"""),"")</f>
        <v/>
      </c>
      <c r="AK1287" s="1" t="str">
        <f>IFERROR(__xludf.DUMMYFUNCTION("""COMPUTED_VALUE"""),"")</f>
        <v/>
      </c>
      <c r="AL1287" s="1" t="str">
        <f>IFERROR(__xludf.DUMMYFUNCTION("""COMPUTED_VALUE"""),"")</f>
        <v/>
      </c>
      <c r="AM1287" s="1" t="str">
        <f>IFERROR(__xludf.DUMMYFUNCTION("""COMPUTED_VALUE"""),"")</f>
        <v/>
      </c>
      <c r="AN1287" s="1" t="str">
        <f>IFERROR(__xludf.DUMMYFUNCTION("""COMPUTED_VALUE"""),"")</f>
        <v/>
      </c>
      <c r="AO1287" s="1" t="str">
        <f>IFERROR(__xludf.DUMMYFUNCTION("""COMPUTED_VALUE"""),"")</f>
        <v/>
      </c>
      <c r="AP1287" s="1" t="str">
        <f>IFERROR(__xludf.DUMMYFUNCTION("""COMPUTED_VALUE"""),"")</f>
        <v/>
      </c>
      <c r="AQ1287" s="1" t="str">
        <f>IFERROR(__xludf.DUMMYFUNCTION("""COMPUTED_VALUE"""),"03/19/2026")</f>
        <v>03/19/2026</v>
      </c>
      <c r="AR1287" s="1" t="str">
        <f>IFERROR(__xludf.DUMMYFUNCTION("""COMPUTED_VALUE"""),"03/19/2026")</f>
        <v>03/19/2026</v>
      </c>
    </row>
    <row r="1288">
      <c r="A1288" s="1" t="str">
        <f>IFERROR(__xludf.DUMMYFUNCTION("""COMPUTED_VALUE"""),"PORPOISE VENTURES LLC (Digital Realty Trust)")</f>
        <v>PORPOISE VENTURES LLC (Digital Realty Trust)</v>
      </c>
      <c r="B1288" s="1" t="str">
        <f>IFERROR(__xludf.DUMMYFUNCTION("""COMPUTED_VALUE"""),"8217 LINTON HALL RD")</f>
        <v>8217 LINTON HALL RD</v>
      </c>
      <c r="C1288" s="1" t="str">
        <f>IFERROR(__xludf.DUMMYFUNCTION("""COMPUTED_VALUE"""),"Gainesville")</f>
        <v>Gainesville</v>
      </c>
      <c r="D1288" s="1" t="str">
        <f>IFERROR(__xludf.DUMMYFUNCTION("""COMPUTED_VALUE"""),"VA")</f>
        <v>VA</v>
      </c>
      <c r="E1288" s="1" t="str">
        <f>IFERROR(__xludf.DUMMYFUNCTION("""COMPUTED_VALUE"""),"20155")</f>
        <v>20155</v>
      </c>
      <c r="F1288" s="1" t="str">
        <f>IFERROR(__xludf.DUMMYFUNCTION("""COMPUTED_VALUE"""),"Prince William")</f>
        <v>Prince William</v>
      </c>
      <c r="G1288" s="1" t="str">
        <f>IFERROR(__xludf.DUMMYFUNCTION("""COMPUTED_VALUE"""),"38.778057")</f>
        <v>38.778057</v>
      </c>
      <c r="H1288" s="1" t="str">
        <f>IFERROR(__xludf.DUMMYFUNCTION("""COMPUTED_VALUE"""),"-77.59468")</f>
        <v>-77.59468</v>
      </c>
      <c r="I1288" s="1" t="str">
        <f>IFERROR(__xludf.DUMMYFUNCTION("""COMPUTED_VALUE"""),"Operating")</f>
        <v>Operating</v>
      </c>
      <c r="J1288" s="1" t="str">
        <f>IFERROR(__xludf.DUMMYFUNCTION("""COMPUTED_VALUE"""),"High")</f>
        <v>High</v>
      </c>
      <c r="K1288" s="1" t="str">
        <f>IFERROR(__xludf.DUMMYFUNCTION("""COMPUTED_VALUE"""),"")</f>
        <v/>
      </c>
      <c r="L1288" s="1" t="str">
        <f>IFERROR(__xludf.DUMMYFUNCTION("""COMPUTED_VALUE"""),"PORPOISE VENTURES LLC (Digital Realty Trust)")</f>
        <v>PORPOISE VENTURES LLC (Digital Realty Trust)</v>
      </c>
      <c r="M1288" s="1" t="str">
        <f>IFERROR(__xludf.DUMMYFUNCTION("""COMPUTED_VALUE"""),"")</f>
        <v/>
      </c>
      <c r="N1288" s="1" t="str">
        <f>IFERROR(__xludf.DUMMYFUNCTION("""COMPUTED_VALUE"""),"")</f>
        <v/>
      </c>
      <c r="O1288" s="1" t="str">
        <f>IFERROR(__xludf.DUMMYFUNCTION("""COMPUTED_VALUE"""),"Unknown")</f>
        <v>Unknown</v>
      </c>
      <c r="P1288" s="1" t="str">
        <f>IFERROR(__xludf.DUMMYFUNCTION("""COMPUTED_VALUE"""),"")</f>
        <v/>
      </c>
      <c r="Q1288" s="1" t="str">
        <f>IFERROR(__xludf.DUMMYFUNCTION("""COMPUTED_VALUE"""),"")</f>
        <v/>
      </c>
      <c r="R1288" s="1" t="str">
        <f>IFERROR(__xludf.DUMMYFUNCTION("""COMPUTED_VALUE"""),"")</f>
        <v/>
      </c>
      <c r="S1288" s="1" t="str">
        <f>IFERROR(__xludf.DUMMYFUNCTION("""COMPUTED_VALUE"""),"")</f>
        <v/>
      </c>
      <c r="T1288" s="1" t="str">
        <f>IFERROR(__xludf.DUMMYFUNCTION("""COMPUTED_VALUE"""),"")</f>
        <v/>
      </c>
      <c r="U1288" s="1" t="str">
        <f>IFERROR(__xludf.DUMMYFUNCTION("""COMPUTED_VALUE"""),"")</f>
        <v/>
      </c>
      <c r="V1288" s="1" t="str">
        <f>IFERROR(__xludf.DUMMYFUNCTION("""COMPUTED_VALUE"""),"227,465")</f>
        <v>227,465</v>
      </c>
      <c r="W1288" s="1" t="str">
        <f>IFERROR(__xludf.DUMMYFUNCTION("""COMPUTED_VALUE"""),"32")</f>
        <v>32</v>
      </c>
      <c r="X1288" s="1" t="str">
        <f>IFERROR(__xludf.DUMMYFUNCTION("""COMPUTED_VALUE"""),"")</f>
        <v/>
      </c>
      <c r="Y1288" s="1" t="str">
        <f>IFERROR(__xludf.DUMMYFUNCTION("""COMPUTED_VALUE"""),"")</f>
        <v/>
      </c>
      <c r="Z1288" s="1" t="str">
        <f>IFERROR(__xludf.DUMMYFUNCTION("""COMPUTED_VALUE"""),"Unknown")</f>
        <v>Unknown</v>
      </c>
      <c r="AA1288" s="1" t="str">
        <f>IFERROR(__xludf.DUMMYFUNCTION("""COMPUTED_VALUE"""),"")</f>
        <v/>
      </c>
      <c r="AB1288" s="1" t="str">
        <f>IFERROR(__xludf.DUMMYFUNCTION("""COMPUTED_VALUE"""),"")</f>
        <v/>
      </c>
      <c r="AC1288" s="1" t="str">
        <f>IFERROR(__xludf.DUMMYFUNCTION("""COMPUTED_VALUE"""),"")</f>
        <v/>
      </c>
      <c r="AD1288" s="1" t="str">
        <f>IFERROR(__xludf.DUMMYFUNCTION("""COMPUTED_VALUE"""),"")</f>
        <v/>
      </c>
      <c r="AE1288" s="1" t="str">
        <f>IFERROR(__xludf.DUMMYFUNCTION("""COMPUTED_VALUE"""),"")</f>
        <v/>
      </c>
      <c r="AF1288" s="1" t="str">
        <f>IFERROR(__xludf.DUMMYFUNCTION("""COMPUTED_VALUE"""),"")</f>
        <v/>
      </c>
      <c r="AG1288" s="1" t="str">
        <f>IFERROR(__xludf.DUMMYFUNCTION("""COMPUTED_VALUE"""),"")</f>
        <v/>
      </c>
      <c r="AH1288" s="1" t="str">
        <f>IFERROR(__xludf.DUMMYFUNCTION("""COMPUTED_VALUE"""),"PEC")</f>
        <v>PEC</v>
      </c>
      <c r="AI1288" s="2" t="str">
        <f>IFERROR(__xludf.DUMMYFUNCTION("""COMPUTED_VALUE"""),"https://pwc.publicaccessnow.com/PropertyDetail.aspx?mpropertynumber=204354&amp;mtab=property&amp;p=204354")</f>
        <v>https://pwc.publicaccessnow.com/PropertyDetail.aspx?mpropertynumber=204354&amp;mtab=property&amp;p=204354</v>
      </c>
      <c r="AJ1288" s="1" t="str">
        <f>IFERROR(__xludf.DUMMYFUNCTION("""COMPUTED_VALUE"""),"")</f>
        <v/>
      </c>
      <c r="AK1288" s="1" t="str">
        <f>IFERROR(__xludf.DUMMYFUNCTION("""COMPUTED_VALUE"""),"")</f>
        <v/>
      </c>
      <c r="AL1288" s="1" t="str">
        <f>IFERROR(__xludf.DUMMYFUNCTION("""COMPUTED_VALUE"""),"")</f>
        <v/>
      </c>
      <c r="AM1288" s="1" t="str">
        <f>IFERROR(__xludf.DUMMYFUNCTION("""COMPUTED_VALUE"""),"")</f>
        <v/>
      </c>
      <c r="AN1288" s="1" t="str">
        <f>IFERROR(__xludf.DUMMYFUNCTION("""COMPUTED_VALUE"""),"")</f>
        <v/>
      </c>
      <c r="AO1288" s="1" t="str">
        <f>IFERROR(__xludf.DUMMYFUNCTION("""COMPUTED_VALUE"""),"")</f>
        <v/>
      </c>
      <c r="AP1288" s="1" t="str">
        <f>IFERROR(__xludf.DUMMYFUNCTION("""COMPUTED_VALUE"""),"")</f>
        <v/>
      </c>
      <c r="AQ1288" s="1" t="str">
        <f>IFERROR(__xludf.DUMMYFUNCTION("""COMPUTED_VALUE"""),"04/10/2024")</f>
        <v>04/10/2024</v>
      </c>
      <c r="AR1288" s="1" t="str">
        <f>IFERROR(__xludf.DUMMYFUNCTION("""COMPUTED_VALUE"""),"10/17/2025")</f>
        <v>10/17/2025</v>
      </c>
    </row>
    <row r="1289">
      <c r="A1289" s="1" t="str">
        <f>IFERROR(__xludf.DUMMYFUNCTION("""COMPUTED_VALUE"""),"Prince William Digital Gateway")</f>
        <v>Prince William Digital Gateway</v>
      </c>
      <c r="B1289" s="1" t="str">
        <f>IFERROR(__xludf.DUMMYFUNCTION("""COMPUTED_VALUE"""),"Pageland Ln")</f>
        <v>Pageland Ln</v>
      </c>
      <c r="C1289" s="1" t="str">
        <f>IFERROR(__xludf.DUMMYFUNCTION("""COMPUTED_VALUE"""),"Gainesville")</f>
        <v>Gainesville</v>
      </c>
      <c r="D1289" s="1" t="str">
        <f>IFERROR(__xludf.DUMMYFUNCTION("""COMPUTED_VALUE"""),"VA")</f>
        <v>VA</v>
      </c>
      <c r="E1289" s="1" t="str">
        <f>IFERROR(__xludf.DUMMYFUNCTION("""COMPUTED_VALUE"""),"20155")</f>
        <v>20155</v>
      </c>
      <c r="F1289" s="1" t="str">
        <f>IFERROR(__xludf.DUMMYFUNCTION("""COMPUTED_VALUE"""),"Prince William")</f>
        <v>Prince William</v>
      </c>
      <c r="G1289" s="1" t="str">
        <f>IFERROR(__xludf.DUMMYFUNCTION("""COMPUTED_VALUE"""),"38.82437")</f>
        <v>38.82437</v>
      </c>
      <c r="H1289" s="1" t="str">
        <f>IFERROR(__xludf.DUMMYFUNCTION("""COMPUTED_VALUE"""),"-77.56874")</f>
        <v>-77.56874</v>
      </c>
      <c r="I1289" s="1" t="str">
        <f>IFERROR(__xludf.DUMMYFUNCTION("""COMPUTED_VALUE"""),"Cancelled")</f>
        <v>Cancelled</v>
      </c>
      <c r="J1289" s="1" t="str">
        <f>IFERROR(__xludf.DUMMYFUNCTION("""COMPUTED_VALUE"""),"High")</f>
        <v>High</v>
      </c>
      <c r="K1289" s="1" t="str">
        <f>IFERROR(__xludf.DUMMYFUNCTION("""COMPUTED_VALUE"""),"")</f>
        <v/>
      </c>
      <c r="L1289" s="1" t="str">
        <f>IFERROR(__xludf.DUMMYFUNCTION("""COMPUTED_VALUE"""),"Compass, QTS Data Centers")</f>
        <v>Compass, QTS Data Centers</v>
      </c>
      <c r="M1289" s="1" t="str">
        <f>IFERROR(__xludf.DUMMYFUNCTION("""COMPUTED_VALUE"""),"")</f>
        <v/>
      </c>
      <c r="N1289" s="1" t="str">
        <f>IFERROR(__xludf.DUMMYFUNCTION("""COMPUTED_VALUE"""),"")</f>
        <v/>
      </c>
      <c r="O1289" s="1" t="str">
        <f>IFERROR(__xludf.DUMMYFUNCTION("""COMPUTED_VALUE"""),"Mega campus (&gt;1,000 MW)")</f>
        <v>Mega campus (&gt;1,000 MW)</v>
      </c>
      <c r="P1289" s="1" t="str">
        <f>IFERROR(__xludf.DUMMYFUNCTION("""COMPUTED_VALUE"""),"")</f>
        <v/>
      </c>
      <c r="Q1289" s="1" t="str">
        <f>IFERROR(__xludf.DUMMYFUNCTION("""COMPUTED_VALUE"""),"")</f>
        <v/>
      </c>
      <c r="R1289" s="1" t="str">
        <f>IFERROR(__xludf.DUMMYFUNCTION("""COMPUTED_VALUE"""),"")</f>
        <v/>
      </c>
      <c r="S1289" s="1" t="str">
        <f>IFERROR(__xludf.DUMMYFUNCTION("""COMPUTED_VALUE"""),"37")</f>
        <v>37</v>
      </c>
      <c r="T1289" s="1" t="str">
        <f>IFERROR(__xludf.DUMMYFUNCTION("""COMPUTED_VALUE"""),"")</f>
        <v/>
      </c>
      <c r="U1289" s="1" t="str">
        <f>IFERROR(__xludf.DUMMYFUNCTION("""COMPUTED_VALUE"""),"")</f>
        <v/>
      </c>
      <c r="V1289" s="1" t="str">
        <f>IFERROR(__xludf.DUMMYFUNCTION("""COMPUTED_VALUE"""),"22,000,000")</f>
        <v>22,000,000</v>
      </c>
      <c r="W1289" s="1" t="str">
        <f>IFERROR(__xludf.DUMMYFUNCTION("""COMPUTED_VALUE"""),"1760")</f>
        <v>1760</v>
      </c>
      <c r="X1289" s="1" t="str">
        <f>IFERROR(__xludf.DUMMYFUNCTION("""COMPUTED_VALUE"""),"")</f>
        <v/>
      </c>
      <c r="Y1289" s="1" t="str">
        <f>IFERROR(__xludf.DUMMYFUNCTION("""COMPUTED_VALUE"""),"")</f>
        <v/>
      </c>
      <c r="Z1289" s="1" t="str">
        <f>IFERROR(__xludf.DUMMYFUNCTION("""COMPUTED_VALUE"""),"Yes")</f>
        <v>Yes</v>
      </c>
      <c r="AA1289" s="1" t="str">
        <f>IFERROR(__xludf.DUMMYFUNCTION("""COMPUTED_VALUE"""),"")</f>
        <v/>
      </c>
      <c r="AB1289" s="1" t="str">
        <f>IFERROR(__xludf.DUMMYFUNCTION("""COMPUTED_VALUE"""),"Organized Advocacy")</f>
        <v>Organized Advocacy</v>
      </c>
      <c r="AC1289" s="1" t="str">
        <f>IFERROR(__xludf.DUMMYFUNCTION("""COMPUTED_VALUE"""),"")</f>
        <v/>
      </c>
      <c r="AD1289" s="1" t="str">
        <f>IFERROR(__xludf.DUMMYFUNCTION("""COMPUTED_VALUE"""),"")</f>
        <v/>
      </c>
      <c r="AE1289" s="1" t="str">
        <f>IFERROR(__xludf.DUMMYFUNCTION("""COMPUTED_VALUE"""),"")</f>
        <v/>
      </c>
      <c r="AF1289" s="1" t="str">
        <f>IFERROR(__xludf.DUMMYFUNCTION("""COMPUTED_VALUE"""),"")</f>
        <v/>
      </c>
      <c r="AG1289" s="1" t="str">
        <f>IFERROR(__xludf.DUMMYFUNCTION("""COMPUTED_VALUE"""),"The Prince William Digital Gateway data center project has been halted by the Virginia Court of Appeals, which upheld a lower court ruling that Prince William County violated public notice requirements when it approved the rezoning in 2023. The county Boa"&amp;"rd of Supervisors voted unanimously in April 2026 to withdraw from further appeals.")</f>
        <v>The Prince William Digital Gateway data center project has been halted by the Virginia Court of Appeals, which upheld a lower court ruling that Prince William County violated public notice requirements when it approved the rezoning in 2023. The county Board of Supervisors voted unanimously in April 2026 to withdraw from further appeals.</v>
      </c>
      <c r="AH1289" s="1" t="str">
        <f>IFERROR(__xludf.DUMMYFUNCTION("""COMPUTED_VALUE"""),"Media Monitoring")</f>
        <v>Media Monitoring</v>
      </c>
      <c r="AI1289" s="2" t="str">
        <f>IFERROR(__xludf.DUMMYFUNCTION("""COMPUTED_VALUE"""),"https://egcss.pwcgov.org/SelfService#/plan/b0fcafed-a7f4-4ea1-8f83-e71a94ebf4f9?tab=attachments")</f>
        <v>https://egcss.pwcgov.org/SelfService#/plan/b0fcafed-a7f4-4ea1-8f83-e71a94ebf4f9?tab=attachments</v>
      </c>
      <c r="AJ1289" s="2" t="str">
        <f>IFERROR(__xludf.DUMMYFUNCTION("""COMPUTED_VALUE"""),"https://www.pecva.org/resources/press/pec-statement-on-prince-william-digital-gateway-latest-legal-win")</f>
        <v>https://www.pecva.org/resources/press/pec-statement-on-prince-william-digital-gateway-latest-legal-win</v>
      </c>
      <c r="AK1289" s="2" t="str">
        <f>IFERROR(__xludf.DUMMYFUNCTION("""COMPUTED_VALUE"""),"https://www.potomaclocal.com/2026/03/31/digital-gateway-projects-halted-court-rules-oak-valley-rezonings-invalid-in-major-resident-victory")</f>
        <v>https://www.potomaclocal.com/2026/03/31/digital-gateway-projects-halted-court-rules-oak-valley-rezonings-invalid-in-major-resident-victory</v>
      </c>
      <c r="AL1289" s="2" t="str">
        <f>IFERROR(__xludf.DUMMYFUNCTION("""COMPUTED_VALUE"""),"https://www.fauquiernow.com/news/business/digital-gateway-alert-judges-rule-in-favor-of-prince-william-residents/article_bbc1fa3b-cfea-5a99-9498-6b82a4535201.html")</f>
        <v>https://www.fauquiernow.com/news/business/digital-gateway-alert-judges-rule-in-favor-of-prince-william-residents/article_bbc1fa3b-cfea-5a99-9498-6b82a4535201.html</v>
      </c>
      <c r="AM1289" s="2" t="str">
        <f>IFERROR(__xludf.DUMMYFUNCTION("""COMPUTED_VALUE"""),"https://www.datacenterdynamics.com/en/news/officials-in-virginias-prince-william-county-drop-support-for-qtscompass-digital-gateway-data-center-project/?ms=emailcbzoom250715")</f>
        <v>https://www.datacenterdynamics.com/en/news/officials-in-virginias-prince-william-county-drop-support-for-qtscompass-digital-gateway-data-center-project/?ms=emailcbzoom250715</v>
      </c>
      <c r="AN1289" s="2" t="str">
        <f>IFERROR(__xludf.DUMMYFUNCTION("""COMPUTED_VALUE"""),"https://www.fox5dc.com/news/qts-drops-appeal-ending-plans-massive-prince-william-county-data-center")</f>
        <v>https://www.fox5dc.com/news/qts-drops-appeal-ending-plans-massive-prince-william-county-data-center</v>
      </c>
      <c r="AO1289" s="1" t="str">
        <f>IFERROR(__xludf.DUMMYFUNCTION("""COMPUTED_VALUE"""),"")</f>
        <v/>
      </c>
      <c r="AP1289" s="1" t="str">
        <f>IFERROR(__xludf.DUMMYFUNCTION("""COMPUTED_VALUE"""),"")</f>
        <v/>
      </c>
      <c r="AQ1289" s="1" t="str">
        <f>IFERROR(__xludf.DUMMYFUNCTION("""COMPUTED_VALUE"""),"04/10/2024")</f>
        <v>04/10/2024</v>
      </c>
      <c r="AR1289" s="1" t="str">
        <f>IFERROR(__xludf.DUMMYFUNCTION("""COMPUTED_VALUE"""),"07/03/2026")</f>
        <v>07/03/2026</v>
      </c>
    </row>
    <row r="1290">
      <c r="A1290" s="1" t="str">
        <f>IFERROR(__xludf.DUMMYFUNCTION("""COMPUTED_VALUE"""),"University Business Park")</f>
        <v>University Business Park</v>
      </c>
      <c r="B1290" s="1" t="str">
        <f>IFERROR(__xludf.DUMMYFUNCTION("""COMPUTED_VALUE"""),"13490 UNIVERSITY BLVD")</f>
        <v>13490 UNIVERSITY BLVD</v>
      </c>
      <c r="C1290" s="1" t="str">
        <f>IFERROR(__xludf.DUMMYFUNCTION("""COMPUTED_VALUE"""),"Gainesville")</f>
        <v>Gainesville</v>
      </c>
      <c r="D1290" s="1" t="str">
        <f>IFERROR(__xludf.DUMMYFUNCTION("""COMPUTED_VALUE"""),"VA")</f>
        <v>VA</v>
      </c>
      <c r="E1290" s="1" t="str">
        <f>IFERROR(__xludf.DUMMYFUNCTION("""COMPUTED_VALUE"""),"20155")</f>
        <v>20155</v>
      </c>
      <c r="F1290" s="1" t="str">
        <f>IFERROR(__xludf.DUMMYFUNCTION("""COMPUTED_VALUE"""),"Prince William")</f>
        <v>Prince William</v>
      </c>
      <c r="G1290" s="1" t="str">
        <f>IFERROR(__xludf.DUMMYFUNCTION("""COMPUTED_VALUE"""),"38.79446")</f>
        <v>38.79446</v>
      </c>
      <c r="H1290" s="1" t="str">
        <f>IFERROR(__xludf.DUMMYFUNCTION("""COMPUTED_VALUE"""),"-77.58242")</f>
        <v>-77.58242</v>
      </c>
      <c r="I1290" s="1" t="str">
        <f>IFERROR(__xludf.DUMMYFUNCTION("""COMPUTED_VALUE"""),"Proposed")</f>
        <v>Proposed</v>
      </c>
      <c r="J1290" s="1" t="str">
        <f>IFERROR(__xludf.DUMMYFUNCTION("""COMPUTED_VALUE"""),"High")</f>
        <v>High</v>
      </c>
      <c r="K1290" s="1" t="str">
        <f>IFERROR(__xludf.DUMMYFUNCTION("""COMPUTED_VALUE"""),"")</f>
        <v/>
      </c>
      <c r="L1290" s="1" t="str">
        <f>IFERROR(__xludf.DUMMYFUNCTION("""COMPUTED_VALUE"""),"Microsoft")</f>
        <v>Microsoft</v>
      </c>
      <c r="M1290" s="1" t="str">
        <f>IFERROR(__xludf.DUMMYFUNCTION("""COMPUTED_VALUE"""),"")</f>
        <v/>
      </c>
      <c r="N1290" s="1" t="str">
        <f>IFERROR(__xludf.DUMMYFUNCTION("""COMPUTED_VALUE"""),"")</f>
        <v/>
      </c>
      <c r="O1290" s="1" t="str">
        <f>IFERROR(__xludf.DUMMYFUNCTION("""COMPUTED_VALUE"""),"Unknown")</f>
        <v>Unknown</v>
      </c>
      <c r="P1290" s="1" t="str">
        <f>IFERROR(__xludf.DUMMYFUNCTION("""COMPUTED_VALUE"""),"")</f>
        <v/>
      </c>
      <c r="Q1290" s="1" t="str">
        <f>IFERROR(__xludf.DUMMYFUNCTION("""COMPUTED_VALUE"""),"")</f>
        <v/>
      </c>
      <c r="R1290" s="1" t="str">
        <f>IFERROR(__xludf.DUMMYFUNCTION("""COMPUTED_VALUE"""),"")</f>
        <v/>
      </c>
      <c r="S1290" s="1" t="str">
        <f>IFERROR(__xludf.DUMMYFUNCTION("""COMPUTED_VALUE"""),"")</f>
        <v/>
      </c>
      <c r="T1290" s="1" t="str">
        <f>IFERROR(__xludf.DUMMYFUNCTION("""COMPUTED_VALUE"""),"")</f>
        <v/>
      </c>
      <c r="U1290" s="1" t="str">
        <f>IFERROR(__xludf.DUMMYFUNCTION("""COMPUTED_VALUE"""),"")</f>
        <v/>
      </c>
      <c r="V1290" s="1" t="str">
        <f>IFERROR(__xludf.DUMMYFUNCTION("""COMPUTED_VALUE"""),"3,800,000")</f>
        <v>3,800,000</v>
      </c>
      <c r="W1290" s="1" t="str">
        <f>IFERROR(__xludf.DUMMYFUNCTION("""COMPUTED_VALUE"""),"131")</f>
        <v>131</v>
      </c>
      <c r="X1290" s="1" t="str">
        <f>IFERROR(__xludf.DUMMYFUNCTION("""COMPUTED_VALUE"""),"")</f>
        <v/>
      </c>
      <c r="Y1290" s="1" t="str">
        <f>IFERROR(__xludf.DUMMYFUNCTION("""COMPUTED_VALUE"""),"")</f>
        <v/>
      </c>
      <c r="Z1290" s="1" t="str">
        <f>IFERROR(__xludf.DUMMYFUNCTION("""COMPUTED_VALUE"""),"Unknown")</f>
        <v>Unknown</v>
      </c>
      <c r="AA1290" s="1" t="str">
        <f>IFERROR(__xludf.DUMMYFUNCTION("""COMPUTED_VALUE"""),"")</f>
        <v/>
      </c>
      <c r="AB1290" s="1" t="str">
        <f>IFERROR(__xludf.DUMMYFUNCTION("""COMPUTED_VALUE"""),"")</f>
        <v/>
      </c>
      <c r="AC1290" s="1" t="str">
        <f>IFERROR(__xludf.DUMMYFUNCTION("""COMPUTED_VALUE"""),"")</f>
        <v/>
      </c>
      <c r="AD1290" s="1" t="str">
        <f>IFERROR(__xludf.DUMMYFUNCTION("""COMPUTED_VALUE"""),"")</f>
        <v/>
      </c>
      <c r="AE1290" s="1" t="str">
        <f>IFERROR(__xludf.DUMMYFUNCTION("""COMPUTED_VALUE"""),"")</f>
        <v/>
      </c>
      <c r="AF1290" s="1" t="str">
        <f>IFERROR(__xludf.DUMMYFUNCTION("""COMPUTED_VALUE"""),"")</f>
        <v/>
      </c>
      <c r="AG1290" s="1" t="str">
        <f>IFERROR(__xludf.DUMMYFUNCTION("""COMPUTED_VALUE"""),"This project covers multiple parcels. The total acreage has been represented here.")</f>
        <v>This project covers multiple parcels. The total acreage has been represented here.</v>
      </c>
      <c r="AH1290" s="1" t="str">
        <f>IFERROR(__xludf.DUMMYFUNCTION("""COMPUTED_VALUE"""),"PEC")</f>
        <v>PEC</v>
      </c>
      <c r="AI1290" s="2" t="str">
        <f>IFERROR(__xludf.DUMMYFUNCTION("""COMPUTED_VALUE"""),"https://egcss.pwcgov.org/SelfService#/plan/dba835c0-d92e-4f81-aca7-df3546eddf60")</f>
        <v>https://egcss.pwcgov.org/SelfService#/plan/dba835c0-d92e-4f81-aca7-df3546eddf60</v>
      </c>
      <c r="AJ1290" s="2" t="str">
        <f>IFERROR(__xludf.DUMMYFUNCTION("""COMPUTED_VALUE"""),"https://pwc.publicaccessnow.com/PropertyDetail.aspx?mtab=property&amp;mpropertynumber=263077")</f>
        <v>https://pwc.publicaccessnow.com/PropertyDetail.aspx?mtab=property&amp;mpropertynumber=263077</v>
      </c>
      <c r="AK1290" s="1" t="str">
        <f>IFERROR(__xludf.DUMMYFUNCTION("""COMPUTED_VALUE"""),"")</f>
        <v/>
      </c>
      <c r="AL1290" s="1" t="str">
        <f>IFERROR(__xludf.DUMMYFUNCTION("""COMPUTED_VALUE"""),"")</f>
        <v/>
      </c>
      <c r="AM1290" s="1" t="str">
        <f>IFERROR(__xludf.DUMMYFUNCTION("""COMPUTED_VALUE"""),"")</f>
        <v/>
      </c>
      <c r="AN1290" s="1" t="str">
        <f>IFERROR(__xludf.DUMMYFUNCTION("""COMPUTED_VALUE"""),"")</f>
        <v/>
      </c>
      <c r="AO1290" s="1" t="str">
        <f>IFERROR(__xludf.DUMMYFUNCTION("""COMPUTED_VALUE"""),"")</f>
        <v/>
      </c>
      <c r="AP1290" s="1" t="str">
        <f>IFERROR(__xludf.DUMMYFUNCTION("""COMPUTED_VALUE"""),"")</f>
        <v/>
      </c>
      <c r="AQ1290" s="1" t="str">
        <f>IFERROR(__xludf.DUMMYFUNCTION("""COMPUTED_VALUE"""),"04/10/2024")</f>
        <v>04/10/2024</v>
      </c>
      <c r="AR1290" s="1" t="str">
        <f>IFERROR(__xludf.DUMMYFUNCTION("""COMPUTED_VALUE"""),"10/17/2025")</f>
        <v>10/17/2025</v>
      </c>
    </row>
    <row r="1291">
      <c r="A1291" s="1" t="str">
        <f>IFERROR(__xludf.DUMMYFUNCTION("""COMPUTED_VALUE"""),"Village Place at Gainesville Technology Park")</f>
        <v>Village Place at Gainesville Technology Park</v>
      </c>
      <c r="B1291" s="1" t="str">
        <f>IFERROR(__xludf.DUMMYFUNCTION("""COMPUTED_VALUE"""),"14403 JOHN MARSHALL HWY")</f>
        <v>14403 JOHN MARSHALL HWY</v>
      </c>
      <c r="C1291" s="1" t="str">
        <f>IFERROR(__xludf.DUMMYFUNCTION("""COMPUTED_VALUE"""),"Gainesville")</f>
        <v>Gainesville</v>
      </c>
      <c r="D1291" s="1" t="str">
        <f>IFERROR(__xludf.DUMMYFUNCTION("""COMPUTED_VALUE"""),"VA")</f>
        <v>VA</v>
      </c>
      <c r="E1291" s="1" t="str">
        <f>IFERROR(__xludf.DUMMYFUNCTION("""COMPUTED_VALUE"""),"20155")</f>
        <v>20155</v>
      </c>
      <c r="F1291" s="1" t="str">
        <f>IFERROR(__xludf.DUMMYFUNCTION("""COMPUTED_VALUE"""),"Prince William")</f>
        <v>Prince William</v>
      </c>
      <c r="G1291" s="1" t="str">
        <f>IFERROR(__xludf.DUMMYFUNCTION("""COMPUTED_VALUE"""),"38.801834")</f>
        <v>38.801834</v>
      </c>
      <c r="H1291" s="1" t="str">
        <f>IFERROR(__xludf.DUMMYFUNCTION("""COMPUTED_VALUE"""),"-77.6206")</f>
        <v>-77.6206</v>
      </c>
      <c r="I1291" s="1" t="str">
        <f>IFERROR(__xludf.DUMMYFUNCTION("""COMPUTED_VALUE"""),"Proposed")</f>
        <v>Proposed</v>
      </c>
      <c r="J1291" s="1" t="str">
        <f>IFERROR(__xludf.DUMMYFUNCTION("""COMPUTED_VALUE"""),"High")</f>
        <v>High</v>
      </c>
      <c r="K1291" s="1" t="str">
        <f>IFERROR(__xludf.DUMMYFUNCTION("""COMPUTED_VALUE"""),"")</f>
        <v/>
      </c>
      <c r="L1291" s="1" t="str">
        <f>IFERROR(__xludf.DUMMYFUNCTION("""COMPUTED_VALUE"""),"CTP-I LLC")</f>
        <v>CTP-I LLC</v>
      </c>
      <c r="M1291" s="1" t="str">
        <f>IFERROR(__xludf.DUMMYFUNCTION("""COMPUTED_VALUE"""),"")</f>
        <v/>
      </c>
      <c r="N1291" s="1" t="str">
        <f>IFERROR(__xludf.DUMMYFUNCTION("""COMPUTED_VALUE"""),"")</f>
        <v/>
      </c>
      <c r="O1291" s="1" t="str">
        <f>IFERROR(__xludf.DUMMYFUNCTION("""COMPUTED_VALUE"""),"Unknown")</f>
        <v>Unknown</v>
      </c>
      <c r="P1291" s="1" t="str">
        <f>IFERROR(__xludf.DUMMYFUNCTION("""COMPUTED_VALUE"""),"")</f>
        <v/>
      </c>
      <c r="Q1291" s="1" t="str">
        <f>IFERROR(__xludf.DUMMYFUNCTION("""COMPUTED_VALUE"""),"")</f>
        <v/>
      </c>
      <c r="R1291" s="1" t="str">
        <f>IFERROR(__xludf.DUMMYFUNCTION("""COMPUTED_VALUE"""),"")</f>
        <v/>
      </c>
      <c r="S1291" s="1" t="str">
        <f>IFERROR(__xludf.DUMMYFUNCTION("""COMPUTED_VALUE"""),"")</f>
        <v/>
      </c>
      <c r="T1291" s="1" t="str">
        <f>IFERROR(__xludf.DUMMYFUNCTION("""COMPUTED_VALUE"""),"")</f>
        <v/>
      </c>
      <c r="U1291" s="1" t="str">
        <f>IFERROR(__xludf.DUMMYFUNCTION("""COMPUTED_VALUE"""),"")</f>
        <v/>
      </c>
      <c r="V1291" s="1" t="str">
        <f>IFERROR(__xludf.DUMMYFUNCTION("""COMPUTED_VALUE"""),"1,188,143")</f>
        <v>1,188,143</v>
      </c>
      <c r="W1291" s="1" t="str">
        <f>IFERROR(__xludf.DUMMYFUNCTION("""COMPUTED_VALUE"""),"45")</f>
        <v>45</v>
      </c>
      <c r="X1291" s="1" t="str">
        <f>IFERROR(__xludf.DUMMYFUNCTION("""COMPUTED_VALUE"""),"")</f>
        <v/>
      </c>
      <c r="Y1291" s="1" t="str">
        <f>IFERROR(__xludf.DUMMYFUNCTION("""COMPUTED_VALUE"""),"")</f>
        <v/>
      </c>
      <c r="Z1291" s="1" t="str">
        <f>IFERROR(__xludf.DUMMYFUNCTION("""COMPUTED_VALUE"""),"Unknown")</f>
        <v>Unknown</v>
      </c>
      <c r="AA1291" s="1" t="str">
        <f>IFERROR(__xludf.DUMMYFUNCTION("""COMPUTED_VALUE"""),"")</f>
        <v/>
      </c>
      <c r="AB1291" s="1" t="str">
        <f>IFERROR(__xludf.DUMMYFUNCTION("""COMPUTED_VALUE"""),"")</f>
        <v/>
      </c>
      <c r="AC1291" s="1" t="str">
        <f>IFERROR(__xludf.DUMMYFUNCTION("""COMPUTED_VALUE"""),"")</f>
        <v/>
      </c>
      <c r="AD1291" s="1" t="str">
        <f>IFERROR(__xludf.DUMMYFUNCTION("""COMPUTED_VALUE"""),"")</f>
        <v/>
      </c>
      <c r="AE1291" s="1" t="str">
        <f>IFERROR(__xludf.DUMMYFUNCTION("""COMPUTED_VALUE"""),"")</f>
        <v/>
      </c>
      <c r="AF1291" s="1" t="str">
        <f>IFERROR(__xludf.DUMMYFUNCTION("""COMPUTED_VALUE"""),"")</f>
        <v/>
      </c>
      <c r="AG1291" s="1" t="str">
        <f>IFERROR(__xludf.DUMMYFUNCTION("""COMPUTED_VALUE"""),"")</f>
        <v/>
      </c>
      <c r="AH1291" s="1" t="str">
        <f>IFERROR(__xludf.DUMMYFUNCTION("""COMPUTED_VALUE"""),"PEC")</f>
        <v>PEC</v>
      </c>
      <c r="AI1291" s="2" t="str">
        <f>IFERROR(__xludf.DUMMYFUNCTION("""COMPUTED_VALUE"""),"https://www.datacenterdynamics.com/en/news/data-center-campus-gets-rezoning-approval-in-prince-william-county-virginia/")</f>
        <v>https://www.datacenterdynamics.com/en/news/data-center-campus-gets-rezoning-approval-in-prince-william-county-virginia/</v>
      </c>
      <c r="AJ1291" s="2" t="str">
        <f>IFERROR(__xludf.DUMMYFUNCTION("""COMPUTED_VALUE"""),"https://pwc.publicaccessnow.com/PropertyDetail.aspx?mtab=property&amp;mpropertynumber=229695")</f>
        <v>https://pwc.publicaccessnow.com/PropertyDetail.aspx?mtab=property&amp;mpropertynumber=229695</v>
      </c>
      <c r="AK1291" s="1" t="str">
        <f>IFERROR(__xludf.DUMMYFUNCTION("""COMPUTED_VALUE"""),"")</f>
        <v/>
      </c>
      <c r="AL1291" s="1" t="str">
        <f>IFERROR(__xludf.DUMMYFUNCTION("""COMPUTED_VALUE"""),"")</f>
        <v/>
      </c>
      <c r="AM1291" s="1" t="str">
        <f>IFERROR(__xludf.DUMMYFUNCTION("""COMPUTED_VALUE"""),"")</f>
        <v/>
      </c>
      <c r="AN1291" s="1" t="str">
        <f>IFERROR(__xludf.DUMMYFUNCTION("""COMPUTED_VALUE"""),"")</f>
        <v/>
      </c>
      <c r="AO1291" s="1" t="str">
        <f>IFERROR(__xludf.DUMMYFUNCTION("""COMPUTED_VALUE"""),"")</f>
        <v/>
      </c>
      <c r="AP1291" s="1" t="str">
        <f>IFERROR(__xludf.DUMMYFUNCTION("""COMPUTED_VALUE"""),"")</f>
        <v/>
      </c>
      <c r="AQ1291" s="1" t="str">
        <f>IFERROR(__xludf.DUMMYFUNCTION("""COMPUTED_VALUE"""),"04/10/2024")</f>
        <v>04/10/2024</v>
      </c>
      <c r="AR1291" s="1" t="str">
        <f>IFERROR(__xludf.DUMMYFUNCTION("""COMPUTED_VALUE"""),"10/17/2025")</f>
        <v>10/17/2025</v>
      </c>
    </row>
    <row r="1292">
      <c r="A1292" s="1" t="str">
        <f>IFERROR(__xludf.DUMMYFUNCTION("""COMPUTED_VALUE"""),"Cavalier Innsbrook Data Center")</f>
        <v>Cavalier Innsbrook Data Center</v>
      </c>
      <c r="B1292" s="1" t="str">
        <f>IFERROR(__xludf.DUMMYFUNCTION("""COMPUTED_VALUE"""),"4551 COX RD")</f>
        <v>4551 COX RD</v>
      </c>
      <c r="C1292" s="1" t="str">
        <f>IFERROR(__xludf.DUMMYFUNCTION("""COMPUTED_VALUE"""),"Glen Allen")</f>
        <v>Glen Allen</v>
      </c>
      <c r="D1292" s="1" t="str">
        <f>IFERROR(__xludf.DUMMYFUNCTION("""COMPUTED_VALUE"""),"VA")</f>
        <v>VA</v>
      </c>
      <c r="E1292" s="1" t="str">
        <f>IFERROR(__xludf.DUMMYFUNCTION("""COMPUTED_VALUE"""),"23060")</f>
        <v>23060</v>
      </c>
      <c r="F1292" s="1" t="str">
        <f>IFERROR(__xludf.DUMMYFUNCTION("""COMPUTED_VALUE"""),"Henrico")</f>
        <v>Henrico</v>
      </c>
      <c r="G1292" s="1" t="str">
        <f>IFERROR(__xludf.DUMMYFUNCTION("""COMPUTED_VALUE"""),"37.660877")</f>
        <v>37.660877</v>
      </c>
      <c r="H1292" s="1" t="str">
        <f>IFERROR(__xludf.DUMMYFUNCTION("""COMPUTED_VALUE"""),"-77.57392")</f>
        <v>-77.57392</v>
      </c>
      <c r="I1292" s="1" t="str">
        <f>IFERROR(__xludf.DUMMYFUNCTION("""COMPUTED_VALUE"""),"Operating")</f>
        <v>Operating</v>
      </c>
      <c r="J1292" s="1" t="str">
        <f>IFERROR(__xludf.DUMMYFUNCTION("""COMPUTED_VALUE"""),"High")</f>
        <v>High</v>
      </c>
      <c r="K1292" s="1" t="str">
        <f>IFERROR(__xludf.DUMMYFUNCTION("""COMPUTED_VALUE"""),"")</f>
        <v/>
      </c>
      <c r="L1292" s="1" t="str">
        <f>IFERROR(__xludf.DUMMYFUNCTION("""COMPUTED_VALUE"""),"HIGHWOODS PROP")</f>
        <v>HIGHWOODS PROP</v>
      </c>
      <c r="M1292" s="1" t="str">
        <f>IFERROR(__xludf.DUMMYFUNCTION("""COMPUTED_VALUE"""),"")</f>
        <v/>
      </c>
      <c r="N1292" s="1" t="str">
        <f>IFERROR(__xludf.DUMMYFUNCTION("""COMPUTED_VALUE"""),"")</f>
        <v/>
      </c>
      <c r="O1292" s="1" t="str">
        <f>IFERROR(__xludf.DUMMYFUNCTION("""COMPUTED_VALUE"""),"Unknown")</f>
        <v>Unknown</v>
      </c>
      <c r="P1292" s="1" t="str">
        <f>IFERROR(__xludf.DUMMYFUNCTION("""COMPUTED_VALUE"""),"")</f>
        <v/>
      </c>
      <c r="Q1292" s="1" t="str">
        <f>IFERROR(__xludf.DUMMYFUNCTION("""COMPUTED_VALUE"""),"")</f>
        <v/>
      </c>
      <c r="R1292" s="1" t="str">
        <f>IFERROR(__xludf.DUMMYFUNCTION("""COMPUTED_VALUE"""),"")</f>
        <v/>
      </c>
      <c r="S1292" s="1" t="str">
        <f>IFERROR(__xludf.DUMMYFUNCTION("""COMPUTED_VALUE"""),"")</f>
        <v/>
      </c>
      <c r="T1292" s="1" t="str">
        <f>IFERROR(__xludf.DUMMYFUNCTION("""COMPUTED_VALUE"""),"")</f>
        <v/>
      </c>
      <c r="U1292" s="1" t="str">
        <f>IFERROR(__xludf.DUMMYFUNCTION("""COMPUTED_VALUE"""),"")</f>
        <v/>
      </c>
      <c r="V1292" s="1" t="str">
        <f>IFERROR(__xludf.DUMMYFUNCTION("""COMPUTED_VALUE"""),"")</f>
        <v/>
      </c>
      <c r="W1292" s="1" t="str">
        <f>IFERROR(__xludf.DUMMYFUNCTION("""COMPUTED_VALUE"""),"")</f>
        <v/>
      </c>
      <c r="X1292" s="1" t="str">
        <f>IFERROR(__xludf.DUMMYFUNCTION("""COMPUTED_VALUE"""),"")</f>
        <v/>
      </c>
      <c r="Y1292" s="1" t="str">
        <f>IFERROR(__xludf.DUMMYFUNCTION("""COMPUTED_VALUE"""),"")</f>
        <v/>
      </c>
      <c r="Z1292" s="1" t="str">
        <f>IFERROR(__xludf.DUMMYFUNCTION("""COMPUTED_VALUE"""),"Unknown")</f>
        <v>Unknown</v>
      </c>
      <c r="AA1292" s="1" t="str">
        <f>IFERROR(__xludf.DUMMYFUNCTION("""COMPUTED_VALUE"""),"")</f>
        <v/>
      </c>
      <c r="AB1292" s="1" t="str">
        <f>IFERROR(__xludf.DUMMYFUNCTION("""COMPUTED_VALUE"""),"")</f>
        <v/>
      </c>
      <c r="AC1292" s="1" t="str">
        <f>IFERROR(__xludf.DUMMYFUNCTION("""COMPUTED_VALUE"""),"")</f>
        <v/>
      </c>
      <c r="AD1292" s="1" t="str">
        <f>IFERROR(__xludf.DUMMYFUNCTION("""COMPUTED_VALUE"""),"")</f>
        <v/>
      </c>
      <c r="AE1292" s="1" t="str">
        <f>IFERROR(__xludf.DUMMYFUNCTION("""COMPUTED_VALUE"""),"")</f>
        <v/>
      </c>
      <c r="AF1292" s="1" t="str">
        <f>IFERROR(__xludf.DUMMYFUNCTION("""COMPUTED_VALUE"""),"")</f>
        <v/>
      </c>
      <c r="AG1292" s="1" t="str">
        <f>IFERROR(__xludf.DUMMYFUNCTION("""COMPUTED_VALUE"""),"")</f>
        <v/>
      </c>
      <c r="AH1292" s="1" t="str">
        <f>IFERROR(__xludf.DUMMYFUNCTION("""COMPUTED_VALUE"""),"PEC")</f>
        <v>PEC</v>
      </c>
      <c r="AI1292" s="2" t="str">
        <f>IFERROR(__xludf.DUMMYFUNCTION("""COMPUTED_VALUE"""),"https://realestate.henrico.us/ords/cam/f?p=510101:5:::NO::P5_PARCEL_ID,P5_SEARCH_TYPE:750-765-9452,0")</f>
        <v>https://realestate.henrico.us/ords/cam/f?p=510101:5:::NO::P5_PARCEL_ID,P5_SEARCH_TYPE:750-765-9452,0</v>
      </c>
      <c r="AJ1292" s="1" t="str">
        <f>IFERROR(__xludf.DUMMYFUNCTION("""COMPUTED_VALUE"""),"")</f>
        <v/>
      </c>
      <c r="AK1292" s="1" t="str">
        <f>IFERROR(__xludf.DUMMYFUNCTION("""COMPUTED_VALUE"""),"")</f>
        <v/>
      </c>
      <c r="AL1292" s="1" t="str">
        <f>IFERROR(__xludf.DUMMYFUNCTION("""COMPUTED_VALUE"""),"")</f>
        <v/>
      </c>
      <c r="AM1292" s="1" t="str">
        <f>IFERROR(__xludf.DUMMYFUNCTION("""COMPUTED_VALUE"""),"")</f>
        <v/>
      </c>
      <c r="AN1292" s="1" t="str">
        <f>IFERROR(__xludf.DUMMYFUNCTION("""COMPUTED_VALUE"""),"")</f>
        <v/>
      </c>
      <c r="AO1292" s="1" t="str">
        <f>IFERROR(__xludf.DUMMYFUNCTION("""COMPUTED_VALUE"""),"")</f>
        <v/>
      </c>
      <c r="AP1292" s="1" t="str">
        <f>IFERROR(__xludf.DUMMYFUNCTION("""COMPUTED_VALUE"""),"")</f>
        <v/>
      </c>
      <c r="AQ1292" s="1" t="str">
        <f>IFERROR(__xludf.DUMMYFUNCTION("""COMPUTED_VALUE"""),"04/10/2024")</f>
        <v>04/10/2024</v>
      </c>
      <c r="AR1292" s="1" t="str">
        <f>IFERROR(__xludf.DUMMYFUNCTION("""COMPUTED_VALUE"""),"10/17/2025")</f>
        <v>10/17/2025</v>
      </c>
    </row>
    <row r="1293">
      <c r="A1293" s="1" t="str">
        <f>IFERROR(__xludf.DUMMYFUNCTION("""COMPUTED_VALUE"""),"Hunter Hawking Data Center")</f>
        <v>Hunter Hawking Data Center</v>
      </c>
      <c r="B1293" s="1" t="str">
        <f>IFERROR(__xludf.DUMMYFUNCTION("""COMPUTED_VALUE"""),"15201 Ashland Rd")</f>
        <v>15201 Ashland Rd</v>
      </c>
      <c r="C1293" s="1" t="str">
        <f>IFERROR(__xludf.DUMMYFUNCTION("""COMPUTED_VALUE"""),"Glen Allen")</f>
        <v>Glen Allen</v>
      </c>
      <c r="D1293" s="1" t="str">
        <f>IFERROR(__xludf.DUMMYFUNCTION("""COMPUTED_VALUE"""),"VA")</f>
        <v>VA</v>
      </c>
      <c r="E1293" s="1" t="str">
        <f>IFERROR(__xludf.DUMMYFUNCTION("""COMPUTED_VALUE"""),"23059")</f>
        <v>23059</v>
      </c>
      <c r="F1293" s="1" t="str">
        <f>IFERROR(__xludf.DUMMYFUNCTION("""COMPUTED_VALUE"""),"Hanover")</f>
        <v>Hanover</v>
      </c>
      <c r="G1293" s="1" t="str">
        <f>IFERROR(__xludf.DUMMYFUNCTION("""COMPUTED_VALUE"""),"37.71385")</f>
        <v>37.71385</v>
      </c>
      <c r="H1293" s="1" t="str">
        <f>IFERROR(__xludf.DUMMYFUNCTION("""COMPUTED_VALUE"""),"-77.6231")</f>
        <v>-77.6231</v>
      </c>
      <c r="I1293" s="1" t="str">
        <f>IFERROR(__xludf.DUMMYFUNCTION("""COMPUTED_VALUE"""),"Cancelled")</f>
        <v>Cancelled</v>
      </c>
      <c r="J1293" s="1" t="str">
        <f>IFERROR(__xludf.DUMMYFUNCTION("""COMPUTED_VALUE"""),"High")</f>
        <v>High</v>
      </c>
      <c r="K1293" s="1" t="str">
        <f>IFERROR(__xludf.DUMMYFUNCTION("""COMPUTED_VALUE"""),"")</f>
        <v/>
      </c>
      <c r="L1293" s="1" t="str">
        <f>IFERROR(__xludf.DUMMYFUNCTION("""COMPUTED_VALUE"""),"")</f>
        <v/>
      </c>
      <c r="M1293" s="1" t="str">
        <f>IFERROR(__xludf.DUMMYFUNCTION("""COMPUTED_VALUE"""),"")</f>
        <v/>
      </c>
      <c r="N1293" s="1" t="str">
        <f>IFERROR(__xludf.DUMMYFUNCTION("""COMPUTED_VALUE"""),"900")</f>
        <v>900</v>
      </c>
      <c r="O1293" s="1" t="str">
        <f>IFERROR(__xludf.DUMMYFUNCTION("""COMPUTED_VALUE"""),"Hyperscale (100-999 MW)")</f>
        <v>Hyperscale (100-999 MW)</v>
      </c>
      <c r="P1293" s="1" t="str">
        <f>IFERROR(__xludf.DUMMYFUNCTION("""COMPUTED_VALUE"""),"")</f>
        <v/>
      </c>
      <c r="Q1293" s="1" t="str">
        <f>IFERROR(__xludf.DUMMYFUNCTION("""COMPUTED_VALUE"""),"")</f>
        <v/>
      </c>
      <c r="R1293" s="1" t="str">
        <f>IFERROR(__xludf.DUMMYFUNCTION("""COMPUTED_VALUE"""),"")</f>
        <v/>
      </c>
      <c r="S1293" s="1" t="str">
        <f>IFERROR(__xludf.DUMMYFUNCTION("""COMPUTED_VALUE"""),"10")</f>
        <v>10</v>
      </c>
      <c r="T1293" s="1" t="str">
        <f>IFERROR(__xludf.DUMMYFUNCTION("""COMPUTED_VALUE"""),"")</f>
        <v/>
      </c>
      <c r="U1293" s="1" t="str">
        <f>IFERROR(__xludf.DUMMYFUNCTION("""COMPUTED_VALUE"""),"")</f>
        <v/>
      </c>
      <c r="V1293" s="1" t="str">
        <f>IFERROR(__xludf.DUMMYFUNCTION("""COMPUTED_VALUE"""),"4,000,000")</f>
        <v>4,000,000</v>
      </c>
      <c r="W1293" s="1" t="str">
        <f>IFERROR(__xludf.DUMMYFUNCTION("""COMPUTED_VALUE"""),"400")</f>
        <v>400</v>
      </c>
      <c r="X1293" s="1" t="str">
        <f>IFERROR(__xludf.DUMMYFUNCTION("""COMPUTED_VALUE"""),"")</f>
        <v/>
      </c>
      <c r="Y1293" s="1" t="str">
        <f>IFERROR(__xludf.DUMMYFUNCTION("""COMPUTED_VALUE"""),"")</f>
        <v/>
      </c>
      <c r="Z1293" s="1" t="str">
        <f>IFERROR(__xludf.DUMMYFUNCTION("""COMPUTED_VALUE"""),"Yes")</f>
        <v>Yes</v>
      </c>
      <c r="AA1293" s="1" t="str">
        <f>IFERROR(__xludf.DUMMYFUNCTION("""COMPUTED_VALUE"""),"Public meetings drew hundreds of residents from Hanover, Henrico, and Goochland counties, with people raising concerns about noise, traffic, water use, and environmental impacts from the proposed 400-acre campus. The project eventually collapsed after the"&amp;" Hanover Planning Commission recommended denial and the developer withdrew the application in January 2026, following sustained public opposition.")</f>
        <v>Public meetings drew hundreds of residents from Hanover, Henrico, and Goochland counties, with people raising concerns about noise, traffic, water use, and environmental impacts from the proposed 400-acre campus. The project eventually collapsed after the Hanover Planning Commission recommended denial and the developer withdrew the application in January 2026, following sustained public opposition.</v>
      </c>
      <c r="AB1293" s="1" t="str">
        <f>IFERROR(__xludf.DUMMYFUNCTION("""COMPUTED_VALUE"""),"")</f>
        <v/>
      </c>
      <c r="AC1293" s="1" t="str">
        <f>IFERROR(__xludf.DUMMYFUNCTION("""COMPUTED_VALUE"""),"")</f>
        <v/>
      </c>
      <c r="AD1293" s="2" t="str">
        <f>IFERROR(__xludf.DUMMYFUNCTION("""COMPUTED_VALUE"""),"https://smartdevtaskforce.com/")</f>
        <v>https://smartdevtaskforce.com/</v>
      </c>
      <c r="AE1293" s="2" t="str">
        <f>IFERROR(__xludf.DUMMYFUNCTION("""COMPUTED_VALUE"""),"https://neighbors4change.com/")</f>
        <v>https://neighbors4change.com/</v>
      </c>
      <c r="AF1293" s="1" t="str">
        <f>IFERROR(__xludf.DUMMYFUNCTION("""COMPUTED_VALUE"""),"")</f>
        <v/>
      </c>
      <c r="AG1293" s="1" t="str">
        <f>IFERROR(__xludf.DUMMYFUNCTION("""COMPUTED_VALUE"""),"")</f>
        <v/>
      </c>
      <c r="AH1293" s="1" t="str">
        <f>IFERROR(__xludf.DUMMYFUNCTION("""COMPUTED_VALUE"""),"Media Monitoring")</f>
        <v>Media Monitoring</v>
      </c>
      <c r="AI1293" s="2" t="str">
        <f>IFERROR(__xludf.DUMMYFUNCTION("""COMPUTED_VALUE"""),"https://www.wtvr.com/news/local-news/hanover-data-center-proposal-sept-8-2025")</f>
        <v>https://www.wtvr.com/news/local-news/hanover-data-center-proposal-sept-8-2025</v>
      </c>
      <c r="AJ1293" s="2" t="str">
        <f>IFERROR(__xludf.DUMMYFUNCTION("""COMPUTED_VALUE"""),"https://shows.acast.com/the-richmond-daily-news-now/episodes/hunting-hawk-golf-course-to-become-data-center")</f>
        <v>https://shows.acast.com/the-richmond-daily-news-now/episodes/hunting-hawk-golf-course-to-become-data-center</v>
      </c>
      <c r="AK1293" s="2" t="str">
        <f>IFERROR(__xludf.DUMMYFUNCTION("""COMPUTED_VALUE"""),"https://www.datacenterdynamics.com/en/news/900mw-data-center-campus-plan-withdrawn-in-hanover-county-virginia/")</f>
        <v>https://www.datacenterdynamics.com/en/news/900mw-data-center-campus-plan-withdrawn-in-hanover-county-virginia/</v>
      </c>
      <c r="AL1293" s="1" t="str">
        <f>IFERROR(__xludf.DUMMYFUNCTION("""COMPUTED_VALUE"""),"")</f>
        <v/>
      </c>
      <c r="AM1293" s="1" t="str">
        <f>IFERROR(__xludf.DUMMYFUNCTION("""COMPUTED_VALUE"""),"")</f>
        <v/>
      </c>
      <c r="AN1293" s="1" t="str">
        <f>IFERROR(__xludf.DUMMYFUNCTION("""COMPUTED_VALUE"""),"")</f>
        <v/>
      </c>
      <c r="AO1293" s="1" t="str">
        <f>IFERROR(__xludf.DUMMYFUNCTION("""COMPUTED_VALUE"""),"")</f>
        <v/>
      </c>
      <c r="AP1293" s="1" t="str">
        <f>IFERROR(__xludf.DUMMYFUNCTION("""COMPUTED_VALUE"""),"")</f>
        <v/>
      </c>
      <c r="AQ1293" s="1" t="str">
        <f>IFERROR(__xludf.DUMMYFUNCTION("""COMPUTED_VALUE"""),"09/10/2025")</f>
        <v>09/10/2025</v>
      </c>
      <c r="AR1293" s="1" t="str">
        <f>IFERROR(__xludf.DUMMYFUNCTION("""COMPUTED_VALUE"""),"03/16/2026")</f>
        <v>03/16/2026</v>
      </c>
    </row>
    <row r="1294">
      <c r="A1294" s="1" t="str">
        <f>IFERROR(__xludf.DUMMYFUNCTION("""COMPUTED_VALUE"""),"Tract Data Center")</f>
        <v>Tract Data Center</v>
      </c>
      <c r="B1294" s="1" t="str">
        <f>IFERROR(__xludf.DUMMYFUNCTION("""COMPUTED_VALUE"""),"Rt 33/ Mountain Rd/ Mountain Road Technology Park")</f>
        <v>Rt 33/ Mountain Rd/ Mountain Road Technology Park</v>
      </c>
      <c r="C1294" s="1" t="str">
        <f>IFERROR(__xludf.DUMMYFUNCTION("""COMPUTED_VALUE"""),"Glen Allen")</f>
        <v>Glen Allen</v>
      </c>
      <c r="D1294" s="1" t="str">
        <f>IFERROR(__xludf.DUMMYFUNCTION("""COMPUTED_VALUE"""),"VA")</f>
        <v>VA</v>
      </c>
      <c r="E1294" s="1" t="str">
        <f>IFERROR(__xludf.DUMMYFUNCTION("""COMPUTED_VALUE"""),"23059")</f>
        <v>23059</v>
      </c>
      <c r="F1294" s="1" t="str">
        <f>IFERROR(__xludf.DUMMYFUNCTION("""COMPUTED_VALUE"""),"Hanover")</f>
        <v>Hanover</v>
      </c>
      <c r="G1294" s="1" t="str">
        <f>IFERROR(__xludf.DUMMYFUNCTION("""COMPUTED_VALUE"""),"37.688793")</f>
        <v>37.688793</v>
      </c>
      <c r="H1294" s="1" t="str">
        <f>IFERROR(__xludf.DUMMYFUNCTION("""COMPUTED_VALUE"""),"-77.54134")</f>
        <v>-77.54134</v>
      </c>
      <c r="I1294" s="1" t="str">
        <f>IFERROR(__xludf.DUMMYFUNCTION("""COMPUTED_VALUE"""),"Suspended")</f>
        <v>Suspended</v>
      </c>
      <c r="J1294" s="1" t="str">
        <f>IFERROR(__xludf.DUMMYFUNCTION("""COMPUTED_VALUE"""),"High")</f>
        <v>High</v>
      </c>
      <c r="K1294" s="1" t="str">
        <f>IFERROR(__xludf.DUMMYFUNCTION("""COMPUTED_VALUE"""),"")</f>
        <v/>
      </c>
      <c r="L1294" s="1" t="str">
        <f>IFERROR(__xludf.DUMMYFUNCTION("""COMPUTED_VALUE"""),"Tract")</f>
        <v>Tract</v>
      </c>
      <c r="M1294" s="1" t="str">
        <f>IFERROR(__xludf.DUMMYFUNCTION("""COMPUTED_VALUE"""),"")</f>
        <v/>
      </c>
      <c r="N1294" s="1" t="str">
        <f>IFERROR(__xludf.DUMMYFUNCTION("""COMPUTED_VALUE"""),"900")</f>
        <v>900</v>
      </c>
      <c r="O1294" s="1" t="str">
        <f>IFERROR(__xludf.DUMMYFUNCTION("""COMPUTED_VALUE"""),"Hyperscale (100-999 MW)")</f>
        <v>Hyperscale (100-999 MW)</v>
      </c>
      <c r="P1294" s="1" t="str">
        <f>IFERROR(__xludf.DUMMYFUNCTION("""COMPUTED_VALUE"""),"")</f>
        <v/>
      </c>
      <c r="Q1294" s="1" t="str">
        <f>IFERROR(__xludf.DUMMYFUNCTION("""COMPUTED_VALUE"""),"")</f>
        <v/>
      </c>
      <c r="R1294" s="1" t="str">
        <f>IFERROR(__xludf.DUMMYFUNCTION("""COMPUTED_VALUE"""),"")</f>
        <v/>
      </c>
      <c r="S1294" s="1" t="str">
        <f>IFERROR(__xludf.DUMMYFUNCTION("""COMPUTED_VALUE"""),"7")</f>
        <v>7</v>
      </c>
      <c r="T1294" s="1" t="str">
        <f>IFERROR(__xludf.DUMMYFUNCTION("""COMPUTED_VALUE"""),"")</f>
        <v/>
      </c>
      <c r="U1294" s="1" t="str">
        <f>IFERROR(__xludf.DUMMYFUNCTION("""COMPUTED_VALUE"""),"")</f>
        <v/>
      </c>
      <c r="V1294" s="1" t="str">
        <f>IFERROR(__xludf.DUMMYFUNCTION("""COMPUTED_VALUE"""),"")</f>
        <v/>
      </c>
      <c r="W1294" s="1" t="str">
        <f>IFERROR(__xludf.DUMMYFUNCTION("""COMPUTED_VALUE"""),"430")</f>
        <v>430</v>
      </c>
      <c r="X1294" s="1" t="str">
        <f>IFERROR(__xludf.DUMMYFUNCTION("""COMPUTED_VALUE"""),"")</f>
        <v/>
      </c>
      <c r="Y1294" s="1" t="str">
        <f>IFERROR(__xludf.DUMMYFUNCTION("""COMPUTED_VALUE"""),"")</f>
        <v/>
      </c>
      <c r="Z1294" s="1" t="str">
        <f>IFERROR(__xludf.DUMMYFUNCTION("""COMPUTED_VALUE"""),"Yes")</f>
        <v>Yes</v>
      </c>
      <c r="AA1294" s="1" t="str">
        <f>IFERROR(__xludf.DUMMYFUNCTION("""COMPUTED_VALUE"""),"")</f>
        <v/>
      </c>
      <c r="AB1294" s="1" t="str">
        <f>IFERROR(__xludf.DUMMYFUNCTION("""COMPUTED_VALUE"""),"")</f>
        <v/>
      </c>
      <c r="AC1294" s="1" t="str">
        <f>IFERROR(__xludf.DUMMYFUNCTION("""COMPUTED_VALUE"""),"")</f>
        <v/>
      </c>
      <c r="AD1294" s="2" t="str">
        <f>IFERROR(__xludf.DUMMYFUNCTION("""COMPUTED_VALUE"""),"https://www.facebook.com/people/Stop-Hanover-Data-Centers/61584663185622/")</f>
        <v>https://www.facebook.com/people/Stop-Hanover-Data-Centers/61584663185622/</v>
      </c>
      <c r="AE1294" s="1" t="str">
        <f>IFERROR(__xludf.DUMMYFUNCTION("""COMPUTED_VALUE"""),"")</f>
        <v/>
      </c>
      <c r="AF1294" s="1" t="str">
        <f>IFERROR(__xludf.DUMMYFUNCTION("""COMPUTED_VALUE"""),"")</f>
        <v/>
      </c>
      <c r="AG1294" s="1" t="str">
        <f>IFERROR(__xludf.DUMMYFUNCTION("""COMPUTED_VALUE"""),"")</f>
        <v/>
      </c>
      <c r="AH1294" s="1" t="str">
        <f>IFERROR(__xludf.DUMMYFUNCTION("""COMPUTED_VALUE"""),"Media Monitoring")</f>
        <v>Media Monitoring</v>
      </c>
      <c r="AI1294" s="2" t="str">
        <f>IFERROR(__xludf.DUMMYFUNCTION("""COMPUTED_VALUE"""),"https://www.datacenterdynamics.com/en/news/tracts-430-acre-data-center-rejected-by-local-officials-in-hanover-county-virginia/")</f>
        <v>https://www.datacenterdynamics.com/en/news/tracts-430-acre-data-center-rejected-by-local-officials-in-hanover-county-virginia/</v>
      </c>
      <c r="AJ1294" s="1" t="str">
        <f>IFERROR(__xludf.DUMMYFUNCTION("""COMPUTED_VALUE"""),"")</f>
        <v/>
      </c>
      <c r="AK1294" s="1" t="str">
        <f>IFERROR(__xludf.DUMMYFUNCTION("""COMPUTED_VALUE"""),"")</f>
        <v/>
      </c>
      <c r="AL1294" s="1" t="str">
        <f>IFERROR(__xludf.DUMMYFUNCTION("""COMPUTED_VALUE"""),"")</f>
        <v/>
      </c>
      <c r="AM1294" s="1" t="str">
        <f>IFERROR(__xludf.DUMMYFUNCTION("""COMPUTED_VALUE"""),"")</f>
        <v/>
      </c>
      <c r="AN1294" s="1" t="str">
        <f>IFERROR(__xludf.DUMMYFUNCTION("""COMPUTED_VALUE"""),"")</f>
        <v/>
      </c>
      <c r="AO1294" s="1" t="str">
        <f>IFERROR(__xludf.DUMMYFUNCTION("""COMPUTED_VALUE"""),"")</f>
        <v/>
      </c>
      <c r="AP1294" s="1" t="str">
        <f>IFERROR(__xludf.DUMMYFUNCTION("""COMPUTED_VALUE"""),"")</f>
        <v/>
      </c>
      <c r="AQ1294" s="1" t="str">
        <f>IFERROR(__xludf.DUMMYFUNCTION("""COMPUTED_VALUE"""),"06/07/2026")</f>
        <v>06/07/2026</v>
      </c>
      <c r="AR1294" s="1" t="str">
        <f>IFERROR(__xludf.DUMMYFUNCTION("""COMPUTED_VALUE"""),"06/07/2026")</f>
        <v>06/07/2026</v>
      </c>
    </row>
    <row r="1295">
      <c r="A1295" s="1" t="str">
        <f>IFERROR(__xludf.DUMMYFUNCTION("""COMPUTED_VALUE"""),"Unnamed Data Center")</f>
        <v>Unnamed Data Center</v>
      </c>
      <c r="B1295" s="1" t="str">
        <f>IFERROR(__xludf.DUMMYFUNCTION("""COMPUTED_VALUE"""),"6321 ROCKFORD SCH RD")</f>
        <v>6321 ROCKFORD SCH RD</v>
      </c>
      <c r="C1295" s="1" t="str">
        <f>IFERROR(__xludf.DUMMYFUNCTION("""COMPUTED_VALUE"""),"Gretna")</f>
        <v>Gretna</v>
      </c>
      <c r="D1295" s="1" t="str">
        <f>IFERROR(__xludf.DUMMYFUNCTION("""COMPUTED_VALUE"""),"VA")</f>
        <v>VA</v>
      </c>
      <c r="E1295" s="1" t="str">
        <f>IFERROR(__xludf.DUMMYFUNCTION("""COMPUTED_VALUE"""),"24557")</f>
        <v>24557</v>
      </c>
      <c r="F1295" s="1" t="str">
        <f>IFERROR(__xludf.DUMMYFUNCTION("""COMPUTED_VALUE"""),"Pittsylvania")</f>
        <v>Pittsylvania</v>
      </c>
      <c r="G1295" s="1" t="str">
        <f>IFERROR(__xludf.DUMMYFUNCTION("""COMPUTED_VALUE"""),"36.98035")</f>
        <v>36.98035</v>
      </c>
      <c r="H1295" s="1" t="str">
        <f>IFERROR(__xludf.DUMMYFUNCTION("""COMPUTED_VALUE"""),"-79.35187")</f>
        <v>-79.35187</v>
      </c>
      <c r="I1295" s="1" t="str">
        <f>IFERROR(__xludf.DUMMYFUNCTION("""COMPUTED_VALUE"""),"Proposed")</f>
        <v>Proposed</v>
      </c>
      <c r="J1295" s="1" t="str">
        <f>IFERROR(__xludf.DUMMYFUNCTION("""COMPUTED_VALUE"""),"High")</f>
        <v>High</v>
      </c>
      <c r="K1295" s="1" t="str">
        <f>IFERROR(__xludf.DUMMYFUNCTION("""COMPUTED_VALUE"""),"")</f>
        <v/>
      </c>
      <c r="L1295" s="1" t="str">
        <f>IFERROR(__xludf.DUMMYFUNCTION("""COMPUTED_VALUE"""),"BOLES, BRENDA ET ALS EAST, SHARON ET ALS BOLES, DOUGLAS ET ALS KELLEY, OTEY HARRIS III ET ALS KELLEY, CHARLES ET ALS")</f>
        <v>BOLES, BRENDA ET ALS EAST, SHARON ET ALS BOLES, DOUGLAS ET ALS KELLEY, OTEY HARRIS III ET ALS KELLEY, CHARLES ET ALS</v>
      </c>
      <c r="M1295" s="1" t="str">
        <f>IFERROR(__xludf.DUMMYFUNCTION("""COMPUTED_VALUE"""),"")</f>
        <v/>
      </c>
      <c r="N1295" s="1" t="str">
        <f>IFERROR(__xludf.DUMMYFUNCTION("""COMPUTED_VALUE"""),"")</f>
        <v/>
      </c>
      <c r="O1295" s="1" t="str">
        <f>IFERROR(__xludf.DUMMYFUNCTION("""COMPUTED_VALUE"""),"Unknown")</f>
        <v>Unknown</v>
      </c>
      <c r="P1295" s="1" t="str">
        <f>IFERROR(__xludf.DUMMYFUNCTION("""COMPUTED_VALUE"""),"")</f>
        <v/>
      </c>
      <c r="Q1295" s="1" t="str">
        <f>IFERROR(__xludf.DUMMYFUNCTION("""COMPUTED_VALUE"""),"")</f>
        <v/>
      </c>
      <c r="R1295" s="1" t="str">
        <f>IFERROR(__xludf.DUMMYFUNCTION("""COMPUTED_VALUE"""),"")</f>
        <v/>
      </c>
      <c r="S1295" s="1" t="str">
        <f>IFERROR(__xludf.DUMMYFUNCTION("""COMPUTED_VALUE"""),"")</f>
        <v/>
      </c>
      <c r="T1295" s="1" t="str">
        <f>IFERROR(__xludf.DUMMYFUNCTION("""COMPUTED_VALUE"""),"")</f>
        <v/>
      </c>
      <c r="U1295" s="1" t="str">
        <f>IFERROR(__xludf.DUMMYFUNCTION("""COMPUTED_VALUE"""),"")</f>
        <v/>
      </c>
      <c r="V1295" s="1" t="str">
        <f>IFERROR(__xludf.DUMMYFUNCTION("""COMPUTED_VALUE"""),"2,280,801")</f>
        <v>2,280,801</v>
      </c>
      <c r="W1295" s="1" t="str">
        <f>IFERROR(__xludf.DUMMYFUNCTION("""COMPUTED_VALUE"""),"52")</f>
        <v>52</v>
      </c>
      <c r="X1295" s="1" t="str">
        <f>IFERROR(__xludf.DUMMYFUNCTION("""COMPUTED_VALUE"""),"")</f>
        <v/>
      </c>
      <c r="Y1295" s="1" t="str">
        <f>IFERROR(__xludf.DUMMYFUNCTION("""COMPUTED_VALUE"""),"")</f>
        <v/>
      </c>
      <c r="Z1295" s="1" t="str">
        <f>IFERROR(__xludf.DUMMYFUNCTION("""COMPUTED_VALUE"""),"Unknown")</f>
        <v>Unknown</v>
      </c>
      <c r="AA1295" s="1" t="str">
        <f>IFERROR(__xludf.DUMMYFUNCTION("""COMPUTED_VALUE"""),"")</f>
        <v/>
      </c>
      <c r="AB1295" s="1" t="str">
        <f>IFERROR(__xludf.DUMMYFUNCTION("""COMPUTED_VALUE"""),"")</f>
        <v/>
      </c>
      <c r="AC1295" s="1" t="str">
        <f>IFERROR(__xludf.DUMMYFUNCTION("""COMPUTED_VALUE"""),"")</f>
        <v/>
      </c>
      <c r="AD1295" s="1" t="str">
        <f>IFERROR(__xludf.DUMMYFUNCTION("""COMPUTED_VALUE"""),"")</f>
        <v/>
      </c>
      <c r="AE1295" s="1" t="str">
        <f>IFERROR(__xludf.DUMMYFUNCTION("""COMPUTED_VALUE"""),"")</f>
        <v/>
      </c>
      <c r="AF1295" s="1" t="str">
        <f>IFERROR(__xludf.DUMMYFUNCTION("""COMPUTED_VALUE"""),"")</f>
        <v/>
      </c>
      <c r="AG1295" s="1" t="str">
        <f>IFERROR(__xludf.DUMMYFUNCTION("""COMPUTED_VALUE"""),"")</f>
        <v/>
      </c>
      <c r="AH1295" s="1" t="str">
        <f>IFERROR(__xludf.DUMMYFUNCTION("""COMPUTED_VALUE"""),"PEC")</f>
        <v>PEC</v>
      </c>
      <c r="AI1295" s="2" t="str">
        <f>IFERROR(__xludf.DUMMYFUNCTION("""COMPUTED_VALUE"""),"https://experience.arcgis.com/experience/72964533b5b14058835193306c7a33bc#data_s=id%3AdataSource_4-18e66caa3c0-layer-48%3A1299%2Cid%3Awidget_251_output_config_9%3A0&amp;widget_101=active_datasource_id:dataSource_4,center:-8833175.170597687%2C4436226.724131098"&amp;"%2C102100,scale:3328.2265114471415,rotation:0,viewpoint:%7B%22rotation%22%3A0%2C%22scale%22%3A3328.2265114471415%2C%22targetGeometry%22%3A%7B%22spatialReference%22%3A%7B%22latestWkid%22%3A3857%2C%22wkid%22%3A102100%7D%2C%22x%22%3A-8833175.170597687%2C%22y"&amp;"%22%3A4436226.724131098%7D%7D")</f>
        <v>https://experience.arcgis.com/experience/72964533b5b14058835193306c7a33bc#data_s=id%3AdataSource_4-18e66caa3c0-layer-48%3A1299%2Cid%3Awidget_251_output_config_9%3A0&amp;widget_101=active_datasource_id:dataSource_4,center:-8833175.170597687%2C4436226.724131098%2C102100,scale:3328.2265114471415,rotation:0,viewpoint:%7B%22rotation%22%3A0%2C%22scale%22%3A3328.2265114471415%2C%22targetGeometry%22%3A%7B%22spatialReference%22%3A%7B%22latestWkid%22%3A3857%2C%22wkid%22%3A102100%7D%2C%22x%22%3A-8833175.170597687%2C%22y%22%3A4436226.724131098%7D%7D</v>
      </c>
      <c r="AJ1295" s="2" t="str">
        <f>IFERROR(__xludf.DUMMYFUNCTION("""COMPUTED_VALUE"""),"https://experience.arcgis.com/experience/72964533b5b14058835193306c7a33bc#data_s=id%3AdataSource_4-18e66caa3c0-layer-48%3A1299%2Cid%3Awidget_251_output_config_9%3A0&amp;widget_101=active_datasource_id:dataSource_4,center:-8833175.170597687%2C4436226.724131098"&amp;"%2C102100,scale:3328.2265114471415,rotation:0,viewpoint:%7B%22rotation%22%3A0%2C%22scale%22%3A3328.2265114471415%2C%22targetGeometry%22%3A%7B%22spatialReference%22%3A%7B%22latestWkid%22%3A3857%2C%22wkid%22%3A102100%7D%2C%22x%22%3A-8833175.170597687%2C%22y"&amp;"%22%3A4436226.724131098%7D%7D")</f>
        <v>https://experience.arcgis.com/experience/72964533b5b14058835193306c7a33bc#data_s=id%3AdataSource_4-18e66caa3c0-layer-48%3A1299%2Cid%3Awidget_251_output_config_9%3A0&amp;widget_101=active_datasource_id:dataSource_4,center:-8833175.170597687%2C4436226.724131098%2C102100,scale:3328.2265114471415,rotation:0,viewpoint:%7B%22rotation%22%3A0%2C%22scale%22%3A3328.2265114471415%2C%22targetGeometry%22%3A%7B%22spatialReference%22%3A%7B%22latestWkid%22%3A3857%2C%22wkid%22%3A102100%7D%2C%22x%22%3A-8833175.170597687%2C%22y%22%3A4436226.724131098%7D%7D</v>
      </c>
      <c r="AK1295" s="1" t="str">
        <f>IFERROR(__xludf.DUMMYFUNCTION("""COMPUTED_VALUE"""),"")</f>
        <v/>
      </c>
      <c r="AL1295" s="1" t="str">
        <f>IFERROR(__xludf.DUMMYFUNCTION("""COMPUTED_VALUE"""),"")</f>
        <v/>
      </c>
      <c r="AM1295" s="1" t="str">
        <f>IFERROR(__xludf.DUMMYFUNCTION("""COMPUTED_VALUE"""),"")</f>
        <v/>
      </c>
      <c r="AN1295" s="1" t="str">
        <f>IFERROR(__xludf.DUMMYFUNCTION("""COMPUTED_VALUE"""),"")</f>
        <v/>
      </c>
      <c r="AO1295" s="1" t="str">
        <f>IFERROR(__xludf.DUMMYFUNCTION("""COMPUTED_VALUE"""),"")</f>
        <v/>
      </c>
      <c r="AP1295" s="1" t="str">
        <f>IFERROR(__xludf.DUMMYFUNCTION("""COMPUTED_VALUE"""),"")</f>
        <v/>
      </c>
      <c r="AQ1295" s="1" t="str">
        <f>IFERROR(__xludf.DUMMYFUNCTION("""COMPUTED_VALUE"""),"01/15/2025")</f>
        <v>01/15/2025</v>
      </c>
      <c r="AR1295" s="1" t="str">
        <f>IFERROR(__xludf.DUMMYFUNCTION("""COMPUTED_VALUE"""),"10/17/2025")</f>
        <v>10/17/2025</v>
      </c>
    </row>
    <row r="1296">
      <c r="A1296" s="1" t="str">
        <f>IFERROR(__xludf.DUMMYFUNCTION("""COMPUTED_VALUE"""),"DBT Data Cyber Integration Center")</f>
        <v>DBT Data Cyber Integration Center</v>
      </c>
      <c r="B1296" s="1" t="str">
        <f>IFERROR(__xludf.DUMMYFUNCTION("""COMPUTED_VALUE"""),"139 TYCO ST")</f>
        <v>139 TYCO ST</v>
      </c>
      <c r="C1296" s="1" t="str">
        <f>IFERROR(__xludf.DUMMYFUNCTION("""COMPUTED_VALUE"""),"Harrisonburg")</f>
        <v>Harrisonburg</v>
      </c>
      <c r="D1296" s="1" t="str">
        <f>IFERROR(__xludf.DUMMYFUNCTION("""COMPUTED_VALUE"""),"VA")</f>
        <v>VA</v>
      </c>
      <c r="E1296" s="1" t="str">
        <f>IFERROR(__xludf.DUMMYFUNCTION("""COMPUTED_VALUE"""),"22802")</f>
        <v>22802</v>
      </c>
      <c r="F1296" s="1" t="str">
        <f>IFERROR(__xludf.DUMMYFUNCTION("""COMPUTED_VALUE"""),"Harrisonburg")</f>
        <v>Harrisonburg</v>
      </c>
      <c r="G1296" s="1" t="str">
        <f>IFERROR(__xludf.DUMMYFUNCTION("""COMPUTED_VALUE"""),"38.462486")</f>
        <v>38.462486</v>
      </c>
      <c r="H1296" s="1" t="str">
        <f>IFERROR(__xludf.DUMMYFUNCTION("""COMPUTED_VALUE"""),"-78.8568")</f>
        <v>-78.8568</v>
      </c>
      <c r="I1296" s="1" t="str">
        <f>IFERROR(__xludf.DUMMYFUNCTION("""COMPUTED_VALUE"""),"Expanding")</f>
        <v>Expanding</v>
      </c>
      <c r="J1296" s="1" t="str">
        <f>IFERROR(__xludf.DUMMYFUNCTION("""COMPUTED_VALUE"""),"High")</f>
        <v>High</v>
      </c>
      <c r="K1296" s="1" t="str">
        <f>IFERROR(__xludf.DUMMYFUNCTION("""COMPUTED_VALUE"""),"")</f>
        <v/>
      </c>
      <c r="L1296" s="1" t="str">
        <f>IFERROR(__xludf.DUMMYFUNCTION("""COMPUTED_VALUE"""),"AC 139 TYCO STREET LLC")</f>
        <v>AC 139 TYCO STREET LLC</v>
      </c>
      <c r="M1296" s="1" t="str">
        <f>IFERROR(__xludf.DUMMYFUNCTION("""COMPUTED_VALUE"""),"")</f>
        <v/>
      </c>
      <c r="N1296" s="1" t="str">
        <f>IFERROR(__xludf.DUMMYFUNCTION("""COMPUTED_VALUE"""),"")</f>
        <v/>
      </c>
      <c r="O1296" s="1" t="str">
        <f>IFERROR(__xludf.DUMMYFUNCTION("""COMPUTED_VALUE"""),"Unknown")</f>
        <v>Unknown</v>
      </c>
      <c r="P1296" s="1" t="str">
        <f>IFERROR(__xludf.DUMMYFUNCTION("""COMPUTED_VALUE"""),"")</f>
        <v/>
      </c>
      <c r="Q1296" s="1" t="str">
        <f>IFERROR(__xludf.DUMMYFUNCTION("""COMPUTED_VALUE"""),"")</f>
        <v/>
      </c>
      <c r="R1296" s="1" t="str">
        <f>IFERROR(__xludf.DUMMYFUNCTION("""COMPUTED_VALUE"""),"")</f>
        <v/>
      </c>
      <c r="S1296" s="1" t="str">
        <f>IFERROR(__xludf.DUMMYFUNCTION("""COMPUTED_VALUE"""),"")</f>
        <v/>
      </c>
      <c r="T1296" s="1" t="str">
        <f>IFERROR(__xludf.DUMMYFUNCTION("""COMPUTED_VALUE"""),"")</f>
        <v/>
      </c>
      <c r="U1296" s="1" t="str">
        <f>IFERROR(__xludf.DUMMYFUNCTION("""COMPUTED_VALUE"""),"")</f>
        <v/>
      </c>
      <c r="V1296" s="1" t="str">
        <f>IFERROR(__xludf.DUMMYFUNCTION("""COMPUTED_VALUE"""),"95,500")</f>
        <v>95,500</v>
      </c>
      <c r="W1296" s="1" t="str">
        <f>IFERROR(__xludf.DUMMYFUNCTION("""COMPUTED_VALUE"""),"12")</f>
        <v>12</v>
      </c>
      <c r="X1296" s="1" t="str">
        <f>IFERROR(__xludf.DUMMYFUNCTION("""COMPUTED_VALUE"""),"")</f>
        <v/>
      </c>
      <c r="Y1296" s="1" t="str">
        <f>IFERROR(__xludf.DUMMYFUNCTION("""COMPUTED_VALUE"""),"")</f>
        <v/>
      </c>
      <c r="Z1296" s="1" t="str">
        <f>IFERROR(__xludf.DUMMYFUNCTION("""COMPUTED_VALUE"""),"Unknown")</f>
        <v>Unknown</v>
      </c>
      <c r="AA1296" s="1" t="str">
        <f>IFERROR(__xludf.DUMMYFUNCTION("""COMPUTED_VALUE"""),"")</f>
        <v/>
      </c>
      <c r="AB1296" s="1" t="str">
        <f>IFERROR(__xludf.DUMMYFUNCTION("""COMPUTED_VALUE"""),"")</f>
        <v/>
      </c>
      <c r="AC1296" s="1" t="str">
        <f>IFERROR(__xludf.DUMMYFUNCTION("""COMPUTED_VALUE"""),"")</f>
        <v/>
      </c>
      <c r="AD1296" s="1" t="str">
        <f>IFERROR(__xludf.DUMMYFUNCTION("""COMPUTED_VALUE"""),"")</f>
        <v/>
      </c>
      <c r="AE1296" s="1" t="str">
        <f>IFERROR(__xludf.DUMMYFUNCTION("""COMPUTED_VALUE"""),"")</f>
        <v/>
      </c>
      <c r="AF1296" s="1" t="str">
        <f>IFERROR(__xludf.DUMMYFUNCTION("""COMPUTED_VALUE"""),"")</f>
        <v/>
      </c>
      <c r="AG1296" s="1" t="str">
        <f>IFERROR(__xludf.DUMMYFUNCTION("""COMPUTED_VALUE"""),"30,000 sq ft expansion")</f>
        <v>30,000 sq ft expansion</v>
      </c>
      <c r="AH1296" s="1" t="str">
        <f>IFERROR(__xludf.DUMMYFUNCTION("""COMPUTED_VALUE"""),"PEC")</f>
        <v>PEC</v>
      </c>
      <c r="AI1296" s="2" t="str">
        <f>IFERROR(__xludf.DUMMYFUNCTION("""COMPUTED_VALUE"""),"https://gis.vgsi.com/HarrisonburgVAMap/")</f>
        <v>https://gis.vgsi.com/HarrisonburgVAMap/</v>
      </c>
      <c r="AJ1296" s="1" t="str">
        <f>IFERROR(__xludf.DUMMYFUNCTION("""COMPUTED_VALUE"""),"")</f>
        <v/>
      </c>
      <c r="AK1296" s="1" t="str">
        <f>IFERROR(__xludf.DUMMYFUNCTION("""COMPUTED_VALUE"""),"")</f>
        <v/>
      </c>
      <c r="AL1296" s="1" t="str">
        <f>IFERROR(__xludf.DUMMYFUNCTION("""COMPUTED_VALUE"""),"")</f>
        <v/>
      </c>
      <c r="AM1296" s="1" t="str">
        <f>IFERROR(__xludf.DUMMYFUNCTION("""COMPUTED_VALUE"""),"")</f>
        <v/>
      </c>
      <c r="AN1296" s="1" t="str">
        <f>IFERROR(__xludf.DUMMYFUNCTION("""COMPUTED_VALUE"""),"")</f>
        <v/>
      </c>
      <c r="AO1296" s="1" t="str">
        <f>IFERROR(__xludf.DUMMYFUNCTION("""COMPUTED_VALUE"""),"")</f>
        <v/>
      </c>
      <c r="AP1296" s="1" t="str">
        <f>IFERROR(__xludf.DUMMYFUNCTION("""COMPUTED_VALUE"""),"")</f>
        <v/>
      </c>
      <c r="AQ1296" s="1" t="str">
        <f>IFERROR(__xludf.DUMMYFUNCTION("""COMPUTED_VALUE"""),"04/10/2024")</f>
        <v>04/10/2024</v>
      </c>
      <c r="AR1296" s="1" t="str">
        <f>IFERROR(__xludf.DUMMYFUNCTION("""COMPUTED_VALUE"""),"02/10/2026")</f>
        <v>02/10/2026</v>
      </c>
    </row>
    <row r="1297">
      <c r="A1297" s="1" t="str">
        <f>IFERROR(__xludf.DUMMYFUNCTION("""COMPUTED_VALUE"""),"AMAZON DATA SERVICES INC")</f>
        <v>AMAZON DATA SERVICES INC</v>
      </c>
      <c r="B1297" s="1" t="str">
        <f>IFERROR(__xludf.DUMMYFUNCTION("""COMPUTED_VALUE"""),"15435 JOHN MARSHALL HWY")</f>
        <v>15435 JOHN MARSHALL HWY</v>
      </c>
      <c r="C1297" s="1" t="str">
        <f>IFERROR(__xludf.DUMMYFUNCTION("""COMPUTED_VALUE"""),"Haymarket")</f>
        <v>Haymarket</v>
      </c>
      <c r="D1297" s="1" t="str">
        <f>IFERROR(__xludf.DUMMYFUNCTION("""COMPUTED_VALUE"""),"VA")</f>
        <v>VA</v>
      </c>
      <c r="E1297" s="1" t="str">
        <f>IFERROR(__xludf.DUMMYFUNCTION("""COMPUTED_VALUE"""),"20169")</f>
        <v>20169</v>
      </c>
      <c r="F1297" s="1" t="str">
        <f>IFERROR(__xludf.DUMMYFUNCTION("""COMPUTED_VALUE"""),"Prince William")</f>
        <v>Prince William</v>
      </c>
      <c r="G1297" s="1" t="str">
        <f>IFERROR(__xludf.DUMMYFUNCTION("""COMPUTED_VALUE"""),"38.815937")</f>
        <v>38.815937</v>
      </c>
      <c r="H1297" s="1" t="str">
        <f>IFERROR(__xludf.DUMMYFUNCTION("""COMPUTED_VALUE"""),"-77.652245")</f>
        <v>-77.652245</v>
      </c>
      <c r="I1297" s="1" t="str">
        <f>IFERROR(__xludf.DUMMYFUNCTION("""COMPUTED_VALUE"""),"Operating")</f>
        <v>Operating</v>
      </c>
      <c r="J1297" s="1" t="str">
        <f>IFERROR(__xludf.DUMMYFUNCTION("""COMPUTED_VALUE"""),"High")</f>
        <v>High</v>
      </c>
      <c r="K1297" s="1" t="str">
        <f>IFERROR(__xludf.DUMMYFUNCTION("""COMPUTED_VALUE"""),"")</f>
        <v/>
      </c>
      <c r="L1297" s="1" t="str">
        <f>IFERROR(__xludf.DUMMYFUNCTION("""COMPUTED_VALUE"""),"Amazon")</f>
        <v>Amazon</v>
      </c>
      <c r="M1297" s="1" t="str">
        <f>IFERROR(__xludf.DUMMYFUNCTION("""COMPUTED_VALUE"""),"")</f>
        <v/>
      </c>
      <c r="N1297" s="1" t="str">
        <f>IFERROR(__xludf.DUMMYFUNCTION("""COMPUTED_VALUE"""),"")</f>
        <v/>
      </c>
      <c r="O1297" s="1" t="str">
        <f>IFERROR(__xludf.DUMMYFUNCTION("""COMPUTED_VALUE"""),"Unknown")</f>
        <v>Unknown</v>
      </c>
      <c r="P1297" s="1" t="str">
        <f>IFERROR(__xludf.DUMMYFUNCTION("""COMPUTED_VALUE"""),"")</f>
        <v/>
      </c>
      <c r="Q1297" s="1" t="str">
        <f>IFERROR(__xludf.DUMMYFUNCTION("""COMPUTED_VALUE"""),"")</f>
        <v/>
      </c>
      <c r="R1297" s="1" t="str">
        <f>IFERROR(__xludf.DUMMYFUNCTION("""COMPUTED_VALUE"""),"")</f>
        <v/>
      </c>
      <c r="S1297" s="1" t="str">
        <f>IFERROR(__xludf.DUMMYFUNCTION("""COMPUTED_VALUE"""),"")</f>
        <v/>
      </c>
      <c r="T1297" s="1" t="str">
        <f>IFERROR(__xludf.DUMMYFUNCTION("""COMPUTED_VALUE"""),"")</f>
        <v/>
      </c>
      <c r="U1297" s="1" t="str">
        <f>IFERROR(__xludf.DUMMYFUNCTION("""COMPUTED_VALUE"""),"")</f>
        <v/>
      </c>
      <c r="V1297" s="1" t="str">
        <f>IFERROR(__xludf.DUMMYFUNCTION("""COMPUTED_VALUE"""),"453,174")</f>
        <v>453,174</v>
      </c>
      <c r="W1297" s="1" t="str">
        <f>IFERROR(__xludf.DUMMYFUNCTION("""COMPUTED_VALUE"""),"39")</f>
        <v>39</v>
      </c>
      <c r="X1297" s="1" t="str">
        <f>IFERROR(__xludf.DUMMYFUNCTION("""COMPUTED_VALUE"""),"")</f>
        <v/>
      </c>
      <c r="Y1297" s="1" t="str">
        <f>IFERROR(__xludf.DUMMYFUNCTION("""COMPUTED_VALUE"""),"")</f>
        <v/>
      </c>
      <c r="Z1297" s="1" t="str">
        <f>IFERROR(__xludf.DUMMYFUNCTION("""COMPUTED_VALUE"""),"Unknown")</f>
        <v>Unknown</v>
      </c>
      <c r="AA1297" s="1" t="str">
        <f>IFERROR(__xludf.DUMMYFUNCTION("""COMPUTED_VALUE"""),"")</f>
        <v/>
      </c>
      <c r="AB1297" s="1" t="str">
        <f>IFERROR(__xludf.DUMMYFUNCTION("""COMPUTED_VALUE"""),"")</f>
        <v/>
      </c>
      <c r="AC1297" s="1" t="str">
        <f>IFERROR(__xludf.DUMMYFUNCTION("""COMPUTED_VALUE"""),"")</f>
        <v/>
      </c>
      <c r="AD1297" s="1" t="str">
        <f>IFERROR(__xludf.DUMMYFUNCTION("""COMPUTED_VALUE"""),"")</f>
        <v/>
      </c>
      <c r="AE1297" s="1" t="str">
        <f>IFERROR(__xludf.DUMMYFUNCTION("""COMPUTED_VALUE"""),"")</f>
        <v/>
      </c>
      <c r="AF1297" s="1" t="str">
        <f>IFERROR(__xludf.DUMMYFUNCTION("""COMPUTED_VALUE"""),"")</f>
        <v/>
      </c>
      <c r="AG1297" s="1" t="str">
        <f>IFERROR(__xludf.DUMMYFUNCTION("""COMPUTED_VALUE"""),"")</f>
        <v/>
      </c>
      <c r="AH1297" s="1" t="str">
        <f>IFERROR(__xludf.DUMMYFUNCTION("""COMPUTED_VALUE"""),"PEC")</f>
        <v>PEC</v>
      </c>
      <c r="AI1297" s="2" t="str">
        <f>IFERROR(__xludf.DUMMYFUNCTION("""COMPUTED_VALUE"""),"https://pwc.publicaccessnow.com/PropertyDetail.aspx?mpropertynumber=014988&amp;mtab=property&amp;p=014988")</f>
        <v>https://pwc.publicaccessnow.com/PropertyDetail.aspx?mpropertynumber=014988&amp;mtab=property&amp;p=014988</v>
      </c>
      <c r="AJ1297" s="2" t="str">
        <f>IFERROR(__xludf.DUMMYFUNCTION("""COMPUTED_VALUE"""),"https://pwc.publicaccessnow.com/PropertyDetail.aspx?mtab=property&amp;mpropertynumber=014988")</f>
        <v>https://pwc.publicaccessnow.com/PropertyDetail.aspx?mtab=property&amp;mpropertynumber=014988</v>
      </c>
      <c r="AK1297" s="1" t="str">
        <f>IFERROR(__xludf.DUMMYFUNCTION("""COMPUTED_VALUE"""),"")</f>
        <v/>
      </c>
      <c r="AL1297" s="1" t="str">
        <f>IFERROR(__xludf.DUMMYFUNCTION("""COMPUTED_VALUE"""),"")</f>
        <v/>
      </c>
      <c r="AM1297" s="1" t="str">
        <f>IFERROR(__xludf.DUMMYFUNCTION("""COMPUTED_VALUE"""),"")</f>
        <v/>
      </c>
      <c r="AN1297" s="1" t="str">
        <f>IFERROR(__xludf.DUMMYFUNCTION("""COMPUTED_VALUE"""),"")</f>
        <v/>
      </c>
      <c r="AO1297" s="1" t="str">
        <f>IFERROR(__xludf.DUMMYFUNCTION("""COMPUTED_VALUE"""),"")</f>
        <v/>
      </c>
      <c r="AP1297" s="1" t="str">
        <f>IFERROR(__xludf.DUMMYFUNCTION("""COMPUTED_VALUE"""),"")</f>
        <v/>
      </c>
      <c r="AQ1297" s="1" t="str">
        <f>IFERROR(__xludf.DUMMYFUNCTION("""COMPUTED_VALUE"""),"07/15/2025")</f>
        <v>07/15/2025</v>
      </c>
      <c r="AR1297" s="1" t="str">
        <f>IFERROR(__xludf.DUMMYFUNCTION("""COMPUTED_VALUE"""),"10/17/2025")</f>
        <v>10/17/2025</v>
      </c>
    </row>
    <row r="1298">
      <c r="A1298" s="1" t="str">
        <f>IFERROR(__xludf.DUMMYFUNCTION("""COMPUTED_VALUE"""),"DC 11 DE LLC (Amazon)")</f>
        <v>DC 11 DE LLC (Amazon)</v>
      </c>
      <c r="B1298" s="1" t="str">
        <f>IFERROR(__xludf.DUMMYFUNCTION("""COMPUTED_VALUE"""),"15395 JOHN MARSHALL HWY")</f>
        <v>15395 JOHN MARSHALL HWY</v>
      </c>
      <c r="C1298" s="1" t="str">
        <f>IFERROR(__xludf.DUMMYFUNCTION("""COMPUTED_VALUE"""),"Haymarket")</f>
        <v>Haymarket</v>
      </c>
      <c r="D1298" s="1" t="str">
        <f>IFERROR(__xludf.DUMMYFUNCTION("""COMPUTED_VALUE"""),"VA")</f>
        <v>VA</v>
      </c>
      <c r="E1298" s="1" t="str">
        <f>IFERROR(__xludf.DUMMYFUNCTION("""COMPUTED_VALUE"""),"20169")</f>
        <v>20169</v>
      </c>
      <c r="F1298" s="1" t="str">
        <f>IFERROR(__xludf.DUMMYFUNCTION("""COMPUTED_VALUE"""),"Prince William")</f>
        <v>Prince William</v>
      </c>
      <c r="G1298" s="1" t="str">
        <f>IFERROR(__xludf.DUMMYFUNCTION("""COMPUTED_VALUE"""),"38.815174")</f>
        <v>38.815174</v>
      </c>
      <c r="H1298" s="1" t="str">
        <f>IFERROR(__xludf.DUMMYFUNCTION("""COMPUTED_VALUE"""),"-77.64868")</f>
        <v>-77.64868</v>
      </c>
      <c r="I1298" s="1" t="str">
        <f>IFERROR(__xludf.DUMMYFUNCTION("""COMPUTED_VALUE"""),"Operating")</f>
        <v>Operating</v>
      </c>
      <c r="J1298" s="1" t="str">
        <f>IFERROR(__xludf.DUMMYFUNCTION("""COMPUTED_VALUE"""),"High")</f>
        <v>High</v>
      </c>
      <c r="K1298" s="1" t="str">
        <f>IFERROR(__xludf.DUMMYFUNCTION("""COMPUTED_VALUE"""),"")</f>
        <v/>
      </c>
      <c r="L1298" s="1" t="str">
        <f>IFERROR(__xludf.DUMMYFUNCTION("""COMPUTED_VALUE"""),"Amazon")</f>
        <v>Amazon</v>
      </c>
      <c r="M1298" s="1" t="str">
        <f>IFERROR(__xludf.DUMMYFUNCTION("""COMPUTED_VALUE"""),"")</f>
        <v/>
      </c>
      <c r="N1298" s="1" t="str">
        <f>IFERROR(__xludf.DUMMYFUNCTION("""COMPUTED_VALUE"""),"")</f>
        <v/>
      </c>
      <c r="O1298" s="1" t="str">
        <f>IFERROR(__xludf.DUMMYFUNCTION("""COMPUTED_VALUE"""),"Unknown")</f>
        <v>Unknown</v>
      </c>
      <c r="P1298" s="1" t="str">
        <f>IFERROR(__xludf.DUMMYFUNCTION("""COMPUTED_VALUE"""),"")</f>
        <v/>
      </c>
      <c r="Q1298" s="1" t="str">
        <f>IFERROR(__xludf.DUMMYFUNCTION("""COMPUTED_VALUE"""),"")</f>
        <v/>
      </c>
      <c r="R1298" s="1" t="str">
        <f>IFERROR(__xludf.DUMMYFUNCTION("""COMPUTED_VALUE"""),"")</f>
        <v/>
      </c>
      <c r="S1298" s="1" t="str">
        <f>IFERROR(__xludf.DUMMYFUNCTION("""COMPUTED_VALUE"""),"")</f>
        <v/>
      </c>
      <c r="T1298" s="1" t="str">
        <f>IFERROR(__xludf.DUMMYFUNCTION("""COMPUTED_VALUE"""),"")</f>
        <v/>
      </c>
      <c r="U1298" s="1" t="str">
        <f>IFERROR(__xludf.DUMMYFUNCTION("""COMPUTED_VALUE"""),"")</f>
        <v/>
      </c>
      <c r="V1298" s="1" t="str">
        <f>IFERROR(__xludf.DUMMYFUNCTION("""COMPUTED_VALUE"""),"236,082")</f>
        <v>236,082</v>
      </c>
      <c r="W1298" s="1" t="str">
        <f>IFERROR(__xludf.DUMMYFUNCTION("""COMPUTED_VALUE"""),"28")</f>
        <v>28</v>
      </c>
      <c r="X1298" s="1" t="str">
        <f>IFERROR(__xludf.DUMMYFUNCTION("""COMPUTED_VALUE"""),"")</f>
        <v/>
      </c>
      <c r="Y1298" s="1" t="str">
        <f>IFERROR(__xludf.DUMMYFUNCTION("""COMPUTED_VALUE"""),"")</f>
        <v/>
      </c>
      <c r="Z1298" s="1" t="str">
        <f>IFERROR(__xludf.DUMMYFUNCTION("""COMPUTED_VALUE"""),"Unknown")</f>
        <v>Unknown</v>
      </c>
      <c r="AA1298" s="1" t="str">
        <f>IFERROR(__xludf.DUMMYFUNCTION("""COMPUTED_VALUE"""),"")</f>
        <v/>
      </c>
      <c r="AB1298" s="1" t="str">
        <f>IFERROR(__xludf.DUMMYFUNCTION("""COMPUTED_VALUE"""),"")</f>
        <v/>
      </c>
      <c r="AC1298" s="1" t="str">
        <f>IFERROR(__xludf.DUMMYFUNCTION("""COMPUTED_VALUE"""),"")</f>
        <v/>
      </c>
      <c r="AD1298" s="1" t="str">
        <f>IFERROR(__xludf.DUMMYFUNCTION("""COMPUTED_VALUE"""),"")</f>
        <v/>
      </c>
      <c r="AE1298" s="1" t="str">
        <f>IFERROR(__xludf.DUMMYFUNCTION("""COMPUTED_VALUE"""),"")</f>
        <v/>
      </c>
      <c r="AF1298" s="1" t="str">
        <f>IFERROR(__xludf.DUMMYFUNCTION("""COMPUTED_VALUE"""),"")</f>
        <v/>
      </c>
      <c r="AG1298" s="1" t="str">
        <f>IFERROR(__xludf.DUMMYFUNCTION("""COMPUTED_VALUE"""),"")</f>
        <v/>
      </c>
      <c r="AH1298" s="1" t="str">
        <f>IFERROR(__xludf.DUMMYFUNCTION("""COMPUTED_VALUE"""),"PEC")</f>
        <v>PEC</v>
      </c>
      <c r="AI1298" s="2" t="str">
        <f>IFERROR(__xludf.DUMMYFUNCTION("""COMPUTED_VALUE"""),"https://pwc.publicaccessnow.com/PropertyDetail.aspx?mpropertynumber=211089&amp;mtab=property&amp;p=211089")</f>
        <v>https://pwc.publicaccessnow.com/PropertyDetail.aspx?mpropertynumber=211089&amp;mtab=property&amp;p=211089</v>
      </c>
      <c r="AJ1298" s="1" t="str">
        <f>IFERROR(__xludf.DUMMYFUNCTION("""COMPUTED_VALUE"""),"")</f>
        <v/>
      </c>
      <c r="AK1298" s="1" t="str">
        <f>IFERROR(__xludf.DUMMYFUNCTION("""COMPUTED_VALUE"""),"")</f>
        <v/>
      </c>
      <c r="AL1298" s="1" t="str">
        <f>IFERROR(__xludf.DUMMYFUNCTION("""COMPUTED_VALUE"""),"")</f>
        <v/>
      </c>
      <c r="AM1298" s="1" t="str">
        <f>IFERROR(__xludf.DUMMYFUNCTION("""COMPUTED_VALUE"""),"")</f>
        <v/>
      </c>
      <c r="AN1298" s="1" t="str">
        <f>IFERROR(__xludf.DUMMYFUNCTION("""COMPUTED_VALUE"""),"")</f>
        <v/>
      </c>
      <c r="AO1298" s="1" t="str">
        <f>IFERROR(__xludf.DUMMYFUNCTION("""COMPUTED_VALUE"""),"")</f>
        <v/>
      </c>
      <c r="AP1298" s="1" t="str">
        <f>IFERROR(__xludf.DUMMYFUNCTION("""COMPUTED_VALUE"""),"")</f>
        <v/>
      </c>
      <c r="AQ1298" s="1" t="str">
        <f>IFERROR(__xludf.DUMMYFUNCTION("""COMPUTED_VALUE"""),"07/15/2025")</f>
        <v>07/15/2025</v>
      </c>
      <c r="AR1298" s="1" t="str">
        <f>IFERROR(__xludf.DUMMYFUNCTION("""COMPUTED_VALUE"""),"10/17/2025")</f>
        <v>10/17/2025</v>
      </c>
    </row>
    <row r="1299">
      <c r="A1299" s="1" t="str">
        <f>IFERROR(__xludf.DUMMYFUNCTION("""COMPUTED_VALUE"""),"EdgeConneX Richmond - EDCRIC01")</f>
        <v>EdgeConneX Richmond - EDCRIC01</v>
      </c>
      <c r="B1299" s="1" t="str">
        <f>IFERROR(__xludf.DUMMYFUNCTION("""COMPUTED_VALUE"""),"1450 E PARHAM RD")</f>
        <v>1450 E PARHAM RD</v>
      </c>
      <c r="C1299" s="1" t="str">
        <f>IFERROR(__xludf.DUMMYFUNCTION("""COMPUTED_VALUE"""),"Henrico")</f>
        <v>Henrico</v>
      </c>
      <c r="D1299" s="1" t="str">
        <f>IFERROR(__xludf.DUMMYFUNCTION("""COMPUTED_VALUE"""),"VA")</f>
        <v>VA</v>
      </c>
      <c r="E1299" s="1" t="str">
        <f>IFERROR(__xludf.DUMMYFUNCTION("""COMPUTED_VALUE"""),"23228")</f>
        <v>23228</v>
      </c>
      <c r="F1299" s="1" t="str">
        <f>IFERROR(__xludf.DUMMYFUNCTION("""COMPUTED_VALUE"""),"Henrico")</f>
        <v>Henrico</v>
      </c>
      <c r="G1299" s="1" t="str">
        <f>IFERROR(__xludf.DUMMYFUNCTION("""COMPUTED_VALUE"""),"37.63892")</f>
        <v>37.63892</v>
      </c>
      <c r="H1299" s="1" t="str">
        <f>IFERROR(__xludf.DUMMYFUNCTION("""COMPUTED_VALUE"""),"-77.46779")</f>
        <v>-77.46779</v>
      </c>
      <c r="I1299" s="1" t="str">
        <f>IFERROR(__xludf.DUMMYFUNCTION("""COMPUTED_VALUE"""),"Operating")</f>
        <v>Operating</v>
      </c>
      <c r="J1299" s="1" t="str">
        <f>IFERROR(__xludf.DUMMYFUNCTION("""COMPUTED_VALUE"""),"High")</f>
        <v>High</v>
      </c>
      <c r="K1299" s="1" t="str">
        <f>IFERROR(__xludf.DUMMYFUNCTION("""COMPUTED_VALUE"""),"")</f>
        <v/>
      </c>
      <c r="L1299" s="1" t="str">
        <f>IFERROR(__xludf.DUMMYFUNCTION("""COMPUTED_VALUE"""),"NORTH RUN LH LLC")</f>
        <v>NORTH RUN LH LLC</v>
      </c>
      <c r="M1299" s="1" t="str">
        <f>IFERROR(__xludf.DUMMYFUNCTION("""COMPUTED_VALUE"""),"")</f>
        <v/>
      </c>
      <c r="N1299" s="1" t="str">
        <f>IFERROR(__xludf.DUMMYFUNCTION("""COMPUTED_VALUE"""),"")</f>
        <v/>
      </c>
      <c r="O1299" s="1" t="str">
        <f>IFERROR(__xludf.DUMMYFUNCTION("""COMPUTED_VALUE"""),"Unknown")</f>
        <v>Unknown</v>
      </c>
      <c r="P1299" s="1" t="str">
        <f>IFERROR(__xludf.DUMMYFUNCTION("""COMPUTED_VALUE"""),"")</f>
        <v/>
      </c>
      <c r="Q1299" s="1" t="str">
        <f>IFERROR(__xludf.DUMMYFUNCTION("""COMPUTED_VALUE"""),"")</f>
        <v/>
      </c>
      <c r="R1299" s="1" t="str">
        <f>IFERROR(__xludf.DUMMYFUNCTION("""COMPUTED_VALUE"""),"")</f>
        <v/>
      </c>
      <c r="S1299" s="1" t="str">
        <f>IFERROR(__xludf.DUMMYFUNCTION("""COMPUTED_VALUE"""),"")</f>
        <v/>
      </c>
      <c r="T1299" s="1" t="str">
        <f>IFERROR(__xludf.DUMMYFUNCTION("""COMPUTED_VALUE"""),"")</f>
        <v/>
      </c>
      <c r="U1299" s="1" t="str">
        <f>IFERROR(__xludf.DUMMYFUNCTION("""COMPUTED_VALUE"""),"")</f>
        <v/>
      </c>
      <c r="V1299" s="1" t="str">
        <f>IFERROR(__xludf.DUMMYFUNCTION("""COMPUTED_VALUE"""),"17,888")</f>
        <v>17,888</v>
      </c>
      <c r="W1299" s="1" t="str">
        <f>IFERROR(__xludf.DUMMYFUNCTION("""COMPUTED_VALUE"""),"10")</f>
        <v>10</v>
      </c>
      <c r="X1299" s="1" t="str">
        <f>IFERROR(__xludf.DUMMYFUNCTION("""COMPUTED_VALUE"""),"")</f>
        <v/>
      </c>
      <c r="Y1299" s="1" t="str">
        <f>IFERROR(__xludf.DUMMYFUNCTION("""COMPUTED_VALUE"""),"")</f>
        <v/>
      </c>
      <c r="Z1299" s="1" t="str">
        <f>IFERROR(__xludf.DUMMYFUNCTION("""COMPUTED_VALUE"""),"Unknown")</f>
        <v>Unknown</v>
      </c>
      <c r="AA1299" s="1" t="str">
        <f>IFERROR(__xludf.DUMMYFUNCTION("""COMPUTED_VALUE"""),"")</f>
        <v/>
      </c>
      <c r="AB1299" s="1" t="str">
        <f>IFERROR(__xludf.DUMMYFUNCTION("""COMPUTED_VALUE"""),"")</f>
        <v/>
      </c>
      <c r="AC1299" s="1" t="str">
        <f>IFERROR(__xludf.DUMMYFUNCTION("""COMPUTED_VALUE"""),"")</f>
        <v/>
      </c>
      <c r="AD1299" s="1" t="str">
        <f>IFERROR(__xludf.DUMMYFUNCTION("""COMPUTED_VALUE"""),"")</f>
        <v/>
      </c>
      <c r="AE1299" s="1" t="str">
        <f>IFERROR(__xludf.DUMMYFUNCTION("""COMPUTED_VALUE"""),"")</f>
        <v/>
      </c>
      <c r="AF1299" s="1" t="str">
        <f>IFERROR(__xludf.DUMMYFUNCTION("""COMPUTED_VALUE"""),"")</f>
        <v/>
      </c>
      <c r="AG1299" s="1" t="str">
        <f>IFERROR(__xludf.DUMMYFUNCTION("""COMPUTED_VALUE"""),"")</f>
        <v/>
      </c>
      <c r="AH1299" s="1" t="str">
        <f>IFERROR(__xludf.DUMMYFUNCTION("""COMPUTED_VALUE"""),"PEC")</f>
        <v>PEC</v>
      </c>
      <c r="AI1299" s="2" t="str">
        <f>IFERROR(__xludf.DUMMYFUNCTION("""COMPUTED_VALUE"""),"https://realestate.henrico.us/ords/cam/f?p=510101:5:::NO::P5_PARCEL_ID,P5_SEARCH_TYPE:781-757-7788,0")</f>
        <v>https://realestate.henrico.us/ords/cam/f?p=510101:5:::NO::P5_PARCEL_ID,P5_SEARCH_TYPE:781-757-7788,0</v>
      </c>
      <c r="AJ1299" s="1" t="str">
        <f>IFERROR(__xludf.DUMMYFUNCTION("""COMPUTED_VALUE"""),"")</f>
        <v/>
      </c>
      <c r="AK1299" s="1" t="str">
        <f>IFERROR(__xludf.DUMMYFUNCTION("""COMPUTED_VALUE"""),"")</f>
        <v/>
      </c>
      <c r="AL1299" s="1" t="str">
        <f>IFERROR(__xludf.DUMMYFUNCTION("""COMPUTED_VALUE"""),"")</f>
        <v/>
      </c>
      <c r="AM1299" s="1" t="str">
        <f>IFERROR(__xludf.DUMMYFUNCTION("""COMPUTED_VALUE"""),"")</f>
        <v/>
      </c>
      <c r="AN1299" s="1" t="str">
        <f>IFERROR(__xludf.DUMMYFUNCTION("""COMPUTED_VALUE"""),"")</f>
        <v/>
      </c>
      <c r="AO1299" s="1" t="str">
        <f>IFERROR(__xludf.DUMMYFUNCTION("""COMPUTED_VALUE"""),"")</f>
        <v/>
      </c>
      <c r="AP1299" s="1" t="str">
        <f>IFERROR(__xludf.DUMMYFUNCTION("""COMPUTED_VALUE"""),"")</f>
        <v/>
      </c>
      <c r="AQ1299" s="1" t="str">
        <f>IFERROR(__xludf.DUMMYFUNCTION("""COMPUTED_VALUE"""),"04/10/2024")</f>
        <v>04/10/2024</v>
      </c>
      <c r="AR1299" s="1" t="str">
        <f>IFERROR(__xludf.DUMMYFUNCTION("""COMPUTED_VALUE"""),"10/17/2025")</f>
        <v>10/17/2025</v>
      </c>
    </row>
    <row r="1300">
      <c r="A1300" s="1" t="str">
        <f>IFERROR(__xludf.DUMMYFUNCTION("""COMPUTED_VALUE"""),"Lumen Richmond 2")</f>
        <v>Lumen Richmond 2</v>
      </c>
      <c r="B1300" s="1" t="str">
        <f>IFERROR(__xludf.DUMMYFUNCTION("""COMPUTED_VALUE"""),"8145 Staples Mill Road")</f>
        <v>8145 Staples Mill Road</v>
      </c>
      <c r="C1300" s="1" t="str">
        <f>IFERROR(__xludf.DUMMYFUNCTION("""COMPUTED_VALUE"""),"Henrico")</f>
        <v>Henrico</v>
      </c>
      <c r="D1300" s="1" t="str">
        <f>IFERROR(__xludf.DUMMYFUNCTION("""COMPUTED_VALUE"""),"VA")</f>
        <v>VA</v>
      </c>
      <c r="E1300" s="1" t="str">
        <f>IFERROR(__xludf.DUMMYFUNCTION("""COMPUTED_VALUE"""),"23228")</f>
        <v>23228</v>
      </c>
      <c r="F1300" s="1" t="str">
        <f>IFERROR(__xludf.DUMMYFUNCTION("""COMPUTED_VALUE"""),"Henrico")</f>
        <v>Henrico</v>
      </c>
      <c r="G1300" s="1" t="str">
        <f>IFERROR(__xludf.DUMMYFUNCTION("""COMPUTED_VALUE"""),"37.623894")</f>
        <v>37.623894</v>
      </c>
      <c r="H1300" s="1" t="str">
        <f>IFERROR(__xludf.DUMMYFUNCTION("""COMPUTED_VALUE"""),"-77.50267")</f>
        <v>-77.50267</v>
      </c>
      <c r="I1300" s="1" t="str">
        <f>IFERROR(__xludf.DUMMYFUNCTION("""COMPUTED_VALUE"""),"Operating")</f>
        <v>Operating</v>
      </c>
      <c r="J1300" s="1" t="str">
        <f>IFERROR(__xludf.DUMMYFUNCTION("""COMPUTED_VALUE"""),"High")</f>
        <v>High</v>
      </c>
      <c r="K1300" s="1" t="str">
        <f>IFERROR(__xludf.DUMMYFUNCTION("""COMPUTED_VALUE"""),"")</f>
        <v/>
      </c>
      <c r="L1300" s="1" t="str">
        <f>IFERROR(__xludf.DUMMYFUNCTION("""COMPUTED_VALUE"""),"LEVEL 3 COMMUNICATIONS LLC")</f>
        <v>LEVEL 3 COMMUNICATIONS LLC</v>
      </c>
      <c r="M1300" s="1" t="str">
        <f>IFERROR(__xludf.DUMMYFUNCTION("""COMPUTED_VALUE"""),"")</f>
        <v/>
      </c>
      <c r="N1300" s="1" t="str">
        <f>IFERROR(__xludf.DUMMYFUNCTION("""COMPUTED_VALUE"""),"")</f>
        <v/>
      </c>
      <c r="O1300" s="1" t="str">
        <f>IFERROR(__xludf.DUMMYFUNCTION("""COMPUTED_VALUE"""),"Unknown")</f>
        <v>Unknown</v>
      </c>
      <c r="P1300" s="1" t="str">
        <f>IFERROR(__xludf.DUMMYFUNCTION("""COMPUTED_VALUE"""),"")</f>
        <v/>
      </c>
      <c r="Q1300" s="1" t="str">
        <f>IFERROR(__xludf.DUMMYFUNCTION("""COMPUTED_VALUE"""),"")</f>
        <v/>
      </c>
      <c r="R1300" s="1" t="str">
        <f>IFERROR(__xludf.DUMMYFUNCTION("""COMPUTED_VALUE"""),"")</f>
        <v/>
      </c>
      <c r="S1300" s="1" t="str">
        <f>IFERROR(__xludf.DUMMYFUNCTION("""COMPUTED_VALUE"""),"")</f>
        <v/>
      </c>
      <c r="T1300" s="1" t="str">
        <f>IFERROR(__xludf.DUMMYFUNCTION("""COMPUTED_VALUE"""),"")</f>
        <v/>
      </c>
      <c r="U1300" s="1" t="str">
        <f>IFERROR(__xludf.DUMMYFUNCTION("""COMPUTED_VALUE"""),"")</f>
        <v/>
      </c>
      <c r="V1300" s="1" t="str">
        <f>IFERROR(__xludf.DUMMYFUNCTION("""COMPUTED_VALUE"""),"5,522")</f>
        <v>5,522</v>
      </c>
      <c r="W1300" s="1" t="str">
        <f>IFERROR(__xludf.DUMMYFUNCTION("""COMPUTED_VALUE"""),"")</f>
        <v/>
      </c>
      <c r="X1300" s="1" t="str">
        <f>IFERROR(__xludf.DUMMYFUNCTION("""COMPUTED_VALUE"""),"")</f>
        <v/>
      </c>
      <c r="Y1300" s="1" t="str">
        <f>IFERROR(__xludf.DUMMYFUNCTION("""COMPUTED_VALUE"""),"")</f>
        <v/>
      </c>
      <c r="Z1300" s="1" t="str">
        <f>IFERROR(__xludf.DUMMYFUNCTION("""COMPUTED_VALUE"""),"Unknown")</f>
        <v>Unknown</v>
      </c>
      <c r="AA1300" s="1" t="str">
        <f>IFERROR(__xludf.DUMMYFUNCTION("""COMPUTED_VALUE"""),"")</f>
        <v/>
      </c>
      <c r="AB1300" s="1" t="str">
        <f>IFERROR(__xludf.DUMMYFUNCTION("""COMPUTED_VALUE"""),"")</f>
        <v/>
      </c>
      <c r="AC1300" s="1" t="str">
        <f>IFERROR(__xludf.DUMMYFUNCTION("""COMPUTED_VALUE"""),"")</f>
        <v/>
      </c>
      <c r="AD1300" s="1" t="str">
        <f>IFERROR(__xludf.DUMMYFUNCTION("""COMPUTED_VALUE"""),"")</f>
        <v/>
      </c>
      <c r="AE1300" s="1" t="str">
        <f>IFERROR(__xludf.DUMMYFUNCTION("""COMPUTED_VALUE"""),"")</f>
        <v/>
      </c>
      <c r="AF1300" s="1" t="str">
        <f>IFERROR(__xludf.DUMMYFUNCTION("""COMPUTED_VALUE"""),"")</f>
        <v/>
      </c>
      <c r="AG1300" s="1" t="str">
        <f>IFERROR(__xludf.DUMMYFUNCTION("""COMPUTED_VALUE"""),"")</f>
        <v/>
      </c>
      <c r="AH1300" s="1" t="str">
        <f>IFERROR(__xludf.DUMMYFUNCTION("""COMPUTED_VALUE"""),"PEC")</f>
        <v>PEC</v>
      </c>
      <c r="AI1300" s="2" t="str">
        <f>IFERROR(__xludf.DUMMYFUNCTION("""COMPUTED_VALUE"""),"https://realestate.henrico.us/ords/cam/f?p=510101:5:::NO::P5_PARCEL_ID,P5_SEARCH_TYPE:771-752-8623,0")</f>
        <v>https://realestate.henrico.us/ords/cam/f?p=510101:5:::NO::P5_PARCEL_ID,P5_SEARCH_TYPE:771-752-8623,0</v>
      </c>
      <c r="AJ1300" s="1" t="str">
        <f>IFERROR(__xludf.DUMMYFUNCTION("""COMPUTED_VALUE"""),"")</f>
        <v/>
      </c>
      <c r="AK1300" s="1" t="str">
        <f>IFERROR(__xludf.DUMMYFUNCTION("""COMPUTED_VALUE"""),"")</f>
        <v/>
      </c>
      <c r="AL1300" s="1" t="str">
        <f>IFERROR(__xludf.DUMMYFUNCTION("""COMPUTED_VALUE"""),"")</f>
        <v/>
      </c>
      <c r="AM1300" s="1" t="str">
        <f>IFERROR(__xludf.DUMMYFUNCTION("""COMPUTED_VALUE"""),"")</f>
        <v/>
      </c>
      <c r="AN1300" s="1" t="str">
        <f>IFERROR(__xludf.DUMMYFUNCTION("""COMPUTED_VALUE"""),"")</f>
        <v/>
      </c>
      <c r="AO1300" s="1" t="str">
        <f>IFERROR(__xludf.DUMMYFUNCTION("""COMPUTED_VALUE"""),"")</f>
        <v/>
      </c>
      <c r="AP1300" s="1" t="str">
        <f>IFERROR(__xludf.DUMMYFUNCTION("""COMPUTED_VALUE"""),"")</f>
        <v/>
      </c>
      <c r="AQ1300" s="1" t="str">
        <f>IFERROR(__xludf.DUMMYFUNCTION("""COMPUTED_VALUE"""),"04/10/2024")</f>
        <v>04/10/2024</v>
      </c>
      <c r="AR1300" s="1" t="str">
        <f>IFERROR(__xludf.DUMMYFUNCTION("""COMPUTED_VALUE"""),"10/17/2025")</f>
        <v>10/17/2025</v>
      </c>
    </row>
    <row r="1301">
      <c r="A1301" s="1" t="str">
        <f>IFERROR(__xludf.DUMMYFUNCTION("""COMPUTED_VALUE"""),"Tuckahoe Technology Park Data Centers")</f>
        <v>Tuckahoe Technology Park Data Centers</v>
      </c>
      <c r="B1301" s="1" t="str">
        <f>IFERROR(__xludf.DUMMYFUNCTION("""COMPUTED_VALUE"""),"between Hockett Rd and Hwy 288")</f>
        <v>between Hockett Rd and Hwy 288</v>
      </c>
      <c r="C1301" s="1" t="str">
        <f>IFERROR(__xludf.DUMMYFUNCTION("""COMPUTED_VALUE"""),"Henrico")</f>
        <v>Henrico</v>
      </c>
      <c r="D1301" s="1" t="str">
        <f>IFERROR(__xludf.DUMMYFUNCTION("""COMPUTED_VALUE"""),"VA")</f>
        <v>VA</v>
      </c>
      <c r="E1301" s="1" t="str">
        <f>IFERROR(__xludf.DUMMYFUNCTION("""COMPUTED_VALUE"""),"23238")</f>
        <v>23238</v>
      </c>
      <c r="F1301" s="1" t="str">
        <f>IFERROR(__xludf.DUMMYFUNCTION("""COMPUTED_VALUE"""),"Goochland")</f>
        <v>Goochland</v>
      </c>
      <c r="G1301" s="1" t="str">
        <f>IFERROR(__xludf.DUMMYFUNCTION("""COMPUTED_VALUE"""),"37.61871")</f>
        <v>37.61871</v>
      </c>
      <c r="H1301" s="1" t="str">
        <f>IFERROR(__xludf.DUMMYFUNCTION("""COMPUTED_VALUE"""),"-77.680115")</f>
        <v>-77.680115</v>
      </c>
      <c r="I1301" s="1" t="str">
        <f>IFERROR(__xludf.DUMMYFUNCTION("""COMPUTED_VALUE"""),"Proposed")</f>
        <v>Proposed</v>
      </c>
      <c r="J1301" s="1" t="str">
        <f>IFERROR(__xludf.DUMMYFUNCTION("""COMPUTED_VALUE"""),"Medium")</f>
        <v>Medium</v>
      </c>
      <c r="K1301" s="1" t="str">
        <f>IFERROR(__xludf.DUMMYFUNCTION("""COMPUTED_VALUE"""),"")</f>
        <v/>
      </c>
      <c r="L1301" s="1" t="str">
        <f>IFERROR(__xludf.DUMMYFUNCTION("""COMPUTED_VALUE"""),"Tract/ VALCO Goochland, LLC ")</f>
        <v>Tract/ VALCO Goochland, LLC </v>
      </c>
      <c r="M1301" s="1" t="str">
        <f>IFERROR(__xludf.DUMMYFUNCTION("""COMPUTED_VALUE"""),"")</f>
        <v/>
      </c>
      <c r="N1301" s="1" t="str">
        <f>IFERROR(__xludf.DUMMYFUNCTION("""COMPUTED_VALUE"""),"900")</f>
        <v>900</v>
      </c>
      <c r="O1301" s="1" t="str">
        <f>IFERROR(__xludf.DUMMYFUNCTION("""COMPUTED_VALUE"""),"Hyperscale (100-999 MW)")</f>
        <v>Hyperscale (100-999 MW)</v>
      </c>
      <c r="P1301" s="1" t="str">
        <f>IFERROR(__xludf.DUMMYFUNCTION("""COMPUTED_VALUE"""),"Grid (unspecified mix)")</f>
        <v>Grid (unspecified mix)</v>
      </c>
      <c r="Q1301" s="1" t="str">
        <f>IFERROR(__xludf.DUMMYFUNCTION("""COMPUTED_VALUE"""),"")</f>
        <v/>
      </c>
      <c r="R1301" s="1" t="str">
        <f>IFERROR(__xludf.DUMMYFUNCTION("""COMPUTED_VALUE"""),"")</f>
        <v/>
      </c>
      <c r="S1301" s="1" t="str">
        <f>IFERROR(__xludf.DUMMYFUNCTION("""COMPUTED_VALUE"""),"12")</f>
        <v>12</v>
      </c>
      <c r="T1301" s="1" t="str">
        <f>IFERROR(__xludf.DUMMYFUNCTION("""COMPUTED_VALUE"""),"")</f>
        <v/>
      </c>
      <c r="U1301" s="1" t="str">
        <f>IFERROR(__xludf.DUMMYFUNCTION("""COMPUTED_VALUE"""),"")</f>
        <v/>
      </c>
      <c r="V1301" s="1" t="str">
        <f>IFERROR(__xludf.DUMMYFUNCTION("""COMPUTED_VALUE"""),"")</f>
        <v/>
      </c>
      <c r="W1301" s="1" t="str">
        <f>IFERROR(__xludf.DUMMYFUNCTION("""COMPUTED_VALUE"""),"872")</f>
        <v>872</v>
      </c>
      <c r="X1301" s="1" t="str">
        <f>IFERROR(__xludf.DUMMYFUNCTION("""COMPUTED_VALUE"""),"$3 billion")</f>
        <v>$3 billion</v>
      </c>
      <c r="Y1301" s="1" t="str">
        <f>IFERROR(__xludf.DUMMYFUNCTION("""COMPUTED_VALUE"""),"")</f>
        <v/>
      </c>
      <c r="Z1301" s="1" t="str">
        <f>IFERROR(__xludf.DUMMYFUNCTION("""COMPUTED_VALUE"""),"Yes")</f>
        <v>Yes</v>
      </c>
      <c r="AA1301" s="1" t="str">
        <f>IFERROR(__xludf.DUMMYFUNCTION("""COMPUTED_VALUE"""),"")</f>
        <v/>
      </c>
      <c r="AB1301" s="1" t="str">
        <f>IFERROR(__xludf.DUMMYFUNCTION("""COMPUTED_VALUE"""),"")</f>
        <v/>
      </c>
      <c r="AC1301" s="1" t="str">
        <f>IFERROR(__xludf.DUMMYFUNCTION("""COMPUTED_VALUE"""),"")</f>
        <v/>
      </c>
      <c r="AD1301" s="1" t="str">
        <f>IFERROR(__xludf.DUMMYFUNCTION("""COMPUTED_VALUE"""),"")</f>
        <v/>
      </c>
      <c r="AE1301" s="1" t="str">
        <f>IFERROR(__xludf.DUMMYFUNCTION("""COMPUTED_VALUE"""),"")</f>
        <v/>
      </c>
      <c r="AF1301" s="1" t="str">
        <f>IFERROR(__xludf.DUMMYFUNCTION("""COMPUTED_VALUE"""),"")</f>
        <v/>
      </c>
      <c r="AG1301" s="1" t="str">
        <f>IFERROR(__xludf.DUMMYFUNCTION("""COMPUTED_VALUE"""),"Includes dedicated electrical substation")</f>
        <v>Includes dedicated electrical substation</v>
      </c>
      <c r="AH1301" s="1" t="str">
        <f>IFERROR(__xludf.DUMMYFUNCTION("""COMPUTED_VALUE"""),"Crowdsourced")</f>
        <v>Crowdsourced</v>
      </c>
      <c r="AI1301" s="2" t="str">
        <f>IFERROR(__xludf.DUMMYFUNCTION("""COMPUTED_VALUE"""),"https://www.goochlandva.us/1480/Tuckahoe-Technology-Park")</f>
        <v>https://www.goochlandva.us/1480/Tuckahoe-Technology-Park</v>
      </c>
      <c r="AJ1301" s="2" t="str">
        <f>IFERROR(__xludf.DUMMYFUNCTION("""COMPUTED_VALUE"""),"https://richmondbizsense.com/2026/06/11/tuckahoe-tech-park-data-center-campus-planned-on-900-acre-tract-in-goochland/")</f>
        <v>https://richmondbizsense.com/2026/06/11/tuckahoe-tech-park-data-center-campus-planned-on-900-acre-tract-in-goochland/</v>
      </c>
      <c r="AK1301" s="1" t="str">
        <f>IFERROR(__xludf.DUMMYFUNCTION("""COMPUTED_VALUE"""),"")</f>
        <v/>
      </c>
      <c r="AL1301" s="1" t="str">
        <f>IFERROR(__xludf.DUMMYFUNCTION("""COMPUTED_VALUE"""),"")</f>
        <v/>
      </c>
      <c r="AM1301" s="1" t="str">
        <f>IFERROR(__xludf.DUMMYFUNCTION("""COMPUTED_VALUE"""),"")</f>
        <v/>
      </c>
      <c r="AN1301" s="1" t="str">
        <f>IFERROR(__xludf.DUMMYFUNCTION("""COMPUTED_VALUE"""),"")</f>
        <v/>
      </c>
      <c r="AO1301" s="1" t="str">
        <f>IFERROR(__xludf.DUMMYFUNCTION("""COMPUTED_VALUE"""),"")</f>
        <v/>
      </c>
      <c r="AP1301" s="1" t="str">
        <f>IFERROR(__xludf.DUMMYFUNCTION("""COMPUTED_VALUE"""),"")</f>
        <v/>
      </c>
      <c r="AQ1301" s="1" t="str">
        <f>IFERROR(__xludf.DUMMYFUNCTION("""COMPUTED_VALUE"""),"06/29/2026")</f>
        <v>06/29/2026</v>
      </c>
      <c r="AR1301" s="1" t="str">
        <f>IFERROR(__xludf.DUMMYFUNCTION("""COMPUTED_VALUE"""),"06/29/2026")</f>
        <v>06/29/2026</v>
      </c>
    </row>
    <row r="1302">
      <c r="A1302" s="1" t="str">
        <f>IFERROR(__xludf.DUMMYFUNCTION("""COMPUTED_VALUE"""),"Equinix DC 97")</f>
        <v>Equinix DC 97</v>
      </c>
      <c r="B1302" s="1" t="str">
        <f>IFERROR(__xludf.DUMMYFUNCTION("""COMPUTED_VALUE"""),"460 SPRINGPARK PL")</f>
        <v>460 SPRINGPARK PL</v>
      </c>
      <c r="C1302" s="1" t="str">
        <f>IFERROR(__xludf.DUMMYFUNCTION("""COMPUTED_VALUE"""),"Herndon")</f>
        <v>Herndon</v>
      </c>
      <c r="D1302" s="1" t="str">
        <f>IFERROR(__xludf.DUMMYFUNCTION("""COMPUTED_VALUE"""),"VA")</f>
        <v>VA</v>
      </c>
      <c r="E1302" s="1" t="str">
        <f>IFERROR(__xludf.DUMMYFUNCTION("""COMPUTED_VALUE"""),"20170")</f>
        <v>20170</v>
      </c>
      <c r="F1302" s="1" t="str">
        <f>IFERROR(__xludf.DUMMYFUNCTION("""COMPUTED_VALUE"""),"Fairfax")</f>
        <v>Fairfax</v>
      </c>
      <c r="G1302" s="1" t="str">
        <f>IFERROR(__xludf.DUMMYFUNCTION("""COMPUTED_VALUE"""),"38.96167")</f>
        <v>38.96167</v>
      </c>
      <c r="H1302" s="1" t="str">
        <f>IFERROR(__xludf.DUMMYFUNCTION("""COMPUTED_VALUE"""),"-77.37743")</f>
        <v>-77.37743</v>
      </c>
      <c r="I1302" s="1" t="str">
        <f>IFERROR(__xludf.DUMMYFUNCTION("""COMPUTED_VALUE"""),"Operating")</f>
        <v>Operating</v>
      </c>
      <c r="J1302" s="1" t="str">
        <f>IFERROR(__xludf.DUMMYFUNCTION("""COMPUTED_VALUE"""),"High")</f>
        <v>High</v>
      </c>
      <c r="K1302" s="1" t="str">
        <f>IFERROR(__xludf.DUMMYFUNCTION("""COMPUTED_VALUE"""),"")</f>
        <v/>
      </c>
      <c r="L1302" s="1" t="str">
        <f>IFERROR(__xludf.DUMMYFUNCTION("""COMPUTED_VALUE"""),"LDI PROPCO 2 LLC")</f>
        <v>LDI PROPCO 2 LLC</v>
      </c>
      <c r="M1302" s="1" t="str">
        <f>IFERROR(__xludf.DUMMYFUNCTION("""COMPUTED_VALUE"""),"")</f>
        <v/>
      </c>
      <c r="N1302" s="1" t="str">
        <f>IFERROR(__xludf.DUMMYFUNCTION("""COMPUTED_VALUE"""),"")</f>
        <v/>
      </c>
      <c r="O1302" s="1" t="str">
        <f>IFERROR(__xludf.DUMMYFUNCTION("""COMPUTED_VALUE"""),"Unknown")</f>
        <v>Unknown</v>
      </c>
      <c r="P1302" s="1" t="str">
        <f>IFERROR(__xludf.DUMMYFUNCTION("""COMPUTED_VALUE"""),"")</f>
        <v/>
      </c>
      <c r="Q1302" s="1" t="str">
        <f>IFERROR(__xludf.DUMMYFUNCTION("""COMPUTED_VALUE"""),"")</f>
        <v/>
      </c>
      <c r="R1302" s="1" t="str">
        <f>IFERROR(__xludf.DUMMYFUNCTION("""COMPUTED_VALUE"""),"")</f>
        <v/>
      </c>
      <c r="S1302" s="1" t="str">
        <f>IFERROR(__xludf.DUMMYFUNCTION("""COMPUTED_VALUE"""),"")</f>
        <v/>
      </c>
      <c r="T1302" s="1" t="str">
        <f>IFERROR(__xludf.DUMMYFUNCTION("""COMPUTED_VALUE"""),"")</f>
        <v/>
      </c>
      <c r="U1302" s="1" t="str">
        <f>IFERROR(__xludf.DUMMYFUNCTION("""COMPUTED_VALUE"""),"")</f>
        <v/>
      </c>
      <c r="V1302" s="1" t="str">
        <f>IFERROR(__xludf.DUMMYFUNCTION("""COMPUTED_VALUE"""),"63,912")</f>
        <v>63,912</v>
      </c>
      <c r="W1302" s="1" t="str">
        <f>IFERROR(__xludf.DUMMYFUNCTION("""COMPUTED_VALUE"""),"3")</f>
        <v>3</v>
      </c>
      <c r="X1302" s="1" t="str">
        <f>IFERROR(__xludf.DUMMYFUNCTION("""COMPUTED_VALUE"""),"")</f>
        <v/>
      </c>
      <c r="Y1302" s="1" t="str">
        <f>IFERROR(__xludf.DUMMYFUNCTION("""COMPUTED_VALUE"""),"")</f>
        <v/>
      </c>
      <c r="Z1302" s="1" t="str">
        <f>IFERROR(__xludf.DUMMYFUNCTION("""COMPUTED_VALUE"""),"Unknown")</f>
        <v>Unknown</v>
      </c>
      <c r="AA1302" s="1" t="str">
        <f>IFERROR(__xludf.DUMMYFUNCTION("""COMPUTED_VALUE"""),"")</f>
        <v/>
      </c>
      <c r="AB1302" s="1" t="str">
        <f>IFERROR(__xludf.DUMMYFUNCTION("""COMPUTED_VALUE"""),"")</f>
        <v/>
      </c>
      <c r="AC1302" s="1" t="str">
        <f>IFERROR(__xludf.DUMMYFUNCTION("""COMPUTED_VALUE"""),"")</f>
        <v/>
      </c>
      <c r="AD1302" s="1" t="str">
        <f>IFERROR(__xludf.DUMMYFUNCTION("""COMPUTED_VALUE"""),"")</f>
        <v/>
      </c>
      <c r="AE1302" s="1" t="str">
        <f>IFERROR(__xludf.DUMMYFUNCTION("""COMPUTED_VALUE"""),"")</f>
        <v/>
      </c>
      <c r="AF1302" s="1" t="str">
        <f>IFERROR(__xludf.DUMMYFUNCTION("""COMPUTED_VALUE"""),"")</f>
        <v/>
      </c>
      <c r="AG1302" s="1" t="str">
        <f>IFERROR(__xludf.DUMMYFUNCTION("""COMPUTED_VALUE"""),"")</f>
        <v/>
      </c>
      <c r="AH1302" s="1" t="str">
        <f>IFERROR(__xludf.DUMMYFUNCTION("""COMPUTED_VALUE"""),"PEC")</f>
        <v>PEC</v>
      </c>
      <c r="AI1302" s="2" t="str">
        <f>IFERROR(__xludf.DUMMYFUNCTION("""COMPUTED_VALUE"""),"https://icare.fairfaxcounty.gov/ffxcare/Datalets/Datalet.aspx?mode=&amp;UseSearch=no&amp;pin=0162%2054%20%200002&amp;jur=129&amp;taxyr=2025")</f>
        <v>https://icare.fairfaxcounty.gov/ffxcare/Datalets/Datalet.aspx?mode=&amp;UseSearch=no&amp;pin=0162%2054%20%200002&amp;jur=129&amp;taxyr=2025</v>
      </c>
      <c r="AJ1302" s="1" t="str">
        <f>IFERROR(__xludf.DUMMYFUNCTION("""COMPUTED_VALUE"""),"")</f>
        <v/>
      </c>
      <c r="AK1302" s="1" t="str">
        <f>IFERROR(__xludf.DUMMYFUNCTION("""COMPUTED_VALUE"""),"")</f>
        <v/>
      </c>
      <c r="AL1302" s="1" t="str">
        <f>IFERROR(__xludf.DUMMYFUNCTION("""COMPUTED_VALUE"""),"")</f>
        <v/>
      </c>
      <c r="AM1302" s="1" t="str">
        <f>IFERROR(__xludf.DUMMYFUNCTION("""COMPUTED_VALUE"""),"")</f>
        <v/>
      </c>
      <c r="AN1302" s="1" t="str">
        <f>IFERROR(__xludf.DUMMYFUNCTION("""COMPUTED_VALUE"""),"")</f>
        <v/>
      </c>
      <c r="AO1302" s="1" t="str">
        <f>IFERROR(__xludf.DUMMYFUNCTION("""COMPUTED_VALUE"""),"")</f>
        <v/>
      </c>
      <c r="AP1302" s="1" t="str">
        <f>IFERROR(__xludf.DUMMYFUNCTION("""COMPUTED_VALUE"""),"")</f>
        <v/>
      </c>
      <c r="AQ1302" s="1" t="str">
        <f>IFERROR(__xludf.DUMMYFUNCTION("""COMPUTED_VALUE"""),"04/10/2024")</f>
        <v>04/10/2024</v>
      </c>
      <c r="AR1302" s="1" t="str">
        <f>IFERROR(__xludf.DUMMYFUNCTION("""COMPUTED_VALUE"""),"10/17/2025")</f>
        <v>10/17/2025</v>
      </c>
    </row>
    <row r="1303">
      <c r="A1303" s="1" t="str">
        <f>IFERROR(__xludf.DUMMYFUNCTION("""COMPUTED_VALUE"""),"Renaissance Technology Park")</f>
        <v>Renaissance Technology Park</v>
      </c>
      <c r="B1303" s="1" t="str">
        <f>IFERROR(__xludf.DUMMYFUNCTION("""COMPUTED_VALUE"""),"13850 PARK CENTER RD")</f>
        <v>13850 PARK CENTER RD</v>
      </c>
      <c r="C1303" s="1" t="str">
        <f>IFERROR(__xludf.DUMMYFUNCTION("""COMPUTED_VALUE"""),"Herndon")</f>
        <v>Herndon</v>
      </c>
      <c r="D1303" s="1" t="str">
        <f>IFERROR(__xludf.DUMMYFUNCTION("""COMPUTED_VALUE"""),"VA")</f>
        <v>VA</v>
      </c>
      <c r="E1303" s="1" t="str">
        <f>IFERROR(__xludf.DUMMYFUNCTION("""COMPUTED_VALUE"""),"20171")</f>
        <v>20171</v>
      </c>
      <c r="F1303" s="1" t="str">
        <f>IFERROR(__xludf.DUMMYFUNCTION("""COMPUTED_VALUE"""),"Fairfax")</f>
        <v>Fairfax</v>
      </c>
      <c r="G1303" s="1" t="str">
        <f>IFERROR(__xludf.DUMMYFUNCTION("""COMPUTED_VALUE"""),"38.932446")</f>
        <v>38.932446</v>
      </c>
      <c r="H1303" s="1" t="str">
        <f>IFERROR(__xludf.DUMMYFUNCTION("""COMPUTED_VALUE"""),"-77.42387")</f>
        <v>-77.42387</v>
      </c>
      <c r="I1303" s="1" t="str">
        <f>IFERROR(__xludf.DUMMYFUNCTION("""COMPUTED_VALUE"""),"Proposed")</f>
        <v>Proposed</v>
      </c>
      <c r="J1303" s="1" t="str">
        <f>IFERROR(__xludf.DUMMYFUNCTION("""COMPUTED_VALUE"""),"High")</f>
        <v>High</v>
      </c>
      <c r="K1303" s="1" t="str">
        <f>IFERROR(__xludf.DUMMYFUNCTION("""COMPUTED_VALUE"""),"")</f>
        <v/>
      </c>
      <c r="L1303" s="1" t="str">
        <f>IFERROR(__xludf.DUMMYFUNCTION("""COMPUTED_VALUE"""),"RP INDUSTRIAL OWNER II LLC")</f>
        <v>RP INDUSTRIAL OWNER II LLC</v>
      </c>
      <c r="M1303" s="1" t="str">
        <f>IFERROR(__xludf.DUMMYFUNCTION("""COMPUTED_VALUE"""),"")</f>
        <v/>
      </c>
      <c r="N1303" s="1" t="str">
        <f>IFERROR(__xludf.DUMMYFUNCTION("""COMPUTED_VALUE"""),"")</f>
        <v/>
      </c>
      <c r="O1303" s="1" t="str">
        <f>IFERROR(__xludf.DUMMYFUNCTION("""COMPUTED_VALUE"""),"Unknown")</f>
        <v>Unknown</v>
      </c>
      <c r="P1303" s="1" t="str">
        <f>IFERROR(__xludf.DUMMYFUNCTION("""COMPUTED_VALUE"""),"")</f>
        <v/>
      </c>
      <c r="Q1303" s="1" t="str">
        <f>IFERROR(__xludf.DUMMYFUNCTION("""COMPUTED_VALUE"""),"")</f>
        <v/>
      </c>
      <c r="R1303" s="1" t="str">
        <f>IFERROR(__xludf.DUMMYFUNCTION("""COMPUTED_VALUE"""),"")</f>
        <v/>
      </c>
      <c r="S1303" s="1" t="str">
        <f>IFERROR(__xludf.DUMMYFUNCTION("""COMPUTED_VALUE"""),"")</f>
        <v/>
      </c>
      <c r="T1303" s="1" t="str">
        <f>IFERROR(__xludf.DUMMYFUNCTION("""COMPUTED_VALUE"""),"")</f>
        <v/>
      </c>
      <c r="U1303" s="1" t="str">
        <f>IFERROR(__xludf.DUMMYFUNCTION("""COMPUTED_VALUE"""),"")</f>
        <v/>
      </c>
      <c r="V1303" s="1" t="str">
        <f>IFERROR(__xludf.DUMMYFUNCTION("""COMPUTED_VALUE"""),"2,136,040")</f>
        <v>2,136,040</v>
      </c>
      <c r="W1303" s="1" t="str">
        <f>IFERROR(__xludf.DUMMYFUNCTION("""COMPUTED_VALUE"""),"13")</f>
        <v>13</v>
      </c>
      <c r="X1303" s="1" t="str">
        <f>IFERROR(__xludf.DUMMYFUNCTION("""COMPUTED_VALUE"""),"")</f>
        <v/>
      </c>
      <c r="Y1303" s="1" t="str">
        <f>IFERROR(__xludf.DUMMYFUNCTION("""COMPUTED_VALUE"""),"")</f>
        <v/>
      </c>
      <c r="Z1303" s="1" t="str">
        <f>IFERROR(__xludf.DUMMYFUNCTION("""COMPUTED_VALUE"""),"Unknown")</f>
        <v>Unknown</v>
      </c>
      <c r="AA1303" s="1" t="str">
        <f>IFERROR(__xludf.DUMMYFUNCTION("""COMPUTED_VALUE"""),"")</f>
        <v/>
      </c>
      <c r="AB1303" s="1" t="str">
        <f>IFERROR(__xludf.DUMMYFUNCTION("""COMPUTED_VALUE"""),"")</f>
        <v/>
      </c>
      <c r="AC1303" s="1" t="str">
        <f>IFERROR(__xludf.DUMMYFUNCTION("""COMPUTED_VALUE"""),"")</f>
        <v/>
      </c>
      <c r="AD1303" s="1" t="str">
        <f>IFERROR(__xludf.DUMMYFUNCTION("""COMPUTED_VALUE"""),"")</f>
        <v/>
      </c>
      <c r="AE1303" s="1" t="str">
        <f>IFERROR(__xludf.DUMMYFUNCTION("""COMPUTED_VALUE"""),"")</f>
        <v/>
      </c>
      <c r="AF1303" s="1" t="str">
        <f>IFERROR(__xludf.DUMMYFUNCTION("""COMPUTED_VALUE"""),"")</f>
        <v/>
      </c>
      <c r="AG1303" s="1" t="str">
        <f>IFERROR(__xludf.DUMMYFUNCTION("""COMPUTED_VALUE"""),"")</f>
        <v/>
      </c>
      <c r="AH1303" s="1" t="str">
        <f>IFERROR(__xludf.DUMMYFUNCTION("""COMPUTED_VALUE"""),"PEC")</f>
        <v>PEC</v>
      </c>
      <c r="AI1303" s="2" t="str">
        <f>IFERROR(__xludf.DUMMYFUNCTION("""COMPUTED_VALUE"""),"https://www.fairfaxcounty.gov/planning-development/sites/planning-development/files/Assets/Documents/PDF/data-centers-report.pdf#page=1")</f>
        <v>https://www.fairfaxcounty.gov/planning-development/sites/planning-development/files/Assets/Documents/PDF/data-centers-report.pdf#page=1</v>
      </c>
      <c r="AJ1303" s="2" t="str">
        <f>IFERROR(__xludf.DUMMYFUNCTION("""COMPUTED_VALUE"""),"https://icare.fairfaxcounty.gov/ffxcare/Datalets/Datalet.aspx?mode=&amp;UseSearch=no&amp;pin=0242%2014%20%200004&amp;jur=129&amp;taxyr=2025")</f>
        <v>https://icare.fairfaxcounty.gov/ffxcare/Datalets/Datalet.aspx?mode=&amp;UseSearch=no&amp;pin=0242%2014%20%200004&amp;jur=129&amp;taxyr=2025</v>
      </c>
      <c r="AK1303" s="1" t="str">
        <f>IFERROR(__xludf.DUMMYFUNCTION("""COMPUTED_VALUE"""),"")</f>
        <v/>
      </c>
      <c r="AL1303" s="1" t="str">
        <f>IFERROR(__xludf.DUMMYFUNCTION("""COMPUTED_VALUE"""),"")</f>
        <v/>
      </c>
      <c r="AM1303" s="1" t="str">
        <f>IFERROR(__xludf.DUMMYFUNCTION("""COMPUTED_VALUE"""),"")</f>
        <v/>
      </c>
      <c r="AN1303" s="1" t="str">
        <f>IFERROR(__xludf.DUMMYFUNCTION("""COMPUTED_VALUE"""),"")</f>
        <v/>
      </c>
      <c r="AO1303" s="1" t="str">
        <f>IFERROR(__xludf.DUMMYFUNCTION("""COMPUTED_VALUE"""),"")</f>
        <v/>
      </c>
      <c r="AP1303" s="1" t="str">
        <f>IFERROR(__xludf.DUMMYFUNCTION("""COMPUTED_VALUE"""),"")</f>
        <v/>
      </c>
      <c r="AQ1303" s="1" t="str">
        <f>IFERROR(__xludf.DUMMYFUNCTION("""COMPUTED_VALUE"""),"04/10/2024")</f>
        <v>04/10/2024</v>
      </c>
      <c r="AR1303" s="1" t="str">
        <f>IFERROR(__xludf.DUMMYFUNCTION("""COMPUTED_VALUE"""),"10/17/2025")</f>
        <v>10/17/2025</v>
      </c>
    </row>
    <row r="1304">
      <c r="A1304" s="1" t="str">
        <f>IFERROR(__xludf.DUMMYFUNCTION("""COMPUTED_VALUE"""),"Hopewell Data Center")</f>
        <v>Hopewell Data Center</v>
      </c>
      <c r="B1304" s="1" t="str">
        <f>IFERROR(__xludf.DUMMYFUNCTION("""COMPUTED_VALUE"""),"701 S 6th Ave")</f>
        <v>701 S 6th Ave</v>
      </c>
      <c r="C1304" s="1" t="str">
        <f>IFERROR(__xludf.DUMMYFUNCTION("""COMPUTED_VALUE"""),"Hopewell")</f>
        <v>Hopewell</v>
      </c>
      <c r="D1304" s="1" t="str">
        <f>IFERROR(__xludf.DUMMYFUNCTION("""COMPUTED_VALUE"""),"VA")</f>
        <v>VA</v>
      </c>
      <c r="E1304" s="1" t="str">
        <f>IFERROR(__xludf.DUMMYFUNCTION("""COMPUTED_VALUE"""),"23860")</f>
        <v>23860</v>
      </c>
      <c r="F1304" s="1" t="str">
        <f>IFERROR(__xludf.DUMMYFUNCTION("""COMPUTED_VALUE"""),"Prince George")</f>
        <v>Prince George</v>
      </c>
      <c r="G1304" s="1" t="str">
        <f>IFERROR(__xludf.DUMMYFUNCTION("""COMPUTED_VALUE"""),"37.2963")</f>
        <v>37.2963</v>
      </c>
      <c r="H1304" s="1" t="str">
        <f>IFERROR(__xludf.DUMMYFUNCTION("""COMPUTED_VALUE"""),"-77.28919")</f>
        <v>-77.28919</v>
      </c>
      <c r="I1304" s="1" t="str">
        <f>IFERROR(__xludf.DUMMYFUNCTION("""COMPUTED_VALUE"""),"Pre-proposal")</f>
        <v>Pre-proposal</v>
      </c>
      <c r="J1304" s="1" t="str">
        <f>IFERROR(__xludf.DUMMYFUNCTION("""COMPUTED_VALUE"""),"High")</f>
        <v>High</v>
      </c>
      <c r="K1304" s="1" t="str">
        <f>IFERROR(__xludf.DUMMYFUNCTION("""COMPUTED_VALUE"""),"")</f>
        <v/>
      </c>
      <c r="L1304" s="1" t="str">
        <f>IFERROR(__xludf.DUMMYFUNCTION("""COMPUTED_VALUE"""),"")</f>
        <v/>
      </c>
      <c r="M1304" s="1" t="str">
        <f>IFERROR(__xludf.DUMMYFUNCTION("""COMPUTED_VALUE"""),"")</f>
        <v/>
      </c>
      <c r="N1304" s="1" t="str">
        <f>IFERROR(__xludf.DUMMYFUNCTION("""COMPUTED_VALUE"""),"20")</f>
        <v>20</v>
      </c>
      <c r="O1304" s="1" t="str">
        <f>IFERROR(__xludf.DUMMYFUNCTION("""COMPUTED_VALUE"""),"Medium (11-50 MW)")</f>
        <v>Medium (11-50 MW)</v>
      </c>
      <c r="P1304" s="1" t="str">
        <f>IFERROR(__xludf.DUMMYFUNCTION("""COMPUTED_VALUE"""),"")</f>
        <v/>
      </c>
      <c r="Q1304" s="1" t="str">
        <f>IFERROR(__xludf.DUMMYFUNCTION("""COMPUTED_VALUE"""),"")</f>
        <v/>
      </c>
      <c r="R1304" s="1" t="str">
        <f>IFERROR(__xludf.DUMMYFUNCTION("""COMPUTED_VALUE"""),"")</f>
        <v/>
      </c>
      <c r="S1304" s="1" t="str">
        <f>IFERROR(__xludf.DUMMYFUNCTION("""COMPUTED_VALUE"""),"")</f>
        <v/>
      </c>
      <c r="T1304" s="1" t="str">
        <f>IFERROR(__xludf.DUMMYFUNCTION("""COMPUTED_VALUE"""),"")</f>
        <v/>
      </c>
      <c r="U1304" s="1" t="str">
        <f>IFERROR(__xludf.DUMMYFUNCTION("""COMPUTED_VALUE"""),"")</f>
        <v/>
      </c>
      <c r="V1304" s="1" t="str">
        <f>IFERROR(__xludf.DUMMYFUNCTION("""COMPUTED_VALUE"""),"70,000")</f>
        <v>70,000</v>
      </c>
      <c r="W1304" s="1" t="str">
        <f>IFERROR(__xludf.DUMMYFUNCTION("""COMPUTED_VALUE"""),"")</f>
        <v/>
      </c>
      <c r="X1304" s="1" t="str">
        <f>IFERROR(__xludf.DUMMYFUNCTION("""COMPUTED_VALUE"""),"")</f>
        <v/>
      </c>
      <c r="Y1304" s="1" t="str">
        <f>IFERROR(__xludf.DUMMYFUNCTION("""COMPUTED_VALUE"""),"")</f>
        <v/>
      </c>
      <c r="Z1304" s="1" t="str">
        <f>IFERROR(__xludf.DUMMYFUNCTION("""COMPUTED_VALUE"""),"")</f>
        <v/>
      </c>
      <c r="AA1304" s="1" t="str">
        <f>IFERROR(__xludf.DUMMYFUNCTION("""COMPUTED_VALUE"""),"")</f>
        <v/>
      </c>
      <c r="AB1304" s="1" t="str">
        <f>IFERROR(__xludf.DUMMYFUNCTION("""COMPUTED_VALUE"""),"")</f>
        <v/>
      </c>
      <c r="AC1304" s="1" t="str">
        <f>IFERROR(__xludf.DUMMYFUNCTION("""COMPUTED_VALUE"""),"")</f>
        <v/>
      </c>
      <c r="AD1304" s="1" t="str">
        <f>IFERROR(__xludf.DUMMYFUNCTION("""COMPUTED_VALUE"""),"")</f>
        <v/>
      </c>
      <c r="AE1304" s="1" t="str">
        <f>IFERROR(__xludf.DUMMYFUNCTION("""COMPUTED_VALUE"""),"")</f>
        <v/>
      </c>
      <c r="AF1304" s="1" t="str">
        <f>IFERROR(__xludf.DUMMYFUNCTION("""COMPUTED_VALUE"""),"")</f>
        <v/>
      </c>
      <c r="AG1304" s="1" t="str">
        <f>IFERROR(__xludf.DUMMYFUNCTION("""COMPUTED_VALUE"""),"")</f>
        <v/>
      </c>
      <c r="AH1304" s="1" t="str">
        <f>IFERROR(__xludf.DUMMYFUNCTION("""COMPUTED_VALUE"""),"Media Monitoring")</f>
        <v>Media Monitoring</v>
      </c>
      <c r="AI1304" s="2" t="str">
        <f>IFERROR(__xludf.DUMMYFUNCTION("""COMPUTED_VALUE"""),"https://www.datacenterdynamics.com/en/news/former-ethanol-plant-outside-richmond-virginia-eyed-for-20mw-data-center/")</f>
        <v>https://www.datacenterdynamics.com/en/news/former-ethanol-plant-outside-richmond-virginia-eyed-for-20mw-data-center/</v>
      </c>
      <c r="AJ1304" s="1" t="str">
        <f>IFERROR(__xludf.DUMMYFUNCTION("""COMPUTED_VALUE"""),"")</f>
        <v/>
      </c>
      <c r="AK1304" s="1" t="str">
        <f>IFERROR(__xludf.DUMMYFUNCTION("""COMPUTED_VALUE"""),"")</f>
        <v/>
      </c>
      <c r="AL1304" s="1" t="str">
        <f>IFERROR(__xludf.DUMMYFUNCTION("""COMPUTED_VALUE"""),"")</f>
        <v/>
      </c>
      <c r="AM1304" s="1" t="str">
        <f>IFERROR(__xludf.DUMMYFUNCTION("""COMPUTED_VALUE"""),"")</f>
        <v/>
      </c>
      <c r="AN1304" s="1" t="str">
        <f>IFERROR(__xludf.DUMMYFUNCTION("""COMPUTED_VALUE"""),"")</f>
        <v/>
      </c>
      <c r="AO1304" s="1" t="str">
        <f>IFERROR(__xludf.DUMMYFUNCTION("""COMPUTED_VALUE"""),"")</f>
        <v/>
      </c>
      <c r="AP1304" s="1" t="str">
        <f>IFERROR(__xludf.DUMMYFUNCTION("""COMPUTED_VALUE"""),"")</f>
        <v/>
      </c>
      <c r="AQ1304" s="1" t="str">
        <f>IFERROR(__xludf.DUMMYFUNCTION("""COMPUTED_VALUE"""),"07/14/2026")</f>
        <v>07/14/2026</v>
      </c>
      <c r="AR1304" s="1" t="str">
        <f>IFERROR(__xludf.DUMMYFUNCTION("""COMPUTED_VALUE"""),"07/14/2026")</f>
        <v>07/14/2026</v>
      </c>
    </row>
    <row r="1305">
      <c r="A1305" s="1" t="str">
        <f>IFERROR(__xludf.DUMMYFUNCTION("""COMPUTED_VALUE"""),"DC-4")</f>
        <v>DC-4</v>
      </c>
      <c r="B1305" s="1" t="str">
        <f>IFERROR(__xludf.DUMMYFUNCTION("""COMPUTED_VALUE"""),"10680 UNIVERSITY BLVD")</f>
        <v>10680 UNIVERSITY BLVD</v>
      </c>
      <c r="C1305" s="1" t="str">
        <f>IFERROR(__xludf.DUMMYFUNCTION("""COMPUTED_VALUE"""),"Innovation")</f>
        <v>Innovation</v>
      </c>
      <c r="D1305" s="1" t="str">
        <f>IFERROR(__xludf.DUMMYFUNCTION("""COMPUTED_VALUE"""),"VA")</f>
        <v>VA</v>
      </c>
      <c r="E1305" s="1" t="str">
        <f>IFERROR(__xludf.DUMMYFUNCTION("""COMPUTED_VALUE"""),"20109")</f>
        <v>20109</v>
      </c>
      <c r="F1305" s="1" t="str">
        <f>IFERROR(__xludf.DUMMYFUNCTION("""COMPUTED_VALUE"""),"Prince William")</f>
        <v>Prince William</v>
      </c>
      <c r="G1305" s="1" t="str">
        <f>IFERROR(__xludf.DUMMYFUNCTION("""COMPUTED_VALUE"""),"38.75263")</f>
        <v>38.75263</v>
      </c>
      <c r="H1305" s="1" t="str">
        <f>IFERROR(__xludf.DUMMYFUNCTION("""COMPUTED_VALUE"""),"-77.5165")</f>
        <v>-77.5165</v>
      </c>
      <c r="I1305" s="1" t="str">
        <f>IFERROR(__xludf.DUMMYFUNCTION("""COMPUTED_VALUE"""),"Proposed")</f>
        <v>Proposed</v>
      </c>
      <c r="J1305" s="1" t="str">
        <f>IFERROR(__xludf.DUMMYFUNCTION("""COMPUTED_VALUE"""),"High")</f>
        <v>High</v>
      </c>
      <c r="K1305" s="1" t="str">
        <f>IFERROR(__xludf.DUMMYFUNCTION("""COMPUTED_VALUE"""),"")</f>
        <v/>
      </c>
      <c r="L1305" s="1" t="str">
        <f>IFERROR(__xludf.DUMMYFUNCTION("""COMPUTED_VALUE"""),"QTS MANASSAS I DC4 LLC")</f>
        <v>QTS MANASSAS I DC4 LLC</v>
      </c>
      <c r="M1305" s="1" t="str">
        <f>IFERROR(__xludf.DUMMYFUNCTION("""COMPUTED_VALUE"""),"")</f>
        <v/>
      </c>
      <c r="N1305" s="1" t="str">
        <f>IFERROR(__xludf.DUMMYFUNCTION("""COMPUTED_VALUE"""),"")</f>
        <v/>
      </c>
      <c r="O1305" s="1" t="str">
        <f>IFERROR(__xludf.DUMMYFUNCTION("""COMPUTED_VALUE"""),"Unknown")</f>
        <v>Unknown</v>
      </c>
      <c r="P1305" s="1" t="str">
        <f>IFERROR(__xludf.DUMMYFUNCTION("""COMPUTED_VALUE"""),"")</f>
        <v/>
      </c>
      <c r="Q1305" s="1" t="str">
        <f>IFERROR(__xludf.DUMMYFUNCTION("""COMPUTED_VALUE"""),"")</f>
        <v/>
      </c>
      <c r="R1305" s="1" t="str">
        <f>IFERROR(__xludf.DUMMYFUNCTION("""COMPUTED_VALUE"""),"")</f>
        <v/>
      </c>
      <c r="S1305" s="1" t="str">
        <f>IFERROR(__xludf.DUMMYFUNCTION("""COMPUTED_VALUE"""),"")</f>
        <v/>
      </c>
      <c r="T1305" s="1" t="str">
        <f>IFERROR(__xludf.DUMMYFUNCTION("""COMPUTED_VALUE"""),"")</f>
        <v/>
      </c>
      <c r="U1305" s="1" t="str">
        <f>IFERROR(__xludf.DUMMYFUNCTION("""COMPUTED_VALUE"""),"")</f>
        <v/>
      </c>
      <c r="V1305" s="1" t="str">
        <f>IFERROR(__xludf.DUMMYFUNCTION("""COMPUTED_VALUE"""),"323,526")</f>
        <v>323,526</v>
      </c>
      <c r="W1305" s="1" t="str">
        <f>IFERROR(__xludf.DUMMYFUNCTION("""COMPUTED_VALUE"""),"19")</f>
        <v>19</v>
      </c>
      <c r="X1305" s="1" t="str">
        <f>IFERROR(__xludf.DUMMYFUNCTION("""COMPUTED_VALUE"""),"")</f>
        <v/>
      </c>
      <c r="Y1305" s="1" t="str">
        <f>IFERROR(__xludf.DUMMYFUNCTION("""COMPUTED_VALUE"""),"")</f>
        <v/>
      </c>
      <c r="Z1305" s="1" t="str">
        <f>IFERROR(__xludf.DUMMYFUNCTION("""COMPUTED_VALUE"""),"Unknown")</f>
        <v>Unknown</v>
      </c>
      <c r="AA1305" s="1" t="str">
        <f>IFERROR(__xludf.DUMMYFUNCTION("""COMPUTED_VALUE"""),"")</f>
        <v/>
      </c>
      <c r="AB1305" s="1" t="str">
        <f>IFERROR(__xludf.DUMMYFUNCTION("""COMPUTED_VALUE"""),"")</f>
        <v/>
      </c>
      <c r="AC1305" s="1" t="str">
        <f>IFERROR(__xludf.DUMMYFUNCTION("""COMPUTED_VALUE"""),"")</f>
        <v/>
      </c>
      <c r="AD1305" s="1" t="str">
        <f>IFERROR(__xludf.DUMMYFUNCTION("""COMPUTED_VALUE"""),"")</f>
        <v/>
      </c>
      <c r="AE1305" s="1" t="str">
        <f>IFERROR(__xludf.DUMMYFUNCTION("""COMPUTED_VALUE"""),"")</f>
        <v/>
      </c>
      <c r="AF1305" s="1" t="str">
        <f>IFERROR(__xludf.DUMMYFUNCTION("""COMPUTED_VALUE"""),"")</f>
        <v/>
      </c>
      <c r="AG1305" s="1" t="str">
        <f>IFERROR(__xludf.DUMMYFUNCTION("""COMPUTED_VALUE"""),"")</f>
        <v/>
      </c>
      <c r="AH1305" s="1" t="str">
        <f>IFERROR(__xludf.DUMMYFUNCTION("""COMPUTED_VALUE"""),"PEC")</f>
        <v>PEC</v>
      </c>
      <c r="AI1305" s="2" t="str">
        <f>IFERROR(__xludf.DUMMYFUNCTION("""COMPUTED_VALUE"""),"https://egcss.pwcgov.org/SelfService#/project/323efe8c-4e6b-4a44-87b8-c7cd7e5487ba")</f>
        <v>https://egcss.pwcgov.org/SelfService#/project/323efe8c-4e6b-4a44-87b8-c7cd7e5487ba</v>
      </c>
      <c r="AJ1305" s="2" t="str">
        <f>IFERROR(__xludf.DUMMYFUNCTION("""COMPUTED_VALUE"""),"https://pwc.publicaccessnow.com/PropertyDetail.aspx?mtab=property&amp;mpropertynumber=248431")</f>
        <v>https://pwc.publicaccessnow.com/PropertyDetail.aspx?mtab=property&amp;mpropertynumber=248431</v>
      </c>
      <c r="AK1305" s="1" t="str">
        <f>IFERROR(__xludf.DUMMYFUNCTION("""COMPUTED_VALUE"""),"")</f>
        <v/>
      </c>
      <c r="AL1305" s="1" t="str">
        <f>IFERROR(__xludf.DUMMYFUNCTION("""COMPUTED_VALUE"""),"")</f>
        <v/>
      </c>
      <c r="AM1305" s="1" t="str">
        <f>IFERROR(__xludf.DUMMYFUNCTION("""COMPUTED_VALUE"""),"")</f>
        <v/>
      </c>
      <c r="AN1305" s="1" t="str">
        <f>IFERROR(__xludf.DUMMYFUNCTION("""COMPUTED_VALUE"""),"")</f>
        <v/>
      </c>
      <c r="AO1305" s="1" t="str">
        <f>IFERROR(__xludf.DUMMYFUNCTION("""COMPUTED_VALUE"""),"")</f>
        <v/>
      </c>
      <c r="AP1305" s="1" t="str">
        <f>IFERROR(__xludf.DUMMYFUNCTION("""COMPUTED_VALUE"""),"")</f>
        <v/>
      </c>
      <c r="AQ1305" s="1" t="str">
        <f>IFERROR(__xludf.DUMMYFUNCTION("""COMPUTED_VALUE"""),"04/10/2024")</f>
        <v>04/10/2024</v>
      </c>
      <c r="AR1305" s="1" t="str">
        <f>IFERROR(__xludf.DUMMYFUNCTION("""COMPUTED_VALUE"""),"10/17/2025")</f>
        <v>10/17/2025</v>
      </c>
    </row>
    <row r="1306">
      <c r="A1306" s="1" t="str">
        <f>IFERROR(__xludf.DUMMYFUNCTION("""COMPUTED_VALUE"""),"EdgeCore")</f>
        <v>EdgeCore</v>
      </c>
      <c r="B1306" s="1" t="str">
        <f>IFERROR(__xludf.DUMMYFUNCTION("""COMPUTED_VALUE"""),"5735 State Rte 653")</f>
        <v>5735 State Rte 653</v>
      </c>
      <c r="C1306" s="1" t="str">
        <f>IFERROR(__xludf.DUMMYFUNCTION("""COMPUTED_VALUE"""),"Kents Store")</f>
        <v>Kents Store</v>
      </c>
      <c r="D1306" s="1" t="str">
        <f>IFERROR(__xludf.DUMMYFUNCTION("""COMPUTED_VALUE"""),"VA")</f>
        <v>VA</v>
      </c>
      <c r="E1306" s="1" t="str">
        <f>IFERROR(__xludf.DUMMYFUNCTION("""COMPUTED_VALUE"""),"23084")</f>
        <v>23084</v>
      </c>
      <c r="F1306" s="1" t="str">
        <f>IFERROR(__xludf.DUMMYFUNCTION("""COMPUTED_VALUE"""),"Goochland")</f>
        <v>Goochland</v>
      </c>
      <c r="G1306" s="1" t="str">
        <f>IFERROR(__xludf.DUMMYFUNCTION("""COMPUTED_VALUE"""),"37.88311")</f>
        <v>37.88311</v>
      </c>
      <c r="H1306" s="1" t="str">
        <f>IFERROR(__xludf.DUMMYFUNCTION("""COMPUTED_VALUE"""),"-78.0388")</f>
        <v>-78.0388</v>
      </c>
      <c r="I1306" s="1" t="str">
        <f>IFERROR(__xludf.DUMMYFUNCTION("""COMPUTED_VALUE"""),"Suspended")</f>
        <v>Suspended</v>
      </c>
      <c r="J1306" s="1" t="str">
        <f>IFERROR(__xludf.DUMMYFUNCTION("""COMPUTED_VALUE"""),"Medium")</f>
        <v>Medium</v>
      </c>
      <c r="K1306" s="1" t="str">
        <f>IFERROR(__xludf.DUMMYFUNCTION("""COMPUTED_VALUE"""),"")</f>
        <v/>
      </c>
      <c r="L1306" s="1" t="str">
        <f>IFERROR(__xludf.DUMMYFUNCTION("""COMPUTED_VALUE"""),"")</f>
        <v/>
      </c>
      <c r="M1306" s="1" t="str">
        <f>IFERROR(__xludf.DUMMYFUNCTION("""COMPUTED_VALUE"""),"")</f>
        <v/>
      </c>
      <c r="N1306" s="1" t="str">
        <f>IFERROR(__xludf.DUMMYFUNCTION("""COMPUTED_VALUE"""),"1100")</f>
        <v>1100</v>
      </c>
      <c r="O1306" s="1" t="str">
        <f>IFERROR(__xludf.DUMMYFUNCTION("""COMPUTED_VALUE"""),"Mega campus (&gt;1,000 MW)")</f>
        <v>Mega campus (&gt;1,000 MW)</v>
      </c>
      <c r="P1306" s="1" t="str">
        <f>IFERROR(__xludf.DUMMYFUNCTION("""COMPUTED_VALUE"""),"")</f>
        <v/>
      </c>
      <c r="Q1306" s="1" t="str">
        <f>IFERROR(__xludf.DUMMYFUNCTION("""COMPUTED_VALUE"""),"")</f>
        <v/>
      </c>
      <c r="R1306" s="1" t="str">
        <f>IFERROR(__xludf.DUMMYFUNCTION("""COMPUTED_VALUE"""),"")</f>
        <v/>
      </c>
      <c r="S1306" s="1" t="str">
        <f>IFERROR(__xludf.DUMMYFUNCTION("""COMPUTED_VALUE"""),"")</f>
        <v/>
      </c>
      <c r="T1306" s="1" t="str">
        <f>IFERROR(__xludf.DUMMYFUNCTION("""COMPUTED_VALUE"""),"")</f>
        <v/>
      </c>
      <c r="U1306" s="1" t="str">
        <f>IFERROR(__xludf.DUMMYFUNCTION("""COMPUTED_VALUE"""),"")</f>
        <v/>
      </c>
      <c r="V1306" s="1" t="str">
        <f>IFERROR(__xludf.DUMMYFUNCTION("""COMPUTED_VALUE"""),"3,900,000")</f>
        <v>3,900,000</v>
      </c>
      <c r="W1306" s="1" t="str">
        <f>IFERROR(__xludf.DUMMYFUNCTION("""COMPUTED_VALUE"""),"")</f>
        <v/>
      </c>
      <c r="X1306" s="1" t="str">
        <f>IFERROR(__xludf.DUMMYFUNCTION("""COMPUTED_VALUE"""),"$17 billion")</f>
        <v>$17 billion</v>
      </c>
      <c r="Y1306" s="1" t="str">
        <f>IFERROR(__xludf.DUMMYFUNCTION("""COMPUTED_VALUE"""),"")</f>
        <v/>
      </c>
      <c r="Z1306" s="1" t="str">
        <f>IFERROR(__xludf.DUMMYFUNCTION("""COMPUTED_VALUE"""),"Unknown")</f>
        <v>Unknown</v>
      </c>
      <c r="AA1306" s="1" t="str">
        <f>IFERROR(__xludf.DUMMYFUNCTION("""COMPUTED_VALUE"""),"")</f>
        <v/>
      </c>
      <c r="AB1306" s="1" t="str">
        <f>IFERROR(__xludf.DUMMYFUNCTION("""COMPUTED_VALUE"""),"")</f>
        <v/>
      </c>
      <c r="AC1306" s="1" t="str">
        <f>IFERROR(__xludf.DUMMYFUNCTION("""COMPUTED_VALUE"""),"")</f>
        <v/>
      </c>
      <c r="AD1306" s="1" t="str">
        <f>IFERROR(__xludf.DUMMYFUNCTION("""COMPUTED_VALUE"""),"")</f>
        <v/>
      </c>
      <c r="AE1306" s="1" t="str">
        <f>IFERROR(__xludf.DUMMYFUNCTION("""COMPUTED_VALUE"""),"")</f>
        <v/>
      </c>
      <c r="AF1306" s="1" t="str">
        <f>IFERROR(__xludf.DUMMYFUNCTION("""COMPUTED_VALUE"""),"")</f>
        <v/>
      </c>
      <c r="AG1306" s="1" t="str">
        <f>IFERROR(__xludf.DUMMYFUNCTION("""COMPUTED_VALUE"""),"Closed-loop, air-cooled")</f>
        <v>Closed-loop, air-cooled</v>
      </c>
      <c r="AH1306" s="1" t="str">
        <f>IFERROR(__xludf.DUMMYFUNCTION("""COMPUTED_VALUE"""),"Media Monitoring")</f>
        <v>Media Monitoring</v>
      </c>
      <c r="AI1306" s="2" t="str">
        <f>IFERROR(__xludf.DUMMYFUNCTION("""COMPUTED_VALUE"""),"https://www.datacenterdynamics.com/en/news/edgecore-to-develop-11gw-data-center-in-louisa-county-virginia/")</f>
        <v>https://www.datacenterdynamics.com/en/news/edgecore-to-develop-11gw-data-center-in-louisa-county-virginia/</v>
      </c>
      <c r="AJ1306" s="1" t="str">
        <f>IFERROR(__xludf.DUMMYFUNCTION("""COMPUTED_VALUE"""),"")</f>
        <v/>
      </c>
      <c r="AK1306" s="1" t="str">
        <f>IFERROR(__xludf.DUMMYFUNCTION("""COMPUTED_VALUE"""),"")</f>
        <v/>
      </c>
      <c r="AL1306" s="1" t="str">
        <f>IFERROR(__xludf.DUMMYFUNCTION("""COMPUTED_VALUE"""),"")</f>
        <v/>
      </c>
      <c r="AM1306" s="1" t="str">
        <f>IFERROR(__xludf.DUMMYFUNCTION("""COMPUTED_VALUE"""),"")</f>
        <v/>
      </c>
      <c r="AN1306" s="1" t="str">
        <f>IFERROR(__xludf.DUMMYFUNCTION("""COMPUTED_VALUE"""),"")</f>
        <v/>
      </c>
      <c r="AO1306" s="1" t="str">
        <f>IFERROR(__xludf.DUMMYFUNCTION("""COMPUTED_VALUE"""),"")</f>
        <v/>
      </c>
      <c r="AP1306" s="1" t="str">
        <f>IFERROR(__xludf.DUMMYFUNCTION("""COMPUTED_VALUE"""),"")</f>
        <v/>
      </c>
      <c r="AQ1306" s="1" t="str">
        <f>IFERROR(__xludf.DUMMYFUNCTION("""COMPUTED_VALUE"""),"06/26/2025")</f>
        <v>06/26/2025</v>
      </c>
      <c r="AR1306" s="1" t="str">
        <f>IFERROR(__xludf.DUMMYFUNCTION("""COMPUTED_VALUE"""),"06/26/2025")</f>
        <v>06/26/2025</v>
      </c>
    </row>
    <row r="1307">
      <c r="A1307" s="1" t="str">
        <f>IFERROR(__xludf.DUMMYFUNCTION("""COMPUTED_VALUE"""),"Birchwood AWS")</f>
        <v>Birchwood AWS</v>
      </c>
      <c r="B1307" s="1" t="str">
        <f>IFERROR(__xludf.DUMMYFUNCTION("""COMPUTED_VALUE"""),"10900 BIRCHWOOD DR")</f>
        <v>10900 BIRCHWOOD DR</v>
      </c>
      <c r="C1307" s="1" t="str">
        <f>IFERROR(__xludf.DUMMYFUNCTION("""COMPUTED_VALUE"""),"King George")</f>
        <v>King George</v>
      </c>
      <c r="D1307" s="1" t="str">
        <f>IFERROR(__xludf.DUMMYFUNCTION("""COMPUTED_VALUE"""),"VA")</f>
        <v>VA</v>
      </c>
      <c r="E1307" s="1" t="str">
        <f>IFERROR(__xludf.DUMMYFUNCTION("""COMPUTED_VALUE"""),"22485")</f>
        <v>22485</v>
      </c>
      <c r="F1307" s="1" t="str">
        <f>IFERROR(__xludf.DUMMYFUNCTION("""COMPUTED_VALUE"""),"King George")</f>
        <v>King George</v>
      </c>
      <c r="G1307" s="1" t="str">
        <f>IFERROR(__xludf.DUMMYFUNCTION("""COMPUTED_VALUE"""),"38.266403")</f>
        <v>38.266403</v>
      </c>
      <c r="H1307" s="1" t="str">
        <f>IFERROR(__xludf.DUMMYFUNCTION("""COMPUTED_VALUE"""),"-77.317726")</f>
        <v>-77.317726</v>
      </c>
      <c r="I1307" s="1" t="str">
        <f>IFERROR(__xludf.DUMMYFUNCTION("""COMPUTED_VALUE"""),"Proposed")</f>
        <v>Proposed</v>
      </c>
      <c r="J1307" s="1" t="str">
        <f>IFERROR(__xludf.DUMMYFUNCTION("""COMPUTED_VALUE"""),"High")</f>
        <v>High</v>
      </c>
      <c r="K1307" s="1" t="str">
        <f>IFERROR(__xludf.DUMMYFUNCTION("""COMPUTED_VALUE"""),"")</f>
        <v/>
      </c>
      <c r="L1307" s="1" t="str">
        <f>IFERROR(__xludf.DUMMYFUNCTION("""COMPUTED_VALUE"""),"Amazon")</f>
        <v>Amazon</v>
      </c>
      <c r="M1307" s="1" t="str">
        <f>IFERROR(__xludf.DUMMYFUNCTION("""COMPUTED_VALUE"""),"")</f>
        <v/>
      </c>
      <c r="N1307" s="1" t="str">
        <f>IFERROR(__xludf.DUMMYFUNCTION("""COMPUTED_VALUE"""),"")</f>
        <v/>
      </c>
      <c r="O1307" s="1" t="str">
        <f>IFERROR(__xludf.DUMMYFUNCTION("""COMPUTED_VALUE"""),"Unknown")</f>
        <v>Unknown</v>
      </c>
      <c r="P1307" s="1" t="str">
        <f>IFERROR(__xludf.DUMMYFUNCTION("""COMPUTED_VALUE"""),"")</f>
        <v/>
      </c>
      <c r="Q1307" s="1" t="str">
        <f>IFERROR(__xludf.DUMMYFUNCTION("""COMPUTED_VALUE"""),"")</f>
        <v/>
      </c>
      <c r="R1307" s="1" t="str">
        <f>IFERROR(__xludf.DUMMYFUNCTION("""COMPUTED_VALUE"""),"")</f>
        <v/>
      </c>
      <c r="S1307" s="1" t="str">
        <f>IFERROR(__xludf.DUMMYFUNCTION("""COMPUTED_VALUE"""),"")</f>
        <v/>
      </c>
      <c r="T1307" s="1" t="str">
        <f>IFERROR(__xludf.DUMMYFUNCTION("""COMPUTED_VALUE"""),"")</f>
        <v/>
      </c>
      <c r="U1307" s="1" t="str">
        <f>IFERROR(__xludf.DUMMYFUNCTION("""COMPUTED_VALUE"""),"")</f>
        <v/>
      </c>
      <c r="V1307" s="1" t="str">
        <f>IFERROR(__xludf.DUMMYFUNCTION("""COMPUTED_VALUE"""),"7,250,000")</f>
        <v>7,250,000</v>
      </c>
      <c r="W1307" s="1" t="str">
        <f>IFERROR(__xludf.DUMMYFUNCTION("""COMPUTED_VALUE"""),"869")</f>
        <v>869</v>
      </c>
      <c r="X1307" s="1" t="str">
        <f>IFERROR(__xludf.DUMMYFUNCTION("""COMPUTED_VALUE"""),"")</f>
        <v/>
      </c>
      <c r="Y1307" s="1" t="str">
        <f>IFERROR(__xludf.DUMMYFUNCTION("""COMPUTED_VALUE"""),"")</f>
        <v/>
      </c>
      <c r="Z1307" s="1" t="str">
        <f>IFERROR(__xludf.DUMMYFUNCTION("""COMPUTED_VALUE"""),"Unknown")</f>
        <v>Unknown</v>
      </c>
      <c r="AA1307" s="1" t="str">
        <f>IFERROR(__xludf.DUMMYFUNCTION("""COMPUTED_VALUE"""),"")</f>
        <v/>
      </c>
      <c r="AB1307" s="1" t="str">
        <f>IFERROR(__xludf.DUMMYFUNCTION("""COMPUTED_VALUE"""),"")</f>
        <v/>
      </c>
      <c r="AC1307" s="1" t="str">
        <f>IFERROR(__xludf.DUMMYFUNCTION("""COMPUTED_VALUE"""),"")</f>
        <v/>
      </c>
      <c r="AD1307" s="1" t="str">
        <f>IFERROR(__xludf.DUMMYFUNCTION("""COMPUTED_VALUE"""),"")</f>
        <v/>
      </c>
      <c r="AE1307" s="1" t="str">
        <f>IFERROR(__xludf.DUMMYFUNCTION("""COMPUTED_VALUE"""),"")</f>
        <v/>
      </c>
      <c r="AF1307" s="1" t="str">
        <f>IFERROR(__xludf.DUMMYFUNCTION("""COMPUTED_VALUE"""),"")</f>
        <v/>
      </c>
      <c r="AG1307" s="1" t="str">
        <f>IFERROR(__xludf.DUMMYFUNCTION("""COMPUTED_VALUE"""),"Under litigation. Project covers more than one parcel, the acreage represents the combined acreage")</f>
        <v>Under litigation. Project covers more than one parcel, the acreage represents the combined acreage</v>
      </c>
      <c r="AH1307" s="1" t="str">
        <f>IFERROR(__xludf.DUMMYFUNCTION("""COMPUTED_VALUE"""),"PEC")</f>
        <v>PEC</v>
      </c>
      <c r="AI1307" s="2" t="str">
        <f>IFERROR(__xludf.DUMMYFUNCTION("""COMPUTED_VALUE"""),"https://www.datacenterdynamics.com/en/news/virginias-king-george-county-looks-to-approve-75m-sq-ft-data-center-park-for-amazon/")</f>
        <v>https://www.datacenterdynamics.com/en/news/virginias-king-george-county-looks-to-approve-75m-sq-ft-data-center-park-for-amazon/</v>
      </c>
      <c r="AJ1307" s="1" t="str">
        <f>IFERROR(__xludf.DUMMYFUNCTION("""COMPUTED_VALUE"""),"")</f>
        <v/>
      </c>
      <c r="AK1307" s="1" t="str">
        <f>IFERROR(__xludf.DUMMYFUNCTION("""COMPUTED_VALUE"""),"")</f>
        <v/>
      </c>
      <c r="AL1307" s="1" t="str">
        <f>IFERROR(__xludf.DUMMYFUNCTION("""COMPUTED_VALUE"""),"")</f>
        <v/>
      </c>
      <c r="AM1307" s="1" t="str">
        <f>IFERROR(__xludf.DUMMYFUNCTION("""COMPUTED_VALUE"""),"")</f>
        <v/>
      </c>
      <c r="AN1307" s="1" t="str">
        <f>IFERROR(__xludf.DUMMYFUNCTION("""COMPUTED_VALUE"""),"")</f>
        <v/>
      </c>
      <c r="AO1307" s="1" t="str">
        <f>IFERROR(__xludf.DUMMYFUNCTION("""COMPUTED_VALUE"""),"")</f>
        <v/>
      </c>
      <c r="AP1307" s="1" t="str">
        <f>IFERROR(__xludf.DUMMYFUNCTION("""COMPUTED_VALUE"""),"")</f>
        <v/>
      </c>
      <c r="AQ1307" s="1" t="str">
        <f>IFERROR(__xludf.DUMMYFUNCTION("""COMPUTED_VALUE"""),"04/10/2024")</f>
        <v>04/10/2024</v>
      </c>
      <c r="AR1307" s="1" t="str">
        <f>IFERROR(__xludf.DUMMYFUNCTION("""COMPUTED_VALUE"""),"10/17/2025")</f>
        <v>10/17/2025</v>
      </c>
    </row>
    <row r="1308">
      <c r="A1308" s="1" t="str">
        <f>IFERROR(__xludf.DUMMYFUNCTION("""COMPUTED_VALUE"""),"Dahlgren West")</f>
        <v>Dahlgren West</v>
      </c>
      <c r="B1308" s="1" t="str">
        <f>IFERROR(__xludf.DUMMYFUNCTION("""COMPUTED_VALUE"""),"west of the intersection of Route 301 and Route 616, just up the road from the Chestnut Hill Loop")</f>
        <v>west of the intersection of Route 301 and Route 616, just up the road from the Chestnut Hill Loop</v>
      </c>
      <c r="C1308" s="1" t="str">
        <f>IFERROR(__xludf.DUMMYFUNCTION("""COMPUTED_VALUE"""),"King George")</f>
        <v>King George</v>
      </c>
      <c r="D1308" s="1" t="str">
        <f>IFERROR(__xludf.DUMMYFUNCTION("""COMPUTED_VALUE"""),"VA")</f>
        <v>VA</v>
      </c>
      <c r="E1308" s="1" t="str">
        <f>IFERROR(__xludf.DUMMYFUNCTION("""COMPUTED_VALUE"""),"22485")</f>
        <v>22485</v>
      </c>
      <c r="F1308" s="1" t="str">
        <f>IFERROR(__xludf.DUMMYFUNCTION("""COMPUTED_VALUE"""),"King George")</f>
        <v>King George</v>
      </c>
      <c r="G1308" s="1" t="str">
        <f>IFERROR(__xludf.DUMMYFUNCTION("""COMPUTED_VALUE"""),"38.30985")</f>
        <v>38.30985</v>
      </c>
      <c r="H1308" s="1" t="str">
        <f>IFERROR(__xludf.DUMMYFUNCTION("""COMPUTED_VALUE"""),"-77.11264")</f>
        <v>-77.11264</v>
      </c>
      <c r="I1308" s="1" t="str">
        <f>IFERROR(__xludf.DUMMYFUNCTION("""COMPUTED_VALUE"""),"Proposed")</f>
        <v>Proposed</v>
      </c>
      <c r="J1308" s="1" t="str">
        <f>IFERROR(__xludf.DUMMYFUNCTION("""COMPUTED_VALUE"""),"Medium")</f>
        <v>Medium</v>
      </c>
      <c r="K1308" s="1" t="str">
        <f>IFERROR(__xludf.DUMMYFUNCTION("""COMPUTED_VALUE"""),"")</f>
        <v/>
      </c>
      <c r="L1308" s="1" t="str">
        <f>IFERROR(__xludf.DUMMYFUNCTION("""COMPUTED_VALUE"""),"")</f>
        <v/>
      </c>
      <c r="M1308" s="1" t="str">
        <f>IFERROR(__xludf.DUMMYFUNCTION("""COMPUTED_VALUE"""),"")</f>
        <v/>
      </c>
      <c r="N1308" s="1" t="str">
        <f>IFERROR(__xludf.DUMMYFUNCTION("""COMPUTED_VALUE"""),"")</f>
        <v/>
      </c>
      <c r="O1308" s="1" t="str">
        <f>IFERROR(__xludf.DUMMYFUNCTION("""COMPUTED_VALUE"""),"Unknown")</f>
        <v>Unknown</v>
      </c>
      <c r="P1308" s="1" t="str">
        <f>IFERROR(__xludf.DUMMYFUNCTION("""COMPUTED_VALUE"""),"")</f>
        <v/>
      </c>
      <c r="Q1308" s="1" t="str">
        <f>IFERROR(__xludf.DUMMYFUNCTION("""COMPUTED_VALUE"""),"")</f>
        <v/>
      </c>
      <c r="R1308" s="1" t="str">
        <f>IFERROR(__xludf.DUMMYFUNCTION("""COMPUTED_VALUE"""),"")</f>
        <v/>
      </c>
      <c r="S1308" s="1" t="str">
        <f>IFERROR(__xludf.DUMMYFUNCTION("""COMPUTED_VALUE"""),"")</f>
        <v/>
      </c>
      <c r="T1308" s="1" t="str">
        <f>IFERROR(__xludf.DUMMYFUNCTION("""COMPUTED_VALUE"""),"")</f>
        <v/>
      </c>
      <c r="U1308" s="1" t="str">
        <f>IFERROR(__xludf.DUMMYFUNCTION("""COMPUTED_VALUE"""),"")</f>
        <v/>
      </c>
      <c r="V1308" s="1" t="str">
        <f>IFERROR(__xludf.DUMMYFUNCTION("""COMPUTED_VALUE"""),"9,000,000")</f>
        <v>9,000,000</v>
      </c>
      <c r="W1308" s="1" t="str">
        <f>IFERROR(__xludf.DUMMYFUNCTION("""COMPUTED_VALUE"""),"497")</f>
        <v>497</v>
      </c>
      <c r="X1308" s="1" t="str">
        <f>IFERROR(__xludf.DUMMYFUNCTION("""COMPUTED_VALUE"""),"")</f>
        <v/>
      </c>
      <c r="Y1308" s="1" t="str">
        <f>IFERROR(__xludf.DUMMYFUNCTION("""COMPUTED_VALUE"""),"")</f>
        <v/>
      </c>
      <c r="Z1308" s="1" t="str">
        <f>IFERROR(__xludf.DUMMYFUNCTION("""COMPUTED_VALUE"""),"Unknown")</f>
        <v>Unknown</v>
      </c>
      <c r="AA1308" s="1" t="str">
        <f>IFERROR(__xludf.DUMMYFUNCTION("""COMPUTED_VALUE"""),"")</f>
        <v/>
      </c>
      <c r="AB1308" s="1" t="str">
        <f>IFERROR(__xludf.DUMMYFUNCTION("""COMPUTED_VALUE"""),"")</f>
        <v/>
      </c>
      <c r="AC1308" s="1" t="str">
        <f>IFERROR(__xludf.DUMMYFUNCTION("""COMPUTED_VALUE"""),"")</f>
        <v/>
      </c>
      <c r="AD1308" s="1" t="str">
        <f>IFERROR(__xludf.DUMMYFUNCTION("""COMPUTED_VALUE"""),"")</f>
        <v/>
      </c>
      <c r="AE1308" s="1" t="str">
        <f>IFERROR(__xludf.DUMMYFUNCTION("""COMPUTED_VALUE"""),"")</f>
        <v/>
      </c>
      <c r="AF1308" s="1" t="str">
        <f>IFERROR(__xludf.DUMMYFUNCTION("""COMPUTED_VALUE"""),"")</f>
        <v/>
      </c>
      <c r="AG1308" s="1" t="str">
        <f>IFERROR(__xludf.DUMMYFUNCTION("""COMPUTED_VALUE"""),"Project covers more than one parcel, the acreage represents the combined acreage")</f>
        <v>Project covers more than one parcel, the acreage represents the combined acreage</v>
      </c>
      <c r="AH1308" s="1" t="str">
        <f>IFERROR(__xludf.DUMMYFUNCTION("""COMPUTED_VALUE"""),"PEC")</f>
        <v>PEC</v>
      </c>
      <c r="AI1308" s="2" t="str">
        <f>IFERROR(__xludf.DUMMYFUNCTION("""COMPUTED_VALUE"""),"https://www.datacenterdynamics.com/en/news/9-million-sq-ft-data-center-campus-proposed-in-virginias-king-george-county/")</f>
        <v>https://www.datacenterdynamics.com/en/news/9-million-sq-ft-data-center-campus-proposed-in-virginias-king-george-county/</v>
      </c>
      <c r="AJ1308" s="1" t="str">
        <f>IFERROR(__xludf.DUMMYFUNCTION("""COMPUTED_VALUE"""),"")</f>
        <v/>
      </c>
      <c r="AK1308" s="1" t="str">
        <f>IFERROR(__xludf.DUMMYFUNCTION("""COMPUTED_VALUE"""),"")</f>
        <v/>
      </c>
      <c r="AL1308" s="1" t="str">
        <f>IFERROR(__xludf.DUMMYFUNCTION("""COMPUTED_VALUE"""),"")</f>
        <v/>
      </c>
      <c r="AM1308" s="1" t="str">
        <f>IFERROR(__xludf.DUMMYFUNCTION("""COMPUTED_VALUE"""),"")</f>
        <v/>
      </c>
      <c r="AN1308" s="1" t="str">
        <f>IFERROR(__xludf.DUMMYFUNCTION("""COMPUTED_VALUE"""),"")</f>
        <v/>
      </c>
      <c r="AO1308" s="1" t="str">
        <f>IFERROR(__xludf.DUMMYFUNCTION("""COMPUTED_VALUE"""),"")</f>
        <v/>
      </c>
      <c r="AP1308" s="1" t="str">
        <f>IFERROR(__xludf.DUMMYFUNCTION("""COMPUTED_VALUE"""),"")</f>
        <v/>
      </c>
      <c r="AQ1308" s="1" t="str">
        <f>IFERROR(__xludf.DUMMYFUNCTION("""COMPUTED_VALUE"""),"07/17/2025")</f>
        <v>07/17/2025</v>
      </c>
      <c r="AR1308" s="1" t="str">
        <f>IFERROR(__xludf.DUMMYFUNCTION("""COMPUTED_VALUE"""),"10/17/2025")</f>
        <v>10/17/2025</v>
      </c>
    </row>
    <row r="1309">
      <c r="A1309" s="1" t="str">
        <f>IFERROR(__xludf.DUMMYFUNCTION("""COMPUTED_VALUE"""),"Cochran Mill Road")</f>
        <v>Cochran Mill Road</v>
      </c>
      <c r="B1309" s="1" t="str">
        <f>IFERROR(__xludf.DUMMYFUNCTION("""COMPUTED_VALUE"""),"42277 COCHRAN MILL RD")</f>
        <v>42277 COCHRAN MILL RD</v>
      </c>
      <c r="C1309" s="1" t="str">
        <f>IFERROR(__xludf.DUMMYFUNCTION("""COMPUTED_VALUE"""),"Leesburg")</f>
        <v>Leesburg</v>
      </c>
      <c r="D1309" s="1" t="str">
        <f>IFERROR(__xludf.DUMMYFUNCTION("""COMPUTED_VALUE"""),"VA")</f>
        <v>VA</v>
      </c>
      <c r="E1309" s="1" t="str">
        <f>IFERROR(__xludf.DUMMYFUNCTION("""COMPUTED_VALUE"""),"20175")</f>
        <v>20175</v>
      </c>
      <c r="F1309" s="1" t="str">
        <f>IFERROR(__xludf.DUMMYFUNCTION("""COMPUTED_VALUE"""),"Loudoun")</f>
        <v>Loudoun</v>
      </c>
      <c r="G1309" s="1" t="str">
        <f>IFERROR(__xludf.DUMMYFUNCTION("""COMPUTED_VALUE"""),"39.074635")</f>
        <v>39.074635</v>
      </c>
      <c r="H1309" s="1" t="str">
        <f>IFERROR(__xludf.DUMMYFUNCTION("""COMPUTED_VALUE"""),"-77.51654")</f>
        <v>-77.51654</v>
      </c>
      <c r="I1309" s="1" t="str">
        <f>IFERROR(__xludf.DUMMYFUNCTION("""COMPUTED_VALUE"""),"Proposed")</f>
        <v>Proposed</v>
      </c>
      <c r="J1309" s="1" t="str">
        <f>IFERROR(__xludf.DUMMYFUNCTION("""COMPUTED_VALUE"""),"High")</f>
        <v>High</v>
      </c>
      <c r="K1309" s="1" t="str">
        <f>IFERROR(__xludf.DUMMYFUNCTION("""COMPUTED_VALUE"""),"")</f>
        <v/>
      </c>
      <c r="L1309" s="1" t="str">
        <f>IFERROR(__xludf.DUMMYFUNCTION("""COMPUTED_VALUE"""),"")</f>
        <v/>
      </c>
      <c r="M1309" s="1" t="str">
        <f>IFERROR(__xludf.DUMMYFUNCTION("""COMPUTED_VALUE"""),"")</f>
        <v/>
      </c>
      <c r="N1309" s="1" t="str">
        <f>IFERROR(__xludf.DUMMYFUNCTION("""COMPUTED_VALUE"""),"")</f>
        <v/>
      </c>
      <c r="O1309" s="1" t="str">
        <f>IFERROR(__xludf.DUMMYFUNCTION("""COMPUTED_VALUE"""),"Unknown")</f>
        <v>Unknown</v>
      </c>
      <c r="P1309" s="1" t="str">
        <f>IFERROR(__xludf.DUMMYFUNCTION("""COMPUTED_VALUE"""),"")</f>
        <v/>
      </c>
      <c r="Q1309" s="1" t="str">
        <f>IFERROR(__xludf.DUMMYFUNCTION("""COMPUTED_VALUE"""),"")</f>
        <v/>
      </c>
      <c r="R1309" s="1" t="str">
        <f>IFERROR(__xludf.DUMMYFUNCTION("""COMPUTED_VALUE"""),"")</f>
        <v/>
      </c>
      <c r="S1309" s="1" t="str">
        <f>IFERROR(__xludf.DUMMYFUNCTION("""COMPUTED_VALUE"""),"")</f>
        <v/>
      </c>
      <c r="T1309" s="1" t="str">
        <f>IFERROR(__xludf.DUMMYFUNCTION("""COMPUTED_VALUE"""),"")</f>
        <v/>
      </c>
      <c r="U1309" s="1" t="str">
        <f>IFERROR(__xludf.DUMMYFUNCTION("""COMPUTED_VALUE"""),"")</f>
        <v/>
      </c>
      <c r="V1309" s="1" t="str">
        <f>IFERROR(__xludf.DUMMYFUNCTION("""COMPUTED_VALUE"""),"811,129")</f>
        <v>811,129</v>
      </c>
      <c r="W1309" s="1" t="str">
        <f>IFERROR(__xludf.DUMMYFUNCTION("""COMPUTED_VALUE"""),"53")</f>
        <v>53</v>
      </c>
      <c r="X1309" s="1" t="str">
        <f>IFERROR(__xludf.DUMMYFUNCTION("""COMPUTED_VALUE"""),"")</f>
        <v/>
      </c>
      <c r="Y1309" s="1" t="str">
        <f>IFERROR(__xludf.DUMMYFUNCTION("""COMPUTED_VALUE"""),"")</f>
        <v/>
      </c>
      <c r="Z1309" s="1" t="str">
        <f>IFERROR(__xludf.DUMMYFUNCTION("""COMPUTED_VALUE"""),"Unknown")</f>
        <v>Unknown</v>
      </c>
      <c r="AA1309" s="1" t="str">
        <f>IFERROR(__xludf.DUMMYFUNCTION("""COMPUTED_VALUE"""),"")</f>
        <v/>
      </c>
      <c r="AB1309" s="1" t="str">
        <f>IFERROR(__xludf.DUMMYFUNCTION("""COMPUTED_VALUE"""),"")</f>
        <v/>
      </c>
      <c r="AC1309" s="1" t="str">
        <f>IFERROR(__xludf.DUMMYFUNCTION("""COMPUTED_VALUE"""),"")</f>
        <v/>
      </c>
      <c r="AD1309" s="1" t="str">
        <f>IFERROR(__xludf.DUMMYFUNCTION("""COMPUTED_VALUE"""),"")</f>
        <v/>
      </c>
      <c r="AE1309" s="1" t="str">
        <f>IFERROR(__xludf.DUMMYFUNCTION("""COMPUTED_VALUE"""),"")</f>
        <v/>
      </c>
      <c r="AF1309" s="1" t="str">
        <f>IFERROR(__xludf.DUMMYFUNCTION("""COMPUTED_VALUE"""),"")</f>
        <v/>
      </c>
      <c r="AG1309" s="1" t="str">
        <f>IFERROR(__xludf.DUMMYFUNCTION("""COMPUTED_VALUE"""),"Project covers more than one parcel, the acreage represents the combined acreage")</f>
        <v>Project covers more than one parcel, the acreage represents the combined acreage</v>
      </c>
      <c r="AH1309" s="1" t="str">
        <f>IFERROR(__xludf.DUMMYFUNCTION("""COMPUTED_VALUE"""),"PEC")</f>
        <v>PEC</v>
      </c>
      <c r="AI1309" s="2" t="str">
        <f>IFERROR(__xludf.DUMMYFUNCTION("""COMPUTED_VALUE"""),"https://loudouncountyvaeg.tylerhost.net/prod/selfservice#/plan/308CC962-0022-4914-AE51-DC263552E62C?tab=attachments")</f>
        <v>https://loudouncountyvaeg.tylerhost.net/prod/selfservice#/plan/308CC962-0022-4914-AE51-DC263552E62C?tab=attachments</v>
      </c>
      <c r="AJ1309" s="1" t="str">
        <f>IFERROR(__xludf.DUMMYFUNCTION("""COMPUTED_VALUE"""),"")</f>
        <v/>
      </c>
      <c r="AK1309" s="1" t="str">
        <f>IFERROR(__xludf.DUMMYFUNCTION("""COMPUTED_VALUE"""),"")</f>
        <v/>
      </c>
      <c r="AL1309" s="1" t="str">
        <f>IFERROR(__xludf.DUMMYFUNCTION("""COMPUTED_VALUE"""),"")</f>
        <v/>
      </c>
      <c r="AM1309" s="1" t="str">
        <f>IFERROR(__xludf.DUMMYFUNCTION("""COMPUTED_VALUE"""),"")</f>
        <v/>
      </c>
      <c r="AN1309" s="1" t="str">
        <f>IFERROR(__xludf.DUMMYFUNCTION("""COMPUTED_VALUE"""),"")</f>
        <v/>
      </c>
      <c r="AO1309" s="1" t="str">
        <f>IFERROR(__xludf.DUMMYFUNCTION("""COMPUTED_VALUE"""),"")</f>
        <v/>
      </c>
      <c r="AP1309" s="1" t="str">
        <f>IFERROR(__xludf.DUMMYFUNCTION("""COMPUTED_VALUE"""),"")</f>
        <v/>
      </c>
      <c r="AQ1309" s="1" t="str">
        <f>IFERROR(__xludf.DUMMYFUNCTION("""COMPUTED_VALUE"""),"08/11/2025")</f>
        <v>08/11/2025</v>
      </c>
      <c r="AR1309" s="1" t="str">
        <f>IFERROR(__xludf.DUMMYFUNCTION("""COMPUTED_VALUE"""),"10/17/2025")</f>
        <v>10/17/2025</v>
      </c>
    </row>
    <row r="1310">
      <c r="A1310" s="1" t="str">
        <f>IFERROR(__xludf.DUMMYFUNCTION("""COMPUTED_VALUE"""),"COMPASS DATACENTERS IAD I")</f>
        <v>COMPASS DATACENTERS IAD I</v>
      </c>
      <c r="B1310" s="1" t="str">
        <f>IFERROR(__xludf.DUMMYFUNCTION("""COMPUTED_VALUE"""),"42247 THUNDERBALL DR")</f>
        <v>42247 THUNDERBALL DR</v>
      </c>
      <c r="C1310" s="1" t="str">
        <f>IFERROR(__xludf.DUMMYFUNCTION("""COMPUTED_VALUE"""),"Leesburg")</f>
        <v>Leesburg</v>
      </c>
      <c r="D1310" s="1" t="str">
        <f>IFERROR(__xludf.DUMMYFUNCTION("""COMPUTED_VALUE"""),"VA")</f>
        <v>VA</v>
      </c>
      <c r="E1310" s="1" t="str">
        <f>IFERROR(__xludf.DUMMYFUNCTION("""COMPUTED_VALUE"""),"20175")</f>
        <v>20175</v>
      </c>
      <c r="F1310" s="1" t="str">
        <f>IFERROR(__xludf.DUMMYFUNCTION("""COMPUTED_VALUE"""),"Loudoun")</f>
        <v>Loudoun</v>
      </c>
      <c r="G1310" s="1" t="str">
        <f>IFERROR(__xludf.DUMMYFUNCTION("""COMPUTED_VALUE"""),"39.04382")</f>
        <v>39.04382</v>
      </c>
      <c r="H1310" s="1" t="str">
        <f>IFERROR(__xludf.DUMMYFUNCTION("""COMPUTED_VALUE"""),"-77.5376")</f>
        <v>-77.5376</v>
      </c>
      <c r="I1310" s="1" t="str">
        <f>IFERROR(__xludf.DUMMYFUNCTION("""COMPUTED_VALUE"""),"Operating")</f>
        <v>Operating</v>
      </c>
      <c r="J1310" s="1" t="str">
        <f>IFERROR(__xludf.DUMMYFUNCTION("""COMPUTED_VALUE"""),"High")</f>
        <v>High</v>
      </c>
      <c r="K1310" s="1" t="str">
        <f>IFERROR(__xludf.DUMMYFUNCTION("""COMPUTED_VALUE"""),"")</f>
        <v/>
      </c>
      <c r="L1310" s="1" t="str">
        <f>IFERROR(__xludf.DUMMYFUNCTION("""COMPUTED_VALUE"""),"COMPASS DATACENTERS IAD I LLC")</f>
        <v>COMPASS DATACENTERS IAD I LLC</v>
      </c>
      <c r="M1310" s="1" t="str">
        <f>IFERROR(__xludf.DUMMYFUNCTION("""COMPUTED_VALUE"""),"")</f>
        <v/>
      </c>
      <c r="N1310" s="1" t="str">
        <f>IFERROR(__xludf.DUMMYFUNCTION("""COMPUTED_VALUE"""),"")</f>
        <v/>
      </c>
      <c r="O1310" s="1" t="str">
        <f>IFERROR(__xludf.DUMMYFUNCTION("""COMPUTED_VALUE"""),"Unknown")</f>
        <v>Unknown</v>
      </c>
      <c r="P1310" s="1" t="str">
        <f>IFERROR(__xludf.DUMMYFUNCTION("""COMPUTED_VALUE"""),"")</f>
        <v/>
      </c>
      <c r="Q1310" s="1" t="str">
        <f>IFERROR(__xludf.DUMMYFUNCTION("""COMPUTED_VALUE"""),"")</f>
        <v/>
      </c>
      <c r="R1310" s="1" t="str">
        <f>IFERROR(__xludf.DUMMYFUNCTION("""COMPUTED_VALUE"""),"")</f>
        <v/>
      </c>
      <c r="S1310" s="1" t="str">
        <f>IFERROR(__xludf.DUMMYFUNCTION("""COMPUTED_VALUE"""),"")</f>
        <v/>
      </c>
      <c r="T1310" s="1" t="str">
        <f>IFERROR(__xludf.DUMMYFUNCTION("""COMPUTED_VALUE"""),"")</f>
        <v/>
      </c>
      <c r="U1310" s="1" t="str">
        <f>IFERROR(__xludf.DUMMYFUNCTION("""COMPUTED_VALUE"""),"")</f>
        <v/>
      </c>
      <c r="V1310" s="1" t="str">
        <f>IFERROR(__xludf.DUMMYFUNCTION("""COMPUTED_VALUE"""),"551,029")</f>
        <v>551,029</v>
      </c>
      <c r="W1310" s="1" t="str">
        <f>IFERROR(__xludf.DUMMYFUNCTION("""COMPUTED_VALUE"""),"97")</f>
        <v>97</v>
      </c>
      <c r="X1310" s="1" t="str">
        <f>IFERROR(__xludf.DUMMYFUNCTION("""COMPUTED_VALUE"""),"")</f>
        <v/>
      </c>
      <c r="Y1310" s="1" t="str">
        <f>IFERROR(__xludf.DUMMYFUNCTION("""COMPUTED_VALUE"""),"")</f>
        <v/>
      </c>
      <c r="Z1310" s="1" t="str">
        <f>IFERROR(__xludf.DUMMYFUNCTION("""COMPUTED_VALUE"""),"Unknown")</f>
        <v>Unknown</v>
      </c>
      <c r="AA1310" s="1" t="str">
        <f>IFERROR(__xludf.DUMMYFUNCTION("""COMPUTED_VALUE"""),"")</f>
        <v/>
      </c>
      <c r="AB1310" s="1" t="str">
        <f>IFERROR(__xludf.DUMMYFUNCTION("""COMPUTED_VALUE"""),"")</f>
        <v/>
      </c>
      <c r="AC1310" s="1" t="str">
        <f>IFERROR(__xludf.DUMMYFUNCTION("""COMPUTED_VALUE"""),"")</f>
        <v/>
      </c>
      <c r="AD1310" s="1" t="str">
        <f>IFERROR(__xludf.DUMMYFUNCTION("""COMPUTED_VALUE"""),"")</f>
        <v/>
      </c>
      <c r="AE1310" s="1" t="str">
        <f>IFERROR(__xludf.DUMMYFUNCTION("""COMPUTED_VALUE"""),"")</f>
        <v/>
      </c>
      <c r="AF1310" s="1" t="str">
        <f>IFERROR(__xludf.DUMMYFUNCTION("""COMPUTED_VALUE"""),"")</f>
        <v/>
      </c>
      <c r="AG1310" s="1" t="str">
        <f>IFERROR(__xludf.DUMMYFUNCTION("""COMPUTED_VALUE"""),"Computer Center")</f>
        <v>Computer Center</v>
      </c>
      <c r="AH1310" s="1" t="str">
        <f>IFERROR(__xludf.DUMMYFUNCTION("""COMPUTED_VALUE"""),"PEC")</f>
        <v>PEC</v>
      </c>
      <c r="AI1310" s="2" t="str">
        <f>IFERROR(__xludf.DUMMYFUNCTION("""COMPUTED_VALUE"""),"https://reparcelasmt.loudoun.gov/pt/datalets/datalet.aspx?mode=profileall&amp;UseSearch=no&amp;pin=194103673001&amp;jur=107&amp;taxyr=2024&amp;LMparent=20")</f>
        <v>https://reparcelasmt.loudoun.gov/pt/datalets/datalet.aspx?mode=profileall&amp;UseSearch=no&amp;pin=194103673001&amp;jur=107&amp;taxyr=2024&amp;LMparent=20</v>
      </c>
      <c r="AJ1310" s="1" t="str">
        <f>IFERROR(__xludf.DUMMYFUNCTION("""COMPUTED_VALUE"""),"")</f>
        <v/>
      </c>
      <c r="AK1310" s="1" t="str">
        <f>IFERROR(__xludf.DUMMYFUNCTION("""COMPUTED_VALUE"""),"")</f>
        <v/>
      </c>
      <c r="AL1310" s="1" t="str">
        <f>IFERROR(__xludf.DUMMYFUNCTION("""COMPUTED_VALUE"""),"")</f>
        <v/>
      </c>
      <c r="AM1310" s="1" t="str">
        <f>IFERROR(__xludf.DUMMYFUNCTION("""COMPUTED_VALUE"""),"")</f>
        <v/>
      </c>
      <c r="AN1310" s="1" t="str">
        <f>IFERROR(__xludf.DUMMYFUNCTION("""COMPUTED_VALUE"""),"")</f>
        <v/>
      </c>
      <c r="AO1310" s="1" t="str">
        <f>IFERROR(__xludf.DUMMYFUNCTION("""COMPUTED_VALUE"""),"")</f>
        <v/>
      </c>
      <c r="AP1310" s="1" t="str">
        <f>IFERROR(__xludf.DUMMYFUNCTION("""COMPUTED_VALUE"""),"")</f>
        <v/>
      </c>
      <c r="AQ1310" s="1" t="str">
        <f>IFERROR(__xludf.DUMMYFUNCTION("""COMPUTED_VALUE"""),"08/11/2025")</f>
        <v>08/11/2025</v>
      </c>
      <c r="AR1310" s="1" t="str">
        <f>IFERROR(__xludf.DUMMYFUNCTION("""COMPUTED_VALUE"""),"10/17/2025")</f>
        <v>10/17/2025</v>
      </c>
    </row>
    <row r="1311">
      <c r="A1311" s="1" t="str">
        <f>IFERROR(__xludf.DUMMYFUNCTION("""COMPUTED_VALUE"""),"Cross Mill Center")</f>
        <v>Cross Mill Center</v>
      </c>
      <c r="B1311" s="1" t="str">
        <f>IFERROR(__xludf.DUMMYFUNCTION("""COMPUTED_VALUE"""),"20040 SYCOLIN RD")</f>
        <v>20040 SYCOLIN RD</v>
      </c>
      <c r="C1311" s="1" t="str">
        <f>IFERROR(__xludf.DUMMYFUNCTION("""COMPUTED_VALUE"""),"Leesburg")</f>
        <v>Leesburg</v>
      </c>
      <c r="D1311" s="1" t="str">
        <f>IFERROR(__xludf.DUMMYFUNCTION("""COMPUTED_VALUE"""),"VA")</f>
        <v>VA</v>
      </c>
      <c r="E1311" s="1" t="str">
        <f>IFERROR(__xludf.DUMMYFUNCTION("""COMPUTED_VALUE"""),"20175")</f>
        <v>20175</v>
      </c>
      <c r="F1311" s="1" t="str">
        <f>IFERROR(__xludf.DUMMYFUNCTION("""COMPUTED_VALUE"""),"Loudoun")</f>
        <v>Loudoun</v>
      </c>
      <c r="G1311" s="1" t="str">
        <f>IFERROR(__xludf.DUMMYFUNCTION("""COMPUTED_VALUE"""),"39.06295")</f>
        <v>39.06295</v>
      </c>
      <c r="H1311" s="1" t="str">
        <f>IFERROR(__xludf.DUMMYFUNCTION("""COMPUTED_VALUE"""),"-77.550476")</f>
        <v>-77.550476</v>
      </c>
      <c r="I1311" s="1" t="str">
        <f>IFERROR(__xludf.DUMMYFUNCTION("""COMPUTED_VALUE"""),"Proposed")</f>
        <v>Proposed</v>
      </c>
      <c r="J1311" s="1" t="str">
        <f>IFERROR(__xludf.DUMMYFUNCTION("""COMPUTED_VALUE"""),"High")</f>
        <v>High</v>
      </c>
      <c r="K1311" s="1" t="str">
        <f>IFERROR(__xludf.DUMMYFUNCTION("""COMPUTED_VALUE"""),"")</f>
        <v/>
      </c>
      <c r="L1311" s="1" t="str">
        <f>IFERROR(__xludf.DUMMYFUNCTION("""COMPUTED_VALUE"""),"Kuhn, Charles C/JK Holdings II LLC")</f>
        <v>Kuhn, Charles C/JK Holdings II LLC</v>
      </c>
      <c r="M1311" s="1" t="str">
        <f>IFERROR(__xludf.DUMMYFUNCTION("""COMPUTED_VALUE"""),"")</f>
        <v/>
      </c>
      <c r="N1311" s="1" t="str">
        <f>IFERROR(__xludf.DUMMYFUNCTION("""COMPUTED_VALUE"""),"")</f>
        <v/>
      </c>
      <c r="O1311" s="1" t="str">
        <f>IFERROR(__xludf.DUMMYFUNCTION("""COMPUTED_VALUE"""),"Unknown")</f>
        <v>Unknown</v>
      </c>
      <c r="P1311" s="1" t="str">
        <f>IFERROR(__xludf.DUMMYFUNCTION("""COMPUTED_VALUE"""),"")</f>
        <v/>
      </c>
      <c r="Q1311" s="1" t="str">
        <f>IFERROR(__xludf.DUMMYFUNCTION("""COMPUTED_VALUE"""),"")</f>
        <v/>
      </c>
      <c r="R1311" s="1" t="str">
        <f>IFERROR(__xludf.DUMMYFUNCTION("""COMPUTED_VALUE"""),"")</f>
        <v/>
      </c>
      <c r="S1311" s="1" t="str">
        <f>IFERROR(__xludf.DUMMYFUNCTION("""COMPUTED_VALUE"""),"")</f>
        <v/>
      </c>
      <c r="T1311" s="1" t="str">
        <f>IFERROR(__xludf.DUMMYFUNCTION("""COMPUTED_VALUE"""),"")</f>
        <v/>
      </c>
      <c r="U1311" s="1" t="str">
        <f>IFERROR(__xludf.DUMMYFUNCTION("""COMPUTED_VALUE"""),"")</f>
        <v/>
      </c>
      <c r="V1311" s="1" t="str">
        <f>IFERROR(__xludf.DUMMYFUNCTION("""COMPUTED_VALUE"""),"546,500")</f>
        <v>546,500</v>
      </c>
      <c r="W1311" s="1" t="str">
        <f>IFERROR(__xludf.DUMMYFUNCTION("""COMPUTED_VALUE"""),"21")</f>
        <v>21</v>
      </c>
      <c r="X1311" s="1" t="str">
        <f>IFERROR(__xludf.DUMMYFUNCTION("""COMPUTED_VALUE"""),"")</f>
        <v/>
      </c>
      <c r="Y1311" s="1" t="str">
        <f>IFERROR(__xludf.DUMMYFUNCTION("""COMPUTED_VALUE"""),"")</f>
        <v/>
      </c>
      <c r="Z1311" s="1" t="str">
        <f>IFERROR(__xludf.DUMMYFUNCTION("""COMPUTED_VALUE"""),"Unknown")</f>
        <v>Unknown</v>
      </c>
      <c r="AA1311" s="1" t="str">
        <f>IFERROR(__xludf.DUMMYFUNCTION("""COMPUTED_VALUE"""),"")</f>
        <v/>
      </c>
      <c r="AB1311" s="1" t="str">
        <f>IFERROR(__xludf.DUMMYFUNCTION("""COMPUTED_VALUE"""),"")</f>
        <v/>
      </c>
      <c r="AC1311" s="1" t="str">
        <f>IFERROR(__xludf.DUMMYFUNCTION("""COMPUTED_VALUE"""),"")</f>
        <v/>
      </c>
      <c r="AD1311" s="1" t="str">
        <f>IFERROR(__xludf.DUMMYFUNCTION("""COMPUTED_VALUE"""),"")</f>
        <v/>
      </c>
      <c r="AE1311" s="1" t="str">
        <f>IFERROR(__xludf.DUMMYFUNCTION("""COMPUTED_VALUE"""),"")</f>
        <v/>
      </c>
      <c r="AF1311" s="1" t="str">
        <f>IFERROR(__xludf.DUMMYFUNCTION("""COMPUTED_VALUE"""),"")</f>
        <v/>
      </c>
      <c r="AG1311" s="1" t="str">
        <f>IFERROR(__xludf.DUMMYFUNCTION("""COMPUTED_VALUE"""),"Project covers more than one parcel, the acreage represents the combined acreage")</f>
        <v>Project covers more than one parcel, the acreage represents the combined acreage</v>
      </c>
      <c r="AH1311" s="1" t="str">
        <f>IFERROR(__xludf.DUMMYFUNCTION("""COMPUTED_VALUE"""),"PEC")</f>
        <v>PEC</v>
      </c>
      <c r="AI1311" s="2" t="str">
        <f>IFERROR(__xludf.DUMMYFUNCTION("""COMPUTED_VALUE"""),"https://loudouncountyvaeg.tylerhost.net/prod/selfservice#/plan/CD62CC69-C15B-4904-B924-014D7E4659E6")</f>
        <v>https://loudouncountyvaeg.tylerhost.net/prod/selfservice#/plan/CD62CC69-C15B-4904-B924-014D7E4659E6</v>
      </c>
      <c r="AJ1311" s="2" t="str">
        <f>IFERROR(__xludf.DUMMYFUNCTION("""COMPUTED_VALUE"""),"https://reparcelasmt.loudoun.gov/pt/Datalets/Datalet.aspx?UseSearch=no&amp;mode=profileall&amp;pin=192163918000&amp;jur=107&amp;taxyr=2024")</f>
        <v>https://reparcelasmt.loudoun.gov/pt/Datalets/Datalet.aspx?UseSearch=no&amp;mode=profileall&amp;pin=192163918000&amp;jur=107&amp;taxyr=2024</v>
      </c>
      <c r="AK1311" s="1" t="str">
        <f>IFERROR(__xludf.DUMMYFUNCTION("""COMPUTED_VALUE"""),"")</f>
        <v/>
      </c>
      <c r="AL1311" s="1" t="str">
        <f>IFERROR(__xludf.DUMMYFUNCTION("""COMPUTED_VALUE"""),"")</f>
        <v/>
      </c>
      <c r="AM1311" s="1" t="str">
        <f>IFERROR(__xludf.DUMMYFUNCTION("""COMPUTED_VALUE"""),"")</f>
        <v/>
      </c>
      <c r="AN1311" s="1" t="str">
        <f>IFERROR(__xludf.DUMMYFUNCTION("""COMPUTED_VALUE"""),"")</f>
        <v/>
      </c>
      <c r="AO1311" s="1" t="str">
        <f>IFERROR(__xludf.DUMMYFUNCTION("""COMPUTED_VALUE"""),"")</f>
        <v/>
      </c>
      <c r="AP1311" s="1" t="str">
        <f>IFERROR(__xludf.DUMMYFUNCTION("""COMPUTED_VALUE"""),"")</f>
        <v/>
      </c>
      <c r="AQ1311" s="1" t="str">
        <f>IFERROR(__xludf.DUMMYFUNCTION("""COMPUTED_VALUE"""),"04/10/2024")</f>
        <v>04/10/2024</v>
      </c>
      <c r="AR1311" s="1" t="str">
        <f>IFERROR(__xludf.DUMMYFUNCTION("""COMPUTED_VALUE"""),"10/17/2025")</f>
        <v>10/17/2025</v>
      </c>
    </row>
    <row r="1312">
      <c r="A1312" s="1" t="str">
        <f>IFERROR(__xludf.DUMMYFUNCTION("""COMPUTED_VALUE"""),"Cross Mill Center Data Center")</f>
        <v>Cross Mill Center Data Center</v>
      </c>
      <c r="B1312" s="1" t="str">
        <f>IFERROR(__xludf.DUMMYFUNCTION("""COMPUTED_VALUE"""),"Skycolin Rd")</f>
        <v>Skycolin Rd</v>
      </c>
      <c r="C1312" s="1" t="str">
        <f>IFERROR(__xludf.DUMMYFUNCTION("""COMPUTED_VALUE"""),"Leesburg")</f>
        <v>Leesburg</v>
      </c>
      <c r="D1312" s="1" t="str">
        <f>IFERROR(__xludf.DUMMYFUNCTION("""COMPUTED_VALUE"""),"VA")</f>
        <v>VA</v>
      </c>
      <c r="E1312" s="1" t="str">
        <f>IFERROR(__xludf.DUMMYFUNCTION("""COMPUTED_VALUE"""),"20175")</f>
        <v>20175</v>
      </c>
      <c r="F1312" s="1" t="str">
        <f>IFERROR(__xludf.DUMMYFUNCTION("""COMPUTED_VALUE"""),"Loudoun")</f>
        <v>Loudoun</v>
      </c>
      <c r="G1312" s="1" t="str">
        <f>IFERROR(__xludf.DUMMYFUNCTION("""COMPUTED_VALUE"""),"39.06358")</f>
        <v>39.06358</v>
      </c>
      <c r="H1312" s="1" t="str">
        <f>IFERROR(__xludf.DUMMYFUNCTION("""COMPUTED_VALUE"""),"-77.5522")</f>
        <v>-77.5522</v>
      </c>
      <c r="I1312" s="1" t="str">
        <f>IFERROR(__xludf.DUMMYFUNCTION("""COMPUTED_VALUE"""),"Proposed")</f>
        <v>Proposed</v>
      </c>
      <c r="J1312" s="1" t="str">
        <f>IFERROR(__xludf.DUMMYFUNCTION("""COMPUTED_VALUE"""),"High")</f>
        <v>High</v>
      </c>
      <c r="K1312" s="1" t="str">
        <f>IFERROR(__xludf.DUMMYFUNCTION("""COMPUTED_VALUE"""),"")</f>
        <v/>
      </c>
      <c r="L1312" s="1" t="str">
        <f>IFERROR(__xludf.DUMMYFUNCTION("""COMPUTED_VALUE"""),"")</f>
        <v/>
      </c>
      <c r="M1312" s="1" t="str">
        <f>IFERROR(__xludf.DUMMYFUNCTION("""COMPUTED_VALUE"""),"")</f>
        <v/>
      </c>
      <c r="N1312" s="1" t="str">
        <f>IFERROR(__xludf.DUMMYFUNCTION("""COMPUTED_VALUE"""),"")</f>
        <v/>
      </c>
      <c r="O1312" s="1" t="str">
        <f>IFERROR(__xludf.DUMMYFUNCTION("""COMPUTED_VALUE"""),"Unknown")</f>
        <v>Unknown</v>
      </c>
      <c r="P1312" s="1" t="str">
        <f>IFERROR(__xludf.DUMMYFUNCTION("""COMPUTED_VALUE"""),"")</f>
        <v/>
      </c>
      <c r="Q1312" s="1" t="str">
        <f>IFERROR(__xludf.DUMMYFUNCTION("""COMPUTED_VALUE"""),"")</f>
        <v/>
      </c>
      <c r="R1312" s="1" t="str">
        <f>IFERROR(__xludf.DUMMYFUNCTION("""COMPUTED_VALUE"""),"")</f>
        <v/>
      </c>
      <c r="S1312" s="1" t="str">
        <f>IFERROR(__xludf.DUMMYFUNCTION("""COMPUTED_VALUE"""),"")</f>
        <v/>
      </c>
      <c r="T1312" s="1" t="str">
        <f>IFERROR(__xludf.DUMMYFUNCTION("""COMPUTED_VALUE"""),"")</f>
        <v/>
      </c>
      <c r="U1312" s="1" t="str">
        <f>IFERROR(__xludf.DUMMYFUNCTION("""COMPUTED_VALUE"""),"")</f>
        <v/>
      </c>
      <c r="V1312" s="1" t="str">
        <f>IFERROR(__xludf.DUMMYFUNCTION("""COMPUTED_VALUE"""),"556,746")</f>
        <v>556,746</v>
      </c>
      <c r="W1312" s="1" t="str">
        <f>IFERROR(__xludf.DUMMYFUNCTION("""COMPUTED_VALUE"""),"22")</f>
        <v>22</v>
      </c>
      <c r="X1312" s="1" t="str">
        <f>IFERROR(__xludf.DUMMYFUNCTION("""COMPUTED_VALUE"""),"")</f>
        <v/>
      </c>
      <c r="Y1312" s="1" t="str">
        <f>IFERROR(__xludf.DUMMYFUNCTION("""COMPUTED_VALUE"""),"")</f>
        <v/>
      </c>
      <c r="Z1312" s="1" t="str">
        <f>IFERROR(__xludf.DUMMYFUNCTION("""COMPUTED_VALUE"""),"Unknown")</f>
        <v>Unknown</v>
      </c>
      <c r="AA1312" s="1" t="str">
        <f>IFERROR(__xludf.DUMMYFUNCTION("""COMPUTED_VALUE"""),"")</f>
        <v/>
      </c>
      <c r="AB1312" s="1" t="str">
        <f>IFERROR(__xludf.DUMMYFUNCTION("""COMPUTED_VALUE"""),"")</f>
        <v/>
      </c>
      <c r="AC1312" s="1" t="str">
        <f>IFERROR(__xludf.DUMMYFUNCTION("""COMPUTED_VALUE"""),"")</f>
        <v/>
      </c>
      <c r="AD1312" s="1" t="str">
        <f>IFERROR(__xludf.DUMMYFUNCTION("""COMPUTED_VALUE"""),"")</f>
        <v/>
      </c>
      <c r="AE1312" s="1" t="str">
        <f>IFERROR(__xludf.DUMMYFUNCTION("""COMPUTED_VALUE"""),"")</f>
        <v/>
      </c>
      <c r="AF1312" s="1" t="str">
        <f>IFERROR(__xludf.DUMMYFUNCTION("""COMPUTED_VALUE"""),"")</f>
        <v/>
      </c>
      <c r="AG1312" s="1" t="str">
        <f>IFERROR(__xludf.DUMMYFUNCTION("""COMPUTED_VALUE"""),"")</f>
        <v/>
      </c>
      <c r="AH1312" s="1" t="str">
        <f>IFERROR(__xludf.DUMMYFUNCTION("""COMPUTED_VALUE"""),"Media Monitoring")</f>
        <v>Media Monitoring</v>
      </c>
      <c r="AI1312" s="2" t="str">
        <f>IFERROR(__xludf.DUMMYFUNCTION("""COMPUTED_VALUE"""),"https://www.loudounnow.com/news/supervisors-narrowly-approve-data-center-near-leesburg/article_3e355c29-4dbc-42df-bdb9-37d86f3013ad.html")</f>
        <v>https://www.loudounnow.com/news/supervisors-narrowly-approve-data-center-near-leesburg/article_3e355c29-4dbc-42df-bdb9-37d86f3013ad.html</v>
      </c>
      <c r="AJ1312" s="2" t="str">
        <f>IFERROR(__xludf.DUMMYFUNCTION("""COMPUTED_VALUE"""),"https://www.datacenterdynamics.com/en/news/proposal-for-data-center-in-leesburg-virginia-approved/")</f>
        <v>https://www.datacenterdynamics.com/en/news/proposal-for-data-center-in-leesburg-virginia-approved/</v>
      </c>
      <c r="AK1312" s="1" t="str">
        <f>IFERROR(__xludf.DUMMYFUNCTION("""COMPUTED_VALUE"""),"")</f>
        <v/>
      </c>
      <c r="AL1312" s="1" t="str">
        <f>IFERROR(__xludf.DUMMYFUNCTION("""COMPUTED_VALUE"""),"")</f>
        <v/>
      </c>
      <c r="AM1312" s="1" t="str">
        <f>IFERROR(__xludf.DUMMYFUNCTION("""COMPUTED_VALUE"""),"")</f>
        <v/>
      </c>
      <c r="AN1312" s="1" t="str">
        <f>IFERROR(__xludf.DUMMYFUNCTION("""COMPUTED_VALUE"""),"")</f>
        <v/>
      </c>
      <c r="AO1312" s="1" t="str">
        <f>IFERROR(__xludf.DUMMYFUNCTION("""COMPUTED_VALUE"""),"")</f>
        <v/>
      </c>
      <c r="AP1312" s="1" t="str">
        <f>IFERROR(__xludf.DUMMYFUNCTION("""COMPUTED_VALUE"""),"")</f>
        <v/>
      </c>
      <c r="AQ1312" s="1" t="str">
        <f>IFERROR(__xludf.DUMMYFUNCTION("""COMPUTED_VALUE"""),"08/02/2025")</f>
        <v>08/02/2025</v>
      </c>
      <c r="AR1312" s="1" t="str">
        <f>IFERROR(__xludf.DUMMYFUNCTION("""COMPUTED_VALUE"""),"08/02/2025")</f>
        <v>08/02/2025</v>
      </c>
    </row>
    <row r="1313">
      <c r="A1313" s="1" t="str">
        <f>IFERROR(__xludf.DUMMYFUNCTION("""COMPUTED_VALUE"""),"Curata Partners Leesburg Data Center")</f>
        <v>Curata Partners Leesburg Data Center</v>
      </c>
      <c r="B1313" s="1" t="str">
        <f>IFERROR(__xludf.DUMMYFUNCTION("""COMPUTED_VALUE"""),"west side of Gulick Mill Road, south of Leesburg")</f>
        <v>west side of Gulick Mill Road, south of Leesburg</v>
      </c>
      <c r="C1313" s="1" t="str">
        <f>IFERROR(__xludf.DUMMYFUNCTION("""COMPUTED_VALUE"""),"Leesburg")</f>
        <v>Leesburg</v>
      </c>
      <c r="D1313" s="1" t="str">
        <f>IFERROR(__xludf.DUMMYFUNCTION("""COMPUTED_VALUE"""),"VA")</f>
        <v>VA</v>
      </c>
      <c r="E1313" s="1" t="str">
        <f>IFERROR(__xludf.DUMMYFUNCTION("""COMPUTED_VALUE"""),"20175")</f>
        <v>20175</v>
      </c>
      <c r="F1313" s="1" t="str">
        <f>IFERROR(__xludf.DUMMYFUNCTION("""COMPUTED_VALUE"""),"Loudoun")</f>
        <v>Loudoun</v>
      </c>
      <c r="G1313" s="1" t="str">
        <f>IFERROR(__xludf.DUMMYFUNCTION("""COMPUTED_VALUE"""),"39.03693")</f>
        <v>39.03693</v>
      </c>
      <c r="H1313" s="1" t="str">
        <f>IFERROR(__xludf.DUMMYFUNCTION("""COMPUTED_VALUE"""),"-77.56153")</f>
        <v>-77.56153</v>
      </c>
      <c r="I1313" s="1" t="str">
        <f>IFERROR(__xludf.DUMMYFUNCTION("""COMPUTED_VALUE"""),"Proposed")</f>
        <v>Proposed</v>
      </c>
      <c r="J1313" s="1" t="str">
        <f>IFERROR(__xludf.DUMMYFUNCTION("""COMPUTED_VALUE"""),"High")</f>
        <v>High</v>
      </c>
      <c r="K1313" s="1" t="str">
        <f>IFERROR(__xludf.DUMMYFUNCTION("""COMPUTED_VALUE"""),"")</f>
        <v/>
      </c>
      <c r="L1313" s="1" t="str">
        <f>IFERROR(__xludf.DUMMYFUNCTION("""COMPUTED_VALUE"""),"Curata Partners")</f>
        <v>Curata Partners</v>
      </c>
      <c r="M1313" s="1" t="str">
        <f>IFERROR(__xludf.DUMMYFUNCTION("""COMPUTED_VALUE"""),"")</f>
        <v/>
      </c>
      <c r="N1313" s="1" t="str">
        <f>IFERROR(__xludf.DUMMYFUNCTION("""COMPUTED_VALUE"""),"")</f>
        <v/>
      </c>
      <c r="O1313" s="1" t="str">
        <f>IFERROR(__xludf.DUMMYFUNCTION("""COMPUTED_VALUE"""),"Unknown")</f>
        <v>Unknown</v>
      </c>
      <c r="P1313" s="1" t="str">
        <f>IFERROR(__xludf.DUMMYFUNCTION("""COMPUTED_VALUE"""),"")</f>
        <v/>
      </c>
      <c r="Q1313" s="1" t="str">
        <f>IFERROR(__xludf.DUMMYFUNCTION("""COMPUTED_VALUE"""),"")</f>
        <v/>
      </c>
      <c r="R1313" s="1" t="str">
        <f>IFERROR(__xludf.DUMMYFUNCTION("""COMPUTED_VALUE"""),"")</f>
        <v/>
      </c>
      <c r="S1313" s="1" t="str">
        <f>IFERROR(__xludf.DUMMYFUNCTION("""COMPUTED_VALUE"""),"2")</f>
        <v>2</v>
      </c>
      <c r="T1313" s="1" t="str">
        <f>IFERROR(__xludf.DUMMYFUNCTION("""COMPUTED_VALUE"""),"")</f>
        <v/>
      </c>
      <c r="U1313" s="1" t="str">
        <f>IFERROR(__xludf.DUMMYFUNCTION("""COMPUTED_VALUE"""),"")</f>
        <v/>
      </c>
      <c r="V1313" s="1" t="str">
        <f>IFERROR(__xludf.DUMMYFUNCTION("""COMPUTED_VALUE"""),"")</f>
        <v/>
      </c>
      <c r="W1313" s="1" t="str">
        <f>IFERROR(__xludf.DUMMYFUNCTION("""COMPUTED_VALUE"""),"87")</f>
        <v>87</v>
      </c>
      <c r="X1313" s="1" t="str">
        <f>IFERROR(__xludf.DUMMYFUNCTION("""COMPUTED_VALUE"""),"")</f>
        <v/>
      </c>
      <c r="Y1313" s="1" t="str">
        <f>IFERROR(__xludf.DUMMYFUNCTION("""COMPUTED_VALUE"""),"")</f>
        <v/>
      </c>
      <c r="Z1313" s="1" t="str">
        <f>IFERROR(__xludf.DUMMYFUNCTION("""COMPUTED_VALUE"""),"Unknown")</f>
        <v>Unknown</v>
      </c>
      <c r="AA1313" s="1" t="str">
        <f>IFERROR(__xludf.DUMMYFUNCTION("""COMPUTED_VALUE"""),"")</f>
        <v/>
      </c>
      <c r="AB1313" s="1" t="str">
        <f>IFERROR(__xludf.DUMMYFUNCTION("""COMPUTED_VALUE"""),"")</f>
        <v/>
      </c>
      <c r="AC1313" s="1" t="str">
        <f>IFERROR(__xludf.DUMMYFUNCTION("""COMPUTED_VALUE"""),"")</f>
        <v/>
      </c>
      <c r="AD1313" s="1" t="str">
        <f>IFERROR(__xludf.DUMMYFUNCTION("""COMPUTED_VALUE"""),"")</f>
        <v/>
      </c>
      <c r="AE1313" s="1" t="str">
        <f>IFERROR(__xludf.DUMMYFUNCTION("""COMPUTED_VALUE"""),"")</f>
        <v/>
      </c>
      <c r="AF1313" s="1" t="str">
        <f>IFERROR(__xludf.DUMMYFUNCTION("""COMPUTED_VALUE"""),"")</f>
        <v/>
      </c>
      <c r="AG1313" s="1" t="str">
        <f>IFERROR(__xludf.DUMMYFUNCTION("""COMPUTED_VALUE"""),"")</f>
        <v/>
      </c>
      <c r="AH1313" s="1" t="str">
        <f>IFERROR(__xludf.DUMMYFUNCTION("""COMPUTED_VALUE"""),"Media Monitoring")</f>
        <v>Media Monitoring</v>
      </c>
      <c r="AI1313" s="2" t="str">
        <f>IFERROR(__xludf.DUMMYFUNCTION("""COMPUTED_VALUE"""),"https://www.datacenterdynamics.com/en/news/two-building-data-center-campus-eyed-outside-leesburg-virginia/")</f>
        <v>https://www.datacenterdynamics.com/en/news/two-building-data-center-campus-eyed-outside-leesburg-virginia/</v>
      </c>
      <c r="AJ1313" s="1" t="str">
        <f>IFERROR(__xludf.DUMMYFUNCTION("""COMPUTED_VALUE"""),"")</f>
        <v/>
      </c>
      <c r="AK1313" s="1" t="str">
        <f>IFERROR(__xludf.DUMMYFUNCTION("""COMPUTED_VALUE"""),"")</f>
        <v/>
      </c>
      <c r="AL1313" s="1" t="str">
        <f>IFERROR(__xludf.DUMMYFUNCTION("""COMPUTED_VALUE"""),"")</f>
        <v/>
      </c>
      <c r="AM1313" s="1" t="str">
        <f>IFERROR(__xludf.DUMMYFUNCTION("""COMPUTED_VALUE"""),"")</f>
        <v/>
      </c>
      <c r="AN1313" s="1" t="str">
        <f>IFERROR(__xludf.DUMMYFUNCTION("""COMPUTED_VALUE"""),"")</f>
        <v/>
      </c>
      <c r="AO1313" s="1" t="str">
        <f>IFERROR(__xludf.DUMMYFUNCTION("""COMPUTED_VALUE"""),"")</f>
        <v/>
      </c>
      <c r="AP1313" s="1" t="str">
        <f>IFERROR(__xludf.DUMMYFUNCTION("""COMPUTED_VALUE"""),"")</f>
        <v/>
      </c>
      <c r="AQ1313" s="1" t="str">
        <f>IFERROR(__xludf.DUMMYFUNCTION("""COMPUTED_VALUE"""),"05/05/2026")</f>
        <v>05/05/2026</v>
      </c>
      <c r="AR1313" s="1" t="str">
        <f>IFERROR(__xludf.DUMMYFUNCTION("""COMPUTED_VALUE"""),"05/05/2026")</f>
        <v>05/05/2026</v>
      </c>
    </row>
    <row r="1314">
      <c r="A1314" s="1" t="str">
        <f>IFERROR(__xludf.DUMMYFUNCTION("""COMPUTED_VALUE"""),"Greenlin Park")</f>
        <v>Greenlin Park</v>
      </c>
      <c r="B1314" s="1" t="str">
        <f>IFERROR(__xludf.DUMMYFUNCTION("""COMPUTED_VALUE"""),"41453 HOGELAND MILL RD")</f>
        <v>41453 HOGELAND MILL RD</v>
      </c>
      <c r="C1314" s="1" t="str">
        <f>IFERROR(__xludf.DUMMYFUNCTION("""COMPUTED_VALUE"""),"Leesburg")</f>
        <v>Leesburg</v>
      </c>
      <c r="D1314" s="1" t="str">
        <f>IFERROR(__xludf.DUMMYFUNCTION("""COMPUTED_VALUE"""),"VA")</f>
        <v>VA</v>
      </c>
      <c r="E1314" s="1" t="str">
        <f>IFERROR(__xludf.DUMMYFUNCTION("""COMPUTED_VALUE"""),"20175")</f>
        <v>20175</v>
      </c>
      <c r="F1314" s="1" t="str">
        <f>IFERROR(__xludf.DUMMYFUNCTION("""COMPUTED_VALUE"""),"Loudoun")</f>
        <v>Loudoun</v>
      </c>
      <c r="G1314" s="1" t="str">
        <f>IFERROR(__xludf.DUMMYFUNCTION("""COMPUTED_VALUE"""),"39.056362")</f>
        <v>39.056362</v>
      </c>
      <c r="H1314" s="1" t="str">
        <f>IFERROR(__xludf.DUMMYFUNCTION("""COMPUTED_VALUE"""),"-77.55221")</f>
        <v>-77.55221</v>
      </c>
      <c r="I1314" s="1" t="str">
        <f>IFERROR(__xludf.DUMMYFUNCTION("""COMPUTED_VALUE"""),"Proposed")</f>
        <v>Proposed</v>
      </c>
      <c r="J1314" s="1" t="str">
        <f>IFERROR(__xludf.DUMMYFUNCTION("""COMPUTED_VALUE"""),"High")</f>
        <v>High</v>
      </c>
      <c r="K1314" s="1" t="str">
        <f>IFERROR(__xludf.DUMMYFUNCTION("""COMPUTED_VALUE"""),"")</f>
        <v/>
      </c>
      <c r="L1314" s="1" t="str">
        <f>IFERROR(__xludf.DUMMYFUNCTION("""COMPUTED_VALUE"""),"Charles S Kuhn/JK Landholdings II LLC")</f>
        <v>Charles S Kuhn/JK Landholdings II LLC</v>
      </c>
      <c r="M1314" s="1" t="str">
        <f>IFERROR(__xludf.DUMMYFUNCTION("""COMPUTED_VALUE"""),"")</f>
        <v/>
      </c>
      <c r="N1314" s="1" t="str">
        <f>IFERROR(__xludf.DUMMYFUNCTION("""COMPUTED_VALUE"""),"")</f>
        <v/>
      </c>
      <c r="O1314" s="1" t="str">
        <f>IFERROR(__xludf.DUMMYFUNCTION("""COMPUTED_VALUE"""),"Unknown")</f>
        <v>Unknown</v>
      </c>
      <c r="P1314" s="1" t="str">
        <f>IFERROR(__xludf.DUMMYFUNCTION("""COMPUTED_VALUE"""),"")</f>
        <v/>
      </c>
      <c r="Q1314" s="1" t="str">
        <f>IFERROR(__xludf.DUMMYFUNCTION("""COMPUTED_VALUE"""),"")</f>
        <v/>
      </c>
      <c r="R1314" s="1" t="str">
        <f>IFERROR(__xludf.DUMMYFUNCTION("""COMPUTED_VALUE"""),"")</f>
        <v/>
      </c>
      <c r="S1314" s="1" t="str">
        <f>IFERROR(__xludf.DUMMYFUNCTION("""COMPUTED_VALUE"""),"")</f>
        <v/>
      </c>
      <c r="T1314" s="1" t="str">
        <f>IFERROR(__xludf.DUMMYFUNCTION("""COMPUTED_VALUE"""),"")</f>
        <v/>
      </c>
      <c r="U1314" s="1" t="str">
        <f>IFERROR(__xludf.DUMMYFUNCTION("""COMPUTED_VALUE"""),"")</f>
        <v/>
      </c>
      <c r="V1314" s="1" t="str">
        <f>IFERROR(__xludf.DUMMYFUNCTION("""COMPUTED_VALUE"""),"3,702,600")</f>
        <v>3,702,600</v>
      </c>
      <c r="W1314" s="1" t="str">
        <f>IFERROR(__xludf.DUMMYFUNCTION("""COMPUTED_VALUE"""),"85")</f>
        <v>85</v>
      </c>
      <c r="X1314" s="1" t="str">
        <f>IFERROR(__xludf.DUMMYFUNCTION("""COMPUTED_VALUE"""),"")</f>
        <v/>
      </c>
      <c r="Y1314" s="1" t="str">
        <f>IFERROR(__xludf.DUMMYFUNCTION("""COMPUTED_VALUE"""),"")</f>
        <v/>
      </c>
      <c r="Z1314" s="1" t="str">
        <f>IFERROR(__xludf.DUMMYFUNCTION("""COMPUTED_VALUE"""),"Unknown")</f>
        <v>Unknown</v>
      </c>
      <c r="AA1314" s="1" t="str">
        <f>IFERROR(__xludf.DUMMYFUNCTION("""COMPUTED_VALUE"""),"")</f>
        <v/>
      </c>
      <c r="AB1314" s="1" t="str">
        <f>IFERROR(__xludf.DUMMYFUNCTION("""COMPUTED_VALUE"""),"")</f>
        <v/>
      </c>
      <c r="AC1314" s="1" t="str">
        <f>IFERROR(__xludf.DUMMYFUNCTION("""COMPUTED_VALUE"""),"")</f>
        <v/>
      </c>
      <c r="AD1314" s="1" t="str">
        <f>IFERROR(__xludf.DUMMYFUNCTION("""COMPUTED_VALUE"""),"")</f>
        <v/>
      </c>
      <c r="AE1314" s="1" t="str">
        <f>IFERROR(__xludf.DUMMYFUNCTION("""COMPUTED_VALUE"""),"")</f>
        <v/>
      </c>
      <c r="AF1314" s="1" t="str">
        <f>IFERROR(__xludf.DUMMYFUNCTION("""COMPUTED_VALUE"""),"")</f>
        <v/>
      </c>
      <c r="AG1314" s="1" t="str">
        <f>IFERROR(__xludf.DUMMYFUNCTION("""COMPUTED_VALUE"""),"Rezoning does not cover the entire parcel")</f>
        <v>Rezoning does not cover the entire parcel</v>
      </c>
      <c r="AH1314" s="1" t="str">
        <f>IFERROR(__xludf.DUMMYFUNCTION("""COMPUTED_VALUE"""),"PEC")</f>
        <v>PEC</v>
      </c>
      <c r="AI1314" s="2" t="str">
        <f>IFERROR(__xludf.DUMMYFUNCTION("""COMPUTED_VALUE"""),"https://loudouncountyvaeg.tylerhost.net/prod/selfservice#/plan/F4C18E37-B411-4D35-8027-7822DF69FCE9?tab=attachments")</f>
        <v>https://loudouncountyvaeg.tylerhost.net/prod/selfservice#/plan/F4C18E37-B411-4D35-8027-7822DF69FCE9?tab=attachments</v>
      </c>
      <c r="AJ1314" s="2" t="str">
        <f>IFERROR(__xludf.DUMMYFUNCTION("""COMPUTED_VALUE"""),"https://reparcelasmt.loudoun.gov/pt/Datalets/Datalet.aspx?UseSearch=no&amp;mode=profileall&amp;pin=237395293000&amp;jur=107&amp;taxyr=2024")</f>
        <v>https://reparcelasmt.loudoun.gov/pt/Datalets/Datalet.aspx?UseSearch=no&amp;mode=profileall&amp;pin=237395293000&amp;jur=107&amp;taxyr=2024</v>
      </c>
      <c r="AK1314" s="1" t="str">
        <f>IFERROR(__xludf.DUMMYFUNCTION("""COMPUTED_VALUE"""),"")</f>
        <v/>
      </c>
      <c r="AL1314" s="1" t="str">
        <f>IFERROR(__xludf.DUMMYFUNCTION("""COMPUTED_VALUE"""),"")</f>
        <v/>
      </c>
      <c r="AM1314" s="1" t="str">
        <f>IFERROR(__xludf.DUMMYFUNCTION("""COMPUTED_VALUE"""),"")</f>
        <v/>
      </c>
      <c r="AN1314" s="1" t="str">
        <f>IFERROR(__xludf.DUMMYFUNCTION("""COMPUTED_VALUE"""),"")</f>
        <v/>
      </c>
      <c r="AO1314" s="1" t="str">
        <f>IFERROR(__xludf.DUMMYFUNCTION("""COMPUTED_VALUE"""),"")</f>
        <v/>
      </c>
      <c r="AP1314" s="1" t="str">
        <f>IFERROR(__xludf.DUMMYFUNCTION("""COMPUTED_VALUE"""),"")</f>
        <v/>
      </c>
      <c r="AQ1314" s="1" t="str">
        <f>IFERROR(__xludf.DUMMYFUNCTION("""COMPUTED_VALUE"""),"08/11/2025")</f>
        <v>08/11/2025</v>
      </c>
      <c r="AR1314" s="1" t="str">
        <f>IFERROR(__xludf.DUMMYFUNCTION("""COMPUTED_VALUE"""),"10/17/2025")</f>
        <v>10/17/2025</v>
      </c>
    </row>
    <row r="1315">
      <c r="A1315" s="1" t="str">
        <f>IFERROR(__xludf.DUMMYFUNCTION("""COMPUTED_VALUE"""),"HAYDEN TECHNOLOGIES")</f>
        <v>HAYDEN TECHNOLOGIES</v>
      </c>
      <c r="B1315" s="1" t="str">
        <f>IFERROR(__xludf.DUMMYFUNCTION("""COMPUTED_VALUE"""),"20491 GOOSE LANDING LN")</f>
        <v>20491 GOOSE LANDING LN</v>
      </c>
      <c r="C1315" s="1" t="str">
        <f>IFERROR(__xludf.DUMMYFUNCTION("""COMPUTED_VALUE"""),"Leesburg")</f>
        <v>Leesburg</v>
      </c>
      <c r="D1315" s="1" t="str">
        <f>IFERROR(__xludf.DUMMYFUNCTION("""COMPUTED_VALUE"""),"VA")</f>
        <v>VA</v>
      </c>
      <c r="E1315" s="1" t="str">
        <f>IFERROR(__xludf.DUMMYFUNCTION("""COMPUTED_VALUE"""),"20175")</f>
        <v>20175</v>
      </c>
      <c r="F1315" s="1" t="str">
        <f>IFERROR(__xludf.DUMMYFUNCTION("""COMPUTED_VALUE"""),"Loudoun")</f>
        <v>Loudoun</v>
      </c>
      <c r="G1315" s="1" t="str">
        <f>IFERROR(__xludf.DUMMYFUNCTION("""COMPUTED_VALUE"""),"39.051716")</f>
        <v>39.051716</v>
      </c>
      <c r="H1315" s="1" t="str">
        <f>IFERROR(__xludf.DUMMYFUNCTION("""COMPUTED_VALUE"""),"-77.53956")</f>
        <v>-77.53956</v>
      </c>
      <c r="I1315" s="1" t="str">
        <f>IFERROR(__xludf.DUMMYFUNCTION("""COMPUTED_VALUE"""),"Expanding")</f>
        <v>Expanding</v>
      </c>
      <c r="J1315" s="1" t="str">
        <f>IFERROR(__xludf.DUMMYFUNCTION("""COMPUTED_VALUE"""),"High")</f>
        <v>High</v>
      </c>
      <c r="K1315" s="1" t="str">
        <f>IFERROR(__xludf.DUMMYFUNCTION("""COMPUTED_VALUE"""),"")</f>
        <v/>
      </c>
      <c r="L1315" s="1" t="str">
        <f>IFERROR(__xludf.DUMMYFUNCTION("""COMPUTED_VALUE"""),"HAYDEN TECHNOLOGIES LLC")</f>
        <v>HAYDEN TECHNOLOGIES LLC</v>
      </c>
      <c r="M1315" s="1" t="str">
        <f>IFERROR(__xludf.DUMMYFUNCTION("""COMPUTED_VALUE"""),"")</f>
        <v/>
      </c>
      <c r="N1315" s="1" t="str">
        <f>IFERROR(__xludf.DUMMYFUNCTION("""COMPUTED_VALUE"""),"")</f>
        <v/>
      </c>
      <c r="O1315" s="1" t="str">
        <f>IFERROR(__xludf.DUMMYFUNCTION("""COMPUTED_VALUE"""),"Unknown")</f>
        <v>Unknown</v>
      </c>
      <c r="P1315" s="1" t="str">
        <f>IFERROR(__xludf.DUMMYFUNCTION("""COMPUTED_VALUE"""),"")</f>
        <v/>
      </c>
      <c r="Q1315" s="1" t="str">
        <f>IFERROR(__xludf.DUMMYFUNCTION("""COMPUTED_VALUE"""),"")</f>
        <v/>
      </c>
      <c r="R1315" s="1" t="str">
        <f>IFERROR(__xludf.DUMMYFUNCTION("""COMPUTED_VALUE"""),"")</f>
        <v/>
      </c>
      <c r="S1315" s="1" t="str">
        <f>IFERROR(__xludf.DUMMYFUNCTION("""COMPUTED_VALUE"""),"")</f>
        <v/>
      </c>
      <c r="T1315" s="1" t="str">
        <f>IFERROR(__xludf.DUMMYFUNCTION("""COMPUTED_VALUE"""),"")</f>
        <v/>
      </c>
      <c r="U1315" s="1" t="str">
        <f>IFERROR(__xludf.DUMMYFUNCTION("""COMPUTED_VALUE"""),"")</f>
        <v/>
      </c>
      <c r="V1315" s="1" t="str">
        <f>IFERROR(__xludf.DUMMYFUNCTION("""COMPUTED_VALUE"""),"563,584")</f>
        <v>563,584</v>
      </c>
      <c r="W1315" s="1" t="str">
        <f>IFERROR(__xludf.DUMMYFUNCTION("""COMPUTED_VALUE"""),"119")</f>
        <v>119</v>
      </c>
      <c r="X1315" s="1" t="str">
        <f>IFERROR(__xludf.DUMMYFUNCTION("""COMPUTED_VALUE"""),"")</f>
        <v/>
      </c>
      <c r="Y1315" s="1" t="str">
        <f>IFERROR(__xludf.DUMMYFUNCTION("""COMPUTED_VALUE"""),"")</f>
        <v/>
      </c>
      <c r="Z1315" s="1" t="str">
        <f>IFERROR(__xludf.DUMMYFUNCTION("""COMPUTED_VALUE"""),"Unknown")</f>
        <v>Unknown</v>
      </c>
      <c r="AA1315" s="1" t="str">
        <f>IFERROR(__xludf.DUMMYFUNCTION("""COMPUTED_VALUE"""),"")</f>
        <v/>
      </c>
      <c r="AB1315" s="1" t="str">
        <f>IFERROR(__xludf.DUMMYFUNCTION("""COMPUTED_VALUE"""),"")</f>
        <v/>
      </c>
      <c r="AC1315" s="1" t="str">
        <f>IFERROR(__xludf.DUMMYFUNCTION("""COMPUTED_VALUE"""),"")</f>
        <v/>
      </c>
      <c r="AD1315" s="1" t="str">
        <f>IFERROR(__xludf.DUMMYFUNCTION("""COMPUTED_VALUE"""),"")</f>
        <v/>
      </c>
      <c r="AE1315" s="1" t="str">
        <f>IFERROR(__xludf.DUMMYFUNCTION("""COMPUTED_VALUE"""),"")</f>
        <v/>
      </c>
      <c r="AF1315" s="1" t="str">
        <f>IFERROR(__xludf.DUMMYFUNCTION("""COMPUTED_VALUE"""),"")</f>
        <v/>
      </c>
      <c r="AG1315" s="1" t="str">
        <f>IFERROR(__xludf.DUMMYFUNCTION("""COMPUTED_VALUE"""),"Computer Center, 324,890 sq foot expansion called Project Aspen")</f>
        <v>Computer Center, 324,890 sq foot expansion called Project Aspen</v>
      </c>
      <c r="AH1315" s="1" t="str">
        <f>IFERROR(__xludf.DUMMYFUNCTION("""COMPUTED_VALUE"""),"PEC")</f>
        <v>PEC</v>
      </c>
      <c r="AI1315" s="2" t="str">
        <f>IFERROR(__xludf.DUMMYFUNCTION("""COMPUTED_VALUE"""),"https://loudouncountyvaeg.tylerhost.net/prod/selfservice#/plan/e48043e8-fdbb-4e91-aa87-60d35cb71173?tab=attachments")</f>
        <v>https://loudouncountyvaeg.tylerhost.net/prod/selfservice#/plan/e48043e8-fdbb-4e91-aa87-60d35cb71173?tab=attachments</v>
      </c>
      <c r="AJ1315" s="2" t="str">
        <f>IFERROR(__xludf.DUMMYFUNCTION("""COMPUTED_VALUE"""),"https://reparcelasmt.loudoun.gov/pt/Datalets/Datalet.aspx?UseSearch=no&amp;mode=profileall&amp;pin=194498227000&amp;jur=107&amp;taxyr=2024")</f>
        <v>https://reparcelasmt.loudoun.gov/pt/Datalets/Datalet.aspx?UseSearch=no&amp;mode=profileall&amp;pin=194498227000&amp;jur=107&amp;taxyr=2024</v>
      </c>
      <c r="AK1315" s="1" t="str">
        <f>IFERROR(__xludf.DUMMYFUNCTION("""COMPUTED_VALUE"""),"")</f>
        <v/>
      </c>
      <c r="AL1315" s="1" t="str">
        <f>IFERROR(__xludf.DUMMYFUNCTION("""COMPUTED_VALUE"""),"")</f>
        <v/>
      </c>
      <c r="AM1315" s="1" t="str">
        <f>IFERROR(__xludf.DUMMYFUNCTION("""COMPUTED_VALUE"""),"")</f>
        <v/>
      </c>
      <c r="AN1315" s="1" t="str">
        <f>IFERROR(__xludf.DUMMYFUNCTION("""COMPUTED_VALUE"""),"")</f>
        <v/>
      </c>
      <c r="AO1315" s="1" t="str">
        <f>IFERROR(__xludf.DUMMYFUNCTION("""COMPUTED_VALUE"""),"")</f>
        <v/>
      </c>
      <c r="AP1315" s="1" t="str">
        <f>IFERROR(__xludf.DUMMYFUNCTION("""COMPUTED_VALUE"""),"")</f>
        <v/>
      </c>
      <c r="AQ1315" s="1" t="str">
        <f>IFERROR(__xludf.DUMMYFUNCTION("""COMPUTED_VALUE"""),"08/11/2025")</f>
        <v>08/11/2025</v>
      </c>
      <c r="AR1315" s="1" t="str">
        <f>IFERROR(__xludf.DUMMYFUNCTION("""COMPUTED_VALUE"""),"02/10/2026")</f>
        <v>02/10/2026</v>
      </c>
    </row>
    <row r="1316">
      <c r="A1316" s="1" t="str">
        <f>IFERROR(__xludf.DUMMYFUNCTION("""COMPUTED_VALUE"""),"IAD 01-04")</f>
        <v>IAD 01-04</v>
      </c>
      <c r="B1316" s="1" t="str">
        <f>IFERROR(__xludf.DUMMYFUNCTION("""COMPUTED_VALUE"""),"19540 COMPASS CREEK PKWY")</f>
        <v>19540 COMPASS CREEK PKWY</v>
      </c>
      <c r="C1316" s="1" t="str">
        <f>IFERROR(__xludf.DUMMYFUNCTION("""COMPUTED_VALUE"""),"Leesburg")</f>
        <v>Leesburg</v>
      </c>
      <c r="D1316" s="1" t="str">
        <f>IFERROR(__xludf.DUMMYFUNCTION("""COMPUTED_VALUE"""),"VA")</f>
        <v>VA</v>
      </c>
      <c r="E1316" s="1" t="str">
        <f>IFERROR(__xludf.DUMMYFUNCTION("""COMPUTED_VALUE"""),"20175")</f>
        <v>20175</v>
      </c>
      <c r="F1316" s="1" t="str">
        <f>IFERROR(__xludf.DUMMYFUNCTION("""COMPUTED_VALUE"""),"Loudoun")</f>
        <v>Loudoun</v>
      </c>
      <c r="G1316" s="1" t="str">
        <f>IFERROR(__xludf.DUMMYFUNCTION("""COMPUTED_VALUE"""),"39.067856")</f>
        <v>39.067856</v>
      </c>
      <c r="H1316" s="1" t="str">
        <f>IFERROR(__xludf.DUMMYFUNCTION("""COMPUTED_VALUE"""),"-77.56021")</f>
        <v>-77.56021</v>
      </c>
      <c r="I1316" s="1" t="str">
        <f>IFERROR(__xludf.DUMMYFUNCTION("""COMPUTED_VALUE"""),"Operating")</f>
        <v>Operating</v>
      </c>
      <c r="J1316" s="1" t="str">
        <f>IFERROR(__xludf.DUMMYFUNCTION("""COMPUTED_VALUE"""),"High")</f>
        <v>High</v>
      </c>
      <c r="K1316" s="1" t="str">
        <f>IFERROR(__xludf.DUMMYFUNCTION("""COMPUTED_VALUE"""),"")</f>
        <v/>
      </c>
      <c r="L1316" s="1" t="str">
        <f>IFERROR(__xludf.DUMMYFUNCTION("""COMPUTED_VALUE"""),"Microsoft")</f>
        <v>Microsoft</v>
      </c>
      <c r="M1316" s="1" t="str">
        <f>IFERROR(__xludf.DUMMYFUNCTION("""COMPUTED_VALUE"""),"")</f>
        <v/>
      </c>
      <c r="N1316" s="1" t="str">
        <f>IFERROR(__xludf.DUMMYFUNCTION("""COMPUTED_VALUE"""),"")</f>
        <v/>
      </c>
      <c r="O1316" s="1" t="str">
        <f>IFERROR(__xludf.DUMMYFUNCTION("""COMPUTED_VALUE"""),"Unknown")</f>
        <v>Unknown</v>
      </c>
      <c r="P1316" s="1" t="str">
        <f>IFERROR(__xludf.DUMMYFUNCTION("""COMPUTED_VALUE"""),"")</f>
        <v/>
      </c>
      <c r="Q1316" s="1" t="str">
        <f>IFERROR(__xludf.DUMMYFUNCTION("""COMPUTED_VALUE"""),"")</f>
        <v/>
      </c>
      <c r="R1316" s="1" t="str">
        <f>IFERROR(__xludf.DUMMYFUNCTION("""COMPUTED_VALUE"""),"")</f>
        <v/>
      </c>
      <c r="S1316" s="1" t="str">
        <f>IFERROR(__xludf.DUMMYFUNCTION("""COMPUTED_VALUE"""),"")</f>
        <v/>
      </c>
      <c r="T1316" s="1" t="str">
        <f>IFERROR(__xludf.DUMMYFUNCTION("""COMPUTED_VALUE"""),"")</f>
        <v/>
      </c>
      <c r="U1316" s="1" t="str">
        <f>IFERROR(__xludf.DUMMYFUNCTION("""COMPUTED_VALUE"""),"")</f>
        <v/>
      </c>
      <c r="V1316" s="1" t="str">
        <f>IFERROR(__xludf.DUMMYFUNCTION("""COMPUTED_VALUE"""),"809,314")</f>
        <v>809,314</v>
      </c>
      <c r="W1316" s="1" t="str">
        <f>IFERROR(__xludf.DUMMYFUNCTION("""COMPUTED_VALUE"""),"323")</f>
        <v>323</v>
      </c>
      <c r="X1316" s="1" t="str">
        <f>IFERROR(__xludf.DUMMYFUNCTION("""COMPUTED_VALUE"""),"")</f>
        <v/>
      </c>
      <c r="Y1316" s="1" t="str">
        <f>IFERROR(__xludf.DUMMYFUNCTION("""COMPUTED_VALUE"""),"")</f>
        <v/>
      </c>
      <c r="Z1316" s="1" t="str">
        <f>IFERROR(__xludf.DUMMYFUNCTION("""COMPUTED_VALUE"""),"Unknown")</f>
        <v>Unknown</v>
      </c>
      <c r="AA1316" s="1" t="str">
        <f>IFERROR(__xludf.DUMMYFUNCTION("""COMPUTED_VALUE"""),"")</f>
        <v/>
      </c>
      <c r="AB1316" s="1" t="str">
        <f>IFERROR(__xludf.DUMMYFUNCTION("""COMPUTED_VALUE"""),"")</f>
        <v/>
      </c>
      <c r="AC1316" s="1" t="str">
        <f>IFERROR(__xludf.DUMMYFUNCTION("""COMPUTED_VALUE"""),"")</f>
        <v/>
      </c>
      <c r="AD1316" s="1" t="str">
        <f>IFERROR(__xludf.DUMMYFUNCTION("""COMPUTED_VALUE"""),"")</f>
        <v/>
      </c>
      <c r="AE1316" s="1" t="str">
        <f>IFERROR(__xludf.DUMMYFUNCTION("""COMPUTED_VALUE"""),"")</f>
        <v/>
      </c>
      <c r="AF1316" s="1" t="str">
        <f>IFERROR(__xludf.DUMMYFUNCTION("""COMPUTED_VALUE"""),"")</f>
        <v/>
      </c>
      <c r="AG1316" s="1" t="str">
        <f>IFERROR(__xludf.DUMMYFUNCTION("""COMPUTED_VALUE"""),"Computer Center")</f>
        <v>Computer Center</v>
      </c>
      <c r="AH1316" s="1" t="str">
        <f>IFERROR(__xludf.DUMMYFUNCTION("""COMPUTED_VALUE"""),"PEC")</f>
        <v>PEC</v>
      </c>
      <c r="AI1316" s="2" t="str">
        <f>IFERROR(__xludf.DUMMYFUNCTION("""COMPUTED_VALUE"""),"https://reparcelasmt.loudoun.gov/pt/Datalets/Datalet.aspx?UseSearch=no&amp;mode=profileall&amp;pin=235297431000&amp;jur=107&amp;taxyr=2024")</f>
        <v>https://reparcelasmt.loudoun.gov/pt/Datalets/Datalet.aspx?UseSearch=no&amp;mode=profileall&amp;pin=235297431000&amp;jur=107&amp;taxyr=2024</v>
      </c>
      <c r="AJ1316" s="1" t="str">
        <f>IFERROR(__xludf.DUMMYFUNCTION("""COMPUTED_VALUE"""),"")</f>
        <v/>
      </c>
      <c r="AK1316" s="1" t="str">
        <f>IFERROR(__xludf.DUMMYFUNCTION("""COMPUTED_VALUE"""),"")</f>
        <v/>
      </c>
      <c r="AL1316" s="1" t="str">
        <f>IFERROR(__xludf.DUMMYFUNCTION("""COMPUTED_VALUE"""),"")</f>
        <v/>
      </c>
      <c r="AM1316" s="1" t="str">
        <f>IFERROR(__xludf.DUMMYFUNCTION("""COMPUTED_VALUE"""),"")</f>
        <v/>
      </c>
      <c r="AN1316" s="1" t="str">
        <f>IFERROR(__xludf.DUMMYFUNCTION("""COMPUTED_VALUE"""),"")</f>
        <v/>
      </c>
      <c r="AO1316" s="1" t="str">
        <f>IFERROR(__xludf.DUMMYFUNCTION("""COMPUTED_VALUE"""),"")</f>
        <v/>
      </c>
      <c r="AP1316" s="1" t="str">
        <f>IFERROR(__xludf.DUMMYFUNCTION("""COMPUTED_VALUE"""),"")</f>
        <v/>
      </c>
      <c r="AQ1316" s="1" t="str">
        <f>IFERROR(__xludf.DUMMYFUNCTION("""COMPUTED_VALUE"""),"04/10/2024")</f>
        <v>04/10/2024</v>
      </c>
      <c r="AR1316" s="1" t="str">
        <f>IFERROR(__xludf.DUMMYFUNCTION("""COMPUTED_VALUE"""),"10/17/2025")</f>
        <v>10/17/2025</v>
      </c>
    </row>
    <row r="1317">
      <c r="A1317" s="1" t="str">
        <f>IFERROR(__xludf.DUMMYFUNCTION("""COMPUTED_VALUE"""),"Leesburg Data Center")</f>
        <v>Leesburg Data Center</v>
      </c>
      <c r="B1317" s="1" t="str">
        <f>IFERROR(__xludf.DUMMYFUNCTION("""COMPUTED_VALUE"""),"41789 Cochran Mill Rd, Leesburg, VA 20175")</f>
        <v>41789 Cochran Mill Rd, Leesburg, VA 20175</v>
      </c>
      <c r="C1317" s="1" t="str">
        <f>IFERROR(__xludf.DUMMYFUNCTION("""COMPUTED_VALUE"""),"Leesburg")</f>
        <v>Leesburg</v>
      </c>
      <c r="D1317" s="1" t="str">
        <f>IFERROR(__xludf.DUMMYFUNCTION("""COMPUTED_VALUE"""),"VA")</f>
        <v>VA</v>
      </c>
      <c r="E1317" s="1" t="str">
        <f>IFERROR(__xludf.DUMMYFUNCTION("""COMPUTED_VALUE"""),"20175")</f>
        <v>20175</v>
      </c>
      <c r="F1317" s="1" t="str">
        <f>IFERROR(__xludf.DUMMYFUNCTION("""COMPUTED_VALUE"""),"Loudoun")</f>
        <v>Loudoun</v>
      </c>
      <c r="G1317" s="1" t="str">
        <f>IFERROR(__xludf.DUMMYFUNCTION("""COMPUTED_VALUE"""),"39.06878")</f>
        <v>39.06878</v>
      </c>
      <c r="H1317" s="1" t="str">
        <f>IFERROR(__xludf.DUMMYFUNCTION("""COMPUTED_VALUE"""),"-77.5313")</f>
        <v>-77.5313</v>
      </c>
      <c r="I1317" s="1" t="str">
        <f>IFERROR(__xludf.DUMMYFUNCTION("""COMPUTED_VALUE"""),"Proposed")</f>
        <v>Proposed</v>
      </c>
      <c r="J1317" s="1" t="str">
        <f>IFERROR(__xludf.DUMMYFUNCTION("""COMPUTED_VALUE"""),"High")</f>
        <v>High</v>
      </c>
      <c r="K1317" s="1" t="str">
        <f>IFERROR(__xludf.DUMMYFUNCTION("""COMPUTED_VALUE"""),"")</f>
        <v/>
      </c>
      <c r="L1317" s="1" t="str">
        <f>IFERROR(__xludf.DUMMYFUNCTION("""COMPUTED_VALUE"""),"Amazon")</f>
        <v>Amazon</v>
      </c>
      <c r="M1317" s="1" t="str">
        <f>IFERROR(__xludf.DUMMYFUNCTION("""COMPUTED_VALUE"""),"")</f>
        <v/>
      </c>
      <c r="N1317" s="1" t="str">
        <f>IFERROR(__xludf.DUMMYFUNCTION("""COMPUTED_VALUE"""),"")</f>
        <v/>
      </c>
      <c r="O1317" s="1" t="str">
        <f>IFERROR(__xludf.DUMMYFUNCTION("""COMPUTED_VALUE"""),"Unknown")</f>
        <v>Unknown</v>
      </c>
      <c r="P1317" s="1" t="str">
        <f>IFERROR(__xludf.DUMMYFUNCTION("""COMPUTED_VALUE"""),"")</f>
        <v/>
      </c>
      <c r="Q1317" s="1" t="str">
        <f>IFERROR(__xludf.DUMMYFUNCTION("""COMPUTED_VALUE"""),"")</f>
        <v/>
      </c>
      <c r="R1317" s="1" t="str">
        <f>IFERROR(__xludf.DUMMYFUNCTION("""COMPUTED_VALUE"""),"")</f>
        <v/>
      </c>
      <c r="S1317" s="1" t="str">
        <f>IFERROR(__xludf.DUMMYFUNCTION("""COMPUTED_VALUE"""),"")</f>
        <v/>
      </c>
      <c r="T1317" s="1" t="str">
        <f>IFERROR(__xludf.DUMMYFUNCTION("""COMPUTED_VALUE"""),"")</f>
        <v/>
      </c>
      <c r="U1317" s="1" t="str">
        <f>IFERROR(__xludf.DUMMYFUNCTION("""COMPUTED_VALUE"""),"")</f>
        <v/>
      </c>
      <c r="V1317" s="1" t="str">
        <f>IFERROR(__xludf.DUMMYFUNCTION("""COMPUTED_VALUE"""),"")</f>
        <v/>
      </c>
      <c r="W1317" s="1" t="str">
        <f>IFERROR(__xludf.DUMMYFUNCTION("""COMPUTED_VALUE"""),"100")</f>
        <v>100</v>
      </c>
      <c r="X1317" s="1" t="str">
        <f>IFERROR(__xludf.DUMMYFUNCTION("""COMPUTED_VALUE"""),"")</f>
        <v/>
      </c>
      <c r="Y1317" s="1" t="str">
        <f>IFERROR(__xludf.DUMMYFUNCTION("""COMPUTED_VALUE"""),"")</f>
        <v/>
      </c>
      <c r="Z1317" s="1" t="str">
        <f>IFERROR(__xludf.DUMMYFUNCTION("""COMPUTED_VALUE"""),"Unknown")</f>
        <v>Unknown</v>
      </c>
      <c r="AA1317" s="1" t="str">
        <f>IFERROR(__xludf.DUMMYFUNCTION("""COMPUTED_VALUE"""),"")</f>
        <v/>
      </c>
      <c r="AB1317" s="1" t="str">
        <f>IFERROR(__xludf.DUMMYFUNCTION("""COMPUTED_VALUE"""),"")</f>
        <v/>
      </c>
      <c r="AC1317" s="1" t="str">
        <f>IFERROR(__xludf.DUMMYFUNCTION("""COMPUTED_VALUE"""),"")</f>
        <v/>
      </c>
      <c r="AD1317" s="1" t="str">
        <f>IFERROR(__xludf.DUMMYFUNCTION("""COMPUTED_VALUE"""),"")</f>
        <v/>
      </c>
      <c r="AE1317" s="1" t="str">
        <f>IFERROR(__xludf.DUMMYFUNCTION("""COMPUTED_VALUE"""),"")</f>
        <v/>
      </c>
      <c r="AF1317" s="1" t="str">
        <f>IFERROR(__xludf.DUMMYFUNCTION("""COMPUTED_VALUE"""),"")</f>
        <v/>
      </c>
      <c r="AG1317" s="1" t="str">
        <f>IFERROR(__xludf.DUMMYFUNCTION("""COMPUTED_VALUE"""),"")</f>
        <v/>
      </c>
      <c r="AH1317" s="1" t="str">
        <f>IFERROR(__xludf.DUMMYFUNCTION("""COMPUTED_VALUE"""),"Media Monitoring")</f>
        <v>Media Monitoring</v>
      </c>
      <c r="AI1317" s="2" t="str">
        <f>IFERROR(__xludf.DUMMYFUNCTION("""COMPUTED_VALUE"""),"https://www.datacenterdynamics.com/en/news/amazon-acquires-100-acres-in-leesburg-virginia-for-potential-data-center-development/")</f>
        <v>https://www.datacenterdynamics.com/en/news/amazon-acquires-100-acres-in-leesburg-virginia-for-potential-data-center-development/</v>
      </c>
      <c r="AJ1317" s="1" t="str">
        <f>IFERROR(__xludf.DUMMYFUNCTION("""COMPUTED_VALUE"""),"")</f>
        <v/>
      </c>
      <c r="AK1317" s="1" t="str">
        <f>IFERROR(__xludf.DUMMYFUNCTION("""COMPUTED_VALUE"""),"")</f>
        <v/>
      </c>
      <c r="AL1317" s="1" t="str">
        <f>IFERROR(__xludf.DUMMYFUNCTION("""COMPUTED_VALUE"""),"")</f>
        <v/>
      </c>
      <c r="AM1317" s="1" t="str">
        <f>IFERROR(__xludf.DUMMYFUNCTION("""COMPUTED_VALUE"""),"")</f>
        <v/>
      </c>
      <c r="AN1317" s="1" t="str">
        <f>IFERROR(__xludf.DUMMYFUNCTION("""COMPUTED_VALUE"""),"")</f>
        <v/>
      </c>
      <c r="AO1317" s="1" t="str">
        <f>IFERROR(__xludf.DUMMYFUNCTION("""COMPUTED_VALUE"""),"")</f>
        <v/>
      </c>
      <c r="AP1317" s="1" t="str">
        <f>IFERROR(__xludf.DUMMYFUNCTION("""COMPUTED_VALUE"""),"")</f>
        <v/>
      </c>
      <c r="AQ1317" s="1" t="str">
        <f>IFERROR(__xludf.DUMMYFUNCTION("""COMPUTED_VALUE"""),"05/13/2025")</f>
        <v>05/13/2025</v>
      </c>
      <c r="AR1317" s="1" t="str">
        <f>IFERROR(__xludf.DUMMYFUNCTION("""COMPUTED_VALUE"""),"05/13/2025")</f>
        <v>05/13/2025</v>
      </c>
    </row>
    <row r="1318">
      <c r="A1318" s="1" t="str">
        <f>IFERROR(__xludf.DUMMYFUNCTION("""COMPUTED_VALUE"""),"Leesburg Gateway")</f>
        <v>Leesburg Gateway</v>
      </c>
      <c r="B1318" s="1" t="str">
        <f>IFERROR(__xludf.DUMMYFUNCTION("""COMPUTED_VALUE"""),"481 POTOMAC STATION DR")</f>
        <v>481 POTOMAC STATION DR</v>
      </c>
      <c r="C1318" s="1" t="str">
        <f>IFERROR(__xludf.DUMMYFUNCTION("""COMPUTED_VALUE"""),"Leesburg")</f>
        <v>Leesburg</v>
      </c>
      <c r="D1318" s="1" t="str">
        <f>IFERROR(__xludf.DUMMYFUNCTION("""COMPUTED_VALUE"""),"VA")</f>
        <v>VA</v>
      </c>
      <c r="E1318" s="1" t="str">
        <f>IFERROR(__xludf.DUMMYFUNCTION("""COMPUTED_VALUE"""),"20176")</f>
        <v>20176</v>
      </c>
      <c r="F1318" s="1" t="str">
        <f>IFERROR(__xludf.DUMMYFUNCTION("""COMPUTED_VALUE"""),"Loudoun")</f>
        <v>Loudoun</v>
      </c>
      <c r="G1318" s="1" t="str">
        <f>IFERROR(__xludf.DUMMYFUNCTION("""COMPUTED_VALUE"""),"39.103153")</f>
        <v>39.103153</v>
      </c>
      <c r="H1318" s="1" t="str">
        <f>IFERROR(__xludf.DUMMYFUNCTION("""COMPUTED_VALUE"""),"-77.536385")</f>
        <v>-77.536385</v>
      </c>
      <c r="I1318" s="1" t="str">
        <f>IFERROR(__xludf.DUMMYFUNCTION("""COMPUTED_VALUE"""),"Proposed")</f>
        <v>Proposed</v>
      </c>
      <c r="J1318" s="1" t="str">
        <f>IFERROR(__xludf.DUMMYFUNCTION("""COMPUTED_VALUE"""),"High")</f>
        <v>High</v>
      </c>
      <c r="K1318" s="1" t="str">
        <f>IFERROR(__xludf.DUMMYFUNCTION("""COMPUTED_VALUE"""),"")</f>
        <v/>
      </c>
      <c r="L1318" s="1" t="str">
        <f>IFERROR(__xludf.DUMMYFUNCTION("""COMPUTED_VALUE"""),"Google")</f>
        <v>Google</v>
      </c>
      <c r="M1318" s="1" t="str">
        <f>IFERROR(__xludf.DUMMYFUNCTION("""COMPUTED_VALUE"""),"")</f>
        <v/>
      </c>
      <c r="N1318" s="1" t="str">
        <f>IFERROR(__xludf.DUMMYFUNCTION("""COMPUTED_VALUE"""),"")</f>
        <v/>
      </c>
      <c r="O1318" s="1" t="str">
        <f>IFERROR(__xludf.DUMMYFUNCTION("""COMPUTED_VALUE"""),"Unknown")</f>
        <v>Unknown</v>
      </c>
      <c r="P1318" s="1" t="str">
        <f>IFERROR(__xludf.DUMMYFUNCTION("""COMPUTED_VALUE"""),"")</f>
        <v/>
      </c>
      <c r="Q1318" s="1" t="str">
        <f>IFERROR(__xludf.DUMMYFUNCTION("""COMPUTED_VALUE"""),"")</f>
        <v/>
      </c>
      <c r="R1318" s="1" t="str">
        <f>IFERROR(__xludf.DUMMYFUNCTION("""COMPUTED_VALUE"""),"")</f>
        <v/>
      </c>
      <c r="S1318" s="1" t="str">
        <f>IFERROR(__xludf.DUMMYFUNCTION("""COMPUTED_VALUE"""),"")</f>
        <v/>
      </c>
      <c r="T1318" s="1" t="str">
        <f>IFERROR(__xludf.DUMMYFUNCTION("""COMPUTED_VALUE"""),"")</f>
        <v/>
      </c>
      <c r="U1318" s="1" t="str">
        <f>IFERROR(__xludf.DUMMYFUNCTION("""COMPUTED_VALUE"""),"")</f>
        <v/>
      </c>
      <c r="V1318" s="1" t="str">
        <f>IFERROR(__xludf.DUMMYFUNCTION("""COMPUTED_VALUE"""),"281,800")</f>
        <v>281,800</v>
      </c>
      <c r="W1318" s="1" t="str">
        <f>IFERROR(__xludf.DUMMYFUNCTION("""COMPUTED_VALUE"""),"99")</f>
        <v>99</v>
      </c>
      <c r="X1318" s="1" t="str">
        <f>IFERROR(__xludf.DUMMYFUNCTION("""COMPUTED_VALUE"""),"")</f>
        <v/>
      </c>
      <c r="Y1318" s="1" t="str">
        <f>IFERROR(__xludf.DUMMYFUNCTION("""COMPUTED_VALUE"""),"")</f>
        <v/>
      </c>
      <c r="Z1318" s="1" t="str">
        <f>IFERROR(__xludf.DUMMYFUNCTION("""COMPUTED_VALUE"""),"Unknown")</f>
        <v>Unknown</v>
      </c>
      <c r="AA1318" s="1" t="str">
        <f>IFERROR(__xludf.DUMMYFUNCTION("""COMPUTED_VALUE"""),"")</f>
        <v/>
      </c>
      <c r="AB1318" s="1" t="str">
        <f>IFERROR(__xludf.DUMMYFUNCTION("""COMPUTED_VALUE"""),"")</f>
        <v/>
      </c>
      <c r="AC1318" s="1" t="str">
        <f>IFERROR(__xludf.DUMMYFUNCTION("""COMPUTED_VALUE"""),"")</f>
        <v/>
      </c>
      <c r="AD1318" s="1" t="str">
        <f>IFERROR(__xludf.DUMMYFUNCTION("""COMPUTED_VALUE"""),"")</f>
        <v/>
      </c>
      <c r="AE1318" s="1" t="str">
        <f>IFERROR(__xludf.DUMMYFUNCTION("""COMPUTED_VALUE"""),"")</f>
        <v/>
      </c>
      <c r="AF1318" s="1" t="str">
        <f>IFERROR(__xludf.DUMMYFUNCTION("""COMPUTED_VALUE"""),"")</f>
        <v/>
      </c>
      <c r="AG1318" s="1" t="str">
        <f>IFERROR(__xludf.DUMMYFUNCTION("""COMPUTED_VALUE"""),"Project covers more than one parcel, the acreage represents the combined acreage")</f>
        <v>Project covers more than one parcel, the acreage represents the combined acreage</v>
      </c>
      <c r="AH1318" s="1" t="str">
        <f>IFERROR(__xludf.DUMMYFUNCTION("""COMPUTED_VALUE"""),"PEC")</f>
        <v>PEC</v>
      </c>
      <c r="AI1318" s="2" t="str">
        <f>IFERROR(__xludf.DUMMYFUNCTION("""COMPUTED_VALUE"""),"https://www.loudountimes.com/news/google-purchases-148-acres-in-loudoun-county-for-two-new-data-centers/article_9ea96f08-75b1-5779-9fcf-e2b1dec8429e.html")</f>
        <v>https://www.loudountimes.com/news/google-purchases-148-acres-in-loudoun-county-for-two-new-data-centers/article_9ea96f08-75b1-5779-9fcf-e2b1dec8429e.html</v>
      </c>
      <c r="AJ1318" s="2" t="str">
        <f>IFERROR(__xludf.DUMMYFUNCTION("""COMPUTED_VALUE"""),"https://reparcelasmt.loudoun.gov/pt/Datalets/Datalet.aspx?UseSearch=no&amp;mode=profileall&amp;pin=148350679000&amp;jur=107&amp;taxyr=2024")</f>
        <v>https://reparcelasmt.loudoun.gov/pt/Datalets/Datalet.aspx?UseSearch=no&amp;mode=profileall&amp;pin=148350679000&amp;jur=107&amp;taxyr=2024</v>
      </c>
      <c r="AK1318" s="1" t="str">
        <f>IFERROR(__xludf.DUMMYFUNCTION("""COMPUTED_VALUE"""),"")</f>
        <v/>
      </c>
      <c r="AL1318" s="1" t="str">
        <f>IFERROR(__xludf.DUMMYFUNCTION("""COMPUTED_VALUE"""),"")</f>
        <v/>
      </c>
      <c r="AM1318" s="1" t="str">
        <f>IFERROR(__xludf.DUMMYFUNCTION("""COMPUTED_VALUE"""),"")</f>
        <v/>
      </c>
      <c r="AN1318" s="1" t="str">
        <f>IFERROR(__xludf.DUMMYFUNCTION("""COMPUTED_VALUE"""),"")</f>
        <v/>
      </c>
      <c r="AO1318" s="1" t="str">
        <f>IFERROR(__xludf.DUMMYFUNCTION("""COMPUTED_VALUE"""),"")</f>
        <v/>
      </c>
      <c r="AP1318" s="1" t="str">
        <f>IFERROR(__xludf.DUMMYFUNCTION("""COMPUTED_VALUE"""),"")</f>
        <v/>
      </c>
      <c r="AQ1318" s="1" t="str">
        <f>IFERROR(__xludf.DUMMYFUNCTION("""COMPUTED_VALUE"""),"04/10/2024")</f>
        <v>04/10/2024</v>
      </c>
      <c r="AR1318" s="1" t="str">
        <f>IFERROR(__xludf.DUMMYFUNCTION("""COMPUTED_VALUE"""),"10/17/2025")</f>
        <v>10/17/2025</v>
      </c>
    </row>
    <row r="1319">
      <c r="A1319" s="1" t="str">
        <f>IFERROR(__xludf.DUMMYFUNCTION("""COMPUTED_VALUE"""),"Leesburg Gateway ")</f>
        <v>Leesburg Gateway </v>
      </c>
      <c r="B1319" s="1" t="str">
        <f>IFERROR(__xludf.DUMMYFUNCTION("""COMPUTED_VALUE"""),"Betw East Market St and Potomac Station Dr")</f>
        <v>Betw East Market St and Potomac Station Dr</v>
      </c>
      <c r="C1319" s="1" t="str">
        <f>IFERROR(__xludf.DUMMYFUNCTION("""COMPUTED_VALUE"""),"Leesburg")</f>
        <v>Leesburg</v>
      </c>
      <c r="D1319" s="1" t="str">
        <f>IFERROR(__xludf.DUMMYFUNCTION("""COMPUTED_VALUE"""),"VA")</f>
        <v>VA</v>
      </c>
      <c r="E1319" s="1" t="str">
        <f>IFERROR(__xludf.DUMMYFUNCTION("""COMPUTED_VALUE"""),"20176")</f>
        <v>20176</v>
      </c>
      <c r="F1319" s="1" t="str">
        <f>IFERROR(__xludf.DUMMYFUNCTION("""COMPUTED_VALUE"""),"Loudoun")</f>
        <v>Loudoun</v>
      </c>
      <c r="G1319" s="1" t="str">
        <f>IFERROR(__xludf.DUMMYFUNCTION("""COMPUTED_VALUE"""),"39.105076")</f>
        <v>39.105076</v>
      </c>
      <c r="H1319" s="1" t="str">
        <f>IFERROR(__xludf.DUMMYFUNCTION("""COMPUTED_VALUE"""),"-77.536705")</f>
        <v>-77.536705</v>
      </c>
      <c r="I1319" s="1" t="str">
        <f>IFERROR(__xludf.DUMMYFUNCTION("""COMPUTED_VALUE"""),"Proposed")</f>
        <v>Proposed</v>
      </c>
      <c r="J1319" s="1" t="str">
        <f>IFERROR(__xludf.DUMMYFUNCTION("""COMPUTED_VALUE"""),"High")</f>
        <v>High</v>
      </c>
      <c r="K1319" s="1" t="str">
        <f>IFERROR(__xludf.DUMMYFUNCTION("""COMPUTED_VALUE"""),"")</f>
        <v/>
      </c>
      <c r="L1319" s="1" t="str">
        <f>IFERROR(__xludf.DUMMYFUNCTION("""COMPUTED_VALUE"""),"")</f>
        <v/>
      </c>
      <c r="M1319" s="1" t="str">
        <f>IFERROR(__xludf.DUMMYFUNCTION("""COMPUTED_VALUE"""),"")</f>
        <v/>
      </c>
      <c r="N1319" s="1" t="str">
        <f>IFERROR(__xludf.DUMMYFUNCTION("""COMPUTED_VALUE"""),"")</f>
        <v/>
      </c>
      <c r="O1319" s="1" t="str">
        <f>IFERROR(__xludf.DUMMYFUNCTION("""COMPUTED_VALUE"""),"Unknown")</f>
        <v>Unknown</v>
      </c>
      <c r="P1319" s="1" t="str">
        <f>IFERROR(__xludf.DUMMYFUNCTION("""COMPUTED_VALUE"""),"")</f>
        <v/>
      </c>
      <c r="Q1319" s="1" t="str">
        <f>IFERROR(__xludf.DUMMYFUNCTION("""COMPUTED_VALUE"""),"")</f>
        <v/>
      </c>
      <c r="R1319" s="1" t="str">
        <f>IFERROR(__xludf.DUMMYFUNCTION("""COMPUTED_VALUE"""),"")</f>
        <v/>
      </c>
      <c r="S1319" s="1" t="str">
        <f>IFERROR(__xludf.DUMMYFUNCTION("""COMPUTED_VALUE"""),"3")</f>
        <v>3</v>
      </c>
      <c r="T1319" s="1" t="str">
        <f>IFERROR(__xludf.DUMMYFUNCTION("""COMPUTED_VALUE"""),"")</f>
        <v/>
      </c>
      <c r="U1319" s="1" t="str">
        <f>IFERROR(__xludf.DUMMYFUNCTION("""COMPUTED_VALUE"""),"")</f>
        <v/>
      </c>
      <c r="V1319" s="1" t="str">
        <f>IFERROR(__xludf.DUMMYFUNCTION("""COMPUTED_VALUE"""),"600,000")</f>
        <v>600,000</v>
      </c>
      <c r="W1319" s="1" t="str">
        <f>IFERROR(__xludf.DUMMYFUNCTION("""COMPUTED_VALUE"""),"")</f>
        <v/>
      </c>
      <c r="X1319" s="1" t="str">
        <f>IFERROR(__xludf.DUMMYFUNCTION("""COMPUTED_VALUE"""),"")</f>
        <v/>
      </c>
      <c r="Y1319" s="1" t="str">
        <f>IFERROR(__xludf.DUMMYFUNCTION("""COMPUTED_VALUE"""),"")</f>
        <v/>
      </c>
      <c r="Z1319" s="1" t="str">
        <f>IFERROR(__xludf.DUMMYFUNCTION("""COMPUTED_VALUE"""),"Yes")</f>
        <v>Yes</v>
      </c>
      <c r="AA1319" s="1" t="str">
        <f>IFERROR(__xludf.DUMMYFUNCTION("""COMPUTED_VALUE"""),"")</f>
        <v/>
      </c>
      <c r="AB1319" s="1" t="str">
        <f>IFERROR(__xludf.DUMMYFUNCTION("""COMPUTED_VALUE"""),"")</f>
        <v/>
      </c>
      <c r="AC1319" s="1" t="str">
        <f>IFERROR(__xludf.DUMMYFUNCTION("""COMPUTED_VALUE"""),"")</f>
        <v/>
      </c>
      <c r="AD1319" s="2" t="str">
        <f>IFERROR(__xludf.DUMMYFUNCTION("""COMPUTED_VALUE"""),"https://www.pecva.org/region/loudoun/leesburg-gateway/")</f>
        <v>https://www.pecva.org/region/loudoun/leesburg-gateway/</v>
      </c>
      <c r="AE1319" s="1" t="str">
        <f>IFERROR(__xludf.DUMMYFUNCTION("""COMPUTED_VALUE"""),"")</f>
        <v/>
      </c>
      <c r="AF1319" s="1" t="str">
        <f>IFERROR(__xludf.DUMMYFUNCTION("""COMPUTED_VALUE"""),"")</f>
        <v/>
      </c>
      <c r="AG1319" s="1" t="str">
        <f>IFERROR(__xludf.DUMMYFUNCTION("""COMPUTED_VALUE"""),"")</f>
        <v/>
      </c>
      <c r="AH1319" s="1" t="str">
        <f>IFERROR(__xludf.DUMMYFUNCTION("""COMPUTED_VALUE"""),"Media Monitoring")</f>
        <v>Media Monitoring</v>
      </c>
      <c r="AI1319" s="2" t="str">
        <f>IFERROR(__xludf.DUMMYFUNCTION("""COMPUTED_VALUE"""),"https://www.datacenterdynamics.com/en/news/peterson-co-plots-three-building-data-center-campus-in-leesburg-virginia/")</f>
        <v>https://www.datacenterdynamics.com/en/news/peterson-co-plots-three-building-data-center-campus-in-leesburg-virginia/</v>
      </c>
      <c r="AJ1319" s="1" t="str">
        <f>IFERROR(__xludf.DUMMYFUNCTION("""COMPUTED_VALUE"""),"")</f>
        <v/>
      </c>
      <c r="AK1319" s="1" t="str">
        <f>IFERROR(__xludf.DUMMYFUNCTION("""COMPUTED_VALUE"""),"")</f>
        <v/>
      </c>
      <c r="AL1319" s="1" t="str">
        <f>IFERROR(__xludf.DUMMYFUNCTION("""COMPUTED_VALUE"""),"")</f>
        <v/>
      </c>
      <c r="AM1319" s="1" t="str">
        <f>IFERROR(__xludf.DUMMYFUNCTION("""COMPUTED_VALUE"""),"")</f>
        <v/>
      </c>
      <c r="AN1319" s="1" t="str">
        <f>IFERROR(__xludf.DUMMYFUNCTION("""COMPUTED_VALUE"""),"")</f>
        <v/>
      </c>
      <c r="AO1319" s="1" t="str">
        <f>IFERROR(__xludf.DUMMYFUNCTION("""COMPUTED_VALUE"""),"")</f>
        <v/>
      </c>
      <c r="AP1319" s="1" t="str">
        <f>IFERROR(__xludf.DUMMYFUNCTION("""COMPUTED_VALUE"""),"")</f>
        <v/>
      </c>
      <c r="AQ1319" s="1" t="str">
        <f>IFERROR(__xludf.DUMMYFUNCTION("""COMPUTED_VALUE"""),"05/05/2026")</f>
        <v>05/05/2026</v>
      </c>
      <c r="AR1319" s="1" t="str">
        <f>IFERROR(__xludf.DUMMYFUNCTION("""COMPUTED_VALUE"""),"05/05/2026")</f>
        <v>05/05/2026</v>
      </c>
    </row>
    <row r="1320">
      <c r="A1320" s="1" t="str">
        <f>IFERROR(__xludf.DUMMYFUNCTION("""COMPUTED_VALUE"""),"NVA06 Campus")</f>
        <v>NVA06 Campus</v>
      </c>
      <c r="B1320" s="1" t="str">
        <f>IFERROR(__xludf.DUMMYFUNCTION("""COMPUTED_VALUE"""),"19275 COMPASS CREEK PKWY SE")</f>
        <v>19275 COMPASS CREEK PKWY SE</v>
      </c>
      <c r="C1320" s="1" t="str">
        <f>IFERROR(__xludf.DUMMYFUNCTION("""COMPUTED_VALUE"""),"Leesburg")</f>
        <v>Leesburg</v>
      </c>
      <c r="D1320" s="1" t="str">
        <f>IFERROR(__xludf.DUMMYFUNCTION("""COMPUTED_VALUE"""),"VA")</f>
        <v>VA</v>
      </c>
      <c r="E1320" s="1" t="str">
        <f>IFERROR(__xludf.DUMMYFUNCTION("""COMPUTED_VALUE"""),"20175")</f>
        <v>20175</v>
      </c>
      <c r="F1320" s="1" t="str">
        <f>IFERROR(__xludf.DUMMYFUNCTION("""COMPUTED_VALUE"""),"Loudoun")</f>
        <v>Loudoun</v>
      </c>
      <c r="G1320" s="1" t="str">
        <f>IFERROR(__xludf.DUMMYFUNCTION("""COMPUTED_VALUE"""),"39.082626")</f>
        <v>39.082626</v>
      </c>
      <c r="H1320" s="1" t="str">
        <f>IFERROR(__xludf.DUMMYFUNCTION("""COMPUTED_VALUE"""),"-77.56523")</f>
        <v>-77.56523</v>
      </c>
      <c r="I1320" s="1" t="str">
        <f>IFERROR(__xludf.DUMMYFUNCTION("""COMPUTED_VALUE"""),"Operating")</f>
        <v>Operating</v>
      </c>
      <c r="J1320" s="1" t="str">
        <f>IFERROR(__xludf.DUMMYFUNCTION("""COMPUTED_VALUE"""),"High")</f>
        <v>High</v>
      </c>
      <c r="K1320" s="1" t="str">
        <f>IFERROR(__xludf.DUMMYFUNCTION("""COMPUTED_VALUE"""),"")</f>
        <v/>
      </c>
      <c r="L1320" s="1" t="str">
        <f>IFERROR(__xludf.DUMMYFUNCTION("""COMPUTED_VALUE"""),"STACK INFRASTRUCTURE")</f>
        <v>STACK INFRASTRUCTURE</v>
      </c>
      <c r="M1320" s="1" t="str">
        <f>IFERROR(__xludf.DUMMYFUNCTION("""COMPUTED_VALUE"""),"")</f>
        <v/>
      </c>
      <c r="N1320" s="1" t="str">
        <f>IFERROR(__xludf.DUMMYFUNCTION("""COMPUTED_VALUE"""),"48")</f>
        <v>48</v>
      </c>
      <c r="O1320" s="1" t="str">
        <f>IFERROR(__xludf.DUMMYFUNCTION("""COMPUTED_VALUE"""),"Medium (11-50 MW)")</f>
        <v>Medium (11-50 MW)</v>
      </c>
      <c r="P1320" s="1" t="str">
        <f>IFERROR(__xludf.DUMMYFUNCTION("""COMPUTED_VALUE"""),"")</f>
        <v/>
      </c>
      <c r="Q1320" s="1" t="str">
        <f>IFERROR(__xludf.DUMMYFUNCTION("""COMPUTED_VALUE"""),"")</f>
        <v/>
      </c>
      <c r="R1320" s="1" t="str">
        <f>IFERROR(__xludf.DUMMYFUNCTION("""COMPUTED_VALUE"""),"")</f>
        <v/>
      </c>
      <c r="S1320" s="1" t="str">
        <f>IFERROR(__xludf.DUMMYFUNCTION("""COMPUTED_VALUE"""),"")</f>
        <v/>
      </c>
      <c r="T1320" s="1" t="str">
        <f>IFERROR(__xludf.DUMMYFUNCTION("""COMPUTED_VALUE"""),"")</f>
        <v/>
      </c>
      <c r="U1320" s="1" t="str">
        <f>IFERROR(__xludf.DUMMYFUNCTION("""COMPUTED_VALUE"""),"")</f>
        <v/>
      </c>
      <c r="V1320" s="1" t="str">
        <f>IFERROR(__xludf.DUMMYFUNCTION("""COMPUTED_VALUE"""),"232,886")</f>
        <v>232,886</v>
      </c>
      <c r="W1320" s="1" t="str">
        <f>IFERROR(__xludf.DUMMYFUNCTION("""COMPUTED_VALUE"""),"5")</f>
        <v>5</v>
      </c>
      <c r="X1320" s="1" t="str">
        <f>IFERROR(__xludf.DUMMYFUNCTION("""COMPUTED_VALUE"""),"")</f>
        <v/>
      </c>
      <c r="Y1320" s="1" t="str">
        <f>IFERROR(__xludf.DUMMYFUNCTION("""COMPUTED_VALUE"""),"")</f>
        <v/>
      </c>
      <c r="Z1320" s="1" t="str">
        <f>IFERROR(__xludf.DUMMYFUNCTION("""COMPUTED_VALUE"""),"Unknown")</f>
        <v>Unknown</v>
      </c>
      <c r="AA1320" s="1" t="str">
        <f>IFERROR(__xludf.DUMMYFUNCTION("""COMPUTED_VALUE"""),"")</f>
        <v/>
      </c>
      <c r="AB1320" s="1" t="str">
        <f>IFERROR(__xludf.DUMMYFUNCTION("""COMPUTED_VALUE"""),"")</f>
        <v/>
      </c>
      <c r="AC1320" s="1" t="str">
        <f>IFERROR(__xludf.DUMMYFUNCTION("""COMPUTED_VALUE"""),"")</f>
        <v/>
      </c>
      <c r="AD1320" s="1" t="str">
        <f>IFERROR(__xludf.DUMMYFUNCTION("""COMPUTED_VALUE"""),"")</f>
        <v/>
      </c>
      <c r="AE1320" s="1" t="str">
        <f>IFERROR(__xludf.DUMMYFUNCTION("""COMPUTED_VALUE"""),"")</f>
        <v/>
      </c>
      <c r="AF1320" s="1" t="str">
        <f>IFERROR(__xludf.DUMMYFUNCTION("""COMPUTED_VALUE"""),"")</f>
        <v/>
      </c>
      <c r="AG1320" s="1" t="str">
        <f>IFERROR(__xludf.DUMMYFUNCTION("""COMPUTED_VALUE"""),"SI NVA06B")</f>
        <v>SI NVA06B</v>
      </c>
      <c r="AH1320" s="1" t="str">
        <f>IFERROR(__xludf.DUMMYFUNCTION("""COMPUTED_VALUE"""),"PEC")</f>
        <v>PEC</v>
      </c>
      <c r="AI1320" s="2" t="str">
        <f>IFERROR(__xludf.DUMMYFUNCTION("""COMPUTED_VALUE"""),"https://loudouncountyvaeg.tylerhost.net/prod/selfservice#/permit/c5987365-88d6-4775-92c7-1ee4c5fdc8d3?tab=attachments")</f>
        <v>https://loudouncountyvaeg.tylerhost.net/prod/selfservice#/permit/c5987365-88d6-4775-92c7-1ee4c5fdc8d3?tab=attachments</v>
      </c>
      <c r="AJ1320" s="2" t="str">
        <f>IFERROR(__xludf.DUMMYFUNCTION("""COMPUTED_VALUE"""),"https://reparcelasmt.loudoun.gov/pt/datalets/datalet.aspx?mode=commercial&amp;UseSearch=no&amp;pin=234371847002&amp;jur=107&amp;taxyr=2025&amp;LMparent=20")</f>
        <v>https://reparcelasmt.loudoun.gov/pt/datalets/datalet.aspx?mode=commercial&amp;UseSearch=no&amp;pin=234371847002&amp;jur=107&amp;taxyr=2025&amp;LMparent=20</v>
      </c>
      <c r="AK1320" s="1" t="str">
        <f>IFERROR(__xludf.DUMMYFUNCTION("""COMPUTED_VALUE"""),"")</f>
        <v/>
      </c>
      <c r="AL1320" s="1" t="str">
        <f>IFERROR(__xludf.DUMMYFUNCTION("""COMPUTED_VALUE"""),"")</f>
        <v/>
      </c>
      <c r="AM1320" s="1" t="str">
        <f>IFERROR(__xludf.DUMMYFUNCTION("""COMPUTED_VALUE"""),"")</f>
        <v/>
      </c>
      <c r="AN1320" s="1" t="str">
        <f>IFERROR(__xludf.DUMMYFUNCTION("""COMPUTED_VALUE"""),"")</f>
        <v/>
      </c>
      <c r="AO1320" s="1" t="str">
        <f>IFERROR(__xludf.DUMMYFUNCTION("""COMPUTED_VALUE"""),"")</f>
        <v/>
      </c>
      <c r="AP1320" s="1" t="str">
        <f>IFERROR(__xludf.DUMMYFUNCTION("""COMPUTED_VALUE"""),"")</f>
        <v/>
      </c>
      <c r="AQ1320" s="1" t="str">
        <f>IFERROR(__xludf.DUMMYFUNCTION("""COMPUTED_VALUE"""),"08/06/2025")</f>
        <v>08/06/2025</v>
      </c>
      <c r="AR1320" s="1" t="str">
        <f>IFERROR(__xludf.DUMMYFUNCTION("""COMPUTED_VALUE"""),"10/17/2025")</f>
        <v>10/17/2025</v>
      </c>
    </row>
    <row r="1321">
      <c r="A1321" s="1" t="str">
        <f>IFERROR(__xludf.DUMMYFUNCTION("""COMPUTED_VALUE"""),"NVA06 Campus")</f>
        <v>NVA06 Campus</v>
      </c>
      <c r="B1321" s="1" t="str">
        <f>IFERROR(__xludf.DUMMYFUNCTION("""COMPUTED_VALUE"""),"19265 COMPASS CREEK PKWY")</f>
        <v>19265 COMPASS CREEK PKWY</v>
      </c>
      <c r="C1321" s="1" t="str">
        <f>IFERROR(__xludf.DUMMYFUNCTION("""COMPUTED_VALUE"""),"Leesburg")</f>
        <v>Leesburg</v>
      </c>
      <c r="D1321" s="1" t="str">
        <f>IFERROR(__xludf.DUMMYFUNCTION("""COMPUTED_VALUE"""),"VA")</f>
        <v>VA</v>
      </c>
      <c r="E1321" s="1" t="str">
        <f>IFERROR(__xludf.DUMMYFUNCTION("""COMPUTED_VALUE"""),"20175")</f>
        <v>20175</v>
      </c>
      <c r="F1321" s="1" t="str">
        <f>IFERROR(__xludf.DUMMYFUNCTION("""COMPUTED_VALUE"""),"Loudoun")</f>
        <v>Loudoun</v>
      </c>
      <c r="G1321" s="1" t="str">
        <f>IFERROR(__xludf.DUMMYFUNCTION("""COMPUTED_VALUE"""),"39.080227")</f>
        <v>39.080227</v>
      </c>
      <c r="H1321" s="1" t="str">
        <f>IFERROR(__xludf.DUMMYFUNCTION("""COMPUTED_VALUE"""),"-77.56473")</f>
        <v>-77.56473</v>
      </c>
      <c r="I1321" s="1" t="str">
        <f>IFERROR(__xludf.DUMMYFUNCTION("""COMPUTED_VALUE"""),"Operating")</f>
        <v>Operating</v>
      </c>
      <c r="J1321" s="1" t="str">
        <f>IFERROR(__xludf.DUMMYFUNCTION("""COMPUTED_VALUE"""),"High")</f>
        <v>High</v>
      </c>
      <c r="K1321" s="1" t="str">
        <f>IFERROR(__xludf.DUMMYFUNCTION("""COMPUTED_VALUE"""),"")</f>
        <v/>
      </c>
      <c r="L1321" s="1" t="str">
        <f>IFERROR(__xludf.DUMMYFUNCTION("""COMPUTED_VALUE"""),"STACK INFRASTRUCTURE")</f>
        <v>STACK INFRASTRUCTURE</v>
      </c>
      <c r="M1321" s="1" t="str">
        <f>IFERROR(__xludf.DUMMYFUNCTION("""COMPUTED_VALUE"""),"")</f>
        <v/>
      </c>
      <c r="N1321" s="1" t="str">
        <f>IFERROR(__xludf.DUMMYFUNCTION("""COMPUTED_VALUE"""),"24")</f>
        <v>24</v>
      </c>
      <c r="O1321" s="1" t="str">
        <f>IFERROR(__xludf.DUMMYFUNCTION("""COMPUTED_VALUE"""),"Medium (11-50 MW)")</f>
        <v>Medium (11-50 MW)</v>
      </c>
      <c r="P1321" s="1" t="str">
        <f>IFERROR(__xludf.DUMMYFUNCTION("""COMPUTED_VALUE"""),"")</f>
        <v/>
      </c>
      <c r="Q1321" s="1" t="str">
        <f>IFERROR(__xludf.DUMMYFUNCTION("""COMPUTED_VALUE"""),"")</f>
        <v/>
      </c>
      <c r="R1321" s="1" t="str">
        <f>IFERROR(__xludf.DUMMYFUNCTION("""COMPUTED_VALUE"""),"")</f>
        <v/>
      </c>
      <c r="S1321" s="1" t="str">
        <f>IFERROR(__xludf.DUMMYFUNCTION("""COMPUTED_VALUE"""),"")</f>
        <v/>
      </c>
      <c r="T1321" s="1" t="str">
        <f>IFERROR(__xludf.DUMMYFUNCTION("""COMPUTED_VALUE"""),"")</f>
        <v/>
      </c>
      <c r="U1321" s="1" t="str">
        <f>IFERROR(__xludf.DUMMYFUNCTION("""COMPUTED_VALUE"""),"")</f>
        <v/>
      </c>
      <c r="V1321" s="1" t="str">
        <f>IFERROR(__xludf.DUMMYFUNCTION("""COMPUTED_VALUE"""),"388,150")</f>
        <v>388,150</v>
      </c>
      <c r="W1321" s="1" t="str">
        <f>IFERROR(__xludf.DUMMYFUNCTION("""COMPUTED_VALUE"""),"9")</f>
        <v>9</v>
      </c>
      <c r="X1321" s="1" t="str">
        <f>IFERROR(__xludf.DUMMYFUNCTION("""COMPUTED_VALUE"""),"")</f>
        <v/>
      </c>
      <c r="Y1321" s="1" t="str">
        <f>IFERROR(__xludf.DUMMYFUNCTION("""COMPUTED_VALUE"""),"")</f>
        <v/>
      </c>
      <c r="Z1321" s="1" t="str">
        <f>IFERROR(__xludf.DUMMYFUNCTION("""COMPUTED_VALUE"""),"Unknown")</f>
        <v>Unknown</v>
      </c>
      <c r="AA1321" s="1" t="str">
        <f>IFERROR(__xludf.DUMMYFUNCTION("""COMPUTED_VALUE"""),"")</f>
        <v/>
      </c>
      <c r="AB1321" s="1" t="str">
        <f>IFERROR(__xludf.DUMMYFUNCTION("""COMPUTED_VALUE"""),"")</f>
        <v/>
      </c>
      <c r="AC1321" s="1" t="str">
        <f>IFERROR(__xludf.DUMMYFUNCTION("""COMPUTED_VALUE"""),"")</f>
        <v/>
      </c>
      <c r="AD1321" s="1" t="str">
        <f>IFERROR(__xludf.DUMMYFUNCTION("""COMPUTED_VALUE"""),"")</f>
        <v/>
      </c>
      <c r="AE1321" s="1" t="str">
        <f>IFERROR(__xludf.DUMMYFUNCTION("""COMPUTED_VALUE"""),"")</f>
        <v/>
      </c>
      <c r="AF1321" s="1" t="str">
        <f>IFERROR(__xludf.DUMMYFUNCTION("""COMPUTED_VALUE"""),"")</f>
        <v/>
      </c>
      <c r="AG1321" s="1" t="str">
        <f>IFERROR(__xludf.DUMMYFUNCTION("""COMPUTED_VALUE"""),"SI NVA06A")</f>
        <v>SI NVA06A</v>
      </c>
      <c r="AH1321" s="1" t="str">
        <f>IFERROR(__xludf.DUMMYFUNCTION("""COMPUTED_VALUE"""),"PEC")</f>
        <v>PEC</v>
      </c>
      <c r="AI1321" s="2" t="str">
        <f>IFERROR(__xludf.DUMMYFUNCTION("""COMPUTED_VALUE"""),"https://loudouncountyvaeg.tylerhost.net/prod/selfservice#/permit/c5987365-88d6-4775-92c7-1ee4c5fdc8d3?tab=attachments")</f>
        <v>https://loudouncountyvaeg.tylerhost.net/prod/selfservice#/permit/c5987365-88d6-4775-92c7-1ee4c5fdc8d3?tab=attachments</v>
      </c>
      <c r="AJ1321" s="2" t="str">
        <f>IFERROR(__xludf.DUMMYFUNCTION("""COMPUTED_VALUE"""),"https://reparcelasmt.loudoun.gov/pt/datalets/datalet.aspx?mode=land_summary&amp;UseSearch=no&amp;pin=234371847001&amp;jur=107&amp;taxyr=2025&amp;LMparent=20")</f>
        <v>https://reparcelasmt.loudoun.gov/pt/datalets/datalet.aspx?mode=land_summary&amp;UseSearch=no&amp;pin=234371847001&amp;jur=107&amp;taxyr=2025&amp;LMparent=20</v>
      </c>
      <c r="AK1321" s="1" t="str">
        <f>IFERROR(__xludf.DUMMYFUNCTION("""COMPUTED_VALUE"""),"")</f>
        <v/>
      </c>
      <c r="AL1321" s="1" t="str">
        <f>IFERROR(__xludf.DUMMYFUNCTION("""COMPUTED_VALUE"""),"")</f>
        <v/>
      </c>
      <c r="AM1321" s="1" t="str">
        <f>IFERROR(__xludf.DUMMYFUNCTION("""COMPUTED_VALUE"""),"")</f>
        <v/>
      </c>
      <c r="AN1321" s="1" t="str">
        <f>IFERROR(__xludf.DUMMYFUNCTION("""COMPUTED_VALUE"""),"")</f>
        <v/>
      </c>
      <c r="AO1321" s="1" t="str">
        <f>IFERROR(__xludf.DUMMYFUNCTION("""COMPUTED_VALUE"""),"")</f>
        <v/>
      </c>
      <c r="AP1321" s="1" t="str">
        <f>IFERROR(__xludf.DUMMYFUNCTION("""COMPUTED_VALUE"""),"")</f>
        <v/>
      </c>
      <c r="AQ1321" s="1" t="str">
        <f>IFERROR(__xludf.DUMMYFUNCTION("""COMPUTED_VALUE"""),"08/06/2025")</f>
        <v>08/06/2025</v>
      </c>
      <c r="AR1321" s="1" t="str">
        <f>IFERROR(__xludf.DUMMYFUNCTION("""COMPUTED_VALUE"""),"10/17/2025")</f>
        <v>10/17/2025</v>
      </c>
    </row>
    <row r="1322">
      <c r="A1322" s="1" t="str">
        <f>IFERROR(__xludf.DUMMYFUNCTION("""COMPUTED_VALUE"""),"Oaklawn")</f>
        <v>Oaklawn</v>
      </c>
      <c r="B1322" s="1" t="str">
        <f>IFERROR(__xludf.DUMMYFUNCTION("""COMPUTED_VALUE"""),"101 OAKLAWN DR")</f>
        <v>101 OAKLAWN DR</v>
      </c>
      <c r="C1322" s="1" t="str">
        <f>IFERROR(__xludf.DUMMYFUNCTION("""COMPUTED_VALUE"""),"Leesburg")</f>
        <v>Leesburg</v>
      </c>
      <c r="D1322" s="1" t="str">
        <f>IFERROR(__xludf.DUMMYFUNCTION("""COMPUTED_VALUE"""),"VA")</f>
        <v>VA</v>
      </c>
      <c r="E1322" s="1" t="str">
        <f>IFERROR(__xludf.DUMMYFUNCTION("""COMPUTED_VALUE"""),"20175")</f>
        <v>20175</v>
      </c>
      <c r="F1322" s="1" t="str">
        <f>IFERROR(__xludf.DUMMYFUNCTION("""COMPUTED_VALUE"""),"Loudoun")</f>
        <v>Loudoun</v>
      </c>
      <c r="G1322" s="1" t="str">
        <f>IFERROR(__xludf.DUMMYFUNCTION("""COMPUTED_VALUE"""),"39.091972")</f>
        <v>39.091972</v>
      </c>
      <c r="H1322" s="1" t="str">
        <f>IFERROR(__xludf.DUMMYFUNCTION("""COMPUTED_VALUE"""),"-77.56057")</f>
        <v>-77.56057</v>
      </c>
      <c r="I1322" s="1" t="str">
        <f>IFERROR(__xludf.DUMMYFUNCTION("""COMPUTED_VALUE"""),"Proposed")</f>
        <v>Proposed</v>
      </c>
      <c r="J1322" s="1" t="str">
        <f>IFERROR(__xludf.DUMMYFUNCTION("""COMPUTED_VALUE"""),"High")</f>
        <v>High</v>
      </c>
      <c r="K1322" s="1" t="str">
        <f>IFERROR(__xludf.DUMMYFUNCTION("""COMPUTED_VALUE"""),"")</f>
        <v/>
      </c>
      <c r="L1322" s="1" t="str">
        <f>IFERROR(__xludf.DUMMYFUNCTION("""COMPUTED_VALUE"""),"")</f>
        <v/>
      </c>
      <c r="M1322" s="1" t="str">
        <f>IFERROR(__xludf.DUMMYFUNCTION("""COMPUTED_VALUE"""),"")</f>
        <v/>
      </c>
      <c r="N1322" s="1" t="str">
        <f>IFERROR(__xludf.DUMMYFUNCTION("""COMPUTED_VALUE"""),"")</f>
        <v/>
      </c>
      <c r="O1322" s="1" t="str">
        <f>IFERROR(__xludf.DUMMYFUNCTION("""COMPUTED_VALUE"""),"Unknown")</f>
        <v>Unknown</v>
      </c>
      <c r="P1322" s="1" t="str">
        <f>IFERROR(__xludf.DUMMYFUNCTION("""COMPUTED_VALUE"""),"")</f>
        <v/>
      </c>
      <c r="Q1322" s="1" t="str">
        <f>IFERROR(__xludf.DUMMYFUNCTION("""COMPUTED_VALUE"""),"")</f>
        <v/>
      </c>
      <c r="R1322" s="1" t="str">
        <f>IFERROR(__xludf.DUMMYFUNCTION("""COMPUTED_VALUE"""),"")</f>
        <v/>
      </c>
      <c r="S1322" s="1" t="str">
        <f>IFERROR(__xludf.DUMMYFUNCTION("""COMPUTED_VALUE"""),"")</f>
        <v/>
      </c>
      <c r="T1322" s="1" t="str">
        <f>IFERROR(__xludf.DUMMYFUNCTION("""COMPUTED_VALUE"""),"")</f>
        <v/>
      </c>
      <c r="U1322" s="1" t="str">
        <f>IFERROR(__xludf.DUMMYFUNCTION("""COMPUTED_VALUE"""),"")</f>
        <v/>
      </c>
      <c r="V1322" s="1" t="str">
        <f>IFERROR(__xludf.DUMMYFUNCTION("""COMPUTED_VALUE"""),"700,000")</f>
        <v>700,000</v>
      </c>
      <c r="W1322" s="1" t="str">
        <f>IFERROR(__xludf.DUMMYFUNCTION("""COMPUTED_VALUE"""),"26")</f>
        <v>26</v>
      </c>
      <c r="X1322" s="1" t="str">
        <f>IFERROR(__xludf.DUMMYFUNCTION("""COMPUTED_VALUE"""),"")</f>
        <v/>
      </c>
      <c r="Y1322" s="1" t="str">
        <f>IFERROR(__xludf.DUMMYFUNCTION("""COMPUTED_VALUE"""),"")</f>
        <v/>
      </c>
      <c r="Z1322" s="1" t="str">
        <f>IFERROR(__xludf.DUMMYFUNCTION("""COMPUTED_VALUE"""),"Unknown")</f>
        <v>Unknown</v>
      </c>
      <c r="AA1322" s="1" t="str">
        <f>IFERROR(__xludf.DUMMYFUNCTION("""COMPUTED_VALUE"""),"")</f>
        <v/>
      </c>
      <c r="AB1322" s="1" t="str">
        <f>IFERROR(__xludf.DUMMYFUNCTION("""COMPUTED_VALUE"""),"")</f>
        <v/>
      </c>
      <c r="AC1322" s="1" t="str">
        <f>IFERROR(__xludf.DUMMYFUNCTION("""COMPUTED_VALUE"""),"")</f>
        <v/>
      </c>
      <c r="AD1322" s="1" t="str">
        <f>IFERROR(__xludf.DUMMYFUNCTION("""COMPUTED_VALUE"""),"")</f>
        <v/>
      </c>
      <c r="AE1322" s="1" t="str">
        <f>IFERROR(__xludf.DUMMYFUNCTION("""COMPUTED_VALUE"""),"")</f>
        <v/>
      </c>
      <c r="AF1322" s="1" t="str">
        <f>IFERROR(__xludf.DUMMYFUNCTION("""COMPUTED_VALUE"""),"")</f>
        <v/>
      </c>
      <c r="AG1322" s="1" t="str">
        <f>IFERROR(__xludf.DUMMYFUNCTION("""COMPUTED_VALUE"""),"Denied, but under litigation")</f>
        <v>Denied, but under litigation</v>
      </c>
      <c r="AH1322" s="1" t="str">
        <f>IFERROR(__xludf.DUMMYFUNCTION("""COMPUTED_VALUE"""),"PEC")</f>
        <v>PEC</v>
      </c>
      <c r="AI1322" s="2" t="str">
        <f>IFERROR(__xludf.DUMMYFUNCTION("""COMPUTED_VALUE"""),"https://www.loudountimes.com/0local-or-not/1local/oaklawn-data-center-affordable-housing-proposal-faces-public-pushback/article_d731930a-5a9a-11ef-bb44-0f2c1a71197b.html")</f>
        <v>https://www.loudountimes.com/0local-or-not/1local/oaklawn-data-center-affordable-housing-proposal-faces-public-pushback/article_d731930a-5a9a-11ef-bb44-0f2c1a71197b.html</v>
      </c>
      <c r="AJ1322" s="2" t="str">
        <f>IFERROR(__xludf.DUMMYFUNCTION("""COMPUTED_VALUE"""),"https://reparcelasmt.loudoun.gov/pt/Datalets/Datalet.aspx?sIndex=3&amp;idx=1")</f>
        <v>https://reparcelasmt.loudoun.gov/pt/Datalets/Datalet.aspx?sIndex=3&amp;idx=1</v>
      </c>
      <c r="AK1322" s="1" t="str">
        <f>IFERROR(__xludf.DUMMYFUNCTION("""COMPUTED_VALUE"""),"")</f>
        <v/>
      </c>
      <c r="AL1322" s="1" t="str">
        <f>IFERROR(__xludf.DUMMYFUNCTION("""COMPUTED_VALUE"""),"")</f>
        <v/>
      </c>
      <c r="AM1322" s="1" t="str">
        <f>IFERROR(__xludf.DUMMYFUNCTION("""COMPUTED_VALUE"""),"")</f>
        <v/>
      </c>
      <c r="AN1322" s="1" t="str">
        <f>IFERROR(__xludf.DUMMYFUNCTION("""COMPUTED_VALUE"""),"")</f>
        <v/>
      </c>
      <c r="AO1322" s="1" t="str">
        <f>IFERROR(__xludf.DUMMYFUNCTION("""COMPUTED_VALUE"""),"")</f>
        <v/>
      </c>
      <c r="AP1322" s="1" t="str">
        <f>IFERROR(__xludf.DUMMYFUNCTION("""COMPUTED_VALUE"""),"")</f>
        <v/>
      </c>
      <c r="AQ1322" s="1" t="str">
        <f>IFERROR(__xludf.DUMMYFUNCTION("""COMPUTED_VALUE"""),"08/28/2024")</f>
        <v>08/28/2024</v>
      </c>
      <c r="AR1322" s="1" t="str">
        <f>IFERROR(__xludf.DUMMYFUNCTION("""COMPUTED_VALUE"""),"10/17/2025")</f>
        <v>10/17/2025</v>
      </c>
    </row>
    <row r="1323">
      <c r="A1323" s="1" t="str">
        <f>IFERROR(__xludf.DUMMYFUNCTION("""COMPUTED_VALUE"""),"Orme Farm Rezoning")</f>
        <v>Orme Farm Rezoning</v>
      </c>
      <c r="B1323" s="1" t="str">
        <f>IFERROR(__xludf.DUMMYFUNCTION("""COMPUTED_VALUE"""),"41451 SHREVE MILL RD")</f>
        <v>41451 SHREVE MILL RD</v>
      </c>
      <c r="C1323" s="1" t="str">
        <f>IFERROR(__xludf.DUMMYFUNCTION("""COMPUTED_VALUE"""),"Leesburg")</f>
        <v>Leesburg</v>
      </c>
      <c r="D1323" s="1" t="str">
        <f>IFERROR(__xludf.DUMMYFUNCTION("""COMPUTED_VALUE"""),"VA")</f>
        <v>VA</v>
      </c>
      <c r="E1323" s="1" t="str">
        <f>IFERROR(__xludf.DUMMYFUNCTION("""COMPUTED_VALUE"""),"20175")</f>
        <v>20175</v>
      </c>
      <c r="F1323" s="1" t="str">
        <f>IFERROR(__xludf.DUMMYFUNCTION("""COMPUTED_VALUE"""),"Loudoun")</f>
        <v>Loudoun</v>
      </c>
      <c r="G1323" s="1" t="str">
        <f>IFERROR(__xludf.DUMMYFUNCTION("""COMPUTED_VALUE"""),"39.059395")</f>
        <v>39.059395</v>
      </c>
      <c r="H1323" s="1" t="str">
        <f>IFERROR(__xludf.DUMMYFUNCTION("""COMPUTED_VALUE"""),"-77.55797")</f>
        <v>-77.55797</v>
      </c>
      <c r="I1323" s="1" t="str">
        <f>IFERROR(__xludf.DUMMYFUNCTION("""COMPUTED_VALUE"""),"Proposed")</f>
        <v>Proposed</v>
      </c>
      <c r="J1323" s="1" t="str">
        <f>IFERROR(__xludf.DUMMYFUNCTION("""COMPUTED_VALUE"""),"High")</f>
        <v>High</v>
      </c>
      <c r="K1323" s="1" t="str">
        <f>IFERROR(__xludf.DUMMYFUNCTION("""COMPUTED_VALUE"""),"")</f>
        <v/>
      </c>
      <c r="L1323" s="1" t="str">
        <f>IFERROR(__xludf.DUMMYFUNCTION("""COMPUTED_VALUE"""),"Van Metre Communities LLC/Roy Barnett")</f>
        <v>Van Metre Communities LLC/Roy Barnett</v>
      </c>
      <c r="M1323" s="1" t="str">
        <f>IFERROR(__xludf.DUMMYFUNCTION("""COMPUTED_VALUE"""),"")</f>
        <v/>
      </c>
      <c r="N1323" s="1" t="str">
        <f>IFERROR(__xludf.DUMMYFUNCTION("""COMPUTED_VALUE"""),"")</f>
        <v/>
      </c>
      <c r="O1323" s="1" t="str">
        <f>IFERROR(__xludf.DUMMYFUNCTION("""COMPUTED_VALUE"""),"Unknown")</f>
        <v>Unknown</v>
      </c>
      <c r="P1323" s="1" t="str">
        <f>IFERROR(__xludf.DUMMYFUNCTION("""COMPUTED_VALUE"""),"")</f>
        <v/>
      </c>
      <c r="Q1323" s="1" t="str">
        <f>IFERROR(__xludf.DUMMYFUNCTION("""COMPUTED_VALUE"""),"")</f>
        <v/>
      </c>
      <c r="R1323" s="1" t="str">
        <f>IFERROR(__xludf.DUMMYFUNCTION("""COMPUTED_VALUE"""),"")</f>
        <v/>
      </c>
      <c r="S1323" s="1" t="str">
        <f>IFERROR(__xludf.DUMMYFUNCTION("""COMPUTED_VALUE"""),"")</f>
        <v/>
      </c>
      <c r="T1323" s="1" t="str">
        <f>IFERROR(__xludf.DUMMYFUNCTION("""COMPUTED_VALUE"""),"")</f>
        <v/>
      </c>
      <c r="U1323" s="1" t="str">
        <f>IFERROR(__xludf.DUMMYFUNCTION("""COMPUTED_VALUE"""),"")</f>
        <v/>
      </c>
      <c r="V1323" s="1" t="str">
        <f>IFERROR(__xludf.DUMMYFUNCTION("""COMPUTED_VALUE"""),"508,000")</f>
        <v>508,000</v>
      </c>
      <c r="W1323" s="1" t="str">
        <f>IFERROR(__xludf.DUMMYFUNCTION("""COMPUTED_VALUE"""),"11")</f>
        <v>11</v>
      </c>
      <c r="X1323" s="1" t="str">
        <f>IFERROR(__xludf.DUMMYFUNCTION("""COMPUTED_VALUE"""),"")</f>
        <v/>
      </c>
      <c r="Y1323" s="1" t="str">
        <f>IFERROR(__xludf.DUMMYFUNCTION("""COMPUTED_VALUE"""),"")</f>
        <v/>
      </c>
      <c r="Z1323" s="1" t="str">
        <f>IFERROR(__xludf.DUMMYFUNCTION("""COMPUTED_VALUE"""),"Unknown")</f>
        <v>Unknown</v>
      </c>
      <c r="AA1323" s="1" t="str">
        <f>IFERROR(__xludf.DUMMYFUNCTION("""COMPUTED_VALUE"""),"")</f>
        <v/>
      </c>
      <c r="AB1323" s="1" t="str">
        <f>IFERROR(__xludf.DUMMYFUNCTION("""COMPUTED_VALUE"""),"")</f>
        <v/>
      </c>
      <c r="AC1323" s="1" t="str">
        <f>IFERROR(__xludf.DUMMYFUNCTION("""COMPUTED_VALUE"""),"")</f>
        <v/>
      </c>
      <c r="AD1323" s="1" t="str">
        <f>IFERROR(__xludf.DUMMYFUNCTION("""COMPUTED_VALUE"""),"")</f>
        <v/>
      </c>
      <c r="AE1323" s="1" t="str">
        <f>IFERROR(__xludf.DUMMYFUNCTION("""COMPUTED_VALUE"""),"")</f>
        <v/>
      </c>
      <c r="AF1323" s="1" t="str">
        <f>IFERROR(__xludf.DUMMYFUNCTION("""COMPUTED_VALUE"""),"")</f>
        <v/>
      </c>
      <c r="AG1323" s="1" t="str">
        <f>IFERROR(__xludf.DUMMYFUNCTION("""COMPUTED_VALUE"""),"")</f>
        <v/>
      </c>
      <c r="AH1323" s="1" t="str">
        <f>IFERROR(__xludf.DUMMYFUNCTION("""COMPUTED_VALUE"""),"PEC")</f>
        <v>PEC</v>
      </c>
      <c r="AI1323" s="2" t="str">
        <f>IFERROR(__xludf.DUMMYFUNCTION("""COMPUTED_VALUE"""),"https://loudouncountyvaeg.tylerhost.net/prod/selfservice#/plan/1E44BC95-A7BA-4323-86B8-C41ADFE4A88E?tab=attachments")</f>
        <v>https://loudouncountyvaeg.tylerhost.net/prod/selfservice#/plan/1E44BC95-A7BA-4323-86B8-C41ADFE4A88E?tab=attachments</v>
      </c>
      <c r="AJ1323" s="2" t="str">
        <f>IFERROR(__xludf.DUMMYFUNCTION("""COMPUTED_VALUE"""),"https://reparcelasmt.loudoun.gov/pt/Datalets/Datalet.aspx?UseSearch=no&amp;mode=profileall&amp;pin=236387331000&amp;jur=107&amp;taxyr=2024")</f>
        <v>https://reparcelasmt.loudoun.gov/pt/Datalets/Datalet.aspx?UseSearch=no&amp;mode=profileall&amp;pin=236387331000&amp;jur=107&amp;taxyr=2024</v>
      </c>
      <c r="AK1323" s="1" t="str">
        <f>IFERROR(__xludf.DUMMYFUNCTION("""COMPUTED_VALUE"""),"")</f>
        <v/>
      </c>
      <c r="AL1323" s="1" t="str">
        <f>IFERROR(__xludf.DUMMYFUNCTION("""COMPUTED_VALUE"""),"")</f>
        <v/>
      </c>
      <c r="AM1323" s="1" t="str">
        <f>IFERROR(__xludf.DUMMYFUNCTION("""COMPUTED_VALUE"""),"")</f>
        <v/>
      </c>
      <c r="AN1323" s="1" t="str">
        <f>IFERROR(__xludf.DUMMYFUNCTION("""COMPUTED_VALUE"""),"")</f>
        <v/>
      </c>
      <c r="AO1323" s="1" t="str">
        <f>IFERROR(__xludf.DUMMYFUNCTION("""COMPUTED_VALUE"""),"")</f>
        <v/>
      </c>
      <c r="AP1323" s="1" t="str">
        <f>IFERROR(__xludf.DUMMYFUNCTION("""COMPUTED_VALUE"""),"")</f>
        <v/>
      </c>
      <c r="AQ1323" s="1" t="str">
        <f>IFERROR(__xludf.DUMMYFUNCTION("""COMPUTED_VALUE"""),"08/11/2025")</f>
        <v>08/11/2025</v>
      </c>
      <c r="AR1323" s="1" t="str">
        <f>IFERROR(__xludf.DUMMYFUNCTION("""COMPUTED_VALUE"""),"10/17/2025")</f>
        <v>10/17/2025</v>
      </c>
    </row>
    <row r="1324">
      <c r="A1324" s="1" t="str">
        <f>IFERROR(__xludf.DUMMYFUNCTION("""COMPUTED_VALUE"""),"Project Celtic Phase 1")</f>
        <v>Project Celtic Phase 1</v>
      </c>
      <c r="B1324" s="1" t="str">
        <f>IFERROR(__xludf.DUMMYFUNCTION("""COMPUTED_VALUE"""),"20680 CELTIC PARK DR")</f>
        <v>20680 CELTIC PARK DR</v>
      </c>
      <c r="C1324" s="1" t="str">
        <f>IFERROR(__xludf.DUMMYFUNCTION("""COMPUTED_VALUE"""),"Leesburg")</f>
        <v>Leesburg</v>
      </c>
      <c r="D1324" s="1" t="str">
        <f>IFERROR(__xludf.DUMMYFUNCTION("""COMPUTED_VALUE"""),"VA")</f>
        <v>VA</v>
      </c>
      <c r="E1324" s="1" t="str">
        <f>IFERROR(__xludf.DUMMYFUNCTION("""COMPUTED_VALUE"""),"20175")</f>
        <v>20175</v>
      </c>
      <c r="F1324" s="1" t="str">
        <f>IFERROR(__xludf.DUMMYFUNCTION("""COMPUTED_VALUE"""),"Loudoun")</f>
        <v>Loudoun</v>
      </c>
      <c r="G1324" s="1" t="str">
        <f>IFERROR(__xludf.DUMMYFUNCTION("""COMPUTED_VALUE"""),"39.056915")</f>
        <v>39.056915</v>
      </c>
      <c r="H1324" s="1" t="str">
        <f>IFERROR(__xludf.DUMMYFUNCTION("""COMPUTED_VALUE"""),"-77.54663")</f>
        <v>-77.54663</v>
      </c>
      <c r="I1324" s="1" t="str">
        <f>IFERROR(__xludf.DUMMYFUNCTION("""COMPUTED_VALUE"""),"Expanding")</f>
        <v>Expanding</v>
      </c>
      <c r="J1324" s="1" t="str">
        <f>IFERROR(__xludf.DUMMYFUNCTION("""COMPUTED_VALUE"""),"High")</f>
        <v>High</v>
      </c>
      <c r="K1324" s="1" t="str">
        <f>IFERROR(__xludf.DUMMYFUNCTION("""COMPUTED_VALUE"""),"")</f>
        <v/>
      </c>
      <c r="L1324" s="1" t="str">
        <f>IFERROR(__xludf.DUMMYFUNCTION("""COMPUTED_VALUE"""),"Google")</f>
        <v>Google</v>
      </c>
      <c r="M1324" s="1" t="str">
        <f>IFERROR(__xludf.DUMMYFUNCTION("""COMPUTED_VALUE"""),"")</f>
        <v/>
      </c>
      <c r="N1324" s="1" t="str">
        <f>IFERROR(__xludf.DUMMYFUNCTION("""COMPUTED_VALUE"""),"")</f>
        <v/>
      </c>
      <c r="O1324" s="1" t="str">
        <f>IFERROR(__xludf.DUMMYFUNCTION("""COMPUTED_VALUE"""),"Unknown")</f>
        <v>Unknown</v>
      </c>
      <c r="P1324" s="1" t="str">
        <f>IFERROR(__xludf.DUMMYFUNCTION("""COMPUTED_VALUE"""),"")</f>
        <v/>
      </c>
      <c r="Q1324" s="1" t="str">
        <f>IFERROR(__xludf.DUMMYFUNCTION("""COMPUTED_VALUE"""),"")</f>
        <v/>
      </c>
      <c r="R1324" s="1" t="str">
        <f>IFERROR(__xludf.DUMMYFUNCTION("""COMPUTED_VALUE"""),"")</f>
        <v/>
      </c>
      <c r="S1324" s="1" t="str">
        <f>IFERROR(__xludf.DUMMYFUNCTION("""COMPUTED_VALUE"""),"")</f>
        <v/>
      </c>
      <c r="T1324" s="1" t="str">
        <f>IFERROR(__xludf.DUMMYFUNCTION("""COMPUTED_VALUE"""),"")</f>
        <v/>
      </c>
      <c r="U1324" s="1" t="str">
        <f>IFERROR(__xludf.DUMMYFUNCTION("""COMPUTED_VALUE"""),"")</f>
        <v/>
      </c>
      <c r="V1324" s="1" t="str">
        <f>IFERROR(__xludf.DUMMYFUNCTION("""COMPUTED_VALUE"""),"743,608")</f>
        <v>743,608</v>
      </c>
      <c r="W1324" s="1" t="str">
        <f>IFERROR(__xludf.DUMMYFUNCTION("""COMPUTED_VALUE"""),"145")</f>
        <v>145</v>
      </c>
      <c r="X1324" s="1" t="str">
        <f>IFERROR(__xludf.DUMMYFUNCTION("""COMPUTED_VALUE"""),"")</f>
        <v/>
      </c>
      <c r="Y1324" s="1" t="str">
        <f>IFERROR(__xludf.DUMMYFUNCTION("""COMPUTED_VALUE"""),"")</f>
        <v/>
      </c>
      <c r="Z1324" s="1" t="str">
        <f>IFERROR(__xludf.DUMMYFUNCTION("""COMPUTED_VALUE"""),"Unknown")</f>
        <v>Unknown</v>
      </c>
      <c r="AA1324" s="1" t="str">
        <f>IFERROR(__xludf.DUMMYFUNCTION("""COMPUTED_VALUE"""),"")</f>
        <v/>
      </c>
      <c r="AB1324" s="1" t="str">
        <f>IFERROR(__xludf.DUMMYFUNCTION("""COMPUTED_VALUE"""),"")</f>
        <v/>
      </c>
      <c r="AC1324" s="1" t="str">
        <f>IFERROR(__xludf.DUMMYFUNCTION("""COMPUTED_VALUE"""),"")</f>
        <v/>
      </c>
      <c r="AD1324" s="1" t="str">
        <f>IFERROR(__xludf.DUMMYFUNCTION("""COMPUTED_VALUE"""),"")</f>
        <v/>
      </c>
      <c r="AE1324" s="1" t="str">
        <f>IFERROR(__xludf.DUMMYFUNCTION("""COMPUTED_VALUE"""),"")</f>
        <v/>
      </c>
      <c r="AF1324" s="1" t="str">
        <f>IFERROR(__xludf.DUMMYFUNCTION("""COMPUTED_VALUE"""),"")</f>
        <v/>
      </c>
      <c r="AG1324" s="1" t="str">
        <f>IFERROR(__xludf.DUMMYFUNCTION("""COMPUTED_VALUE"""),"Building 1 &amp; 2")</f>
        <v>Building 1 &amp; 2</v>
      </c>
      <c r="AH1324" s="1" t="str">
        <f>IFERROR(__xludf.DUMMYFUNCTION("""COMPUTED_VALUE"""),"PEC")</f>
        <v>PEC</v>
      </c>
      <c r="AI1324" s="2" t="str">
        <f>IFERROR(__xludf.DUMMYFUNCTION("""COMPUTED_VALUE"""),"https://loudouncountyvaeg.tylerhost.net/prod/selfservice#/plan/4b096fd7-53cd-49a4-a1c0-32e42413c3c9?tab=attachments")</f>
        <v>https://loudouncountyvaeg.tylerhost.net/prod/selfservice#/plan/4b096fd7-53cd-49a4-a1c0-32e42413c3c9?tab=attachments</v>
      </c>
      <c r="AJ1324" s="2" t="str">
        <f>IFERROR(__xludf.DUMMYFUNCTION("""COMPUTED_VALUE"""),"https://reparcelasmt.loudoun.gov/pt/Datalets/Datalet.aspx?UseSearch=no&amp;mode=profileall&amp;pin=193186982000&amp;jur=107&amp;taxyr=2024")</f>
        <v>https://reparcelasmt.loudoun.gov/pt/Datalets/Datalet.aspx?UseSearch=no&amp;mode=profileall&amp;pin=193186982000&amp;jur=107&amp;taxyr=2024</v>
      </c>
      <c r="AK1324" s="1" t="str">
        <f>IFERROR(__xludf.DUMMYFUNCTION("""COMPUTED_VALUE"""),"")</f>
        <v/>
      </c>
      <c r="AL1324" s="1" t="str">
        <f>IFERROR(__xludf.DUMMYFUNCTION("""COMPUTED_VALUE"""),"")</f>
        <v/>
      </c>
      <c r="AM1324" s="1" t="str">
        <f>IFERROR(__xludf.DUMMYFUNCTION("""COMPUTED_VALUE"""),"")</f>
        <v/>
      </c>
      <c r="AN1324" s="1" t="str">
        <f>IFERROR(__xludf.DUMMYFUNCTION("""COMPUTED_VALUE"""),"")</f>
        <v/>
      </c>
      <c r="AO1324" s="1" t="str">
        <f>IFERROR(__xludf.DUMMYFUNCTION("""COMPUTED_VALUE"""),"")</f>
        <v/>
      </c>
      <c r="AP1324" s="1" t="str">
        <f>IFERROR(__xludf.DUMMYFUNCTION("""COMPUTED_VALUE"""),"")</f>
        <v/>
      </c>
      <c r="AQ1324" s="1" t="str">
        <f>IFERROR(__xludf.DUMMYFUNCTION("""COMPUTED_VALUE"""),"08/11/2025")</f>
        <v>08/11/2025</v>
      </c>
      <c r="AR1324" s="1" t="str">
        <f>IFERROR(__xludf.DUMMYFUNCTION("""COMPUTED_VALUE"""),"02/10/2026")</f>
        <v>02/10/2026</v>
      </c>
    </row>
    <row r="1325">
      <c r="A1325" s="1" t="str">
        <f>IFERROR(__xludf.DUMMYFUNCTION("""COMPUTED_VALUE"""),"Project Celtic Phase 2")</f>
        <v>Project Celtic Phase 2</v>
      </c>
      <c r="B1325" s="1" t="str">
        <f>IFERROR(__xludf.DUMMYFUNCTION("""COMPUTED_VALUE"""),"20649 ENERGY PARK DR")</f>
        <v>20649 ENERGY PARK DR</v>
      </c>
      <c r="C1325" s="1" t="str">
        <f>IFERROR(__xludf.DUMMYFUNCTION("""COMPUTED_VALUE"""),"Leesburg")</f>
        <v>Leesburg</v>
      </c>
      <c r="D1325" s="1" t="str">
        <f>IFERROR(__xludf.DUMMYFUNCTION("""COMPUTED_VALUE"""),"VA")</f>
        <v>VA</v>
      </c>
      <c r="E1325" s="1" t="str">
        <f>IFERROR(__xludf.DUMMYFUNCTION("""COMPUTED_VALUE"""),"20175")</f>
        <v>20175</v>
      </c>
      <c r="F1325" s="1" t="str">
        <f>IFERROR(__xludf.DUMMYFUNCTION("""COMPUTED_VALUE"""),"Loudoun")</f>
        <v>Loudoun</v>
      </c>
      <c r="G1325" s="1" t="str">
        <f>IFERROR(__xludf.DUMMYFUNCTION("""COMPUTED_VALUE"""),"39.0539")</f>
        <v>39.0539</v>
      </c>
      <c r="H1325" s="1" t="str">
        <f>IFERROR(__xludf.DUMMYFUNCTION("""COMPUTED_VALUE"""),"-77.54465")</f>
        <v>-77.54465</v>
      </c>
      <c r="I1325" s="1" t="str">
        <f>IFERROR(__xludf.DUMMYFUNCTION("""COMPUTED_VALUE"""),"Expanding")</f>
        <v>Expanding</v>
      </c>
      <c r="J1325" s="1" t="str">
        <f>IFERROR(__xludf.DUMMYFUNCTION("""COMPUTED_VALUE"""),"High")</f>
        <v>High</v>
      </c>
      <c r="K1325" s="1" t="str">
        <f>IFERROR(__xludf.DUMMYFUNCTION("""COMPUTED_VALUE"""),"")</f>
        <v/>
      </c>
      <c r="L1325" s="1" t="str">
        <f>IFERROR(__xludf.DUMMYFUNCTION("""COMPUTED_VALUE"""),"Google")</f>
        <v>Google</v>
      </c>
      <c r="M1325" s="1" t="str">
        <f>IFERROR(__xludf.DUMMYFUNCTION("""COMPUTED_VALUE"""),"")</f>
        <v/>
      </c>
      <c r="N1325" s="1" t="str">
        <f>IFERROR(__xludf.DUMMYFUNCTION("""COMPUTED_VALUE"""),"")</f>
        <v/>
      </c>
      <c r="O1325" s="1" t="str">
        <f>IFERROR(__xludf.DUMMYFUNCTION("""COMPUTED_VALUE"""),"Unknown")</f>
        <v>Unknown</v>
      </c>
      <c r="P1325" s="1" t="str">
        <f>IFERROR(__xludf.DUMMYFUNCTION("""COMPUTED_VALUE"""),"")</f>
        <v/>
      </c>
      <c r="Q1325" s="1" t="str">
        <f>IFERROR(__xludf.DUMMYFUNCTION("""COMPUTED_VALUE"""),"")</f>
        <v/>
      </c>
      <c r="R1325" s="1" t="str">
        <f>IFERROR(__xludf.DUMMYFUNCTION("""COMPUTED_VALUE"""),"")</f>
        <v/>
      </c>
      <c r="S1325" s="1" t="str">
        <f>IFERROR(__xludf.DUMMYFUNCTION("""COMPUTED_VALUE"""),"")</f>
        <v/>
      </c>
      <c r="T1325" s="1" t="str">
        <f>IFERROR(__xludf.DUMMYFUNCTION("""COMPUTED_VALUE"""),"")</f>
        <v/>
      </c>
      <c r="U1325" s="1" t="str">
        <f>IFERROR(__xludf.DUMMYFUNCTION("""COMPUTED_VALUE"""),"")</f>
        <v/>
      </c>
      <c r="V1325" s="1" t="str">
        <f>IFERROR(__xludf.DUMMYFUNCTION("""COMPUTED_VALUE"""),"1,190,996")</f>
        <v>1,190,996</v>
      </c>
      <c r="W1325" s="1" t="str">
        <f>IFERROR(__xludf.DUMMYFUNCTION("""COMPUTED_VALUE"""),"")</f>
        <v/>
      </c>
      <c r="X1325" s="1" t="str">
        <f>IFERROR(__xludf.DUMMYFUNCTION("""COMPUTED_VALUE"""),"")</f>
        <v/>
      </c>
      <c r="Y1325" s="1" t="str">
        <f>IFERROR(__xludf.DUMMYFUNCTION("""COMPUTED_VALUE"""),"")</f>
        <v/>
      </c>
      <c r="Z1325" s="1" t="str">
        <f>IFERROR(__xludf.DUMMYFUNCTION("""COMPUTED_VALUE"""),"Unknown")</f>
        <v>Unknown</v>
      </c>
      <c r="AA1325" s="1" t="str">
        <f>IFERROR(__xludf.DUMMYFUNCTION("""COMPUTED_VALUE"""),"")</f>
        <v/>
      </c>
      <c r="AB1325" s="1" t="str">
        <f>IFERROR(__xludf.DUMMYFUNCTION("""COMPUTED_VALUE"""),"")</f>
        <v/>
      </c>
      <c r="AC1325" s="1" t="str">
        <f>IFERROR(__xludf.DUMMYFUNCTION("""COMPUTED_VALUE"""),"")</f>
        <v/>
      </c>
      <c r="AD1325" s="1" t="str">
        <f>IFERROR(__xludf.DUMMYFUNCTION("""COMPUTED_VALUE"""),"")</f>
        <v/>
      </c>
      <c r="AE1325" s="1" t="str">
        <f>IFERROR(__xludf.DUMMYFUNCTION("""COMPUTED_VALUE"""),"")</f>
        <v/>
      </c>
      <c r="AF1325" s="1" t="str">
        <f>IFERROR(__xludf.DUMMYFUNCTION("""COMPUTED_VALUE"""),"")</f>
        <v/>
      </c>
      <c r="AG1325" s="1" t="str">
        <f>IFERROR(__xludf.DUMMYFUNCTION("""COMPUTED_VALUE"""),"Building 3, 4, &amp; 5")</f>
        <v>Building 3, 4, &amp; 5</v>
      </c>
      <c r="AH1325" s="1" t="str">
        <f>IFERROR(__xludf.DUMMYFUNCTION("""COMPUTED_VALUE"""),"PEC")</f>
        <v>PEC</v>
      </c>
      <c r="AI1325" s="2" t="str">
        <f>IFERROR(__xludf.DUMMYFUNCTION("""COMPUTED_VALUE"""),"https://loudouncountyvaeg.tylerhost.net/prod/selfservice#/plan/4b096fd7-53cd-49a4-a1c0-32e42413c3c9?tab=attachments")</f>
        <v>https://loudouncountyvaeg.tylerhost.net/prod/selfservice#/plan/4b096fd7-53cd-49a4-a1c0-32e42413c3c9?tab=attachments</v>
      </c>
      <c r="AJ1325" s="2" t="str">
        <f>IFERROR(__xludf.DUMMYFUNCTION("""COMPUTED_VALUE"""),"https://reparcelasmt.loudoun.gov/pt/Datalets/Datalet.aspx?UseSearch=no&amp;mode=profileall&amp;pin=193186982000&amp;jur=107&amp;taxyr=2024")</f>
        <v>https://reparcelasmt.loudoun.gov/pt/Datalets/Datalet.aspx?UseSearch=no&amp;mode=profileall&amp;pin=193186982000&amp;jur=107&amp;taxyr=2024</v>
      </c>
      <c r="AK1325" s="1" t="str">
        <f>IFERROR(__xludf.DUMMYFUNCTION("""COMPUTED_VALUE"""),"")</f>
        <v/>
      </c>
      <c r="AL1325" s="1" t="str">
        <f>IFERROR(__xludf.DUMMYFUNCTION("""COMPUTED_VALUE"""),"")</f>
        <v/>
      </c>
      <c r="AM1325" s="1" t="str">
        <f>IFERROR(__xludf.DUMMYFUNCTION("""COMPUTED_VALUE"""),"")</f>
        <v/>
      </c>
      <c r="AN1325" s="1" t="str">
        <f>IFERROR(__xludf.DUMMYFUNCTION("""COMPUTED_VALUE"""),"")</f>
        <v/>
      </c>
      <c r="AO1325" s="1" t="str">
        <f>IFERROR(__xludf.DUMMYFUNCTION("""COMPUTED_VALUE"""),"")</f>
        <v/>
      </c>
      <c r="AP1325" s="1" t="str">
        <f>IFERROR(__xludf.DUMMYFUNCTION("""COMPUTED_VALUE"""),"")</f>
        <v/>
      </c>
      <c r="AQ1325" s="1" t="str">
        <f>IFERROR(__xludf.DUMMYFUNCTION("""COMPUTED_VALUE"""),"08/11/2025")</f>
        <v>08/11/2025</v>
      </c>
      <c r="AR1325" s="1" t="str">
        <f>IFERROR(__xludf.DUMMYFUNCTION("""COMPUTED_VALUE"""),"02/10/2026")</f>
        <v>02/10/2026</v>
      </c>
    </row>
    <row r="1326">
      <c r="A1326" s="1" t="str">
        <f>IFERROR(__xludf.DUMMYFUNCTION("""COMPUTED_VALUE"""),"Tuscarora Crossing Landbay 3")</f>
        <v>Tuscarora Crossing Landbay 3</v>
      </c>
      <c r="B1326" s="1" t="str">
        <f>IFERROR(__xludf.DUMMYFUNCTION("""COMPUTED_VALUE"""),"19560 CROSSTRAIL BLVD")</f>
        <v>19560 CROSSTRAIL BLVD</v>
      </c>
      <c r="C1326" s="1" t="str">
        <f>IFERROR(__xludf.DUMMYFUNCTION("""COMPUTED_VALUE"""),"Leesburg")</f>
        <v>Leesburg</v>
      </c>
      <c r="D1326" s="1" t="str">
        <f>IFERROR(__xludf.DUMMYFUNCTION("""COMPUTED_VALUE"""),"VA")</f>
        <v>VA</v>
      </c>
      <c r="E1326" s="1" t="str">
        <f>IFERROR(__xludf.DUMMYFUNCTION("""COMPUTED_VALUE"""),"20175")</f>
        <v>20175</v>
      </c>
      <c r="F1326" s="1" t="str">
        <f>IFERROR(__xludf.DUMMYFUNCTION("""COMPUTED_VALUE"""),"Loudoun")</f>
        <v>Loudoun</v>
      </c>
      <c r="G1326" s="1" t="str">
        <f>IFERROR(__xludf.DUMMYFUNCTION("""COMPUTED_VALUE"""),"39.077232")</f>
        <v>39.077232</v>
      </c>
      <c r="H1326" s="1" t="str">
        <f>IFERROR(__xludf.DUMMYFUNCTION("""COMPUTED_VALUE"""),"-77.533745")</f>
        <v>-77.533745</v>
      </c>
      <c r="I1326" s="1" t="str">
        <f>IFERROR(__xludf.DUMMYFUNCTION("""COMPUTED_VALUE"""),"Proposed")</f>
        <v>Proposed</v>
      </c>
      <c r="J1326" s="1" t="str">
        <f>IFERROR(__xludf.DUMMYFUNCTION("""COMPUTED_VALUE"""),"High")</f>
        <v>High</v>
      </c>
      <c r="K1326" s="1" t="str">
        <f>IFERROR(__xludf.DUMMYFUNCTION("""COMPUTED_VALUE"""),"")</f>
        <v/>
      </c>
      <c r="L1326" s="1" t="str">
        <f>IFERROR(__xludf.DUMMYFUNCTION("""COMPUTED_VALUE"""),"BlackChamber Group")</f>
        <v>BlackChamber Group</v>
      </c>
      <c r="M1326" s="1" t="str">
        <f>IFERROR(__xludf.DUMMYFUNCTION("""COMPUTED_VALUE"""),"")</f>
        <v/>
      </c>
      <c r="N1326" s="1" t="str">
        <f>IFERROR(__xludf.DUMMYFUNCTION("""COMPUTED_VALUE"""),"")</f>
        <v/>
      </c>
      <c r="O1326" s="1" t="str">
        <f>IFERROR(__xludf.DUMMYFUNCTION("""COMPUTED_VALUE"""),"Unknown")</f>
        <v>Unknown</v>
      </c>
      <c r="P1326" s="1" t="str">
        <f>IFERROR(__xludf.DUMMYFUNCTION("""COMPUTED_VALUE"""),"")</f>
        <v/>
      </c>
      <c r="Q1326" s="1" t="str">
        <f>IFERROR(__xludf.DUMMYFUNCTION("""COMPUTED_VALUE"""),"")</f>
        <v/>
      </c>
      <c r="R1326" s="1" t="str">
        <f>IFERROR(__xludf.DUMMYFUNCTION("""COMPUTED_VALUE"""),"")</f>
        <v/>
      </c>
      <c r="S1326" s="1" t="str">
        <f>IFERROR(__xludf.DUMMYFUNCTION("""COMPUTED_VALUE"""),"")</f>
        <v/>
      </c>
      <c r="T1326" s="1" t="str">
        <f>IFERROR(__xludf.DUMMYFUNCTION("""COMPUTED_VALUE"""),"")</f>
        <v/>
      </c>
      <c r="U1326" s="1" t="str">
        <f>IFERROR(__xludf.DUMMYFUNCTION("""COMPUTED_VALUE"""),"")</f>
        <v/>
      </c>
      <c r="V1326" s="1" t="str">
        <f>IFERROR(__xludf.DUMMYFUNCTION("""COMPUTED_VALUE"""),"701,400")</f>
        <v>701,400</v>
      </c>
      <c r="W1326" s="1" t="str">
        <f>IFERROR(__xludf.DUMMYFUNCTION("""COMPUTED_VALUE"""),"38")</f>
        <v>38</v>
      </c>
      <c r="X1326" s="1" t="str">
        <f>IFERROR(__xludf.DUMMYFUNCTION("""COMPUTED_VALUE"""),"")</f>
        <v/>
      </c>
      <c r="Y1326" s="1" t="str">
        <f>IFERROR(__xludf.DUMMYFUNCTION("""COMPUTED_VALUE"""),"")</f>
        <v/>
      </c>
      <c r="Z1326" s="1" t="str">
        <f>IFERROR(__xludf.DUMMYFUNCTION("""COMPUTED_VALUE"""),"Unknown")</f>
        <v>Unknown</v>
      </c>
      <c r="AA1326" s="1" t="str">
        <f>IFERROR(__xludf.DUMMYFUNCTION("""COMPUTED_VALUE"""),"")</f>
        <v/>
      </c>
      <c r="AB1326" s="1" t="str">
        <f>IFERROR(__xludf.DUMMYFUNCTION("""COMPUTED_VALUE"""),"")</f>
        <v/>
      </c>
      <c r="AC1326" s="1" t="str">
        <f>IFERROR(__xludf.DUMMYFUNCTION("""COMPUTED_VALUE"""),"")</f>
        <v/>
      </c>
      <c r="AD1326" s="1" t="str">
        <f>IFERROR(__xludf.DUMMYFUNCTION("""COMPUTED_VALUE"""),"")</f>
        <v/>
      </c>
      <c r="AE1326" s="1" t="str">
        <f>IFERROR(__xludf.DUMMYFUNCTION("""COMPUTED_VALUE"""),"")</f>
        <v/>
      </c>
      <c r="AF1326" s="1" t="str">
        <f>IFERROR(__xludf.DUMMYFUNCTION("""COMPUTED_VALUE"""),"")</f>
        <v/>
      </c>
      <c r="AG1326" s="1" t="str">
        <f>IFERROR(__xludf.DUMMYFUNCTION("""COMPUTED_VALUE"""),"Substation denied by the Planning Commission in June, 2025")</f>
        <v>Substation denied by the Planning Commission in June, 2025</v>
      </c>
      <c r="AH1326" s="1" t="str">
        <f>IFERROR(__xludf.DUMMYFUNCTION("""COMPUTED_VALUE"""),"PEC")</f>
        <v>PEC</v>
      </c>
      <c r="AI1326" s="2" t="str">
        <f>IFERROR(__xludf.DUMMYFUNCTION("""COMPUTED_VALUE"""),"https://dgtlinfra.com/blackchamber-group-data-centers-northern-virginia/")</f>
        <v>https://dgtlinfra.com/blackchamber-group-data-centers-northern-virginia/</v>
      </c>
      <c r="AJ1326" s="2" t="str">
        <f>IFERROR(__xludf.DUMMYFUNCTION("""COMPUTED_VALUE"""),"https://reparcelasmt.loudoun.gov/pt/Datalets/Datalet.aspx?UseSearch=no&amp;mode=profileall&amp;pin=150151774000&amp;jur=107&amp;taxyr=2024")</f>
        <v>https://reparcelasmt.loudoun.gov/pt/Datalets/Datalet.aspx?UseSearch=no&amp;mode=profileall&amp;pin=150151774000&amp;jur=107&amp;taxyr=2024</v>
      </c>
      <c r="AK1326" s="2" t="str">
        <f>IFERROR(__xludf.DUMMYFUNCTION("""COMPUTED_VALUE"""),"https://baxtel.com/data-center/tuscarora-crossing-campus")</f>
        <v>https://baxtel.com/data-center/tuscarora-crossing-campus</v>
      </c>
      <c r="AL1326" s="1" t="str">
        <f>IFERROR(__xludf.DUMMYFUNCTION("""COMPUTED_VALUE"""),"")</f>
        <v/>
      </c>
      <c r="AM1326" s="1" t="str">
        <f>IFERROR(__xludf.DUMMYFUNCTION("""COMPUTED_VALUE"""),"")</f>
        <v/>
      </c>
      <c r="AN1326" s="1" t="str">
        <f>IFERROR(__xludf.DUMMYFUNCTION("""COMPUTED_VALUE"""),"")</f>
        <v/>
      </c>
      <c r="AO1326" s="1" t="str">
        <f>IFERROR(__xludf.DUMMYFUNCTION("""COMPUTED_VALUE"""),"")</f>
        <v/>
      </c>
      <c r="AP1326" s="1" t="str">
        <f>IFERROR(__xludf.DUMMYFUNCTION("""COMPUTED_VALUE"""),"")</f>
        <v/>
      </c>
      <c r="AQ1326" s="1" t="str">
        <f>IFERROR(__xludf.DUMMYFUNCTION("""COMPUTED_VALUE"""),"04/10/2024")</f>
        <v>04/10/2024</v>
      </c>
      <c r="AR1326" s="1" t="str">
        <f>IFERROR(__xludf.DUMMYFUNCTION("""COMPUTED_VALUE"""),"10/17/2025")</f>
        <v>10/17/2025</v>
      </c>
    </row>
    <row r="1327">
      <c r="A1327" s="1" t="str">
        <f>IFERROR(__xludf.DUMMYFUNCTION("""COMPUTED_VALUE"""),"Villages at Leesburg")</f>
        <v>Villages at Leesburg</v>
      </c>
      <c r="B1327" s="1" t="str">
        <f>IFERROR(__xludf.DUMMYFUNCTION("""COMPUTED_VALUE"""),"42830 GOLF CLUB RD")</f>
        <v>42830 GOLF CLUB RD</v>
      </c>
      <c r="C1327" s="1" t="str">
        <f>IFERROR(__xludf.DUMMYFUNCTION("""COMPUTED_VALUE"""),"Leesburg")</f>
        <v>Leesburg</v>
      </c>
      <c r="D1327" s="1" t="str">
        <f>IFERROR(__xludf.DUMMYFUNCTION("""COMPUTED_VALUE"""),"VA")</f>
        <v>VA</v>
      </c>
      <c r="E1327" s="1" t="str">
        <f>IFERROR(__xludf.DUMMYFUNCTION("""COMPUTED_VALUE"""),"20176")</f>
        <v>20176</v>
      </c>
      <c r="F1327" s="1" t="str">
        <f>IFERROR(__xludf.DUMMYFUNCTION("""COMPUTED_VALUE"""),"Loudoun")</f>
        <v>Loudoun</v>
      </c>
      <c r="G1327" s="1" t="str">
        <f>IFERROR(__xludf.DUMMYFUNCTION("""COMPUTED_VALUE"""),"39.087734")</f>
        <v>39.087734</v>
      </c>
      <c r="H1327" s="1" t="str">
        <f>IFERROR(__xludf.DUMMYFUNCTION("""COMPUTED_VALUE"""),"-77.5195")</f>
        <v>-77.5195</v>
      </c>
      <c r="I1327" s="1" t="str">
        <f>IFERROR(__xludf.DUMMYFUNCTION("""COMPUTED_VALUE"""),"Proposed")</f>
        <v>Proposed</v>
      </c>
      <c r="J1327" s="1" t="str">
        <f>IFERROR(__xludf.DUMMYFUNCTION("""COMPUTED_VALUE"""),"High")</f>
        <v>High</v>
      </c>
      <c r="K1327" s="1" t="str">
        <f>IFERROR(__xludf.DUMMYFUNCTION("""COMPUTED_VALUE"""),"")</f>
        <v/>
      </c>
      <c r="L1327" s="1" t="str">
        <f>IFERROR(__xludf.DUMMYFUNCTION("""COMPUTED_VALUE"""),"STACK INFRASTRUCTURE")</f>
        <v>STACK INFRASTRUCTURE</v>
      </c>
      <c r="M1327" s="1" t="str">
        <f>IFERROR(__xludf.DUMMYFUNCTION("""COMPUTED_VALUE"""),"")</f>
        <v/>
      </c>
      <c r="N1327" s="1" t="str">
        <f>IFERROR(__xludf.DUMMYFUNCTION("""COMPUTED_VALUE"""),"")</f>
        <v/>
      </c>
      <c r="O1327" s="1" t="str">
        <f>IFERROR(__xludf.DUMMYFUNCTION("""COMPUTED_VALUE"""),"Unknown")</f>
        <v>Unknown</v>
      </c>
      <c r="P1327" s="1" t="str">
        <f>IFERROR(__xludf.DUMMYFUNCTION("""COMPUTED_VALUE"""),"")</f>
        <v/>
      </c>
      <c r="Q1327" s="1" t="str">
        <f>IFERROR(__xludf.DUMMYFUNCTION("""COMPUTED_VALUE"""),"")</f>
        <v/>
      </c>
      <c r="R1327" s="1" t="str">
        <f>IFERROR(__xludf.DUMMYFUNCTION("""COMPUTED_VALUE"""),"")</f>
        <v/>
      </c>
      <c r="S1327" s="1" t="str">
        <f>IFERROR(__xludf.DUMMYFUNCTION("""COMPUTED_VALUE"""),"")</f>
        <v/>
      </c>
      <c r="T1327" s="1" t="str">
        <f>IFERROR(__xludf.DUMMYFUNCTION("""COMPUTED_VALUE"""),"")</f>
        <v/>
      </c>
      <c r="U1327" s="1" t="str">
        <f>IFERROR(__xludf.DUMMYFUNCTION("""COMPUTED_VALUE"""),"")</f>
        <v/>
      </c>
      <c r="V1327" s="1" t="str">
        <f>IFERROR(__xludf.DUMMYFUNCTION("""COMPUTED_VALUE"""),"250,000")</f>
        <v>250,000</v>
      </c>
      <c r="W1327" s="1" t="str">
        <f>IFERROR(__xludf.DUMMYFUNCTION("""COMPUTED_VALUE"""),"34")</f>
        <v>34</v>
      </c>
      <c r="X1327" s="1" t="str">
        <f>IFERROR(__xludf.DUMMYFUNCTION("""COMPUTED_VALUE"""),"")</f>
        <v/>
      </c>
      <c r="Y1327" s="1" t="str">
        <f>IFERROR(__xludf.DUMMYFUNCTION("""COMPUTED_VALUE"""),"")</f>
        <v/>
      </c>
      <c r="Z1327" s="1" t="str">
        <f>IFERROR(__xludf.DUMMYFUNCTION("""COMPUTED_VALUE"""),"Unknown")</f>
        <v>Unknown</v>
      </c>
      <c r="AA1327" s="1" t="str">
        <f>IFERROR(__xludf.DUMMYFUNCTION("""COMPUTED_VALUE"""),"")</f>
        <v/>
      </c>
      <c r="AB1327" s="1" t="str">
        <f>IFERROR(__xludf.DUMMYFUNCTION("""COMPUTED_VALUE"""),"")</f>
        <v/>
      </c>
      <c r="AC1327" s="1" t="str">
        <f>IFERROR(__xludf.DUMMYFUNCTION("""COMPUTED_VALUE"""),"")</f>
        <v/>
      </c>
      <c r="AD1327" s="1" t="str">
        <f>IFERROR(__xludf.DUMMYFUNCTION("""COMPUTED_VALUE"""),"")</f>
        <v/>
      </c>
      <c r="AE1327" s="1" t="str">
        <f>IFERROR(__xludf.DUMMYFUNCTION("""COMPUTED_VALUE"""),"")</f>
        <v/>
      </c>
      <c r="AF1327" s="1" t="str">
        <f>IFERROR(__xludf.DUMMYFUNCTION("""COMPUTED_VALUE"""),"")</f>
        <v/>
      </c>
      <c r="AG1327" s="1" t="str">
        <f>IFERROR(__xludf.DUMMYFUNCTION("""COMPUTED_VALUE"""),"Project covers more than one parcel, the acreage represents the combined acreage")</f>
        <v>Project covers more than one parcel, the acreage represents the combined acreage</v>
      </c>
      <c r="AH1327" s="1" t="str">
        <f>IFERROR(__xludf.DUMMYFUNCTION("""COMPUTED_VALUE"""),"PEC")</f>
        <v>PEC</v>
      </c>
      <c r="AI1327" s="2" t="str">
        <f>IFERROR(__xludf.DUMMYFUNCTION("""COMPUTED_VALUE"""),"https://www.loudountimes.com/0local-or-not/1local/leesburg-town-council-approves-first-data-center/article_568da46e-d674-11ee-90ca-17b0a49acf18.html#:~:text=0-,A%20map%20shows%20the%2034%2Dacre%20property%20in%20the%20Village,by%20the%20Leesburg%20Town%20"&amp;"Council.&amp;text=The%20Leesburg%20Town%20Council%20voted%206%2D1%20Feb.")</f>
        <v>https://www.loudountimes.com/0local-or-not/1local/leesburg-town-council-approves-first-data-center/article_568da46e-d674-11ee-90ca-17b0a49acf18.html#:~:text=0-,A%20map%20shows%20the%2034%2Dacre%20property%20in%20the%20Village,by%20the%20Leesburg%20Town%20Council.&amp;text=The%20Leesburg%20Town%20Council%20voted%206%2D1%20Feb.</v>
      </c>
      <c r="AJ1327" s="2" t="str">
        <f>IFERROR(__xludf.DUMMYFUNCTION("""COMPUTED_VALUE"""),"https://reparcelasmt.loudoun.gov/pt/Datalets/Datalet.aspx?UseSearch=no&amp;mode=profileall&amp;pin=149192542000&amp;jur=107&amp;taxyr=2024")</f>
        <v>https://reparcelasmt.loudoun.gov/pt/Datalets/Datalet.aspx?UseSearch=no&amp;mode=profileall&amp;pin=149192542000&amp;jur=107&amp;taxyr=2024</v>
      </c>
      <c r="AK1327" s="1" t="str">
        <f>IFERROR(__xludf.DUMMYFUNCTION("""COMPUTED_VALUE"""),"")</f>
        <v/>
      </c>
      <c r="AL1327" s="1" t="str">
        <f>IFERROR(__xludf.DUMMYFUNCTION("""COMPUTED_VALUE"""),"")</f>
        <v/>
      </c>
      <c r="AM1327" s="1" t="str">
        <f>IFERROR(__xludf.DUMMYFUNCTION("""COMPUTED_VALUE"""),"")</f>
        <v/>
      </c>
      <c r="AN1327" s="1" t="str">
        <f>IFERROR(__xludf.DUMMYFUNCTION("""COMPUTED_VALUE"""),"")</f>
        <v/>
      </c>
      <c r="AO1327" s="1" t="str">
        <f>IFERROR(__xludf.DUMMYFUNCTION("""COMPUTED_VALUE"""),"")</f>
        <v/>
      </c>
      <c r="AP1327" s="1" t="str">
        <f>IFERROR(__xludf.DUMMYFUNCTION("""COMPUTED_VALUE"""),"")</f>
        <v/>
      </c>
      <c r="AQ1327" s="1" t="str">
        <f>IFERROR(__xludf.DUMMYFUNCTION("""COMPUTED_VALUE"""),"08/06/2025")</f>
        <v>08/06/2025</v>
      </c>
      <c r="AR1327" s="1" t="str">
        <f>IFERROR(__xludf.DUMMYFUNCTION("""COMPUTED_VALUE"""),"10/17/2025")</f>
        <v>10/17/2025</v>
      </c>
    </row>
    <row r="1328">
      <c r="A1328" s="1" t="str">
        <f>IFERROR(__xludf.DUMMYFUNCTION("""COMPUTED_VALUE"""),"Spring Valley Technology Park")</f>
        <v>Spring Valley Technology Park</v>
      </c>
      <c r="B1328" s="1" t="str">
        <f>IFERROR(__xludf.DUMMYFUNCTION("""COMPUTED_VALUE"""),"22532 EVERGREEN MILLS RD")</f>
        <v>22532 EVERGREEN MILLS RD</v>
      </c>
      <c r="C1328" s="1" t="str">
        <f>IFERROR(__xludf.DUMMYFUNCTION("""COMPUTED_VALUE"""),"LEESBURG")</f>
        <v>LEESBURG</v>
      </c>
      <c r="D1328" s="1" t="str">
        <f>IFERROR(__xludf.DUMMYFUNCTION("""COMPUTED_VALUE"""),"VA")</f>
        <v>VA</v>
      </c>
      <c r="E1328" s="1" t="str">
        <f>IFERROR(__xludf.DUMMYFUNCTION("""COMPUTED_VALUE"""),"20175")</f>
        <v>20175</v>
      </c>
      <c r="F1328" s="1" t="str">
        <f>IFERROR(__xludf.DUMMYFUNCTION("""COMPUTED_VALUE"""),"Loudoun")</f>
        <v>Loudoun</v>
      </c>
      <c r="G1328" s="1" t="str">
        <f>IFERROR(__xludf.DUMMYFUNCTION("""COMPUTED_VALUE"""),"39.001057")</f>
        <v>39.001057</v>
      </c>
      <c r="H1328" s="1" t="str">
        <f>IFERROR(__xludf.DUMMYFUNCTION("""COMPUTED_VALUE"""),"-77.57126")</f>
        <v>-77.57126</v>
      </c>
      <c r="I1328" s="1" t="str">
        <f>IFERROR(__xludf.DUMMYFUNCTION("""COMPUTED_VALUE"""),"Proposed")</f>
        <v>Proposed</v>
      </c>
      <c r="J1328" s="1" t="str">
        <f>IFERROR(__xludf.DUMMYFUNCTION("""COMPUTED_VALUE"""),"High")</f>
        <v>High</v>
      </c>
      <c r="K1328" s="1" t="str">
        <f>IFERROR(__xludf.DUMMYFUNCTION("""COMPUTED_VALUE"""),"")</f>
        <v/>
      </c>
      <c r="L1328" s="1" t="str">
        <f>IFERROR(__xludf.DUMMYFUNCTION("""COMPUTED_VALUE"""),"")</f>
        <v/>
      </c>
      <c r="M1328" s="1" t="str">
        <f>IFERROR(__xludf.DUMMYFUNCTION("""COMPUTED_VALUE"""),"")</f>
        <v/>
      </c>
      <c r="N1328" s="1" t="str">
        <f>IFERROR(__xludf.DUMMYFUNCTION("""COMPUTED_VALUE"""),"")</f>
        <v/>
      </c>
      <c r="O1328" s="1" t="str">
        <f>IFERROR(__xludf.DUMMYFUNCTION("""COMPUTED_VALUE"""),"Unknown")</f>
        <v>Unknown</v>
      </c>
      <c r="P1328" s="1" t="str">
        <f>IFERROR(__xludf.DUMMYFUNCTION("""COMPUTED_VALUE"""),"")</f>
        <v/>
      </c>
      <c r="Q1328" s="1" t="str">
        <f>IFERROR(__xludf.DUMMYFUNCTION("""COMPUTED_VALUE"""),"")</f>
        <v/>
      </c>
      <c r="R1328" s="1" t="str">
        <f>IFERROR(__xludf.DUMMYFUNCTION("""COMPUTED_VALUE"""),"")</f>
        <v/>
      </c>
      <c r="S1328" s="1" t="str">
        <f>IFERROR(__xludf.DUMMYFUNCTION("""COMPUTED_VALUE"""),"")</f>
        <v/>
      </c>
      <c r="T1328" s="1" t="str">
        <f>IFERROR(__xludf.DUMMYFUNCTION("""COMPUTED_VALUE"""),"")</f>
        <v/>
      </c>
      <c r="U1328" s="1" t="str">
        <f>IFERROR(__xludf.DUMMYFUNCTION("""COMPUTED_VALUE"""),"")</f>
        <v/>
      </c>
      <c r="V1328" s="1" t="str">
        <f>IFERROR(__xludf.DUMMYFUNCTION("""COMPUTED_VALUE"""),"3,483,902")</f>
        <v>3,483,902</v>
      </c>
      <c r="W1328" s="1" t="str">
        <f>IFERROR(__xludf.DUMMYFUNCTION("""COMPUTED_VALUE"""),"362")</f>
        <v>362</v>
      </c>
      <c r="X1328" s="1" t="str">
        <f>IFERROR(__xludf.DUMMYFUNCTION("""COMPUTED_VALUE"""),"")</f>
        <v/>
      </c>
      <c r="Y1328" s="1" t="str">
        <f>IFERROR(__xludf.DUMMYFUNCTION("""COMPUTED_VALUE"""),"")</f>
        <v/>
      </c>
      <c r="Z1328" s="1" t="str">
        <f>IFERROR(__xludf.DUMMYFUNCTION("""COMPUTED_VALUE"""),"Unknown")</f>
        <v>Unknown</v>
      </c>
      <c r="AA1328" s="1" t="str">
        <f>IFERROR(__xludf.DUMMYFUNCTION("""COMPUTED_VALUE"""),"")</f>
        <v/>
      </c>
      <c r="AB1328" s="1" t="str">
        <f>IFERROR(__xludf.DUMMYFUNCTION("""COMPUTED_VALUE"""),"")</f>
        <v/>
      </c>
      <c r="AC1328" s="1" t="str">
        <f>IFERROR(__xludf.DUMMYFUNCTION("""COMPUTED_VALUE"""),"")</f>
        <v/>
      </c>
      <c r="AD1328" s="1" t="str">
        <f>IFERROR(__xludf.DUMMYFUNCTION("""COMPUTED_VALUE"""),"")</f>
        <v/>
      </c>
      <c r="AE1328" s="1" t="str">
        <f>IFERROR(__xludf.DUMMYFUNCTION("""COMPUTED_VALUE"""),"")</f>
        <v/>
      </c>
      <c r="AF1328" s="1" t="str">
        <f>IFERROR(__xludf.DUMMYFUNCTION("""COMPUTED_VALUE"""),"")</f>
        <v/>
      </c>
      <c r="AG1328" s="1" t="str">
        <f>IFERROR(__xludf.DUMMYFUNCTION("""COMPUTED_VALUE"""),"Rezoning covers multiple parcels, total acreage represented here.")</f>
        <v>Rezoning covers multiple parcels, total acreage represented here.</v>
      </c>
      <c r="AH1328" s="1" t="str">
        <f>IFERROR(__xludf.DUMMYFUNCTION("""COMPUTED_VALUE"""),"PEC")</f>
        <v>PEC</v>
      </c>
      <c r="AI1328" s="2" t="str">
        <f>IFERROR(__xludf.DUMMYFUNCTION("""COMPUTED_VALUE"""),"https://loudouncountyvaeg.tylerhost.net/prod/selfservice#/plan/0167b7d9-e074-4e2e-bf05-e0599cdea1f5?tab=attachments")</f>
        <v>https://loudouncountyvaeg.tylerhost.net/prod/selfservice#/plan/0167b7d9-e074-4e2e-bf05-e0599cdea1f5?tab=attachments</v>
      </c>
      <c r="AJ1328" s="2" t="str">
        <f>IFERROR(__xludf.DUMMYFUNCTION("""COMPUTED_VALUE"""),"https://reparcelasmt.loudoun.gov/pt/Datalets/Datalet.aspx?UseSearch=no&amp;mode=profileall&amp;pin=241270467000&amp;jur=107&amp;taxyr=2025")</f>
        <v>https://reparcelasmt.loudoun.gov/pt/Datalets/Datalet.aspx?UseSearch=no&amp;mode=profileall&amp;pin=241270467000&amp;jur=107&amp;taxyr=2025</v>
      </c>
      <c r="AK1328" s="1" t="str">
        <f>IFERROR(__xludf.DUMMYFUNCTION("""COMPUTED_VALUE"""),"")</f>
        <v/>
      </c>
      <c r="AL1328" s="1" t="str">
        <f>IFERROR(__xludf.DUMMYFUNCTION("""COMPUTED_VALUE"""),"")</f>
        <v/>
      </c>
      <c r="AM1328" s="1" t="str">
        <f>IFERROR(__xludf.DUMMYFUNCTION("""COMPUTED_VALUE"""),"")</f>
        <v/>
      </c>
      <c r="AN1328" s="1" t="str">
        <f>IFERROR(__xludf.DUMMYFUNCTION("""COMPUTED_VALUE"""),"")</f>
        <v/>
      </c>
      <c r="AO1328" s="1" t="str">
        <f>IFERROR(__xludf.DUMMYFUNCTION("""COMPUTED_VALUE"""),"")</f>
        <v/>
      </c>
      <c r="AP1328" s="1" t="str">
        <f>IFERROR(__xludf.DUMMYFUNCTION("""COMPUTED_VALUE"""),"")</f>
        <v/>
      </c>
      <c r="AQ1328" s="1" t="str">
        <f>IFERROR(__xludf.DUMMYFUNCTION("""COMPUTED_VALUE"""),"08/06/2025")</f>
        <v>08/06/2025</v>
      </c>
      <c r="AR1328" s="1" t="str">
        <f>IFERROR(__xludf.DUMMYFUNCTION("""COMPUTED_VALUE"""),"10/17/2025")</f>
        <v>10/17/2025</v>
      </c>
    </row>
    <row r="1329">
      <c r="A1329" s="1" t="str">
        <f>IFERROR(__xludf.DUMMYFUNCTION("""COMPUTED_VALUE"""),"Wilderness Crossing")</f>
        <v>Wilderness Crossing</v>
      </c>
      <c r="B1329" s="1" t="str">
        <f>IFERROR(__xludf.DUMMYFUNCTION("""COMPUTED_VALUE"""),"4447 GERMANNA HWY")</f>
        <v>4447 GERMANNA HWY</v>
      </c>
      <c r="C1329" s="1" t="str">
        <f>IFERROR(__xludf.DUMMYFUNCTION("""COMPUTED_VALUE"""),"Locust Grove")</f>
        <v>Locust Grove</v>
      </c>
      <c r="D1329" s="1" t="str">
        <f>IFERROR(__xludf.DUMMYFUNCTION("""COMPUTED_VALUE"""),"VA")</f>
        <v>VA</v>
      </c>
      <c r="E1329" s="1" t="str">
        <f>IFERROR(__xludf.DUMMYFUNCTION("""COMPUTED_VALUE"""),"22508")</f>
        <v>22508</v>
      </c>
      <c r="F1329" s="1" t="str">
        <f>IFERROR(__xludf.DUMMYFUNCTION("""COMPUTED_VALUE"""),"Orange")</f>
        <v>Orange</v>
      </c>
      <c r="G1329" s="1" t="str">
        <f>IFERROR(__xludf.DUMMYFUNCTION("""COMPUTED_VALUE"""),"38.33316")</f>
        <v>38.33316</v>
      </c>
      <c r="H1329" s="1" t="str">
        <f>IFERROR(__xludf.DUMMYFUNCTION("""COMPUTED_VALUE"""),"-77.73109")</f>
        <v>-77.73109</v>
      </c>
      <c r="I1329" s="1" t="str">
        <f>IFERROR(__xludf.DUMMYFUNCTION("""COMPUTED_VALUE"""),"Proposed")</f>
        <v>Proposed</v>
      </c>
      <c r="J1329" s="1" t="str">
        <f>IFERROR(__xludf.DUMMYFUNCTION("""COMPUTED_VALUE"""),"High")</f>
        <v>High</v>
      </c>
      <c r="K1329" s="1" t="str">
        <f>IFERROR(__xludf.DUMMYFUNCTION("""COMPUTED_VALUE"""),"")</f>
        <v/>
      </c>
      <c r="L1329" s="1" t="str">
        <f>IFERROR(__xludf.DUMMYFUNCTION("""COMPUTED_VALUE"""),"Amazon")</f>
        <v>Amazon</v>
      </c>
      <c r="M1329" s="1" t="str">
        <f>IFERROR(__xludf.DUMMYFUNCTION("""COMPUTED_VALUE"""),"")</f>
        <v/>
      </c>
      <c r="N1329" s="1" t="str">
        <f>IFERROR(__xludf.DUMMYFUNCTION("""COMPUTED_VALUE"""),"")</f>
        <v/>
      </c>
      <c r="O1329" s="1" t="str">
        <f>IFERROR(__xludf.DUMMYFUNCTION("""COMPUTED_VALUE"""),"Unknown")</f>
        <v>Unknown</v>
      </c>
      <c r="P1329" s="1" t="str">
        <f>IFERROR(__xludf.DUMMYFUNCTION("""COMPUTED_VALUE"""),"")</f>
        <v/>
      </c>
      <c r="Q1329" s="1" t="str">
        <f>IFERROR(__xludf.DUMMYFUNCTION("""COMPUTED_VALUE"""),"")</f>
        <v/>
      </c>
      <c r="R1329" s="1" t="str">
        <f>IFERROR(__xludf.DUMMYFUNCTION("""COMPUTED_VALUE"""),"")</f>
        <v/>
      </c>
      <c r="S1329" s="1" t="str">
        <f>IFERROR(__xludf.DUMMYFUNCTION("""COMPUTED_VALUE"""),"")</f>
        <v/>
      </c>
      <c r="T1329" s="1" t="str">
        <f>IFERROR(__xludf.DUMMYFUNCTION("""COMPUTED_VALUE"""),"")</f>
        <v/>
      </c>
      <c r="U1329" s="1" t="str">
        <f>IFERROR(__xludf.DUMMYFUNCTION("""COMPUTED_VALUE"""),"")</f>
        <v/>
      </c>
      <c r="V1329" s="1" t="str">
        <f>IFERROR(__xludf.DUMMYFUNCTION("""COMPUTED_VALUE"""),"5,000,000")</f>
        <v>5,000,000</v>
      </c>
      <c r="W1329" s="1" t="str">
        <f>IFERROR(__xludf.DUMMYFUNCTION("""COMPUTED_VALUE"""),"2600")</f>
        <v>2600</v>
      </c>
      <c r="X1329" s="1" t="str">
        <f>IFERROR(__xludf.DUMMYFUNCTION("""COMPUTED_VALUE"""),"")</f>
        <v/>
      </c>
      <c r="Y1329" s="1" t="str">
        <f>IFERROR(__xludf.DUMMYFUNCTION("""COMPUTED_VALUE"""),"")</f>
        <v/>
      </c>
      <c r="Z1329" s="1" t="str">
        <f>IFERROR(__xludf.DUMMYFUNCTION("""COMPUTED_VALUE"""),"Unknown")</f>
        <v>Unknown</v>
      </c>
      <c r="AA1329" s="1" t="str">
        <f>IFERROR(__xludf.DUMMYFUNCTION("""COMPUTED_VALUE"""),"")</f>
        <v/>
      </c>
      <c r="AB1329" s="1" t="str">
        <f>IFERROR(__xludf.DUMMYFUNCTION("""COMPUTED_VALUE"""),"")</f>
        <v/>
      </c>
      <c r="AC1329" s="1" t="str">
        <f>IFERROR(__xludf.DUMMYFUNCTION("""COMPUTED_VALUE"""),"")</f>
        <v/>
      </c>
      <c r="AD1329" s="1" t="str">
        <f>IFERROR(__xludf.DUMMYFUNCTION("""COMPUTED_VALUE"""),"")</f>
        <v/>
      </c>
      <c r="AE1329" s="1" t="str">
        <f>IFERROR(__xludf.DUMMYFUNCTION("""COMPUTED_VALUE"""),"")</f>
        <v/>
      </c>
      <c r="AF1329" s="1" t="str">
        <f>IFERROR(__xludf.DUMMYFUNCTION("""COMPUTED_VALUE"""),"")</f>
        <v/>
      </c>
      <c r="AG1329" s="1" t="str">
        <f>IFERROR(__xludf.DUMMYFUNCTION("""COMPUTED_VALUE"""),"This project covers multiple parcels. The total acreage has been represented here.")</f>
        <v>This project covers multiple parcels. The total acreage has been represented here.</v>
      </c>
      <c r="AH1329" s="1" t="str">
        <f>IFERROR(__xludf.DUMMYFUNCTION("""COMPUTED_VALUE"""),"PEC")</f>
        <v>PEC</v>
      </c>
      <c r="AI1329" s="2" t="str">
        <f>IFERROR(__xludf.DUMMYFUNCTION("""COMPUTED_VALUE"""),"https://www.battlefields.org/preserve/speak-out/fight-continues-wilderness-battlefield")</f>
        <v>https://www.battlefields.org/preserve/speak-out/fight-continues-wilderness-battlefield</v>
      </c>
      <c r="AJ1329" s="2" t="str">
        <f>IFERROR(__xludf.DUMMYFUNCTION("""COMPUTED_VALUE"""),"https://orange.cama.concisesystems.com/PropertyPage.aspx?id=5295&amp;direct=1")</f>
        <v>https://orange.cama.concisesystems.com/PropertyPage.aspx?id=5295&amp;direct=1</v>
      </c>
      <c r="AK1329" s="1" t="str">
        <f>IFERROR(__xludf.DUMMYFUNCTION("""COMPUTED_VALUE"""),"")</f>
        <v/>
      </c>
      <c r="AL1329" s="1" t="str">
        <f>IFERROR(__xludf.DUMMYFUNCTION("""COMPUTED_VALUE"""),"")</f>
        <v/>
      </c>
      <c r="AM1329" s="1" t="str">
        <f>IFERROR(__xludf.DUMMYFUNCTION("""COMPUTED_VALUE"""),"")</f>
        <v/>
      </c>
      <c r="AN1329" s="1" t="str">
        <f>IFERROR(__xludf.DUMMYFUNCTION("""COMPUTED_VALUE"""),"")</f>
        <v/>
      </c>
      <c r="AO1329" s="1" t="str">
        <f>IFERROR(__xludf.DUMMYFUNCTION("""COMPUTED_VALUE"""),"")</f>
        <v/>
      </c>
      <c r="AP1329" s="1" t="str">
        <f>IFERROR(__xludf.DUMMYFUNCTION("""COMPUTED_VALUE"""),"")</f>
        <v/>
      </c>
      <c r="AQ1329" s="1" t="str">
        <f>IFERROR(__xludf.DUMMYFUNCTION("""COMPUTED_VALUE"""),"04/10/2024")</f>
        <v>04/10/2024</v>
      </c>
      <c r="AR1329" s="1" t="str">
        <f>IFERROR(__xludf.DUMMYFUNCTION("""COMPUTED_VALUE"""),"10/17/2025")</f>
        <v>10/17/2025</v>
      </c>
    </row>
    <row r="1330">
      <c r="A1330" s="1" t="str">
        <f>IFERROR(__xludf.DUMMYFUNCTION("""COMPUTED_VALUE"""),"Amazon Data Center")</f>
        <v>Amazon Data Center</v>
      </c>
      <c r="B1330" s="1" t="str">
        <f>IFERROR(__xludf.DUMMYFUNCTION("""COMPUTED_VALUE"""),"Hwy 33")</f>
        <v>Hwy 33</v>
      </c>
      <c r="C1330" s="1" t="str">
        <f>IFERROR(__xludf.DUMMYFUNCTION("""COMPUTED_VALUE"""),"Louisa")</f>
        <v>Louisa</v>
      </c>
      <c r="D1330" s="1" t="str">
        <f>IFERROR(__xludf.DUMMYFUNCTION("""COMPUTED_VALUE"""),"VA")</f>
        <v>VA</v>
      </c>
      <c r="E1330" s="1" t="str">
        <f>IFERROR(__xludf.DUMMYFUNCTION("""COMPUTED_VALUE"""),"23093")</f>
        <v>23093</v>
      </c>
      <c r="F1330" s="1" t="str">
        <f>IFERROR(__xludf.DUMMYFUNCTION("""COMPUTED_VALUE"""),"Louisa")</f>
        <v>Louisa</v>
      </c>
      <c r="G1330" s="1" t="str">
        <f>IFERROR(__xludf.DUMMYFUNCTION("""COMPUTED_VALUE"""),"37.98242")</f>
        <v>37.98242</v>
      </c>
      <c r="H1330" s="1" t="str">
        <f>IFERROR(__xludf.DUMMYFUNCTION("""COMPUTED_VALUE"""),"-77.9511")</f>
        <v>-77.9511</v>
      </c>
      <c r="I1330" s="1" t="str">
        <f>IFERROR(__xludf.DUMMYFUNCTION("""COMPUTED_VALUE"""),"Proposed")</f>
        <v>Proposed</v>
      </c>
      <c r="J1330" s="1" t="str">
        <f>IFERROR(__xludf.DUMMYFUNCTION("""COMPUTED_VALUE"""),"Medium")</f>
        <v>Medium</v>
      </c>
      <c r="K1330" s="1" t="str">
        <f>IFERROR(__xludf.DUMMYFUNCTION("""COMPUTED_VALUE"""),"")</f>
        <v/>
      </c>
      <c r="L1330" s="1" t="str">
        <f>IFERROR(__xludf.DUMMYFUNCTION("""COMPUTED_VALUE"""),"Amazon")</f>
        <v>Amazon</v>
      </c>
      <c r="M1330" s="1" t="str">
        <f>IFERROR(__xludf.DUMMYFUNCTION("""COMPUTED_VALUE"""),"")</f>
        <v/>
      </c>
      <c r="N1330" s="1" t="str">
        <f>IFERROR(__xludf.DUMMYFUNCTION("""COMPUTED_VALUE"""),"")</f>
        <v/>
      </c>
      <c r="O1330" s="1" t="str">
        <f>IFERROR(__xludf.DUMMYFUNCTION("""COMPUTED_VALUE"""),"Unknown")</f>
        <v>Unknown</v>
      </c>
      <c r="P1330" s="1" t="str">
        <f>IFERROR(__xludf.DUMMYFUNCTION("""COMPUTED_VALUE"""),"")</f>
        <v/>
      </c>
      <c r="Q1330" s="1" t="str">
        <f>IFERROR(__xludf.DUMMYFUNCTION("""COMPUTED_VALUE"""),"")</f>
        <v/>
      </c>
      <c r="R1330" s="1" t="str">
        <f>IFERROR(__xludf.DUMMYFUNCTION("""COMPUTED_VALUE"""),"")</f>
        <v/>
      </c>
      <c r="S1330" s="1" t="str">
        <f>IFERROR(__xludf.DUMMYFUNCTION("""COMPUTED_VALUE"""),"")</f>
        <v/>
      </c>
      <c r="T1330" s="1" t="str">
        <f>IFERROR(__xludf.DUMMYFUNCTION("""COMPUTED_VALUE"""),"")</f>
        <v/>
      </c>
      <c r="U1330" s="1" t="str">
        <f>IFERROR(__xludf.DUMMYFUNCTION("""COMPUTED_VALUE"""),"")</f>
        <v/>
      </c>
      <c r="V1330" s="1" t="str">
        <f>IFERROR(__xludf.DUMMYFUNCTION("""COMPUTED_VALUE"""),"3,800,000")</f>
        <v>3,800,000</v>
      </c>
      <c r="W1330" s="1" t="str">
        <f>IFERROR(__xludf.DUMMYFUNCTION("""COMPUTED_VALUE"""),"374")</f>
        <v>374</v>
      </c>
      <c r="X1330" s="1" t="str">
        <f>IFERROR(__xludf.DUMMYFUNCTION("""COMPUTED_VALUE"""),"")</f>
        <v/>
      </c>
      <c r="Y1330" s="1" t="str">
        <f>IFERROR(__xludf.DUMMYFUNCTION("""COMPUTED_VALUE"""),"")</f>
        <v/>
      </c>
      <c r="Z1330" s="1" t="str">
        <f>IFERROR(__xludf.DUMMYFUNCTION("""COMPUTED_VALUE"""),"Unknown")</f>
        <v>Unknown</v>
      </c>
      <c r="AA1330" s="1" t="str">
        <f>IFERROR(__xludf.DUMMYFUNCTION("""COMPUTED_VALUE"""),"")</f>
        <v/>
      </c>
      <c r="AB1330" s="1" t="str">
        <f>IFERROR(__xludf.DUMMYFUNCTION("""COMPUTED_VALUE"""),"")</f>
        <v/>
      </c>
      <c r="AC1330" s="1" t="str">
        <f>IFERROR(__xludf.DUMMYFUNCTION("""COMPUTED_VALUE"""),"")</f>
        <v/>
      </c>
      <c r="AD1330" s="1" t="str">
        <f>IFERROR(__xludf.DUMMYFUNCTION("""COMPUTED_VALUE"""),"")</f>
        <v/>
      </c>
      <c r="AE1330" s="1" t="str">
        <f>IFERROR(__xludf.DUMMYFUNCTION("""COMPUTED_VALUE"""),"")</f>
        <v/>
      </c>
      <c r="AF1330" s="1" t="str">
        <f>IFERROR(__xludf.DUMMYFUNCTION("""COMPUTED_VALUE"""),"")</f>
        <v/>
      </c>
      <c r="AG1330" s="1" t="str">
        <f>IFERROR(__xludf.DUMMYFUNCTION("""COMPUTED_VALUE"""),"")</f>
        <v/>
      </c>
      <c r="AH1330" s="1" t="str">
        <f>IFERROR(__xludf.DUMMYFUNCTION("""COMPUTED_VALUE"""),"Media Monitoring")</f>
        <v>Media Monitoring</v>
      </c>
      <c r="AI1330" s="2" t="str">
        <f>IFERROR(__xludf.DUMMYFUNCTION("""COMPUTED_VALUE"""),"https://www.datacenterdynamics.com/en/news/amazon-files-for-38-million-sq-ft-data-center-campus-in-louisa-county-virginia/")</f>
        <v>https://www.datacenterdynamics.com/en/news/amazon-files-for-38-million-sq-ft-data-center-campus-in-louisa-county-virginia/</v>
      </c>
      <c r="AJ1330" s="1" t="str">
        <f>IFERROR(__xludf.DUMMYFUNCTION("""COMPUTED_VALUE"""),"")</f>
        <v/>
      </c>
      <c r="AK1330" s="1" t="str">
        <f>IFERROR(__xludf.DUMMYFUNCTION("""COMPUTED_VALUE"""),"")</f>
        <v/>
      </c>
      <c r="AL1330" s="1" t="str">
        <f>IFERROR(__xludf.DUMMYFUNCTION("""COMPUTED_VALUE"""),"")</f>
        <v/>
      </c>
      <c r="AM1330" s="1" t="str">
        <f>IFERROR(__xludf.DUMMYFUNCTION("""COMPUTED_VALUE"""),"")</f>
        <v/>
      </c>
      <c r="AN1330" s="1" t="str">
        <f>IFERROR(__xludf.DUMMYFUNCTION("""COMPUTED_VALUE"""),"")</f>
        <v/>
      </c>
      <c r="AO1330" s="1" t="str">
        <f>IFERROR(__xludf.DUMMYFUNCTION("""COMPUTED_VALUE"""),"")</f>
        <v/>
      </c>
      <c r="AP1330" s="1" t="str">
        <f>IFERROR(__xludf.DUMMYFUNCTION("""COMPUTED_VALUE"""),"")</f>
        <v/>
      </c>
      <c r="AQ1330" s="1" t="str">
        <f>IFERROR(__xludf.DUMMYFUNCTION("""COMPUTED_VALUE"""),"06/10/2025")</f>
        <v>06/10/2025</v>
      </c>
      <c r="AR1330" s="1" t="str">
        <f>IFERROR(__xludf.DUMMYFUNCTION("""COMPUTED_VALUE"""),"06/10/2025")</f>
        <v>06/10/2025</v>
      </c>
    </row>
    <row r="1331">
      <c r="A1331" s="1" t="str">
        <f>IFERROR(__xludf.DUMMYFUNCTION("""COMPUTED_VALUE"""),"North Creek Tech Campus")</f>
        <v>North Creek Tech Campus</v>
      </c>
      <c r="B1331" s="1" t="str">
        <f>IFERROR(__xludf.DUMMYFUNCTION("""COMPUTED_VALUE"""),"Mount Airy Rd")</f>
        <v>Mount Airy Rd</v>
      </c>
      <c r="C1331" s="1" t="str">
        <f>IFERROR(__xludf.DUMMYFUNCTION("""COMPUTED_VALUE"""),"Louisa")</f>
        <v>Louisa</v>
      </c>
      <c r="D1331" s="1" t="str">
        <f>IFERROR(__xludf.DUMMYFUNCTION("""COMPUTED_VALUE"""),"VA")</f>
        <v>VA</v>
      </c>
      <c r="E1331" s="1" t="str">
        <f>IFERROR(__xludf.DUMMYFUNCTION("""COMPUTED_VALUE"""),"23093")</f>
        <v>23093</v>
      </c>
      <c r="F1331" s="1" t="str">
        <f>IFERROR(__xludf.DUMMYFUNCTION("""COMPUTED_VALUE"""),"Louisa")</f>
        <v>Louisa</v>
      </c>
      <c r="G1331" s="1" t="str">
        <f>IFERROR(__xludf.DUMMYFUNCTION("""COMPUTED_VALUE"""),"37.968376")</f>
        <v>37.968376</v>
      </c>
      <c r="H1331" s="1" t="str">
        <f>IFERROR(__xludf.DUMMYFUNCTION("""COMPUTED_VALUE"""),"-77.95334")</f>
        <v>-77.95334</v>
      </c>
      <c r="I1331" s="1" t="str">
        <f>IFERROR(__xludf.DUMMYFUNCTION("""COMPUTED_VALUE"""),"Proposed")</f>
        <v>Proposed</v>
      </c>
      <c r="J1331" s="1" t="str">
        <f>IFERROR(__xludf.DUMMYFUNCTION("""COMPUTED_VALUE"""),"Medium")</f>
        <v>Medium</v>
      </c>
      <c r="K1331" s="1" t="str">
        <f>IFERROR(__xludf.DUMMYFUNCTION("""COMPUTED_VALUE"""),"")</f>
        <v/>
      </c>
      <c r="L1331" s="1" t="str">
        <f>IFERROR(__xludf.DUMMYFUNCTION("""COMPUTED_VALUE"""),"Amazon")</f>
        <v>Amazon</v>
      </c>
      <c r="M1331" s="1" t="str">
        <f>IFERROR(__xludf.DUMMYFUNCTION("""COMPUTED_VALUE"""),"")</f>
        <v/>
      </c>
      <c r="N1331" s="1" t="str">
        <f>IFERROR(__xludf.DUMMYFUNCTION("""COMPUTED_VALUE"""),"")</f>
        <v/>
      </c>
      <c r="O1331" s="1" t="str">
        <f>IFERROR(__xludf.DUMMYFUNCTION("""COMPUTED_VALUE"""),"Unknown")</f>
        <v>Unknown</v>
      </c>
      <c r="P1331" s="1" t="str">
        <f>IFERROR(__xludf.DUMMYFUNCTION("""COMPUTED_VALUE"""),"")</f>
        <v/>
      </c>
      <c r="Q1331" s="1" t="str">
        <f>IFERROR(__xludf.DUMMYFUNCTION("""COMPUTED_VALUE"""),"")</f>
        <v/>
      </c>
      <c r="R1331" s="1" t="str">
        <f>IFERROR(__xludf.DUMMYFUNCTION("""COMPUTED_VALUE"""),"")</f>
        <v/>
      </c>
      <c r="S1331" s="1" t="str">
        <f>IFERROR(__xludf.DUMMYFUNCTION("""COMPUTED_VALUE"""),"")</f>
        <v/>
      </c>
      <c r="T1331" s="1" t="str">
        <f>IFERROR(__xludf.DUMMYFUNCTION("""COMPUTED_VALUE"""),"")</f>
        <v/>
      </c>
      <c r="U1331" s="1" t="str">
        <f>IFERROR(__xludf.DUMMYFUNCTION("""COMPUTED_VALUE"""),"")</f>
        <v/>
      </c>
      <c r="V1331" s="1" t="str">
        <f>IFERROR(__xludf.DUMMYFUNCTION("""COMPUTED_VALUE"""),"8,700,000")</f>
        <v>8,700,000</v>
      </c>
      <c r="W1331" s="1" t="str">
        <f>IFERROR(__xludf.DUMMYFUNCTION("""COMPUTED_VALUE"""),"1400")</f>
        <v>1400</v>
      </c>
      <c r="X1331" s="1" t="str">
        <f>IFERROR(__xludf.DUMMYFUNCTION("""COMPUTED_VALUE"""),"")</f>
        <v/>
      </c>
      <c r="Y1331" s="1" t="str">
        <f>IFERROR(__xludf.DUMMYFUNCTION("""COMPUTED_VALUE"""),"")</f>
        <v/>
      </c>
      <c r="Z1331" s="1" t="str">
        <f>IFERROR(__xludf.DUMMYFUNCTION("""COMPUTED_VALUE"""),"Unknown")</f>
        <v>Unknown</v>
      </c>
      <c r="AA1331" s="1" t="str">
        <f>IFERROR(__xludf.DUMMYFUNCTION("""COMPUTED_VALUE"""),"")</f>
        <v/>
      </c>
      <c r="AB1331" s="1" t="str">
        <f>IFERROR(__xludf.DUMMYFUNCTION("""COMPUTED_VALUE"""),"")</f>
        <v/>
      </c>
      <c r="AC1331" s="1" t="str">
        <f>IFERROR(__xludf.DUMMYFUNCTION("""COMPUTED_VALUE"""),"")</f>
        <v/>
      </c>
      <c r="AD1331" s="1" t="str">
        <f>IFERROR(__xludf.DUMMYFUNCTION("""COMPUTED_VALUE"""),"")</f>
        <v/>
      </c>
      <c r="AE1331" s="1" t="str">
        <f>IFERROR(__xludf.DUMMYFUNCTION("""COMPUTED_VALUE"""),"")</f>
        <v/>
      </c>
      <c r="AF1331" s="1" t="str">
        <f>IFERROR(__xludf.DUMMYFUNCTION("""COMPUTED_VALUE"""),"")</f>
        <v/>
      </c>
      <c r="AG1331" s="1" t="str">
        <f>IFERROR(__xludf.DUMMYFUNCTION("""COMPUTED_VALUE"""),"This project covers multiple parcels. The total acreage has been represented here.")</f>
        <v>This project covers multiple parcels. The total acreage has been represented here.</v>
      </c>
      <c r="AH1331" s="1" t="str">
        <f>IFERROR(__xludf.DUMMYFUNCTION("""COMPUTED_VALUE"""),"PEC")</f>
        <v>PEC</v>
      </c>
      <c r="AI1331" s="2" t="str">
        <f>IFERROR(__xludf.DUMMYFUNCTION("""COMPUTED_VALUE"""),"https://www.louisacounty.gov/faq.aspx?qid=275")</f>
        <v>https://www.louisacounty.gov/faq.aspx?qid=275</v>
      </c>
      <c r="AJ1331" s="1" t="str">
        <f>IFERROR(__xludf.DUMMYFUNCTION("""COMPUTED_VALUE"""),"")</f>
        <v/>
      </c>
      <c r="AK1331" s="1" t="str">
        <f>IFERROR(__xludf.DUMMYFUNCTION("""COMPUTED_VALUE"""),"")</f>
        <v/>
      </c>
      <c r="AL1331" s="1" t="str">
        <f>IFERROR(__xludf.DUMMYFUNCTION("""COMPUTED_VALUE"""),"")</f>
        <v/>
      </c>
      <c r="AM1331" s="1" t="str">
        <f>IFERROR(__xludf.DUMMYFUNCTION("""COMPUTED_VALUE"""),"")</f>
        <v/>
      </c>
      <c r="AN1331" s="1" t="str">
        <f>IFERROR(__xludf.DUMMYFUNCTION("""COMPUTED_VALUE"""),"")</f>
        <v/>
      </c>
      <c r="AO1331" s="1" t="str">
        <f>IFERROR(__xludf.DUMMYFUNCTION("""COMPUTED_VALUE"""),"")</f>
        <v/>
      </c>
      <c r="AP1331" s="1" t="str">
        <f>IFERROR(__xludf.DUMMYFUNCTION("""COMPUTED_VALUE"""),"")</f>
        <v/>
      </c>
      <c r="AQ1331" s="1" t="str">
        <f>IFERROR(__xludf.DUMMYFUNCTION("""COMPUTED_VALUE"""),"04/10/2024")</f>
        <v>04/10/2024</v>
      </c>
      <c r="AR1331" s="1" t="str">
        <f>IFERROR(__xludf.DUMMYFUNCTION("""COMPUTED_VALUE"""),"10/17/2025")</f>
        <v>10/17/2025</v>
      </c>
    </row>
    <row r="1332">
      <c r="A1332" s="1" t="str">
        <f>IFERROR(__xludf.DUMMYFUNCTION("""COMPUTED_VALUE"""),"Amazon Data Center")</f>
        <v>Amazon Data Center</v>
      </c>
      <c r="B1332" s="1" t="str">
        <f>IFERROR(__xludf.DUMMYFUNCTION("""COMPUTED_VALUE"""),"between Kennon and School Bus Rds")</f>
        <v>between Kennon and School Bus Rds</v>
      </c>
      <c r="C1332" s="1" t="str">
        <f>IFERROR(__xludf.DUMMYFUNCTION("""COMPUTED_VALUE"""),"Louisa County")</f>
        <v>Louisa County</v>
      </c>
      <c r="D1332" s="1" t="str">
        <f>IFERROR(__xludf.DUMMYFUNCTION("""COMPUTED_VALUE"""),"VA")</f>
        <v>VA</v>
      </c>
      <c r="E1332" s="1" t="str">
        <f>IFERROR(__xludf.DUMMYFUNCTION("""COMPUTED_VALUE"""),"23117")</f>
        <v>23117</v>
      </c>
      <c r="F1332" s="1" t="str">
        <f>IFERROR(__xludf.DUMMYFUNCTION("""COMPUTED_VALUE"""),"Louisa")</f>
        <v>Louisa</v>
      </c>
      <c r="G1332" s="1" t="str">
        <f>IFERROR(__xludf.DUMMYFUNCTION("""COMPUTED_VALUE"""),"38.00263")</f>
        <v>38.00263</v>
      </c>
      <c r="H1332" s="1" t="str">
        <f>IFERROR(__xludf.DUMMYFUNCTION("""COMPUTED_VALUE"""),"-77.94")</f>
        <v>-77.94</v>
      </c>
      <c r="I1332" s="1" t="str">
        <f>IFERROR(__xludf.DUMMYFUNCTION("""COMPUTED_VALUE"""),"Cancelled")</f>
        <v>Cancelled</v>
      </c>
      <c r="J1332" s="1" t="str">
        <f>IFERROR(__xludf.DUMMYFUNCTION("""COMPUTED_VALUE"""),"High")</f>
        <v>High</v>
      </c>
      <c r="K1332" s="1" t="str">
        <f>IFERROR(__xludf.DUMMYFUNCTION("""COMPUTED_VALUE"""),"")</f>
        <v/>
      </c>
      <c r="L1332" s="1" t="str">
        <f>IFERROR(__xludf.DUMMYFUNCTION("""COMPUTED_VALUE"""),"Amazon")</f>
        <v>Amazon</v>
      </c>
      <c r="M1332" s="1" t="str">
        <f>IFERROR(__xludf.DUMMYFUNCTION("""COMPUTED_VALUE"""),"")</f>
        <v/>
      </c>
      <c r="N1332" s="1" t="str">
        <f>IFERROR(__xludf.DUMMYFUNCTION("""COMPUTED_VALUE"""),"")</f>
        <v/>
      </c>
      <c r="O1332" s="1" t="str">
        <f>IFERROR(__xludf.DUMMYFUNCTION("""COMPUTED_VALUE"""),"Unknown")</f>
        <v>Unknown</v>
      </c>
      <c r="P1332" s="1" t="str">
        <f>IFERROR(__xludf.DUMMYFUNCTION("""COMPUTED_VALUE"""),"")</f>
        <v/>
      </c>
      <c r="Q1332" s="1" t="str">
        <f>IFERROR(__xludf.DUMMYFUNCTION("""COMPUTED_VALUE"""),"")</f>
        <v/>
      </c>
      <c r="R1332" s="1" t="str">
        <f>IFERROR(__xludf.DUMMYFUNCTION("""COMPUTED_VALUE"""),"")</f>
        <v/>
      </c>
      <c r="S1332" s="1" t="str">
        <f>IFERROR(__xludf.DUMMYFUNCTION("""COMPUTED_VALUE"""),"")</f>
        <v/>
      </c>
      <c r="T1332" s="1" t="str">
        <f>IFERROR(__xludf.DUMMYFUNCTION("""COMPUTED_VALUE"""),"")</f>
        <v/>
      </c>
      <c r="U1332" s="1" t="str">
        <f>IFERROR(__xludf.DUMMYFUNCTION("""COMPUTED_VALUE"""),"")</f>
        <v/>
      </c>
      <c r="V1332" s="1" t="str">
        <f>IFERROR(__xludf.DUMMYFUNCTION("""COMPUTED_VALUE"""),"7,200,000")</f>
        <v>7,200,000</v>
      </c>
      <c r="W1332" s="1" t="str">
        <f>IFERROR(__xludf.DUMMYFUNCTION("""COMPUTED_VALUE"""),"1374")</f>
        <v>1374</v>
      </c>
      <c r="X1332" s="1" t="str">
        <f>IFERROR(__xludf.DUMMYFUNCTION("""COMPUTED_VALUE"""),"")</f>
        <v/>
      </c>
      <c r="Y1332" s="1" t="str">
        <f>IFERROR(__xludf.DUMMYFUNCTION("""COMPUTED_VALUE"""),"")</f>
        <v/>
      </c>
      <c r="Z1332" s="1" t="str">
        <f>IFERROR(__xludf.DUMMYFUNCTION("""COMPUTED_VALUE"""),"Unknown")</f>
        <v>Unknown</v>
      </c>
      <c r="AA1332" s="1" t="str">
        <f>IFERROR(__xludf.DUMMYFUNCTION("""COMPUTED_VALUE"""),"")</f>
        <v/>
      </c>
      <c r="AB1332" s="1" t="str">
        <f>IFERROR(__xludf.DUMMYFUNCTION("""COMPUTED_VALUE"""),"")</f>
        <v/>
      </c>
      <c r="AC1332" s="1" t="str">
        <f>IFERROR(__xludf.DUMMYFUNCTION("""COMPUTED_VALUE"""),"")</f>
        <v/>
      </c>
      <c r="AD1332" s="1" t="str">
        <f>IFERROR(__xludf.DUMMYFUNCTION("""COMPUTED_VALUE"""),"")</f>
        <v/>
      </c>
      <c r="AE1332" s="1" t="str">
        <f>IFERROR(__xludf.DUMMYFUNCTION("""COMPUTED_VALUE"""),"")</f>
        <v/>
      </c>
      <c r="AF1332" s="1" t="str">
        <f>IFERROR(__xludf.DUMMYFUNCTION("""COMPUTED_VALUE"""),"")</f>
        <v/>
      </c>
      <c r="AG1332" s="1" t="str">
        <f>IFERROR(__xludf.DUMMYFUNCTION("""COMPUTED_VALUE"""),"")</f>
        <v/>
      </c>
      <c r="AH1332" s="1" t="str">
        <f>IFERROR(__xludf.DUMMYFUNCTION("""COMPUTED_VALUE"""),"Media Monitoring")</f>
        <v>Media Monitoring</v>
      </c>
      <c r="AI1332" s="2" t="str">
        <f>IFERROR(__xludf.DUMMYFUNCTION("""COMPUTED_VALUE"""),"https://www.bisnow.com/national/news/data-center/amazon-planning-1370-acre-virginia-data-center-campus-129714")</f>
        <v>https://www.bisnow.com/national/news/data-center/amazon-planning-1370-acre-virginia-data-center-campus-129714</v>
      </c>
      <c r="AJ1332" s="2" t="str">
        <f>IFERROR(__xludf.DUMMYFUNCTION("""COMPUTED_VALUE"""),"https://tammypurcell.substack.com/p/breaking-amazon-proposes-third-data")</f>
        <v>https://tammypurcell.substack.com/p/breaking-amazon-proposes-third-data</v>
      </c>
      <c r="AK1332" s="2" t="str">
        <f>IFERROR(__xludf.DUMMYFUNCTION("""COMPUTED_VALUE"""),"https://virginiamercury.com/2025/07/28/amazon-pulls-louisa-county-data-center-proposal-after-strong-resistance/")</f>
        <v>https://virginiamercury.com/2025/07/28/amazon-pulls-louisa-county-data-center-proposal-after-strong-resistance/</v>
      </c>
      <c r="AL1332" s="1" t="str">
        <f>IFERROR(__xludf.DUMMYFUNCTION("""COMPUTED_VALUE"""),"")</f>
        <v/>
      </c>
      <c r="AM1332" s="1" t="str">
        <f>IFERROR(__xludf.DUMMYFUNCTION("""COMPUTED_VALUE"""),"")</f>
        <v/>
      </c>
      <c r="AN1332" s="1" t="str">
        <f>IFERROR(__xludf.DUMMYFUNCTION("""COMPUTED_VALUE"""),"")</f>
        <v/>
      </c>
      <c r="AO1332" s="1" t="str">
        <f>IFERROR(__xludf.DUMMYFUNCTION("""COMPUTED_VALUE"""),"")</f>
        <v/>
      </c>
      <c r="AP1332" s="1" t="str">
        <f>IFERROR(__xludf.DUMMYFUNCTION("""COMPUTED_VALUE"""),"")</f>
        <v/>
      </c>
      <c r="AQ1332" s="1" t="str">
        <f>IFERROR(__xludf.DUMMYFUNCTION("""COMPUTED_VALUE"""),"07/28/2025")</f>
        <v>07/28/2025</v>
      </c>
      <c r="AR1332" s="1" t="str">
        <f>IFERROR(__xludf.DUMMYFUNCTION("""COMPUTED_VALUE"""),"07/28/2025")</f>
        <v>07/28/2025</v>
      </c>
    </row>
    <row r="1333">
      <c r="A1333" s="1" t="str">
        <f>IFERROR(__xludf.DUMMYFUNCTION("""COMPUTED_VALUE"""),"Desper Creek Technology Campus (AWS Data Center)")</f>
        <v>Desper Creek Technology Campus (AWS Data Center)</v>
      </c>
      <c r="B1333" s="1" t="str">
        <f>IFERROR(__xludf.DUMMYFUNCTION("""COMPUTED_VALUE"""),"Betw Mt Airy Rd and US-33")</f>
        <v>Betw Mt Airy Rd and US-33</v>
      </c>
      <c r="C1333" s="1" t="str">
        <f>IFERROR(__xludf.DUMMYFUNCTION("""COMPUTED_VALUE"""),"Louisa County")</f>
        <v>Louisa County</v>
      </c>
      <c r="D1333" s="1" t="str">
        <f>IFERROR(__xludf.DUMMYFUNCTION("""COMPUTED_VALUE"""),"VA")</f>
        <v>VA</v>
      </c>
      <c r="E1333" s="1" t="str">
        <f>IFERROR(__xludf.DUMMYFUNCTION("""COMPUTED_VALUE"""),"23093")</f>
        <v>23093</v>
      </c>
      <c r="F1333" s="1" t="str">
        <f>IFERROR(__xludf.DUMMYFUNCTION("""COMPUTED_VALUE"""),"Louisa")</f>
        <v>Louisa</v>
      </c>
      <c r="G1333" s="1" t="str">
        <f>IFERROR(__xludf.DUMMYFUNCTION("""COMPUTED_VALUE"""),"37.97047")</f>
        <v>37.97047</v>
      </c>
      <c r="H1333" s="1" t="str">
        <f>IFERROR(__xludf.DUMMYFUNCTION("""COMPUTED_VALUE"""),"-77.9546")</f>
        <v>-77.9546</v>
      </c>
      <c r="I1333" s="1" t="str">
        <f>IFERROR(__xludf.DUMMYFUNCTION("""COMPUTED_VALUE"""),"Proposed")</f>
        <v>Proposed</v>
      </c>
      <c r="J1333" s="1" t="str">
        <f>IFERROR(__xludf.DUMMYFUNCTION("""COMPUTED_VALUE"""),"High")</f>
        <v>High</v>
      </c>
      <c r="K1333" s="1" t="str">
        <f>IFERROR(__xludf.DUMMYFUNCTION("""COMPUTED_VALUE"""),"")</f>
        <v/>
      </c>
      <c r="L1333" s="1" t="str">
        <f>IFERROR(__xludf.DUMMYFUNCTION("""COMPUTED_VALUE"""),"")</f>
        <v/>
      </c>
      <c r="M1333" s="1" t="str">
        <f>IFERROR(__xludf.DUMMYFUNCTION("""COMPUTED_VALUE"""),"")</f>
        <v/>
      </c>
      <c r="N1333" s="1" t="str">
        <f>IFERROR(__xludf.DUMMYFUNCTION("""COMPUTED_VALUE"""),"")</f>
        <v/>
      </c>
      <c r="O1333" s="1" t="str">
        <f>IFERROR(__xludf.DUMMYFUNCTION("""COMPUTED_VALUE"""),"Unknown")</f>
        <v>Unknown</v>
      </c>
      <c r="P1333" s="1" t="str">
        <f>IFERROR(__xludf.DUMMYFUNCTION("""COMPUTED_VALUE"""),"")</f>
        <v/>
      </c>
      <c r="Q1333" s="1" t="str">
        <f>IFERROR(__xludf.DUMMYFUNCTION("""COMPUTED_VALUE"""),"")</f>
        <v/>
      </c>
      <c r="R1333" s="1" t="str">
        <f>IFERROR(__xludf.DUMMYFUNCTION("""COMPUTED_VALUE"""),"")</f>
        <v/>
      </c>
      <c r="S1333" s="1" t="str">
        <f>IFERROR(__xludf.DUMMYFUNCTION("""COMPUTED_VALUE"""),"")</f>
        <v/>
      </c>
      <c r="T1333" s="1" t="str">
        <f>IFERROR(__xludf.DUMMYFUNCTION("""COMPUTED_VALUE"""),"")</f>
        <v/>
      </c>
      <c r="U1333" s="1" t="str">
        <f>IFERROR(__xludf.DUMMYFUNCTION("""COMPUTED_VALUE"""),"")</f>
        <v/>
      </c>
      <c r="V1333" s="1" t="str">
        <f>IFERROR(__xludf.DUMMYFUNCTION("""COMPUTED_VALUE"""),"")</f>
        <v/>
      </c>
      <c r="W1333" s="1" t="str">
        <f>IFERROR(__xludf.DUMMYFUNCTION("""COMPUTED_VALUE"""),"140")</f>
        <v>140</v>
      </c>
      <c r="X1333" s="1" t="str">
        <f>IFERROR(__xludf.DUMMYFUNCTION("""COMPUTED_VALUE"""),"")</f>
        <v/>
      </c>
      <c r="Y1333" s="1" t="str">
        <f>IFERROR(__xludf.DUMMYFUNCTION("""COMPUTED_VALUE"""),"")</f>
        <v/>
      </c>
      <c r="Z1333" s="1" t="str">
        <f>IFERROR(__xludf.DUMMYFUNCTION("""COMPUTED_VALUE"""),"Unknown")</f>
        <v>Unknown</v>
      </c>
      <c r="AA1333" s="1" t="str">
        <f>IFERROR(__xludf.DUMMYFUNCTION("""COMPUTED_VALUE"""),"")</f>
        <v/>
      </c>
      <c r="AB1333" s="1" t="str">
        <f>IFERROR(__xludf.DUMMYFUNCTION("""COMPUTED_VALUE"""),"")</f>
        <v/>
      </c>
      <c r="AC1333" s="1" t="str">
        <f>IFERROR(__xludf.DUMMYFUNCTION("""COMPUTED_VALUE"""),"")</f>
        <v/>
      </c>
      <c r="AD1333" s="1" t="str">
        <f>IFERROR(__xludf.DUMMYFUNCTION("""COMPUTED_VALUE"""),"")</f>
        <v/>
      </c>
      <c r="AE1333" s="1" t="str">
        <f>IFERROR(__xludf.DUMMYFUNCTION("""COMPUTED_VALUE"""),"")</f>
        <v/>
      </c>
      <c r="AF1333" s="1" t="str">
        <f>IFERROR(__xludf.DUMMYFUNCTION("""COMPUTED_VALUE"""),"")</f>
        <v/>
      </c>
      <c r="AG1333" s="1" t="str">
        <f>IFERROR(__xludf.DUMMYFUNCTION("""COMPUTED_VALUE"""),"")</f>
        <v/>
      </c>
      <c r="AH1333" s="1" t="str">
        <f>IFERROR(__xludf.DUMMYFUNCTION("""COMPUTED_VALUE"""),"Media Monitoring")</f>
        <v>Media Monitoring</v>
      </c>
      <c r="AI1333" s="2" t="str">
        <f>IFERROR(__xludf.DUMMYFUNCTION("""COMPUTED_VALUE"""),"https://www.datacenterdynamics.com/en/news/aws-seeks-permit-for-another-data-center-campus-in-louisa-county-virginia/")</f>
        <v>https://www.datacenterdynamics.com/en/news/aws-seeks-permit-for-another-data-center-campus-in-louisa-county-virginia/</v>
      </c>
      <c r="AJ1333" s="1" t="str">
        <f>IFERROR(__xludf.DUMMYFUNCTION("""COMPUTED_VALUE"""),"")</f>
        <v/>
      </c>
      <c r="AK1333" s="1" t="str">
        <f>IFERROR(__xludf.DUMMYFUNCTION("""COMPUTED_VALUE"""),"")</f>
        <v/>
      </c>
      <c r="AL1333" s="1" t="str">
        <f>IFERROR(__xludf.DUMMYFUNCTION("""COMPUTED_VALUE"""),"")</f>
        <v/>
      </c>
      <c r="AM1333" s="1" t="str">
        <f>IFERROR(__xludf.DUMMYFUNCTION("""COMPUTED_VALUE"""),"")</f>
        <v/>
      </c>
      <c r="AN1333" s="1" t="str">
        <f>IFERROR(__xludf.DUMMYFUNCTION("""COMPUTED_VALUE"""),"")</f>
        <v/>
      </c>
      <c r="AO1333" s="1" t="str">
        <f>IFERROR(__xludf.DUMMYFUNCTION("""COMPUTED_VALUE"""),"")</f>
        <v/>
      </c>
      <c r="AP1333" s="1" t="str">
        <f>IFERROR(__xludf.DUMMYFUNCTION("""COMPUTED_VALUE"""),"")</f>
        <v/>
      </c>
      <c r="AQ1333" s="1" t="str">
        <f>IFERROR(__xludf.DUMMYFUNCTION("""COMPUTED_VALUE"""),"09/19/2025")</f>
        <v>09/19/2025</v>
      </c>
      <c r="AR1333" s="1" t="str">
        <f>IFERROR(__xludf.DUMMYFUNCTION("""COMPUTED_VALUE"""),"09/19/2025")</f>
        <v>09/19/2025</v>
      </c>
    </row>
    <row r="1334">
      <c r="A1334" s="1" t="str">
        <f>IFERROR(__xludf.DUMMYFUNCTION("""COMPUTED_VALUE"""),"Data center")</f>
        <v>Data center</v>
      </c>
      <c r="B1334" s="1" t="str">
        <f>IFERROR(__xludf.DUMMYFUNCTION("""COMPUTED_VALUE"""),"Cabin Field Rd and Richmond Hwy")</f>
        <v>Cabin Field Rd and Richmond Hwy</v>
      </c>
      <c r="C1334" s="1" t="str">
        <f>IFERROR(__xludf.DUMMYFUNCTION("""COMPUTED_VALUE"""),"Lynchburg")</f>
        <v>Lynchburg</v>
      </c>
      <c r="D1334" s="1" t="str">
        <f>IFERROR(__xludf.DUMMYFUNCTION("""COMPUTED_VALUE"""),"VA")</f>
        <v>VA</v>
      </c>
      <c r="E1334" s="1" t="str">
        <f>IFERROR(__xludf.DUMMYFUNCTION("""COMPUTED_VALUE"""),"24504")</f>
        <v>24504</v>
      </c>
      <c r="F1334" s="1" t="str">
        <f>IFERROR(__xludf.DUMMYFUNCTION("""COMPUTED_VALUE"""),"Campbell County")</f>
        <v>Campbell County</v>
      </c>
      <c r="G1334" s="1" t="str">
        <f>IFERROR(__xludf.DUMMYFUNCTION("""COMPUTED_VALUE"""),"37.3761")</f>
        <v>37.3761</v>
      </c>
      <c r="H1334" s="1" t="str">
        <f>IFERROR(__xludf.DUMMYFUNCTION("""COMPUTED_VALUE"""),"-79.0327")</f>
        <v>-79.0327</v>
      </c>
      <c r="I1334" s="1" t="str">
        <f>IFERROR(__xludf.DUMMYFUNCTION("""COMPUTED_VALUE"""),"Cancelled")</f>
        <v>Cancelled</v>
      </c>
      <c r="J1334" s="1" t="str">
        <f>IFERROR(__xludf.DUMMYFUNCTION("""COMPUTED_VALUE"""),"High")</f>
        <v>High</v>
      </c>
      <c r="K1334" s="1" t="str">
        <f>IFERROR(__xludf.DUMMYFUNCTION("""COMPUTED_VALUE"""),"")</f>
        <v/>
      </c>
      <c r="L1334" s="1" t="str">
        <f>IFERROR(__xludf.DUMMYFUNCTION("""COMPUTED_VALUE"""),"")</f>
        <v/>
      </c>
      <c r="M1334" s="1" t="str">
        <f>IFERROR(__xludf.DUMMYFUNCTION("""COMPUTED_VALUE"""),"")</f>
        <v/>
      </c>
      <c r="N1334" s="1" t="str">
        <f>IFERROR(__xludf.DUMMYFUNCTION("""COMPUTED_VALUE"""),"")</f>
        <v/>
      </c>
      <c r="O1334" s="1" t="str">
        <f>IFERROR(__xludf.DUMMYFUNCTION("""COMPUTED_VALUE"""),"Unknown")</f>
        <v>Unknown</v>
      </c>
      <c r="P1334" s="1" t="str">
        <f>IFERROR(__xludf.DUMMYFUNCTION("""COMPUTED_VALUE"""),"")</f>
        <v/>
      </c>
      <c r="Q1334" s="1" t="str">
        <f>IFERROR(__xludf.DUMMYFUNCTION("""COMPUTED_VALUE"""),"")</f>
        <v/>
      </c>
      <c r="R1334" s="1" t="str">
        <f>IFERROR(__xludf.DUMMYFUNCTION("""COMPUTED_VALUE"""),"")</f>
        <v/>
      </c>
      <c r="S1334" s="1" t="str">
        <f>IFERROR(__xludf.DUMMYFUNCTION("""COMPUTED_VALUE"""),"3")</f>
        <v>3</v>
      </c>
      <c r="T1334" s="1" t="str">
        <f>IFERROR(__xludf.DUMMYFUNCTION("""COMPUTED_VALUE"""),"")</f>
        <v/>
      </c>
      <c r="U1334" s="1" t="str">
        <f>IFERROR(__xludf.DUMMYFUNCTION("""COMPUTED_VALUE"""),"")</f>
        <v/>
      </c>
      <c r="V1334" s="1" t="str">
        <f>IFERROR(__xludf.DUMMYFUNCTION("""COMPUTED_VALUE"""),"450,000")</f>
        <v>450,000</v>
      </c>
      <c r="W1334" s="1" t="str">
        <f>IFERROR(__xludf.DUMMYFUNCTION("""COMPUTED_VALUE"""),"57")</f>
        <v>57</v>
      </c>
      <c r="X1334" s="1" t="str">
        <f>IFERROR(__xludf.DUMMYFUNCTION("""COMPUTED_VALUE"""),"")</f>
        <v/>
      </c>
      <c r="Y1334" s="1" t="str">
        <f>IFERROR(__xludf.DUMMYFUNCTION("""COMPUTED_VALUE"""),"")</f>
        <v/>
      </c>
      <c r="Z1334" s="1" t="str">
        <f>IFERROR(__xludf.DUMMYFUNCTION("""COMPUTED_VALUE"""),"Unknown")</f>
        <v>Unknown</v>
      </c>
      <c r="AA1334" s="1" t="str">
        <f>IFERROR(__xludf.DUMMYFUNCTION("""COMPUTED_VALUE"""),"")</f>
        <v/>
      </c>
      <c r="AB1334" s="1" t="str">
        <f>IFERROR(__xludf.DUMMYFUNCTION("""COMPUTED_VALUE"""),"")</f>
        <v/>
      </c>
      <c r="AC1334" s="1" t="str">
        <f>IFERROR(__xludf.DUMMYFUNCTION("""COMPUTED_VALUE"""),"")</f>
        <v/>
      </c>
      <c r="AD1334" s="1" t="str">
        <f>IFERROR(__xludf.DUMMYFUNCTION("""COMPUTED_VALUE"""),"")</f>
        <v/>
      </c>
      <c r="AE1334" s="1" t="str">
        <f>IFERROR(__xludf.DUMMYFUNCTION("""COMPUTED_VALUE"""),"")</f>
        <v/>
      </c>
      <c r="AF1334" s="1" t="str">
        <f>IFERROR(__xludf.DUMMYFUNCTION("""COMPUTED_VALUE"""),"")</f>
        <v/>
      </c>
      <c r="AG1334" s="1" t="str">
        <f>IFERROR(__xludf.DUMMYFUNCTION("""COMPUTED_VALUE"""),"Supervisors urged to reject")</f>
        <v>Supervisors urged to reject</v>
      </c>
      <c r="AH1334" s="1" t="str">
        <f>IFERROR(__xludf.DUMMYFUNCTION("""COMPUTED_VALUE"""),"Media Monitoring")</f>
        <v>Media Monitoring</v>
      </c>
      <c r="AI1334" s="2" t="str">
        <f>IFERROR(__xludf.DUMMYFUNCTION("""COMPUTED_VALUE"""),"https://wset.com/news/local/campbell-county-supervisors-urged-to-reject-data-center-proposal-amid-concerns-september-2025-cabin-field-road-concord-route-460")</f>
        <v>https://wset.com/news/local/campbell-county-supervisors-urged-to-reject-data-center-proposal-amid-concerns-september-2025-cabin-field-road-concord-route-460</v>
      </c>
      <c r="AJ1334" s="2" t="str">
        <f>IFERROR(__xludf.DUMMYFUNCTION("""COMPUTED_VALUE"""),"https://www.datacenterdynamics.com/en/news/data-center-plan-for-campbell-county-virginia-rejected/")</f>
        <v>https://www.datacenterdynamics.com/en/news/data-center-plan-for-campbell-county-virginia-rejected/</v>
      </c>
      <c r="AK1334" s="2" t="str">
        <f>IFERROR(__xludf.DUMMYFUNCTION("""COMPUTED_VALUE"""),"https://wset.com/news/local/campbell-county-faces-data-center-proposals-as-residents-call-for-stricter-regulations-route-460-concord-cabin-field-road-mesh-capital-llc-supervisor-matthew-kline-november-2025")</f>
        <v>https://wset.com/news/local/campbell-county-faces-data-center-proposals-as-residents-call-for-stricter-regulations-route-460-concord-cabin-field-road-mesh-capital-llc-supervisor-matthew-kline-november-2025</v>
      </c>
      <c r="AL1334" s="1" t="str">
        <f>IFERROR(__xludf.DUMMYFUNCTION("""COMPUTED_VALUE"""),"")</f>
        <v/>
      </c>
      <c r="AM1334" s="1" t="str">
        <f>IFERROR(__xludf.DUMMYFUNCTION("""COMPUTED_VALUE"""),"")</f>
        <v/>
      </c>
      <c r="AN1334" s="1" t="str">
        <f>IFERROR(__xludf.DUMMYFUNCTION("""COMPUTED_VALUE"""),"")</f>
        <v/>
      </c>
      <c r="AO1334" s="1" t="str">
        <f>IFERROR(__xludf.DUMMYFUNCTION("""COMPUTED_VALUE"""),"")</f>
        <v/>
      </c>
      <c r="AP1334" s="1" t="str">
        <f>IFERROR(__xludf.DUMMYFUNCTION("""COMPUTED_VALUE"""),"")</f>
        <v/>
      </c>
      <c r="AQ1334" s="1" t="str">
        <f>IFERROR(__xludf.DUMMYFUNCTION("""COMPUTED_VALUE"""),"09/19/2025")</f>
        <v>09/19/2025</v>
      </c>
      <c r="AR1334" s="1" t="str">
        <f>IFERROR(__xludf.DUMMYFUNCTION("""COMPUTED_VALUE"""),"11/16/2025")</f>
        <v>11/16/2025</v>
      </c>
    </row>
    <row r="1335">
      <c r="A1335" s="1" t="str">
        <f>IFERROR(__xludf.DUMMYFUNCTION("""COMPUTED_VALUE"""),"9001 Hornbaker Rd")</f>
        <v>9001 Hornbaker Rd</v>
      </c>
      <c r="B1335" s="1" t="str">
        <f>IFERROR(__xludf.DUMMYFUNCTION("""COMPUTED_VALUE"""),"9001 HORNBAKER RD")</f>
        <v>9001 HORNBAKER RD</v>
      </c>
      <c r="C1335" s="1" t="str">
        <f>IFERROR(__xludf.DUMMYFUNCTION("""COMPUTED_VALUE"""),"Manassas")</f>
        <v>Manassas</v>
      </c>
      <c r="D1335" s="1" t="str">
        <f>IFERROR(__xludf.DUMMYFUNCTION("""COMPUTED_VALUE"""),"VA")</f>
        <v>VA</v>
      </c>
      <c r="E1335" s="1" t="str">
        <f>IFERROR(__xludf.DUMMYFUNCTION("""COMPUTED_VALUE"""),"20109")</f>
        <v>20109</v>
      </c>
      <c r="F1335" s="1" t="str">
        <f>IFERROR(__xludf.DUMMYFUNCTION("""COMPUTED_VALUE"""),"Prince William")</f>
        <v>Prince William</v>
      </c>
      <c r="G1335" s="1" t="str">
        <f>IFERROR(__xludf.DUMMYFUNCTION("""COMPUTED_VALUE"""),"38.762554")</f>
        <v>38.762554</v>
      </c>
      <c r="H1335" s="1" t="str">
        <f>IFERROR(__xludf.DUMMYFUNCTION("""COMPUTED_VALUE"""),"-77.53385")</f>
        <v>-77.53385</v>
      </c>
      <c r="I1335" s="1" t="str">
        <f>IFERROR(__xludf.DUMMYFUNCTION("""COMPUTED_VALUE"""),"Proposed")</f>
        <v>Proposed</v>
      </c>
      <c r="J1335" s="1" t="str">
        <f>IFERROR(__xludf.DUMMYFUNCTION("""COMPUTED_VALUE"""),"High")</f>
        <v>High</v>
      </c>
      <c r="K1335" s="1" t="str">
        <f>IFERROR(__xludf.DUMMYFUNCTION("""COMPUTED_VALUE"""),"")</f>
        <v/>
      </c>
      <c r="L1335" s="1" t="str">
        <f>IFERROR(__xludf.DUMMYFUNCTION("""COMPUTED_VALUE"""),"")</f>
        <v/>
      </c>
      <c r="M1335" s="1" t="str">
        <f>IFERROR(__xludf.DUMMYFUNCTION("""COMPUTED_VALUE"""),"")</f>
        <v/>
      </c>
      <c r="N1335" s="1" t="str">
        <f>IFERROR(__xludf.DUMMYFUNCTION("""COMPUTED_VALUE"""),"")</f>
        <v/>
      </c>
      <c r="O1335" s="1" t="str">
        <f>IFERROR(__xludf.DUMMYFUNCTION("""COMPUTED_VALUE"""),"Unknown")</f>
        <v>Unknown</v>
      </c>
      <c r="P1335" s="1" t="str">
        <f>IFERROR(__xludf.DUMMYFUNCTION("""COMPUTED_VALUE"""),"")</f>
        <v/>
      </c>
      <c r="Q1335" s="1" t="str">
        <f>IFERROR(__xludf.DUMMYFUNCTION("""COMPUTED_VALUE"""),"")</f>
        <v/>
      </c>
      <c r="R1335" s="1" t="str">
        <f>IFERROR(__xludf.DUMMYFUNCTION("""COMPUTED_VALUE"""),"")</f>
        <v/>
      </c>
      <c r="S1335" s="1" t="str">
        <f>IFERROR(__xludf.DUMMYFUNCTION("""COMPUTED_VALUE"""),"")</f>
        <v/>
      </c>
      <c r="T1335" s="1" t="str">
        <f>IFERROR(__xludf.DUMMYFUNCTION("""COMPUTED_VALUE"""),"")</f>
        <v/>
      </c>
      <c r="U1335" s="1" t="str">
        <f>IFERROR(__xludf.DUMMYFUNCTION("""COMPUTED_VALUE"""),"")</f>
        <v/>
      </c>
      <c r="V1335" s="1" t="str">
        <f>IFERROR(__xludf.DUMMYFUNCTION("""COMPUTED_VALUE"""),"871,518")</f>
        <v>871,518</v>
      </c>
      <c r="W1335" s="1" t="str">
        <f>IFERROR(__xludf.DUMMYFUNCTION("""COMPUTED_VALUE"""),"40")</f>
        <v>40</v>
      </c>
      <c r="X1335" s="1" t="str">
        <f>IFERROR(__xludf.DUMMYFUNCTION("""COMPUTED_VALUE"""),"")</f>
        <v/>
      </c>
      <c r="Y1335" s="1" t="str">
        <f>IFERROR(__xludf.DUMMYFUNCTION("""COMPUTED_VALUE"""),"")</f>
        <v/>
      </c>
      <c r="Z1335" s="1" t="str">
        <f>IFERROR(__xludf.DUMMYFUNCTION("""COMPUTED_VALUE"""),"Unknown")</f>
        <v>Unknown</v>
      </c>
      <c r="AA1335" s="1" t="str">
        <f>IFERROR(__xludf.DUMMYFUNCTION("""COMPUTED_VALUE"""),"")</f>
        <v/>
      </c>
      <c r="AB1335" s="1" t="str">
        <f>IFERROR(__xludf.DUMMYFUNCTION("""COMPUTED_VALUE"""),"")</f>
        <v/>
      </c>
      <c r="AC1335" s="1" t="str">
        <f>IFERROR(__xludf.DUMMYFUNCTION("""COMPUTED_VALUE"""),"")</f>
        <v/>
      </c>
      <c r="AD1335" s="1" t="str">
        <f>IFERROR(__xludf.DUMMYFUNCTION("""COMPUTED_VALUE"""),"")</f>
        <v/>
      </c>
      <c r="AE1335" s="1" t="str">
        <f>IFERROR(__xludf.DUMMYFUNCTION("""COMPUTED_VALUE"""),"")</f>
        <v/>
      </c>
      <c r="AF1335" s="1" t="str">
        <f>IFERROR(__xludf.DUMMYFUNCTION("""COMPUTED_VALUE"""),"")</f>
        <v/>
      </c>
      <c r="AG1335" s="1" t="str">
        <f>IFERROR(__xludf.DUMMYFUNCTION("""COMPUTED_VALUE"""),"")</f>
        <v/>
      </c>
      <c r="AH1335" s="1" t="str">
        <f>IFERROR(__xludf.DUMMYFUNCTION("""COMPUTED_VALUE"""),"PEC")</f>
        <v>PEC</v>
      </c>
      <c r="AI1335" s="2" t="str">
        <f>IFERROR(__xludf.DUMMYFUNCTION("""COMPUTED_VALUE"""),"https://egcss.pwcgov.org/SelfService#/plan/a0b0e2d0-2ccb-47b1-ab3f-3275db071d01?tab=attachments")</f>
        <v>https://egcss.pwcgov.org/SelfService#/plan/a0b0e2d0-2ccb-47b1-ab3f-3275db071d01?tab=attachments</v>
      </c>
      <c r="AJ1335" s="2" t="str">
        <f>IFERROR(__xludf.DUMMYFUNCTION("""COMPUTED_VALUE"""),"https://pwc.publicaccessnow.com/PropertyDetail.aspx?mtab=property&amp;mpropertynumber=114479")</f>
        <v>https://pwc.publicaccessnow.com/PropertyDetail.aspx?mtab=property&amp;mpropertynumber=114479</v>
      </c>
      <c r="AK1335" s="1" t="str">
        <f>IFERROR(__xludf.DUMMYFUNCTION("""COMPUTED_VALUE"""),"")</f>
        <v/>
      </c>
      <c r="AL1335" s="1" t="str">
        <f>IFERROR(__xludf.DUMMYFUNCTION("""COMPUTED_VALUE"""),"")</f>
        <v/>
      </c>
      <c r="AM1335" s="1" t="str">
        <f>IFERROR(__xludf.DUMMYFUNCTION("""COMPUTED_VALUE"""),"")</f>
        <v/>
      </c>
      <c r="AN1335" s="1" t="str">
        <f>IFERROR(__xludf.DUMMYFUNCTION("""COMPUTED_VALUE"""),"")</f>
        <v/>
      </c>
      <c r="AO1335" s="1" t="str">
        <f>IFERROR(__xludf.DUMMYFUNCTION("""COMPUTED_VALUE"""),"")</f>
        <v/>
      </c>
      <c r="AP1335" s="1" t="str">
        <f>IFERROR(__xludf.DUMMYFUNCTION("""COMPUTED_VALUE"""),"")</f>
        <v/>
      </c>
      <c r="AQ1335" s="1" t="str">
        <f>IFERROR(__xludf.DUMMYFUNCTION("""COMPUTED_VALUE"""),"07/12/2025")</f>
        <v>07/12/2025</v>
      </c>
      <c r="AR1335" s="1" t="str">
        <f>IFERROR(__xludf.DUMMYFUNCTION("""COMPUTED_VALUE"""),"10/17/2025")</f>
        <v>10/17/2025</v>
      </c>
    </row>
    <row r="1336">
      <c r="A1336" s="1" t="str">
        <f>IFERROR(__xludf.DUMMYFUNCTION("""COMPUTED_VALUE"""),"ABTEEN VENTURES LLC (CloudHQ)")</f>
        <v>ABTEEN VENTURES LLC (CloudHQ)</v>
      </c>
      <c r="B1336" s="1" t="str">
        <f>IFERROR(__xludf.DUMMYFUNCTION("""COMPUTED_VALUE"""),"10880 AIRMAN AVE")</f>
        <v>10880 AIRMAN AVE</v>
      </c>
      <c r="C1336" s="1" t="str">
        <f>IFERROR(__xludf.DUMMYFUNCTION("""COMPUTED_VALUE"""),"Manassas")</f>
        <v>Manassas</v>
      </c>
      <c r="D1336" s="1" t="str">
        <f>IFERROR(__xludf.DUMMYFUNCTION("""COMPUTED_VALUE"""),"VA")</f>
        <v>VA</v>
      </c>
      <c r="E1336" s="1" t="str">
        <f>IFERROR(__xludf.DUMMYFUNCTION("""COMPUTED_VALUE"""),"20110")</f>
        <v>20110</v>
      </c>
      <c r="F1336" s="1" t="str">
        <f>IFERROR(__xludf.DUMMYFUNCTION("""COMPUTED_VALUE"""),"Prince William")</f>
        <v>Prince William</v>
      </c>
      <c r="G1336" s="1" t="str">
        <f>IFERROR(__xludf.DUMMYFUNCTION("""COMPUTED_VALUE"""),"38.716854")</f>
        <v>38.716854</v>
      </c>
      <c r="H1336" s="1" t="str">
        <f>IFERROR(__xludf.DUMMYFUNCTION("""COMPUTED_VALUE"""),"-77.49974")</f>
        <v>-77.49974</v>
      </c>
      <c r="I1336" s="1" t="str">
        <f>IFERROR(__xludf.DUMMYFUNCTION("""COMPUTED_VALUE"""),"Operating")</f>
        <v>Operating</v>
      </c>
      <c r="J1336" s="1" t="str">
        <f>IFERROR(__xludf.DUMMYFUNCTION("""COMPUTED_VALUE"""),"High")</f>
        <v>High</v>
      </c>
      <c r="K1336" s="1" t="str">
        <f>IFERROR(__xludf.DUMMYFUNCTION("""COMPUTED_VALUE"""),"")</f>
        <v/>
      </c>
      <c r="L1336" s="1" t="str">
        <f>IFERROR(__xludf.DUMMYFUNCTION("""COMPUTED_VALUE"""),"ABTEEN VENTURES LLC (CloudHQ)")</f>
        <v>ABTEEN VENTURES LLC (CloudHQ)</v>
      </c>
      <c r="M1336" s="1" t="str">
        <f>IFERROR(__xludf.DUMMYFUNCTION("""COMPUTED_VALUE"""),"")</f>
        <v/>
      </c>
      <c r="N1336" s="1" t="str">
        <f>IFERROR(__xludf.DUMMYFUNCTION("""COMPUTED_VALUE"""),"")</f>
        <v/>
      </c>
      <c r="O1336" s="1" t="str">
        <f>IFERROR(__xludf.DUMMYFUNCTION("""COMPUTED_VALUE"""),"Unknown")</f>
        <v>Unknown</v>
      </c>
      <c r="P1336" s="1" t="str">
        <f>IFERROR(__xludf.DUMMYFUNCTION("""COMPUTED_VALUE"""),"")</f>
        <v/>
      </c>
      <c r="Q1336" s="1" t="str">
        <f>IFERROR(__xludf.DUMMYFUNCTION("""COMPUTED_VALUE"""),"")</f>
        <v/>
      </c>
      <c r="R1336" s="1" t="str">
        <f>IFERROR(__xludf.DUMMYFUNCTION("""COMPUTED_VALUE"""),"")</f>
        <v/>
      </c>
      <c r="S1336" s="1" t="str">
        <f>IFERROR(__xludf.DUMMYFUNCTION("""COMPUTED_VALUE"""),"")</f>
        <v/>
      </c>
      <c r="T1336" s="1" t="str">
        <f>IFERROR(__xludf.DUMMYFUNCTION("""COMPUTED_VALUE"""),"")</f>
        <v/>
      </c>
      <c r="U1336" s="1" t="str">
        <f>IFERROR(__xludf.DUMMYFUNCTION("""COMPUTED_VALUE"""),"")</f>
        <v/>
      </c>
      <c r="V1336" s="1" t="str">
        <f>IFERROR(__xludf.DUMMYFUNCTION("""COMPUTED_VALUE"""),"394,593")</f>
        <v>394,593</v>
      </c>
      <c r="W1336" s="1" t="str">
        <f>IFERROR(__xludf.DUMMYFUNCTION("""COMPUTED_VALUE"""),"28")</f>
        <v>28</v>
      </c>
      <c r="X1336" s="1" t="str">
        <f>IFERROR(__xludf.DUMMYFUNCTION("""COMPUTED_VALUE"""),"")</f>
        <v/>
      </c>
      <c r="Y1336" s="1" t="str">
        <f>IFERROR(__xludf.DUMMYFUNCTION("""COMPUTED_VALUE"""),"")</f>
        <v/>
      </c>
      <c r="Z1336" s="1" t="str">
        <f>IFERROR(__xludf.DUMMYFUNCTION("""COMPUTED_VALUE"""),"Unknown")</f>
        <v>Unknown</v>
      </c>
      <c r="AA1336" s="1" t="str">
        <f>IFERROR(__xludf.DUMMYFUNCTION("""COMPUTED_VALUE"""),"")</f>
        <v/>
      </c>
      <c r="AB1336" s="1" t="str">
        <f>IFERROR(__xludf.DUMMYFUNCTION("""COMPUTED_VALUE"""),"")</f>
        <v/>
      </c>
      <c r="AC1336" s="1" t="str">
        <f>IFERROR(__xludf.DUMMYFUNCTION("""COMPUTED_VALUE"""),"")</f>
        <v/>
      </c>
      <c r="AD1336" s="1" t="str">
        <f>IFERROR(__xludf.DUMMYFUNCTION("""COMPUTED_VALUE"""),"")</f>
        <v/>
      </c>
      <c r="AE1336" s="1" t="str">
        <f>IFERROR(__xludf.DUMMYFUNCTION("""COMPUTED_VALUE"""),"")</f>
        <v/>
      </c>
      <c r="AF1336" s="1" t="str">
        <f>IFERROR(__xludf.DUMMYFUNCTION("""COMPUTED_VALUE"""),"")</f>
        <v/>
      </c>
      <c r="AG1336" s="1" t="str">
        <f>IFERROR(__xludf.DUMMYFUNCTION("""COMPUTED_VALUE"""),"")</f>
        <v/>
      </c>
      <c r="AH1336" s="1" t="str">
        <f>IFERROR(__xludf.DUMMYFUNCTION("""COMPUTED_VALUE"""),"PEC")</f>
        <v>PEC</v>
      </c>
      <c r="AI1336" s="2" t="str">
        <f>IFERROR(__xludf.DUMMYFUNCTION("""COMPUTED_VALUE"""),"https://pwc.publicaccessnow.com/PropertyDetail.aspx?mpropertynumber=257650&amp;mtab=property&amp;p=257650")</f>
        <v>https://pwc.publicaccessnow.com/PropertyDetail.aspx?mpropertynumber=257650&amp;mtab=property&amp;p=257650</v>
      </c>
      <c r="AJ1336" s="1" t="str">
        <f>IFERROR(__xludf.DUMMYFUNCTION("""COMPUTED_VALUE"""),"")</f>
        <v/>
      </c>
      <c r="AK1336" s="1" t="str">
        <f>IFERROR(__xludf.DUMMYFUNCTION("""COMPUTED_VALUE"""),"")</f>
        <v/>
      </c>
      <c r="AL1336" s="1" t="str">
        <f>IFERROR(__xludf.DUMMYFUNCTION("""COMPUTED_VALUE"""),"")</f>
        <v/>
      </c>
      <c r="AM1336" s="1" t="str">
        <f>IFERROR(__xludf.DUMMYFUNCTION("""COMPUTED_VALUE"""),"")</f>
        <v/>
      </c>
      <c r="AN1336" s="1" t="str">
        <f>IFERROR(__xludf.DUMMYFUNCTION("""COMPUTED_VALUE"""),"")</f>
        <v/>
      </c>
      <c r="AO1336" s="1" t="str">
        <f>IFERROR(__xludf.DUMMYFUNCTION("""COMPUTED_VALUE"""),"")</f>
        <v/>
      </c>
      <c r="AP1336" s="1" t="str">
        <f>IFERROR(__xludf.DUMMYFUNCTION("""COMPUTED_VALUE"""),"")</f>
        <v/>
      </c>
      <c r="AQ1336" s="1" t="str">
        <f>IFERROR(__xludf.DUMMYFUNCTION("""COMPUTED_VALUE"""),"04/10/2024")</f>
        <v>04/10/2024</v>
      </c>
      <c r="AR1336" s="1" t="str">
        <f>IFERROR(__xludf.DUMMYFUNCTION("""COMPUTED_VALUE"""),"10/17/2025")</f>
        <v>10/17/2025</v>
      </c>
    </row>
    <row r="1337">
      <c r="A1337" s="1" t="str">
        <f>IFERROR(__xludf.DUMMYFUNCTION("""COMPUTED_VALUE"""),"Airport Gateway Commerce Center")</f>
        <v>Airport Gateway Commerce Center</v>
      </c>
      <c r="B1337" s="1" t="str">
        <f>IFERROR(__xludf.DUMMYFUNCTION("""COMPUTED_VALUE"""),"10940 AIRMAN AVE")</f>
        <v>10940 AIRMAN AVE</v>
      </c>
      <c r="C1337" s="1" t="str">
        <f>IFERROR(__xludf.DUMMYFUNCTION("""COMPUTED_VALUE"""),"Manassas")</f>
        <v>Manassas</v>
      </c>
      <c r="D1337" s="1" t="str">
        <f>IFERROR(__xludf.DUMMYFUNCTION("""COMPUTED_VALUE"""),"VA")</f>
        <v>VA</v>
      </c>
      <c r="E1337" s="1" t="str">
        <f>IFERROR(__xludf.DUMMYFUNCTION("""COMPUTED_VALUE"""),"20110")</f>
        <v>20110</v>
      </c>
      <c r="F1337" s="1" t="str">
        <f>IFERROR(__xludf.DUMMYFUNCTION("""COMPUTED_VALUE"""),"Prince William")</f>
        <v>Prince William</v>
      </c>
      <c r="G1337" s="1" t="str">
        <f>IFERROR(__xludf.DUMMYFUNCTION("""COMPUTED_VALUE"""),"38.715843")</f>
        <v>38.715843</v>
      </c>
      <c r="H1337" s="1" t="str">
        <f>IFERROR(__xludf.DUMMYFUNCTION("""COMPUTED_VALUE"""),"-77.49836")</f>
        <v>-77.49836</v>
      </c>
      <c r="I1337" s="1" t="str">
        <f>IFERROR(__xludf.DUMMYFUNCTION("""COMPUTED_VALUE"""),"Proposed")</f>
        <v>Proposed</v>
      </c>
      <c r="J1337" s="1" t="str">
        <f>IFERROR(__xludf.DUMMYFUNCTION("""COMPUTED_VALUE"""),"High")</f>
        <v>High</v>
      </c>
      <c r="K1337" s="1" t="str">
        <f>IFERROR(__xludf.DUMMYFUNCTION("""COMPUTED_VALUE"""),"")</f>
        <v/>
      </c>
      <c r="L1337" s="1" t="str">
        <f>IFERROR(__xludf.DUMMYFUNCTION("""COMPUTED_VALUE"""),"UNICORN INTERESTS LLC, PCL F1")</f>
        <v>UNICORN INTERESTS LLC, PCL F1</v>
      </c>
      <c r="M1337" s="1" t="str">
        <f>IFERROR(__xludf.DUMMYFUNCTION("""COMPUTED_VALUE"""),"")</f>
        <v/>
      </c>
      <c r="N1337" s="1" t="str">
        <f>IFERROR(__xludf.DUMMYFUNCTION("""COMPUTED_VALUE"""),"")</f>
        <v/>
      </c>
      <c r="O1337" s="1" t="str">
        <f>IFERROR(__xludf.DUMMYFUNCTION("""COMPUTED_VALUE"""),"Unknown")</f>
        <v>Unknown</v>
      </c>
      <c r="P1337" s="1" t="str">
        <f>IFERROR(__xludf.DUMMYFUNCTION("""COMPUTED_VALUE"""),"")</f>
        <v/>
      </c>
      <c r="Q1337" s="1" t="str">
        <f>IFERROR(__xludf.DUMMYFUNCTION("""COMPUTED_VALUE"""),"")</f>
        <v/>
      </c>
      <c r="R1337" s="1" t="str">
        <f>IFERROR(__xludf.DUMMYFUNCTION("""COMPUTED_VALUE"""),"")</f>
        <v/>
      </c>
      <c r="S1337" s="1" t="str">
        <f>IFERROR(__xludf.DUMMYFUNCTION("""COMPUTED_VALUE"""),"")</f>
        <v/>
      </c>
      <c r="T1337" s="1" t="str">
        <f>IFERROR(__xludf.DUMMYFUNCTION("""COMPUTED_VALUE"""),"")</f>
        <v/>
      </c>
      <c r="U1337" s="1" t="str">
        <f>IFERROR(__xludf.DUMMYFUNCTION("""COMPUTED_VALUE"""),"")</f>
        <v/>
      </c>
      <c r="V1337" s="1" t="str">
        <f>IFERROR(__xludf.DUMMYFUNCTION("""COMPUTED_VALUE"""),"369,600")</f>
        <v>369,600</v>
      </c>
      <c r="W1337" s="1" t="str">
        <f>IFERROR(__xludf.DUMMYFUNCTION("""COMPUTED_VALUE"""),"36")</f>
        <v>36</v>
      </c>
      <c r="X1337" s="1" t="str">
        <f>IFERROR(__xludf.DUMMYFUNCTION("""COMPUTED_VALUE"""),"")</f>
        <v/>
      </c>
      <c r="Y1337" s="1" t="str">
        <f>IFERROR(__xludf.DUMMYFUNCTION("""COMPUTED_VALUE"""),"")</f>
        <v/>
      </c>
      <c r="Z1337" s="1" t="str">
        <f>IFERROR(__xludf.DUMMYFUNCTION("""COMPUTED_VALUE"""),"Unknown")</f>
        <v>Unknown</v>
      </c>
      <c r="AA1337" s="1" t="str">
        <f>IFERROR(__xludf.DUMMYFUNCTION("""COMPUTED_VALUE"""),"")</f>
        <v/>
      </c>
      <c r="AB1337" s="1" t="str">
        <f>IFERROR(__xludf.DUMMYFUNCTION("""COMPUTED_VALUE"""),"")</f>
        <v/>
      </c>
      <c r="AC1337" s="1" t="str">
        <f>IFERROR(__xludf.DUMMYFUNCTION("""COMPUTED_VALUE"""),"")</f>
        <v/>
      </c>
      <c r="AD1337" s="1" t="str">
        <f>IFERROR(__xludf.DUMMYFUNCTION("""COMPUTED_VALUE"""),"")</f>
        <v/>
      </c>
      <c r="AE1337" s="1" t="str">
        <f>IFERROR(__xludf.DUMMYFUNCTION("""COMPUTED_VALUE"""),"")</f>
        <v/>
      </c>
      <c r="AF1337" s="1" t="str">
        <f>IFERROR(__xludf.DUMMYFUNCTION("""COMPUTED_VALUE"""),"")</f>
        <v/>
      </c>
      <c r="AG1337" s="1" t="str">
        <f>IFERROR(__xludf.DUMMYFUNCTION("""COMPUTED_VALUE"""),"")</f>
        <v/>
      </c>
      <c r="AH1337" s="1" t="str">
        <f>IFERROR(__xludf.DUMMYFUNCTION("""COMPUTED_VALUE"""),"PEC")</f>
        <v>PEC</v>
      </c>
      <c r="AI1337" s="2" t="str">
        <f>IFERROR(__xludf.DUMMYFUNCTION("""COMPUTED_VALUE"""),"https://pwc.publicaccessnow.com/PropertyDetail.aspx?mtab=property&amp;mpropertynumber=026258")</f>
        <v>https://pwc.publicaccessnow.com/PropertyDetail.aspx?mtab=property&amp;mpropertynumber=026258</v>
      </c>
      <c r="AJ1337" s="2" t="str">
        <f>IFERROR(__xludf.DUMMYFUNCTION("""COMPUTED_VALUE"""),"https://pwc.publicaccessnow.com/PropertyDetail.aspx?mtab=property&amp;mpropertynumber=026258")</f>
        <v>https://pwc.publicaccessnow.com/PropertyDetail.aspx?mtab=property&amp;mpropertynumber=026258</v>
      </c>
      <c r="AK1337" s="1" t="str">
        <f>IFERROR(__xludf.DUMMYFUNCTION("""COMPUTED_VALUE"""),"")</f>
        <v/>
      </c>
      <c r="AL1337" s="1" t="str">
        <f>IFERROR(__xludf.DUMMYFUNCTION("""COMPUTED_VALUE"""),"")</f>
        <v/>
      </c>
      <c r="AM1337" s="1" t="str">
        <f>IFERROR(__xludf.DUMMYFUNCTION("""COMPUTED_VALUE"""),"")</f>
        <v/>
      </c>
      <c r="AN1337" s="1" t="str">
        <f>IFERROR(__xludf.DUMMYFUNCTION("""COMPUTED_VALUE"""),"")</f>
        <v/>
      </c>
      <c r="AO1337" s="1" t="str">
        <f>IFERROR(__xludf.DUMMYFUNCTION("""COMPUTED_VALUE"""),"")</f>
        <v/>
      </c>
      <c r="AP1337" s="1" t="str">
        <f>IFERROR(__xludf.DUMMYFUNCTION("""COMPUTED_VALUE"""),"")</f>
        <v/>
      </c>
      <c r="AQ1337" s="1" t="str">
        <f>IFERROR(__xludf.DUMMYFUNCTION("""COMPUTED_VALUE"""),"04/10/2024")</f>
        <v>04/10/2024</v>
      </c>
      <c r="AR1337" s="1" t="str">
        <f>IFERROR(__xludf.DUMMYFUNCTION("""COMPUTED_VALUE"""),"10/17/2025")</f>
        <v>10/17/2025</v>
      </c>
    </row>
    <row r="1338">
      <c r="A1338" s="1" t="str">
        <f>IFERROR(__xludf.DUMMYFUNCTION("""COMPUTED_VALUE"""),"AIRPORT GATEWAY COMMERCE CENTER")</f>
        <v>AIRPORT GATEWAY COMMERCE CENTER</v>
      </c>
      <c r="B1338" s="1" t="str">
        <f>IFERROR(__xludf.DUMMYFUNCTION("""COMPUTED_VALUE"""),"10850 Airman Ave")</f>
        <v>10850 Airman Ave</v>
      </c>
      <c r="C1338" s="1" t="str">
        <f>IFERROR(__xludf.DUMMYFUNCTION("""COMPUTED_VALUE"""),"Manassas")</f>
        <v>Manassas</v>
      </c>
      <c r="D1338" s="1" t="str">
        <f>IFERROR(__xludf.DUMMYFUNCTION("""COMPUTED_VALUE"""),"VA")</f>
        <v>VA</v>
      </c>
      <c r="E1338" s="1" t="str">
        <f>IFERROR(__xludf.DUMMYFUNCTION("""COMPUTED_VALUE"""),"20110")</f>
        <v>20110</v>
      </c>
      <c r="F1338" s="1" t="str">
        <f>IFERROR(__xludf.DUMMYFUNCTION("""COMPUTED_VALUE"""),"Prince William")</f>
        <v>Prince William</v>
      </c>
      <c r="G1338" s="1" t="str">
        <f>IFERROR(__xludf.DUMMYFUNCTION("""COMPUTED_VALUE"""),"38.72144")</f>
        <v>38.72144</v>
      </c>
      <c r="H1338" s="1" t="str">
        <f>IFERROR(__xludf.DUMMYFUNCTION("""COMPUTED_VALUE"""),"-77.49643")</f>
        <v>-77.49643</v>
      </c>
      <c r="I1338" s="1" t="str">
        <f>IFERROR(__xludf.DUMMYFUNCTION("""COMPUTED_VALUE"""),"Proposed")</f>
        <v>Proposed</v>
      </c>
      <c r="J1338" s="1" t="str">
        <f>IFERROR(__xludf.DUMMYFUNCTION("""COMPUTED_VALUE"""),"High")</f>
        <v>High</v>
      </c>
      <c r="K1338" s="1" t="str">
        <f>IFERROR(__xludf.DUMMYFUNCTION("""COMPUTED_VALUE"""),"")</f>
        <v/>
      </c>
      <c r="L1338" s="1" t="str">
        <f>IFERROR(__xludf.DUMMYFUNCTION("""COMPUTED_VALUE"""),"UNICORN HOTEL LLC, C/O DUPONT FABROS DEVELOPMENT, PCL D")</f>
        <v>UNICORN HOTEL LLC, C/O DUPONT FABROS DEVELOPMENT, PCL D</v>
      </c>
      <c r="M1338" s="1" t="str">
        <f>IFERROR(__xludf.DUMMYFUNCTION("""COMPUTED_VALUE"""),"")</f>
        <v/>
      </c>
      <c r="N1338" s="1" t="str">
        <f>IFERROR(__xludf.DUMMYFUNCTION("""COMPUTED_VALUE"""),"")</f>
        <v/>
      </c>
      <c r="O1338" s="1" t="str">
        <f>IFERROR(__xludf.DUMMYFUNCTION("""COMPUTED_VALUE"""),"Unknown")</f>
        <v>Unknown</v>
      </c>
      <c r="P1338" s="1" t="str">
        <f>IFERROR(__xludf.DUMMYFUNCTION("""COMPUTED_VALUE"""),"")</f>
        <v/>
      </c>
      <c r="Q1338" s="1" t="str">
        <f>IFERROR(__xludf.DUMMYFUNCTION("""COMPUTED_VALUE"""),"")</f>
        <v/>
      </c>
      <c r="R1338" s="1" t="str">
        <f>IFERROR(__xludf.DUMMYFUNCTION("""COMPUTED_VALUE"""),"")</f>
        <v/>
      </c>
      <c r="S1338" s="1" t="str">
        <f>IFERROR(__xludf.DUMMYFUNCTION("""COMPUTED_VALUE"""),"")</f>
        <v/>
      </c>
      <c r="T1338" s="1" t="str">
        <f>IFERROR(__xludf.DUMMYFUNCTION("""COMPUTED_VALUE"""),"")</f>
        <v/>
      </c>
      <c r="U1338" s="1" t="str">
        <f>IFERROR(__xludf.DUMMYFUNCTION("""COMPUTED_VALUE"""),"")</f>
        <v/>
      </c>
      <c r="V1338" s="1" t="str">
        <f>IFERROR(__xludf.DUMMYFUNCTION("""COMPUTED_VALUE"""),"")</f>
        <v/>
      </c>
      <c r="W1338" s="1" t="str">
        <f>IFERROR(__xludf.DUMMYFUNCTION("""COMPUTED_VALUE"""),"7")</f>
        <v>7</v>
      </c>
      <c r="X1338" s="1" t="str">
        <f>IFERROR(__xludf.DUMMYFUNCTION("""COMPUTED_VALUE"""),"")</f>
        <v/>
      </c>
      <c r="Y1338" s="1" t="str">
        <f>IFERROR(__xludf.DUMMYFUNCTION("""COMPUTED_VALUE"""),"")</f>
        <v/>
      </c>
      <c r="Z1338" s="1" t="str">
        <f>IFERROR(__xludf.DUMMYFUNCTION("""COMPUTED_VALUE"""),"Unknown")</f>
        <v>Unknown</v>
      </c>
      <c r="AA1338" s="1" t="str">
        <f>IFERROR(__xludf.DUMMYFUNCTION("""COMPUTED_VALUE"""),"")</f>
        <v/>
      </c>
      <c r="AB1338" s="1" t="str">
        <f>IFERROR(__xludf.DUMMYFUNCTION("""COMPUTED_VALUE"""),"")</f>
        <v/>
      </c>
      <c r="AC1338" s="1" t="str">
        <f>IFERROR(__xludf.DUMMYFUNCTION("""COMPUTED_VALUE"""),"")</f>
        <v/>
      </c>
      <c r="AD1338" s="1" t="str">
        <f>IFERROR(__xludf.DUMMYFUNCTION("""COMPUTED_VALUE"""),"")</f>
        <v/>
      </c>
      <c r="AE1338" s="1" t="str">
        <f>IFERROR(__xludf.DUMMYFUNCTION("""COMPUTED_VALUE"""),"")</f>
        <v/>
      </c>
      <c r="AF1338" s="1" t="str">
        <f>IFERROR(__xludf.DUMMYFUNCTION("""COMPUTED_VALUE"""),"")</f>
        <v/>
      </c>
      <c r="AG1338" s="1" t="str">
        <f>IFERROR(__xludf.DUMMYFUNCTION("""COMPUTED_VALUE"""),"")</f>
        <v/>
      </c>
      <c r="AH1338" s="1" t="str">
        <f>IFERROR(__xludf.DUMMYFUNCTION("""COMPUTED_VALUE"""),"PEC")</f>
        <v>PEC</v>
      </c>
      <c r="AI1338" s="2" t="str">
        <f>IFERROR(__xludf.DUMMYFUNCTION("""COMPUTED_VALUE"""),"https://egcss.pwcgov.org/SelfService#/project/a44840d1-befb-4b5c-93ee-0485a9dc4f84")</f>
        <v>https://egcss.pwcgov.org/SelfService#/project/a44840d1-befb-4b5c-93ee-0485a9dc4f84</v>
      </c>
      <c r="AJ1338" s="1" t="str">
        <f>IFERROR(__xludf.DUMMYFUNCTION("""COMPUTED_VALUE"""),"")</f>
        <v/>
      </c>
      <c r="AK1338" s="1" t="str">
        <f>IFERROR(__xludf.DUMMYFUNCTION("""COMPUTED_VALUE"""),"")</f>
        <v/>
      </c>
      <c r="AL1338" s="1" t="str">
        <f>IFERROR(__xludf.DUMMYFUNCTION("""COMPUTED_VALUE"""),"")</f>
        <v/>
      </c>
      <c r="AM1338" s="1" t="str">
        <f>IFERROR(__xludf.DUMMYFUNCTION("""COMPUTED_VALUE"""),"")</f>
        <v/>
      </c>
      <c r="AN1338" s="1" t="str">
        <f>IFERROR(__xludf.DUMMYFUNCTION("""COMPUTED_VALUE"""),"")</f>
        <v/>
      </c>
      <c r="AO1338" s="1" t="str">
        <f>IFERROR(__xludf.DUMMYFUNCTION("""COMPUTED_VALUE"""),"")</f>
        <v/>
      </c>
      <c r="AP1338" s="1" t="str">
        <f>IFERROR(__xludf.DUMMYFUNCTION("""COMPUTED_VALUE"""),"")</f>
        <v/>
      </c>
      <c r="AQ1338" s="1" t="str">
        <f>IFERROR(__xludf.DUMMYFUNCTION("""COMPUTED_VALUE"""),"04/10/2024")</f>
        <v>04/10/2024</v>
      </c>
      <c r="AR1338" s="1" t="str">
        <f>IFERROR(__xludf.DUMMYFUNCTION("""COMPUTED_VALUE"""),"10/17/2025")</f>
        <v>10/17/2025</v>
      </c>
    </row>
    <row r="1339">
      <c r="A1339" s="1" t="str">
        <f>IFERROR(__xludf.DUMMYFUNCTION("""COMPUTED_VALUE"""),"ALEXANDRIA TECHNOLOGY CENTER")</f>
        <v>ALEXANDRIA TECHNOLOGY CENTER</v>
      </c>
      <c r="B1339" s="1" t="str">
        <f>IFERROR(__xludf.DUMMYFUNCTION("""COMPUTED_VALUE"""),"10600 PYRAMID PL")</f>
        <v>10600 PYRAMID PL</v>
      </c>
      <c r="C1339" s="1" t="str">
        <f>IFERROR(__xludf.DUMMYFUNCTION("""COMPUTED_VALUE"""),"Manassas")</f>
        <v>Manassas</v>
      </c>
      <c r="D1339" s="1" t="str">
        <f>IFERROR(__xludf.DUMMYFUNCTION("""COMPUTED_VALUE"""),"VA")</f>
        <v>VA</v>
      </c>
      <c r="E1339" s="1" t="str">
        <f>IFERROR(__xludf.DUMMYFUNCTION("""COMPUTED_VALUE"""),"20110")</f>
        <v>20110</v>
      </c>
      <c r="F1339" s="1" t="str">
        <f>IFERROR(__xludf.DUMMYFUNCTION("""COMPUTED_VALUE"""),"Prince William")</f>
        <v>Prince William</v>
      </c>
      <c r="G1339" s="1" t="str">
        <f>IFERROR(__xludf.DUMMYFUNCTION("""COMPUTED_VALUE"""),"38.756546")</f>
        <v>38.756546</v>
      </c>
      <c r="H1339" s="1" t="str">
        <f>IFERROR(__xludf.DUMMYFUNCTION("""COMPUTED_VALUE"""),"-77.51377")</f>
        <v>-77.51377</v>
      </c>
      <c r="I1339" s="1" t="str">
        <f>IFERROR(__xludf.DUMMYFUNCTION("""COMPUTED_VALUE"""),"Proposed")</f>
        <v>Proposed</v>
      </c>
      <c r="J1339" s="1" t="str">
        <f>IFERROR(__xludf.DUMMYFUNCTION("""COMPUTED_VALUE"""),"High")</f>
        <v>High</v>
      </c>
      <c r="K1339" s="1" t="str">
        <f>IFERROR(__xludf.DUMMYFUNCTION("""COMPUTED_VALUE"""),"")</f>
        <v/>
      </c>
      <c r="L1339" s="1" t="str">
        <f>IFERROR(__xludf.DUMMYFUNCTION("""COMPUTED_VALUE"""),"QTS MANASSAS I LAND LLC C/O BLACKSTONE PROPERTY ADVISORS")</f>
        <v>QTS MANASSAS I LAND LLC C/O BLACKSTONE PROPERTY ADVISORS</v>
      </c>
      <c r="M1339" s="1" t="str">
        <f>IFERROR(__xludf.DUMMYFUNCTION("""COMPUTED_VALUE"""),"")</f>
        <v/>
      </c>
      <c r="N1339" s="1" t="str">
        <f>IFERROR(__xludf.DUMMYFUNCTION("""COMPUTED_VALUE"""),"")</f>
        <v/>
      </c>
      <c r="O1339" s="1" t="str">
        <f>IFERROR(__xludf.DUMMYFUNCTION("""COMPUTED_VALUE"""),"Unknown")</f>
        <v>Unknown</v>
      </c>
      <c r="P1339" s="1" t="str">
        <f>IFERROR(__xludf.DUMMYFUNCTION("""COMPUTED_VALUE"""),"")</f>
        <v/>
      </c>
      <c r="Q1339" s="1" t="str">
        <f>IFERROR(__xludf.DUMMYFUNCTION("""COMPUTED_VALUE"""),"")</f>
        <v/>
      </c>
      <c r="R1339" s="1" t="str">
        <f>IFERROR(__xludf.DUMMYFUNCTION("""COMPUTED_VALUE"""),"")</f>
        <v/>
      </c>
      <c r="S1339" s="1" t="str">
        <f>IFERROR(__xludf.DUMMYFUNCTION("""COMPUTED_VALUE"""),"")</f>
        <v/>
      </c>
      <c r="T1339" s="1" t="str">
        <f>IFERROR(__xludf.DUMMYFUNCTION("""COMPUTED_VALUE"""),"")</f>
        <v/>
      </c>
      <c r="U1339" s="1" t="str">
        <f>IFERROR(__xludf.DUMMYFUNCTION("""COMPUTED_VALUE"""),"")</f>
        <v/>
      </c>
      <c r="V1339" s="1" t="str">
        <f>IFERROR(__xludf.DUMMYFUNCTION("""COMPUTED_VALUE"""),"")</f>
        <v/>
      </c>
      <c r="W1339" s="1" t="str">
        <f>IFERROR(__xludf.DUMMYFUNCTION("""COMPUTED_VALUE"""),"12")</f>
        <v>12</v>
      </c>
      <c r="X1339" s="1" t="str">
        <f>IFERROR(__xludf.DUMMYFUNCTION("""COMPUTED_VALUE"""),"")</f>
        <v/>
      </c>
      <c r="Y1339" s="1" t="str">
        <f>IFERROR(__xludf.DUMMYFUNCTION("""COMPUTED_VALUE"""),"")</f>
        <v/>
      </c>
      <c r="Z1339" s="1" t="str">
        <f>IFERROR(__xludf.DUMMYFUNCTION("""COMPUTED_VALUE"""),"Unknown")</f>
        <v>Unknown</v>
      </c>
      <c r="AA1339" s="1" t="str">
        <f>IFERROR(__xludf.DUMMYFUNCTION("""COMPUTED_VALUE"""),"")</f>
        <v/>
      </c>
      <c r="AB1339" s="1" t="str">
        <f>IFERROR(__xludf.DUMMYFUNCTION("""COMPUTED_VALUE"""),"")</f>
        <v/>
      </c>
      <c r="AC1339" s="1" t="str">
        <f>IFERROR(__xludf.DUMMYFUNCTION("""COMPUTED_VALUE"""),"")</f>
        <v/>
      </c>
      <c r="AD1339" s="1" t="str">
        <f>IFERROR(__xludf.DUMMYFUNCTION("""COMPUTED_VALUE"""),"")</f>
        <v/>
      </c>
      <c r="AE1339" s="1" t="str">
        <f>IFERROR(__xludf.DUMMYFUNCTION("""COMPUTED_VALUE"""),"")</f>
        <v/>
      </c>
      <c r="AF1339" s="1" t="str">
        <f>IFERROR(__xludf.DUMMYFUNCTION("""COMPUTED_VALUE"""),"")</f>
        <v/>
      </c>
      <c r="AG1339" s="1" t="str">
        <f>IFERROR(__xludf.DUMMYFUNCTION("""COMPUTED_VALUE"""),"")</f>
        <v/>
      </c>
      <c r="AH1339" s="1" t="str">
        <f>IFERROR(__xludf.DUMMYFUNCTION("""COMPUTED_VALUE"""),"PEC")</f>
        <v>PEC</v>
      </c>
      <c r="AI1339" s="2" t="str">
        <f>IFERROR(__xludf.DUMMYFUNCTION("""COMPUTED_VALUE"""),"https://pwc.publicaccessnow.com/PropertyDetail.aspx?mtab=property&amp;mpropertynumber=248324")</f>
        <v>https://pwc.publicaccessnow.com/PropertyDetail.aspx?mtab=property&amp;mpropertynumber=248324</v>
      </c>
      <c r="AJ1339" s="2" t="str">
        <f>IFERROR(__xludf.DUMMYFUNCTION("""COMPUTED_VALUE"""),"https://pwc.publicaccessnow.com/PropertyDetail.aspx?mtab=property&amp;mpropertynumber=248324")</f>
        <v>https://pwc.publicaccessnow.com/PropertyDetail.aspx?mtab=property&amp;mpropertynumber=248324</v>
      </c>
      <c r="AK1339" s="1" t="str">
        <f>IFERROR(__xludf.DUMMYFUNCTION("""COMPUTED_VALUE"""),"")</f>
        <v/>
      </c>
      <c r="AL1339" s="1" t="str">
        <f>IFERROR(__xludf.DUMMYFUNCTION("""COMPUTED_VALUE"""),"")</f>
        <v/>
      </c>
      <c r="AM1339" s="1" t="str">
        <f>IFERROR(__xludf.DUMMYFUNCTION("""COMPUTED_VALUE"""),"")</f>
        <v/>
      </c>
      <c r="AN1339" s="1" t="str">
        <f>IFERROR(__xludf.DUMMYFUNCTION("""COMPUTED_VALUE"""),"")</f>
        <v/>
      </c>
      <c r="AO1339" s="1" t="str">
        <f>IFERROR(__xludf.DUMMYFUNCTION("""COMPUTED_VALUE"""),"")</f>
        <v/>
      </c>
      <c r="AP1339" s="1" t="str">
        <f>IFERROR(__xludf.DUMMYFUNCTION("""COMPUTED_VALUE"""),"")</f>
        <v/>
      </c>
      <c r="AQ1339" s="1" t="str">
        <f>IFERROR(__xludf.DUMMYFUNCTION("""COMPUTED_VALUE"""),"04/10/2024")</f>
        <v>04/10/2024</v>
      </c>
      <c r="AR1339" s="1" t="str">
        <f>IFERROR(__xludf.DUMMYFUNCTION("""COMPUTED_VALUE"""),"10/17/2025")</f>
        <v>10/17/2025</v>
      </c>
    </row>
    <row r="1340">
      <c r="A1340" s="1" t="str">
        <f>IFERROR(__xludf.DUMMYFUNCTION("""COMPUTED_VALUE"""),"Alligned Data Centers (Balls Ford)")</f>
        <v>Alligned Data Centers (Balls Ford)</v>
      </c>
      <c r="B1340" s="1" t="str">
        <f>IFERROR(__xludf.DUMMYFUNCTION("""COMPUTED_VALUE"""),"10920 BALLS FORD RD")</f>
        <v>10920 BALLS FORD RD</v>
      </c>
      <c r="C1340" s="1" t="str">
        <f>IFERROR(__xludf.DUMMYFUNCTION("""COMPUTED_VALUE"""),"Manassas")</f>
        <v>Manassas</v>
      </c>
      <c r="D1340" s="1" t="str">
        <f>IFERROR(__xludf.DUMMYFUNCTION("""COMPUTED_VALUE"""),"VA")</f>
        <v>VA</v>
      </c>
      <c r="E1340" s="1" t="str">
        <f>IFERROR(__xludf.DUMMYFUNCTION("""COMPUTED_VALUE"""),"20109")</f>
        <v>20109</v>
      </c>
      <c r="F1340" s="1" t="str">
        <f>IFERROR(__xludf.DUMMYFUNCTION("""COMPUTED_VALUE"""),"Prince William")</f>
        <v>Prince William</v>
      </c>
      <c r="G1340" s="1" t="str">
        <f>IFERROR(__xludf.DUMMYFUNCTION("""COMPUTED_VALUE"""),"38.799274")</f>
        <v>38.799274</v>
      </c>
      <c r="H1340" s="1" t="str">
        <f>IFERROR(__xludf.DUMMYFUNCTION("""COMPUTED_VALUE"""),"-77.52802")</f>
        <v>-77.52802</v>
      </c>
      <c r="I1340" s="1" t="str">
        <f>IFERROR(__xludf.DUMMYFUNCTION("""COMPUTED_VALUE"""),"Proposed")</f>
        <v>Proposed</v>
      </c>
      <c r="J1340" s="1" t="str">
        <f>IFERROR(__xludf.DUMMYFUNCTION("""COMPUTED_VALUE"""),"High")</f>
        <v>High</v>
      </c>
      <c r="K1340" s="1" t="str">
        <f>IFERROR(__xludf.DUMMYFUNCTION("""COMPUTED_VALUE"""),"")</f>
        <v/>
      </c>
      <c r="L1340" s="1" t="str">
        <f>IFERROR(__xludf.DUMMYFUNCTION("""COMPUTED_VALUE"""),"PROPCO LLC")</f>
        <v>PROPCO LLC</v>
      </c>
      <c r="M1340" s="1" t="str">
        <f>IFERROR(__xludf.DUMMYFUNCTION("""COMPUTED_VALUE"""),"")</f>
        <v/>
      </c>
      <c r="N1340" s="1" t="str">
        <f>IFERROR(__xludf.DUMMYFUNCTION("""COMPUTED_VALUE"""),"")</f>
        <v/>
      </c>
      <c r="O1340" s="1" t="str">
        <f>IFERROR(__xludf.DUMMYFUNCTION("""COMPUTED_VALUE"""),"Unknown")</f>
        <v>Unknown</v>
      </c>
      <c r="P1340" s="1" t="str">
        <f>IFERROR(__xludf.DUMMYFUNCTION("""COMPUTED_VALUE"""),"")</f>
        <v/>
      </c>
      <c r="Q1340" s="1" t="str">
        <f>IFERROR(__xludf.DUMMYFUNCTION("""COMPUTED_VALUE"""),"")</f>
        <v/>
      </c>
      <c r="R1340" s="1" t="str">
        <f>IFERROR(__xludf.DUMMYFUNCTION("""COMPUTED_VALUE"""),"")</f>
        <v/>
      </c>
      <c r="S1340" s="1" t="str">
        <f>IFERROR(__xludf.DUMMYFUNCTION("""COMPUTED_VALUE"""),"")</f>
        <v/>
      </c>
      <c r="T1340" s="1" t="str">
        <f>IFERROR(__xludf.DUMMYFUNCTION("""COMPUTED_VALUE"""),"")</f>
        <v/>
      </c>
      <c r="U1340" s="1" t="str">
        <f>IFERROR(__xludf.DUMMYFUNCTION("""COMPUTED_VALUE"""),"")</f>
        <v/>
      </c>
      <c r="V1340" s="1" t="str">
        <f>IFERROR(__xludf.DUMMYFUNCTION("""COMPUTED_VALUE"""),"1,275,141")</f>
        <v>1,275,141</v>
      </c>
      <c r="W1340" s="1" t="str">
        <f>IFERROR(__xludf.DUMMYFUNCTION("""COMPUTED_VALUE"""),"28")</f>
        <v>28</v>
      </c>
      <c r="X1340" s="1" t="str">
        <f>IFERROR(__xludf.DUMMYFUNCTION("""COMPUTED_VALUE"""),"")</f>
        <v/>
      </c>
      <c r="Y1340" s="1" t="str">
        <f>IFERROR(__xludf.DUMMYFUNCTION("""COMPUTED_VALUE"""),"")</f>
        <v/>
      </c>
      <c r="Z1340" s="1" t="str">
        <f>IFERROR(__xludf.DUMMYFUNCTION("""COMPUTED_VALUE"""),"Unknown")</f>
        <v>Unknown</v>
      </c>
      <c r="AA1340" s="1" t="str">
        <f>IFERROR(__xludf.DUMMYFUNCTION("""COMPUTED_VALUE"""),"")</f>
        <v/>
      </c>
      <c r="AB1340" s="1" t="str">
        <f>IFERROR(__xludf.DUMMYFUNCTION("""COMPUTED_VALUE"""),"")</f>
        <v/>
      </c>
      <c r="AC1340" s="1" t="str">
        <f>IFERROR(__xludf.DUMMYFUNCTION("""COMPUTED_VALUE"""),"")</f>
        <v/>
      </c>
      <c r="AD1340" s="1" t="str">
        <f>IFERROR(__xludf.DUMMYFUNCTION("""COMPUTED_VALUE"""),"")</f>
        <v/>
      </c>
      <c r="AE1340" s="1" t="str">
        <f>IFERROR(__xludf.DUMMYFUNCTION("""COMPUTED_VALUE"""),"")</f>
        <v/>
      </c>
      <c r="AF1340" s="1" t="str">
        <f>IFERROR(__xludf.DUMMYFUNCTION("""COMPUTED_VALUE"""),"")</f>
        <v/>
      </c>
      <c r="AG1340" s="1" t="str">
        <f>IFERROR(__xludf.DUMMYFUNCTION("""COMPUTED_VALUE"""),"")</f>
        <v/>
      </c>
      <c r="AH1340" s="1" t="str">
        <f>IFERROR(__xludf.DUMMYFUNCTION("""COMPUTED_VALUE"""),"PEC")</f>
        <v>PEC</v>
      </c>
      <c r="AI1340" s="2" t="str">
        <f>IFERROR(__xludf.DUMMYFUNCTION("""COMPUTED_VALUE"""),"https://egcss.pwcgov.org/SelfService#/plan/5c7da087-98bf-4549-8e76-1e6eb1934083?tab=attachments")</f>
        <v>https://egcss.pwcgov.org/SelfService#/plan/5c7da087-98bf-4549-8e76-1e6eb1934083?tab=attachments</v>
      </c>
      <c r="AJ1340" s="2" t="str">
        <f>IFERROR(__xludf.DUMMYFUNCTION("""COMPUTED_VALUE"""),"https://pwc.publicaccessnow.com/PropertyDetail.aspx?mtab=property&amp;mpropertynumber=227933")</f>
        <v>https://pwc.publicaccessnow.com/PropertyDetail.aspx?mtab=property&amp;mpropertynumber=227933</v>
      </c>
      <c r="AK1340" s="1" t="str">
        <f>IFERROR(__xludf.DUMMYFUNCTION("""COMPUTED_VALUE"""),"")</f>
        <v/>
      </c>
      <c r="AL1340" s="1" t="str">
        <f>IFERROR(__xludf.DUMMYFUNCTION("""COMPUTED_VALUE"""),"")</f>
        <v/>
      </c>
      <c r="AM1340" s="1" t="str">
        <f>IFERROR(__xludf.DUMMYFUNCTION("""COMPUTED_VALUE"""),"")</f>
        <v/>
      </c>
      <c r="AN1340" s="1" t="str">
        <f>IFERROR(__xludf.DUMMYFUNCTION("""COMPUTED_VALUE"""),"")</f>
        <v/>
      </c>
      <c r="AO1340" s="1" t="str">
        <f>IFERROR(__xludf.DUMMYFUNCTION("""COMPUTED_VALUE"""),"")</f>
        <v/>
      </c>
      <c r="AP1340" s="1" t="str">
        <f>IFERROR(__xludf.DUMMYFUNCTION("""COMPUTED_VALUE"""),"")</f>
        <v/>
      </c>
      <c r="AQ1340" s="1" t="str">
        <f>IFERROR(__xludf.DUMMYFUNCTION("""COMPUTED_VALUE"""),"04/10/2024")</f>
        <v>04/10/2024</v>
      </c>
      <c r="AR1340" s="1" t="str">
        <f>IFERROR(__xludf.DUMMYFUNCTION("""COMPUTED_VALUE"""),"10/17/2025")</f>
        <v>10/17/2025</v>
      </c>
    </row>
    <row r="1341">
      <c r="A1341" s="1" t="str">
        <f>IFERROR(__xludf.DUMMYFUNCTION("""COMPUTED_VALUE"""),"Amazon Data Center")</f>
        <v>Amazon Data Center</v>
      </c>
      <c r="B1341" s="1" t="str">
        <f>IFERROR(__xludf.DUMMYFUNCTION("""COMPUTED_VALUE"""),"7300 CENTURY PARK DR")</f>
        <v>7300 CENTURY PARK DR</v>
      </c>
      <c r="C1341" s="1" t="str">
        <f>IFERROR(__xludf.DUMMYFUNCTION("""COMPUTED_VALUE"""),"Manassas")</f>
        <v>Manassas</v>
      </c>
      <c r="D1341" s="1" t="str">
        <f>IFERROR(__xludf.DUMMYFUNCTION("""COMPUTED_VALUE"""),"VA")</f>
        <v>VA</v>
      </c>
      <c r="E1341" s="1" t="str">
        <f>IFERROR(__xludf.DUMMYFUNCTION("""COMPUTED_VALUE"""),"20109")</f>
        <v>20109</v>
      </c>
      <c r="F1341" s="1" t="str">
        <f>IFERROR(__xludf.DUMMYFUNCTION("""COMPUTED_VALUE"""),"Prince William")</f>
        <v>Prince William</v>
      </c>
      <c r="G1341" s="1" t="str">
        <f>IFERROR(__xludf.DUMMYFUNCTION("""COMPUTED_VALUE"""),"38.7956")</f>
        <v>38.7956</v>
      </c>
      <c r="H1341" s="1" t="str">
        <f>IFERROR(__xludf.DUMMYFUNCTION("""COMPUTED_VALUE"""),"-77.54214")</f>
        <v>-77.54214</v>
      </c>
      <c r="I1341" s="1" t="str">
        <f>IFERROR(__xludf.DUMMYFUNCTION("""COMPUTED_VALUE"""),"Proposed")</f>
        <v>Proposed</v>
      </c>
      <c r="J1341" s="1" t="str">
        <f>IFERROR(__xludf.DUMMYFUNCTION("""COMPUTED_VALUE"""),"High")</f>
        <v>High</v>
      </c>
      <c r="K1341" s="1" t="str">
        <f>IFERROR(__xludf.DUMMYFUNCTION("""COMPUTED_VALUE"""),"")</f>
        <v/>
      </c>
      <c r="L1341" s="1" t="str">
        <f>IFERROR(__xludf.DUMMYFUNCTION("""COMPUTED_VALUE"""),"Amazon")</f>
        <v>Amazon</v>
      </c>
      <c r="M1341" s="1" t="str">
        <f>IFERROR(__xludf.DUMMYFUNCTION("""COMPUTED_VALUE"""),"")</f>
        <v/>
      </c>
      <c r="N1341" s="1" t="str">
        <f>IFERROR(__xludf.DUMMYFUNCTION("""COMPUTED_VALUE"""),"")</f>
        <v/>
      </c>
      <c r="O1341" s="1" t="str">
        <f>IFERROR(__xludf.DUMMYFUNCTION("""COMPUTED_VALUE"""),"Unknown")</f>
        <v>Unknown</v>
      </c>
      <c r="P1341" s="1" t="str">
        <f>IFERROR(__xludf.DUMMYFUNCTION("""COMPUTED_VALUE"""),"")</f>
        <v/>
      </c>
      <c r="Q1341" s="1" t="str">
        <f>IFERROR(__xludf.DUMMYFUNCTION("""COMPUTED_VALUE"""),"")</f>
        <v/>
      </c>
      <c r="R1341" s="1" t="str">
        <f>IFERROR(__xludf.DUMMYFUNCTION("""COMPUTED_VALUE"""),"")</f>
        <v/>
      </c>
      <c r="S1341" s="1" t="str">
        <f>IFERROR(__xludf.DUMMYFUNCTION("""COMPUTED_VALUE"""),"")</f>
        <v/>
      </c>
      <c r="T1341" s="1" t="str">
        <f>IFERROR(__xludf.DUMMYFUNCTION("""COMPUTED_VALUE"""),"")</f>
        <v/>
      </c>
      <c r="U1341" s="1" t="str">
        <f>IFERROR(__xludf.DUMMYFUNCTION("""COMPUTED_VALUE"""),"")</f>
        <v/>
      </c>
      <c r="V1341" s="1" t="str">
        <f>IFERROR(__xludf.DUMMYFUNCTION("""COMPUTED_VALUE"""),"")</f>
        <v/>
      </c>
      <c r="W1341" s="1" t="str">
        <f>IFERROR(__xludf.DUMMYFUNCTION("""COMPUTED_VALUE"""),"11")</f>
        <v>11</v>
      </c>
      <c r="X1341" s="1" t="str">
        <f>IFERROR(__xludf.DUMMYFUNCTION("""COMPUTED_VALUE"""),"")</f>
        <v/>
      </c>
      <c r="Y1341" s="1" t="str">
        <f>IFERROR(__xludf.DUMMYFUNCTION("""COMPUTED_VALUE"""),"")</f>
        <v/>
      </c>
      <c r="Z1341" s="1" t="str">
        <f>IFERROR(__xludf.DUMMYFUNCTION("""COMPUTED_VALUE"""),"Unknown")</f>
        <v>Unknown</v>
      </c>
      <c r="AA1341" s="1" t="str">
        <f>IFERROR(__xludf.DUMMYFUNCTION("""COMPUTED_VALUE"""),"")</f>
        <v/>
      </c>
      <c r="AB1341" s="1" t="str">
        <f>IFERROR(__xludf.DUMMYFUNCTION("""COMPUTED_VALUE"""),"")</f>
        <v/>
      </c>
      <c r="AC1341" s="1" t="str">
        <f>IFERROR(__xludf.DUMMYFUNCTION("""COMPUTED_VALUE"""),"")</f>
        <v/>
      </c>
      <c r="AD1341" s="1" t="str">
        <f>IFERROR(__xludf.DUMMYFUNCTION("""COMPUTED_VALUE"""),"")</f>
        <v/>
      </c>
      <c r="AE1341" s="1" t="str">
        <f>IFERROR(__xludf.DUMMYFUNCTION("""COMPUTED_VALUE"""),"")</f>
        <v/>
      </c>
      <c r="AF1341" s="1" t="str">
        <f>IFERROR(__xludf.DUMMYFUNCTION("""COMPUTED_VALUE"""),"")</f>
        <v/>
      </c>
      <c r="AG1341" s="1" t="str">
        <f>IFERROR(__xludf.DUMMYFUNCTION("""COMPUTED_VALUE"""),"")</f>
        <v/>
      </c>
      <c r="AH1341" s="1" t="str">
        <f>IFERROR(__xludf.DUMMYFUNCTION("""COMPUTED_VALUE"""),"PEC")</f>
        <v>PEC</v>
      </c>
      <c r="AI1341" s="2" t="str">
        <f>IFERROR(__xludf.DUMMYFUNCTION("""COMPUTED_VALUE"""),"https://www.datacenterdynamics.com/en/news/amazon-acquires-140-acres-of-land-in-manassas-virginia/")</f>
        <v>https://www.datacenterdynamics.com/en/news/amazon-acquires-140-acres-of-land-in-manassas-virginia/</v>
      </c>
      <c r="AJ1341" s="2" t="str">
        <f>IFERROR(__xludf.DUMMYFUNCTION("""COMPUTED_VALUE"""),"https://pwc.publicaccessnow.com/PropertyDetail.aspx?mtab=property&amp;mpropertynumber=265829")</f>
        <v>https://pwc.publicaccessnow.com/PropertyDetail.aspx?mtab=property&amp;mpropertynumber=265829</v>
      </c>
      <c r="AK1341" s="1" t="str">
        <f>IFERROR(__xludf.DUMMYFUNCTION("""COMPUTED_VALUE"""),"")</f>
        <v/>
      </c>
      <c r="AL1341" s="1" t="str">
        <f>IFERROR(__xludf.DUMMYFUNCTION("""COMPUTED_VALUE"""),"")</f>
        <v/>
      </c>
      <c r="AM1341" s="1" t="str">
        <f>IFERROR(__xludf.DUMMYFUNCTION("""COMPUTED_VALUE"""),"")</f>
        <v/>
      </c>
      <c r="AN1341" s="1" t="str">
        <f>IFERROR(__xludf.DUMMYFUNCTION("""COMPUTED_VALUE"""),"")</f>
        <v/>
      </c>
      <c r="AO1341" s="1" t="str">
        <f>IFERROR(__xludf.DUMMYFUNCTION("""COMPUTED_VALUE"""),"")</f>
        <v/>
      </c>
      <c r="AP1341" s="1" t="str">
        <f>IFERROR(__xludf.DUMMYFUNCTION("""COMPUTED_VALUE"""),"")</f>
        <v/>
      </c>
      <c r="AQ1341" s="1" t="str">
        <f>IFERROR(__xludf.DUMMYFUNCTION("""COMPUTED_VALUE"""),"04/10/2024")</f>
        <v>04/10/2024</v>
      </c>
      <c r="AR1341" s="1" t="str">
        <f>IFERROR(__xludf.DUMMYFUNCTION("""COMPUTED_VALUE"""),"10/17/2025")</f>
        <v>10/17/2025</v>
      </c>
    </row>
    <row r="1342">
      <c r="A1342" s="1" t="str">
        <f>IFERROR(__xludf.DUMMYFUNCTION("""COMPUTED_VALUE"""),"Amazon Data Center")</f>
        <v>Amazon Data Center</v>
      </c>
      <c r="B1342" s="1" t="str">
        <f>IFERROR(__xludf.DUMMYFUNCTION("""COMPUTED_VALUE"""),"7101 CENTURY PARK DR")</f>
        <v>7101 CENTURY PARK DR</v>
      </c>
      <c r="C1342" s="1" t="str">
        <f>IFERROR(__xludf.DUMMYFUNCTION("""COMPUTED_VALUE"""),"Manassas")</f>
        <v>Manassas</v>
      </c>
      <c r="D1342" s="1" t="str">
        <f>IFERROR(__xludf.DUMMYFUNCTION("""COMPUTED_VALUE"""),"VA")</f>
        <v>VA</v>
      </c>
      <c r="E1342" s="1" t="str">
        <f>IFERROR(__xludf.DUMMYFUNCTION("""COMPUTED_VALUE"""),"20109")</f>
        <v>20109</v>
      </c>
      <c r="F1342" s="1" t="str">
        <f>IFERROR(__xludf.DUMMYFUNCTION("""COMPUTED_VALUE"""),"Prince William")</f>
        <v>Prince William</v>
      </c>
      <c r="G1342" s="1" t="str">
        <f>IFERROR(__xludf.DUMMYFUNCTION("""COMPUTED_VALUE"""),"38.7977")</f>
        <v>38.7977</v>
      </c>
      <c r="H1342" s="1" t="str">
        <f>IFERROR(__xludf.DUMMYFUNCTION("""COMPUTED_VALUE"""),"-77.54477")</f>
        <v>-77.54477</v>
      </c>
      <c r="I1342" s="1" t="str">
        <f>IFERROR(__xludf.DUMMYFUNCTION("""COMPUTED_VALUE"""),"Proposed")</f>
        <v>Proposed</v>
      </c>
      <c r="J1342" s="1" t="str">
        <f>IFERROR(__xludf.DUMMYFUNCTION("""COMPUTED_VALUE"""),"High")</f>
        <v>High</v>
      </c>
      <c r="K1342" s="1" t="str">
        <f>IFERROR(__xludf.DUMMYFUNCTION("""COMPUTED_VALUE"""),"")</f>
        <v/>
      </c>
      <c r="L1342" s="1" t="str">
        <f>IFERROR(__xludf.DUMMYFUNCTION("""COMPUTED_VALUE"""),"Amazon")</f>
        <v>Amazon</v>
      </c>
      <c r="M1342" s="1" t="str">
        <f>IFERROR(__xludf.DUMMYFUNCTION("""COMPUTED_VALUE"""),"")</f>
        <v/>
      </c>
      <c r="N1342" s="1" t="str">
        <f>IFERROR(__xludf.DUMMYFUNCTION("""COMPUTED_VALUE"""),"")</f>
        <v/>
      </c>
      <c r="O1342" s="1" t="str">
        <f>IFERROR(__xludf.DUMMYFUNCTION("""COMPUTED_VALUE"""),"Unknown")</f>
        <v>Unknown</v>
      </c>
      <c r="P1342" s="1" t="str">
        <f>IFERROR(__xludf.DUMMYFUNCTION("""COMPUTED_VALUE"""),"")</f>
        <v/>
      </c>
      <c r="Q1342" s="1" t="str">
        <f>IFERROR(__xludf.DUMMYFUNCTION("""COMPUTED_VALUE"""),"")</f>
        <v/>
      </c>
      <c r="R1342" s="1" t="str">
        <f>IFERROR(__xludf.DUMMYFUNCTION("""COMPUTED_VALUE"""),"")</f>
        <v/>
      </c>
      <c r="S1342" s="1" t="str">
        <f>IFERROR(__xludf.DUMMYFUNCTION("""COMPUTED_VALUE"""),"")</f>
        <v/>
      </c>
      <c r="T1342" s="1" t="str">
        <f>IFERROR(__xludf.DUMMYFUNCTION("""COMPUTED_VALUE"""),"")</f>
        <v/>
      </c>
      <c r="U1342" s="1" t="str">
        <f>IFERROR(__xludf.DUMMYFUNCTION("""COMPUTED_VALUE"""),"")</f>
        <v/>
      </c>
      <c r="V1342" s="1" t="str">
        <f>IFERROR(__xludf.DUMMYFUNCTION("""COMPUTED_VALUE"""),"")</f>
        <v/>
      </c>
      <c r="W1342" s="1" t="str">
        <f>IFERROR(__xludf.DUMMYFUNCTION("""COMPUTED_VALUE"""),"17")</f>
        <v>17</v>
      </c>
      <c r="X1342" s="1" t="str">
        <f>IFERROR(__xludf.DUMMYFUNCTION("""COMPUTED_VALUE"""),"")</f>
        <v/>
      </c>
      <c r="Y1342" s="1" t="str">
        <f>IFERROR(__xludf.DUMMYFUNCTION("""COMPUTED_VALUE"""),"")</f>
        <v/>
      </c>
      <c r="Z1342" s="1" t="str">
        <f>IFERROR(__xludf.DUMMYFUNCTION("""COMPUTED_VALUE"""),"Unknown")</f>
        <v>Unknown</v>
      </c>
      <c r="AA1342" s="1" t="str">
        <f>IFERROR(__xludf.DUMMYFUNCTION("""COMPUTED_VALUE"""),"")</f>
        <v/>
      </c>
      <c r="AB1342" s="1" t="str">
        <f>IFERROR(__xludf.DUMMYFUNCTION("""COMPUTED_VALUE"""),"")</f>
        <v/>
      </c>
      <c r="AC1342" s="1" t="str">
        <f>IFERROR(__xludf.DUMMYFUNCTION("""COMPUTED_VALUE"""),"")</f>
        <v/>
      </c>
      <c r="AD1342" s="1" t="str">
        <f>IFERROR(__xludf.DUMMYFUNCTION("""COMPUTED_VALUE"""),"")</f>
        <v/>
      </c>
      <c r="AE1342" s="1" t="str">
        <f>IFERROR(__xludf.DUMMYFUNCTION("""COMPUTED_VALUE"""),"")</f>
        <v/>
      </c>
      <c r="AF1342" s="1" t="str">
        <f>IFERROR(__xludf.DUMMYFUNCTION("""COMPUTED_VALUE"""),"")</f>
        <v/>
      </c>
      <c r="AG1342" s="1" t="str">
        <f>IFERROR(__xludf.DUMMYFUNCTION("""COMPUTED_VALUE"""),"")</f>
        <v/>
      </c>
      <c r="AH1342" s="1" t="str">
        <f>IFERROR(__xludf.DUMMYFUNCTION("""COMPUTED_VALUE"""),"PEC")</f>
        <v>PEC</v>
      </c>
      <c r="AI1342" s="2" t="str">
        <f>IFERROR(__xludf.DUMMYFUNCTION("""COMPUTED_VALUE"""),"https://www.datacenterdynamics.com/en/news/amazon-acquires-140-acres-of-land-in-manassas-virginia/")</f>
        <v>https://www.datacenterdynamics.com/en/news/amazon-acquires-140-acres-of-land-in-manassas-virginia/</v>
      </c>
      <c r="AJ1342" s="2" t="str">
        <f>IFERROR(__xludf.DUMMYFUNCTION("""COMPUTED_VALUE"""),"https://pwc.publicaccessnow.com/PropertyDetail.aspx?mtab=property&amp;mpropertynumber=265828")</f>
        <v>https://pwc.publicaccessnow.com/PropertyDetail.aspx?mtab=property&amp;mpropertynumber=265828</v>
      </c>
      <c r="AK1342" s="1" t="str">
        <f>IFERROR(__xludf.DUMMYFUNCTION("""COMPUTED_VALUE"""),"")</f>
        <v/>
      </c>
      <c r="AL1342" s="1" t="str">
        <f>IFERROR(__xludf.DUMMYFUNCTION("""COMPUTED_VALUE"""),"")</f>
        <v/>
      </c>
      <c r="AM1342" s="1" t="str">
        <f>IFERROR(__xludf.DUMMYFUNCTION("""COMPUTED_VALUE"""),"")</f>
        <v/>
      </c>
      <c r="AN1342" s="1" t="str">
        <f>IFERROR(__xludf.DUMMYFUNCTION("""COMPUTED_VALUE"""),"")</f>
        <v/>
      </c>
      <c r="AO1342" s="1" t="str">
        <f>IFERROR(__xludf.DUMMYFUNCTION("""COMPUTED_VALUE"""),"")</f>
        <v/>
      </c>
      <c r="AP1342" s="1" t="str">
        <f>IFERROR(__xludf.DUMMYFUNCTION("""COMPUTED_VALUE"""),"")</f>
        <v/>
      </c>
      <c r="AQ1342" s="1" t="str">
        <f>IFERROR(__xludf.DUMMYFUNCTION("""COMPUTED_VALUE"""),"04/10/2024")</f>
        <v>04/10/2024</v>
      </c>
      <c r="AR1342" s="1" t="str">
        <f>IFERROR(__xludf.DUMMYFUNCTION("""COMPUTED_VALUE"""),"10/17/2025")</f>
        <v>10/17/2025</v>
      </c>
    </row>
    <row r="1343">
      <c r="A1343" s="1" t="str">
        <f>IFERROR(__xludf.DUMMYFUNCTION("""COMPUTED_VALUE"""),"Amazon Data Center")</f>
        <v>Amazon Data Center</v>
      </c>
      <c r="B1343" s="1" t="str">
        <f>IFERROR(__xludf.DUMMYFUNCTION("""COMPUTED_VALUE"""),"7500 BETHLEHEM RD")</f>
        <v>7500 BETHLEHEM RD</v>
      </c>
      <c r="C1343" s="1" t="str">
        <f>IFERROR(__xludf.DUMMYFUNCTION("""COMPUTED_VALUE"""),"Manassas")</f>
        <v>Manassas</v>
      </c>
      <c r="D1343" s="1" t="str">
        <f>IFERROR(__xludf.DUMMYFUNCTION("""COMPUTED_VALUE"""),"VA")</f>
        <v>VA</v>
      </c>
      <c r="E1343" s="1" t="str">
        <f>IFERROR(__xludf.DUMMYFUNCTION("""COMPUTED_VALUE"""),"20109")</f>
        <v>20109</v>
      </c>
      <c r="F1343" s="1" t="str">
        <f>IFERROR(__xludf.DUMMYFUNCTION("""COMPUTED_VALUE"""),"Prince William")</f>
        <v>Prince William</v>
      </c>
      <c r="G1343" s="1" t="str">
        <f>IFERROR(__xludf.DUMMYFUNCTION("""COMPUTED_VALUE"""),"38.792118")</f>
        <v>38.792118</v>
      </c>
      <c r="H1343" s="1" t="str">
        <f>IFERROR(__xludf.DUMMYFUNCTION("""COMPUTED_VALUE"""),"-77.53619")</f>
        <v>-77.53619</v>
      </c>
      <c r="I1343" s="1" t="str">
        <f>IFERROR(__xludf.DUMMYFUNCTION("""COMPUTED_VALUE"""),"Proposed")</f>
        <v>Proposed</v>
      </c>
      <c r="J1343" s="1" t="str">
        <f>IFERROR(__xludf.DUMMYFUNCTION("""COMPUTED_VALUE"""),"High")</f>
        <v>High</v>
      </c>
      <c r="K1343" s="1" t="str">
        <f>IFERROR(__xludf.DUMMYFUNCTION("""COMPUTED_VALUE"""),"")</f>
        <v/>
      </c>
      <c r="L1343" s="1" t="str">
        <f>IFERROR(__xludf.DUMMYFUNCTION("""COMPUTED_VALUE"""),"Amazon")</f>
        <v>Amazon</v>
      </c>
      <c r="M1343" s="1" t="str">
        <f>IFERROR(__xludf.DUMMYFUNCTION("""COMPUTED_VALUE"""),"")</f>
        <v/>
      </c>
      <c r="N1343" s="1" t="str">
        <f>IFERROR(__xludf.DUMMYFUNCTION("""COMPUTED_VALUE"""),"")</f>
        <v/>
      </c>
      <c r="O1343" s="1" t="str">
        <f>IFERROR(__xludf.DUMMYFUNCTION("""COMPUTED_VALUE"""),"Unknown")</f>
        <v>Unknown</v>
      </c>
      <c r="P1343" s="1" t="str">
        <f>IFERROR(__xludf.DUMMYFUNCTION("""COMPUTED_VALUE"""),"")</f>
        <v/>
      </c>
      <c r="Q1343" s="1" t="str">
        <f>IFERROR(__xludf.DUMMYFUNCTION("""COMPUTED_VALUE"""),"")</f>
        <v/>
      </c>
      <c r="R1343" s="1" t="str">
        <f>IFERROR(__xludf.DUMMYFUNCTION("""COMPUTED_VALUE"""),"")</f>
        <v/>
      </c>
      <c r="S1343" s="1" t="str">
        <f>IFERROR(__xludf.DUMMYFUNCTION("""COMPUTED_VALUE"""),"")</f>
        <v/>
      </c>
      <c r="T1343" s="1" t="str">
        <f>IFERROR(__xludf.DUMMYFUNCTION("""COMPUTED_VALUE"""),"")</f>
        <v/>
      </c>
      <c r="U1343" s="1" t="str">
        <f>IFERROR(__xludf.DUMMYFUNCTION("""COMPUTED_VALUE"""),"")</f>
        <v/>
      </c>
      <c r="V1343" s="1" t="str">
        <f>IFERROR(__xludf.DUMMYFUNCTION("""COMPUTED_VALUE"""),"")</f>
        <v/>
      </c>
      <c r="W1343" s="1" t="str">
        <f>IFERROR(__xludf.DUMMYFUNCTION("""COMPUTED_VALUE"""),"10")</f>
        <v>10</v>
      </c>
      <c r="X1343" s="1" t="str">
        <f>IFERROR(__xludf.DUMMYFUNCTION("""COMPUTED_VALUE"""),"")</f>
        <v/>
      </c>
      <c r="Y1343" s="1" t="str">
        <f>IFERROR(__xludf.DUMMYFUNCTION("""COMPUTED_VALUE"""),"")</f>
        <v/>
      </c>
      <c r="Z1343" s="1" t="str">
        <f>IFERROR(__xludf.DUMMYFUNCTION("""COMPUTED_VALUE"""),"Unknown")</f>
        <v>Unknown</v>
      </c>
      <c r="AA1343" s="1" t="str">
        <f>IFERROR(__xludf.DUMMYFUNCTION("""COMPUTED_VALUE"""),"")</f>
        <v/>
      </c>
      <c r="AB1343" s="1" t="str">
        <f>IFERROR(__xludf.DUMMYFUNCTION("""COMPUTED_VALUE"""),"")</f>
        <v/>
      </c>
      <c r="AC1343" s="1" t="str">
        <f>IFERROR(__xludf.DUMMYFUNCTION("""COMPUTED_VALUE"""),"")</f>
        <v/>
      </c>
      <c r="AD1343" s="1" t="str">
        <f>IFERROR(__xludf.DUMMYFUNCTION("""COMPUTED_VALUE"""),"")</f>
        <v/>
      </c>
      <c r="AE1343" s="1" t="str">
        <f>IFERROR(__xludf.DUMMYFUNCTION("""COMPUTED_VALUE"""),"")</f>
        <v/>
      </c>
      <c r="AF1343" s="1" t="str">
        <f>IFERROR(__xludf.DUMMYFUNCTION("""COMPUTED_VALUE"""),"")</f>
        <v/>
      </c>
      <c r="AG1343" s="1" t="str">
        <f>IFERROR(__xludf.DUMMYFUNCTION("""COMPUTED_VALUE"""),"")</f>
        <v/>
      </c>
      <c r="AH1343" s="1" t="str">
        <f>IFERROR(__xludf.DUMMYFUNCTION("""COMPUTED_VALUE"""),"PEC")</f>
        <v>PEC</v>
      </c>
      <c r="AI1343" s="2" t="str">
        <f>IFERROR(__xludf.DUMMYFUNCTION("""COMPUTED_VALUE"""),"https://pwc.publicaccessnow.com/PropertyDetail.aspx?mtab=property&amp;mpropertynumber=022195")</f>
        <v>https://pwc.publicaccessnow.com/PropertyDetail.aspx?mtab=property&amp;mpropertynumber=022195</v>
      </c>
      <c r="AJ1343" s="1" t="str">
        <f>IFERROR(__xludf.DUMMYFUNCTION("""COMPUTED_VALUE"""),"")</f>
        <v/>
      </c>
      <c r="AK1343" s="1" t="str">
        <f>IFERROR(__xludf.DUMMYFUNCTION("""COMPUTED_VALUE"""),"")</f>
        <v/>
      </c>
      <c r="AL1343" s="1" t="str">
        <f>IFERROR(__xludf.DUMMYFUNCTION("""COMPUTED_VALUE"""),"")</f>
        <v/>
      </c>
      <c r="AM1343" s="1" t="str">
        <f>IFERROR(__xludf.DUMMYFUNCTION("""COMPUTED_VALUE"""),"")</f>
        <v/>
      </c>
      <c r="AN1343" s="1" t="str">
        <f>IFERROR(__xludf.DUMMYFUNCTION("""COMPUTED_VALUE"""),"")</f>
        <v/>
      </c>
      <c r="AO1343" s="1" t="str">
        <f>IFERROR(__xludf.DUMMYFUNCTION("""COMPUTED_VALUE"""),"")</f>
        <v/>
      </c>
      <c r="AP1343" s="1" t="str">
        <f>IFERROR(__xludf.DUMMYFUNCTION("""COMPUTED_VALUE"""),"")</f>
        <v/>
      </c>
      <c r="AQ1343" s="1" t="str">
        <f>IFERROR(__xludf.DUMMYFUNCTION("""COMPUTED_VALUE"""),"04/10/2024")</f>
        <v>04/10/2024</v>
      </c>
      <c r="AR1343" s="1" t="str">
        <f>IFERROR(__xludf.DUMMYFUNCTION("""COMPUTED_VALUE"""),"10/17/2025")</f>
        <v>10/17/2025</v>
      </c>
    </row>
    <row r="1344">
      <c r="A1344" s="1" t="str">
        <f>IFERROR(__xludf.DUMMYFUNCTION("""COMPUTED_VALUE"""),"Amazon Data Center")</f>
        <v>Amazon Data Center</v>
      </c>
      <c r="B1344" s="1" t="str">
        <f>IFERROR(__xludf.DUMMYFUNCTION("""COMPUTED_VALUE"""),"")</f>
        <v/>
      </c>
      <c r="C1344" s="1" t="str">
        <f>IFERROR(__xludf.DUMMYFUNCTION("""COMPUTED_VALUE"""),"Manassas")</f>
        <v>Manassas</v>
      </c>
      <c r="D1344" s="1" t="str">
        <f>IFERROR(__xludf.DUMMYFUNCTION("""COMPUTED_VALUE"""),"VA")</f>
        <v>VA</v>
      </c>
      <c r="E1344" s="1" t="str">
        <f>IFERROR(__xludf.DUMMYFUNCTION("""COMPUTED_VALUE"""),"20110")</f>
        <v>20110</v>
      </c>
      <c r="F1344" s="1" t="str">
        <f>IFERROR(__xludf.DUMMYFUNCTION("""COMPUTED_VALUE"""),"Prince William")</f>
        <v>Prince William</v>
      </c>
      <c r="G1344" s="1" t="str">
        <f>IFERROR(__xludf.DUMMYFUNCTION("""COMPUTED_VALUE"""),"38.733845")</f>
        <v>38.733845</v>
      </c>
      <c r="H1344" s="1" t="str">
        <f>IFERROR(__xludf.DUMMYFUNCTION("""COMPUTED_VALUE"""),"-77.51592")</f>
        <v>-77.51592</v>
      </c>
      <c r="I1344" s="1" t="str">
        <f>IFERROR(__xludf.DUMMYFUNCTION("""COMPUTED_VALUE"""),"Proposed")</f>
        <v>Proposed</v>
      </c>
      <c r="J1344" s="1" t="str">
        <f>IFERROR(__xludf.DUMMYFUNCTION("""COMPUTED_VALUE"""),"Medium")</f>
        <v>Medium</v>
      </c>
      <c r="K1344" s="1" t="str">
        <f>IFERROR(__xludf.DUMMYFUNCTION("""COMPUTED_VALUE"""),"")</f>
        <v/>
      </c>
      <c r="L1344" s="1" t="str">
        <f>IFERROR(__xludf.DUMMYFUNCTION("""COMPUTED_VALUE"""),"Amazon")</f>
        <v>Amazon</v>
      </c>
      <c r="M1344" s="1" t="str">
        <f>IFERROR(__xludf.DUMMYFUNCTION("""COMPUTED_VALUE"""),"")</f>
        <v/>
      </c>
      <c r="N1344" s="1" t="str">
        <f>IFERROR(__xludf.DUMMYFUNCTION("""COMPUTED_VALUE"""),"")</f>
        <v/>
      </c>
      <c r="O1344" s="1" t="str">
        <f>IFERROR(__xludf.DUMMYFUNCTION("""COMPUTED_VALUE"""),"Unknown")</f>
        <v>Unknown</v>
      </c>
      <c r="P1344" s="1" t="str">
        <f>IFERROR(__xludf.DUMMYFUNCTION("""COMPUTED_VALUE"""),"")</f>
        <v/>
      </c>
      <c r="Q1344" s="1" t="str">
        <f>IFERROR(__xludf.DUMMYFUNCTION("""COMPUTED_VALUE"""),"")</f>
        <v/>
      </c>
      <c r="R1344" s="1" t="str">
        <f>IFERROR(__xludf.DUMMYFUNCTION("""COMPUTED_VALUE"""),"")</f>
        <v/>
      </c>
      <c r="S1344" s="1" t="str">
        <f>IFERROR(__xludf.DUMMYFUNCTION("""COMPUTED_VALUE"""),"")</f>
        <v/>
      </c>
      <c r="T1344" s="1" t="str">
        <f>IFERROR(__xludf.DUMMYFUNCTION("""COMPUTED_VALUE"""),"")</f>
        <v/>
      </c>
      <c r="U1344" s="1" t="str">
        <f>IFERROR(__xludf.DUMMYFUNCTION("""COMPUTED_VALUE"""),"")</f>
        <v/>
      </c>
      <c r="V1344" s="1" t="str">
        <f>IFERROR(__xludf.DUMMYFUNCTION("""COMPUTED_VALUE"""),"")</f>
        <v/>
      </c>
      <c r="W1344" s="1" t="str">
        <f>IFERROR(__xludf.DUMMYFUNCTION("""COMPUTED_VALUE"""),"")</f>
        <v/>
      </c>
      <c r="X1344" s="1" t="str">
        <f>IFERROR(__xludf.DUMMYFUNCTION("""COMPUTED_VALUE"""),"")</f>
        <v/>
      </c>
      <c r="Y1344" s="1" t="str">
        <f>IFERROR(__xludf.DUMMYFUNCTION("""COMPUTED_VALUE"""),"")</f>
        <v/>
      </c>
      <c r="Z1344" s="1" t="str">
        <f>IFERROR(__xludf.DUMMYFUNCTION("""COMPUTED_VALUE"""),"Unknown")</f>
        <v>Unknown</v>
      </c>
      <c r="AA1344" s="1" t="str">
        <f>IFERROR(__xludf.DUMMYFUNCTION("""COMPUTED_VALUE"""),"")</f>
        <v/>
      </c>
      <c r="AB1344" s="1" t="str">
        <f>IFERROR(__xludf.DUMMYFUNCTION("""COMPUTED_VALUE"""),"")</f>
        <v/>
      </c>
      <c r="AC1344" s="1" t="str">
        <f>IFERROR(__xludf.DUMMYFUNCTION("""COMPUTED_VALUE"""),"")</f>
        <v/>
      </c>
      <c r="AD1344" s="1" t="str">
        <f>IFERROR(__xludf.DUMMYFUNCTION("""COMPUTED_VALUE"""),"")</f>
        <v/>
      </c>
      <c r="AE1344" s="1" t="str">
        <f>IFERROR(__xludf.DUMMYFUNCTION("""COMPUTED_VALUE"""),"")</f>
        <v/>
      </c>
      <c r="AF1344" s="1" t="str">
        <f>IFERROR(__xludf.DUMMYFUNCTION("""COMPUTED_VALUE"""),"")</f>
        <v/>
      </c>
      <c r="AG1344" s="1" t="str">
        <f>IFERROR(__xludf.DUMMYFUNCTION("""COMPUTED_VALUE"""),"")</f>
        <v/>
      </c>
      <c r="AH1344" s="1" t="str">
        <f>IFERROR(__xludf.DUMMYFUNCTION("""COMPUTED_VALUE"""),"PEC")</f>
        <v>PEC</v>
      </c>
      <c r="AI1344" s="2" t="str">
        <f>IFERROR(__xludf.DUMMYFUNCTION("""COMPUTED_VALUE"""),"https://www.princewilliamtimes.com/news/manassas-to-net-28-million-in-land-sale-for-amazon-data-center-but-the-money/article_9be9a116-a505-11ee-a48c-e7a38d4609f7.html")</f>
        <v>https://www.princewilliamtimes.com/news/manassas-to-net-28-million-in-land-sale-for-amazon-data-center-but-the-money/article_9be9a116-a505-11ee-a48c-e7a38d4609f7.html</v>
      </c>
      <c r="AJ1344" s="1" t="str">
        <f>IFERROR(__xludf.DUMMYFUNCTION("""COMPUTED_VALUE"""),"")</f>
        <v/>
      </c>
      <c r="AK1344" s="1" t="str">
        <f>IFERROR(__xludf.DUMMYFUNCTION("""COMPUTED_VALUE"""),"")</f>
        <v/>
      </c>
      <c r="AL1344" s="1" t="str">
        <f>IFERROR(__xludf.DUMMYFUNCTION("""COMPUTED_VALUE"""),"")</f>
        <v/>
      </c>
      <c r="AM1344" s="1" t="str">
        <f>IFERROR(__xludf.DUMMYFUNCTION("""COMPUTED_VALUE"""),"")</f>
        <v/>
      </c>
      <c r="AN1344" s="1" t="str">
        <f>IFERROR(__xludf.DUMMYFUNCTION("""COMPUTED_VALUE"""),"")</f>
        <v/>
      </c>
      <c r="AO1344" s="1" t="str">
        <f>IFERROR(__xludf.DUMMYFUNCTION("""COMPUTED_VALUE"""),"")</f>
        <v/>
      </c>
      <c r="AP1344" s="1" t="str">
        <f>IFERROR(__xludf.DUMMYFUNCTION("""COMPUTED_VALUE"""),"")</f>
        <v/>
      </c>
      <c r="AQ1344" s="1" t="str">
        <f>IFERROR(__xludf.DUMMYFUNCTION("""COMPUTED_VALUE"""),"04/10/2024")</f>
        <v>04/10/2024</v>
      </c>
      <c r="AR1344" s="1" t="str">
        <f>IFERROR(__xludf.DUMMYFUNCTION("""COMPUTED_VALUE"""),"10/17/2025")</f>
        <v>10/17/2025</v>
      </c>
    </row>
    <row r="1345">
      <c r="A1345" s="1" t="str">
        <f>IFERROR(__xludf.DUMMYFUNCTION("""COMPUTED_VALUE"""),"AMAZON DATA SERVICES INC")</f>
        <v>AMAZON DATA SERVICES INC</v>
      </c>
      <c r="B1345" s="1" t="str">
        <f>IFERROR(__xludf.DUMMYFUNCTION("""COMPUTED_VALUE"""),"11800 BREWERS SPRING RD")</f>
        <v>11800 BREWERS SPRING RD</v>
      </c>
      <c r="C1345" s="1" t="str">
        <f>IFERROR(__xludf.DUMMYFUNCTION("""COMPUTED_VALUE"""),"Manassas")</f>
        <v>Manassas</v>
      </c>
      <c r="D1345" s="1" t="str">
        <f>IFERROR(__xludf.DUMMYFUNCTION("""COMPUTED_VALUE"""),"VA")</f>
        <v>VA</v>
      </c>
      <c r="E1345" s="1" t="str">
        <f>IFERROR(__xludf.DUMMYFUNCTION("""COMPUTED_VALUE"""),"20109")</f>
        <v>20109</v>
      </c>
      <c r="F1345" s="1" t="str">
        <f>IFERROR(__xludf.DUMMYFUNCTION("""COMPUTED_VALUE"""),"Prince William")</f>
        <v>Prince William</v>
      </c>
      <c r="G1345" s="1" t="str">
        <f>IFERROR(__xludf.DUMMYFUNCTION("""COMPUTED_VALUE"""),"38.79109")</f>
        <v>38.79109</v>
      </c>
      <c r="H1345" s="1" t="str">
        <f>IFERROR(__xludf.DUMMYFUNCTION("""COMPUTED_VALUE"""),"-77.54837")</f>
        <v>-77.54837</v>
      </c>
      <c r="I1345" s="1" t="str">
        <f>IFERROR(__xludf.DUMMYFUNCTION("""COMPUTED_VALUE"""),"Operating")</f>
        <v>Operating</v>
      </c>
      <c r="J1345" s="1" t="str">
        <f>IFERROR(__xludf.DUMMYFUNCTION("""COMPUTED_VALUE"""),"High")</f>
        <v>High</v>
      </c>
      <c r="K1345" s="1" t="str">
        <f>IFERROR(__xludf.DUMMYFUNCTION("""COMPUTED_VALUE"""),"")</f>
        <v/>
      </c>
      <c r="L1345" s="1" t="str">
        <f>IFERROR(__xludf.DUMMYFUNCTION("""COMPUTED_VALUE"""),"Amazon")</f>
        <v>Amazon</v>
      </c>
      <c r="M1345" s="1" t="str">
        <f>IFERROR(__xludf.DUMMYFUNCTION("""COMPUTED_VALUE"""),"")</f>
        <v/>
      </c>
      <c r="N1345" s="1" t="str">
        <f>IFERROR(__xludf.DUMMYFUNCTION("""COMPUTED_VALUE"""),"")</f>
        <v/>
      </c>
      <c r="O1345" s="1" t="str">
        <f>IFERROR(__xludf.DUMMYFUNCTION("""COMPUTED_VALUE"""),"Unknown")</f>
        <v>Unknown</v>
      </c>
      <c r="P1345" s="1" t="str">
        <f>IFERROR(__xludf.DUMMYFUNCTION("""COMPUTED_VALUE"""),"")</f>
        <v/>
      </c>
      <c r="Q1345" s="1" t="str">
        <f>IFERROR(__xludf.DUMMYFUNCTION("""COMPUTED_VALUE"""),"")</f>
        <v/>
      </c>
      <c r="R1345" s="1" t="str">
        <f>IFERROR(__xludf.DUMMYFUNCTION("""COMPUTED_VALUE"""),"")</f>
        <v/>
      </c>
      <c r="S1345" s="1" t="str">
        <f>IFERROR(__xludf.DUMMYFUNCTION("""COMPUTED_VALUE"""),"")</f>
        <v/>
      </c>
      <c r="T1345" s="1" t="str">
        <f>IFERROR(__xludf.DUMMYFUNCTION("""COMPUTED_VALUE"""),"")</f>
        <v/>
      </c>
      <c r="U1345" s="1" t="str">
        <f>IFERROR(__xludf.DUMMYFUNCTION("""COMPUTED_VALUE"""),"")</f>
        <v/>
      </c>
      <c r="V1345" s="1" t="str">
        <f>IFERROR(__xludf.DUMMYFUNCTION("""COMPUTED_VALUE"""),"123,534")</f>
        <v>123,534</v>
      </c>
      <c r="W1345" s="1" t="str">
        <f>IFERROR(__xludf.DUMMYFUNCTION("""COMPUTED_VALUE"""),"8")</f>
        <v>8</v>
      </c>
      <c r="X1345" s="1" t="str">
        <f>IFERROR(__xludf.DUMMYFUNCTION("""COMPUTED_VALUE"""),"")</f>
        <v/>
      </c>
      <c r="Y1345" s="1" t="str">
        <f>IFERROR(__xludf.DUMMYFUNCTION("""COMPUTED_VALUE"""),"")</f>
        <v/>
      </c>
      <c r="Z1345" s="1" t="str">
        <f>IFERROR(__xludf.DUMMYFUNCTION("""COMPUTED_VALUE"""),"Unknown")</f>
        <v>Unknown</v>
      </c>
      <c r="AA1345" s="1" t="str">
        <f>IFERROR(__xludf.DUMMYFUNCTION("""COMPUTED_VALUE"""),"")</f>
        <v/>
      </c>
      <c r="AB1345" s="1" t="str">
        <f>IFERROR(__xludf.DUMMYFUNCTION("""COMPUTED_VALUE"""),"")</f>
        <v/>
      </c>
      <c r="AC1345" s="1" t="str">
        <f>IFERROR(__xludf.DUMMYFUNCTION("""COMPUTED_VALUE"""),"")</f>
        <v/>
      </c>
      <c r="AD1345" s="1" t="str">
        <f>IFERROR(__xludf.DUMMYFUNCTION("""COMPUTED_VALUE"""),"")</f>
        <v/>
      </c>
      <c r="AE1345" s="1" t="str">
        <f>IFERROR(__xludf.DUMMYFUNCTION("""COMPUTED_VALUE"""),"")</f>
        <v/>
      </c>
      <c r="AF1345" s="1" t="str">
        <f>IFERROR(__xludf.DUMMYFUNCTION("""COMPUTED_VALUE"""),"")</f>
        <v/>
      </c>
      <c r="AG1345" s="1" t="str">
        <f>IFERROR(__xludf.DUMMYFUNCTION("""COMPUTED_VALUE"""),"")</f>
        <v/>
      </c>
      <c r="AH1345" s="1" t="str">
        <f>IFERROR(__xludf.DUMMYFUNCTION("""COMPUTED_VALUE"""),"PEC")</f>
        <v>PEC</v>
      </c>
      <c r="AI1345" s="2" t="str">
        <f>IFERROR(__xludf.DUMMYFUNCTION("""COMPUTED_VALUE"""),"https://pwc.publicaccessnow.com/PropertyDetail.aspx?mpropertynumber=257270&amp;mtab=property&amp;p=257270")</f>
        <v>https://pwc.publicaccessnow.com/PropertyDetail.aspx?mpropertynumber=257270&amp;mtab=property&amp;p=257270</v>
      </c>
      <c r="AJ1345" s="1" t="str">
        <f>IFERROR(__xludf.DUMMYFUNCTION("""COMPUTED_VALUE"""),"")</f>
        <v/>
      </c>
      <c r="AK1345" s="1" t="str">
        <f>IFERROR(__xludf.DUMMYFUNCTION("""COMPUTED_VALUE"""),"")</f>
        <v/>
      </c>
      <c r="AL1345" s="1" t="str">
        <f>IFERROR(__xludf.DUMMYFUNCTION("""COMPUTED_VALUE"""),"")</f>
        <v/>
      </c>
      <c r="AM1345" s="1" t="str">
        <f>IFERROR(__xludf.DUMMYFUNCTION("""COMPUTED_VALUE"""),"")</f>
        <v/>
      </c>
      <c r="AN1345" s="1" t="str">
        <f>IFERROR(__xludf.DUMMYFUNCTION("""COMPUTED_VALUE"""),"")</f>
        <v/>
      </c>
      <c r="AO1345" s="1" t="str">
        <f>IFERROR(__xludf.DUMMYFUNCTION("""COMPUTED_VALUE"""),"")</f>
        <v/>
      </c>
      <c r="AP1345" s="1" t="str">
        <f>IFERROR(__xludf.DUMMYFUNCTION("""COMPUTED_VALUE"""),"")</f>
        <v/>
      </c>
      <c r="AQ1345" s="1" t="str">
        <f>IFERROR(__xludf.DUMMYFUNCTION("""COMPUTED_VALUE"""),"04/10/2024")</f>
        <v>04/10/2024</v>
      </c>
      <c r="AR1345" s="1" t="str">
        <f>IFERROR(__xludf.DUMMYFUNCTION("""COMPUTED_VALUE"""),"10/17/2025")</f>
        <v>10/17/2025</v>
      </c>
    </row>
    <row r="1346">
      <c r="A1346" s="1" t="str">
        <f>IFERROR(__xludf.DUMMYFUNCTION("""COMPUTED_VALUE"""),"AMAZON DATA SERVICES INC")</f>
        <v>AMAZON DATA SERVICES INC</v>
      </c>
      <c r="B1346" s="1" t="str">
        <f>IFERROR(__xludf.DUMMYFUNCTION("""COMPUTED_VALUE"""),"11801 BREWERS SPRING RD")</f>
        <v>11801 BREWERS SPRING RD</v>
      </c>
      <c r="C1346" s="1" t="str">
        <f>IFERROR(__xludf.DUMMYFUNCTION("""COMPUTED_VALUE"""),"Manassas")</f>
        <v>Manassas</v>
      </c>
      <c r="D1346" s="1" t="str">
        <f>IFERROR(__xludf.DUMMYFUNCTION("""COMPUTED_VALUE"""),"VA")</f>
        <v>VA</v>
      </c>
      <c r="E1346" s="1" t="str">
        <f>IFERROR(__xludf.DUMMYFUNCTION("""COMPUTED_VALUE"""),"20109")</f>
        <v>20109</v>
      </c>
      <c r="F1346" s="1" t="str">
        <f>IFERROR(__xludf.DUMMYFUNCTION("""COMPUTED_VALUE"""),"Prince William")</f>
        <v>Prince William</v>
      </c>
      <c r="G1346" s="1" t="str">
        <f>IFERROR(__xludf.DUMMYFUNCTION("""COMPUTED_VALUE"""),"38.789906")</f>
        <v>38.789906</v>
      </c>
      <c r="H1346" s="1" t="str">
        <f>IFERROR(__xludf.DUMMYFUNCTION("""COMPUTED_VALUE"""),"-77.54799")</f>
        <v>-77.54799</v>
      </c>
      <c r="I1346" s="1" t="str">
        <f>IFERROR(__xludf.DUMMYFUNCTION("""COMPUTED_VALUE"""),"Operating")</f>
        <v>Operating</v>
      </c>
      <c r="J1346" s="1" t="str">
        <f>IFERROR(__xludf.DUMMYFUNCTION("""COMPUTED_VALUE"""),"High")</f>
        <v>High</v>
      </c>
      <c r="K1346" s="1" t="str">
        <f>IFERROR(__xludf.DUMMYFUNCTION("""COMPUTED_VALUE"""),"")</f>
        <v/>
      </c>
      <c r="L1346" s="1" t="str">
        <f>IFERROR(__xludf.DUMMYFUNCTION("""COMPUTED_VALUE"""),"Amazon")</f>
        <v>Amazon</v>
      </c>
      <c r="M1346" s="1" t="str">
        <f>IFERROR(__xludf.DUMMYFUNCTION("""COMPUTED_VALUE"""),"")</f>
        <v/>
      </c>
      <c r="N1346" s="1" t="str">
        <f>IFERROR(__xludf.DUMMYFUNCTION("""COMPUTED_VALUE"""),"")</f>
        <v/>
      </c>
      <c r="O1346" s="1" t="str">
        <f>IFERROR(__xludf.DUMMYFUNCTION("""COMPUTED_VALUE"""),"Unknown")</f>
        <v>Unknown</v>
      </c>
      <c r="P1346" s="1" t="str">
        <f>IFERROR(__xludf.DUMMYFUNCTION("""COMPUTED_VALUE"""),"")</f>
        <v/>
      </c>
      <c r="Q1346" s="1" t="str">
        <f>IFERROR(__xludf.DUMMYFUNCTION("""COMPUTED_VALUE"""),"")</f>
        <v/>
      </c>
      <c r="R1346" s="1" t="str">
        <f>IFERROR(__xludf.DUMMYFUNCTION("""COMPUTED_VALUE"""),"")</f>
        <v/>
      </c>
      <c r="S1346" s="1" t="str">
        <f>IFERROR(__xludf.DUMMYFUNCTION("""COMPUTED_VALUE"""),"")</f>
        <v/>
      </c>
      <c r="T1346" s="1" t="str">
        <f>IFERROR(__xludf.DUMMYFUNCTION("""COMPUTED_VALUE"""),"")</f>
        <v/>
      </c>
      <c r="U1346" s="1" t="str">
        <f>IFERROR(__xludf.DUMMYFUNCTION("""COMPUTED_VALUE"""),"")</f>
        <v/>
      </c>
      <c r="V1346" s="1" t="str">
        <f>IFERROR(__xludf.DUMMYFUNCTION("""COMPUTED_VALUE"""),"115,600")</f>
        <v>115,600</v>
      </c>
      <c r="W1346" s="1" t="str">
        <f>IFERROR(__xludf.DUMMYFUNCTION("""COMPUTED_VALUE"""),"10")</f>
        <v>10</v>
      </c>
      <c r="X1346" s="1" t="str">
        <f>IFERROR(__xludf.DUMMYFUNCTION("""COMPUTED_VALUE"""),"")</f>
        <v/>
      </c>
      <c r="Y1346" s="1" t="str">
        <f>IFERROR(__xludf.DUMMYFUNCTION("""COMPUTED_VALUE"""),"")</f>
        <v/>
      </c>
      <c r="Z1346" s="1" t="str">
        <f>IFERROR(__xludf.DUMMYFUNCTION("""COMPUTED_VALUE"""),"Unknown")</f>
        <v>Unknown</v>
      </c>
      <c r="AA1346" s="1" t="str">
        <f>IFERROR(__xludf.DUMMYFUNCTION("""COMPUTED_VALUE"""),"")</f>
        <v/>
      </c>
      <c r="AB1346" s="1" t="str">
        <f>IFERROR(__xludf.DUMMYFUNCTION("""COMPUTED_VALUE"""),"")</f>
        <v/>
      </c>
      <c r="AC1346" s="1" t="str">
        <f>IFERROR(__xludf.DUMMYFUNCTION("""COMPUTED_VALUE"""),"")</f>
        <v/>
      </c>
      <c r="AD1346" s="1" t="str">
        <f>IFERROR(__xludf.DUMMYFUNCTION("""COMPUTED_VALUE"""),"")</f>
        <v/>
      </c>
      <c r="AE1346" s="1" t="str">
        <f>IFERROR(__xludf.DUMMYFUNCTION("""COMPUTED_VALUE"""),"")</f>
        <v/>
      </c>
      <c r="AF1346" s="1" t="str">
        <f>IFERROR(__xludf.DUMMYFUNCTION("""COMPUTED_VALUE"""),"")</f>
        <v/>
      </c>
      <c r="AG1346" s="1" t="str">
        <f>IFERROR(__xludf.DUMMYFUNCTION("""COMPUTED_VALUE"""),"")</f>
        <v/>
      </c>
      <c r="AH1346" s="1" t="str">
        <f>IFERROR(__xludf.DUMMYFUNCTION("""COMPUTED_VALUE"""),"PEC")</f>
        <v>PEC</v>
      </c>
      <c r="AI1346" s="2" t="str">
        <f>IFERROR(__xludf.DUMMYFUNCTION("""COMPUTED_VALUE"""),"https://pwc.publicaccessnow.com/PropertyDetail.aspx?mpropertynumber=255831&amp;mtab=property&amp;p=255831")</f>
        <v>https://pwc.publicaccessnow.com/PropertyDetail.aspx?mpropertynumber=255831&amp;mtab=property&amp;p=255831</v>
      </c>
      <c r="AJ1346" s="1" t="str">
        <f>IFERROR(__xludf.DUMMYFUNCTION("""COMPUTED_VALUE"""),"")</f>
        <v/>
      </c>
      <c r="AK1346" s="1" t="str">
        <f>IFERROR(__xludf.DUMMYFUNCTION("""COMPUTED_VALUE"""),"")</f>
        <v/>
      </c>
      <c r="AL1346" s="1" t="str">
        <f>IFERROR(__xludf.DUMMYFUNCTION("""COMPUTED_VALUE"""),"")</f>
        <v/>
      </c>
      <c r="AM1346" s="1" t="str">
        <f>IFERROR(__xludf.DUMMYFUNCTION("""COMPUTED_VALUE"""),"")</f>
        <v/>
      </c>
      <c r="AN1346" s="1" t="str">
        <f>IFERROR(__xludf.DUMMYFUNCTION("""COMPUTED_VALUE"""),"")</f>
        <v/>
      </c>
      <c r="AO1346" s="1" t="str">
        <f>IFERROR(__xludf.DUMMYFUNCTION("""COMPUTED_VALUE"""),"")</f>
        <v/>
      </c>
      <c r="AP1346" s="1" t="str">
        <f>IFERROR(__xludf.DUMMYFUNCTION("""COMPUTED_VALUE"""),"")</f>
        <v/>
      </c>
      <c r="AQ1346" s="1" t="str">
        <f>IFERROR(__xludf.DUMMYFUNCTION("""COMPUTED_VALUE"""),"04/10/2024")</f>
        <v>04/10/2024</v>
      </c>
      <c r="AR1346" s="1" t="str">
        <f>IFERROR(__xludf.DUMMYFUNCTION("""COMPUTED_VALUE"""),"10/17/2025")</f>
        <v>10/17/2025</v>
      </c>
    </row>
    <row r="1347">
      <c r="A1347" s="1" t="str">
        <f>IFERROR(__xludf.DUMMYFUNCTION("""COMPUTED_VALUE"""),"AMAZON DATA SERVICES INC")</f>
        <v>AMAZON DATA SERVICES INC</v>
      </c>
      <c r="B1347" s="1" t="str">
        <f>IFERROR(__xludf.DUMMYFUNCTION("""COMPUTED_VALUE"""),"10201 TANNER WAY")</f>
        <v>10201 TANNER WAY</v>
      </c>
      <c r="C1347" s="1" t="str">
        <f>IFERROR(__xludf.DUMMYFUNCTION("""COMPUTED_VALUE"""),"Manassas")</f>
        <v>Manassas</v>
      </c>
      <c r="D1347" s="1" t="str">
        <f>IFERROR(__xludf.DUMMYFUNCTION("""COMPUTED_VALUE"""),"VA")</f>
        <v>VA</v>
      </c>
      <c r="E1347" s="1" t="str">
        <f>IFERROR(__xludf.DUMMYFUNCTION("""COMPUTED_VALUE"""),"20110")</f>
        <v>20110</v>
      </c>
      <c r="F1347" s="1" t="str">
        <f>IFERROR(__xludf.DUMMYFUNCTION("""COMPUTED_VALUE"""),"Prince William")</f>
        <v>Prince William</v>
      </c>
      <c r="G1347" s="1" t="str">
        <f>IFERROR(__xludf.DUMMYFUNCTION("""COMPUTED_VALUE"""),"38.734943")</f>
        <v>38.734943</v>
      </c>
      <c r="H1347" s="1" t="str">
        <f>IFERROR(__xludf.DUMMYFUNCTION("""COMPUTED_VALUE"""),"-77.504524")</f>
        <v>-77.504524</v>
      </c>
      <c r="I1347" s="1" t="str">
        <f>IFERROR(__xludf.DUMMYFUNCTION("""COMPUTED_VALUE"""),"Operating")</f>
        <v>Operating</v>
      </c>
      <c r="J1347" s="1" t="str">
        <f>IFERROR(__xludf.DUMMYFUNCTION("""COMPUTED_VALUE"""),"High")</f>
        <v>High</v>
      </c>
      <c r="K1347" s="1" t="str">
        <f>IFERROR(__xludf.DUMMYFUNCTION("""COMPUTED_VALUE"""),"")</f>
        <v/>
      </c>
      <c r="L1347" s="1" t="str">
        <f>IFERROR(__xludf.DUMMYFUNCTION("""COMPUTED_VALUE"""),"Amazon")</f>
        <v>Amazon</v>
      </c>
      <c r="M1347" s="1" t="str">
        <f>IFERROR(__xludf.DUMMYFUNCTION("""COMPUTED_VALUE"""),"")</f>
        <v/>
      </c>
      <c r="N1347" s="1" t="str">
        <f>IFERROR(__xludf.DUMMYFUNCTION("""COMPUTED_VALUE"""),"")</f>
        <v/>
      </c>
      <c r="O1347" s="1" t="str">
        <f>IFERROR(__xludf.DUMMYFUNCTION("""COMPUTED_VALUE"""),"Unknown")</f>
        <v>Unknown</v>
      </c>
      <c r="P1347" s="1" t="str">
        <f>IFERROR(__xludf.DUMMYFUNCTION("""COMPUTED_VALUE"""),"")</f>
        <v/>
      </c>
      <c r="Q1347" s="1" t="str">
        <f>IFERROR(__xludf.DUMMYFUNCTION("""COMPUTED_VALUE"""),"")</f>
        <v/>
      </c>
      <c r="R1347" s="1" t="str">
        <f>IFERROR(__xludf.DUMMYFUNCTION("""COMPUTED_VALUE"""),"")</f>
        <v/>
      </c>
      <c r="S1347" s="1" t="str">
        <f>IFERROR(__xludf.DUMMYFUNCTION("""COMPUTED_VALUE"""),"")</f>
        <v/>
      </c>
      <c r="T1347" s="1" t="str">
        <f>IFERROR(__xludf.DUMMYFUNCTION("""COMPUTED_VALUE"""),"")</f>
        <v/>
      </c>
      <c r="U1347" s="1" t="str">
        <f>IFERROR(__xludf.DUMMYFUNCTION("""COMPUTED_VALUE"""),"")</f>
        <v/>
      </c>
      <c r="V1347" s="1" t="str">
        <f>IFERROR(__xludf.DUMMYFUNCTION("""COMPUTED_VALUE"""),"")</f>
        <v/>
      </c>
      <c r="W1347" s="1" t="str">
        <f>IFERROR(__xludf.DUMMYFUNCTION("""COMPUTED_VALUE"""),"83")</f>
        <v>83</v>
      </c>
      <c r="X1347" s="1" t="str">
        <f>IFERROR(__xludf.DUMMYFUNCTION("""COMPUTED_VALUE"""),"")</f>
        <v/>
      </c>
      <c r="Y1347" s="1" t="str">
        <f>IFERROR(__xludf.DUMMYFUNCTION("""COMPUTED_VALUE"""),"")</f>
        <v/>
      </c>
      <c r="Z1347" s="1" t="str">
        <f>IFERROR(__xludf.DUMMYFUNCTION("""COMPUTED_VALUE"""),"Unknown")</f>
        <v>Unknown</v>
      </c>
      <c r="AA1347" s="1" t="str">
        <f>IFERROR(__xludf.DUMMYFUNCTION("""COMPUTED_VALUE"""),"")</f>
        <v/>
      </c>
      <c r="AB1347" s="1" t="str">
        <f>IFERROR(__xludf.DUMMYFUNCTION("""COMPUTED_VALUE"""),"")</f>
        <v/>
      </c>
      <c r="AC1347" s="1" t="str">
        <f>IFERROR(__xludf.DUMMYFUNCTION("""COMPUTED_VALUE"""),"")</f>
        <v/>
      </c>
      <c r="AD1347" s="1" t="str">
        <f>IFERROR(__xludf.DUMMYFUNCTION("""COMPUTED_VALUE"""),"")</f>
        <v/>
      </c>
      <c r="AE1347" s="1" t="str">
        <f>IFERROR(__xludf.DUMMYFUNCTION("""COMPUTED_VALUE"""),"")</f>
        <v/>
      </c>
      <c r="AF1347" s="1" t="str">
        <f>IFERROR(__xludf.DUMMYFUNCTION("""COMPUTED_VALUE"""),"")</f>
        <v/>
      </c>
      <c r="AG1347" s="1" t="str">
        <f>IFERROR(__xludf.DUMMYFUNCTION("""COMPUTED_VALUE"""),"")</f>
        <v/>
      </c>
      <c r="AH1347" s="1" t="str">
        <f>IFERROR(__xludf.DUMMYFUNCTION("""COMPUTED_VALUE"""),"PEC")</f>
        <v>PEC</v>
      </c>
      <c r="AI1347" s="2" t="str">
        <f>IFERROR(__xludf.DUMMYFUNCTION("""COMPUTED_VALUE"""),"https://pwc.publicaccessnow.com/PropertyDetail.aspx?mpropertynumber=078744&amp;mtab=property&amp;p=078744")</f>
        <v>https://pwc.publicaccessnow.com/PropertyDetail.aspx?mpropertynumber=078744&amp;mtab=property&amp;p=078744</v>
      </c>
      <c r="AJ1347" s="1" t="str">
        <f>IFERROR(__xludf.DUMMYFUNCTION("""COMPUTED_VALUE"""),"")</f>
        <v/>
      </c>
      <c r="AK1347" s="1" t="str">
        <f>IFERROR(__xludf.DUMMYFUNCTION("""COMPUTED_VALUE"""),"")</f>
        <v/>
      </c>
      <c r="AL1347" s="1" t="str">
        <f>IFERROR(__xludf.DUMMYFUNCTION("""COMPUTED_VALUE"""),"")</f>
        <v/>
      </c>
      <c r="AM1347" s="1" t="str">
        <f>IFERROR(__xludf.DUMMYFUNCTION("""COMPUTED_VALUE"""),"")</f>
        <v/>
      </c>
      <c r="AN1347" s="1" t="str">
        <f>IFERROR(__xludf.DUMMYFUNCTION("""COMPUTED_VALUE"""),"")</f>
        <v/>
      </c>
      <c r="AO1347" s="1" t="str">
        <f>IFERROR(__xludf.DUMMYFUNCTION("""COMPUTED_VALUE"""),"")</f>
        <v/>
      </c>
      <c r="AP1347" s="1" t="str">
        <f>IFERROR(__xludf.DUMMYFUNCTION("""COMPUTED_VALUE"""),"")</f>
        <v/>
      </c>
      <c r="AQ1347" s="1" t="str">
        <f>IFERROR(__xludf.DUMMYFUNCTION("""COMPUTED_VALUE"""),"04/10/2024")</f>
        <v>04/10/2024</v>
      </c>
      <c r="AR1347" s="1" t="str">
        <f>IFERROR(__xludf.DUMMYFUNCTION("""COMPUTED_VALUE"""),"10/17/2025")</f>
        <v>10/17/2025</v>
      </c>
    </row>
    <row r="1348">
      <c r="A1348" s="1" t="str">
        <f>IFERROR(__xludf.DUMMYFUNCTION("""COMPUTED_VALUE"""),"AMAZON DATA SERVICES INC")</f>
        <v>AMAZON DATA SERVICES INC</v>
      </c>
      <c r="B1348" s="1" t="str">
        <f>IFERROR(__xludf.DUMMYFUNCTION("""COMPUTED_VALUE"""),"7600 DOANE DR")</f>
        <v>7600 DOANE DR</v>
      </c>
      <c r="C1348" s="1" t="str">
        <f>IFERROR(__xludf.DUMMYFUNCTION("""COMPUTED_VALUE"""),"Manassas")</f>
        <v>Manassas</v>
      </c>
      <c r="D1348" s="1" t="str">
        <f>IFERROR(__xludf.DUMMYFUNCTION("""COMPUTED_VALUE"""),"VA")</f>
        <v>VA</v>
      </c>
      <c r="E1348" s="1" t="str">
        <f>IFERROR(__xludf.DUMMYFUNCTION("""COMPUTED_VALUE"""),"20109")</f>
        <v>20109</v>
      </c>
      <c r="F1348" s="1" t="str">
        <f>IFERROR(__xludf.DUMMYFUNCTION("""COMPUTED_VALUE"""),"Prince William")</f>
        <v>Prince William</v>
      </c>
      <c r="G1348" s="1" t="str">
        <f>IFERROR(__xludf.DUMMYFUNCTION("""COMPUTED_VALUE"""),"38.792156")</f>
        <v>38.792156</v>
      </c>
      <c r="H1348" s="1" t="str">
        <f>IFERROR(__xludf.DUMMYFUNCTION("""COMPUTED_VALUE"""),"-77.54833")</f>
        <v>-77.54833</v>
      </c>
      <c r="I1348" s="1" t="str">
        <f>IFERROR(__xludf.DUMMYFUNCTION("""COMPUTED_VALUE"""),"Operating")</f>
        <v>Operating</v>
      </c>
      <c r="J1348" s="1" t="str">
        <f>IFERROR(__xludf.DUMMYFUNCTION("""COMPUTED_VALUE"""),"High")</f>
        <v>High</v>
      </c>
      <c r="K1348" s="1" t="str">
        <f>IFERROR(__xludf.DUMMYFUNCTION("""COMPUTED_VALUE"""),"")</f>
        <v/>
      </c>
      <c r="L1348" s="1" t="str">
        <f>IFERROR(__xludf.DUMMYFUNCTION("""COMPUTED_VALUE"""),"Amazon")</f>
        <v>Amazon</v>
      </c>
      <c r="M1348" s="1" t="str">
        <f>IFERROR(__xludf.DUMMYFUNCTION("""COMPUTED_VALUE"""),"")</f>
        <v/>
      </c>
      <c r="N1348" s="1" t="str">
        <f>IFERROR(__xludf.DUMMYFUNCTION("""COMPUTED_VALUE"""),"")</f>
        <v/>
      </c>
      <c r="O1348" s="1" t="str">
        <f>IFERROR(__xludf.DUMMYFUNCTION("""COMPUTED_VALUE"""),"Unknown")</f>
        <v>Unknown</v>
      </c>
      <c r="P1348" s="1" t="str">
        <f>IFERROR(__xludf.DUMMYFUNCTION("""COMPUTED_VALUE"""),"")</f>
        <v/>
      </c>
      <c r="Q1348" s="1" t="str">
        <f>IFERROR(__xludf.DUMMYFUNCTION("""COMPUTED_VALUE"""),"")</f>
        <v/>
      </c>
      <c r="R1348" s="1" t="str">
        <f>IFERROR(__xludf.DUMMYFUNCTION("""COMPUTED_VALUE"""),"")</f>
        <v/>
      </c>
      <c r="S1348" s="1" t="str">
        <f>IFERROR(__xludf.DUMMYFUNCTION("""COMPUTED_VALUE"""),"")</f>
        <v/>
      </c>
      <c r="T1348" s="1" t="str">
        <f>IFERROR(__xludf.DUMMYFUNCTION("""COMPUTED_VALUE"""),"")</f>
        <v/>
      </c>
      <c r="U1348" s="1" t="str">
        <f>IFERROR(__xludf.DUMMYFUNCTION("""COMPUTED_VALUE"""),"")</f>
        <v/>
      </c>
      <c r="V1348" s="1" t="str">
        <f>IFERROR(__xludf.DUMMYFUNCTION("""COMPUTED_VALUE"""),"127,700")</f>
        <v>127,700</v>
      </c>
      <c r="W1348" s="1" t="str">
        <f>IFERROR(__xludf.DUMMYFUNCTION("""COMPUTED_VALUE"""),"8")</f>
        <v>8</v>
      </c>
      <c r="X1348" s="1" t="str">
        <f>IFERROR(__xludf.DUMMYFUNCTION("""COMPUTED_VALUE"""),"")</f>
        <v/>
      </c>
      <c r="Y1348" s="1" t="str">
        <f>IFERROR(__xludf.DUMMYFUNCTION("""COMPUTED_VALUE"""),"")</f>
        <v/>
      </c>
      <c r="Z1348" s="1" t="str">
        <f>IFERROR(__xludf.DUMMYFUNCTION("""COMPUTED_VALUE"""),"Unknown")</f>
        <v>Unknown</v>
      </c>
      <c r="AA1348" s="1" t="str">
        <f>IFERROR(__xludf.DUMMYFUNCTION("""COMPUTED_VALUE"""),"")</f>
        <v/>
      </c>
      <c r="AB1348" s="1" t="str">
        <f>IFERROR(__xludf.DUMMYFUNCTION("""COMPUTED_VALUE"""),"")</f>
        <v/>
      </c>
      <c r="AC1348" s="1" t="str">
        <f>IFERROR(__xludf.DUMMYFUNCTION("""COMPUTED_VALUE"""),"")</f>
        <v/>
      </c>
      <c r="AD1348" s="1" t="str">
        <f>IFERROR(__xludf.DUMMYFUNCTION("""COMPUTED_VALUE"""),"")</f>
        <v/>
      </c>
      <c r="AE1348" s="1" t="str">
        <f>IFERROR(__xludf.DUMMYFUNCTION("""COMPUTED_VALUE"""),"")</f>
        <v/>
      </c>
      <c r="AF1348" s="1" t="str">
        <f>IFERROR(__xludf.DUMMYFUNCTION("""COMPUTED_VALUE"""),"")</f>
        <v/>
      </c>
      <c r="AG1348" s="1" t="str">
        <f>IFERROR(__xludf.DUMMYFUNCTION("""COMPUTED_VALUE"""),"")</f>
        <v/>
      </c>
      <c r="AH1348" s="1" t="str">
        <f>IFERROR(__xludf.DUMMYFUNCTION("""COMPUTED_VALUE"""),"PEC")</f>
        <v>PEC</v>
      </c>
      <c r="AI1348" s="2" t="str">
        <f>IFERROR(__xludf.DUMMYFUNCTION("""COMPUTED_VALUE"""),"https://pwc.publicaccessnow.com/PropertyDetail.aspx?mpropertynumber=257269&amp;mtab=property&amp;p=257269")</f>
        <v>https://pwc.publicaccessnow.com/PropertyDetail.aspx?mpropertynumber=257269&amp;mtab=property&amp;p=257269</v>
      </c>
      <c r="AJ1348" s="1" t="str">
        <f>IFERROR(__xludf.DUMMYFUNCTION("""COMPUTED_VALUE"""),"")</f>
        <v/>
      </c>
      <c r="AK1348" s="1" t="str">
        <f>IFERROR(__xludf.DUMMYFUNCTION("""COMPUTED_VALUE"""),"")</f>
        <v/>
      </c>
      <c r="AL1348" s="1" t="str">
        <f>IFERROR(__xludf.DUMMYFUNCTION("""COMPUTED_VALUE"""),"")</f>
        <v/>
      </c>
      <c r="AM1348" s="1" t="str">
        <f>IFERROR(__xludf.DUMMYFUNCTION("""COMPUTED_VALUE"""),"")</f>
        <v/>
      </c>
      <c r="AN1348" s="1" t="str">
        <f>IFERROR(__xludf.DUMMYFUNCTION("""COMPUTED_VALUE"""),"")</f>
        <v/>
      </c>
      <c r="AO1348" s="1" t="str">
        <f>IFERROR(__xludf.DUMMYFUNCTION("""COMPUTED_VALUE"""),"")</f>
        <v/>
      </c>
      <c r="AP1348" s="1" t="str">
        <f>IFERROR(__xludf.DUMMYFUNCTION("""COMPUTED_VALUE"""),"")</f>
        <v/>
      </c>
      <c r="AQ1348" s="1" t="str">
        <f>IFERROR(__xludf.DUMMYFUNCTION("""COMPUTED_VALUE"""),"04/10/2024")</f>
        <v>04/10/2024</v>
      </c>
      <c r="AR1348" s="1" t="str">
        <f>IFERROR(__xludf.DUMMYFUNCTION("""COMPUTED_VALUE"""),"10/17/2025")</f>
        <v>10/17/2025</v>
      </c>
    </row>
    <row r="1349">
      <c r="A1349" s="1" t="str">
        <f>IFERROR(__xludf.DUMMYFUNCTION("""COMPUTED_VALUE"""),"Ashwood Addition")</f>
        <v>Ashwood Addition</v>
      </c>
      <c r="B1349" s="1" t="str">
        <f>IFERROR(__xludf.DUMMYFUNCTION("""COMPUTED_VALUE"""),"10400 HARRY J PARRISH BLVD")</f>
        <v>10400 HARRY J PARRISH BLVD</v>
      </c>
      <c r="C1349" s="1" t="str">
        <f>IFERROR(__xludf.DUMMYFUNCTION("""COMPUTED_VALUE"""),"Manassas")</f>
        <v>Manassas</v>
      </c>
      <c r="D1349" s="1" t="str">
        <f>IFERROR(__xludf.DUMMYFUNCTION("""COMPUTED_VALUE"""),"VA")</f>
        <v>VA</v>
      </c>
      <c r="E1349" s="1" t="str">
        <f>IFERROR(__xludf.DUMMYFUNCTION("""COMPUTED_VALUE"""),"20110")</f>
        <v>20110</v>
      </c>
      <c r="F1349" s="1" t="str">
        <f>IFERROR(__xludf.DUMMYFUNCTION("""COMPUTED_VALUE"""),"Prince William")</f>
        <v>Prince William</v>
      </c>
      <c r="G1349" s="1" t="str">
        <f>IFERROR(__xludf.DUMMYFUNCTION("""COMPUTED_VALUE"""),"38.731693")</f>
        <v>38.731693</v>
      </c>
      <c r="H1349" s="1" t="str">
        <f>IFERROR(__xludf.DUMMYFUNCTION("""COMPUTED_VALUE"""),"-77.51026")</f>
        <v>-77.51026</v>
      </c>
      <c r="I1349" s="1" t="str">
        <f>IFERROR(__xludf.DUMMYFUNCTION("""COMPUTED_VALUE"""),"Proposed")</f>
        <v>Proposed</v>
      </c>
      <c r="J1349" s="1" t="str">
        <f>IFERROR(__xludf.DUMMYFUNCTION("""COMPUTED_VALUE"""),"High")</f>
        <v>High</v>
      </c>
      <c r="K1349" s="1" t="str">
        <f>IFERROR(__xludf.DUMMYFUNCTION("""COMPUTED_VALUE"""),"")</f>
        <v/>
      </c>
      <c r="L1349" s="1" t="str">
        <f>IFERROR(__xludf.DUMMYFUNCTION("""COMPUTED_VALUE"""),"")</f>
        <v/>
      </c>
      <c r="M1349" s="1" t="str">
        <f>IFERROR(__xludf.DUMMYFUNCTION("""COMPUTED_VALUE"""),"")</f>
        <v/>
      </c>
      <c r="N1349" s="1" t="str">
        <f>IFERROR(__xludf.DUMMYFUNCTION("""COMPUTED_VALUE"""),"")</f>
        <v/>
      </c>
      <c r="O1349" s="1" t="str">
        <f>IFERROR(__xludf.DUMMYFUNCTION("""COMPUTED_VALUE"""),"Unknown")</f>
        <v>Unknown</v>
      </c>
      <c r="P1349" s="1" t="str">
        <f>IFERROR(__xludf.DUMMYFUNCTION("""COMPUTED_VALUE"""),"")</f>
        <v/>
      </c>
      <c r="Q1349" s="1" t="str">
        <f>IFERROR(__xludf.DUMMYFUNCTION("""COMPUTED_VALUE"""),"")</f>
        <v/>
      </c>
      <c r="R1349" s="1" t="str">
        <f>IFERROR(__xludf.DUMMYFUNCTION("""COMPUTED_VALUE"""),"")</f>
        <v/>
      </c>
      <c r="S1349" s="1" t="str">
        <f>IFERROR(__xludf.DUMMYFUNCTION("""COMPUTED_VALUE"""),"")</f>
        <v/>
      </c>
      <c r="T1349" s="1" t="str">
        <f>IFERROR(__xludf.DUMMYFUNCTION("""COMPUTED_VALUE"""),"")</f>
        <v/>
      </c>
      <c r="U1349" s="1" t="str">
        <f>IFERROR(__xludf.DUMMYFUNCTION("""COMPUTED_VALUE"""),"")</f>
        <v/>
      </c>
      <c r="V1349" s="1" t="str">
        <f>IFERROR(__xludf.DUMMYFUNCTION("""COMPUTED_VALUE"""),"800,000")</f>
        <v>800,000</v>
      </c>
      <c r="W1349" s="1" t="str">
        <f>IFERROR(__xludf.DUMMYFUNCTION("""COMPUTED_VALUE"""),"85")</f>
        <v>85</v>
      </c>
      <c r="X1349" s="1" t="str">
        <f>IFERROR(__xludf.DUMMYFUNCTION("""COMPUTED_VALUE"""),"")</f>
        <v/>
      </c>
      <c r="Y1349" s="1" t="str">
        <f>IFERROR(__xludf.DUMMYFUNCTION("""COMPUTED_VALUE"""),"")</f>
        <v/>
      </c>
      <c r="Z1349" s="1" t="str">
        <f>IFERROR(__xludf.DUMMYFUNCTION("""COMPUTED_VALUE"""),"Unknown")</f>
        <v>Unknown</v>
      </c>
      <c r="AA1349" s="1" t="str">
        <f>IFERROR(__xludf.DUMMYFUNCTION("""COMPUTED_VALUE"""),"")</f>
        <v/>
      </c>
      <c r="AB1349" s="1" t="str">
        <f>IFERROR(__xludf.DUMMYFUNCTION("""COMPUTED_VALUE"""),"")</f>
        <v/>
      </c>
      <c r="AC1349" s="1" t="str">
        <f>IFERROR(__xludf.DUMMYFUNCTION("""COMPUTED_VALUE"""),"")</f>
        <v/>
      </c>
      <c r="AD1349" s="1" t="str">
        <f>IFERROR(__xludf.DUMMYFUNCTION("""COMPUTED_VALUE"""),"")</f>
        <v/>
      </c>
      <c r="AE1349" s="1" t="str">
        <f>IFERROR(__xludf.DUMMYFUNCTION("""COMPUTED_VALUE"""),"")</f>
        <v/>
      </c>
      <c r="AF1349" s="1" t="str">
        <f>IFERROR(__xludf.DUMMYFUNCTION("""COMPUTED_VALUE"""),"")</f>
        <v/>
      </c>
      <c r="AG1349" s="1" t="str">
        <f>IFERROR(__xludf.DUMMYFUNCTION("""COMPUTED_VALUE"""),"")</f>
        <v/>
      </c>
      <c r="AH1349" s="1" t="str">
        <f>IFERROR(__xludf.DUMMYFUNCTION("""COMPUTED_VALUE"""),"PEC")</f>
        <v>PEC</v>
      </c>
      <c r="AI1349" s="2" t="str">
        <f>IFERROR(__xludf.DUMMYFUNCTION("""COMPUTED_VALUE"""),"https://datacenterhawk.com/marketplace/providers/cloudhq/10400-harry-j-parrish-blvd/mdc")</f>
        <v>https://datacenterhawk.com/marketplace/providers/cloudhq/10400-harry-j-parrish-blvd/mdc</v>
      </c>
      <c r="AJ1349" s="2" t="str">
        <f>IFERROR(__xludf.DUMMYFUNCTION("""COMPUTED_VALUE"""),"https://pwc.publicaccessnow.com/PropertyDetail.aspx?mtab=property&amp;mpropertynumber=251263")</f>
        <v>https://pwc.publicaccessnow.com/PropertyDetail.aspx?mtab=property&amp;mpropertynumber=251263</v>
      </c>
      <c r="AK1349" s="1" t="str">
        <f>IFERROR(__xludf.DUMMYFUNCTION("""COMPUTED_VALUE"""),"")</f>
        <v/>
      </c>
      <c r="AL1349" s="1" t="str">
        <f>IFERROR(__xludf.DUMMYFUNCTION("""COMPUTED_VALUE"""),"")</f>
        <v/>
      </c>
      <c r="AM1349" s="1" t="str">
        <f>IFERROR(__xludf.DUMMYFUNCTION("""COMPUTED_VALUE"""),"")</f>
        <v/>
      </c>
      <c r="AN1349" s="1" t="str">
        <f>IFERROR(__xludf.DUMMYFUNCTION("""COMPUTED_VALUE"""),"")</f>
        <v/>
      </c>
      <c r="AO1349" s="1" t="str">
        <f>IFERROR(__xludf.DUMMYFUNCTION("""COMPUTED_VALUE"""),"")</f>
        <v/>
      </c>
      <c r="AP1349" s="1" t="str">
        <f>IFERROR(__xludf.DUMMYFUNCTION("""COMPUTED_VALUE"""),"")</f>
        <v/>
      </c>
      <c r="AQ1349" s="1" t="str">
        <f>IFERROR(__xludf.DUMMYFUNCTION("""COMPUTED_VALUE"""),"07/12/2025")</f>
        <v>07/12/2025</v>
      </c>
      <c r="AR1349" s="1" t="str">
        <f>IFERROR(__xludf.DUMMYFUNCTION("""COMPUTED_VALUE"""),"10/17/2025")</f>
        <v>10/17/2025</v>
      </c>
    </row>
    <row r="1350">
      <c r="A1350" s="1" t="str">
        <f>IFERROR(__xludf.DUMMYFUNCTION("""COMPUTED_VALUE"""),"Black Chamber Partners Data Center")</f>
        <v>Black Chamber Partners Data Center</v>
      </c>
      <c r="B1350" s="1" t="str">
        <f>IFERROR(__xludf.DUMMYFUNCTION("""COMPUTED_VALUE"""),"10047 Nokesville Rd")</f>
        <v>10047 Nokesville Rd</v>
      </c>
      <c r="C1350" s="1" t="str">
        <f>IFERROR(__xludf.DUMMYFUNCTION("""COMPUTED_VALUE"""),"Manassas")</f>
        <v>Manassas</v>
      </c>
      <c r="D1350" s="1" t="str">
        <f>IFERROR(__xludf.DUMMYFUNCTION("""COMPUTED_VALUE"""),"VA")</f>
        <v>VA</v>
      </c>
      <c r="E1350" s="1" t="str">
        <f>IFERROR(__xludf.DUMMYFUNCTION("""COMPUTED_VALUE"""),"20110")</f>
        <v>20110</v>
      </c>
      <c r="F1350" s="1" t="str">
        <f>IFERROR(__xludf.DUMMYFUNCTION("""COMPUTED_VALUE"""),"Manassas")</f>
        <v>Manassas</v>
      </c>
      <c r="G1350" s="1" t="str">
        <f>IFERROR(__xludf.DUMMYFUNCTION("""COMPUTED_VALUE"""),"38.748226")</f>
        <v>38.748226</v>
      </c>
      <c r="H1350" s="1" t="str">
        <f>IFERROR(__xludf.DUMMYFUNCTION("""COMPUTED_VALUE"""),"-77.49985")</f>
        <v>-77.49985</v>
      </c>
      <c r="I1350" s="1" t="str">
        <f>IFERROR(__xludf.DUMMYFUNCTION("""COMPUTED_VALUE"""),"Proposed")</f>
        <v>Proposed</v>
      </c>
      <c r="J1350" s="1" t="str">
        <f>IFERROR(__xludf.DUMMYFUNCTION("""COMPUTED_VALUE"""),"High")</f>
        <v>High</v>
      </c>
      <c r="K1350" s="1" t="str">
        <f>IFERROR(__xludf.DUMMYFUNCTION("""COMPUTED_VALUE"""),"")</f>
        <v/>
      </c>
      <c r="L1350" s="1" t="str">
        <f>IFERROR(__xludf.DUMMYFUNCTION("""COMPUTED_VALUE"""),"Amazon")</f>
        <v>Amazon</v>
      </c>
      <c r="M1350" s="1" t="str">
        <f>IFERROR(__xludf.DUMMYFUNCTION("""COMPUTED_VALUE"""),"")</f>
        <v/>
      </c>
      <c r="N1350" s="1" t="str">
        <f>IFERROR(__xludf.DUMMYFUNCTION("""COMPUTED_VALUE"""),"")</f>
        <v/>
      </c>
      <c r="O1350" s="1" t="str">
        <f>IFERROR(__xludf.DUMMYFUNCTION("""COMPUTED_VALUE"""),"Unknown")</f>
        <v>Unknown</v>
      </c>
      <c r="P1350" s="1" t="str">
        <f>IFERROR(__xludf.DUMMYFUNCTION("""COMPUTED_VALUE"""),"")</f>
        <v/>
      </c>
      <c r="Q1350" s="1" t="str">
        <f>IFERROR(__xludf.DUMMYFUNCTION("""COMPUTED_VALUE"""),"")</f>
        <v/>
      </c>
      <c r="R1350" s="1" t="str">
        <f>IFERROR(__xludf.DUMMYFUNCTION("""COMPUTED_VALUE"""),"")</f>
        <v/>
      </c>
      <c r="S1350" s="1" t="str">
        <f>IFERROR(__xludf.DUMMYFUNCTION("""COMPUTED_VALUE"""),"")</f>
        <v/>
      </c>
      <c r="T1350" s="1" t="str">
        <f>IFERROR(__xludf.DUMMYFUNCTION("""COMPUTED_VALUE"""),"")</f>
        <v/>
      </c>
      <c r="U1350" s="1" t="str">
        <f>IFERROR(__xludf.DUMMYFUNCTION("""COMPUTED_VALUE"""),"")</f>
        <v/>
      </c>
      <c r="V1350" s="1" t="str">
        <f>IFERROR(__xludf.DUMMYFUNCTION("""COMPUTED_VALUE"""),"")</f>
        <v/>
      </c>
      <c r="W1350" s="1" t="str">
        <f>IFERROR(__xludf.DUMMYFUNCTION("""COMPUTED_VALUE"""),"")</f>
        <v/>
      </c>
      <c r="X1350" s="1" t="str">
        <f>IFERROR(__xludf.DUMMYFUNCTION("""COMPUTED_VALUE"""),"")</f>
        <v/>
      </c>
      <c r="Y1350" s="1" t="str">
        <f>IFERROR(__xludf.DUMMYFUNCTION("""COMPUTED_VALUE"""),"")</f>
        <v/>
      </c>
      <c r="Z1350" s="1" t="str">
        <f>IFERROR(__xludf.DUMMYFUNCTION("""COMPUTED_VALUE"""),"Unknown")</f>
        <v>Unknown</v>
      </c>
      <c r="AA1350" s="1" t="str">
        <f>IFERROR(__xludf.DUMMYFUNCTION("""COMPUTED_VALUE"""),"")</f>
        <v/>
      </c>
      <c r="AB1350" s="1" t="str">
        <f>IFERROR(__xludf.DUMMYFUNCTION("""COMPUTED_VALUE"""),"")</f>
        <v/>
      </c>
      <c r="AC1350" s="1" t="str">
        <f>IFERROR(__xludf.DUMMYFUNCTION("""COMPUTED_VALUE"""),"")</f>
        <v/>
      </c>
      <c r="AD1350" s="1" t="str">
        <f>IFERROR(__xludf.DUMMYFUNCTION("""COMPUTED_VALUE"""),"")</f>
        <v/>
      </c>
      <c r="AE1350" s="1" t="str">
        <f>IFERROR(__xludf.DUMMYFUNCTION("""COMPUTED_VALUE"""),"")</f>
        <v/>
      </c>
      <c r="AF1350" s="1" t="str">
        <f>IFERROR(__xludf.DUMMYFUNCTION("""COMPUTED_VALUE"""),"")</f>
        <v/>
      </c>
      <c r="AG1350" s="1" t="str">
        <f>IFERROR(__xludf.DUMMYFUNCTION("""COMPUTED_VALUE"""),"Land of Manassas Church of the Bretheren")</f>
        <v>Land of Manassas Church of the Bretheren</v>
      </c>
      <c r="AH1350" s="1" t="str">
        <f>IFERROR(__xludf.DUMMYFUNCTION("""COMPUTED_VALUE"""),"Media Monitoring")</f>
        <v>Media Monitoring</v>
      </c>
      <c r="AI1350" s="2" t="str">
        <f>IFERROR(__xludf.DUMMYFUNCTION("""COMPUTED_VALUE"""),"https://www.datacenterdynamics.com/en/news/data-center-developer-black-chamber-looks-to-buy-virginia-church-next-to-planned-aws-campus/")</f>
        <v>https://www.datacenterdynamics.com/en/news/data-center-developer-black-chamber-looks-to-buy-virginia-church-next-to-planned-aws-campus/</v>
      </c>
      <c r="AJ1350" s="1" t="str">
        <f>IFERROR(__xludf.DUMMYFUNCTION("""COMPUTED_VALUE"""),"")</f>
        <v/>
      </c>
      <c r="AK1350" s="1" t="str">
        <f>IFERROR(__xludf.DUMMYFUNCTION("""COMPUTED_VALUE"""),"")</f>
        <v/>
      </c>
      <c r="AL1350" s="1" t="str">
        <f>IFERROR(__xludf.DUMMYFUNCTION("""COMPUTED_VALUE"""),"")</f>
        <v/>
      </c>
      <c r="AM1350" s="1" t="str">
        <f>IFERROR(__xludf.DUMMYFUNCTION("""COMPUTED_VALUE"""),"")</f>
        <v/>
      </c>
      <c r="AN1350" s="1" t="str">
        <f>IFERROR(__xludf.DUMMYFUNCTION("""COMPUTED_VALUE"""),"")</f>
        <v/>
      </c>
      <c r="AO1350" s="1" t="str">
        <f>IFERROR(__xludf.DUMMYFUNCTION("""COMPUTED_VALUE"""),"")</f>
        <v/>
      </c>
      <c r="AP1350" s="1" t="str">
        <f>IFERROR(__xludf.DUMMYFUNCTION("""COMPUTED_VALUE"""),"")</f>
        <v/>
      </c>
      <c r="AQ1350" s="1" t="str">
        <f>IFERROR(__xludf.DUMMYFUNCTION("""COMPUTED_VALUE"""),"06/29/2026")</f>
        <v>06/29/2026</v>
      </c>
      <c r="AR1350" s="1" t="str">
        <f>IFERROR(__xludf.DUMMYFUNCTION("""COMPUTED_VALUE"""),"06/29/2026")</f>
        <v>06/29/2026</v>
      </c>
    </row>
    <row r="1351">
      <c r="A1351" s="1" t="str">
        <f>IFERROR(__xludf.DUMMYFUNCTION("""COMPUTED_VALUE"""),"BOURZOU VENTURES LLC (CloudHQ)")</f>
        <v>BOURZOU VENTURES LLC (CloudHQ)</v>
      </c>
      <c r="B1351" s="1" t="str">
        <f>IFERROR(__xludf.DUMMYFUNCTION("""COMPUTED_VALUE"""),"10100 HARRY J PARRISH BLVD")</f>
        <v>10100 HARRY J PARRISH BLVD</v>
      </c>
      <c r="C1351" s="1" t="str">
        <f>IFERROR(__xludf.DUMMYFUNCTION("""COMPUTED_VALUE"""),"Manassas")</f>
        <v>Manassas</v>
      </c>
      <c r="D1351" s="1" t="str">
        <f>IFERROR(__xludf.DUMMYFUNCTION("""COMPUTED_VALUE"""),"VA")</f>
        <v>VA</v>
      </c>
      <c r="E1351" s="1" t="str">
        <f>IFERROR(__xludf.DUMMYFUNCTION("""COMPUTED_VALUE"""),"20110")</f>
        <v>20110</v>
      </c>
      <c r="F1351" s="1" t="str">
        <f>IFERROR(__xludf.DUMMYFUNCTION("""COMPUTED_VALUE"""),"Prince William")</f>
        <v>Prince William</v>
      </c>
      <c r="G1351" s="1" t="str">
        <f>IFERROR(__xludf.DUMMYFUNCTION("""COMPUTED_VALUE"""),"38.72298")</f>
        <v>38.72298</v>
      </c>
      <c r="H1351" s="1" t="str">
        <f>IFERROR(__xludf.DUMMYFUNCTION("""COMPUTED_VALUE"""),"-77.49923")</f>
        <v>-77.49923</v>
      </c>
      <c r="I1351" s="1" t="str">
        <f>IFERROR(__xludf.DUMMYFUNCTION("""COMPUTED_VALUE"""),"Operating")</f>
        <v>Operating</v>
      </c>
      <c r="J1351" s="1" t="str">
        <f>IFERROR(__xludf.DUMMYFUNCTION("""COMPUTED_VALUE"""),"High")</f>
        <v>High</v>
      </c>
      <c r="K1351" s="1" t="str">
        <f>IFERROR(__xludf.DUMMYFUNCTION("""COMPUTED_VALUE"""),"")</f>
        <v/>
      </c>
      <c r="L1351" s="1" t="str">
        <f>IFERROR(__xludf.DUMMYFUNCTION("""COMPUTED_VALUE"""),"CloudHQ")</f>
        <v>CloudHQ</v>
      </c>
      <c r="M1351" s="1" t="str">
        <f>IFERROR(__xludf.DUMMYFUNCTION("""COMPUTED_VALUE"""),"")</f>
        <v/>
      </c>
      <c r="N1351" s="1" t="str">
        <f>IFERROR(__xludf.DUMMYFUNCTION("""COMPUTED_VALUE"""),"")</f>
        <v/>
      </c>
      <c r="O1351" s="1" t="str">
        <f>IFERROR(__xludf.DUMMYFUNCTION("""COMPUTED_VALUE"""),"Unknown")</f>
        <v>Unknown</v>
      </c>
      <c r="P1351" s="1" t="str">
        <f>IFERROR(__xludf.DUMMYFUNCTION("""COMPUTED_VALUE"""),"")</f>
        <v/>
      </c>
      <c r="Q1351" s="1" t="str">
        <f>IFERROR(__xludf.DUMMYFUNCTION("""COMPUTED_VALUE"""),"")</f>
        <v/>
      </c>
      <c r="R1351" s="1" t="str">
        <f>IFERROR(__xludf.DUMMYFUNCTION("""COMPUTED_VALUE"""),"")</f>
        <v/>
      </c>
      <c r="S1351" s="1" t="str">
        <f>IFERROR(__xludf.DUMMYFUNCTION("""COMPUTED_VALUE"""),"")</f>
        <v/>
      </c>
      <c r="T1351" s="1" t="str">
        <f>IFERROR(__xludf.DUMMYFUNCTION("""COMPUTED_VALUE"""),"")</f>
        <v/>
      </c>
      <c r="U1351" s="1" t="str">
        <f>IFERROR(__xludf.DUMMYFUNCTION("""COMPUTED_VALUE"""),"")</f>
        <v/>
      </c>
      <c r="V1351" s="1" t="str">
        <f>IFERROR(__xludf.DUMMYFUNCTION("""COMPUTED_VALUE"""),"347,876")</f>
        <v>347,876</v>
      </c>
      <c r="W1351" s="1" t="str">
        <f>IFERROR(__xludf.DUMMYFUNCTION("""COMPUTED_VALUE"""),"23")</f>
        <v>23</v>
      </c>
      <c r="X1351" s="1" t="str">
        <f>IFERROR(__xludf.DUMMYFUNCTION("""COMPUTED_VALUE"""),"")</f>
        <v/>
      </c>
      <c r="Y1351" s="1" t="str">
        <f>IFERROR(__xludf.DUMMYFUNCTION("""COMPUTED_VALUE"""),"")</f>
        <v/>
      </c>
      <c r="Z1351" s="1" t="str">
        <f>IFERROR(__xludf.DUMMYFUNCTION("""COMPUTED_VALUE"""),"Unknown")</f>
        <v>Unknown</v>
      </c>
      <c r="AA1351" s="1" t="str">
        <f>IFERROR(__xludf.DUMMYFUNCTION("""COMPUTED_VALUE"""),"")</f>
        <v/>
      </c>
      <c r="AB1351" s="1" t="str">
        <f>IFERROR(__xludf.DUMMYFUNCTION("""COMPUTED_VALUE"""),"")</f>
        <v/>
      </c>
      <c r="AC1351" s="1" t="str">
        <f>IFERROR(__xludf.DUMMYFUNCTION("""COMPUTED_VALUE"""),"")</f>
        <v/>
      </c>
      <c r="AD1351" s="1" t="str">
        <f>IFERROR(__xludf.DUMMYFUNCTION("""COMPUTED_VALUE"""),"")</f>
        <v/>
      </c>
      <c r="AE1351" s="1" t="str">
        <f>IFERROR(__xludf.DUMMYFUNCTION("""COMPUTED_VALUE"""),"")</f>
        <v/>
      </c>
      <c r="AF1351" s="1" t="str">
        <f>IFERROR(__xludf.DUMMYFUNCTION("""COMPUTED_VALUE"""),"")</f>
        <v/>
      </c>
      <c r="AG1351" s="1" t="str">
        <f>IFERROR(__xludf.DUMMYFUNCTION("""COMPUTED_VALUE"""),"")</f>
        <v/>
      </c>
      <c r="AH1351" s="1" t="str">
        <f>IFERROR(__xludf.DUMMYFUNCTION("""COMPUTED_VALUE"""),"PEC")</f>
        <v>PEC</v>
      </c>
      <c r="AI1351" s="2" t="str">
        <f>IFERROR(__xludf.DUMMYFUNCTION("""COMPUTED_VALUE"""),"https://pwc.publicaccessnow.com/PropertyDetail.aspx?mpropertynumber=254673&amp;mtab=property&amp;p=254673")</f>
        <v>https://pwc.publicaccessnow.com/PropertyDetail.aspx?mpropertynumber=254673&amp;mtab=property&amp;p=254673</v>
      </c>
      <c r="AJ1351" s="1" t="str">
        <f>IFERROR(__xludf.DUMMYFUNCTION("""COMPUTED_VALUE"""),"")</f>
        <v/>
      </c>
      <c r="AK1351" s="1" t="str">
        <f>IFERROR(__xludf.DUMMYFUNCTION("""COMPUTED_VALUE"""),"")</f>
        <v/>
      </c>
      <c r="AL1351" s="1" t="str">
        <f>IFERROR(__xludf.DUMMYFUNCTION("""COMPUTED_VALUE"""),"")</f>
        <v/>
      </c>
      <c r="AM1351" s="1" t="str">
        <f>IFERROR(__xludf.DUMMYFUNCTION("""COMPUTED_VALUE"""),"")</f>
        <v/>
      </c>
      <c r="AN1351" s="1" t="str">
        <f>IFERROR(__xludf.DUMMYFUNCTION("""COMPUTED_VALUE"""),"")</f>
        <v/>
      </c>
      <c r="AO1351" s="1" t="str">
        <f>IFERROR(__xludf.DUMMYFUNCTION("""COMPUTED_VALUE"""),"")</f>
        <v/>
      </c>
      <c r="AP1351" s="1" t="str">
        <f>IFERROR(__xludf.DUMMYFUNCTION("""COMPUTED_VALUE"""),"")</f>
        <v/>
      </c>
      <c r="AQ1351" s="1" t="str">
        <f>IFERROR(__xludf.DUMMYFUNCTION("""COMPUTED_VALUE"""),"04/10/2024")</f>
        <v>04/10/2024</v>
      </c>
      <c r="AR1351" s="1" t="str">
        <f>IFERROR(__xludf.DUMMYFUNCTION("""COMPUTED_VALUE"""),"10/17/2025")</f>
        <v>10/17/2025</v>
      </c>
    </row>
    <row r="1352">
      <c r="A1352" s="1" t="str">
        <f>IFERROR(__xludf.DUMMYFUNCTION("""COMPUTED_VALUE"""),"COPT DC INNOVATION LLC")</f>
        <v>COPT DC INNOVATION LLC</v>
      </c>
      <c r="B1352" s="1" t="str">
        <f>IFERROR(__xludf.DUMMYFUNCTION("""COMPUTED_VALUE"""),"11120 THOMASSON BARN RD")</f>
        <v>11120 THOMASSON BARN RD</v>
      </c>
      <c r="C1352" s="1" t="str">
        <f>IFERROR(__xludf.DUMMYFUNCTION("""COMPUTED_VALUE"""),"Manassas")</f>
        <v>Manassas</v>
      </c>
      <c r="D1352" s="1" t="str">
        <f>IFERROR(__xludf.DUMMYFUNCTION("""COMPUTED_VALUE"""),"VA")</f>
        <v>VA</v>
      </c>
      <c r="E1352" s="1" t="str">
        <f>IFERROR(__xludf.DUMMYFUNCTION("""COMPUTED_VALUE"""),"20109")</f>
        <v>20109</v>
      </c>
      <c r="F1352" s="1" t="str">
        <f>IFERROR(__xludf.DUMMYFUNCTION("""COMPUTED_VALUE"""),"Prince William")</f>
        <v>Prince William</v>
      </c>
      <c r="G1352" s="1" t="str">
        <f>IFERROR(__xludf.DUMMYFUNCTION("""COMPUTED_VALUE"""),"38.74406")</f>
        <v>38.74406</v>
      </c>
      <c r="H1352" s="1" t="str">
        <f>IFERROR(__xludf.DUMMYFUNCTION("""COMPUTED_VALUE"""),"-77.529854")</f>
        <v>-77.529854</v>
      </c>
      <c r="I1352" s="1" t="str">
        <f>IFERROR(__xludf.DUMMYFUNCTION("""COMPUTED_VALUE"""),"Operating")</f>
        <v>Operating</v>
      </c>
      <c r="J1352" s="1" t="str">
        <f>IFERROR(__xludf.DUMMYFUNCTION("""COMPUTED_VALUE"""),"High")</f>
        <v>High</v>
      </c>
      <c r="K1352" s="1" t="str">
        <f>IFERROR(__xludf.DUMMYFUNCTION("""COMPUTED_VALUE"""),"")</f>
        <v/>
      </c>
      <c r="L1352" s="1" t="str">
        <f>IFERROR(__xludf.DUMMYFUNCTION("""COMPUTED_VALUE"""),"COPT DC INNOVATION LLC")</f>
        <v>COPT DC INNOVATION LLC</v>
      </c>
      <c r="M1352" s="1" t="str">
        <f>IFERROR(__xludf.DUMMYFUNCTION("""COMPUTED_VALUE"""),"")</f>
        <v/>
      </c>
      <c r="N1352" s="1" t="str">
        <f>IFERROR(__xludf.DUMMYFUNCTION("""COMPUTED_VALUE"""),"")</f>
        <v/>
      </c>
      <c r="O1352" s="1" t="str">
        <f>IFERROR(__xludf.DUMMYFUNCTION("""COMPUTED_VALUE"""),"Unknown")</f>
        <v>Unknown</v>
      </c>
      <c r="P1352" s="1" t="str">
        <f>IFERROR(__xludf.DUMMYFUNCTION("""COMPUTED_VALUE"""),"")</f>
        <v/>
      </c>
      <c r="Q1352" s="1" t="str">
        <f>IFERROR(__xludf.DUMMYFUNCTION("""COMPUTED_VALUE"""),"")</f>
        <v/>
      </c>
      <c r="R1352" s="1" t="str">
        <f>IFERROR(__xludf.DUMMYFUNCTION("""COMPUTED_VALUE"""),"")</f>
        <v/>
      </c>
      <c r="S1352" s="1" t="str">
        <f>IFERROR(__xludf.DUMMYFUNCTION("""COMPUTED_VALUE"""),"")</f>
        <v/>
      </c>
      <c r="T1352" s="1" t="str">
        <f>IFERROR(__xludf.DUMMYFUNCTION("""COMPUTED_VALUE"""),"")</f>
        <v/>
      </c>
      <c r="U1352" s="1" t="str">
        <f>IFERROR(__xludf.DUMMYFUNCTION("""COMPUTED_VALUE"""),"")</f>
        <v/>
      </c>
      <c r="V1352" s="1" t="str">
        <f>IFERROR(__xludf.DUMMYFUNCTION("""COMPUTED_VALUE"""),"352,030")</f>
        <v>352,030</v>
      </c>
      <c r="W1352" s="1" t="str">
        <f>IFERROR(__xludf.DUMMYFUNCTION("""COMPUTED_VALUE"""),"21")</f>
        <v>21</v>
      </c>
      <c r="X1352" s="1" t="str">
        <f>IFERROR(__xludf.DUMMYFUNCTION("""COMPUTED_VALUE"""),"")</f>
        <v/>
      </c>
      <c r="Y1352" s="1" t="str">
        <f>IFERROR(__xludf.DUMMYFUNCTION("""COMPUTED_VALUE"""),"")</f>
        <v/>
      </c>
      <c r="Z1352" s="1" t="str">
        <f>IFERROR(__xludf.DUMMYFUNCTION("""COMPUTED_VALUE"""),"Unknown")</f>
        <v>Unknown</v>
      </c>
      <c r="AA1352" s="1" t="str">
        <f>IFERROR(__xludf.DUMMYFUNCTION("""COMPUTED_VALUE"""),"")</f>
        <v/>
      </c>
      <c r="AB1352" s="1" t="str">
        <f>IFERROR(__xludf.DUMMYFUNCTION("""COMPUTED_VALUE"""),"")</f>
        <v/>
      </c>
      <c r="AC1352" s="1" t="str">
        <f>IFERROR(__xludf.DUMMYFUNCTION("""COMPUTED_VALUE"""),"")</f>
        <v/>
      </c>
      <c r="AD1352" s="1" t="str">
        <f>IFERROR(__xludf.DUMMYFUNCTION("""COMPUTED_VALUE"""),"")</f>
        <v/>
      </c>
      <c r="AE1352" s="1" t="str">
        <f>IFERROR(__xludf.DUMMYFUNCTION("""COMPUTED_VALUE"""),"")</f>
        <v/>
      </c>
      <c r="AF1352" s="1" t="str">
        <f>IFERROR(__xludf.DUMMYFUNCTION("""COMPUTED_VALUE"""),"")</f>
        <v/>
      </c>
      <c r="AG1352" s="1" t="str">
        <f>IFERROR(__xludf.DUMMYFUNCTION("""COMPUTED_VALUE"""),"")</f>
        <v/>
      </c>
      <c r="AH1352" s="1" t="str">
        <f>IFERROR(__xludf.DUMMYFUNCTION("""COMPUTED_VALUE"""),"PEC")</f>
        <v>PEC</v>
      </c>
      <c r="AI1352" s="2" t="str">
        <f>IFERROR(__xludf.DUMMYFUNCTION("""COMPUTED_VALUE"""),"https://pwc.publicaccessnow.com/PropertyDetail.aspx?mpropertynumber=228234&amp;mtab=property&amp;p=228234")</f>
        <v>https://pwc.publicaccessnow.com/PropertyDetail.aspx?mpropertynumber=228234&amp;mtab=property&amp;p=228234</v>
      </c>
      <c r="AJ1352" s="1" t="str">
        <f>IFERROR(__xludf.DUMMYFUNCTION("""COMPUTED_VALUE"""),"")</f>
        <v/>
      </c>
      <c r="AK1352" s="1" t="str">
        <f>IFERROR(__xludf.DUMMYFUNCTION("""COMPUTED_VALUE"""),"")</f>
        <v/>
      </c>
      <c r="AL1352" s="1" t="str">
        <f>IFERROR(__xludf.DUMMYFUNCTION("""COMPUTED_VALUE"""),"")</f>
        <v/>
      </c>
      <c r="AM1352" s="1" t="str">
        <f>IFERROR(__xludf.DUMMYFUNCTION("""COMPUTED_VALUE"""),"")</f>
        <v/>
      </c>
      <c r="AN1352" s="1" t="str">
        <f>IFERROR(__xludf.DUMMYFUNCTION("""COMPUTED_VALUE"""),"")</f>
        <v/>
      </c>
      <c r="AO1352" s="1" t="str">
        <f>IFERROR(__xludf.DUMMYFUNCTION("""COMPUTED_VALUE"""),"")</f>
        <v/>
      </c>
      <c r="AP1352" s="1" t="str">
        <f>IFERROR(__xludf.DUMMYFUNCTION("""COMPUTED_VALUE"""),"")</f>
        <v/>
      </c>
      <c r="AQ1352" s="1" t="str">
        <f>IFERROR(__xludf.DUMMYFUNCTION("""COMPUTED_VALUE"""),"04/10/2024")</f>
        <v>04/10/2024</v>
      </c>
      <c r="AR1352" s="1" t="str">
        <f>IFERROR(__xludf.DUMMYFUNCTION("""COMPUTED_VALUE"""),"10/17/2025")</f>
        <v>10/17/2025</v>
      </c>
    </row>
    <row r="1353">
      <c r="A1353" s="1" t="str">
        <f>IFERROR(__xludf.DUMMYFUNCTION("""COMPUTED_VALUE"""),"DC 12 14 DE LLC (Amazon)")</f>
        <v>DC 12 14 DE LLC (Amazon)</v>
      </c>
      <c r="B1353" s="1" t="str">
        <f>IFERROR(__xludf.DUMMYFUNCTION("""COMPUTED_VALUE"""),"7056 WELLINGTON RD")</f>
        <v>7056 WELLINGTON RD</v>
      </c>
      <c r="C1353" s="1" t="str">
        <f>IFERROR(__xludf.DUMMYFUNCTION("""COMPUTED_VALUE"""),"Manassas")</f>
        <v>Manassas</v>
      </c>
      <c r="D1353" s="1" t="str">
        <f>IFERROR(__xludf.DUMMYFUNCTION("""COMPUTED_VALUE"""),"VA")</f>
        <v>VA</v>
      </c>
      <c r="E1353" s="1" t="str">
        <f>IFERROR(__xludf.DUMMYFUNCTION("""COMPUTED_VALUE"""),"20109")</f>
        <v>20109</v>
      </c>
      <c r="F1353" s="1" t="str">
        <f>IFERROR(__xludf.DUMMYFUNCTION("""COMPUTED_VALUE"""),"Prince William")</f>
        <v>Prince William</v>
      </c>
      <c r="G1353" s="1" t="str">
        <f>IFERROR(__xludf.DUMMYFUNCTION("""COMPUTED_VALUE"""),"38.778107")</f>
        <v>38.778107</v>
      </c>
      <c r="H1353" s="1" t="str">
        <f>IFERROR(__xludf.DUMMYFUNCTION("""COMPUTED_VALUE"""),"-77.558235")</f>
        <v>-77.558235</v>
      </c>
      <c r="I1353" s="1" t="str">
        <f>IFERROR(__xludf.DUMMYFUNCTION("""COMPUTED_VALUE"""),"Operating")</f>
        <v>Operating</v>
      </c>
      <c r="J1353" s="1" t="str">
        <f>IFERROR(__xludf.DUMMYFUNCTION("""COMPUTED_VALUE"""),"High")</f>
        <v>High</v>
      </c>
      <c r="K1353" s="1" t="str">
        <f>IFERROR(__xludf.DUMMYFUNCTION("""COMPUTED_VALUE"""),"")</f>
        <v/>
      </c>
      <c r="L1353" s="1" t="str">
        <f>IFERROR(__xludf.DUMMYFUNCTION("""COMPUTED_VALUE"""),"DC 12 14 DE LLC (Amazon)")</f>
        <v>DC 12 14 DE LLC (Amazon)</v>
      </c>
      <c r="M1353" s="1" t="str">
        <f>IFERROR(__xludf.DUMMYFUNCTION("""COMPUTED_VALUE"""),"")</f>
        <v/>
      </c>
      <c r="N1353" s="1" t="str">
        <f>IFERROR(__xludf.DUMMYFUNCTION("""COMPUTED_VALUE"""),"")</f>
        <v/>
      </c>
      <c r="O1353" s="1" t="str">
        <f>IFERROR(__xludf.DUMMYFUNCTION("""COMPUTED_VALUE"""),"Unknown")</f>
        <v>Unknown</v>
      </c>
      <c r="P1353" s="1" t="str">
        <f>IFERROR(__xludf.DUMMYFUNCTION("""COMPUTED_VALUE"""),"")</f>
        <v/>
      </c>
      <c r="Q1353" s="1" t="str">
        <f>IFERROR(__xludf.DUMMYFUNCTION("""COMPUTED_VALUE"""),"")</f>
        <v/>
      </c>
      <c r="R1353" s="1" t="str">
        <f>IFERROR(__xludf.DUMMYFUNCTION("""COMPUTED_VALUE"""),"")</f>
        <v/>
      </c>
      <c r="S1353" s="1" t="str">
        <f>IFERROR(__xludf.DUMMYFUNCTION("""COMPUTED_VALUE"""),"")</f>
        <v/>
      </c>
      <c r="T1353" s="1" t="str">
        <f>IFERROR(__xludf.DUMMYFUNCTION("""COMPUTED_VALUE"""),"")</f>
        <v/>
      </c>
      <c r="U1353" s="1" t="str">
        <f>IFERROR(__xludf.DUMMYFUNCTION("""COMPUTED_VALUE"""),"")</f>
        <v/>
      </c>
      <c r="V1353" s="1" t="str">
        <f>IFERROR(__xludf.DUMMYFUNCTION("""COMPUTED_VALUE"""),"311,198")</f>
        <v>311,198</v>
      </c>
      <c r="W1353" s="1" t="str">
        <f>IFERROR(__xludf.DUMMYFUNCTION("""COMPUTED_VALUE"""),"24")</f>
        <v>24</v>
      </c>
      <c r="X1353" s="1" t="str">
        <f>IFERROR(__xludf.DUMMYFUNCTION("""COMPUTED_VALUE"""),"")</f>
        <v/>
      </c>
      <c r="Y1353" s="1" t="str">
        <f>IFERROR(__xludf.DUMMYFUNCTION("""COMPUTED_VALUE"""),"")</f>
        <v/>
      </c>
      <c r="Z1353" s="1" t="str">
        <f>IFERROR(__xludf.DUMMYFUNCTION("""COMPUTED_VALUE"""),"Unknown")</f>
        <v>Unknown</v>
      </c>
      <c r="AA1353" s="1" t="str">
        <f>IFERROR(__xludf.DUMMYFUNCTION("""COMPUTED_VALUE"""),"")</f>
        <v/>
      </c>
      <c r="AB1353" s="1" t="str">
        <f>IFERROR(__xludf.DUMMYFUNCTION("""COMPUTED_VALUE"""),"")</f>
        <v/>
      </c>
      <c r="AC1353" s="1" t="str">
        <f>IFERROR(__xludf.DUMMYFUNCTION("""COMPUTED_VALUE"""),"")</f>
        <v/>
      </c>
      <c r="AD1353" s="1" t="str">
        <f>IFERROR(__xludf.DUMMYFUNCTION("""COMPUTED_VALUE"""),"")</f>
        <v/>
      </c>
      <c r="AE1353" s="1" t="str">
        <f>IFERROR(__xludf.DUMMYFUNCTION("""COMPUTED_VALUE"""),"")</f>
        <v/>
      </c>
      <c r="AF1353" s="1" t="str">
        <f>IFERROR(__xludf.DUMMYFUNCTION("""COMPUTED_VALUE"""),"")</f>
        <v/>
      </c>
      <c r="AG1353" s="1" t="str">
        <f>IFERROR(__xludf.DUMMYFUNCTION("""COMPUTED_VALUE"""),"")</f>
        <v/>
      </c>
      <c r="AH1353" s="1" t="str">
        <f>IFERROR(__xludf.DUMMYFUNCTION("""COMPUTED_VALUE"""),"PEC")</f>
        <v>PEC</v>
      </c>
      <c r="AI1353" s="2" t="str">
        <f>IFERROR(__xludf.DUMMYFUNCTION("""COMPUTED_VALUE"""),"https://pwc.publicaccessnow.com/PropertyDetail.aspx?mpropertynumber=225337&amp;mtab=property&amp;p=225337")</f>
        <v>https://pwc.publicaccessnow.com/PropertyDetail.aspx?mpropertynumber=225337&amp;mtab=property&amp;p=225337</v>
      </c>
      <c r="AJ1353" s="1" t="str">
        <f>IFERROR(__xludf.DUMMYFUNCTION("""COMPUTED_VALUE"""),"")</f>
        <v/>
      </c>
      <c r="AK1353" s="1" t="str">
        <f>IFERROR(__xludf.DUMMYFUNCTION("""COMPUTED_VALUE"""),"")</f>
        <v/>
      </c>
      <c r="AL1353" s="1" t="str">
        <f>IFERROR(__xludf.DUMMYFUNCTION("""COMPUTED_VALUE"""),"")</f>
        <v/>
      </c>
      <c r="AM1353" s="1" t="str">
        <f>IFERROR(__xludf.DUMMYFUNCTION("""COMPUTED_VALUE"""),"")</f>
        <v/>
      </c>
      <c r="AN1353" s="1" t="str">
        <f>IFERROR(__xludf.DUMMYFUNCTION("""COMPUTED_VALUE"""),"")</f>
        <v/>
      </c>
      <c r="AO1353" s="1" t="str">
        <f>IFERROR(__xludf.DUMMYFUNCTION("""COMPUTED_VALUE"""),"")</f>
        <v/>
      </c>
      <c r="AP1353" s="1" t="str">
        <f>IFERROR(__xludf.DUMMYFUNCTION("""COMPUTED_VALUE"""),"")</f>
        <v/>
      </c>
      <c r="AQ1353" s="1" t="str">
        <f>IFERROR(__xludf.DUMMYFUNCTION("""COMPUTED_VALUE"""),"04/10/2024")</f>
        <v>04/10/2024</v>
      </c>
      <c r="AR1353" s="1" t="str">
        <f>IFERROR(__xludf.DUMMYFUNCTION("""COMPUTED_VALUE"""),"10/17/2025")</f>
        <v>10/17/2025</v>
      </c>
    </row>
    <row r="1354">
      <c r="A1354" s="1" t="str">
        <f>IFERROR(__xludf.DUMMYFUNCTION("""COMPUTED_VALUE"""),"Digital Second Manassas")</f>
        <v>Digital Second Manassas</v>
      </c>
      <c r="B1354" s="1" t="str">
        <f>IFERROR(__xludf.DUMMYFUNCTION("""COMPUTED_VALUE"""),"10000 BRICKYARD WAY")</f>
        <v>10000 BRICKYARD WAY</v>
      </c>
      <c r="C1354" s="1" t="str">
        <f>IFERROR(__xludf.DUMMYFUNCTION("""COMPUTED_VALUE"""),"Manassas")</f>
        <v>Manassas</v>
      </c>
      <c r="D1354" s="1" t="str">
        <f>IFERROR(__xludf.DUMMYFUNCTION("""COMPUTED_VALUE"""),"VA")</f>
        <v>VA</v>
      </c>
      <c r="E1354" s="1" t="str">
        <f>IFERROR(__xludf.DUMMYFUNCTION("""COMPUTED_VALUE"""),"20110")</f>
        <v>20110</v>
      </c>
      <c r="F1354" s="1" t="str">
        <f>IFERROR(__xludf.DUMMYFUNCTION("""COMPUTED_VALUE"""),"Prince William")</f>
        <v>Prince William</v>
      </c>
      <c r="G1354" s="1" t="str">
        <f>IFERROR(__xludf.DUMMYFUNCTION("""COMPUTED_VALUE"""),"38.737873")</f>
        <v>38.737873</v>
      </c>
      <c r="H1354" s="1" t="str">
        <f>IFERROR(__xludf.DUMMYFUNCTION("""COMPUTED_VALUE"""),"-77.508286")</f>
        <v>-77.508286</v>
      </c>
      <c r="I1354" s="1" t="str">
        <f>IFERROR(__xludf.DUMMYFUNCTION("""COMPUTED_VALUE"""),"Proposed")</f>
        <v>Proposed</v>
      </c>
      <c r="J1354" s="1" t="str">
        <f>IFERROR(__xludf.DUMMYFUNCTION("""COMPUTED_VALUE"""),"High")</f>
        <v>High</v>
      </c>
      <c r="K1354" s="1" t="str">
        <f>IFERROR(__xludf.DUMMYFUNCTION("""COMPUTED_VALUE"""),"")</f>
        <v/>
      </c>
      <c r="L1354" s="1" t="str">
        <f>IFERROR(__xludf.DUMMYFUNCTION("""COMPUTED_VALUE"""),"DIGITAL CARVER BRICKYARD LLC")</f>
        <v>DIGITAL CARVER BRICKYARD LLC</v>
      </c>
      <c r="M1354" s="1" t="str">
        <f>IFERROR(__xludf.DUMMYFUNCTION("""COMPUTED_VALUE"""),"")</f>
        <v/>
      </c>
      <c r="N1354" s="1" t="str">
        <f>IFERROR(__xludf.DUMMYFUNCTION("""COMPUTED_VALUE"""),"")</f>
        <v/>
      </c>
      <c r="O1354" s="1" t="str">
        <f>IFERROR(__xludf.DUMMYFUNCTION("""COMPUTED_VALUE"""),"Unknown")</f>
        <v>Unknown</v>
      </c>
      <c r="P1354" s="1" t="str">
        <f>IFERROR(__xludf.DUMMYFUNCTION("""COMPUTED_VALUE"""),"")</f>
        <v/>
      </c>
      <c r="Q1354" s="1" t="str">
        <f>IFERROR(__xludf.DUMMYFUNCTION("""COMPUTED_VALUE"""),"")</f>
        <v/>
      </c>
      <c r="R1354" s="1" t="str">
        <f>IFERROR(__xludf.DUMMYFUNCTION("""COMPUTED_VALUE"""),"")</f>
        <v/>
      </c>
      <c r="S1354" s="1" t="str">
        <f>IFERROR(__xludf.DUMMYFUNCTION("""COMPUTED_VALUE"""),"")</f>
        <v/>
      </c>
      <c r="T1354" s="1" t="str">
        <f>IFERROR(__xludf.DUMMYFUNCTION("""COMPUTED_VALUE"""),"")</f>
        <v/>
      </c>
      <c r="U1354" s="1" t="str">
        <f>IFERROR(__xludf.DUMMYFUNCTION("""COMPUTED_VALUE"""),"")</f>
        <v/>
      </c>
      <c r="V1354" s="1" t="str">
        <f>IFERROR(__xludf.DUMMYFUNCTION("""COMPUTED_VALUE"""),"1,759,136")</f>
        <v>1,759,136</v>
      </c>
      <c r="W1354" s="1" t="str">
        <f>IFERROR(__xludf.DUMMYFUNCTION("""COMPUTED_VALUE"""),"61")</f>
        <v>61</v>
      </c>
      <c r="X1354" s="1" t="str">
        <f>IFERROR(__xludf.DUMMYFUNCTION("""COMPUTED_VALUE"""),"")</f>
        <v/>
      </c>
      <c r="Y1354" s="1" t="str">
        <f>IFERROR(__xludf.DUMMYFUNCTION("""COMPUTED_VALUE"""),"")</f>
        <v/>
      </c>
      <c r="Z1354" s="1" t="str">
        <f>IFERROR(__xludf.DUMMYFUNCTION("""COMPUTED_VALUE"""),"Unknown")</f>
        <v>Unknown</v>
      </c>
      <c r="AA1354" s="1" t="str">
        <f>IFERROR(__xludf.DUMMYFUNCTION("""COMPUTED_VALUE"""),"")</f>
        <v/>
      </c>
      <c r="AB1354" s="1" t="str">
        <f>IFERROR(__xludf.DUMMYFUNCTION("""COMPUTED_VALUE"""),"")</f>
        <v/>
      </c>
      <c r="AC1354" s="1" t="str">
        <f>IFERROR(__xludf.DUMMYFUNCTION("""COMPUTED_VALUE"""),"")</f>
        <v/>
      </c>
      <c r="AD1354" s="1" t="str">
        <f>IFERROR(__xludf.DUMMYFUNCTION("""COMPUTED_VALUE"""),"")</f>
        <v/>
      </c>
      <c r="AE1354" s="1" t="str">
        <f>IFERROR(__xludf.DUMMYFUNCTION("""COMPUTED_VALUE"""),"")</f>
        <v/>
      </c>
      <c r="AF1354" s="1" t="str">
        <f>IFERROR(__xludf.DUMMYFUNCTION("""COMPUTED_VALUE"""),"")</f>
        <v/>
      </c>
      <c r="AG1354" s="1" t="str">
        <f>IFERROR(__xludf.DUMMYFUNCTION("""COMPUTED_VALUE"""),"Need better source for square footage")</f>
        <v>Need better source for square footage</v>
      </c>
      <c r="AH1354" s="1" t="str">
        <f>IFERROR(__xludf.DUMMYFUNCTION("""COMPUTED_VALUE"""),"PEC")</f>
        <v>PEC</v>
      </c>
      <c r="AI1354" s="2" t="str">
        <f>IFERROR(__xludf.DUMMYFUNCTION("""COMPUTED_VALUE"""),"https://gisweb.pwcgov.org/webapps/countymapper/index.html?Layer=Parcel&amp;GPIN=7695-53-7717")</f>
        <v>https://gisweb.pwcgov.org/webapps/countymapper/index.html?Layer=Parcel&amp;GPIN=7695-53-7717</v>
      </c>
      <c r="AJ1354" s="2" t="str">
        <f>IFERROR(__xludf.DUMMYFUNCTION("""COMPUTED_VALUE"""),"https://pwc.publicaccessnow.com/PropertyDetail.aspx?mtab=property&amp;mpropertynumber=081573")</f>
        <v>https://pwc.publicaccessnow.com/PropertyDetail.aspx?mtab=property&amp;mpropertynumber=081573</v>
      </c>
      <c r="AK1354" s="1" t="str">
        <f>IFERROR(__xludf.DUMMYFUNCTION("""COMPUTED_VALUE"""),"")</f>
        <v/>
      </c>
      <c r="AL1354" s="1" t="str">
        <f>IFERROR(__xludf.DUMMYFUNCTION("""COMPUTED_VALUE"""),"")</f>
        <v/>
      </c>
      <c r="AM1354" s="1" t="str">
        <f>IFERROR(__xludf.DUMMYFUNCTION("""COMPUTED_VALUE"""),"")</f>
        <v/>
      </c>
      <c r="AN1354" s="1" t="str">
        <f>IFERROR(__xludf.DUMMYFUNCTION("""COMPUTED_VALUE"""),"")</f>
        <v/>
      </c>
      <c r="AO1354" s="1" t="str">
        <f>IFERROR(__xludf.DUMMYFUNCTION("""COMPUTED_VALUE"""),"")</f>
        <v/>
      </c>
      <c r="AP1354" s="1" t="str">
        <f>IFERROR(__xludf.DUMMYFUNCTION("""COMPUTED_VALUE"""),"")</f>
        <v/>
      </c>
      <c r="AQ1354" s="1" t="str">
        <f>IFERROR(__xludf.DUMMYFUNCTION("""COMPUTED_VALUE"""),"04/10/2024")</f>
        <v>04/10/2024</v>
      </c>
      <c r="AR1354" s="1" t="str">
        <f>IFERROR(__xludf.DUMMYFUNCTION("""COMPUTED_VALUE"""),"10/17/2025")</f>
        <v>10/17/2025</v>
      </c>
    </row>
    <row r="1355">
      <c r="A1355" s="1" t="str">
        <f>IFERROR(__xludf.DUMMYFUNCTION("""COMPUTED_VALUE"""),"EQUINIX LLC")</f>
        <v>EQUINIX LLC</v>
      </c>
      <c r="B1355" s="1" t="str">
        <f>IFERROR(__xludf.DUMMYFUNCTION("""COMPUTED_VALUE"""),"7400 INFANTRY RIDGE RD")</f>
        <v>7400 INFANTRY RIDGE RD</v>
      </c>
      <c r="C1355" s="1" t="str">
        <f>IFERROR(__xludf.DUMMYFUNCTION("""COMPUTED_VALUE"""),"Manassas")</f>
        <v>Manassas</v>
      </c>
      <c r="D1355" s="1" t="str">
        <f>IFERROR(__xludf.DUMMYFUNCTION("""COMPUTED_VALUE"""),"VA")</f>
        <v>VA</v>
      </c>
      <c r="E1355" s="1" t="str">
        <f>IFERROR(__xludf.DUMMYFUNCTION("""COMPUTED_VALUE"""),"20109")</f>
        <v>20109</v>
      </c>
      <c r="F1355" s="1" t="str">
        <f>IFERROR(__xludf.DUMMYFUNCTION("""COMPUTED_VALUE"""),"Prince William")</f>
        <v>Prince William</v>
      </c>
      <c r="G1355" s="1" t="str">
        <f>IFERROR(__xludf.DUMMYFUNCTION("""COMPUTED_VALUE"""),"38.80344")</f>
        <v>38.80344</v>
      </c>
      <c r="H1355" s="1" t="str">
        <f>IFERROR(__xludf.DUMMYFUNCTION("""COMPUTED_VALUE"""),"-77.510796")</f>
        <v>-77.510796</v>
      </c>
      <c r="I1355" s="1" t="str">
        <f>IFERROR(__xludf.DUMMYFUNCTION("""COMPUTED_VALUE"""),"Operating")</f>
        <v>Operating</v>
      </c>
      <c r="J1355" s="1" t="str">
        <f>IFERROR(__xludf.DUMMYFUNCTION("""COMPUTED_VALUE"""),"High")</f>
        <v>High</v>
      </c>
      <c r="K1355" s="1" t="str">
        <f>IFERROR(__xludf.DUMMYFUNCTION("""COMPUTED_VALUE"""),"")</f>
        <v/>
      </c>
      <c r="L1355" s="1" t="str">
        <f>IFERROR(__xludf.DUMMYFUNCTION("""COMPUTED_VALUE"""),"Equinix")</f>
        <v>Equinix</v>
      </c>
      <c r="M1355" s="1" t="str">
        <f>IFERROR(__xludf.DUMMYFUNCTION("""COMPUTED_VALUE"""),"")</f>
        <v/>
      </c>
      <c r="N1355" s="1" t="str">
        <f>IFERROR(__xludf.DUMMYFUNCTION("""COMPUTED_VALUE"""),"")</f>
        <v/>
      </c>
      <c r="O1355" s="1" t="str">
        <f>IFERROR(__xludf.DUMMYFUNCTION("""COMPUTED_VALUE"""),"Unknown")</f>
        <v>Unknown</v>
      </c>
      <c r="P1355" s="1" t="str">
        <f>IFERROR(__xludf.DUMMYFUNCTION("""COMPUTED_VALUE"""),"")</f>
        <v/>
      </c>
      <c r="Q1355" s="1" t="str">
        <f>IFERROR(__xludf.DUMMYFUNCTION("""COMPUTED_VALUE"""),"")</f>
        <v/>
      </c>
      <c r="R1355" s="1" t="str">
        <f>IFERROR(__xludf.DUMMYFUNCTION("""COMPUTED_VALUE"""),"")</f>
        <v/>
      </c>
      <c r="S1355" s="1" t="str">
        <f>IFERROR(__xludf.DUMMYFUNCTION("""COMPUTED_VALUE"""),"")</f>
        <v/>
      </c>
      <c r="T1355" s="1" t="str">
        <f>IFERROR(__xludf.DUMMYFUNCTION("""COMPUTED_VALUE"""),"")</f>
        <v/>
      </c>
      <c r="U1355" s="1" t="str">
        <f>IFERROR(__xludf.DUMMYFUNCTION("""COMPUTED_VALUE"""),"")</f>
        <v/>
      </c>
      <c r="V1355" s="1" t="str">
        <f>IFERROR(__xludf.DUMMYFUNCTION("""COMPUTED_VALUE"""),"109,800")</f>
        <v>109,800</v>
      </c>
      <c r="W1355" s="1" t="str">
        <f>IFERROR(__xludf.DUMMYFUNCTION("""COMPUTED_VALUE"""),"7")</f>
        <v>7</v>
      </c>
      <c r="X1355" s="1" t="str">
        <f>IFERROR(__xludf.DUMMYFUNCTION("""COMPUTED_VALUE"""),"")</f>
        <v/>
      </c>
      <c r="Y1355" s="1" t="str">
        <f>IFERROR(__xludf.DUMMYFUNCTION("""COMPUTED_VALUE"""),"")</f>
        <v/>
      </c>
      <c r="Z1355" s="1" t="str">
        <f>IFERROR(__xludf.DUMMYFUNCTION("""COMPUTED_VALUE"""),"Unknown")</f>
        <v>Unknown</v>
      </c>
      <c r="AA1355" s="1" t="str">
        <f>IFERROR(__xludf.DUMMYFUNCTION("""COMPUTED_VALUE"""),"")</f>
        <v/>
      </c>
      <c r="AB1355" s="1" t="str">
        <f>IFERROR(__xludf.DUMMYFUNCTION("""COMPUTED_VALUE"""),"")</f>
        <v/>
      </c>
      <c r="AC1355" s="1" t="str">
        <f>IFERROR(__xludf.DUMMYFUNCTION("""COMPUTED_VALUE"""),"")</f>
        <v/>
      </c>
      <c r="AD1355" s="1" t="str">
        <f>IFERROR(__xludf.DUMMYFUNCTION("""COMPUTED_VALUE"""),"")</f>
        <v/>
      </c>
      <c r="AE1355" s="1" t="str">
        <f>IFERROR(__xludf.DUMMYFUNCTION("""COMPUTED_VALUE"""),"")</f>
        <v/>
      </c>
      <c r="AF1355" s="1" t="str">
        <f>IFERROR(__xludf.DUMMYFUNCTION("""COMPUTED_VALUE"""),"")</f>
        <v/>
      </c>
      <c r="AG1355" s="1" t="str">
        <f>IFERROR(__xludf.DUMMYFUNCTION("""COMPUTED_VALUE"""),"")</f>
        <v/>
      </c>
      <c r="AH1355" s="1" t="str">
        <f>IFERROR(__xludf.DUMMYFUNCTION("""COMPUTED_VALUE"""),"PEC")</f>
        <v>PEC</v>
      </c>
      <c r="AI1355" s="2" t="str">
        <f>IFERROR(__xludf.DUMMYFUNCTION("""COMPUTED_VALUE"""),"https://pwc.publicaccessnow.com/PropertyDetail.aspx?mpropertynumber=094465&amp;mtab=property&amp;p=094465")</f>
        <v>https://pwc.publicaccessnow.com/PropertyDetail.aspx?mpropertynumber=094465&amp;mtab=property&amp;p=094465</v>
      </c>
      <c r="AJ1355" s="1" t="str">
        <f>IFERROR(__xludf.DUMMYFUNCTION("""COMPUTED_VALUE"""),"")</f>
        <v/>
      </c>
      <c r="AK1355" s="1" t="str">
        <f>IFERROR(__xludf.DUMMYFUNCTION("""COMPUTED_VALUE"""),"")</f>
        <v/>
      </c>
      <c r="AL1355" s="1" t="str">
        <f>IFERROR(__xludf.DUMMYFUNCTION("""COMPUTED_VALUE"""),"")</f>
        <v/>
      </c>
      <c r="AM1355" s="1" t="str">
        <f>IFERROR(__xludf.DUMMYFUNCTION("""COMPUTED_VALUE"""),"")</f>
        <v/>
      </c>
      <c r="AN1355" s="1" t="str">
        <f>IFERROR(__xludf.DUMMYFUNCTION("""COMPUTED_VALUE"""),"")</f>
        <v/>
      </c>
      <c r="AO1355" s="1" t="str">
        <f>IFERROR(__xludf.DUMMYFUNCTION("""COMPUTED_VALUE"""),"")</f>
        <v/>
      </c>
      <c r="AP1355" s="1" t="str">
        <f>IFERROR(__xludf.DUMMYFUNCTION("""COMPUTED_VALUE"""),"")</f>
        <v/>
      </c>
      <c r="AQ1355" s="1" t="str">
        <f>IFERROR(__xludf.DUMMYFUNCTION("""COMPUTED_VALUE"""),"04/10/2024")</f>
        <v>04/10/2024</v>
      </c>
      <c r="AR1355" s="1" t="str">
        <f>IFERROR(__xludf.DUMMYFUNCTION("""COMPUTED_VALUE"""),"10/17/2025")</f>
        <v>10/17/2025</v>
      </c>
    </row>
    <row r="1356">
      <c r="A1356" s="1" t="str">
        <f>IFERROR(__xludf.DUMMYFUNCTION("""COMPUTED_VALUE"""),"GI TC 7510 MASON KING CT LLC (Amazon)")</f>
        <v>GI TC 7510 MASON KING CT LLC (Amazon)</v>
      </c>
      <c r="B1356" s="1" t="str">
        <f>IFERROR(__xludf.DUMMYFUNCTION("""COMPUTED_VALUE"""),"7510 MASON KING CT")</f>
        <v>7510 MASON KING CT</v>
      </c>
      <c r="C1356" s="1" t="str">
        <f>IFERROR(__xludf.DUMMYFUNCTION("""COMPUTED_VALUE"""),"Manassas")</f>
        <v>Manassas</v>
      </c>
      <c r="D1356" s="1" t="str">
        <f>IFERROR(__xludf.DUMMYFUNCTION("""COMPUTED_VALUE"""),"VA")</f>
        <v>VA</v>
      </c>
      <c r="E1356" s="1" t="str">
        <f>IFERROR(__xludf.DUMMYFUNCTION("""COMPUTED_VALUE"""),"20109")</f>
        <v>20109</v>
      </c>
      <c r="F1356" s="1" t="str">
        <f>IFERROR(__xludf.DUMMYFUNCTION("""COMPUTED_VALUE"""),"Prince William")</f>
        <v>Prince William</v>
      </c>
      <c r="G1356" s="1" t="str">
        <f>IFERROR(__xludf.DUMMYFUNCTION("""COMPUTED_VALUE"""),"38.790344")</f>
        <v>38.790344</v>
      </c>
      <c r="H1356" s="1" t="str">
        <f>IFERROR(__xludf.DUMMYFUNCTION("""COMPUTED_VALUE"""),"-77.54118")</f>
        <v>-77.54118</v>
      </c>
      <c r="I1356" s="1" t="str">
        <f>IFERROR(__xludf.DUMMYFUNCTION("""COMPUTED_VALUE"""),"Operating")</f>
        <v>Operating</v>
      </c>
      <c r="J1356" s="1" t="str">
        <f>IFERROR(__xludf.DUMMYFUNCTION("""COMPUTED_VALUE"""),"High")</f>
        <v>High</v>
      </c>
      <c r="K1356" s="1" t="str">
        <f>IFERROR(__xludf.DUMMYFUNCTION("""COMPUTED_VALUE"""),"")</f>
        <v/>
      </c>
      <c r="L1356" s="1" t="str">
        <f>IFERROR(__xludf.DUMMYFUNCTION("""COMPUTED_VALUE"""),"Amazon")</f>
        <v>Amazon</v>
      </c>
      <c r="M1356" s="1" t="str">
        <f>IFERROR(__xludf.DUMMYFUNCTION("""COMPUTED_VALUE"""),"")</f>
        <v/>
      </c>
      <c r="N1356" s="1" t="str">
        <f>IFERROR(__xludf.DUMMYFUNCTION("""COMPUTED_VALUE"""),"")</f>
        <v/>
      </c>
      <c r="O1356" s="1" t="str">
        <f>IFERROR(__xludf.DUMMYFUNCTION("""COMPUTED_VALUE"""),"Unknown")</f>
        <v>Unknown</v>
      </c>
      <c r="P1356" s="1" t="str">
        <f>IFERROR(__xludf.DUMMYFUNCTION("""COMPUTED_VALUE"""),"")</f>
        <v/>
      </c>
      <c r="Q1356" s="1" t="str">
        <f>IFERROR(__xludf.DUMMYFUNCTION("""COMPUTED_VALUE"""),"")</f>
        <v/>
      </c>
      <c r="R1356" s="1" t="str">
        <f>IFERROR(__xludf.DUMMYFUNCTION("""COMPUTED_VALUE"""),"")</f>
        <v/>
      </c>
      <c r="S1356" s="1" t="str">
        <f>IFERROR(__xludf.DUMMYFUNCTION("""COMPUTED_VALUE"""),"")</f>
        <v/>
      </c>
      <c r="T1356" s="1" t="str">
        <f>IFERROR(__xludf.DUMMYFUNCTION("""COMPUTED_VALUE"""),"")</f>
        <v/>
      </c>
      <c r="U1356" s="1" t="str">
        <f>IFERROR(__xludf.DUMMYFUNCTION("""COMPUTED_VALUE"""),"")</f>
        <v/>
      </c>
      <c r="V1356" s="1" t="str">
        <f>IFERROR(__xludf.DUMMYFUNCTION("""COMPUTED_VALUE"""),"150,000")</f>
        <v>150,000</v>
      </c>
      <c r="W1356" s="1" t="str">
        <f>IFERROR(__xludf.DUMMYFUNCTION("""COMPUTED_VALUE"""),"10")</f>
        <v>10</v>
      </c>
      <c r="X1356" s="1" t="str">
        <f>IFERROR(__xludf.DUMMYFUNCTION("""COMPUTED_VALUE"""),"")</f>
        <v/>
      </c>
      <c r="Y1356" s="1" t="str">
        <f>IFERROR(__xludf.DUMMYFUNCTION("""COMPUTED_VALUE"""),"")</f>
        <v/>
      </c>
      <c r="Z1356" s="1" t="str">
        <f>IFERROR(__xludf.DUMMYFUNCTION("""COMPUTED_VALUE"""),"Unknown")</f>
        <v>Unknown</v>
      </c>
      <c r="AA1356" s="1" t="str">
        <f>IFERROR(__xludf.DUMMYFUNCTION("""COMPUTED_VALUE"""),"")</f>
        <v/>
      </c>
      <c r="AB1356" s="1" t="str">
        <f>IFERROR(__xludf.DUMMYFUNCTION("""COMPUTED_VALUE"""),"")</f>
        <v/>
      </c>
      <c r="AC1356" s="1" t="str">
        <f>IFERROR(__xludf.DUMMYFUNCTION("""COMPUTED_VALUE"""),"")</f>
        <v/>
      </c>
      <c r="AD1356" s="1" t="str">
        <f>IFERROR(__xludf.DUMMYFUNCTION("""COMPUTED_VALUE"""),"")</f>
        <v/>
      </c>
      <c r="AE1356" s="1" t="str">
        <f>IFERROR(__xludf.DUMMYFUNCTION("""COMPUTED_VALUE"""),"")</f>
        <v/>
      </c>
      <c r="AF1356" s="1" t="str">
        <f>IFERROR(__xludf.DUMMYFUNCTION("""COMPUTED_VALUE"""),"")</f>
        <v/>
      </c>
      <c r="AG1356" s="1" t="str">
        <f>IFERROR(__xludf.DUMMYFUNCTION("""COMPUTED_VALUE"""),"")</f>
        <v/>
      </c>
      <c r="AH1356" s="1" t="str">
        <f>IFERROR(__xludf.DUMMYFUNCTION("""COMPUTED_VALUE"""),"PEC")</f>
        <v>PEC</v>
      </c>
      <c r="AI1356" s="2" t="str">
        <f>IFERROR(__xludf.DUMMYFUNCTION("""COMPUTED_VALUE"""),"https://pwc.publicaccessnow.com/PropertyDetail.aspx?mpropertynumber=083773&amp;mtab=property&amp;p=083773")</f>
        <v>https://pwc.publicaccessnow.com/PropertyDetail.aspx?mpropertynumber=083773&amp;mtab=property&amp;p=083773</v>
      </c>
      <c r="AJ1356" s="1" t="str">
        <f>IFERROR(__xludf.DUMMYFUNCTION("""COMPUTED_VALUE"""),"")</f>
        <v/>
      </c>
      <c r="AK1356" s="1" t="str">
        <f>IFERROR(__xludf.DUMMYFUNCTION("""COMPUTED_VALUE"""),"")</f>
        <v/>
      </c>
      <c r="AL1356" s="1" t="str">
        <f>IFERROR(__xludf.DUMMYFUNCTION("""COMPUTED_VALUE"""),"")</f>
        <v/>
      </c>
      <c r="AM1356" s="1" t="str">
        <f>IFERROR(__xludf.DUMMYFUNCTION("""COMPUTED_VALUE"""),"")</f>
        <v/>
      </c>
      <c r="AN1356" s="1" t="str">
        <f>IFERROR(__xludf.DUMMYFUNCTION("""COMPUTED_VALUE"""),"")</f>
        <v/>
      </c>
      <c r="AO1356" s="1" t="str">
        <f>IFERROR(__xludf.DUMMYFUNCTION("""COMPUTED_VALUE"""),"")</f>
        <v/>
      </c>
      <c r="AP1356" s="1" t="str">
        <f>IFERROR(__xludf.DUMMYFUNCTION("""COMPUTED_VALUE"""),"")</f>
        <v/>
      </c>
      <c r="AQ1356" s="1" t="str">
        <f>IFERROR(__xludf.DUMMYFUNCTION("""COMPUTED_VALUE"""),"04/10/2024")</f>
        <v>04/10/2024</v>
      </c>
      <c r="AR1356" s="1" t="str">
        <f>IFERROR(__xludf.DUMMYFUNCTION("""COMPUTED_VALUE"""),"10/17/2025")</f>
        <v>10/17/2025</v>
      </c>
    </row>
    <row r="1357">
      <c r="A1357" s="1" t="str">
        <f>IFERROR(__xludf.DUMMYFUNCTION("""COMPUTED_VALUE"""),"INNOVATION EXECUTIVE CENTER DC-3")</f>
        <v>INNOVATION EXECUTIVE CENTER DC-3</v>
      </c>
      <c r="B1357" s="1" t="str">
        <f>IFERROR(__xludf.DUMMYFUNCTION("""COMPUTED_VALUE"""),"9420 GODWIN DR")</f>
        <v>9420 GODWIN DR</v>
      </c>
      <c r="C1357" s="1" t="str">
        <f>IFERROR(__xludf.DUMMYFUNCTION("""COMPUTED_VALUE"""),"Manassas")</f>
        <v>Manassas</v>
      </c>
      <c r="D1357" s="1" t="str">
        <f>IFERROR(__xludf.DUMMYFUNCTION("""COMPUTED_VALUE"""),"VA")</f>
        <v>VA</v>
      </c>
      <c r="E1357" s="1" t="str">
        <f>IFERROR(__xludf.DUMMYFUNCTION("""COMPUTED_VALUE"""),"20109")</f>
        <v>20109</v>
      </c>
      <c r="F1357" s="1" t="str">
        <f>IFERROR(__xludf.DUMMYFUNCTION("""COMPUTED_VALUE"""),"Prince William")</f>
        <v>Prince William</v>
      </c>
      <c r="G1357" s="1" t="str">
        <f>IFERROR(__xludf.DUMMYFUNCTION("""COMPUTED_VALUE"""),"38.75278")</f>
        <v>38.75278</v>
      </c>
      <c r="H1357" s="1" t="str">
        <f>IFERROR(__xludf.DUMMYFUNCTION("""COMPUTED_VALUE"""),"-77.51228")</f>
        <v>-77.51228</v>
      </c>
      <c r="I1357" s="1" t="str">
        <f>IFERROR(__xludf.DUMMYFUNCTION("""COMPUTED_VALUE"""),"Proposed")</f>
        <v>Proposed</v>
      </c>
      <c r="J1357" s="1" t="str">
        <f>IFERROR(__xludf.DUMMYFUNCTION("""COMPUTED_VALUE"""),"High")</f>
        <v>High</v>
      </c>
      <c r="K1357" s="1" t="str">
        <f>IFERROR(__xludf.DUMMYFUNCTION("""COMPUTED_VALUE"""),"")</f>
        <v/>
      </c>
      <c r="L1357" s="1" t="str">
        <f>IFERROR(__xludf.DUMMYFUNCTION("""COMPUTED_VALUE"""),"QTS MANASSAS I DC2 LLC")</f>
        <v>QTS MANASSAS I DC2 LLC</v>
      </c>
      <c r="M1357" s="1" t="str">
        <f>IFERROR(__xludf.DUMMYFUNCTION("""COMPUTED_VALUE"""),"")</f>
        <v/>
      </c>
      <c r="N1357" s="1" t="str">
        <f>IFERROR(__xludf.DUMMYFUNCTION("""COMPUTED_VALUE"""),"")</f>
        <v/>
      </c>
      <c r="O1357" s="1" t="str">
        <f>IFERROR(__xludf.DUMMYFUNCTION("""COMPUTED_VALUE"""),"Unknown")</f>
        <v>Unknown</v>
      </c>
      <c r="P1357" s="1" t="str">
        <f>IFERROR(__xludf.DUMMYFUNCTION("""COMPUTED_VALUE"""),"")</f>
        <v/>
      </c>
      <c r="Q1357" s="1" t="str">
        <f>IFERROR(__xludf.DUMMYFUNCTION("""COMPUTED_VALUE"""),"")</f>
        <v/>
      </c>
      <c r="R1357" s="1" t="str">
        <f>IFERROR(__xludf.DUMMYFUNCTION("""COMPUTED_VALUE"""),"")</f>
        <v/>
      </c>
      <c r="S1357" s="1" t="str">
        <f>IFERROR(__xludf.DUMMYFUNCTION("""COMPUTED_VALUE"""),"")</f>
        <v/>
      </c>
      <c r="T1357" s="1" t="str">
        <f>IFERROR(__xludf.DUMMYFUNCTION("""COMPUTED_VALUE"""),"")</f>
        <v/>
      </c>
      <c r="U1357" s="1" t="str">
        <f>IFERROR(__xludf.DUMMYFUNCTION("""COMPUTED_VALUE"""),"")</f>
        <v/>
      </c>
      <c r="V1357" s="1" t="str">
        <f>IFERROR(__xludf.DUMMYFUNCTION("""COMPUTED_VALUE"""),"174,719")</f>
        <v>174,719</v>
      </c>
      <c r="W1357" s="1" t="str">
        <f>IFERROR(__xludf.DUMMYFUNCTION("""COMPUTED_VALUE"""),"")</f>
        <v/>
      </c>
      <c r="X1357" s="1" t="str">
        <f>IFERROR(__xludf.DUMMYFUNCTION("""COMPUTED_VALUE"""),"")</f>
        <v/>
      </c>
      <c r="Y1357" s="1" t="str">
        <f>IFERROR(__xludf.DUMMYFUNCTION("""COMPUTED_VALUE"""),"")</f>
        <v/>
      </c>
      <c r="Z1357" s="1" t="str">
        <f>IFERROR(__xludf.DUMMYFUNCTION("""COMPUTED_VALUE"""),"Unknown")</f>
        <v>Unknown</v>
      </c>
      <c r="AA1357" s="1" t="str">
        <f>IFERROR(__xludf.DUMMYFUNCTION("""COMPUTED_VALUE"""),"")</f>
        <v/>
      </c>
      <c r="AB1357" s="1" t="str">
        <f>IFERROR(__xludf.DUMMYFUNCTION("""COMPUTED_VALUE"""),"")</f>
        <v/>
      </c>
      <c r="AC1357" s="1" t="str">
        <f>IFERROR(__xludf.DUMMYFUNCTION("""COMPUTED_VALUE"""),"")</f>
        <v/>
      </c>
      <c r="AD1357" s="1" t="str">
        <f>IFERROR(__xludf.DUMMYFUNCTION("""COMPUTED_VALUE"""),"")</f>
        <v/>
      </c>
      <c r="AE1357" s="1" t="str">
        <f>IFERROR(__xludf.DUMMYFUNCTION("""COMPUTED_VALUE"""),"")</f>
        <v/>
      </c>
      <c r="AF1357" s="1" t="str">
        <f>IFERROR(__xludf.DUMMYFUNCTION("""COMPUTED_VALUE"""),"")</f>
        <v/>
      </c>
      <c r="AG1357" s="1" t="str">
        <f>IFERROR(__xludf.DUMMYFUNCTION("""COMPUTED_VALUE"""),"")</f>
        <v/>
      </c>
      <c r="AH1357" s="1" t="str">
        <f>IFERROR(__xludf.DUMMYFUNCTION("""COMPUTED_VALUE"""),"PEC")</f>
        <v>PEC</v>
      </c>
      <c r="AI1357" s="2" t="str">
        <f>IFERROR(__xludf.DUMMYFUNCTION("""COMPUTED_VALUE"""),"https://egcss.pwcgov.org/SelfService#/project/aa699c84-7dd0-4bb1-aaec-7712d020a74b")</f>
        <v>https://egcss.pwcgov.org/SelfService#/project/aa699c84-7dd0-4bb1-aaec-7712d020a74b</v>
      </c>
      <c r="AJ1357" s="1" t="str">
        <f>IFERROR(__xludf.DUMMYFUNCTION("""COMPUTED_VALUE"""),"")</f>
        <v/>
      </c>
      <c r="AK1357" s="1" t="str">
        <f>IFERROR(__xludf.DUMMYFUNCTION("""COMPUTED_VALUE"""),"")</f>
        <v/>
      </c>
      <c r="AL1357" s="1" t="str">
        <f>IFERROR(__xludf.DUMMYFUNCTION("""COMPUTED_VALUE"""),"")</f>
        <v/>
      </c>
      <c r="AM1357" s="1" t="str">
        <f>IFERROR(__xludf.DUMMYFUNCTION("""COMPUTED_VALUE"""),"")</f>
        <v/>
      </c>
      <c r="AN1357" s="1" t="str">
        <f>IFERROR(__xludf.DUMMYFUNCTION("""COMPUTED_VALUE"""),"")</f>
        <v/>
      </c>
      <c r="AO1357" s="1" t="str">
        <f>IFERROR(__xludf.DUMMYFUNCTION("""COMPUTED_VALUE"""),"")</f>
        <v/>
      </c>
      <c r="AP1357" s="1" t="str">
        <f>IFERROR(__xludf.DUMMYFUNCTION("""COMPUTED_VALUE"""),"")</f>
        <v/>
      </c>
      <c r="AQ1357" s="1" t="str">
        <f>IFERROR(__xludf.DUMMYFUNCTION("""COMPUTED_VALUE"""),"04/10/2024")</f>
        <v>04/10/2024</v>
      </c>
      <c r="AR1357" s="1" t="str">
        <f>IFERROR(__xludf.DUMMYFUNCTION("""COMPUTED_VALUE"""),"10/17/2025")</f>
        <v>10/17/2025</v>
      </c>
    </row>
    <row r="1358">
      <c r="A1358" s="1" t="str">
        <f>IFERROR(__xludf.DUMMYFUNCTION("""COMPUTED_VALUE"""),"Iron Mountain Building 7")</f>
        <v>Iron Mountain Building 7</v>
      </c>
      <c r="B1358" s="1" t="str">
        <f>IFERROR(__xludf.DUMMYFUNCTION("""COMPUTED_VALUE"""),"8328 BETHLEHEM RD")</f>
        <v>8328 BETHLEHEM RD</v>
      </c>
      <c r="C1358" s="1" t="str">
        <f>IFERROR(__xludf.DUMMYFUNCTION("""COMPUTED_VALUE"""),"Manassas")</f>
        <v>Manassas</v>
      </c>
      <c r="D1358" s="1" t="str">
        <f>IFERROR(__xludf.DUMMYFUNCTION("""COMPUTED_VALUE"""),"VA")</f>
        <v>VA</v>
      </c>
      <c r="E1358" s="1" t="str">
        <f>IFERROR(__xludf.DUMMYFUNCTION("""COMPUTED_VALUE"""),"20109")</f>
        <v>20109</v>
      </c>
      <c r="F1358" s="1" t="str">
        <f>IFERROR(__xludf.DUMMYFUNCTION("""COMPUTED_VALUE"""),"Prince William")</f>
        <v>Prince William</v>
      </c>
      <c r="G1358" s="1" t="str">
        <f>IFERROR(__xludf.DUMMYFUNCTION("""COMPUTED_VALUE"""),"38.775063")</f>
        <v>38.775063</v>
      </c>
      <c r="H1358" s="1" t="str">
        <f>IFERROR(__xludf.DUMMYFUNCTION("""COMPUTED_VALUE"""),"-77.539795")</f>
        <v>-77.539795</v>
      </c>
      <c r="I1358" s="1" t="str">
        <f>IFERROR(__xludf.DUMMYFUNCTION("""COMPUTED_VALUE"""),"Proposed")</f>
        <v>Proposed</v>
      </c>
      <c r="J1358" s="1" t="str">
        <f>IFERROR(__xludf.DUMMYFUNCTION("""COMPUTED_VALUE"""),"High")</f>
        <v>High</v>
      </c>
      <c r="K1358" s="1" t="str">
        <f>IFERROR(__xludf.DUMMYFUNCTION("""COMPUTED_VALUE"""),"")</f>
        <v/>
      </c>
      <c r="L1358" s="1" t="str">
        <f>IFERROR(__xludf.DUMMYFUNCTION("""COMPUTED_VALUE"""),"IRON MOUNTAIN DATA CENTERS VA 7 LLC")</f>
        <v>IRON MOUNTAIN DATA CENTERS VA 7 LLC</v>
      </c>
      <c r="M1358" s="1" t="str">
        <f>IFERROR(__xludf.DUMMYFUNCTION("""COMPUTED_VALUE"""),"")</f>
        <v/>
      </c>
      <c r="N1358" s="1" t="str">
        <f>IFERROR(__xludf.DUMMYFUNCTION("""COMPUTED_VALUE"""),"")</f>
        <v/>
      </c>
      <c r="O1358" s="1" t="str">
        <f>IFERROR(__xludf.DUMMYFUNCTION("""COMPUTED_VALUE"""),"Unknown")</f>
        <v>Unknown</v>
      </c>
      <c r="P1358" s="1" t="str">
        <f>IFERROR(__xludf.DUMMYFUNCTION("""COMPUTED_VALUE"""),"")</f>
        <v/>
      </c>
      <c r="Q1358" s="1" t="str">
        <f>IFERROR(__xludf.DUMMYFUNCTION("""COMPUTED_VALUE"""),"")</f>
        <v/>
      </c>
      <c r="R1358" s="1" t="str">
        <f>IFERROR(__xludf.DUMMYFUNCTION("""COMPUTED_VALUE"""),"")</f>
        <v/>
      </c>
      <c r="S1358" s="1" t="str">
        <f>IFERROR(__xludf.DUMMYFUNCTION("""COMPUTED_VALUE"""),"")</f>
        <v/>
      </c>
      <c r="T1358" s="1" t="str">
        <f>IFERROR(__xludf.DUMMYFUNCTION("""COMPUTED_VALUE"""),"")</f>
        <v/>
      </c>
      <c r="U1358" s="1" t="str">
        <f>IFERROR(__xludf.DUMMYFUNCTION("""COMPUTED_VALUE"""),"")</f>
        <v/>
      </c>
      <c r="V1358" s="1" t="str">
        <f>IFERROR(__xludf.DUMMYFUNCTION("""COMPUTED_VALUE"""),"304,000")</f>
        <v>304,000</v>
      </c>
      <c r="W1358" s="1" t="str">
        <f>IFERROR(__xludf.DUMMYFUNCTION("""COMPUTED_VALUE"""),"24")</f>
        <v>24</v>
      </c>
      <c r="X1358" s="1" t="str">
        <f>IFERROR(__xludf.DUMMYFUNCTION("""COMPUTED_VALUE"""),"")</f>
        <v/>
      </c>
      <c r="Y1358" s="1" t="str">
        <f>IFERROR(__xludf.DUMMYFUNCTION("""COMPUTED_VALUE"""),"")</f>
        <v/>
      </c>
      <c r="Z1358" s="1" t="str">
        <f>IFERROR(__xludf.DUMMYFUNCTION("""COMPUTED_VALUE"""),"Unknown")</f>
        <v>Unknown</v>
      </c>
      <c r="AA1358" s="1" t="str">
        <f>IFERROR(__xludf.DUMMYFUNCTION("""COMPUTED_VALUE"""),"")</f>
        <v/>
      </c>
      <c r="AB1358" s="1" t="str">
        <f>IFERROR(__xludf.DUMMYFUNCTION("""COMPUTED_VALUE"""),"")</f>
        <v/>
      </c>
      <c r="AC1358" s="1" t="str">
        <f>IFERROR(__xludf.DUMMYFUNCTION("""COMPUTED_VALUE"""),"")</f>
        <v/>
      </c>
      <c r="AD1358" s="1" t="str">
        <f>IFERROR(__xludf.DUMMYFUNCTION("""COMPUTED_VALUE"""),"")</f>
        <v/>
      </c>
      <c r="AE1358" s="1" t="str">
        <f>IFERROR(__xludf.DUMMYFUNCTION("""COMPUTED_VALUE"""),"")</f>
        <v/>
      </c>
      <c r="AF1358" s="1" t="str">
        <f>IFERROR(__xludf.DUMMYFUNCTION("""COMPUTED_VALUE"""),"")</f>
        <v/>
      </c>
      <c r="AG1358" s="1" t="str">
        <f>IFERROR(__xludf.DUMMYFUNCTION("""COMPUTED_VALUE"""),"")</f>
        <v/>
      </c>
      <c r="AH1358" s="1" t="str">
        <f>IFERROR(__xludf.DUMMYFUNCTION("""COMPUTED_VALUE"""),"PEC")</f>
        <v>PEC</v>
      </c>
      <c r="AI1358" s="2" t="str">
        <f>IFERROR(__xludf.DUMMYFUNCTION("""COMPUTED_VALUE"""),"https://datacenterhawk.com/marketplace/providers/iron-mountain-data-centers/11500-prince-william-parkway/va-7")</f>
        <v>https://datacenterhawk.com/marketplace/providers/iron-mountain-data-centers/11500-prince-william-parkway/va-7</v>
      </c>
      <c r="AJ1358" s="2" t="str">
        <f>IFERROR(__xludf.DUMMYFUNCTION("""COMPUTED_VALUE"""),"https://pwc.publicaccessnow.com/PropertyDetail.aspx?mtab=property&amp;mpropertynumber=090673")</f>
        <v>https://pwc.publicaccessnow.com/PropertyDetail.aspx?mtab=property&amp;mpropertynumber=090673</v>
      </c>
      <c r="AK1358" s="1" t="str">
        <f>IFERROR(__xludf.DUMMYFUNCTION("""COMPUTED_VALUE"""),"")</f>
        <v/>
      </c>
      <c r="AL1358" s="1" t="str">
        <f>IFERROR(__xludf.DUMMYFUNCTION("""COMPUTED_VALUE"""),"")</f>
        <v/>
      </c>
      <c r="AM1358" s="1" t="str">
        <f>IFERROR(__xludf.DUMMYFUNCTION("""COMPUTED_VALUE"""),"")</f>
        <v/>
      </c>
      <c r="AN1358" s="1" t="str">
        <f>IFERROR(__xludf.DUMMYFUNCTION("""COMPUTED_VALUE"""),"")</f>
        <v/>
      </c>
      <c r="AO1358" s="1" t="str">
        <f>IFERROR(__xludf.DUMMYFUNCTION("""COMPUTED_VALUE"""),"")</f>
        <v/>
      </c>
      <c r="AP1358" s="1" t="str">
        <f>IFERROR(__xludf.DUMMYFUNCTION("""COMPUTED_VALUE"""),"")</f>
        <v/>
      </c>
      <c r="AQ1358" s="1" t="str">
        <f>IFERROR(__xludf.DUMMYFUNCTION("""COMPUTED_VALUE"""),"04/10/2024")</f>
        <v>04/10/2024</v>
      </c>
      <c r="AR1358" s="1" t="str">
        <f>IFERROR(__xludf.DUMMYFUNCTION("""COMPUTED_VALUE"""),"10/17/2025")</f>
        <v>10/17/2025</v>
      </c>
    </row>
    <row r="1359">
      <c r="A1359" s="1" t="str">
        <f>IFERROR(__xludf.DUMMYFUNCTION("""COMPUTED_VALUE"""),"Iron Mountain Data Center VA-1")</f>
        <v>Iron Mountain Data Center VA-1</v>
      </c>
      <c r="B1359" s="1" t="str">
        <f>IFERROR(__xludf.DUMMYFUNCTION("""COMPUTED_VALUE"""),"11680 Hayden Rd")</f>
        <v>11680 Hayden Rd</v>
      </c>
      <c r="C1359" s="1" t="str">
        <f>IFERROR(__xludf.DUMMYFUNCTION("""COMPUTED_VALUE"""),"Manassas")</f>
        <v>Manassas</v>
      </c>
      <c r="D1359" s="1" t="str">
        <f>IFERROR(__xludf.DUMMYFUNCTION("""COMPUTED_VALUE"""),"VA")</f>
        <v>VA</v>
      </c>
      <c r="E1359" s="1" t="str">
        <f>IFERROR(__xludf.DUMMYFUNCTION("""COMPUTED_VALUE"""),"20109")</f>
        <v>20109</v>
      </c>
      <c r="F1359" s="1" t="str">
        <f>IFERROR(__xludf.DUMMYFUNCTION("""COMPUTED_VALUE"""),"Prince William")</f>
        <v>Prince William</v>
      </c>
      <c r="G1359" s="1" t="str">
        <f>IFERROR(__xludf.DUMMYFUNCTION("""COMPUTED_VALUE"""),"38.77727")</f>
        <v>38.77727</v>
      </c>
      <c r="H1359" s="1" t="str">
        <f>IFERROR(__xludf.DUMMYFUNCTION("""COMPUTED_VALUE"""),"-77.5477")</f>
        <v>-77.5477</v>
      </c>
      <c r="I1359" s="1" t="str">
        <f>IFERROR(__xludf.DUMMYFUNCTION("""COMPUTED_VALUE"""),"Operating")</f>
        <v>Operating</v>
      </c>
      <c r="J1359" s="1" t="str">
        <f>IFERROR(__xludf.DUMMYFUNCTION("""COMPUTED_VALUE"""),"High")</f>
        <v>High</v>
      </c>
      <c r="K1359" s="1" t="str">
        <f>IFERROR(__xludf.DUMMYFUNCTION("""COMPUTED_VALUE"""),"")</f>
        <v/>
      </c>
      <c r="L1359" s="1" t="str">
        <f>IFERROR(__xludf.DUMMYFUNCTION("""COMPUTED_VALUE"""),"")</f>
        <v/>
      </c>
      <c r="M1359" s="1" t="str">
        <f>IFERROR(__xludf.DUMMYFUNCTION("""COMPUTED_VALUE"""),"")</f>
        <v/>
      </c>
      <c r="N1359" s="1" t="str">
        <f>IFERROR(__xludf.DUMMYFUNCTION("""COMPUTED_VALUE"""),"280")</f>
        <v>280</v>
      </c>
      <c r="O1359" s="1" t="str">
        <f>IFERROR(__xludf.DUMMYFUNCTION("""COMPUTED_VALUE"""),"Hyperscale (100-999 MW)")</f>
        <v>Hyperscale (100-999 MW)</v>
      </c>
      <c r="P1359" s="1" t="str">
        <f>IFERROR(__xludf.DUMMYFUNCTION("""COMPUTED_VALUE"""),"")</f>
        <v/>
      </c>
      <c r="Q1359" s="1" t="str">
        <f>IFERROR(__xludf.DUMMYFUNCTION("""COMPUTED_VALUE"""),"")</f>
        <v/>
      </c>
      <c r="R1359" s="1" t="str">
        <f>IFERROR(__xludf.DUMMYFUNCTION("""COMPUTED_VALUE"""),"")</f>
        <v/>
      </c>
      <c r="S1359" s="1" t="str">
        <f>IFERROR(__xludf.DUMMYFUNCTION("""COMPUTED_VALUE"""),"")</f>
        <v/>
      </c>
      <c r="T1359" s="1" t="str">
        <f>IFERROR(__xludf.DUMMYFUNCTION("""COMPUTED_VALUE"""),"")</f>
        <v/>
      </c>
      <c r="U1359" s="1" t="str">
        <f>IFERROR(__xludf.DUMMYFUNCTION("""COMPUTED_VALUE"""),"")</f>
        <v/>
      </c>
      <c r="V1359" s="1" t="str">
        <f>IFERROR(__xludf.DUMMYFUNCTION("""COMPUTED_VALUE"""),"165,230")</f>
        <v>165,230</v>
      </c>
      <c r="W1359" s="1" t="str">
        <f>IFERROR(__xludf.DUMMYFUNCTION("""COMPUTED_VALUE"""),"12")</f>
        <v>12</v>
      </c>
      <c r="X1359" s="1" t="str">
        <f>IFERROR(__xludf.DUMMYFUNCTION("""COMPUTED_VALUE"""),"")</f>
        <v/>
      </c>
      <c r="Y1359" s="1" t="str">
        <f>IFERROR(__xludf.DUMMYFUNCTION("""COMPUTED_VALUE"""),"")</f>
        <v/>
      </c>
      <c r="Z1359" s="1" t="str">
        <f>IFERROR(__xludf.DUMMYFUNCTION("""COMPUTED_VALUE"""),"Unknown")</f>
        <v>Unknown</v>
      </c>
      <c r="AA1359" s="1" t="str">
        <f>IFERROR(__xludf.DUMMYFUNCTION("""COMPUTED_VALUE"""),"")</f>
        <v/>
      </c>
      <c r="AB1359" s="1" t="str">
        <f>IFERROR(__xludf.DUMMYFUNCTION("""COMPUTED_VALUE"""),"")</f>
        <v/>
      </c>
      <c r="AC1359" s="1" t="str">
        <f>IFERROR(__xludf.DUMMYFUNCTION("""COMPUTED_VALUE"""),"")</f>
        <v/>
      </c>
      <c r="AD1359" s="1" t="str">
        <f>IFERROR(__xludf.DUMMYFUNCTION("""COMPUTED_VALUE"""),"")</f>
        <v/>
      </c>
      <c r="AE1359" s="1" t="str">
        <f>IFERROR(__xludf.DUMMYFUNCTION("""COMPUTED_VALUE"""),"")</f>
        <v/>
      </c>
      <c r="AF1359" s="1" t="str">
        <f>IFERROR(__xludf.DUMMYFUNCTION("""COMPUTED_VALUE"""),"")</f>
        <v/>
      </c>
      <c r="AG1359" s="1" t="str">
        <f>IFERROR(__xludf.DUMMYFUNCTION("""COMPUTED_VALUE"""),"")</f>
        <v/>
      </c>
      <c r="AH1359" s="1" t="str">
        <f>IFERROR(__xludf.DUMMYFUNCTION("""COMPUTED_VALUE"""),"Media Monitoring")</f>
        <v>Media Monitoring</v>
      </c>
      <c r="AI1359" s="2" t="str">
        <f>IFERROR(__xludf.DUMMYFUNCTION("""COMPUTED_VALUE"""),"https://www.datacenterdynamics.com/en/news/iron-mountain-starts-work-on-data-center-campus-near-richmond-virginia/")</f>
        <v>https://www.datacenterdynamics.com/en/news/iron-mountain-starts-work-on-data-center-campus-near-richmond-virginia/</v>
      </c>
      <c r="AJ1359" s="2" t="str">
        <f>IFERROR(__xludf.DUMMYFUNCTION("""COMPUTED_VALUE"""),"https://pwc.publicaccessnow.com/PropertyDetail.aspx?mpropertynumber=228118&amp;mtab=property&amp;p=228118")</f>
        <v>https://pwc.publicaccessnow.com/PropertyDetail.aspx?mpropertynumber=228118&amp;mtab=property&amp;p=228118</v>
      </c>
      <c r="AK1359" s="1" t="str">
        <f>IFERROR(__xludf.DUMMYFUNCTION("""COMPUTED_VALUE"""),"")</f>
        <v/>
      </c>
      <c r="AL1359" s="1" t="str">
        <f>IFERROR(__xludf.DUMMYFUNCTION("""COMPUTED_VALUE"""),"")</f>
        <v/>
      </c>
      <c r="AM1359" s="1" t="str">
        <f>IFERROR(__xludf.DUMMYFUNCTION("""COMPUTED_VALUE"""),"")</f>
        <v/>
      </c>
      <c r="AN1359" s="1" t="str">
        <f>IFERROR(__xludf.DUMMYFUNCTION("""COMPUTED_VALUE"""),"")</f>
        <v/>
      </c>
      <c r="AO1359" s="1" t="str">
        <f>IFERROR(__xludf.DUMMYFUNCTION("""COMPUTED_VALUE"""),"")</f>
        <v/>
      </c>
      <c r="AP1359" s="1" t="str">
        <f>IFERROR(__xludf.DUMMYFUNCTION("""COMPUTED_VALUE"""),"")</f>
        <v/>
      </c>
      <c r="AQ1359" s="1" t="str">
        <f>IFERROR(__xludf.DUMMYFUNCTION("""COMPUTED_VALUE"""),"05/26/2025")</f>
        <v>05/26/2025</v>
      </c>
      <c r="AR1359" s="1" t="str">
        <f>IFERROR(__xludf.DUMMYFUNCTION("""COMPUTED_VALUE"""),"05/26/2025")</f>
        <v>05/26/2025</v>
      </c>
    </row>
    <row r="1360">
      <c r="A1360" s="1" t="str">
        <f>IFERROR(__xludf.DUMMYFUNCTION("""COMPUTED_VALUE"""),"Iron Mountain Data Center VA-5")</f>
        <v>Iron Mountain Data Center VA-5</v>
      </c>
      <c r="B1360" s="1" t="str">
        <f>IFERROR(__xludf.DUMMYFUNCTION("""COMPUTED_VALUE"""),"7729 Wellington Glen Dr")</f>
        <v>7729 Wellington Glen Dr</v>
      </c>
      <c r="C1360" s="1" t="str">
        <f>IFERROR(__xludf.DUMMYFUNCTION("""COMPUTED_VALUE"""),"Manassas")</f>
        <v>Manassas</v>
      </c>
      <c r="D1360" s="1" t="str">
        <f>IFERROR(__xludf.DUMMYFUNCTION("""COMPUTED_VALUE"""),"VA")</f>
        <v>VA</v>
      </c>
      <c r="E1360" s="1" t="str">
        <f>IFERROR(__xludf.DUMMYFUNCTION("""COMPUTED_VALUE"""),"20109")</f>
        <v>20109</v>
      </c>
      <c r="F1360" s="1" t="str">
        <f>IFERROR(__xludf.DUMMYFUNCTION("""COMPUTED_VALUE"""),"Prince William")</f>
        <v>Prince William</v>
      </c>
      <c r="G1360" s="1" t="str">
        <f>IFERROR(__xludf.DUMMYFUNCTION("""COMPUTED_VALUE"""),"38.77139")</f>
        <v>38.77139</v>
      </c>
      <c r="H1360" s="1" t="str">
        <f>IFERROR(__xludf.DUMMYFUNCTION("""COMPUTED_VALUE"""),"-77.5423")</f>
        <v>-77.5423</v>
      </c>
      <c r="I1360" s="1" t="str">
        <f>IFERROR(__xludf.DUMMYFUNCTION("""COMPUTED_VALUE"""),"Approved/Permitted/Under construction")</f>
        <v>Approved/Permitted/Under construction</v>
      </c>
      <c r="J1360" s="1" t="str">
        <f>IFERROR(__xludf.DUMMYFUNCTION("""COMPUTED_VALUE"""),"High")</f>
        <v>High</v>
      </c>
      <c r="K1360" s="1" t="str">
        <f>IFERROR(__xludf.DUMMYFUNCTION("""COMPUTED_VALUE"""),"")</f>
        <v/>
      </c>
      <c r="L1360" s="1" t="str">
        <f>IFERROR(__xludf.DUMMYFUNCTION("""COMPUTED_VALUE"""),"")</f>
        <v/>
      </c>
      <c r="M1360" s="1" t="str">
        <f>IFERROR(__xludf.DUMMYFUNCTION("""COMPUTED_VALUE"""),"")</f>
        <v/>
      </c>
      <c r="N1360" s="1" t="str">
        <f>IFERROR(__xludf.DUMMYFUNCTION("""COMPUTED_VALUE"""),"")</f>
        <v/>
      </c>
      <c r="O1360" s="1" t="str">
        <f>IFERROR(__xludf.DUMMYFUNCTION("""COMPUTED_VALUE"""),"Unknown")</f>
        <v>Unknown</v>
      </c>
      <c r="P1360" s="1" t="str">
        <f>IFERROR(__xludf.DUMMYFUNCTION("""COMPUTED_VALUE"""),"")</f>
        <v/>
      </c>
      <c r="Q1360" s="1" t="str">
        <f>IFERROR(__xludf.DUMMYFUNCTION("""COMPUTED_VALUE"""),"")</f>
        <v/>
      </c>
      <c r="R1360" s="1" t="str">
        <f>IFERROR(__xludf.DUMMYFUNCTION("""COMPUTED_VALUE"""),"")</f>
        <v/>
      </c>
      <c r="S1360" s="1" t="str">
        <f>IFERROR(__xludf.DUMMYFUNCTION("""COMPUTED_VALUE"""),"")</f>
        <v/>
      </c>
      <c r="T1360" s="1" t="str">
        <f>IFERROR(__xludf.DUMMYFUNCTION("""COMPUTED_VALUE"""),"")</f>
        <v/>
      </c>
      <c r="U1360" s="1" t="str">
        <f>IFERROR(__xludf.DUMMYFUNCTION("""COMPUTED_VALUE"""),"")</f>
        <v/>
      </c>
      <c r="V1360" s="1" t="str">
        <f>IFERROR(__xludf.DUMMYFUNCTION("""COMPUTED_VALUE"""),"165,428")</f>
        <v>165,428</v>
      </c>
      <c r="W1360" s="1" t="str">
        <f>IFERROR(__xludf.DUMMYFUNCTION("""COMPUTED_VALUE"""),"15")</f>
        <v>15</v>
      </c>
      <c r="X1360" s="1" t="str">
        <f>IFERROR(__xludf.DUMMYFUNCTION("""COMPUTED_VALUE"""),"")</f>
        <v/>
      </c>
      <c r="Y1360" s="1" t="str">
        <f>IFERROR(__xludf.DUMMYFUNCTION("""COMPUTED_VALUE"""),"")</f>
        <v/>
      </c>
      <c r="Z1360" s="1" t="str">
        <f>IFERROR(__xludf.DUMMYFUNCTION("""COMPUTED_VALUE"""),"Unknown")</f>
        <v>Unknown</v>
      </c>
      <c r="AA1360" s="1" t="str">
        <f>IFERROR(__xludf.DUMMYFUNCTION("""COMPUTED_VALUE"""),"")</f>
        <v/>
      </c>
      <c r="AB1360" s="1" t="str">
        <f>IFERROR(__xludf.DUMMYFUNCTION("""COMPUTED_VALUE"""),"")</f>
        <v/>
      </c>
      <c r="AC1360" s="1" t="str">
        <f>IFERROR(__xludf.DUMMYFUNCTION("""COMPUTED_VALUE"""),"")</f>
        <v/>
      </c>
      <c r="AD1360" s="1" t="str">
        <f>IFERROR(__xludf.DUMMYFUNCTION("""COMPUTED_VALUE"""),"")</f>
        <v/>
      </c>
      <c r="AE1360" s="1" t="str">
        <f>IFERROR(__xludf.DUMMYFUNCTION("""COMPUTED_VALUE"""),"")</f>
        <v/>
      </c>
      <c r="AF1360" s="1" t="str">
        <f>IFERROR(__xludf.DUMMYFUNCTION("""COMPUTED_VALUE"""),"")</f>
        <v/>
      </c>
      <c r="AG1360" s="1" t="str">
        <f>IFERROR(__xludf.DUMMYFUNCTION("""COMPUTED_VALUE"""),"")</f>
        <v/>
      </c>
      <c r="AH1360" s="1" t="str">
        <f>IFERROR(__xludf.DUMMYFUNCTION("""COMPUTED_VALUE"""),"Media Monitoring")</f>
        <v>Media Monitoring</v>
      </c>
      <c r="AI1360" s="2" t="str">
        <f>IFERROR(__xludf.DUMMYFUNCTION("""COMPUTED_VALUE"""),"https://www.insidenova.com/headlines/prince-william-supervisors-approve-va-8-9-data-center-rezoning-to-extend-iron-mountain-campus/article_96d99fd1-7c5f-40df-aa5f-23b7357c819c.html")</f>
        <v>https://www.insidenova.com/headlines/prince-william-supervisors-approve-va-8-9-data-center-rezoning-to-extend-iron-mountain-campus/article_96d99fd1-7c5f-40df-aa5f-23b7357c819c.html</v>
      </c>
      <c r="AJ1360" s="2" t="str">
        <f>IFERROR(__xludf.DUMMYFUNCTION("""COMPUTED_VALUE"""),"https://www.datacenterdynamics.com/en/news/iron-mountain-files-to-expand-manassas-data-center-campus/")</f>
        <v>https://www.datacenterdynamics.com/en/news/iron-mountain-files-to-expand-manassas-data-center-campus/</v>
      </c>
      <c r="AK1360" s="2" t="str">
        <f>IFERROR(__xludf.DUMMYFUNCTION("""COMPUTED_VALUE"""),"https://pwc.publicaccessnow.com/PropertyDetail.aspx?mtab=property&amp;mpropertynumber=246599")</f>
        <v>https://pwc.publicaccessnow.com/PropertyDetail.aspx?mtab=property&amp;mpropertynumber=246599</v>
      </c>
      <c r="AL1360" s="1" t="str">
        <f>IFERROR(__xludf.DUMMYFUNCTION("""COMPUTED_VALUE"""),"")</f>
        <v/>
      </c>
      <c r="AM1360" s="1" t="str">
        <f>IFERROR(__xludf.DUMMYFUNCTION("""COMPUTED_VALUE"""),"")</f>
        <v/>
      </c>
      <c r="AN1360" s="1" t="str">
        <f>IFERROR(__xludf.DUMMYFUNCTION("""COMPUTED_VALUE"""),"")</f>
        <v/>
      </c>
      <c r="AO1360" s="1" t="str">
        <f>IFERROR(__xludf.DUMMYFUNCTION("""COMPUTED_VALUE"""),"")</f>
        <v/>
      </c>
      <c r="AP1360" s="1" t="str">
        <f>IFERROR(__xludf.DUMMYFUNCTION("""COMPUTED_VALUE"""),"")</f>
        <v/>
      </c>
      <c r="AQ1360" s="1" t="str">
        <f>IFERROR(__xludf.DUMMYFUNCTION("""COMPUTED_VALUE"""),"08/03/2025")</f>
        <v>08/03/2025</v>
      </c>
      <c r="AR1360" s="1" t="str">
        <f>IFERROR(__xludf.DUMMYFUNCTION("""COMPUTED_VALUE"""),"08/03/2025")</f>
        <v>08/03/2025</v>
      </c>
    </row>
    <row r="1361">
      <c r="A1361" s="1" t="str">
        <f>IFERROR(__xludf.DUMMYFUNCTION("""COMPUTED_VALUE"""),"KH Data Capital Development")</f>
        <v>KH Data Capital Development</v>
      </c>
      <c r="B1361" s="1" t="str">
        <f>IFERROR(__xludf.DUMMYFUNCTION("""COMPUTED_VALUE"""),"11560 HAYDEN RD")</f>
        <v>11560 HAYDEN RD</v>
      </c>
      <c r="C1361" s="1" t="str">
        <f>IFERROR(__xludf.DUMMYFUNCTION("""COMPUTED_VALUE"""),"Manassas")</f>
        <v>Manassas</v>
      </c>
      <c r="D1361" s="1" t="str">
        <f>IFERROR(__xludf.DUMMYFUNCTION("""COMPUTED_VALUE"""),"VA")</f>
        <v>VA</v>
      </c>
      <c r="E1361" s="1" t="str">
        <f>IFERROR(__xludf.DUMMYFUNCTION("""COMPUTED_VALUE"""),"20109")</f>
        <v>20109</v>
      </c>
      <c r="F1361" s="1" t="str">
        <f>IFERROR(__xludf.DUMMYFUNCTION("""COMPUTED_VALUE"""),"Prince William")</f>
        <v>Prince William</v>
      </c>
      <c r="G1361" s="1" t="str">
        <f>IFERROR(__xludf.DUMMYFUNCTION("""COMPUTED_VALUE"""),"38.77393")</f>
        <v>38.77393</v>
      </c>
      <c r="H1361" s="1" t="str">
        <f>IFERROR(__xludf.DUMMYFUNCTION("""COMPUTED_VALUE"""),"-77.54234")</f>
        <v>-77.54234</v>
      </c>
      <c r="I1361" s="1" t="str">
        <f>IFERROR(__xludf.DUMMYFUNCTION("""COMPUTED_VALUE"""),"Operating")</f>
        <v>Operating</v>
      </c>
      <c r="J1361" s="1" t="str">
        <f>IFERROR(__xludf.DUMMYFUNCTION("""COMPUTED_VALUE"""),"High")</f>
        <v>High</v>
      </c>
      <c r="K1361" s="1" t="str">
        <f>IFERROR(__xludf.DUMMYFUNCTION("""COMPUTED_VALUE"""),"")</f>
        <v/>
      </c>
      <c r="L1361" s="1" t="str">
        <f>IFERROR(__xludf.DUMMYFUNCTION("""COMPUTED_VALUE"""),"IRON MOUNTAIN DATA CENTERS VA 4/5 SUBSIDIARY LLC")</f>
        <v>IRON MOUNTAIN DATA CENTERS VA 4/5 SUBSIDIARY LLC</v>
      </c>
      <c r="M1361" s="1" t="str">
        <f>IFERROR(__xludf.DUMMYFUNCTION("""COMPUTED_VALUE"""),"")</f>
        <v/>
      </c>
      <c r="N1361" s="1" t="str">
        <f>IFERROR(__xludf.DUMMYFUNCTION("""COMPUTED_VALUE"""),"")</f>
        <v/>
      </c>
      <c r="O1361" s="1" t="str">
        <f>IFERROR(__xludf.DUMMYFUNCTION("""COMPUTED_VALUE"""),"Unknown")</f>
        <v>Unknown</v>
      </c>
      <c r="P1361" s="1" t="str">
        <f>IFERROR(__xludf.DUMMYFUNCTION("""COMPUTED_VALUE"""),"")</f>
        <v/>
      </c>
      <c r="Q1361" s="1" t="str">
        <f>IFERROR(__xludf.DUMMYFUNCTION("""COMPUTED_VALUE"""),"")</f>
        <v/>
      </c>
      <c r="R1361" s="1" t="str">
        <f>IFERROR(__xludf.DUMMYFUNCTION("""COMPUTED_VALUE"""),"")</f>
        <v/>
      </c>
      <c r="S1361" s="1" t="str">
        <f>IFERROR(__xludf.DUMMYFUNCTION("""COMPUTED_VALUE"""),"")</f>
        <v/>
      </c>
      <c r="T1361" s="1" t="str">
        <f>IFERROR(__xludf.DUMMYFUNCTION("""COMPUTED_VALUE"""),"")</f>
        <v/>
      </c>
      <c r="U1361" s="1" t="str">
        <f>IFERROR(__xludf.DUMMYFUNCTION("""COMPUTED_VALUE"""),"")</f>
        <v/>
      </c>
      <c r="V1361" s="1" t="str">
        <f>IFERROR(__xludf.DUMMYFUNCTION("""COMPUTED_VALUE"""),"201,083")</f>
        <v>201,083</v>
      </c>
      <c r="W1361" s="1" t="str">
        <f>IFERROR(__xludf.DUMMYFUNCTION("""COMPUTED_VALUE"""),"17")</f>
        <v>17</v>
      </c>
      <c r="X1361" s="1" t="str">
        <f>IFERROR(__xludf.DUMMYFUNCTION("""COMPUTED_VALUE"""),"")</f>
        <v/>
      </c>
      <c r="Y1361" s="1" t="str">
        <f>IFERROR(__xludf.DUMMYFUNCTION("""COMPUTED_VALUE"""),"")</f>
        <v/>
      </c>
      <c r="Z1361" s="1" t="str">
        <f>IFERROR(__xludf.DUMMYFUNCTION("""COMPUTED_VALUE"""),"Unknown")</f>
        <v>Unknown</v>
      </c>
      <c r="AA1361" s="1" t="str">
        <f>IFERROR(__xludf.DUMMYFUNCTION("""COMPUTED_VALUE"""),"")</f>
        <v/>
      </c>
      <c r="AB1361" s="1" t="str">
        <f>IFERROR(__xludf.DUMMYFUNCTION("""COMPUTED_VALUE"""),"")</f>
        <v/>
      </c>
      <c r="AC1361" s="1" t="str">
        <f>IFERROR(__xludf.DUMMYFUNCTION("""COMPUTED_VALUE"""),"")</f>
        <v/>
      </c>
      <c r="AD1361" s="1" t="str">
        <f>IFERROR(__xludf.DUMMYFUNCTION("""COMPUTED_VALUE"""),"")</f>
        <v/>
      </c>
      <c r="AE1361" s="1" t="str">
        <f>IFERROR(__xludf.DUMMYFUNCTION("""COMPUTED_VALUE"""),"")</f>
        <v/>
      </c>
      <c r="AF1361" s="1" t="str">
        <f>IFERROR(__xludf.DUMMYFUNCTION("""COMPUTED_VALUE"""),"")</f>
        <v/>
      </c>
      <c r="AG1361" s="1" t="str">
        <f>IFERROR(__xludf.DUMMYFUNCTION("""COMPUTED_VALUE"""),"")</f>
        <v/>
      </c>
      <c r="AH1361" s="1" t="str">
        <f>IFERROR(__xludf.DUMMYFUNCTION("""COMPUTED_VALUE"""),"PEC")</f>
        <v>PEC</v>
      </c>
      <c r="AI1361" s="2" t="str">
        <f>IFERROR(__xludf.DUMMYFUNCTION("""COMPUTED_VALUE"""),"https://eservice.pwcgov.org/planning/documents/REZ2021-00022.pdf")</f>
        <v>https://eservice.pwcgov.org/planning/documents/REZ2021-00022.pdf</v>
      </c>
      <c r="AJ1361" s="2" t="str">
        <f>IFERROR(__xludf.DUMMYFUNCTION("""COMPUTED_VALUE"""),"https://pwc.publicaccessnow.com/PropertyDetail.aspx?mtab=property&amp;mpropertynumber=264279")</f>
        <v>https://pwc.publicaccessnow.com/PropertyDetail.aspx?mtab=property&amp;mpropertynumber=264279</v>
      </c>
      <c r="AK1361" s="1" t="str">
        <f>IFERROR(__xludf.DUMMYFUNCTION("""COMPUTED_VALUE"""),"")</f>
        <v/>
      </c>
      <c r="AL1361" s="1" t="str">
        <f>IFERROR(__xludf.DUMMYFUNCTION("""COMPUTED_VALUE"""),"")</f>
        <v/>
      </c>
      <c r="AM1361" s="1" t="str">
        <f>IFERROR(__xludf.DUMMYFUNCTION("""COMPUTED_VALUE"""),"")</f>
        <v/>
      </c>
      <c r="AN1361" s="1" t="str">
        <f>IFERROR(__xludf.DUMMYFUNCTION("""COMPUTED_VALUE"""),"")</f>
        <v/>
      </c>
      <c r="AO1361" s="1" t="str">
        <f>IFERROR(__xludf.DUMMYFUNCTION("""COMPUTED_VALUE"""),"")</f>
        <v/>
      </c>
      <c r="AP1361" s="1" t="str">
        <f>IFERROR(__xludf.DUMMYFUNCTION("""COMPUTED_VALUE"""),"")</f>
        <v/>
      </c>
      <c r="AQ1361" s="1" t="str">
        <f>IFERROR(__xludf.DUMMYFUNCTION("""COMPUTED_VALUE"""),"04/10/2024")</f>
        <v>04/10/2024</v>
      </c>
      <c r="AR1361" s="1" t="str">
        <f>IFERROR(__xludf.DUMMYFUNCTION("""COMPUTED_VALUE"""),"10/17/2025")</f>
        <v>10/17/2025</v>
      </c>
    </row>
    <row r="1362">
      <c r="A1362" s="1" t="str">
        <f>IFERROR(__xludf.DUMMYFUNCTION("""COMPUTED_VALUE"""),"KH DATA CAPITAL DEVELOPMENT LAND LLC
 C/O IRON MOUNTAIN GLOBAL REAL ESTATE")</f>
        <v>KH DATA CAPITAL DEVELOPMENT LAND LLC
 C/O IRON MOUNTAIN GLOBAL REAL ESTATE</v>
      </c>
      <c r="B1362" s="1" t="str">
        <f>IFERROR(__xludf.DUMMYFUNCTION("""COMPUTED_VALUE"""),"11650 HAYDEN RD")</f>
        <v>11650 HAYDEN RD</v>
      </c>
      <c r="C1362" s="1" t="str">
        <f>IFERROR(__xludf.DUMMYFUNCTION("""COMPUTED_VALUE"""),"Manassas")</f>
        <v>Manassas</v>
      </c>
      <c r="D1362" s="1" t="str">
        <f>IFERROR(__xludf.DUMMYFUNCTION("""COMPUTED_VALUE"""),"VA")</f>
        <v>VA</v>
      </c>
      <c r="E1362" s="1" t="str">
        <f>IFERROR(__xludf.DUMMYFUNCTION("""COMPUTED_VALUE"""),"20109")</f>
        <v>20109</v>
      </c>
      <c r="F1362" s="1" t="str">
        <f>IFERROR(__xludf.DUMMYFUNCTION("""COMPUTED_VALUE"""),"Prince William")</f>
        <v>Prince William</v>
      </c>
      <c r="G1362" s="1" t="str">
        <f>IFERROR(__xludf.DUMMYFUNCTION("""COMPUTED_VALUE"""),"38.7768")</f>
        <v>38.7768</v>
      </c>
      <c r="H1362" s="1" t="str">
        <f>IFERROR(__xludf.DUMMYFUNCTION("""COMPUTED_VALUE"""),"-77.54394")</f>
        <v>-77.54394</v>
      </c>
      <c r="I1362" s="1" t="str">
        <f>IFERROR(__xludf.DUMMYFUNCTION("""COMPUTED_VALUE"""),"Operating")</f>
        <v>Operating</v>
      </c>
      <c r="J1362" s="1" t="str">
        <f>IFERROR(__xludf.DUMMYFUNCTION("""COMPUTED_VALUE"""),"High")</f>
        <v>High</v>
      </c>
      <c r="K1362" s="1" t="str">
        <f>IFERROR(__xludf.DUMMYFUNCTION("""COMPUTED_VALUE"""),"")</f>
        <v/>
      </c>
      <c r="L1362" s="1" t="str">
        <f>IFERROR(__xludf.DUMMYFUNCTION("""COMPUTED_VALUE"""),"KH DATA CAPITAL DEVELOPMENT LAND LLC
 C/O IRON MOUNTAIN GLOBAL REAL ESTATE")</f>
        <v>KH DATA CAPITAL DEVELOPMENT LAND LLC
 C/O IRON MOUNTAIN GLOBAL REAL ESTATE</v>
      </c>
      <c r="M1362" s="1" t="str">
        <f>IFERROR(__xludf.DUMMYFUNCTION("""COMPUTED_VALUE"""),"")</f>
        <v/>
      </c>
      <c r="N1362" s="1" t="str">
        <f>IFERROR(__xludf.DUMMYFUNCTION("""COMPUTED_VALUE"""),"")</f>
        <v/>
      </c>
      <c r="O1362" s="1" t="str">
        <f>IFERROR(__xludf.DUMMYFUNCTION("""COMPUTED_VALUE"""),"Unknown")</f>
        <v>Unknown</v>
      </c>
      <c r="P1362" s="1" t="str">
        <f>IFERROR(__xludf.DUMMYFUNCTION("""COMPUTED_VALUE"""),"")</f>
        <v/>
      </c>
      <c r="Q1362" s="1" t="str">
        <f>IFERROR(__xludf.DUMMYFUNCTION("""COMPUTED_VALUE"""),"")</f>
        <v/>
      </c>
      <c r="R1362" s="1" t="str">
        <f>IFERROR(__xludf.DUMMYFUNCTION("""COMPUTED_VALUE"""),"")</f>
        <v/>
      </c>
      <c r="S1362" s="1" t="str">
        <f>IFERROR(__xludf.DUMMYFUNCTION("""COMPUTED_VALUE"""),"")</f>
        <v/>
      </c>
      <c r="T1362" s="1" t="str">
        <f>IFERROR(__xludf.DUMMYFUNCTION("""COMPUTED_VALUE"""),"")</f>
        <v/>
      </c>
      <c r="U1362" s="1" t="str">
        <f>IFERROR(__xludf.DUMMYFUNCTION("""COMPUTED_VALUE"""),"")</f>
        <v/>
      </c>
      <c r="V1362" s="1" t="str">
        <f>IFERROR(__xludf.DUMMYFUNCTION("""COMPUTED_VALUE"""),"597,590")</f>
        <v>597,590</v>
      </c>
      <c r="W1362" s="1" t="str">
        <f>IFERROR(__xludf.DUMMYFUNCTION("""COMPUTED_VALUE"""),"41")</f>
        <v>41</v>
      </c>
      <c r="X1362" s="1" t="str">
        <f>IFERROR(__xludf.DUMMYFUNCTION("""COMPUTED_VALUE"""),"")</f>
        <v/>
      </c>
      <c r="Y1362" s="1" t="str">
        <f>IFERROR(__xludf.DUMMYFUNCTION("""COMPUTED_VALUE"""),"")</f>
        <v/>
      </c>
      <c r="Z1362" s="1" t="str">
        <f>IFERROR(__xludf.DUMMYFUNCTION("""COMPUTED_VALUE"""),"Unknown")</f>
        <v>Unknown</v>
      </c>
      <c r="AA1362" s="1" t="str">
        <f>IFERROR(__xludf.DUMMYFUNCTION("""COMPUTED_VALUE"""),"")</f>
        <v/>
      </c>
      <c r="AB1362" s="1" t="str">
        <f>IFERROR(__xludf.DUMMYFUNCTION("""COMPUTED_VALUE"""),"")</f>
        <v/>
      </c>
      <c r="AC1362" s="1" t="str">
        <f>IFERROR(__xludf.DUMMYFUNCTION("""COMPUTED_VALUE"""),"")</f>
        <v/>
      </c>
      <c r="AD1362" s="1" t="str">
        <f>IFERROR(__xludf.DUMMYFUNCTION("""COMPUTED_VALUE"""),"")</f>
        <v/>
      </c>
      <c r="AE1362" s="1" t="str">
        <f>IFERROR(__xludf.DUMMYFUNCTION("""COMPUTED_VALUE"""),"")</f>
        <v/>
      </c>
      <c r="AF1362" s="1" t="str">
        <f>IFERROR(__xludf.DUMMYFUNCTION("""COMPUTED_VALUE"""),"")</f>
        <v/>
      </c>
      <c r="AG1362" s="1" t="str">
        <f>IFERROR(__xludf.DUMMYFUNCTION("""COMPUTED_VALUE"""),"")</f>
        <v/>
      </c>
      <c r="AH1362" s="1" t="str">
        <f>IFERROR(__xludf.DUMMYFUNCTION("""COMPUTED_VALUE"""),"PEC")</f>
        <v>PEC</v>
      </c>
      <c r="AI1362" s="2" t="str">
        <f>IFERROR(__xludf.DUMMYFUNCTION("""COMPUTED_VALUE"""),"https://pwc.publicaccessnow.com/PropertyDetail.aspx?mpropertynumber=228119&amp;mtab=property&amp;p=228119")</f>
        <v>https://pwc.publicaccessnow.com/PropertyDetail.aspx?mpropertynumber=228119&amp;mtab=property&amp;p=228119</v>
      </c>
      <c r="AJ1362" s="1" t="str">
        <f>IFERROR(__xludf.DUMMYFUNCTION("""COMPUTED_VALUE"""),"")</f>
        <v/>
      </c>
      <c r="AK1362" s="1" t="str">
        <f>IFERROR(__xludf.DUMMYFUNCTION("""COMPUTED_VALUE"""),"")</f>
        <v/>
      </c>
      <c r="AL1362" s="1" t="str">
        <f>IFERROR(__xludf.DUMMYFUNCTION("""COMPUTED_VALUE"""),"")</f>
        <v/>
      </c>
      <c r="AM1362" s="1" t="str">
        <f>IFERROR(__xludf.DUMMYFUNCTION("""COMPUTED_VALUE"""),"")</f>
        <v/>
      </c>
      <c r="AN1362" s="1" t="str">
        <f>IFERROR(__xludf.DUMMYFUNCTION("""COMPUTED_VALUE"""),"")</f>
        <v/>
      </c>
      <c r="AO1362" s="1" t="str">
        <f>IFERROR(__xludf.DUMMYFUNCTION("""COMPUTED_VALUE"""),"")</f>
        <v/>
      </c>
      <c r="AP1362" s="1" t="str">
        <f>IFERROR(__xludf.DUMMYFUNCTION("""COMPUTED_VALUE"""),"")</f>
        <v/>
      </c>
      <c r="AQ1362" s="1" t="str">
        <f>IFERROR(__xludf.DUMMYFUNCTION("""COMPUTED_VALUE"""),"04/10/2024")</f>
        <v>04/10/2024</v>
      </c>
      <c r="AR1362" s="1" t="str">
        <f>IFERROR(__xludf.DUMMYFUNCTION("""COMPUTED_VALUE"""),"10/17/2025")</f>
        <v>10/17/2025</v>
      </c>
    </row>
    <row r="1363">
      <c r="A1363" s="1" t="str">
        <f>IFERROR(__xludf.DUMMYFUNCTION("""COMPUTED_VALUE"""),"Manassas Corporate Center MCC-7 PRA")</f>
        <v>Manassas Corporate Center MCC-7 PRA</v>
      </c>
      <c r="B1363" s="1" t="str">
        <f>IFERROR(__xludf.DUMMYFUNCTION("""COMPUTED_VALUE"""),"10101 HARRY J PARRISH BLVD")</f>
        <v>10101 HARRY J PARRISH BLVD</v>
      </c>
      <c r="C1363" s="1" t="str">
        <f>IFERROR(__xludf.DUMMYFUNCTION("""COMPUTED_VALUE"""),"Manassas")</f>
        <v>Manassas</v>
      </c>
      <c r="D1363" s="1" t="str">
        <f>IFERROR(__xludf.DUMMYFUNCTION("""COMPUTED_VALUE"""),"VA")</f>
        <v>VA</v>
      </c>
      <c r="E1363" s="1" t="str">
        <f>IFERROR(__xludf.DUMMYFUNCTION("""COMPUTED_VALUE"""),"20110")</f>
        <v>20110</v>
      </c>
      <c r="F1363" s="1" t="str">
        <f>IFERROR(__xludf.DUMMYFUNCTION("""COMPUTED_VALUE"""),"Prince William")</f>
        <v>Prince William</v>
      </c>
      <c r="G1363" s="1" t="str">
        <f>IFERROR(__xludf.DUMMYFUNCTION("""COMPUTED_VALUE"""),"38.722412")</f>
        <v>38.722412</v>
      </c>
      <c r="H1363" s="1" t="str">
        <f>IFERROR(__xludf.DUMMYFUNCTION("""COMPUTED_VALUE"""),"-77.50135")</f>
        <v>-77.50135</v>
      </c>
      <c r="I1363" s="1" t="str">
        <f>IFERROR(__xludf.DUMMYFUNCTION("""COMPUTED_VALUE"""),"Proposed")</f>
        <v>Proposed</v>
      </c>
      <c r="J1363" s="1" t="str">
        <f>IFERROR(__xludf.DUMMYFUNCTION("""COMPUTED_VALUE"""),"High")</f>
        <v>High</v>
      </c>
      <c r="K1363" s="1" t="str">
        <f>IFERROR(__xludf.DUMMYFUNCTION("""COMPUTED_VALUE"""),"")</f>
        <v/>
      </c>
      <c r="L1363" s="1" t="str">
        <f>IFERROR(__xludf.DUMMYFUNCTION("""COMPUTED_VALUE"""),"UNICORN INTERESTS LLC")</f>
        <v>UNICORN INTERESTS LLC</v>
      </c>
      <c r="M1363" s="1" t="str">
        <f>IFERROR(__xludf.DUMMYFUNCTION("""COMPUTED_VALUE"""),"")</f>
        <v/>
      </c>
      <c r="N1363" s="1" t="str">
        <f>IFERROR(__xludf.DUMMYFUNCTION("""COMPUTED_VALUE"""),"")</f>
        <v/>
      </c>
      <c r="O1363" s="1" t="str">
        <f>IFERROR(__xludf.DUMMYFUNCTION("""COMPUTED_VALUE"""),"Unknown")</f>
        <v>Unknown</v>
      </c>
      <c r="P1363" s="1" t="str">
        <f>IFERROR(__xludf.DUMMYFUNCTION("""COMPUTED_VALUE"""),"")</f>
        <v/>
      </c>
      <c r="Q1363" s="1" t="str">
        <f>IFERROR(__xludf.DUMMYFUNCTION("""COMPUTED_VALUE"""),"")</f>
        <v/>
      </c>
      <c r="R1363" s="1" t="str">
        <f>IFERROR(__xludf.DUMMYFUNCTION("""COMPUTED_VALUE"""),"")</f>
        <v/>
      </c>
      <c r="S1363" s="1" t="str">
        <f>IFERROR(__xludf.DUMMYFUNCTION("""COMPUTED_VALUE"""),"")</f>
        <v/>
      </c>
      <c r="T1363" s="1" t="str">
        <f>IFERROR(__xludf.DUMMYFUNCTION("""COMPUTED_VALUE"""),"")</f>
        <v/>
      </c>
      <c r="U1363" s="1" t="str">
        <f>IFERROR(__xludf.DUMMYFUNCTION("""COMPUTED_VALUE"""),"")</f>
        <v/>
      </c>
      <c r="V1363" s="1" t="str">
        <f>IFERROR(__xludf.DUMMYFUNCTION("""COMPUTED_VALUE"""),"1,082,231")</f>
        <v>1,082,231</v>
      </c>
      <c r="W1363" s="1" t="str">
        <f>IFERROR(__xludf.DUMMYFUNCTION("""COMPUTED_VALUE"""),"")</f>
        <v/>
      </c>
      <c r="X1363" s="1" t="str">
        <f>IFERROR(__xludf.DUMMYFUNCTION("""COMPUTED_VALUE"""),"")</f>
        <v/>
      </c>
      <c r="Y1363" s="1" t="str">
        <f>IFERROR(__xludf.DUMMYFUNCTION("""COMPUTED_VALUE"""),"")</f>
        <v/>
      </c>
      <c r="Z1363" s="1" t="str">
        <f>IFERROR(__xludf.DUMMYFUNCTION("""COMPUTED_VALUE"""),"Unknown")</f>
        <v>Unknown</v>
      </c>
      <c r="AA1363" s="1" t="str">
        <f>IFERROR(__xludf.DUMMYFUNCTION("""COMPUTED_VALUE"""),"")</f>
        <v/>
      </c>
      <c r="AB1363" s="1" t="str">
        <f>IFERROR(__xludf.DUMMYFUNCTION("""COMPUTED_VALUE"""),"")</f>
        <v/>
      </c>
      <c r="AC1363" s="1" t="str">
        <f>IFERROR(__xludf.DUMMYFUNCTION("""COMPUTED_VALUE"""),"")</f>
        <v/>
      </c>
      <c r="AD1363" s="1" t="str">
        <f>IFERROR(__xludf.DUMMYFUNCTION("""COMPUTED_VALUE"""),"")</f>
        <v/>
      </c>
      <c r="AE1363" s="1" t="str">
        <f>IFERROR(__xludf.DUMMYFUNCTION("""COMPUTED_VALUE"""),"")</f>
        <v/>
      </c>
      <c r="AF1363" s="1" t="str">
        <f>IFERROR(__xludf.DUMMYFUNCTION("""COMPUTED_VALUE"""),"")</f>
        <v/>
      </c>
      <c r="AG1363" s="1" t="str">
        <f>IFERROR(__xludf.DUMMYFUNCTION("""COMPUTED_VALUE"""),"")</f>
        <v/>
      </c>
      <c r="AH1363" s="1" t="str">
        <f>IFERROR(__xludf.DUMMYFUNCTION("""COMPUTED_VALUE"""),"PEC")</f>
        <v>PEC</v>
      </c>
      <c r="AI1363" s="2" t="str">
        <f>IFERROR(__xludf.DUMMYFUNCTION("""COMPUTED_VALUE"""),"https://egcss.pwcgov.org/SelfService#/plan/96c7aacf-964e-419b-ae82-f9f97a86808d?tab=attachments")</f>
        <v>https://egcss.pwcgov.org/SelfService#/plan/96c7aacf-964e-419b-ae82-f9f97a86808d?tab=attachments</v>
      </c>
      <c r="AJ1363" s="1" t="str">
        <f>IFERROR(__xludf.DUMMYFUNCTION("""COMPUTED_VALUE"""),"")</f>
        <v/>
      </c>
      <c r="AK1363" s="1" t="str">
        <f>IFERROR(__xludf.DUMMYFUNCTION("""COMPUTED_VALUE"""),"")</f>
        <v/>
      </c>
      <c r="AL1363" s="1" t="str">
        <f>IFERROR(__xludf.DUMMYFUNCTION("""COMPUTED_VALUE"""),"")</f>
        <v/>
      </c>
      <c r="AM1363" s="1" t="str">
        <f>IFERROR(__xludf.DUMMYFUNCTION("""COMPUTED_VALUE"""),"")</f>
        <v/>
      </c>
      <c r="AN1363" s="1" t="str">
        <f>IFERROR(__xludf.DUMMYFUNCTION("""COMPUTED_VALUE"""),"")</f>
        <v/>
      </c>
      <c r="AO1363" s="1" t="str">
        <f>IFERROR(__xludf.DUMMYFUNCTION("""COMPUTED_VALUE"""),"")</f>
        <v/>
      </c>
      <c r="AP1363" s="1" t="str">
        <f>IFERROR(__xludf.DUMMYFUNCTION("""COMPUTED_VALUE"""),"")</f>
        <v/>
      </c>
      <c r="AQ1363" s="1" t="str">
        <f>IFERROR(__xludf.DUMMYFUNCTION("""COMPUTED_VALUE"""),"04/10/2024")</f>
        <v>04/10/2024</v>
      </c>
      <c r="AR1363" s="1" t="str">
        <f>IFERROR(__xludf.DUMMYFUNCTION("""COMPUTED_VALUE"""),"10/17/2025")</f>
        <v>10/17/2025</v>
      </c>
    </row>
    <row r="1364">
      <c r="A1364" s="1" t="str">
        <f>IFERROR(__xludf.DUMMYFUNCTION("""COMPUTED_VALUE"""),"Manassas Data Center")</f>
        <v>Manassas Data Center</v>
      </c>
      <c r="B1364" s="1" t="str">
        <f>IFERROR(__xludf.DUMMYFUNCTION("""COMPUTED_VALUE"""),"11101 University Blvd")</f>
        <v>11101 University Blvd</v>
      </c>
      <c r="C1364" s="1" t="str">
        <f>IFERROR(__xludf.DUMMYFUNCTION("""COMPUTED_VALUE"""),"Manassas")</f>
        <v>Manassas</v>
      </c>
      <c r="D1364" s="1" t="str">
        <f>IFERROR(__xludf.DUMMYFUNCTION("""COMPUTED_VALUE"""),"VA")</f>
        <v>VA</v>
      </c>
      <c r="E1364" s="1" t="str">
        <f>IFERROR(__xludf.DUMMYFUNCTION("""COMPUTED_VALUE"""),"20110")</f>
        <v>20110</v>
      </c>
      <c r="F1364" s="1" t="str">
        <f>IFERROR(__xludf.DUMMYFUNCTION("""COMPUTED_VALUE"""),"Prince William")</f>
        <v>Prince William</v>
      </c>
      <c r="G1364" s="1" t="str">
        <f>IFERROR(__xludf.DUMMYFUNCTION("""COMPUTED_VALUE"""),"38.75382")</f>
        <v>38.75382</v>
      </c>
      <c r="H1364" s="1" t="str">
        <f>IFERROR(__xludf.DUMMYFUNCTION("""COMPUTED_VALUE"""),"-77.5245")</f>
        <v>-77.5245</v>
      </c>
      <c r="I1364" s="1" t="str">
        <f>IFERROR(__xludf.DUMMYFUNCTION("""COMPUTED_VALUE"""),"Proposed")</f>
        <v>Proposed</v>
      </c>
      <c r="J1364" s="1" t="str">
        <f>IFERROR(__xludf.DUMMYFUNCTION("""COMPUTED_VALUE"""),"High")</f>
        <v>High</v>
      </c>
      <c r="K1364" s="1" t="str">
        <f>IFERROR(__xludf.DUMMYFUNCTION("""COMPUTED_VALUE"""),"")</f>
        <v/>
      </c>
      <c r="L1364" s="1" t="str">
        <f>IFERROR(__xludf.DUMMYFUNCTION("""COMPUTED_VALUE"""),"")</f>
        <v/>
      </c>
      <c r="M1364" s="1" t="str">
        <f>IFERROR(__xludf.DUMMYFUNCTION("""COMPUTED_VALUE"""),"")</f>
        <v/>
      </c>
      <c r="N1364" s="1" t="str">
        <f>IFERROR(__xludf.DUMMYFUNCTION("""COMPUTED_VALUE"""),"")</f>
        <v/>
      </c>
      <c r="O1364" s="1" t="str">
        <f>IFERROR(__xludf.DUMMYFUNCTION("""COMPUTED_VALUE"""),"Unknown")</f>
        <v>Unknown</v>
      </c>
      <c r="P1364" s="1" t="str">
        <f>IFERROR(__xludf.DUMMYFUNCTION("""COMPUTED_VALUE"""),"")</f>
        <v/>
      </c>
      <c r="Q1364" s="1" t="str">
        <f>IFERROR(__xludf.DUMMYFUNCTION("""COMPUTED_VALUE"""),"")</f>
        <v/>
      </c>
      <c r="R1364" s="1" t="str">
        <f>IFERROR(__xludf.DUMMYFUNCTION("""COMPUTED_VALUE"""),"")</f>
        <v/>
      </c>
      <c r="S1364" s="1" t="str">
        <f>IFERROR(__xludf.DUMMYFUNCTION("""COMPUTED_VALUE"""),"")</f>
        <v/>
      </c>
      <c r="T1364" s="1" t="str">
        <f>IFERROR(__xludf.DUMMYFUNCTION("""COMPUTED_VALUE"""),"")</f>
        <v/>
      </c>
      <c r="U1364" s="1" t="str">
        <f>IFERROR(__xludf.DUMMYFUNCTION("""COMPUTED_VALUE"""),"")</f>
        <v/>
      </c>
      <c r="V1364" s="1" t="str">
        <f>IFERROR(__xludf.DUMMYFUNCTION("""COMPUTED_VALUE"""),"577,000")</f>
        <v>577,000</v>
      </c>
      <c r="W1364" s="1" t="str">
        <f>IFERROR(__xludf.DUMMYFUNCTION("""COMPUTED_VALUE"""),"18")</f>
        <v>18</v>
      </c>
      <c r="X1364" s="1" t="str">
        <f>IFERROR(__xludf.DUMMYFUNCTION("""COMPUTED_VALUE"""),"")</f>
        <v/>
      </c>
      <c r="Y1364" s="1" t="str">
        <f>IFERROR(__xludf.DUMMYFUNCTION("""COMPUTED_VALUE"""),"")</f>
        <v/>
      </c>
      <c r="Z1364" s="1" t="str">
        <f>IFERROR(__xludf.DUMMYFUNCTION("""COMPUTED_VALUE"""),"Yes")</f>
        <v>Yes</v>
      </c>
      <c r="AA1364" s="1" t="str">
        <f>IFERROR(__xludf.DUMMYFUNCTION("""COMPUTED_VALUE"""),"")</f>
        <v/>
      </c>
      <c r="AB1364" s="1" t="str">
        <f>IFERROR(__xludf.DUMMYFUNCTION("""COMPUTED_VALUE"""),"")</f>
        <v/>
      </c>
      <c r="AC1364" s="1" t="str">
        <f>IFERROR(__xludf.DUMMYFUNCTION("""COMPUTED_VALUE"""),"")</f>
        <v/>
      </c>
      <c r="AD1364" s="2" t="str">
        <f>IFERROR(__xludf.DUMMYFUNCTION("""COMPUTED_VALUE"""),"https://www.pwcva.gov/department/planning-office/data-centers")</f>
        <v>https://www.pwcva.gov/department/planning-office/data-centers</v>
      </c>
      <c r="AE1364" s="1" t="str">
        <f>IFERROR(__xludf.DUMMYFUNCTION("""COMPUTED_VALUE"""),"")</f>
        <v/>
      </c>
      <c r="AF1364" s="1" t="str">
        <f>IFERROR(__xludf.DUMMYFUNCTION("""COMPUTED_VALUE"""),"")</f>
        <v/>
      </c>
      <c r="AG1364" s="1" t="str">
        <f>IFERROR(__xludf.DUMMYFUNCTION("""COMPUTED_VALUE"""),"Increasing size of current data center on same site. Proposed data center redevelopment at the “Innovation on the Parkway” site on University Blvd in Manassas. Located within the heavily contested Prince William County data-center corridor where multiple "&amp;"citizen groups oppose continued expansion.
")</f>
        <v>Increasing size of current data center on same site. Proposed data center redevelopment at the “Innovation on the Parkway” site on University Blvd in Manassas. Located within the heavily contested Prince William County data-center corridor where multiple citizen groups oppose continued expansion.
</v>
      </c>
      <c r="AH1364" s="1" t="str">
        <f>IFERROR(__xludf.DUMMYFUNCTION("""COMPUTED_VALUE"""),"Media Monitoring")</f>
        <v>Media Monitoring</v>
      </c>
      <c r="AI1364" s="2" t="str">
        <f>IFERROR(__xludf.DUMMYFUNCTION("""COMPUTED_VALUE"""),"https://wtop.com/prince-william-county/2025/07/prince-william-county-residents-push-back-against-recommendation-of-another-data-center/")</f>
        <v>https://wtop.com/prince-william-county/2025/07/prince-william-county-residents-push-back-against-recommendation-of-another-data-center/</v>
      </c>
      <c r="AJ1364" s="2" t="str">
        <f>IFERROR(__xludf.DUMMYFUNCTION("""COMPUTED_VALUE"""),"https://eservice.pwcgov.org/planning/documents/REZ2023-00001.pdf")</f>
        <v>https://eservice.pwcgov.org/planning/documents/REZ2023-00001.pdf</v>
      </c>
      <c r="AK1364" s="2" t="str">
        <f>IFERROR(__xludf.DUMMYFUNCTION("""COMPUTED_VALUE"""),"https://egcss.pwcgov.org/SelfService#/plan/005eaa9c-a822-4dad-b14e-35d804a4f532")</f>
        <v>https://egcss.pwcgov.org/SelfService#/plan/005eaa9c-a822-4dad-b14e-35d804a4f532</v>
      </c>
      <c r="AL1364" s="2" t="str">
        <f>IFERROR(__xludf.DUMMYFUNCTION("""COMPUTED_VALUE"""),"https://pwc.publicaccessnow.com/PropertyDetail.aspx?mtab=property&amp;mpropertynumber=202724")</f>
        <v>https://pwc.publicaccessnow.com/PropertyDetail.aspx?mtab=property&amp;mpropertynumber=202724</v>
      </c>
      <c r="AM1364" s="1" t="str">
        <f>IFERROR(__xludf.DUMMYFUNCTION("""COMPUTED_VALUE"""),"")</f>
        <v/>
      </c>
      <c r="AN1364" s="1" t="str">
        <f>IFERROR(__xludf.DUMMYFUNCTION("""COMPUTED_VALUE"""),"")</f>
        <v/>
      </c>
      <c r="AO1364" s="1" t="str">
        <f>IFERROR(__xludf.DUMMYFUNCTION("""COMPUTED_VALUE"""),"")</f>
        <v/>
      </c>
      <c r="AP1364" s="1" t="str">
        <f>IFERROR(__xludf.DUMMYFUNCTION("""COMPUTED_VALUE"""),"")</f>
        <v/>
      </c>
      <c r="AQ1364" s="1" t="str">
        <f>IFERROR(__xludf.DUMMYFUNCTION("""COMPUTED_VALUE"""),"07/29/2025")</f>
        <v>07/29/2025</v>
      </c>
      <c r="AR1364" s="1" t="str">
        <f>IFERROR(__xludf.DUMMYFUNCTION("""COMPUTED_VALUE"""),"03/16/2026")</f>
        <v>03/16/2026</v>
      </c>
    </row>
    <row r="1365">
      <c r="A1365" s="1" t="str">
        <f>IFERROR(__xludf.DUMMYFUNCTION("""COMPUTED_VALUE"""),"MANASSAS NCP LLC")</f>
        <v>MANASSAS NCP LLC</v>
      </c>
      <c r="B1365" s="1" t="str">
        <f>IFERROR(__xludf.DUMMYFUNCTION("""COMPUTED_VALUE"""),"9000 FREEDOM CENTER BLVD")</f>
        <v>9000 FREEDOM CENTER BLVD</v>
      </c>
      <c r="C1365" s="1" t="str">
        <f>IFERROR(__xludf.DUMMYFUNCTION("""COMPUTED_VALUE"""),"Manassas")</f>
        <v>Manassas</v>
      </c>
      <c r="D1365" s="1" t="str">
        <f>IFERROR(__xludf.DUMMYFUNCTION("""COMPUTED_VALUE"""),"VA")</f>
        <v>VA</v>
      </c>
      <c r="E1365" s="1" t="str">
        <f>IFERROR(__xludf.DUMMYFUNCTION("""COMPUTED_VALUE"""),"20110")</f>
        <v>20110</v>
      </c>
      <c r="F1365" s="1" t="str">
        <f>IFERROR(__xludf.DUMMYFUNCTION("""COMPUTED_VALUE"""),"Prince William")</f>
        <v>Prince William</v>
      </c>
      <c r="G1365" s="1" t="str">
        <f>IFERROR(__xludf.DUMMYFUNCTION("""COMPUTED_VALUE"""),"38.760582")</f>
        <v>38.760582</v>
      </c>
      <c r="H1365" s="1" t="str">
        <f>IFERROR(__xludf.DUMMYFUNCTION("""COMPUTED_VALUE"""),"-77.51869")</f>
        <v>-77.51869</v>
      </c>
      <c r="I1365" s="1" t="str">
        <f>IFERROR(__xludf.DUMMYFUNCTION("""COMPUTED_VALUE"""),"Operating")</f>
        <v>Operating</v>
      </c>
      <c r="J1365" s="1" t="str">
        <f>IFERROR(__xludf.DUMMYFUNCTION("""COMPUTED_VALUE"""),"High")</f>
        <v>High</v>
      </c>
      <c r="K1365" s="1" t="str">
        <f>IFERROR(__xludf.DUMMYFUNCTION("""COMPUTED_VALUE"""),"")</f>
        <v/>
      </c>
      <c r="L1365" s="1" t="str">
        <f>IFERROR(__xludf.DUMMYFUNCTION("""COMPUTED_VALUE"""),"MANASSAS NCP LLC")</f>
        <v>MANASSAS NCP LLC</v>
      </c>
      <c r="M1365" s="1" t="str">
        <f>IFERROR(__xludf.DUMMYFUNCTION("""COMPUTED_VALUE"""),"")</f>
        <v/>
      </c>
      <c r="N1365" s="1" t="str">
        <f>IFERROR(__xludf.DUMMYFUNCTION("""COMPUTED_VALUE"""),"")</f>
        <v/>
      </c>
      <c r="O1365" s="1" t="str">
        <f>IFERROR(__xludf.DUMMYFUNCTION("""COMPUTED_VALUE"""),"Unknown")</f>
        <v>Unknown</v>
      </c>
      <c r="P1365" s="1" t="str">
        <f>IFERROR(__xludf.DUMMYFUNCTION("""COMPUTED_VALUE"""),"")</f>
        <v/>
      </c>
      <c r="Q1365" s="1" t="str">
        <f>IFERROR(__xludf.DUMMYFUNCTION("""COMPUTED_VALUE"""),"")</f>
        <v/>
      </c>
      <c r="R1365" s="1" t="str">
        <f>IFERROR(__xludf.DUMMYFUNCTION("""COMPUTED_VALUE"""),"")</f>
        <v/>
      </c>
      <c r="S1365" s="1" t="str">
        <f>IFERROR(__xludf.DUMMYFUNCTION("""COMPUTED_VALUE"""),"")</f>
        <v/>
      </c>
      <c r="T1365" s="1" t="str">
        <f>IFERROR(__xludf.DUMMYFUNCTION("""COMPUTED_VALUE"""),"")</f>
        <v/>
      </c>
      <c r="U1365" s="1" t="str">
        <f>IFERROR(__xludf.DUMMYFUNCTION("""COMPUTED_VALUE"""),"")</f>
        <v/>
      </c>
      <c r="V1365" s="1" t="str">
        <f>IFERROR(__xludf.DUMMYFUNCTION("""COMPUTED_VALUE"""),"409,252")</f>
        <v>409,252</v>
      </c>
      <c r="W1365" s="1" t="str">
        <f>IFERROR(__xludf.DUMMYFUNCTION("""COMPUTED_VALUE"""),"19")</f>
        <v>19</v>
      </c>
      <c r="X1365" s="1" t="str">
        <f>IFERROR(__xludf.DUMMYFUNCTION("""COMPUTED_VALUE"""),"")</f>
        <v/>
      </c>
      <c r="Y1365" s="1" t="str">
        <f>IFERROR(__xludf.DUMMYFUNCTION("""COMPUTED_VALUE"""),"")</f>
        <v/>
      </c>
      <c r="Z1365" s="1" t="str">
        <f>IFERROR(__xludf.DUMMYFUNCTION("""COMPUTED_VALUE"""),"Unknown")</f>
        <v>Unknown</v>
      </c>
      <c r="AA1365" s="1" t="str">
        <f>IFERROR(__xludf.DUMMYFUNCTION("""COMPUTED_VALUE"""),"")</f>
        <v/>
      </c>
      <c r="AB1365" s="1" t="str">
        <f>IFERROR(__xludf.DUMMYFUNCTION("""COMPUTED_VALUE"""),"")</f>
        <v/>
      </c>
      <c r="AC1365" s="1" t="str">
        <f>IFERROR(__xludf.DUMMYFUNCTION("""COMPUTED_VALUE"""),"")</f>
        <v/>
      </c>
      <c r="AD1365" s="1" t="str">
        <f>IFERROR(__xludf.DUMMYFUNCTION("""COMPUTED_VALUE"""),"")</f>
        <v/>
      </c>
      <c r="AE1365" s="1" t="str">
        <f>IFERROR(__xludf.DUMMYFUNCTION("""COMPUTED_VALUE"""),"")</f>
        <v/>
      </c>
      <c r="AF1365" s="1" t="str">
        <f>IFERROR(__xludf.DUMMYFUNCTION("""COMPUTED_VALUE"""),"")</f>
        <v/>
      </c>
      <c r="AG1365" s="1" t="str">
        <f>IFERROR(__xludf.DUMMYFUNCTION("""COMPUTED_VALUE"""),"")</f>
        <v/>
      </c>
      <c r="AH1365" s="1" t="str">
        <f>IFERROR(__xludf.DUMMYFUNCTION("""COMPUTED_VALUE"""),"PEC")</f>
        <v>PEC</v>
      </c>
      <c r="AI1365" s="2" t="str">
        <f>IFERROR(__xludf.DUMMYFUNCTION("""COMPUTED_VALUE"""),"https://pwc.publicaccessnow.com/PropertyDetail.aspx?mpropertynumber=025267&amp;mtab=property&amp;p=025267")</f>
        <v>https://pwc.publicaccessnow.com/PropertyDetail.aspx?mpropertynumber=025267&amp;mtab=property&amp;p=025267</v>
      </c>
      <c r="AJ1365" s="1" t="str">
        <f>IFERROR(__xludf.DUMMYFUNCTION("""COMPUTED_VALUE"""),"")</f>
        <v/>
      </c>
      <c r="AK1365" s="1" t="str">
        <f>IFERROR(__xludf.DUMMYFUNCTION("""COMPUTED_VALUE"""),"")</f>
        <v/>
      </c>
      <c r="AL1365" s="1" t="str">
        <f>IFERROR(__xludf.DUMMYFUNCTION("""COMPUTED_VALUE"""),"")</f>
        <v/>
      </c>
      <c r="AM1365" s="1" t="str">
        <f>IFERROR(__xludf.DUMMYFUNCTION("""COMPUTED_VALUE"""),"")</f>
        <v/>
      </c>
      <c r="AN1365" s="1" t="str">
        <f>IFERROR(__xludf.DUMMYFUNCTION("""COMPUTED_VALUE"""),"")</f>
        <v/>
      </c>
      <c r="AO1365" s="1" t="str">
        <f>IFERROR(__xludf.DUMMYFUNCTION("""COMPUTED_VALUE"""),"")</f>
        <v/>
      </c>
      <c r="AP1365" s="1" t="str">
        <f>IFERROR(__xludf.DUMMYFUNCTION("""COMPUTED_VALUE"""),"")</f>
        <v/>
      </c>
      <c r="AQ1365" s="1" t="str">
        <f>IFERROR(__xludf.DUMMYFUNCTION("""COMPUTED_VALUE"""),"04/10/2024")</f>
        <v>04/10/2024</v>
      </c>
      <c r="AR1365" s="1" t="str">
        <f>IFERROR(__xludf.DUMMYFUNCTION("""COMPUTED_VALUE"""),"10/17/2025")</f>
        <v>10/17/2025</v>
      </c>
    </row>
    <row r="1366">
      <c r="A1366" s="1" t="str">
        <f>IFERROR(__xludf.DUMMYFUNCTION("""COMPUTED_VALUE"""),"Manassas Point")</f>
        <v>Manassas Point</v>
      </c>
      <c r="B1366" s="1" t="str">
        <f>IFERROR(__xludf.DUMMYFUNCTION("""COMPUTED_VALUE"""),"7816 BETHLEHEM RD")</f>
        <v>7816 BETHLEHEM RD</v>
      </c>
      <c r="C1366" s="1" t="str">
        <f>IFERROR(__xludf.DUMMYFUNCTION("""COMPUTED_VALUE"""),"Manassas")</f>
        <v>Manassas</v>
      </c>
      <c r="D1366" s="1" t="str">
        <f>IFERROR(__xludf.DUMMYFUNCTION("""COMPUTED_VALUE"""),"VA")</f>
        <v>VA</v>
      </c>
      <c r="E1366" s="1" t="str">
        <f>IFERROR(__xludf.DUMMYFUNCTION("""COMPUTED_VALUE"""),"20109")</f>
        <v>20109</v>
      </c>
      <c r="F1366" s="1" t="str">
        <f>IFERROR(__xludf.DUMMYFUNCTION("""COMPUTED_VALUE"""),"Prince William")</f>
        <v>Prince William</v>
      </c>
      <c r="G1366" s="1" t="str">
        <f>IFERROR(__xludf.DUMMYFUNCTION("""COMPUTED_VALUE"""),"38.783833")</f>
        <v>38.783833</v>
      </c>
      <c r="H1366" s="1" t="str">
        <f>IFERROR(__xludf.DUMMYFUNCTION("""COMPUTED_VALUE"""),"-77.53779")</f>
        <v>-77.53779</v>
      </c>
      <c r="I1366" s="1" t="str">
        <f>IFERROR(__xludf.DUMMYFUNCTION("""COMPUTED_VALUE"""),"Proposed")</f>
        <v>Proposed</v>
      </c>
      <c r="J1366" s="1" t="str">
        <f>IFERROR(__xludf.DUMMYFUNCTION("""COMPUTED_VALUE"""),"High")</f>
        <v>High</v>
      </c>
      <c r="K1366" s="1" t="str">
        <f>IFERROR(__xludf.DUMMYFUNCTION("""COMPUTED_VALUE"""),"")</f>
        <v/>
      </c>
      <c r="L1366" s="1" t="str">
        <f>IFERROR(__xludf.DUMMYFUNCTION("""COMPUTED_VALUE"""),"")</f>
        <v/>
      </c>
      <c r="M1366" s="1" t="str">
        <f>IFERROR(__xludf.DUMMYFUNCTION("""COMPUTED_VALUE"""),"")</f>
        <v/>
      </c>
      <c r="N1366" s="1" t="str">
        <f>IFERROR(__xludf.DUMMYFUNCTION("""COMPUTED_VALUE"""),"")</f>
        <v/>
      </c>
      <c r="O1366" s="1" t="str">
        <f>IFERROR(__xludf.DUMMYFUNCTION("""COMPUTED_VALUE"""),"Unknown")</f>
        <v>Unknown</v>
      </c>
      <c r="P1366" s="1" t="str">
        <f>IFERROR(__xludf.DUMMYFUNCTION("""COMPUTED_VALUE"""),"")</f>
        <v/>
      </c>
      <c r="Q1366" s="1" t="str">
        <f>IFERROR(__xludf.DUMMYFUNCTION("""COMPUTED_VALUE"""),"")</f>
        <v/>
      </c>
      <c r="R1366" s="1" t="str">
        <f>IFERROR(__xludf.DUMMYFUNCTION("""COMPUTED_VALUE"""),"")</f>
        <v/>
      </c>
      <c r="S1366" s="1" t="str">
        <f>IFERROR(__xludf.DUMMYFUNCTION("""COMPUTED_VALUE"""),"")</f>
        <v/>
      </c>
      <c r="T1366" s="1" t="str">
        <f>IFERROR(__xludf.DUMMYFUNCTION("""COMPUTED_VALUE"""),"")</f>
        <v/>
      </c>
      <c r="U1366" s="1" t="str">
        <f>IFERROR(__xludf.DUMMYFUNCTION("""COMPUTED_VALUE"""),"")</f>
        <v/>
      </c>
      <c r="V1366" s="1" t="str">
        <f>IFERROR(__xludf.DUMMYFUNCTION("""COMPUTED_VALUE"""),"1,739,350")</f>
        <v>1,739,350</v>
      </c>
      <c r="W1366" s="1" t="str">
        <f>IFERROR(__xludf.DUMMYFUNCTION("""COMPUTED_VALUE"""),"40")</f>
        <v>40</v>
      </c>
      <c r="X1366" s="1" t="str">
        <f>IFERROR(__xludf.DUMMYFUNCTION("""COMPUTED_VALUE"""),"")</f>
        <v/>
      </c>
      <c r="Y1366" s="1" t="str">
        <f>IFERROR(__xludf.DUMMYFUNCTION("""COMPUTED_VALUE"""),"")</f>
        <v/>
      </c>
      <c r="Z1366" s="1" t="str">
        <f>IFERROR(__xludf.DUMMYFUNCTION("""COMPUTED_VALUE"""),"Unknown")</f>
        <v>Unknown</v>
      </c>
      <c r="AA1366" s="1" t="str">
        <f>IFERROR(__xludf.DUMMYFUNCTION("""COMPUTED_VALUE"""),"")</f>
        <v/>
      </c>
      <c r="AB1366" s="1" t="str">
        <f>IFERROR(__xludf.DUMMYFUNCTION("""COMPUTED_VALUE"""),"")</f>
        <v/>
      </c>
      <c r="AC1366" s="1" t="str">
        <f>IFERROR(__xludf.DUMMYFUNCTION("""COMPUTED_VALUE"""),"")</f>
        <v/>
      </c>
      <c r="AD1366" s="1" t="str">
        <f>IFERROR(__xludf.DUMMYFUNCTION("""COMPUTED_VALUE"""),"")</f>
        <v/>
      </c>
      <c r="AE1366" s="1" t="str">
        <f>IFERROR(__xludf.DUMMYFUNCTION("""COMPUTED_VALUE"""),"")</f>
        <v/>
      </c>
      <c r="AF1366" s="1" t="str">
        <f>IFERROR(__xludf.DUMMYFUNCTION("""COMPUTED_VALUE"""),"")</f>
        <v/>
      </c>
      <c r="AG1366" s="1" t="str">
        <f>IFERROR(__xludf.DUMMYFUNCTION("""COMPUTED_VALUE"""),"This project covers multiple parcels. The total acreage has been represented here. Square footage increased in an amendment in 2024")</f>
        <v>This project covers multiple parcels. The total acreage has been represented here. Square footage increased in an amendment in 2024</v>
      </c>
      <c r="AH1366" s="1" t="str">
        <f>IFERROR(__xludf.DUMMYFUNCTION("""COMPUTED_VALUE"""),"PEC")</f>
        <v>PEC</v>
      </c>
      <c r="AI1366" s="2" t="str">
        <f>IFERROR(__xludf.DUMMYFUNCTION("""COMPUTED_VALUE"""),"https://egcss.pwcgov.org/SelfService#/plan/112446d3-3458-4c10-9081-42d87805d421?tab=attachments")</f>
        <v>https://egcss.pwcgov.org/SelfService#/plan/112446d3-3458-4c10-9081-42d87805d421?tab=attachments</v>
      </c>
      <c r="AJ1366" s="2" t="str">
        <f>IFERROR(__xludf.DUMMYFUNCTION("""COMPUTED_VALUE"""),"https://pwc.publicaccessnow.com/PropertyDetail.aspx?mtab=property&amp;mpropertynumber=022171")</f>
        <v>https://pwc.publicaccessnow.com/PropertyDetail.aspx?mtab=property&amp;mpropertynumber=022171</v>
      </c>
      <c r="AK1366" s="1" t="str">
        <f>IFERROR(__xludf.DUMMYFUNCTION("""COMPUTED_VALUE"""),"")</f>
        <v/>
      </c>
      <c r="AL1366" s="1" t="str">
        <f>IFERROR(__xludf.DUMMYFUNCTION("""COMPUTED_VALUE"""),"")</f>
        <v/>
      </c>
      <c r="AM1366" s="1" t="str">
        <f>IFERROR(__xludf.DUMMYFUNCTION("""COMPUTED_VALUE"""),"")</f>
        <v/>
      </c>
      <c r="AN1366" s="1" t="str">
        <f>IFERROR(__xludf.DUMMYFUNCTION("""COMPUTED_VALUE"""),"")</f>
        <v/>
      </c>
      <c r="AO1366" s="1" t="str">
        <f>IFERROR(__xludf.DUMMYFUNCTION("""COMPUTED_VALUE"""),"")</f>
        <v/>
      </c>
      <c r="AP1366" s="1" t="str">
        <f>IFERROR(__xludf.DUMMYFUNCTION("""COMPUTED_VALUE"""),"")</f>
        <v/>
      </c>
      <c r="AQ1366" s="1" t="str">
        <f>IFERROR(__xludf.DUMMYFUNCTION("""COMPUTED_VALUE"""),"07/14/2025")</f>
        <v>07/14/2025</v>
      </c>
      <c r="AR1366" s="1" t="str">
        <f>IFERROR(__xludf.DUMMYFUNCTION("""COMPUTED_VALUE"""),"10/17/2025")</f>
        <v>10/17/2025</v>
      </c>
    </row>
    <row r="1367">
      <c r="A1367" s="1" t="str">
        <f>IFERROR(__xludf.DUMMYFUNCTION("""COMPUTED_VALUE"""),"MANASSAS TECHNOLOGY PARTNERS LLC (Amazon)")</f>
        <v>MANASSAS TECHNOLOGY PARTNERS LLC (Amazon)</v>
      </c>
      <c r="B1367" s="1" t="str">
        <f>IFERROR(__xludf.DUMMYFUNCTION("""COMPUTED_VALUE"""),"7505 MASON KING CT")</f>
        <v>7505 MASON KING CT</v>
      </c>
      <c r="C1367" s="1" t="str">
        <f>IFERROR(__xludf.DUMMYFUNCTION("""COMPUTED_VALUE"""),"Manassas")</f>
        <v>Manassas</v>
      </c>
      <c r="D1367" s="1" t="str">
        <f>IFERROR(__xludf.DUMMYFUNCTION("""COMPUTED_VALUE"""),"VA")</f>
        <v>VA</v>
      </c>
      <c r="E1367" s="1" t="str">
        <f>IFERROR(__xludf.DUMMYFUNCTION("""COMPUTED_VALUE"""),"20109")</f>
        <v>20109</v>
      </c>
      <c r="F1367" s="1" t="str">
        <f>IFERROR(__xludf.DUMMYFUNCTION("""COMPUTED_VALUE"""),"Prince William")</f>
        <v>Prince William</v>
      </c>
      <c r="G1367" s="1" t="str">
        <f>IFERROR(__xludf.DUMMYFUNCTION("""COMPUTED_VALUE"""),"38.791252")</f>
        <v>38.791252</v>
      </c>
      <c r="H1367" s="1" t="str">
        <f>IFERROR(__xludf.DUMMYFUNCTION("""COMPUTED_VALUE"""),"-77.53829")</f>
        <v>-77.53829</v>
      </c>
      <c r="I1367" s="1" t="str">
        <f>IFERROR(__xludf.DUMMYFUNCTION("""COMPUTED_VALUE"""),"Operating")</f>
        <v>Operating</v>
      </c>
      <c r="J1367" s="1" t="str">
        <f>IFERROR(__xludf.DUMMYFUNCTION("""COMPUTED_VALUE"""),"High")</f>
        <v>High</v>
      </c>
      <c r="K1367" s="1" t="str">
        <f>IFERROR(__xludf.DUMMYFUNCTION("""COMPUTED_VALUE"""),"")</f>
        <v/>
      </c>
      <c r="L1367" s="1" t="str">
        <f>IFERROR(__xludf.DUMMYFUNCTION("""COMPUTED_VALUE"""),"MANASSAS TECHNOLOGY PARTNERS LLC (Amazon)")</f>
        <v>MANASSAS TECHNOLOGY PARTNERS LLC (Amazon)</v>
      </c>
      <c r="M1367" s="1" t="str">
        <f>IFERROR(__xludf.DUMMYFUNCTION("""COMPUTED_VALUE"""),"")</f>
        <v/>
      </c>
      <c r="N1367" s="1" t="str">
        <f>IFERROR(__xludf.DUMMYFUNCTION("""COMPUTED_VALUE"""),"")</f>
        <v/>
      </c>
      <c r="O1367" s="1" t="str">
        <f>IFERROR(__xludf.DUMMYFUNCTION("""COMPUTED_VALUE"""),"Unknown")</f>
        <v>Unknown</v>
      </c>
      <c r="P1367" s="1" t="str">
        <f>IFERROR(__xludf.DUMMYFUNCTION("""COMPUTED_VALUE"""),"")</f>
        <v/>
      </c>
      <c r="Q1367" s="1" t="str">
        <f>IFERROR(__xludf.DUMMYFUNCTION("""COMPUTED_VALUE"""),"")</f>
        <v/>
      </c>
      <c r="R1367" s="1" t="str">
        <f>IFERROR(__xludf.DUMMYFUNCTION("""COMPUTED_VALUE"""),"")</f>
        <v/>
      </c>
      <c r="S1367" s="1" t="str">
        <f>IFERROR(__xludf.DUMMYFUNCTION("""COMPUTED_VALUE"""),"")</f>
        <v/>
      </c>
      <c r="T1367" s="1" t="str">
        <f>IFERROR(__xludf.DUMMYFUNCTION("""COMPUTED_VALUE"""),"")</f>
        <v/>
      </c>
      <c r="U1367" s="1" t="str">
        <f>IFERROR(__xludf.DUMMYFUNCTION("""COMPUTED_VALUE"""),"")</f>
        <v/>
      </c>
      <c r="V1367" s="1" t="str">
        <f>IFERROR(__xludf.DUMMYFUNCTION("""COMPUTED_VALUE"""),"109,543")</f>
        <v>109,543</v>
      </c>
      <c r="W1367" s="1" t="str">
        <f>IFERROR(__xludf.DUMMYFUNCTION("""COMPUTED_VALUE"""),"8")</f>
        <v>8</v>
      </c>
      <c r="X1367" s="1" t="str">
        <f>IFERROR(__xludf.DUMMYFUNCTION("""COMPUTED_VALUE"""),"")</f>
        <v/>
      </c>
      <c r="Y1367" s="1" t="str">
        <f>IFERROR(__xludf.DUMMYFUNCTION("""COMPUTED_VALUE"""),"")</f>
        <v/>
      </c>
      <c r="Z1367" s="1" t="str">
        <f>IFERROR(__xludf.DUMMYFUNCTION("""COMPUTED_VALUE"""),"Unknown")</f>
        <v>Unknown</v>
      </c>
      <c r="AA1367" s="1" t="str">
        <f>IFERROR(__xludf.DUMMYFUNCTION("""COMPUTED_VALUE"""),"")</f>
        <v/>
      </c>
      <c r="AB1367" s="1" t="str">
        <f>IFERROR(__xludf.DUMMYFUNCTION("""COMPUTED_VALUE"""),"")</f>
        <v/>
      </c>
      <c r="AC1367" s="1" t="str">
        <f>IFERROR(__xludf.DUMMYFUNCTION("""COMPUTED_VALUE"""),"")</f>
        <v/>
      </c>
      <c r="AD1367" s="1" t="str">
        <f>IFERROR(__xludf.DUMMYFUNCTION("""COMPUTED_VALUE"""),"")</f>
        <v/>
      </c>
      <c r="AE1367" s="1" t="str">
        <f>IFERROR(__xludf.DUMMYFUNCTION("""COMPUTED_VALUE"""),"")</f>
        <v/>
      </c>
      <c r="AF1367" s="1" t="str">
        <f>IFERROR(__xludf.DUMMYFUNCTION("""COMPUTED_VALUE"""),"")</f>
        <v/>
      </c>
      <c r="AG1367" s="1" t="str">
        <f>IFERROR(__xludf.DUMMYFUNCTION("""COMPUTED_VALUE"""),"")</f>
        <v/>
      </c>
      <c r="AH1367" s="1" t="str">
        <f>IFERROR(__xludf.DUMMYFUNCTION("""COMPUTED_VALUE"""),"PEC")</f>
        <v>PEC</v>
      </c>
      <c r="AI1367" s="2" t="str">
        <f>IFERROR(__xludf.DUMMYFUNCTION("""COMPUTED_VALUE"""),"https://pwc.publicaccessnow.com/PropertyDetail.aspx?mpropertynumber=214426&amp;mtab=property&amp;p=214426")</f>
        <v>https://pwc.publicaccessnow.com/PropertyDetail.aspx?mpropertynumber=214426&amp;mtab=property&amp;p=214426</v>
      </c>
      <c r="AJ1367" s="1" t="str">
        <f>IFERROR(__xludf.DUMMYFUNCTION("""COMPUTED_VALUE"""),"")</f>
        <v/>
      </c>
      <c r="AK1367" s="1" t="str">
        <f>IFERROR(__xludf.DUMMYFUNCTION("""COMPUTED_VALUE"""),"")</f>
        <v/>
      </c>
      <c r="AL1367" s="1" t="str">
        <f>IFERROR(__xludf.DUMMYFUNCTION("""COMPUTED_VALUE"""),"")</f>
        <v/>
      </c>
      <c r="AM1367" s="1" t="str">
        <f>IFERROR(__xludf.DUMMYFUNCTION("""COMPUTED_VALUE"""),"")</f>
        <v/>
      </c>
      <c r="AN1367" s="1" t="str">
        <f>IFERROR(__xludf.DUMMYFUNCTION("""COMPUTED_VALUE"""),"")</f>
        <v/>
      </c>
      <c r="AO1367" s="1" t="str">
        <f>IFERROR(__xludf.DUMMYFUNCTION("""COMPUTED_VALUE"""),"")</f>
        <v/>
      </c>
      <c r="AP1367" s="1" t="str">
        <f>IFERROR(__xludf.DUMMYFUNCTION("""COMPUTED_VALUE"""),"")</f>
        <v/>
      </c>
      <c r="AQ1367" s="1" t="str">
        <f>IFERROR(__xludf.DUMMYFUNCTION("""COMPUTED_VALUE"""),"04/10/2024")</f>
        <v>04/10/2024</v>
      </c>
      <c r="AR1367" s="1" t="str">
        <f>IFERROR(__xludf.DUMMYFUNCTION("""COMPUTED_VALUE"""),"10/17/2025")</f>
        <v>10/17/2025</v>
      </c>
    </row>
    <row r="1368">
      <c r="A1368" s="1" t="str">
        <f>IFERROR(__xludf.DUMMYFUNCTION("""COMPUTED_VALUE"""),"MCC5")</f>
        <v>MCC5</v>
      </c>
      <c r="B1368" s="1" t="str">
        <f>IFERROR(__xludf.DUMMYFUNCTION("""COMPUTED_VALUE"""),"10740 AIRMAN AVE")</f>
        <v>10740 AIRMAN AVE</v>
      </c>
      <c r="C1368" s="1" t="str">
        <f>IFERROR(__xludf.DUMMYFUNCTION("""COMPUTED_VALUE"""),"Manassas")</f>
        <v>Manassas</v>
      </c>
      <c r="D1368" s="1" t="str">
        <f>IFERROR(__xludf.DUMMYFUNCTION("""COMPUTED_VALUE"""),"VA")</f>
        <v>VA</v>
      </c>
      <c r="E1368" s="1" t="str">
        <f>IFERROR(__xludf.DUMMYFUNCTION("""COMPUTED_VALUE"""),"20112")</f>
        <v>20112</v>
      </c>
      <c r="F1368" s="1" t="str">
        <f>IFERROR(__xludf.DUMMYFUNCTION("""COMPUTED_VALUE"""),"Prince William")</f>
        <v>Prince William</v>
      </c>
      <c r="G1368" s="1" t="str">
        <f>IFERROR(__xludf.DUMMYFUNCTION("""COMPUTED_VALUE"""),"38.719757")</f>
        <v>38.719757</v>
      </c>
      <c r="H1368" s="1" t="str">
        <f>IFERROR(__xludf.DUMMYFUNCTION("""COMPUTED_VALUE"""),"-77.49309")</f>
        <v>-77.49309</v>
      </c>
      <c r="I1368" s="1" t="str">
        <f>IFERROR(__xludf.DUMMYFUNCTION("""COMPUTED_VALUE"""),"Proposed")</f>
        <v>Proposed</v>
      </c>
      <c r="J1368" s="1" t="str">
        <f>IFERROR(__xludf.DUMMYFUNCTION("""COMPUTED_VALUE"""),"High")</f>
        <v>High</v>
      </c>
      <c r="K1368" s="1" t="str">
        <f>IFERROR(__xludf.DUMMYFUNCTION("""COMPUTED_VALUE"""),"")</f>
        <v/>
      </c>
      <c r="L1368" s="1" t="str">
        <f>IFERROR(__xludf.DUMMYFUNCTION("""COMPUTED_VALUE"""),"UNICORN INTERESTS LLC, CLOUD HQ")</f>
        <v>UNICORN INTERESTS LLC, CLOUD HQ</v>
      </c>
      <c r="M1368" s="1" t="str">
        <f>IFERROR(__xludf.DUMMYFUNCTION("""COMPUTED_VALUE"""),"")</f>
        <v/>
      </c>
      <c r="N1368" s="1" t="str">
        <f>IFERROR(__xludf.DUMMYFUNCTION("""COMPUTED_VALUE"""),"")</f>
        <v/>
      </c>
      <c r="O1368" s="1" t="str">
        <f>IFERROR(__xludf.DUMMYFUNCTION("""COMPUTED_VALUE"""),"Unknown")</f>
        <v>Unknown</v>
      </c>
      <c r="P1368" s="1" t="str">
        <f>IFERROR(__xludf.DUMMYFUNCTION("""COMPUTED_VALUE"""),"")</f>
        <v/>
      </c>
      <c r="Q1368" s="1" t="str">
        <f>IFERROR(__xludf.DUMMYFUNCTION("""COMPUTED_VALUE"""),"")</f>
        <v/>
      </c>
      <c r="R1368" s="1" t="str">
        <f>IFERROR(__xludf.DUMMYFUNCTION("""COMPUTED_VALUE"""),"")</f>
        <v/>
      </c>
      <c r="S1368" s="1" t="str">
        <f>IFERROR(__xludf.DUMMYFUNCTION("""COMPUTED_VALUE"""),"")</f>
        <v/>
      </c>
      <c r="T1368" s="1" t="str">
        <f>IFERROR(__xludf.DUMMYFUNCTION("""COMPUTED_VALUE"""),"")</f>
        <v/>
      </c>
      <c r="U1368" s="1" t="str">
        <f>IFERROR(__xludf.DUMMYFUNCTION("""COMPUTED_VALUE"""),"")</f>
        <v/>
      </c>
      <c r="V1368" s="1" t="str">
        <f>IFERROR(__xludf.DUMMYFUNCTION("""COMPUTED_VALUE"""),"400,000")</f>
        <v>400,000</v>
      </c>
      <c r="W1368" s="1" t="str">
        <f>IFERROR(__xludf.DUMMYFUNCTION("""COMPUTED_VALUE"""),"24")</f>
        <v>24</v>
      </c>
      <c r="X1368" s="1" t="str">
        <f>IFERROR(__xludf.DUMMYFUNCTION("""COMPUTED_VALUE"""),"")</f>
        <v/>
      </c>
      <c r="Y1368" s="1" t="str">
        <f>IFERROR(__xludf.DUMMYFUNCTION("""COMPUTED_VALUE"""),"")</f>
        <v/>
      </c>
      <c r="Z1368" s="1" t="str">
        <f>IFERROR(__xludf.DUMMYFUNCTION("""COMPUTED_VALUE"""),"Unknown")</f>
        <v>Unknown</v>
      </c>
      <c r="AA1368" s="1" t="str">
        <f>IFERROR(__xludf.DUMMYFUNCTION("""COMPUTED_VALUE"""),"")</f>
        <v/>
      </c>
      <c r="AB1368" s="1" t="str">
        <f>IFERROR(__xludf.DUMMYFUNCTION("""COMPUTED_VALUE"""),"")</f>
        <v/>
      </c>
      <c r="AC1368" s="1" t="str">
        <f>IFERROR(__xludf.DUMMYFUNCTION("""COMPUTED_VALUE"""),"")</f>
        <v/>
      </c>
      <c r="AD1368" s="1" t="str">
        <f>IFERROR(__xludf.DUMMYFUNCTION("""COMPUTED_VALUE"""),"")</f>
        <v/>
      </c>
      <c r="AE1368" s="1" t="str">
        <f>IFERROR(__xludf.DUMMYFUNCTION("""COMPUTED_VALUE"""),"")</f>
        <v/>
      </c>
      <c r="AF1368" s="1" t="str">
        <f>IFERROR(__xludf.DUMMYFUNCTION("""COMPUTED_VALUE"""),"")</f>
        <v/>
      </c>
      <c r="AG1368" s="1" t="str">
        <f>IFERROR(__xludf.DUMMYFUNCTION("""COMPUTED_VALUE"""),"")</f>
        <v/>
      </c>
      <c r="AH1368" s="1" t="str">
        <f>IFERROR(__xludf.DUMMYFUNCTION("""COMPUTED_VALUE"""),"PEC")</f>
        <v>PEC</v>
      </c>
      <c r="AI1368" s="2" t="str">
        <f>IFERROR(__xludf.DUMMYFUNCTION("""COMPUTED_VALUE"""),"https://datacenterhawk.com/marketplace/providers/cloudhq/10740-airman-avenue/mcc5")</f>
        <v>https://datacenterhawk.com/marketplace/providers/cloudhq/10740-airman-avenue/mcc5</v>
      </c>
      <c r="AJ1368" s="2" t="str">
        <f>IFERROR(__xludf.DUMMYFUNCTION("""COMPUTED_VALUE"""),"https://pwc.publicaccessnow.com/PropertyDetail.aspx?mpropertynumber=094463")</f>
        <v>https://pwc.publicaccessnow.com/PropertyDetail.aspx?mpropertynumber=094463</v>
      </c>
      <c r="AK1368" s="1" t="str">
        <f>IFERROR(__xludf.DUMMYFUNCTION("""COMPUTED_VALUE"""),"")</f>
        <v/>
      </c>
      <c r="AL1368" s="1" t="str">
        <f>IFERROR(__xludf.DUMMYFUNCTION("""COMPUTED_VALUE"""),"")</f>
        <v/>
      </c>
      <c r="AM1368" s="1" t="str">
        <f>IFERROR(__xludf.DUMMYFUNCTION("""COMPUTED_VALUE"""),"")</f>
        <v/>
      </c>
      <c r="AN1368" s="1" t="str">
        <f>IFERROR(__xludf.DUMMYFUNCTION("""COMPUTED_VALUE"""),"")</f>
        <v/>
      </c>
      <c r="AO1368" s="1" t="str">
        <f>IFERROR(__xludf.DUMMYFUNCTION("""COMPUTED_VALUE"""),"")</f>
        <v/>
      </c>
      <c r="AP1368" s="1" t="str">
        <f>IFERROR(__xludf.DUMMYFUNCTION("""COMPUTED_VALUE"""),"")</f>
        <v/>
      </c>
      <c r="AQ1368" s="1" t="str">
        <f>IFERROR(__xludf.DUMMYFUNCTION("""COMPUTED_VALUE"""),"04/10/2024")</f>
        <v>04/10/2024</v>
      </c>
      <c r="AR1368" s="1" t="str">
        <f>IFERROR(__xludf.DUMMYFUNCTION("""COMPUTED_VALUE"""),"10/17/2025")</f>
        <v>10/17/2025</v>
      </c>
    </row>
    <row r="1369">
      <c r="A1369" s="1" t="str">
        <f>IFERROR(__xludf.DUMMYFUNCTION("""COMPUTED_VALUE"""),"MCI COMMUNICATION SERVICES LLC VERIZON GLOBAL REAL ESTATE")</f>
        <v>MCI COMMUNICATION SERVICES LLC VERIZON GLOBAL REAL ESTATE</v>
      </c>
      <c r="B1369" s="1" t="str">
        <f>IFERROR(__xludf.DUMMYFUNCTION("""COMPUTED_VALUE"""),"7777 INFANTRY RIDGE RD")</f>
        <v>7777 INFANTRY RIDGE RD</v>
      </c>
      <c r="C1369" s="1" t="str">
        <f>IFERROR(__xludf.DUMMYFUNCTION("""COMPUTED_VALUE"""),"Manassas")</f>
        <v>Manassas</v>
      </c>
      <c r="D1369" s="1" t="str">
        <f>IFERROR(__xludf.DUMMYFUNCTION("""COMPUTED_VALUE"""),"VA")</f>
        <v>VA</v>
      </c>
      <c r="E1369" s="1" t="str">
        <f>IFERROR(__xludf.DUMMYFUNCTION("""COMPUTED_VALUE"""),"20109")</f>
        <v>20109</v>
      </c>
      <c r="F1369" s="1" t="str">
        <f>IFERROR(__xludf.DUMMYFUNCTION("""COMPUTED_VALUE"""),"Prince William")</f>
        <v>Prince William</v>
      </c>
      <c r="G1369" s="1" t="str">
        <f>IFERROR(__xludf.DUMMYFUNCTION("""COMPUTED_VALUE"""),"38.80486")</f>
        <v>38.80486</v>
      </c>
      <c r="H1369" s="1" t="str">
        <f>IFERROR(__xludf.DUMMYFUNCTION("""COMPUTED_VALUE"""),"-77.51249")</f>
        <v>-77.51249</v>
      </c>
      <c r="I1369" s="1" t="str">
        <f>IFERROR(__xludf.DUMMYFUNCTION("""COMPUTED_VALUE"""),"Operating")</f>
        <v>Operating</v>
      </c>
      <c r="J1369" s="1" t="str">
        <f>IFERROR(__xludf.DUMMYFUNCTION("""COMPUTED_VALUE"""),"High")</f>
        <v>High</v>
      </c>
      <c r="K1369" s="1" t="str">
        <f>IFERROR(__xludf.DUMMYFUNCTION("""COMPUTED_VALUE"""),"")</f>
        <v/>
      </c>
      <c r="L1369" s="1" t="str">
        <f>IFERROR(__xludf.DUMMYFUNCTION("""COMPUTED_VALUE"""),"MCI COMMUNICATION SERVICES LLC VERIZON GLOBAL REAL ESTATE")</f>
        <v>MCI COMMUNICATION SERVICES LLC VERIZON GLOBAL REAL ESTATE</v>
      </c>
      <c r="M1369" s="1" t="str">
        <f>IFERROR(__xludf.DUMMYFUNCTION("""COMPUTED_VALUE"""),"")</f>
        <v/>
      </c>
      <c r="N1369" s="1" t="str">
        <f>IFERROR(__xludf.DUMMYFUNCTION("""COMPUTED_VALUE"""),"")</f>
        <v/>
      </c>
      <c r="O1369" s="1" t="str">
        <f>IFERROR(__xludf.DUMMYFUNCTION("""COMPUTED_VALUE"""),"Unknown")</f>
        <v>Unknown</v>
      </c>
      <c r="P1369" s="1" t="str">
        <f>IFERROR(__xludf.DUMMYFUNCTION("""COMPUTED_VALUE"""),"")</f>
        <v/>
      </c>
      <c r="Q1369" s="1" t="str">
        <f>IFERROR(__xludf.DUMMYFUNCTION("""COMPUTED_VALUE"""),"")</f>
        <v/>
      </c>
      <c r="R1369" s="1" t="str">
        <f>IFERROR(__xludf.DUMMYFUNCTION("""COMPUTED_VALUE"""),"")</f>
        <v/>
      </c>
      <c r="S1369" s="1" t="str">
        <f>IFERROR(__xludf.DUMMYFUNCTION("""COMPUTED_VALUE"""),"")</f>
        <v/>
      </c>
      <c r="T1369" s="1" t="str">
        <f>IFERROR(__xludf.DUMMYFUNCTION("""COMPUTED_VALUE"""),"")</f>
        <v/>
      </c>
      <c r="U1369" s="1" t="str">
        <f>IFERROR(__xludf.DUMMYFUNCTION("""COMPUTED_VALUE"""),"")</f>
        <v/>
      </c>
      <c r="V1369" s="1" t="str">
        <f>IFERROR(__xludf.DUMMYFUNCTION("""COMPUTED_VALUE"""),"227,465")</f>
        <v>227,465</v>
      </c>
      <c r="W1369" s="1" t="str">
        <f>IFERROR(__xludf.DUMMYFUNCTION("""COMPUTED_VALUE"""),"20")</f>
        <v>20</v>
      </c>
      <c r="X1369" s="1" t="str">
        <f>IFERROR(__xludf.DUMMYFUNCTION("""COMPUTED_VALUE"""),"")</f>
        <v/>
      </c>
      <c r="Y1369" s="1" t="str">
        <f>IFERROR(__xludf.DUMMYFUNCTION("""COMPUTED_VALUE"""),"")</f>
        <v/>
      </c>
      <c r="Z1369" s="1" t="str">
        <f>IFERROR(__xludf.DUMMYFUNCTION("""COMPUTED_VALUE"""),"Unknown")</f>
        <v>Unknown</v>
      </c>
      <c r="AA1369" s="1" t="str">
        <f>IFERROR(__xludf.DUMMYFUNCTION("""COMPUTED_VALUE"""),"")</f>
        <v/>
      </c>
      <c r="AB1369" s="1" t="str">
        <f>IFERROR(__xludf.DUMMYFUNCTION("""COMPUTED_VALUE"""),"")</f>
        <v/>
      </c>
      <c r="AC1369" s="1" t="str">
        <f>IFERROR(__xludf.DUMMYFUNCTION("""COMPUTED_VALUE"""),"")</f>
        <v/>
      </c>
      <c r="AD1369" s="1" t="str">
        <f>IFERROR(__xludf.DUMMYFUNCTION("""COMPUTED_VALUE"""),"")</f>
        <v/>
      </c>
      <c r="AE1369" s="1" t="str">
        <f>IFERROR(__xludf.DUMMYFUNCTION("""COMPUTED_VALUE"""),"")</f>
        <v/>
      </c>
      <c r="AF1369" s="1" t="str">
        <f>IFERROR(__xludf.DUMMYFUNCTION("""COMPUTED_VALUE"""),"")</f>
        <v/>
      </c>
      <c r="AG1369" s="1" t="str">
        <f>IFERROR(__xludf.DUMMYFUNCTION("""COMPUTED_VALUE"""),"")</f>
        <v/>
      </c>
      <c r="AH1369" s="1" t="str">
        <f>IFERROR(__xludf.DUMMYFUNCTION("""COMPUTED_VALUE"""),"PEC")</f>
        <v>PEC</v>
      </c>
      <c r="AI1369" s="2" t="str">
        <f>IFERROR(__xludf.DUMMYFUNCTION("""COMPUTED_VALUE"""),"https://pwc.publicaccessnow.com/PropertyDetail.aspx?mpropertynumber=201953&amp;mtab=property&amp;p=201953")</f>
        <v>https://pwc.publicaccessnow.com/PropertyDetail.aspx?mpropertynumber=201953&amp;mtab=property&amp;p=201953</v>
      </c>
      <c r="AJ1369" s="1" t="str">
        <f>IFERROR(__xludf.DUMMYFUNCTION("""COMPUTED_VALUE"""),"")</f>
        <v/>
      </c>
      <c r="AK1369" s="1" t="str">
        <f>IFERROR(__xludf.DUMMYFUNCTION("""COMPUTED_VALUE"""),"")</f>
        <v/>
      </c>
      <c r="AL1369" s="1" t="str">
        <f>IFERROR(__xludf.DUMMYFUNCTION("""COMPUTED_VALUE"""),"")</f>
        <v/>
      </c>
      <c r="AM1369" s="1" t="str">
        <f>IFERROR(__xludf.DUMMYFUNCTION("""COMPUTED_VALUE"""),"")</f>
        <v/>
      </c>
      <c r="AN1369" s="1" t="str">
        <f>IFERROR(__xludf.DUMMYFUNCTION("""COMPUTED_VALUE"""),"")</f>
        <v/>
      </c>
      <c r="AO1369" s="1" t="str">
        <f>IFERROR(__xludf.DUMMYFUNCTION("""COMPUTED_VALUE"""),"")</f>
        <v/>
      </c>
      <c r="AP1369" s="1" t="str">
        <f>IFERROR(__xludf.DUMMYFUNCTION("""COMPUTED_VALUE"""),"")</f>
        <v/>
      </c>
      <c r="AQ1369" s="1" t="str">
        <f>IFERROR(__xludf.DUMMYFUNCTION("""COMPUTED_VALUE"""),"04/10/2024")</f>
        <v>04/10/2024</v>
      </c>
      <c r="AR1369" s="1" t="str">
        <f>IFERROR(__xludf.DUMMYFUNCTION("""COMPUTED_VALUE"""),"10/17/2025")</f>
        <v>10/17/2025</v>
      </c>
    </row>
    <row r="1370">
      <c r="A1370" s="1" t="str">
        <f>IFERROR(__xludf.DUMMYFUNCTION("""COMPUTED_VALUE"""),"Mid-County Industrial Park")</f>
        <v>Mid-County Industrial Park</v>
      </c>
      <c r="B1370" s="1" t="str">
        <f>IFERROR(__xludf.DUMMYFUNCTION("""COMPUTED_VALUE"""),"14901 DUMFRIES RD")</f>
        <v>14901 DUMFRIES RD</v>
      </c>
      <c r="C1370" s="1" t="str">
        <f>IFERROR(__xludf.DUMMYFUNCTION("""COMPUTED_VALUE"""),"Manassas")</f>
        <v>Manassas</v>
      </c>
      <c r="D1370" s="1" t="str">
        <f>IFERROR(__xludf.DUMMYFUNCTION("""COMPUTED_VALUE"""),"VA")</f>
        <v>VA</v>
      </c>
      <c r="E1370" s="1" t="str">
        <f>IFERROR(__xludf.DUMMYFUNCTION("""COMPUTED_VALUE"""),"20112")</f>
        <v>20112</v>
      </c>
      <c r="F1370" s="1" t="str">
        <f>IFERROR(__xludf.DUMMYFUNCTION("""COMPUTED_VALUE"""),"Prince William")</f>
        <v>Prince William</v>
      </c>
      <c r="G1370" s="1" t="str">
        <f>IFERROR(__xludf.DUMMYFUNCTION("""COMPUTED_VALUE"""),"38.63156")</f>
        <v>38.63156</v>
      </c>
      <c r="H1370" s="1" t="str">
        <f>IFERROR(__xludf.DUMMYFUNCTION("""COMPUTED_VALUE"""),"-77.41153")</f>
        <v>-77.41153</v>
      </c>
      <c r="I1370" s="1" t="str">
        <f>IFERROR(__xludf.DUMMYFUNCTION("""COMPUTED_VALUE"""),"Proposed")</f>
        <v>Proposed</v>
      </c>
      <c r="J1370" s="1" t="str">
        <f>IFERROR(__xludf.DUMMYFUNCTION("""COMPUTED_VALUE"""),"High")</f>
        <v>High</v>
      </c>
      <c r="K1370" s="1" t="str">
        <f>IFERROR(__xludf.DUMMYFUNCTION("""COMPUTED_VALUE"""),"")</f>
        <v/>
      </c>
      <c r="L1370" s="1" t="str">
        <f>IFERROR(__xludf.DUMMYFUNCTION("""COMPUTED_VALUE"""),"")</f>
        <v/>
      </c>
      <c r="M1370" s="1" t="str">
        <f>IFERROR(__xludf.DUMMYFUNCTION("""COMPUTED_VALUE"""),"")</f>
        <v/>
      </c>
      <c r="N1370" s="1" t="str">
        <f>IFERROR(__xludf.DUMMYFUNCTION("""COMPUTED_VALUE"""),"")</f>
        <v/>
      </c>
      <c r="O1370" s="1" t="str">
        <f>IFERROR(__xludf.DUMMYFUNCTION("""COMPUTED_VALUE"""),"Unknown")</f>
        <v>Unknown</v>
      </c>
      <c r="P1370" s="1" t="str">
        <f>IFERROR(__xludf.DUMMYFUNCTION("""COMPUTED_VALUE"""),"")</f>
        <v/>
      </c>
      <c r="Q1370" s="1" t="str">
        <f>IFERROR(__xludf.DUMMYFUNCTION("""COMPUTED_VALUE"""),"")</f>
        <v/>
      </c>
      <c r="R1370" s="1" t="str">
        <f>IFERROR(__xludf.DUMMYFUNCTION("""COMPUTED_VALUE"""),"")</f>
        <v/>
      </c>
      <c r="S1370" s="1" t="str">
        <f>IFERROR(__xludf.DUMMYFUNCTION("""COMPUTED_VALUE"""),"")</f>
        <v/>
      </c>
      <c r="T1370" s="1" t="str">
        <f>IFERROR(__xludf.DUMMYFUNCTION("""COMPUTED_VALUE"""),"")</f>
        <v/>
      </c>
      <c r="U1370" s="1" t="str">
        <f>IFERROR(__xludf.DUMMYFUNCTION("""COMPUTED_VALUE"""),"")</f>
        <v/>
      </c>
      <c r="V1370" s="1" t="str">
        <f>IFERROR(__xludf.DUMMYFUNCTION("""COMPUTED_VALUE"""),"664,715")</f>
        <v>664,715</v>
      </c>
      <c r="W1370" s="1" t="str">
        <f>IFERROR(__xludf.DUMMYFUNCTION("""COMPUTED_VALUE"""),"64")</f>
        <v>64</v>
      </c>
      <c r="X1370" s="1" t="str">
        <f>IFERROR(__xludf.DUMMYFUNCTION("""COMPUTED_VALUE"""),"")</f>
        <v/>
      </c>
      <c r="Y1370" s="1" t="str">
        <f>IFERROR(__xludf.DUMMYFUNCTION("""COMPUTED_VALUE"""),"")</f>
        <v/>
      </c>
      <c r="Z1370" s="1" t="str">
        <f>IFERROR(__xludf.DUMMYFUNCTION("""COMPUTED_VALUE"""),"Unknown")</f>
        <v>Unknown</v>
      </c>
      <c r="AA1370" s="1" t="str">
        <f>IFERROR(__xludf.DUMMYFUNCTION("""COMPUTED_VALUE"""),"")</f>
        <v/>
      </c>
      <c r="AB1370" s="1" t="str">
        <f>IFERROR(__xludf.DUMMYFUNCTION("""COMPUTED_VALUE"""),"")</f>
        <v/>
      </c>
      <c r="AC1370" s="1" t="str">
        <f>IFERROR(__xludf.DUMMYFUNCTION("""COMPUTED_VALUE"""),"")</f>
        <v/>
      </c>
      <c r="AD1370" s="1" t="str">
        <f>IFERROR(__xludf.DUMMYFUNCTION("""COMPUTED_VALUE"""),"")</f>
        <v/>
      </c>
      <c r="AE1370" s="1" t="str">
        <f>IFERROR(__xludf.DUMMYFUNCTION("""COMPUTED_VALUE"""),"")</f>
        <v/>
      </c>
      <c r="AF1370" s="1" t="str">
        <f>IFERROR(__xludf.DUMMYFUNCTION("""COMPUTED_VALUE"""),"")</f>
        <v/>
      </c>
      <c r="AG1370" s="1" t="str">
        <f>IFERROR(__xludf.DUMMYFUNCTION("""COMPUTED_VALUE"""),"This project covers multiple parcels. The total acreage has been represented here. Proffers amended in 2024 to increase the square footage. New footage represented here.")</f>
        <v>This project covers multiple parcels. The total acreage has been represented here. Proffers amended in 2024 to increase the square footage. New footage represented here.</v>
      </c>
      <c r="AH1370" s="1" t="str">
        <f>IFERROR(__xludf.DUMMYFUNCTION("""COMPUTED_VALUE"""),"PEC")</f>
        <v>PEC</v>
      </c>
      <c r="AI1370" s="2" t="str">
        <f>IFERROR(__xludf.DUMMYFUNCTION("""COMPUTED_VALUE"""),"https://egcss.pwcgov.org/SelfService#/plan/3dd0c08d-d7fa-483c-8e0f-1913eb303cd0")</f>
        <v>https://egcss.pwcgov.org/SelfService#/plan/3dd0c08d-d7fa-483c-8e0f-1913eb303cd0</v>
      </c>
      <c r="AJ1370" s="2" t="str">
        <f>IFERROR(__xludf.DUMMYFUNCTION("""COMPUTED_VALUE"""),"https://pwc.publicaccessnow.com/PropertyDetail.aspx?mpropertynumber=155883&amp;mtab=property&amp;p=155883")</f>
        <v>https://pwc.publicaccessnow.com/PropertyDetail.aspx?mpropertynumber=155883&amp;mtab=property&amp;p=155883</v>
      </c>
      <c r="AK1370" s="1" t="str">
        <f>IFERROR(__xludf.DUMMYFUNCTION("""COMPUTED_VALUE"""),"")</f>
        <v/>
      </c>
      <c r="AL1370" s="1" t="str">
        <f>IFERROR(__xludf.DUMMYFUNCTION("""COMPUTED_VALUE"""),"")</f>
        <v/>
      </c>
      <c r="AM1370" s="1" t="str">
        <f>IFERROR(__xludf.DUMMYFUNCTION("""COMPUTED_VALUE"""),"")</f>
        <v/>
      </c>
      <c r="AN1370" s="1" t="str">
        <f>IFERROR(__xludf.DUMMYFUNCTION("""COMPUTED_VALUE"""),"")</f>
        <v/>
      </c>
      <c r="AO1370" s="1" t="str">
        <f>IFERROR(__xludf.DUMMYFUNCTION("""COMPUTED_VALUE"""),"")</f>
        <v/>
      </c>
      <c r="AP1370" s="1" t="str">
        <f>IFERROR(__xludf.DUMMYFUNCTION("""COMPUTED_VALUE"""),"")</f>
        <v/>
      </c>
      <c r="AQ1370" s="1" t="str">
        <f>IFERROR(__xludf.DUMMYFUNCTION("""COMPUTED_VALUE"""),"07/11/2025")</f>
        <v>07/11/2025</v>
      </c>
      <c r="AR1370" s="1" t="str">
        <f>IFERROR(__xludf.DUMMYFUNCTION("""COMPUTED_VALUE"""),"10/17/2025")</f>
        <v>10/17/2025</v>
      </c>
    </row>
    <row r="1371">
      <c r="A1371" s="1" t="str">
        <f>IFERROR(__xludf.DUMMYFUNCTION("""COMPUTED_VALUE"""),"NVA05A &amp; NVA05B Proffer Amendment and Rezoning")</f>
        <v>NVA05A &amp; NVA05B Proffer Amendment and Rezoning</v>
      </c>
      <c r="B1371" s="1" t="str">
        <f>IFERROR(__xludf.DUMMYFUNCTION("""COMPUTED_VALUE"""),"9101 FREEDOM CENTER BLVD")</f>
        <v>9101 FREEDOM CENTER BLVD</v>
      </c>
      <c r="C1371" s="1" t="str">
        <f>IFERROR(__xludf.DUMMYFUNCTION("""COMPUTED_VALUE"""),"Manassas")</f>
        <v>Manassas</v>
      </c>
      <c r="D1371" s="1" t="str">
        <f>IFERROR(__xludf.DUMMYFUNCTION("""COMPUTED_VALUE"""),"VA")</f>
        <v>VA</v>
      </c>
      <c r="E1371" s="1" t="str">
        <f>IFERROR(__xludf.DUMMYFUNCTION("""COMPUTED_VALUE"""),"20109")</f>
        <v>20109</v>
      </c>
      <c r="F1371" s="1" t="str">
        <f>IFERROR(__xludf.DUMMYFUNCTION("""COMPUTED_VALUE"""),"Prince William")</f>
        <v>Prince William</v>
      </c>
      <c r="G1371" s="1" t="str">
        <f>IFERROR(__xludf.DUMMYFUNCTION("""COMPUTED_VALUE"""),"38.760544")</f>
        <v>38.760544</v>
      </c>
      <c r="H1371" s="1" t="str">
        <f>IFERROR(__xludf.DUMMYFUNCTION("""COMPUTED_VALUE"""),"-77.51536")</f>
        <v>-77.51536</v>
      </c>
      <c r="I1371" s="1" t="str">
        <f>IFERROR(__xludf.DUMMYFUNCTION("""COMPUTED_VALUE"""),"Proposed")</f>
        <v>Proposed</v>
      </c>
      <c r="J1371" s="1" t="str">
        <f>IFERROR(__xludf.DUMMYFUNCTION("""COMPUTED_VALUE"""),"High")</f>
        <v>High</v>
      </c>
      <c r="K1371" s="1" t="str">
        <f>IFERROR(__xludf.DUMMYFUNCTION("""COMPUTED_VALUE"""),"")</f>
        <v/>
      </c>
      <c r="L1371" s="1" t="str">
        <f>IFERROR(__xludf.DUMMYFUNCTION("""COMPUTED_VALUE"""),"")</f>
        <v/>
      </c>
      <c r="M1371" s="1" t="str">
        <f>IFERROR(__xludf.DUMMYFUNCTION("""COMPUTED_VALUE"""),"")</f>
        <v/>
      </c>
      <c r="N1371" s="1" t="str">
        <f>IFERROR(__xludf.DUMMYFUNCTION("""COMPUTED_VALUE"""),"")</f>
        <v/>
      </c>
      <c r="O1371" s="1" t="str">
        <f>IFERROR(__xludf.DUMMYFUNCTION("""COMPUTED_VALUE"""),"Unknown")</f>
        <v>Unknown</v>
      </c>
      <c r="P1371" s="1" t="str">
        <f>IFERROR(__xludf.DUMMYFUNCTION("""COMPUTED_VALUE"""),"")</f>
        <v/>
      </c>
      <c r="Q1371" s="1" t="str">
        <f>IFERROR(__xludf.DUMMYFUNCTION("""COMPUTED_VALUE"""),"")</f>
        <v/>
      </c>
      <c r="R1371" s="1" t="str">
        <f>IFERROR(__xludf.DUMMYFUNCTION("""COMPUTED_VALUE"""),"")</f>
        <v/>
      </c>
      <c r="S1371" s="1" t="str">
        <f>IFERROR(__xludf.DUMMYFUNCTION("""COMPUTED_VALUE"""),"")</f>
        <v/>
      </c>
      <c r="T1371" s="1" t="str">
        <f>IFERROR(__xludf.DUMMYFUNCTION("""COMPUTED_VALUE"""),"")</f>
        <v/>
      </c>
      <c r="U1371" s="1" t="str">
        <f>IFERROR(__xludf.DUMMYFUNCTION("""COMPUTED_VALUE"""),"")</f>
        <v/>
      </c>
      <c r="V1371" s="1" t="str">
        <f>IFERROR(__xludf.DUMMYFUNCTION("""COMPUTED_VALUE"""),"814,777")</f>
        <v>814,777</v>
      </c>
      <c r="W1371" s="1" t="str">
        <f>IFERROR(__xludf.DUMMYFUNCTION("""COMPUTED_VALUE"""),"37")</f>
        <v>37</v>
      </c>
      <c r="X1371" s="1" t="str">
        <f>IFERROR(__xludf.DUMMYFUNCTION("""COMPUTED_VALUE"""),"")</f>
        <v/>
      </c>
      <c r="Y1371" s="1" t="str">
        <f>IFERROR(__xludf.DUMMYFUNCTION("""COMPUTED_VALUE"""),"")</f>
        <v/>
      </c>
      <c r="Z1371" s="1" t="str">
        <f>IFERROR(__xludf.DUMMYFUNCTION("""COMPUTED_VALUE"""),"Unknown")</f>
        <v>Unknown</v>
      </c>
      <c r="AA1371" s="1" t="str">
        <f>IFERROR(__xludf.DUMMYFUNCTION("""COMPUTED_VALUE"""),"")</f>
        <v/>
      </c>
      <c r="AB1371" s="1" t="str">
        <f>IFERROR(__xludf.DUMMYFUNCTION("""COMPUTED_VALUE"""),"")</f>
        <v/>
      </c>
      <c r="AC1371" s="1" t="str">
        <f>IFERROR(__xludf.DUMMYFUNCTION("""COMPUTED_VALUE"""),"")</f>
        <v/>
      </c>
      <c r="AD1371" s="1" t="str">
        <f>IFERROR(__xludf.DUMMYFUNCTION("""COMPUTED_VALUE"""),"")</f>
        <v/>
      </c>
      <c r="AE1371" s="1" t="str">
        <f>IFERROR(__xludf.DUMMYFUNCTION("""COMPUTED_VALUE"""),"")</f>
        <v/>
      </c>
      <c r="AF1371" s="1" t="str">
        <f>IFERROR(__xludf.DUMMYFUNCTION("""COMPUTED_VALUE"""),"")</f>
        <v/>
      </c>
      <c r="AG1371" s="1" t="str">
        <f>IFERROR(__xludf.DUMMYFUNCTION("""COMPUTED_VALUE"""),"This project covers multiple parcels. The total acreage has been represented here. Proffers amended to increase square footage in 2024")</f>
        <v>This project covers multiple parcels. The total acreage has been represented here. Proffers amended to increase square footage in 2024</v>
      </c>
      <c r="AH1371" s="1" t="str">
        <f>IFERROR(__xludf.DUMMYFUNCTION("""COMPUTED_VALUE"""),"PEC")</f>
        <v>PEC</v>
      </c>
      <c r="AI1371" s="2" t="str">
        <f>IFERROR(__xludf.DUMMYFUNCTION("""COMPUTED_VALUE"""),"https://egcss.pwcgov.org/SelfService#/plan/19004ff1-7e88-4661-9d3f-ad33ecaa1da2")</f>
        <v>https://egcss.pwcgov.org/SelfService#/plan/19004ff1-7e88-4661-9d3f-ad33ecaa1da2</v>
      </c>
      <c r="AJ1371" s="2" t="str">
        <f>IFERROR(__xludf.DUMMYFUNCTION("""COMPUTED_VALUE"""),"https://pwc.publicaccessnow.com/PropertyDetail.aspx?mtab=property&amp;mpropertynumber=023467")</f>
        <v>https://pwc.publicaccessnow.com/PropertyDetail.aspx?mtab=property&amp;mpropertynumber=023467</v>
      </c>
      <c r="AK1371" s="1" t="str">
        <f>IFERROR(__xludf.DUMMYFUNCTION("""COMPUTED_VALUE"""),"")</f>
        <v/>
      </c>
      <c r="AL1371" s="1" t="str">
        <f>IFERROR(__xludf.DUMMYFUNCTION("""COMPUTED_VALUE"""),"")</f>
        <v/>
      </c>
      <c r="AM1371" s="1" t="str">
        <f>IFERROR(__xludf.DUMMYFUNCTION("""COMPUTED_VALUE"""),"")</f>
        <v/>
      </c>
      <c r="AN1371" s="1" t="str">
        <f>IFERROR(__xludf.DUMMYFUNCTION("""COMPUTED_VALUE"""),"")</f>
        <v/>
      </c>
      <c r="AO1371" s="1" t="str">
        <f>IFERROR(__xludf.DUMMYFUNCTION("""COMPUTED_VALUE"""),"")</f>
        <v/>
      </c>
      <c r="AP1371" s="1" t="str">
        <f>IFERROR(__xludf.DUMMYFUNCTION("""COMPUTED_VALUE"""),"")</f>
        <v/>
      </c>
      <c r="AQ1371" s="1" t="str">
        <f>IFERROR(__xludf.DUMMYFUNCTION("""COMPUTED_VALUE"""),"07/14/2025")</f>
        <v>07/14/2025</v>
      </c>
      <c r="AR1371" s="1" t="str">
        <f>IFERROR(__xludf.DUMMYFUNCTION("""COMPUTED_VALUE"""),"10/17/2025")</f>
        <v>10/17/2025</v>
      </c>
    </row>
    <row r="1372">
      <c r="A1372" s="1" t="str">
        <f>IFERROR(__xludf.DUMMYFUNCTION("""COMPUTED_VALUE"""),"NVA15 LLC")</f>
        <v>NVA15 LLC</v>
      </c>
      <c r="B1372" s="1" t="str">
        <f>IFERROR(__xludf.DUMMYFUNCTION("""COMPUTED_VALUE"""),"9650 HORNBAKER RD")</f>
        <v>9650 HORNBAKER RD</v>
      </c>
      <c r="C1372" s="1" t="str">
        <f>IFERROR(__xludf.DUMMYFUNCTION("""COMPUTED_VALUE"""),"Manassas")</f>
        <v>Manassas</v>
      </c>
      <c r="D1372" s="1" t="str">
        <f>IFERROR(__xludf.DUMMYFUNCTION("""COMPUTED_VALUE"""),"VA")</f>
        <v>VA</v>
      </c>
      <c r="E1372" s="1" t="str">
        <f>IFERROR(__xludf.DUMMYFUNCTION("""COMPUTED_VALUE"""),"20109")</f>
        <v>20109</v>
      </c>
      <c r="F1372" s="1" t="str">
        <f>IFERROR(__xludf.DUMMYFUNCTION("""COMPUTED_VALUE"""),"Prince William")</f>
        <v>Prince William</v>
      </c>
      <c r="G1372" s="1" t="str">
        <f>IFERROR(__xludf.DUMMYFUNCTION("""COMPUTED_VALUE"""),"38.74385")</f>
        <v>38.74385</v>
      </c>
      <c r="H1372" s="1" t="str">
        <f>IFERROR(__xludf.DUMMYFUNCTION("""COMPUTED_VALUE"""),"-77.53758")</f>
        <v>-77.53758</v>
      </c>
      <c r="I1372" s="1" t="str">
        <f>IFERROR(__xludf.DUMMYFUNCTION("""COMPUTED_VALUE"""),"Proposed")</f>
        <v>Proposed</v>
      </c>
      <c r="J1372" s="1" t="str">
        <f>IFERROR(__xludf.DUMMYFUNCTION("""COMPUTED_VALUE"""),"High")</f>
        <v>High</v>
      </c>
      <c r="K1372" s="1" t="str">
        <f>IFERROR(__xludf.DUMMYFUNCTION("""COMPUTED_VALUE"""),"")</f>
        <v/>
      </c>
      <c r="L1372" s="1" t="str">
        <f>IFERROR(__xludf.DUMMYFUNCTION("""COMPUTED_VALUE"""),"STACK INFRASTRUCTURE")</f>
        <v>STACK INFRASTRUCTURE</v>
      </c>
      <c r="M1372" s="1" t="str">
        <f>IFERROR(__xludf.DUMMYFUNCTION("""COMPUTED_VALUE"""),"")</f>
        <v/>
      </c>
      <c r="N1372" s="1" t="str">
        <f>IFERROR(__xludf.DUMMYFUNCTION("""COMPUTED_VALUE"""),"48")</f>
        <v>48</v>
      </c>
      <c r="O1372" s="1" t="str">
        <f>IFERROR(__xludf.DUMMYFUNCTION("""COMPUTED_VALUE"""),"Medium (11-50 MW)")</f>
        <v>Medium (11-50 MW)</v>
      </c>
      <c r="P1372" s="1" t="str">
        <f>IFERROR(__xludf.DUMMYFUNCTION("""COMPUTED_VALUE"""),"")</f>
        <v/>
      </c>
      <c r="Q1372" s="1" t="str">
        <f>IFERROR(__xludf.DUMMYFUNCTION("""COMPUTED_VALUE"""),"")</f>
        <v/>
      </c>
      <c r="R1372" s="1" t="str">
        <f>IFERROR(__xludf.DUMMYFUNCTION("""COMPUTED_VALUE"""),"")</f>
        <v/>
      </c>
      <c r="S1372" s="1" t="str">
        <f>IFERROR(__xludf.DUMMYFUNCTION("""COMPUTED_VALUE"""),"")</f>
        <v/>
      </c>
      <c r="T1372" s="1" t="str">
        <f>IFERROR(__xludf.DUMMYFUNCTION("""COMPUTED_VALUE"""),"")</f>
        <v/>
      </c>
      <c r="U1372" s="1" t="str">
        <f>IFERROR(__xludf.DUMMYFUNCTION("""COMPUTED_VALUE"""),"")</f>
        <v/>
      </c>
      <c r="V1372" s="1" t="str">
        <f>IFERROR(__xludf.DUMMYFUNCTION("""COMPUTED_VALUE"""),"24,000")</f>
        <v>24,000</v>
      </c>
      <c r="W1372" s="1" t="str">
        <f>IFERROR(__xludf.DUMMYFUNCTION("""COMPUTED_VALUE"""),"32")</f>
        <v>32</v>
      </c>
      <c r="X1372" s="1" t="str">
        <f>IFERROR(__xludf.DUMMYFUNCTION("""COMPUTED_VALUE"""),"")</f>
        <v/>
      </c>
      <c r="Y1372" s="1" t="str">
        <f>IFERROR(__xludf.DUMMYFUNCTION("""COMPUTED_VALUE"""),"")</f>
        <v/>
      </c>
      <c r="Z1372" s="1" t="str">
        <f>IFERROR(__xludf.DUMMYFUNCTION("""COMPUTED_VALUE"""),"Unknown")</f>
        <v>Unknown</v>
      </c>
      <c r="AA1372" s="1" t="str">
        <f>IFERROR(__xludf.DUMMYFUNCTION("""COMPUTED_VALUE"""),"")</f>
        <v/>
      </c>
      <c r="AB1372" s="1" t="str">
        <f>IFERROR(__xludf.DUMMYFUNCTION("""COMPUTED_VALUE"""),"")</f>
        <v/>
      </c>
      <c r="AC1372" s="1" t="str">
        <f>IFERROR(__xludf.DUMMYFUNCTION("""COMPUTED_VALUE"""),"")</f>
        <v/>
      </c>
      <c r="AD1372" s="1" t="str">
        <f>IFERROR(__xludf.DUMMYFUNCTION("""COMPUTED_VALUE"""),"")</f>
        <v/>
      </c>
      <c r="AE1372" s="1" t="str">
        <f>IFERROR(__xludf.DUMMYFUNCTION("""COMPUTED_VALUE"""),"")</f>
        <v/>
      </c>
      <c r="AF1372" s="1" t="str">
        <f>IFERROR(__xludf.DUMMYFUNCTION("""COMPUTED_VALUE"""),"")</f>
        <v/>
      </c>
      <c r="AG1372" s="1" t="str">
        <f>IFERROR(__xludf.DUMMYFUNCTION("""COMPUTED_VALUE"""),"")</f>
        <v/>
      </c>
      <c r="AH1372" s="1" t="str">
        <f>IFERROR(__xludf.DUMMYFUNCTION("""COMPUTED_VALUE"""),"PEC")</f>
        <v>PEC</v>
      </c>
      <c r="AI1372" s="2" t="str">
        <f>IFERROR(__xludf.DUMMYFUNCTION("""COMPUTED_VALUE"""),"https://www.insidenova.com/headlines/stack-infrastructure-finalizes-1-8m-square-feet-in-bristow/article_557b56ba-8289-11ed-8ad6-ebd8be2d9699.html")</f>
        <v>https://www.insidenova.com/headlines/stack-infrastructure-finalizes-1-8m-square-feet-in-bristow/article_557b56ba-8289-11ed-8ad6-ebd8be2d9699.html</v>
      </c>
      <c r="AJ1372" s="2" t="str">
        <f>IFERROR(__xludf.DUMMYFUNCTION("""COMPUTED_VALUE"""),"https://pwc.publicaccessnow.com/PropertyDetail.aspx?mtab=property&amp;mpropertynumber=264056")</f>
        <v>https://pwc.publicaccessnow.com/PropertyDetail.aspx?mtab=property&amp;mpropertynumber=264056</v>
      </c>
      <c r="AK1372" s="1" t="str">
        <f>IFERROR(__xludf.DUMMYFUNCTION("""COMPUTED_VALUE"""),"")</f>
        <v/>
      </c>
      <c r="AL1372" s="1" t="str">
        <f>IFERROR(__xludf.DUMMYFUNCTION("""COMPUTED_VALUE"""),"")</f>
        <v/>
      </c>
      <c r="AM1372" s="1" t="str">
        <f>IFERROR(__xludf.DUMMYFUNCTION("""COMPUTED_VALUE"""),"")</f>
        <v/>
      </c>
      <c r="AN1372" s="1" t="str">
        <f>IFERROR(__xludf.DUMMYFUNCTION("""COMPUTED_VALUE"""),"")</f>
        <v/>
      </c>
      <c r="AO1372" s="1" t="str">
        <f>IFERROR(__xludf.DUMMYFUNCTION("""COMPUTED_VALUE"""),"")</f>
        <v/>
      </c>
      <c r="AP1372" s="1" t="str">
        <f>IFERROR(__xludf.DUMMYFUNCTION("""COMPUTED_VALUE"""),"")</f>
        <v/>
      </c>
      <c r="AQ1372" s="1" t="str">
        <f>IFERROR(__xludf.DUMMYFUNCTION("""COMPUTED_VALUE"""),"04/10/2024")</f>
        <v>04/10/2024</v>
      </c>
      <c r="AR1372" s="1" t="str">
        <f>IFERROR(__xludf.DUMMYFUNCTION("""COMPUTED_VALUE"""),"10/17/2025")</f>
        <v>10/17/2025</v>
      </c>
    </row>
    <row r="1373">
      <c r="A1373" s="1" t="str">
        <f>IFERROR(__xludf.DUMMYFUNCTION("""COMPUTED_VALUE"""),"NVA16 LLC")</f>
        <v>NVA16 LLC</v>
      </c>
      <c r="B1373" s="1" t="str">
        <f>IFERROR(__xludf.DUMMYFUNCTION("""COMPUTED_VALUE"""),"9530 HORNBAKER RD")</f>
        <v>9530 HORNBAKER RD</v>
      </c>
      <c r="C1373" s="1" t="str">
        <f>IFERROR(__xludf.DUMMYFUNCTION("""COMPUTED_VALUE"""),"Manassas")</f>
        <v>Manassas</v>
      </c>
      <c r="D1373" s="1" t="str">
        <f>IFERROR(__xludf.DUMMYFUNCTION("""COMPUTED_VALUE"""),"VA")</f>
        <v>VA</v>
      </c>
      <c r="E1373" s="1" t="str">
        <f>IFERROR(__xludf.DUMMYFUNCTION("""COMPUTED_VALUE"""),"20109")</f>
        <v>20109</v>
      </c>
      <c r="F1373" s="1" t="str">
        <f>IFERROR(__xludf.DUMMYFUNCTION("""COMPUTED_VALUE"""),"Prince William")</f>
        <v>Prince William</v>
      </c>
      <c r="G1373" s="1" t="str">
        <f>IFERROR(__xludf.DUMMYFUNCTION("""COMPUTED_VALUE"""),"38.748554")</f>
        <v>38.748554</v>
      </c>
      <c r="H1373" s="1" t="str">
        <f>IFERROR(__xludf.DUMMYFUNCTION("""COMPUTED_VALUE"""),"-77.53744")</f>
        <v>-77.53744</v>
      </c>
      <c r="I1373" s="1" t="str">
        <f>IFERROR(__xludf.DUMMYFUNCTION("""COMPUTED_VALUE"""),"Proposed")</f>
        <v>Proposed</v>
      </c>
      <c r="J1373" s="1" t="str">
        <f>IFERROR(__xludf.DUMMYFUNCTION("""COMPUTED_VALUE"""),"High")</f>
        <v>High</v>
      </c>
      <c r="K1373" s="1" t="str">
        <f>IFERROR(__xludf.DUMMYFUNCTION("""COMPUTED_VALUE"""),"")</f>
        <v/>
      </c>
      <c r="L1373" s="1" t="str">
        <f>IFERROR(__xludf.DUMMYFUNCTION("""COMPUTED_VALUE"""),"Amazon")</f>
        <v>Amazon</v>
      </c>
      <c r="M1373" s="1" t="str">
        <f>IFERROR(__xludf.DUMMYFUNCTION("""COMPUTED_VALUE"""),"")</f>
        <v/>
      </c>
      <c r="N1373" s="1" t="str">
        <f>IFERROR(__xludf.DUMMYFUNCTION("""COMPUTED_VALUE"""),"48")</f>
        <v>48</v>
      </c>
      <c r="O1373" s="1" t="str">
        <f>IFERROR(__xludf.DUMMYFUNCTION("""COMPUTED_VALUE"""),"Medium (11-50 MW)")</f>
        <v>Medium (11-50 MW)</v>
      </c>
      <c r="P1373" s="1" t="str">
        <f>IFERROR(__xludf.DUMMYFUNCTION("""COMPUTED_VALUE"""),"")</f>
        <v/>
      </c>
      <c r="Q1373" s="1" t="str">
        <f>IFERROR(__xludf.DUMMYFUNCTION("""COMPUTED_VALUE"""),"")</f>
        <v/>
      </c>
      <c r="R1373" s="1" t="str">
        <f>IFERROR(__xludf.DUMMYFUNCTION("""COMPUTED_VALUE"""),"")</f>
        <v/>
      </c>
      <c r="S1373" s="1" t="str">
        <f>IFERROR(__xludf.DUMMYFUNCTION("""COMPUTED_VALUE"""),"")</f>
        <v/>
      </c>
      <c r="T1373" s="1" t="str">
        <f>IFERROR(__xludf.DUMMYFUNCTION("""COMPUTED_VALUE"""),"")</f>
        <v/>
      </c>
      <c r="U1373" s="1" t="str">
        <f>IFERROR(__xludf.DUMMYFUNCTION("""COMPUTED_VALUE"""),"")</f>
        <v/>
      </c>
      <c r="V1373" s="1" t="str">
        <f>IFERROR(__xludf.DUMMYFUNCTION("""COMPUTED_VALUE"""),"24,000")</f>
        <v>24,000</v>
      </c>
      <c r="W1373" s="1" t="str">
        <f>IFERROR(__xludf.DUMMYFUNCTION("""COMPUTED_VALUE"""),"31")</f>
        <v>31</v>
      </c>
      <c r="X1373" s="1" t="str">
        <f>IFERROR(__xludf.DUMMYFUNCTION("""COMPUTED_VALUE"""),"")</f>
        <v/>
      </c>
      <c r="Y1373" s="1" t="str">
        <f>IFERROR(__xludf.DUMMYFUNCTION("""COMPUTED_VALUE"""),"")</f>
        <v/>
      </c>
      <c r="Z1373" s="1" t="str">
        <f>IFERROR(__xludf.DUMMYFUNCTION("""COMPUTED_VALUE"""),"Unknown")</f>
        <v>Unknown</v>
      </c>
      <c r="AA1373" s="1" t="str">
        <f>IFERROR(__xludf.DUMMYFUNCTION("""COMPUTED_VALUE"""),"")</f>
        <v/>
      </c>
      <c r="AB1373" s="1" t="str">
        <f>IFERROR(__xludf.DUMMYFUNCTION("""COMPUTED_VALUE"""),"")</f>
        <v/>
      </c>
      <c r="AC1373" s="1" t="str">
        <f>IFERROR(__xludf.DUMMYFUNCTION("""COMPUTED_VALUE"""),"")</f>
        <v/>
      </c>
      <c r="AD1373" s="1" t="str">
        <f>IFERROR(__xludf.DUMMYFUNCTION("""COMPUTED_VALUE"""),"")</f>
        <v/>
      </c>
      <c r="AE1373" s="1" t="str">
        <f>IFERROR(__xludf.DUMMYFUNCTION("""COMPUTED_VALUE"""),"")</f>
        <v/>
      </c>
      <c r="AF1373" s="1" t="str">
        <f>IFERROR(__xludf.DUMMYFUNCTION("""COMPUTED_VALUE"""),"")</f>
        <v/>
      </c>
      <c r="AG1373" s="1" t="str">
        <f>IFERROR(__xludf.DUMMYFUNCTION("""COMPUTED_VALUE"""),"")</f>
        <v/>
      </c>
      <c r="AH1373" s="1" t="str">
        <f>IFERROR(__xludf.DUMMYFUNCTION("""COMPUTED_VALUE"""),"PEC")</f>
        <v>PEC</v>
      </c>
      <c r="AI1373" s="2" t="str">
        <f>IFERROR(__xludf.DUMMYFUNCTION("""COMPUTED_VALUE"""),"https://www.insidenova.com/headlines/stack-infrastructure-finalizes-1-8m-square-feet-in-bristow/article_557b56ba-8289-11ed-8ad6-ebd8be2d9699.html")</f>
        <v>https://www.insidenova.com/headlines/stack-infrastructure-finalizes-1-8m-square-feet-in-bristow/article_557b56ba-8289-11ed-8ad6-ebd8be2d9699.html</v>
      </c>
      <c r="AJ1373" s="2" t="str">
        <f>IFERROR(__xludf.DUMMYFUNCTION("""COMPUTED_VALUE"""),"https://pwc.publicaccessnow.com/PropertyDetail.aspx?mtab=property&amp;mpropertynumber=001510")</f>
        <v>https://pwc.publicaccessnow.com/PropertyDetail.aspx?mtab=property&amp;mpropertynumber=001510</v>
      </c>
      <c r="AK1373" s="1" t="str">
        <f>IFERROR(__xludf.DUMMYFUNCTION("""COMPUTED_VALUE"""),"")</f>
        <v/>
      </c>
      <c r="AL1373" s="1" t="str">
        <f>IFERROR(__xludf.DUMMYFUNCTION("""COMPUTED_VALUE"""),"")</f>
        <v/>
      </c>
      <c r="AM1373" s="1" t="str">
        <f>IFERROR(__xludf.DUMMYFUNCTION("""COMPUTED_VALUE"""),"")</f>
        <v/>
      </c>
      <c r="AN1373" s="1" t="str">
        <f>IFERROR(__xludf.DUMMYFUNCTION("""COMPUTED_VALUE"""),"")</f>
        <v/>
      </c>
      <c r="AO1373" s="1" t="str">
        <f>IFERROR(__xludf.DUMMYFUNCTION("""COMPUTED_VALUE"""),"")</f>
        <v/>
      </c>
      <c r="AP1373" s="1" t="str">
        <f>IFERROR(__xludf.DUMMYFUNCTION("""COMPUTED_VALUE"""),"")</f>
        <v/>
      </c>
      <c r="AQ1373" s="1" t="str">
        <f>IFERROR(__xludf.DUMMYFUNCTION("""COMPUTED_VALUE"""),"04/10/2024")</f>
        <v>04/10/2024</v>
      </c>
      <c r="AR1373" s="1" t="str">
        <f>IFERROR(__xludf.DUMMYFUNCTION("""COMPUTED_VALUE"""),"10/17/2025")</f>
        <v>10/17/2025</v>
      </c>
    </row>
    <row r="1374">
      <c r="A1374" s="1" t="str">
        <f>IFERROR(__xludf.DUMMYFUNCTION("""COMPUTED_VALUE"""),"PARSONS BUSINESS PARK LLC")</f>
        <v>PARSONS BUSINESS PARK LLC</v>
      </c>
      <c r="B1374" s="1" t="str">
        <f>IFERROR(__xludf.DUMMYFUNCTION("""COMPUTED_VALUE"""),"14237 DUMFRIES RD")</f>
        <v>14237 DUMFRIES RD</v>
      </c>
      <c r="C1374" s="1" t="str">
        <f>IFERROR(__xludf.DUMMYFUNCTION("""COMPUTED_VALUE"""),"Manassas")</f>
        <v>Manassas</v>
      </c>
      <c r="D1374" s="1" t="str">
        <f>IFERROR(__xludf.DUMMYFUNCTION("""COMPUTED_VALUE"""),"VA")</f>
        <v>VA</v>
      </c>
      <c r="E1374" s="1" t="str">
        <f>IFERROR(__xludf.DUMMYFUNCTION("""COMPUTED_VALUE"""),"20112")</f>
        <v>20112</v>
      </c>
      <c r="F1374" s="1" t="str">
        <f>IFERROR(__xludf.DUMMYFUNCTION("""COMPUTED_VALUE"""),"Prince William")</f>
        <v>Prince William</v>
      </c>
      <c r="G1374" s="1" t="str">
        <f>IFERROR(__xludf.DUMMYFUNCTION("""COMPUTED_VALUE"""),"38.645596")</f>
        <v>38.645596</v>
      </c>
      <c r="H1374" s="1" t="str">
        <f>IFERROR(__xludf.DUMMYFUNCTION("""COMPUTED_VALUE"""),"-77.4416")</f>
        <v>-77.4416</v>
      </c>
      <c r="I1374" s="1" t="str">
        <f>IFERROR(__xludf.DUMMYFUNCTION("""COMPUTED_VALUE"""),"Proposed")</f>
        <v>Proposed</v>
      </c>
      <c r="J1374" s="1" t="str">
        <f>IFERROR(__xludf.DUMMYFUNCTION("""COMPUTED_VALUE"""),"High")</f>
        <v>High</v>
      </c>
      <c r="K1374" s="1" t="str">
        <f>IFERROR(__xludf.DUMMYFUNCTION("""COMPUTED_VALUE"""),"")</f>
        <v/>
      </c>
      <c r="L1374" s="1" t="str">
        <f>IFERROR(__xludf.DUMMYFUNCTION("""COMPUTED_VALUE"""),"")</f>
        <v/>
      </c>
      <c r="M1374" s="1" t="str">
        <f>IFERROR(__xludf.DUMMYFUNCTION("""COMPUTED_VALUE"""),"")</f>
        <v/>
      </c>
      <c r="N1374" s="1" t="str">
        <f>IFERROR(__xludf.DUMMYFUNCTION("""COMPUTED_VALUE"""),"")</f>
        <v/>
      </c>
      <c r="O1374" s="1" t="str">
        <f>IFERROR(__xludf.DUMMYFUNCTION("""COMPUTED_VALUE"""),"Unknown")</f>
        <v>Unknown</v>
      </c>
      <c r="P1374" s="1" t="str">
        <f>IFERROR(__xludf.DUMMYFUNCTION("""COMPUTED_VALUE"""),"")</f>
        <v/>
      </c>
      <c r="Q1374" s="1" t="str">
        <f>IFERROR(__xludf.DUMMYFUNCTION("""COMPUTED_VALUE"""),"")</f>
        <v/>
      </c>
      <c r="R1374" s="1" t="str">
        <f>IFERROR(__xludf.DUMMYFUNCTION("""COMPUTED_VALUE"""),"")</f>
        <v/>
      </c>
      <c r="S1374" s="1" t="str">
        <f>IFERROR(__xludf.DUMMYFUNCTION("""COMPUTED_VALUE"""),"")</f>
        <v/>
      </c>
      <c r="T1374" s="1" t="str">
        <f>IFERROR(__xludf.DUMMYFUNCTION("""COMPUTED_VALUE"""),"")</f>
        <v/>
      </c>
      <c r="U1374" s="1" t="str">
        <f>IFERROR(__xludf.DUMMYFUNCTION("""COMPUTED_VALUE"""),"")</f>
        <v/>
      </c>
      <c r="V1374" s="1" t="str">
        <f>IFERROR(__xludf.DUMMYFUNCTION("""COMPUTED_VALUE"""),"2,628,411")</f>
        <v>2,628,411</v>
      </c>
      <c r="W1374" s="1" t="str">
        <f>IFERROR(__xludf.DUMMYFUNCTION("""COMPUTED_VALUE"""),"91")</f>
        <v>91</v>
      </c>
      <c r="X1374" s="1" t="str">
        <f>IFERROR(__xludf.DUMMYFUNCTION("""COMPUTED_VALUE"""),"")</f>
        <v/>
      </c>
      <c r="Y1374" s="1" t="str">
        <f>IFERROR(__xludf.DUMMYFUNCTION("""COMPUTED_VALUE"""),"")</f>
        <v/>
      </c>
      <c r="Z1374" s="1" t="str">
        <f>IFERROR(__xludf.DUMMYFUNCTION("""COMPUTED_VALUE"""),"Unknown")</f>
        <v>Unknown</v>
      </c>
      <c r="AA1374" s="1" t="str">
        <f>IFERROR(__xludf.DUMMYFUNCTION("""COMPUTED_VALUE"""),"")</f>
        <v/>
      </c>
      <c r="AB1374" s="1" t="str">
        <f>IFERROR(__xludf.DUMMYFUNCTION("""COMPUTED_VALUE"""),"")</f>
        <v/>
      </c>
      <c r="AC1374" s="1" t="str">
        <f>IFERROR(__xludf.DUMMYFUNCTION("""COMPUTED_VALUE"""),"")</f>
        <v/>
      </c>
      <c r="AD1374" s="1" t="str">
        <f>IFERROR(__xludf.DUMMYFUNCTION("""COMPUTED_VALUE"""),"")</f>
        <v/>
      </c>
      <c r="AE1374" s="1" t="str">
        <f>IFERROR(__xludf.DUMMYFUNCTION("""COMPUTED_VALUE"""),"")</f>
        <v/>
      </c>
      <c r="AF1374" s="1" t="str">
        <f>IFERROR(__xludf.DUMMYFUNCTION("""COMPUTED_VALUE"""),"")</f>
        <v/>
      </c>
      <c r="AG1374" s="1" t="str">
        <f>IFERROR(__xludf.DUMMYFUNCTION("""COMPUTED_VALUE"""),"This project covers multiple parcels. The total acreage has been represented here. Project was expanded in 2024, the new footage is represented here.")</f>
        <v>This project covers multiple parcels. The total acreage has been represented here. Project was expanded in 2024, the new footage is represented here.</v>
      </c>
      <c r="AH1374" s="1" t="str">
        <f>IFERROR(__xludf.DUMMYFUNCTION("""COMPUTED_VALUE"""),"PEC")</f>
        <v>PEC</v>
      </c>
      <c r="AI1374" s="2" t="str">
        <f>IFERROR(__xludf.DUMMYFUNCTION("""COMPUTED_VALUE"""),"https://egcss.pwcgov.org/SelfService#/plan/f202a52f-d21d-48eb-ab3e-8577eaaaff93?tab=attachments")</f>
        <v>https://egcss.pwcgov.org/SelfService#/plan/f202a52f-d21d-48eb-ab3e-8577eaaaff93?tab=attachments</v>
      </c>
      <c r="AJ1374" s="2" t="str">
        <f>IFERROR(__xludf.DUMMYFUNCTION("""COMPUTED_VALUE"""),"https://pwc.publicaccessnow.com/PropertyDetail.aspx?mtab=property&amp;mpropertynumber=099464")</f>
        <v>https://pwc.publicaccessnow.com/PropertyDetail.aspx?mtab=property&amp;mpropertynumber=099464</v>
      </c>
      <c r="AK1374" s="1" t="str">
        <f>IFERROR(__xludf.DUMMYFUNCTION("""COMPUTED_VALUE"""),"")</f>
        <v/>
      </c>
      <c r="AL1374" s="1" t="str">
        <f>IFERROR(__xludf.DUMMYFUNCTION("""COMPUTED_VALUE"""),"")</f>
        <v/>
      </c>
      <c r="AM1374" s="1" t="str">
        <f>IFERROR(__xludf.DUMMYFUNCTION("""COMPUTED_VALUE"""),"")</f>
        <v/>
      </c>
      <c r="AN1374" s="1" t="str">
        <f>IFERROR(__xludf.DUMMYFUNCTION("""COMPUTED_VALUE"""),"")</f>
        <v/>
      </c>
      <c r="AO1374" s="1" t="str">
        <f>IFERROR(__xludf.DUMMYFUNCTION("""COMPUTED_VALUE"""),"")</f>
        <v/>
      </c>
      <c r="AP1374" s="1" t="str">
        <f>IFERROR(__xludf.DUMMYFUNCTION("""COMPUTED_VALUE"""),"")</f>
        <v/>
      </c>
      <c r="AQ1374" s="1" t="str">
        <f>IFERROR(__xludf.DUMMYFUNCTION("""COMPUTED_VALUE"""),"07/11/2025")</f>
        <v>07/11/2025</v>
      </c>
      <c r="AR1374" s="1" t="str">
        <f>IFERROR(__xludf.DUMMYFUNCTION("""COMPUTED_VALUE"""),"10/17/2025")</f>
        <v>10/17/2025</v>
      </c>
    </row>
    <row r="1375">
      <c r="A1375" s="1" t="str">
        <f>IFERROR(__xludf.DUMMYFUNCTION("""COMPUTED_VALUE"""),"Potomac Technology Park/ Quantico Ridge")</f>
        <v>Potomac Technology Park/ Quantico Ridge</v>
      </c>
      <c r="B1375" s="1" t="str">
        <f>IFERROR(__xludf.DUMMYFUNCTION("""COMPUTED_VALUE"""),"14854 DUMFRIES RD")</f>
        <v>14854 DUMFRIES RD</v>
      </c>
      <c r="C1375" s="1" t="str">
        <f>IFERROR(__xludf.DUMMYFUNCTION("""COMPUTED_VALUE"""),"Manassas")</f>
        <v>Manassas</v>
      </c>
      <c r="D1375" s="1" t="str">
        <f>IFERROR(__xludf.DUMMYFUNCTION("""COMPUTED_VALUE"""),"VA")</f>
        <v>VA</v>
      </c>
      <c r="E1375" s="1" t="str">
        <f>IFERROR(__xludf.DUMMYFUNCTION("""COMPUTED_VALUE"""),"20112")</f>
        <v>20112</v>
      </c>
      <c r="F1375" s="1" t="str">
        <f>IFERROR(__xludf.DUMMYFUNCTION("""COMPUTED_VALUE"""),"Prince William")</f>
        <v>Prince William</v>
      </c>
      <c r="G1375" s="1" t="str">
        <f>IFERROR(__xludf.DUMMYFUNCTION("""COMPUTED_VALUE"""),"38.630245")</f>
        <v>38.630245</v>
      </c>
      <c r="H1375" s="1" t="str">
        <f>IFERROR(__xludf.DUMMYFUNCTION("""COMPUTED_VALUE"""),"-77.42247")</f>
        <v>-77.42247</v>
      </c>
      <c r="I1375" s="1" t="str">
        <f>IFERROR(__xludf.DUMMYFUNCTION("""COMPUTED_VALUE"""),"Cancelled")</f>
        <v>Cancelled</v>
      </c>
      <c r="J1375" s="1" t="str">
        <f>IFERROR(__xludf.DUMMYFUNCTION("""COMPUTED_VALUE"""),"High")</f>
        <v>High</v>
      </c>
      <c r="K1375" s="1" t="str">
        <f>IFERROR(__xludf.DUMMYFUNCTION("""COMPUTED_VALUE"""),"")</f>
        <v/>
      </c>
      <c r="L1375" s="1" t="str">
        <f>IFERROR(__xludf.DUMMYFUNCTION("""COMPUTED_VALUE"""),"Plaza Realty Management Inc")</f>
        <v>Plaza Realty Management Inc</v>
      </c>
      <c r="M1375" s="1" t="str">
        <f>IFERROR(__xludf.DUMMYFUNCTION("""COMPUTED_VALUE"""),"")</f>
        <v/>
      </c>
      <c r="N1375" s="1" t="str">
        <f>IFERROR(__xludf.DUMMYFUNCTION("""COMPUTED_VALUE"""),"")</f>
        <v/>
      </c>
      <c r="O1375" s="1" t="str">
        <f>IFERROR(__xludf.DUMMYFUNCTION("""COMPUTED_VALUE"""),"Unknown")</f>
        <v>Unknown</v>
      </c>
      <c r="P1375" s="1" t="str">
        <f>IFERROR(__xludf.DUMMYFUNCTION("""COMPUTED_VALUE"""),"")</f>
        <v/>
      </c>
      <c r="Q1375" s="1" t="str">
        <f>IFERROR(__xludf.DUMMYFUNCTION("""COMPUTED_VALUE"""),"")</f>
        <v/>
      </c>
      <c r="R1375" s="1" t="str">
        <f>IFERROR(__xludf.DUMMYFUNCTION("""COMPUTED_VALUE"""),"")</f>
        <v/>
      </c>
      <c r="S1375" s="1" t="str">
        <f>IFERROR(__xludf.DUMMYFUNCTION("""COMPUTED_VALUE"""),"")</f>
        <v/>
      </c>
      <c r="T1375" s="1" t="str">
        <f>IFERROR(__xludf.DUMMYFUNCTION("""COMPUTED_VALUE"""),"")</f>
        <v/>
      </c>
      <c r="U1375" s="1" t="str">
        <f>IFERROR(__xludf.DUMMYFUNCTION("""COMPUTED_VALUE"""),"")</f>
        <v/>
      </c>
      <c r="V1375" s="1" t="str">
        <f>IFERROR(__xludf.DUMMYFUNCTION("""COMPUTED_VALUE"""),"1,600,000")</f>
        <v>1,600,000</v>
      </c>
      <c r="W1375" s="1" t="str">
        <f>IFERROR(__xludf.DUMMYFUNCTION("""COMPUTED_VALUE"""),"52")</f>
        <v>52</v>
      </c>
      <c r="X1375" s="1" t="str">
        <f>IFERROR(__xludf.DUMMYFUNCTION("""COMPUTED_VALUE"""),"")</f>
        <v/>
      </c>
      <c r="Y1375" s="1" t="str">
        <f>IFERROR(__xludf.DUMMYFUNCTION("""COMPUTED_VALUE"""),"")</f>
        <v/>
      </c>
      <c r="Z1375" s="1" t="str">
        <f>IFERROR(__xludf.DUMMYFUNCTION("""COMPUTED_VALUE"""),"Unknown")</f>
        <v>Unknown</v>
      </c>
      <c r="AA1375" s="1" t="str">
        <f>IFERROR(__xludf.DUMMYFUNCTION("""COMPUTED_VALUE"""),"")</f>
        <v/>
      </c>
      <c r="AB1375" s="1" t="str">
        <f>IFERROR(__xludf.DUMMYFUNCTION("""COMPUTED_VALUE"""),"")</f>
        <v/>
      </c>
      <c r="AC1375" s="1" t="str">
        <f>IFERROR(__xludf.DUMMYFUNCTION("""COMPUTED_VALUE"""),"")</f>
        <v/>
      </c>
      <c r="AD1375" s="1" t="str">
        <f>IFERROR(__xludf.DUMMYFUNCTION("""COMPUTED_VALUE"""),"")</f>
        <v/>
      </c>
      <c r="AE1375" s="1" t="str">
        <f>IFERROR(__xludf.DUMMYFUNCTION("""COMPUTED_VALUE"""),"")</f>
        <v/>
      </c>
      <c r="AF1375" s="1" t="str">
        <f>IFERROR(__xludf.DUMMYFUNCTION("""COMPUTED_VALUE"""),"")</f>
        <v/>
      </c>
      <c r="AG1375" s="1" t="str">
        <f>IFERROR(__xludf.DUMMYFUNCTION("""COMPUTED_VALUE"""),"square footage includes all impervious surface")</f>
        <v>square footage includes all impervious surface</v>
      </c>
      <c r="AH1375" s="1" t="str">
        <f>IFERROR(__xludf.DUMMYFUNCTION("""COMPUTED_VALUE"""),"PEC")</f>
        <v>PEC</v>
      </c>
      <c r="AI1375" s="2" t="str">
        <f>IFERROR(__xludf.DUMMYFUNCTION("""COMPUTED_VALUE"""),"https://egcss.pwcgov.org/SelfService/PWCePortal#/plan/a6ee77bc-ded4-40cd-ab62-1a962feb18a1?tab=attachments")</f>
        <v>https://egcss.pwcgov.org/SelfService/PWCePortal#/plan/a6ee77bc-ded4-40cd-ab62-1a962feb18a1?tab=attachments</v>
      </c>
      <c r="AJ1375" s="2" t="str">
        <f>IFERROR(__xludf.DUMMYFUNCTION("""COMPUTED_VALUE"""),"https://pwc.publicaccessnow.com/PropertyDetail.aspx?mpropertynumber=264531&amp;mtab=property&amp;p=264531")</f>
        <v>https://pwc.publicaccessnow.com/PropertyDetail.aspx?mpropertynumber=264531&amp;mtab=property&amp;p=264531</v>
      </c>
      <c r="AK1375" s="2" t="str">
        <f>IFERROR(__xludf.DUMMYFUNCTION("""COMPUTED_VALUE"""),"https://www.datacenterdynamics.com/en/news/developer-withdraws-plan-for-160-acre-data-center-in-prince-william-county-virginia/")</f>
        <v>https://www.datacenterdynamics.com/en/news/developer-withdraws-plan-for-160-acre-data-center-in-prince-william-county-virginia/</v>
      </c>
      <c r="AL1375" s="1" t="str">
        <f>IFERROR(__xludf.DUMMYFUNCTION("""COMPUTED_VALUE"""),"")</f>
        <v/>
      </c>
      <c r="AM1375" s="1" t="str">
        <f>IFERROR(__xludf.DUMMYFUNCTION("""COMPUTED_VALUE"""),"")</f>
        <v/>
      </c>
      <c r="AN1375" s="1" t="str">
        <f>IFERROR(__xludf.DUMMYFUNCTION("""COMPUTED_VALUE"""),"")</f>
        <v/>
      </c>
      <c r="AO1375" s="1" t="str">
        <f>IFERROR(__xludf.DUMMYFUNCTION("""COMPUTED_VALUE"""),"")</f>
        <v/>
      </c>
      <c r="AP1375" s="1" t="str">
        <f>IFERROR(__xludf.DUMMYFUNCTION("""COMPUTED_VALUE"""),"")</f>
        <v/>
      </c>
      <c r="AQ1375" s="1" t="str">
        <f>IFERROR(__xludf.DUMMYFUNCTION("""COMPUTED_VALUE"""),"04/10/2024")</f>
        <v>04/10/2024</v>
      </c>
      <c r="AR1375" s="1" t="str">
        <f>IFERROR(__xludf.DUMMYFUNCTION("""COMPUTED_VALUE"""),"05/17/2026")</f>
        <v>05/17/2026</v>
      </c>
    </row>
    <row r="1376">
      <c r="A1376" s="1" t="str">
        <f>IFERROR(__xludf.DUMMYFUNCTION("""COMPUTED_VALUE"""),"POWERLOFT @ INNOVATION I")</f>
        <v>POWERLOFT @ INNOVATION I</v>
      </c>
      <c r="B1376" s="1" t="str">
        <f>IFERROR(__xludf.DUMMYFUNCTION("""COMPUTED_VALUE"""),"9651 HORNBAKER RD")</f>
        <v>9651 HORNBAKER RD</v>
      </c>
      <c r="C1376" s="1" t="str">
        <f>IFERROR(__xludf.DUMMYFUNCTION("""COMPUTED_VALUE"""),"Manassas")</f>
        <v>Manassas</v>
      </c>
      <c r="D1376" s="1" t="str">
        <f>IFERROR(__xludf.DUMMYFUNCTION("""COMPUTED_VALUE"""),"VA")</f>
        <v>VA</v>
      </c>
      <c r="E1376" s="1" t="str">
        <f>IFERROR(__xludf.DUMMYFUNCTION("""COMPUTED_VALUE"""),"20109")</f>
        <v>20109</v>
      </c>
      <c r="F1376" s="1" t="str">
        <f>IFERROR(__xludf.DUMMYFUNCTION("""COMPUTED_VALUE"""),"Prince William")</f>
        <v>Prince William</v>
      </c>
      <c r="G1376" s="1" t="str">
        <f>IFERROR(__xludf.DUMMYFUNCTION("""COMPUTED_VALUE"""),"38.74736")</f>
        <v>38.74736</v>
      </c>
      <c r="H1376" s="1" t="str">
        <f>IFERROR(__xludf.DUMMYFUNCTION("""COMPUTED_VALUE"""),"-77.53177")</f>
        <v>-77.53177</v>
      </c>
      <c r="I1376" s="1" t="str">
        <f>IFERROR(__xludf.DUMMYFUNCTION("""COMPUTED_VALUE"""),"Operating")</f>
        <v>Operating</v>
      </c>
      <c r="J1376" s="1" t="str">
        <f>IFERROR(__xludf.DUMMYFUNCTION("""COMPUTED_VALUE"""),"High")</f>
        <v>High</v>
      </c>
      <c r="K1376" s="1" t="str">
        <f>IFERROR(__xludf.DUMMYFUNCTION("""COMPUTED_VALUE"""),"")</f>
        <v/>
      </c>
      <c r="L1376" s="1" t="str">
        <f>IFERROR(__xludf.DUMMYFUNCTION("""COMPUTED_VALUE"""),"POWERLOFT @ INNOVATION I")</f>
        <v>POWERLOFT @ INNOVATION I</v>
      </c>
      <c r="M1376" s="1" t="str">
        <f>IFERROR(__xludf.DUMMYFUNCTION("""COMPUTED_VALUE"""),"")</f>
        <v/>
      </c>
      <c r="N1376" s="1" t="str">
        <f>IFERROR(__xludf.DUMMYFUNCTION("""COMPUTED_VALUE"""),"")</f>
        <v/>
      </c>
      <c r="O1376" s="1" t="str">
        <f>IFERROR(__xludf.DUMMYFUNCTION("""COMPUTED_VALUE"""),"Unknown")</f>
        <v>Unknown</v>
      </c>
      <c r="P1376" s="1" t="str">
        <f>IFERROR(__xludf.DUMMYFUNCTION("""COMPUTED_VALUE"""),"")</f>
        <v/>
      </c>
      <c r="Q1376" s="1" t="str">
        <f>IFERROR(__xludf.DUMMYFUNCTION("""COMPUTED_VALUE"""),"")</f>
        <v/>
      </c>
      <c r="R1376" s="1" t="str">
        <f>IFERROR(__xludf.DUMMYFUNCTION("""COMPUTED_VALUE"""),"")</f>
        <v/>
      </c>
      <c r="S1376" s="1" t="str">
        <f>IFERROR(__xludf.DUMMYFUNCTION("""COMPUTED_VALUE"""),"")</f>
        <v/>
      </c>
      <c r="T1376" s="1" t="str">
        <f>IFERROR(__xludf.DUMMYFUNCTION("""COMPUTED_VALUE"""),"")</f>
        <v/>
      </c>
      <c r="U1376" s="1" t="str">
        <f>IFERROR(__xludf.DUMMYFUNCTION("""COMPUTED_VALUE"""),"")</f>
        <v/>
      </c>
      <c r="V1376" s="1" t="str">
        <f>IFERROR(__xludf.DUMMYFUNCTION("""COMPUTED_VALUE"""),"247,608")</f>
        <v>247,608</v>
      </c>
      <c r="W1376" s="1" t="str">
        <f>IFERROR(__xludf.DUMMYFUNCTION("""COMPUTED_VALUE"""),"20")</f>
        <v>20</v>
      </c>
      <c r="X1376" s="1" t="str">
        <f>IFERROR(__xludf.DUMMYFUNCTION("""COMPUTED_VALUE"""),"")</f>
        <v/>
      </c>
      <c r="Y1376" s="1" t="str">
        <f>IFERROR(__xludf.DUMMYFUNCTION("""COMPUTED_VALUE"""),"")</f>
        <v/>
      </c>
      <c r="Z1376" s="1" t="str">
        <f>IFERROR(__xludf.DUMMYFUNCTION("""COMPUTED_VALUE"""),"Unknown")</f>
        <v>Unknown</v>
      </c>
      <c r="AA1376" s="1" t="str">
        <f>IFERROR(__xludf.DUMMYFUNCTION("""COMPUTED_VALUE"""),"")</f>
        <v/>
      </c>
      <c r="AB1376" s="1" t="str">
        <f>IFERROR(__xludf.DUMMYFUNCTION("""COMPUTED_VALUE"""),"")</f>
        <v/>
      </c>
      <c r="AC1376" s="1" t="str">
        <f>IFERROR(__xludf.DUMMYFUNCTION("""COMPUTED_VALUE"""),"")</f>
        <v/>
      </c>
      <c r="AD1376" s="1" t="str">
        <f>IFERROR(__xludf.DUMMYFUNCTION("""COMPUTED_VALUE"""),"")</f>
        <v/>
      </c>
      <c r="AE1376" s="1" t="str">
        <f>IFERROR(__xludf.DUMMYFUNCTION("""COMPUTED_VALUE"""),"")</f>
        <v/>
      </c>
      <c r="AF1376" s="1" t="str">
        <f>IFERROR(__xludf.DUMMYFUNCTION("""COMPUTED_VALUE"""),"")</f>
        <v/>
      </c>
      <c r="AG1376" s="1" t="str">
        <f>IFERROR(__xludf.DUMMYFUNCTION("""COMPUTED_VALUE"""),"")</f>
        <v/>
      </c>
      <c r="AH1376" s="1" t="str">
        <f>IFERROR(__xludf.DUMMYFUNCTION("""COMPUTED_VALUE"""),"PEC")</f>
        <v>PEC</v>
      </c>
      <c r="AI1376" s="2" t="str">
        <f>IFERROR(__xludf.DUMMYFUNCTION("""COMPUTED_VALUE"""),"https://pwc.publicaccessnow.com/PropertyDetail.aspx?mpropertynumber=248042&amp;mtab=property&amp;p=248042")</f>
        <v>https://pwc.publicaccessnow.com/PropertyDetail.aspx?mpropertynumber=248042&amp;mtab=property&amp;p=248042</v>
      </c>
      <c r="AJ1376" s="1" t="str">
        <f>IFERROR(__xludf.DUMMYFUNCTION("""COMPUTED_VALUE"""),"")</f>
        <v/>
      </c>
      <c r="AK1376" s="1" t="str">
        <f>IFERROR(__xludf.DUMMYFUNCTION("""COMPUTED_VALUE"""),"")</f>
        <v/>
      </c>
      <c r="AL1376" s="1" t="str">
        <f>IFERROR(__xludf.DUMMYFUNCTION("""COMPUTED_VALUE"""),"")</f>
        <v/>
      </c>
      <c r="AM1376" s="1" t="str">
        <f>IFERROR(__xludf.DUMMYFUNCTION("""COMPUTED_VALUE"""),"")</f>
        <v/>
      </c>
      <c r="AN1376" s="1" t="str">
        <f>IFERROR(__xludf.DUMMYFUNCTION("""COMPUTED_VALUE"""),"")</f>
        <v/>
      </c>
      <c r="AO1376" s="1" t="str">
        <f>IFERROR(__xludf.DUMMYFUNCTION("""COMPUTED_VALUE"""),"")</f>
        <v/>
      </c>
      <c r="AP1376" s="1" t="str">
        <f>IFERROR(__xludf.DUMMYFUNCTION("""COMPUTED_VALUE"""),"")</f>
        <v/>
      </c>
      <c r="AQ1376" s="1" t="str">
        <f>IFERROR(__xludf.DUMMYFUNCTION("""COMPUTED_VALUE"""),"04/10/2024")</f>
        <v>04/10/2024</v>
      </c>
      <c r="AR1376" s="1" t="str">
        <f>IFERROR(__xludf.DUMMYFUNCTION("""COMPUTED_VALUE"""),"10/17/2025")</f>
        <v>10/17/2025</v>
      </c>
    </row>
    <row r="1377">
      <c r="A1377" s="1" t="str">
        <f>IFERROR(__xludf.DUMMYFUNCTION("""COMPUTED_VALUE"""),"Project Well")</f>
        <v>Project Well</v>
      </c>
      <c r="B1377" s="1" t="str">
        <f>IFERROR(__xludf.DUMMYFUNCTION("""COMPUTED_VALUE"""),"6894 WELLINGTON RD")</f>
        <v>6894 WELLINGTON RD</v>
      </c>
      <c r="C1377" s="1" t="str">
        <f>IFERROR(__xludf.DUMMYFUNCTION("""COMPUTED_VALUE"""),"Manassas")</f>
        <v>Manassas</v>
      </c>
      <c r="D1377" s="1" t="str">
        <f>IFERROR(__xludf.DUMMYFUNCTION("""COMPUTED_VALUE"""),"VA")</f>
        <v>VA</v>
      </c>
      <c r="E1377" s="1" t="str">
        <f>IFERROR(__xludf.DUMMYFUNCTION("""COMPUTED_VALUE"""),"20109")</f>
        <v>20109</v>
      </c>
      <c r="F1377" s="1" t="str">
        <f>IFERROR(__xludf.DUMMYFUNCTION("""COMPUTED_VALUE"""),"Prince William")</f>
        <v>Prince William</v>
      </c>
      <c r="G1377" s="1" t="str">
        <f>IFERROR(__xludf.DUMMYFUNCTION("""COMPUTED_VALUE"""),"38.780552")</f>
        <v>38.780552</v>
      </c>
      <c r="H1377" s="1" t="str">
        <f>IFERROR(__xludf.DUMMYFUNCTION("""COMPUTED_VALUE"""),"-77.56264")</f>
        <v>-77.56264</v>
      </c>
      <c r="I1377" s="1" t="str">
        <f>IFERROR(__xludf.DUMMYFUNCTION("""COMPUTED_VALUE"""),"Proposed")</f>
        <v>Proposed</v>
      </c>
      <c r="J1377" s="1" t="str">
        <f>IFERROR(__xludf.DUMMYFUNCTION("""COMPUTED_VALUE"""),"High")</f>
        <v>High</v>
      </c>
      <c r="K1377" s="1" t="str">
        <f>IFERROR(__xludf.DUMMYFUNCTION("""COMPUTED_VALUE"""),"")</f>
        <v/>
      </c>
      <c r="L1377" s="1" t="str">
        <f>IFERROR(__xludf.DUMMYFUNCTION("""COMPUTED_VALUE"""),"")</f>
        <v/>
      </c>
      <c r="M1377" s="1" t="str">
        <f>IFERROR(__xludf.DUMMYFUNCTION("""COMPUTED_VALUE"""),"")</f>
        <v/>
      </c>
      <c r="N1377" s="1" t="str">
        <f>IFERROR(__xludf.DUMMYFUNCTION("""COMPUTED_VALUE"""),"")</f>
        <v/>
      </c>
      <c r="O1377" s="1" t="str">
        <f>IFERROR(__xludf.DUMMYFUNCTION("""COMPUTED_VALUE"""),"Unknown")</f>
        <v>Unknown</v>
      </c>
      <c r="P1377" s="1" t="str">
        <f>IFERROR(__xludf.DUMMYFUNCTION("""COMPUTED_VALUE"""),"")</f>
        <v/>
      </c>
      <c r="Q1377" s="1" t="str">
        <f>IFERROR(__xludf.DUMMYFUNCTION("""COMPUTED_VALUE"""),"")</f>
        <v/>
      </c>
      <c r="R1377" s="1" t="str">
        <f>IFERROR(__xludf.DUMMYFUNCTION("""COMPUTED_VALUE"""),"")</f>
        <v/>
      </c>
      <c r="S1377" s="1" t="str">
        <f>IFERROR(__xludf.DUMMYFUNCTION("""COMPUTED_VALUE"""),"")</f>
        <v/>
      </c>
      <c r="T1377" s="1" t="str">
        <f>IFERROR(__xludf.DUMMYFUNCTION("""COMPUTED_VALUE"""),"")</f>
        <v/>
      </c>
      <c r="U1377" s="1" t="str">
        <f>IFERROR(__xludf.DUMMYFUNCTION("""COMPUTED_VALUE"""),"")</f>
        <v/>
      </c>
      <c r="V1377" s="1" t="str">
        <f>IFERROR(__xludf.DUMMYFUNCTION("""COMPUTED_VALUE"""),"1,341,019")</f>
        <v>1,341,019</v>
      </c>
      <c r="W1377" s="1" t="str">
        <f>IFERROR(__xludf.DUMMYFUNCTION("""COMPUTED_VALUE"""),"44")</f>
        <v>44</v>
      </c>
      <c r="X1377" s="1" t="str">
        <f>IFERROR(__xludf.DUMMYFUNCTION("""COMPUTED_VALUE"""),"")</f>
        <v/>
      </c>
      <c r="Y1377" s="1" t="str">
        <f>IFERROR(__xludf.DUMMYFUNCTION("""COMPUTED_VALUE"""),"")</f>
        <v/>
      </c>
      <c r="Z1377" s="1" t="str">
        <f>IFERROR(__xludf.DUMMYFUNCTION("""COMPUTED_VALUE"""),"Unknown")</f>
        <v>Unknown</v>
      </c>
      <c r="AA1377" s="1" t="str">
        <f>IFERROR(__xludf.DUMMYFUNCTION("""COMPUTED_VALUE"""),"")</f>
        <v/>
      </c>
      <c r="AB1377" s="1" t="str">
        <f>IFERROR(__xludf.DUMMYFUNCTION("""COMPUTED_VALUE"""),"")</f>
        <v/>
      </c>
      <c r="AC1377" s="1" t="str">
        <f>IFERROR(__xludf.DUMMYFUNCTION("""COMPUTED_VALUE"""),"")</f>
        <v/>
      </c>
      <c r="AD1377" s="1" t="str">
        <f>IFERROR(__xludf.DUMMYFUNCTION("""COMPUTED_VALUE"""),"")</f>
        <v/>
      </c>
      <c r="AE1377" s="1" t="str">
        <f>IFERROR(__xludf.DUMMYFUNCTION("""COMPUTED_VALUE"""),"")</f>
        <v/>
      </c>
      <c r="AF1377" s="1" t="str">
        <f>IFERROR(__xludf.DUMMYFUNCTION("""COMPUTED_VALUE"""),"")</f>
        <v/>
      </c>
      <c r="AG1377" s="1" t="str">
        <f>IFERROR(__xludf.DUMMYFUNCTION("""COMPUTED_VALUE"""),"This project covers multiple parcels. The total acreage has been represented here.")</f>
        <v>This project covers multiple parcels. The total acreage has been represented here.</v>
      </c>
      <c r="AH1377" s="1" t="str">
        <f>IFERROR(__xludf.DUMMYFUNCTION("""COMPUTED_VALUE"""),"PEC")</f>
        <v>PEC</v>
      </c>
      <c r="AI1377" s="2" t="str">
        <f>IFERROR(__xludf.DUMMYFUNCTION("""COMPUTED_VALUE"""),"https://egcss.pwcgov.org/SelfService#/plan/f91d05d2-9f16-4321-8d9d-8c28831b0c2d?tab=attachments")</f>
        <v>https://egcss.pwcgov.org/SelfService#/plan/f91d05d2-9f16-4321-8d9d-8c28831b0c2d?tab=attachments</v>
      </c>
      <c r="AJ1377" s="2" t="str">
        <f>IFERROR(__xludf.DUMMYFUNCTION("""COMPUTED_VALUE"""),"https://pwc.publicaccessnow.com/PropertyDetail.aspx?mtab=property&amp;mpropertynumber=094151")</f>
        <v>https://pwc.publicaccessnow.com/PropertyDetail.aspx?mtab=property&amp;mpropertynumber=094151</v>
      </c>
      <c r="AK1377" s="1" t="str">
        <f>IFERROR(__xludf.DUMMYFUNCTION("""COMPUTED_VALUE"""),"")</f>
        <v/>
      </c>
      <c r="AL1377" s="1" t="str">
        <f>IFERROR(__xludf.DUMMYFUNCTION("""COMPUTED_VALUE"""),"")</f>
        <v/>
      </c>
      <c r="AM1377" s="1" t="str">
        <f>IFERROR(__xludf.DUMMYFUNCTION("""COMPUTED_VALUE"""),"")</f>
        <v/>
      </c>
      <c r="AN1377" s="1" t="str">
        <f>IFERROR(__xludf.DUMMYFUNCTION("""COMPUTED_VALUE"""),"")</f>
        <v/>
      </c>
      <c r="AO1377" s="1" t="str">
        <f>IFERROR(__xludf.DUMMYFUNCTION("""COMPUTED_VALUE"""),"")</f>
        <v/>
      </c>
      <c r="AP1377" s="1" t="str">
        <f>IFERROR(__xludf.DUMMYFUNCTION("""COMPUTED_VALUE"""),"")</f>
        <v/>
      </c>
      <c r="AQ1377" s="1" t="str">
        <f>IFERROR(__xludf.DUMMYFUNCTION("""COMPUTED_VALUE"""),"07/12/2025")</f>
        <v>07/12/2025</v>
      </c>
      <c r="AR1377" s="1" t="str">
        <f>IFERROR(__xludf.DUMMYFUNCTION("""COMPUTED_VALUE"""),"10/17/2025")</f>
        <v>10/17/2025</v>
      </c>
    </row>
    <row r="1378">
      <c r="A1378" s="1" t="str">
        <f>IFERROR(__xludf.DUMMYFUNCTION("""COMPUTED_VALUE"""),"QTS Manassas DC 2")</f>
        <v>QTS Manassas DC 2</v>
      </c>
      <c r="B1378" s="1" t="str">
        <f>IFERROR(__xludf.DUMMYFUNCTION("""COMPUTED_VALUE"""),"9400 GODWIN DR")</f>
        <v>9400 GODWIN DR</v>
      </c>
      <c r="C1378" s="1" t="str">
        <f>IFERROR(__xludf.DUMMYFUNCTION("""COMPUTED_VALUE"""),"Manassas")</f>
        <v>Manassas</v>
      </c>
      <c r="D1378" s="1" t="str">
        <f>IFERROR(__xludf.DUMMYFUNCTION("""COMPUTED_VALUE"""),"VA")</f>
        <v>VA</v>
      </c>
      <c r="E1378" s="1" t="str">
        <f>IFERROR(__xludf.DUMMYFUNCTION("""COMPUTED_VALUE"""),"20110")</f>
        <v>20110</v>
      </c>
      <c r="F1378" s="1" t="str">
        <f>IFERROR(__xludf.DUMMYFUNCTION("""COMPUTED_VALUE"""),"Prince William")</f>
        <v>Prince William</v>
      </c>
      <c r="G1378" s="1" t="str">
        <f>IFERROR(__xludf.DUMMYFUNCTION("""COMPUTED_VALUE"""),"38.752438")</f>
        <v>38.752438</v>
      </c>
      <c r="H1378" s="1" t="str">
        <f>IFERROR(__xludf.DUMMYFUNCTION("""COMPUTED_VALUE"""),"-77.513145")</f>
        <v>-77.513145</v>
      </c>
      <c r="I1378" s="1" t="str">
        <f>IFERROR(__xludf.DUMMYFUNCTION("""COMPUTED_VALUE"""),"Operating")</f>
        <v>Operating</v>
      </c>
      <c r="J1378" s="1" t="str">
        <f>IFERROR(__xludf.DUMMYFUNCTION("""COMPUTED_VALUE"""),"High")</f>
        <v>High</v>
      </c>
      <c r="K1378" s="1" t="str">
        <f>IFERROR(__xludf.DUMMYFUNCTION("""COMPUTED_VALUE"""),"")</f>
        <v/>
      </c>
      <c r="L1378" s="1" t="str">
        <f>IFERROR(__xludf.DUMMYFUNCTION("""COMPUTED_VALUE"""),"QTS Manassas DC 2")</f>
        <v>QTS Manassas DC 2</v>
      </c>
      <c r="M1378" s="1" t="str">
        <f>IFERROR(__xludf.DUMMYFUNCTION("""COMPUTED_VALUE"""),"")</f>
        <v/>
      </c>
      <c r="N1378" s="1" t="str">
        <f>IFERROR(__xludf.DUMMYFUNCTION("""COMPUTED_VALUE"""),"")</f>
        <v/>
      </c>
      <c r="O1378" s="1" t="str">
        <f>IFERROR(__xludf.DUMMYFUNCTION("""COMPUTED_VALUE"""),"Unknown")</f>
        <v>Unknown</v>
      </c>
      <c r="P1378" s="1" t="str">
        <f>IFERROR(__xludf.DUMMYFUNCTION("""COMPUTED_VALUE"""),"")</f>
        <v/>
      </c>
      <c r="Q1378" s="1" t="str">
        <f>IFERROR(__xludf.DUMMYFUNCTION("""COMPUTED_VALUE"""),"")</f>
        <v/>
      </c>
      <c r="R1378" s="1" t="str">
        <f>IFERROR(__xludf.DUMMYFUNCTION("""COMPUTED_VALUE"""),"")</f>
        <v/>
      </c>
      <c r="S1378" s="1" t="str">
        <f>IFERROR(__xludf.DUMMYFUNCTION("""COMPUTED_VALUE"""),"")</f>
        <v/>
      </c>
      <c r="T1378" s="1" t="str">
        <f>IFERROR(__xludf.DUMMYFUNCTION("""COMPUTED_VALUE"""),"")</f>
        <v/>
      </c>
      <c r="U1378" s="1" t="str">
        <f>IFERROR(__xludf.DUMMYFUNCTION("""COMPUTED_VALUE"""),"")</f>
        <v/>
      </c>
      <c r="V1378" s="1" t="str">
        <f>IFERROR(__xludf.DUMMYFUNCTION("""COMPUTED_VALUE"""),"127,000")</f>
        <v>127,000</v>
      </c>
      <c r="W1378" s="1" t="str">
        <f>IFERROR(__xludf.DUMMYFUNCTION("""COMPUTED_VALUE"""),"12")</f>
        <v>12</v>
      </c>
      <c r="X1378" s="1" t="str">
        <f>IFERROR(__xludf.DUMMYFUNCTION("""COMPUTED_VALUE"""),"")</f>
        <v/>
      </c>
      <c r="Y1378" s="1" t="str">
        <f>IFERROR(__xludf.DUMMYFUNCTION("""COMPUTED_VALUE"""),"")</f>
        <v/>
      </c>
      <c r="Z1378" s="1" t="str">
        <f>IFERROR(__xludf.DUMMYFUNCTION("""COMPUTED_VALUE"""),"Unknown")</f>
        <v>Unknown</v>
      </c>
      <c r="AA1378" s="1" t="str">
        <f>IFERROR(__xludf.DUMMYFUNCTION("""COMPUTED_VALUE"""),"")</f>
        <v/>
      </c>
      <c r="AB1378" s="1" t="str">
        <f>IFERROR(__xludf.DUMMYFUNCTION("""COMPUTED_VALUE"""),"")</f>
        <v/>
      </c>
      <c r="AC1378" s="1" t="str">
        <f>IFERROR(__xludf.DUMMYFUNCTION("""COMPUTED_VALUE"""),"")</f>
        <v/>
      </c>
      <c r="AD1378" s="1" t="str">
        <f>IFERROR(__xludf.DUMMYFUNCTION("""COMPUTED_VALUE"""),"")</f>
        <v/>
      </c>
      <c r="AE1378" s="1" t="str">
        <f>IFERROR(__xludf.DUMMYFUNCTION("""COMPUTED_VALUE"""),"")</f>
        <v/>
      </c>
      <c r="AF1378" s="1" t="str">
        <f>IFERROR(__xludf.DUMMYFUNCTION("""COMPUTED_VALUE"""),"")</f>
        <v/>
      </c>
      <c r="AG1378" s="1" t="str">
        <f>IFERROR(__xludf.DUMMYFUNCTION("""COMPUTED_VALUE"""),"")</f>
        <v/>
      </c>
      <c r="AH1378" s="1" t="str">
        <f>IFERROR(__xludf.DUMMYFUNCTION("""COMPUTED_VALUE"""),"PEC")</f>
        <v>PEC</v>
      </c>
      <c r="AI1378" s="2" t="str">
        <f>IFERROR(__xludf.DUMMYFUNCTION("""COMPUTED_VALUE"""),"https://pwc.publicaccessnow.com/PropertyDetail.aspx?mpropertynumber=261328&amp;mtab=property&amp;p=261328")</f>
        <v>https://pwc.publicaccessnow.com/PropertyDetail.aspx?mpropertynumber=261328&amp;mtab=property&amp;p=261328</v>
      </c>
      <c r="AJ1378" s="1" t="str">
        <f>IFERROR(__xludf.DUMMYFUNCTION("""COMPUTED_VALUE"""),"")</f>
        <v/>
      </c>
      <c r="AK1378" s="1" t="str">
        <f>IFERROR(__xludf.DUMMYFUNCTION("""COMPUTED_VALUE"""),"")</f>
        <v/>
      </c>
      <c r="AL1378" s="1" t="str">
        <f>IFERROR(__xludf.DUMMYFUNCTION("""COMPUTED_VALUE"""),"")</f>
        <v/>
      </c>
      <c r="AM1378" s="1" t="str">
        <f>IFERROR(__xludf.DUMMYFUNCTION("""COMPUTED_VALUE"""),"")</f>
        <v/>
      </c>
      <c r="AN1378" s="1" t="str">
        <f>IFERROR(__xludf.DUMMYFUNCTION("""COMPUTED_VALUE"""),"")</f>
        <v/>
      </c>
      <c r="AO1378" s="1" t="str">
        <f>IFERROR(__xludf.DUMMYFUNCTION("""COMPUTED_VALUE"""),"")</f>
        <v/>
      </c>
      <c r="AP1378" s="1" t="str">
        <f>IFERROR(__xludf.DUMMYFUNCTION("""COMPUTED_VALUE"""),"")</f>
        <v/>
      </c>
      <c r="AQ1378" s="1" t="str">
        <f>IFERROR(__xludf.DUMMYFUNCTION("""COMPUTED_VALUE"""),"04/10/2024")</f>
        <v>04/10/2024</v>
      </c>
      <c r="AR1378" s="1" t="str">
        <f>IFERROR(__xludf.DUMMYFUNCTION("""COMPUTED_VALUE"""),"10/17/2025")</f>
        <v>10/17/2025</v>
      </c>
    </row>
    <row r="1379">
      <c r="A1379" s="1" t="str">
        <f>IFERROR(__xludf.DUMMYFUNCTION("""COMPUTED_VALUE"""),"QTS Manassas DC 5")</f>
        <v>QTS Manassas DC 5</v>
      </c>
      <c r="B1379" s="1" t="str">
        <f>IFERROR(__xludf.DUMMYFUNCTION("""COMPUTED_VALUE"""),"9301 FREEDOM CENTER BLVD")</f>
        <v>9301 FREEDOM CENTER BLVD</v>
      </c>
      <c r="C1379" s="1" t="str">
        <f>IFERROR(__xludf.DUMMYFUNCTION("""COMPUTED_VALUE"""),"Manassas")</f>
        <v>Manassas</v>
      </c>
      <c r="D1379" s="1" t="str">
        <f>IFERROR(__xludf.DUMMYFUNCTION("""COMPUTED_VALUE"""),"VA")</f>
        <v>VA</v>
      </c>
      <c r="E1379" s="1" t="str">
        <f>IFERROR(__xludf.DUMMYFUNCTION("""COMPUTED_VALUE"""),"20109")</f>
        <v>20109</v>
      </c>
      <c r="F1379" s="1" t="str">
        <f>IFERROR(__xludf.DUMMYFUNCTION("""COMPUTED_VALUE"""),"Prince William")</f>
        <v>Prince William</v>
      </c>
      <c r="G1379" s="1" t="str">
        <f>IFERROR(__xludf.DUMMYFUNCTION("""COMPUTED_VALUE"""),"38.75485")</f>
        <v>38.75485</v>
      </c>
      <c r="H1379" s="1" t="str">
        <f>IFERROR(__xludf.DUMMYFUNCTION("""COMPUTED_VALUE"""),"-77.51758")</f>
        <v>-77.51758</v>
      </c>
      <c r="I1379" s="1" t="str">
        <f>IFERROR(__xludf.DUMMYFUNCTION("""COMPUTED_VALUE"""),"Operating")</f>
        <v>Operating</v>
      </c>
      <c r="J1379" s="1" t="str">
        <f>IFERROR(__xludf.DUMMYFUNCTION("""COMPUTED_VALUE"""),"High")</f>
        <v>High</v>
      </c>
      <c r="K1379" s="1" t="str">
        <f>IFERROR(__xludf.DUMMYFUNCTION("""COMPUTED_VALUE"""),"")</f>
        <v/>
      </c>
      <c r="L1379" s="1" t="str">
        <f>IFERROR(__xludf.DUMMYFUNCTION("""COMPUTED_VALUE"""),"QTS Manassas DC 5")</f>
        <v>QTS Manassas DC 5</v>
      </c>
      <c r="M1379" s="1" t="str">
        <f>IFERROR(__xludf.DUMMYFUNCTION("""COMPUTED_VALUE"""),"")</f>
        <v/>
      </c>
      <c r="N1379" s="1" t="str">
        <f>IFERROR(__xludf.DUMMYFUNCTION("""COMPUTED_VALUE"""),"")</f>
        <v/>
      </c>
      <c r="O1379" s="1" t="str">
        <f>IFERROR(__xludf.DUMMYFUNCTION("""COMPUTED_VALUE"""),"Unknown")</f>
        <v>Unknown</v>
      </c>
      <c r="P1379" s="1" t="str">
        <f>IFERROR(__xludf.DUMMYFUNCTION("""COMPUTED_VALUE"""),"")</f>
        <v/>
      </c>
      <c r="Q1379" s="1" t="str">
        <f>IFERROR(__xludf.DUMMYFUNCTION("""COMPUTED_VALUE"""),"")</f>
        <v/>
      </c>
      <c r="R1379" s="1" t="str">
        <f>IFERROR(__xludf.DUMMYFUNCTION("""COMPUTED_VALUE"""),"")</f>
        <v/>
      </c>
      <c r="S1379" s="1" t="str">
        <f>IFERROR(__xludf.DUMMYFUNCTION("""COMPUTED_VALUE"""),"")</f>
        <v/>
      </c>
      <c r="T1379" s="1" t="str">
        <f>IFERROR(__xludf.DUMMYFUNCTION("""COMPUTED_VALUE"""),"")</f>
        <v/>
      </c>
      <c r="U1379" s="1" t="str">
        <f>IFERROR(__xludf.DUMMYFUNCTION("""COMPUTED_VALUE"""),"")</f>
        <v/>
      </c>
      <c r="V1379" s="1" t="str">
        <f>IFERROR(__xludf.DUMMYFUNCTION("""COMPUTED_VALUE"""),"305,510")</f>
        <v>305,510</v>
      </c>
      <c r="W1379" s="1" t="str">
        <f>IFERROR(__xludf.DUMMYFUNCTION("""COMPUTED_VALUE"""),"23")</f>
        <v>23</v>
      </c>
      <c r="X1379" s="1" t="str">
        <f>IFERROR(__xludf.DUMMYFUNCTION("""COMPUTED_VALUE"""),"")</f>
        <v/>
      </c>
      <c r="Y1379" s="1" t="str">
        <f>IFERROR(__xludf.DUMMYFUNCTION("""COMPUTED_VALUE"""),"")</f>
        <v/>
      </c>
      <c r="Z1379" s="1" t="str">
        <f>IFERROR(__xludf.DUMMYFUNCTION("""COMPUTED_VALUE"""),"Unknown")</f>
        <v>Unknown</v>
      </c>
      <c r="AA1379" s="1" t="str">
        <f>IFERROR(__xludf.DUMMYFUNCTION("""COMPUTED_VALUE"""),"")</f>
        <v/>
      </c>
      <c r="AB1379" s="1" t="str">
        <f>IFERROR(__xludf.DUMMYFUNCTION("""COMPUTED_VALUE"""),"")</f>
        <v/>
      </c>
      <c r="AC1379" s="1" t="str">
        <f>IFERROR(__xludf.DUMMYFUNCTION("""COMPUTED_VALUE"""),"")</f>
        <v/>
      </c>
      <c r="AD1379" s="1" t="str">
        <f>IFERROR(__xludf.DUMMYFUNCTION("""COMPUTED_VALUE"""),"")</f>
        <v/>
      </c>
      <c r="AE1379" s="1" t="str">
        <f>IFERROR(__xludf.DUMMYFUNCTION("""COMPUTED_VALUE"""),"")</f>
        <v/>
      </c>
      <c r="AF1379" s="1" t="str">
        <f>IFERROR(__xludf.DUMMYFUNCTION("""COMPUTED_VALUE"""),"")</f>
        <v/>
      </c>
      <c r="AG1379" s="1" t="str">
        <f>IFERROR(__xludf.DUMMYFUNCTION("""COMPUTED_VALUE"""),"")</f>
        <v/>
      </c>
      <c r="AH1379" s="1" t="str">
        <f>IFERROR(__xludf.DUMMYFUNCTION("""COMPUTED_VALUE"""),"PEC")</f>
        <v>PEC</v>
      </c>
      <c r="AI1379" s="2" t="str">
        <f>IFERROR(__xludf.DUMMYFUNCTION("""COMPUTED_VALUE"""),"https://pwc.publicaccessnow.com/PropertyDetail.aspx?mpropertynumber=248323&amp;mtab=property&amp;p=248323")</f>
        <v>https://pwc.publicaccessnow.com/PropertyDetail.aspx?mpropertynumber=248323&amp;mtab=property&amp;p=248323</v>
      </c>
      <c r="AJ1379" s="1" t="str">
        <f>IFERROR(__xludf.DUMMYFUNCTION("""COMPUTED_VALUE"""),"")</f>
        <v/>
      </c>
      <c r="AK1379" s="1" t="str">
        <f>IFERROR(__xludf.DUMMYFUNCTION("""COMPUTED_VALUE"""),"")</f>
        <v/>
      </c>
      <c r="AL1379" s="1" t="str">
        <f>IFERROR(__xludf.DUMMYFUNCTION("""COMPUTED_VALUE"""),"")</f>
        <v/>
      </c>
      <c r="AM1379" s="1" t="str">
        <f>IFERROR(__xludf.DUMMYFUNCTION("""COMPUTED_VALUE"""),"")</f>
        <v/>
      </c>
      <c r="AN1379" s="1" t="str">
        <f>IFERROR(__xludf.DUMMYFUNCTION("""COMPUTED_VALUE"""),"")</f>
        <v/>
      </c>
      <c r="AO1379" s="1" t="str">
        <f>IFERROR(__xludf.DUMMYFUNCTION("""COMPUTED_VALUE"""),"")</f>
        <v/>
      </c>
      <c r="AP1379" s="1" t="str">
        <f>IFERROR(__xludf.DUMMYFUNCTION("""COMPUTED_VALUE"""),"")</f>
        <v/>
      </c>
      <c r="AQ1379" s="1" t="str">
        <f>IFERROR(__xludf.DUMMYFUNCTION("""COMPUTED_VALUE"""),"04/10/2024")</f>
        <v>04/10/2024</v>
      </c>
      <c r="AR1379" s="1" t="str">
        <f>IFERROR(__xludf.DUMMYFUNCTION("""COMPUTED_VALUE"""),"10/17/2025")</f>
        <v>10/17/2025</v>
      </c>
    </row>
    <row r="1380">
      <c r="A1380" s="1" t="str">
        <f>IFERROR(__xludf.DUMMYFUNCTION("""COMPUTED_VALUE"""),"QTS MANASSAS I DC3 LLC")</f>
        <v>QTS MANASSAS I DC3 LLC</v>
      </c>
      <c r="B1380" s="1" t="str">
        <f>IFERROR(__xludf.DUMMYFUNCTION("""COMPUTED_VALUE"""),"9480 GODWIN DR")</f>
        <v>9480 GODWIN DR</v>
      </c>
      <c r="C1380" s="1" t="str">
        <f>IFERROR(__xludf.DUMMYFUNCTION("""COMPUTED_VALUE"""),"Manassas")</f>
        <v>Manassas</v>
      </c>
      <c r="D1380" s="1" t="str">
        <f>IFERROR(__xludf.DUMMYFUNCTION("""COMPUTED_VALUE"""),"VA")</f>
        <v>VA</v>
      </c>
      <c r="E1380" s="1" t="str">
        <f>IFERROR(__xludf.DUMMYFUNCTION("""COMPUTED_VALUE"""),"20110")</f>
        <v>20110</v>
      </c>
      <c r="F1380" s="1" t="str">
        <f>IFERROR(__xludf.DUMMYFUNCTION("""COMPUTED_VALUE"""),"Prince William")</f>
        <v>Prince William</v>
      </c>
      <c r="G1380" s="1" t="str">
        <f>IFERROR(__xludf.DUMMYFUNCTION("""COMPUTED_VALUE"""),"38.753265")</f>
        <v>38.753265</v>
      </c>
      <c r="H1380" s="1" t="str">
        <f>IFERROR(__xludf.DUMMYFUNCTION("""COMPUTED_VALUE"""),"-77.510345")</f>
        <v>-77.510345</v>
      </c>
      <c r="I1380" s="1" t="str">
        <f>IFERROR(__xludf.DUMMYFUNCTION("""COMPUTED_VALUE"""),"Expanding")</f>
        <v>Expanding</v>
      </c>
      <c r="J1380" s="1" t="str">
        <f>IFERROR(__xludf.DUMMYFUNCTION("""COMPUTED_VALUE"""),"High")</f>
        <v>High</v>
      </c>
      <c r="K1380" s="1" t="str">
        <f>IFERROR(__xludf.DUMMYFUNCTION("""COMPUTED_VALUE"""),"")</f>
        <v/>
      </c>
      <c r="L1380" s="1" t="str">
        <f>IFERROR(__xludf.DUMMYFUNCTION("""COMPUTED_VALUE"""),"QTS MANASSAS I DC3 LLC")</f>
        <v>QTS MANASSAS I DC3 LLC</v>
      </c>
      <c r="M1380" s="1" t="str">
        <f>IFERROR(__xludf.DUMMYFUNCTION("""COMPUTED_VALUE"""),"")</f>
        <v/>
      </c>
      <c r="N1380" s="1" t="str">
        <f>IFERROR(__xludf.DUMMYFUNCTION("""COMPUTED_VALUE"""),"")</f>
        <v/>
      </c>
      <c r="O1380" s="1" t="str">
        <f>IFERROR(__xludf.DUMMYFUNCTION("""COMPUTED_VALUE"""),"Unknown")</f>
        <v>Unknown</v>
      </c>
      <c r="P1380" s="1" t="str">
        <f>IFERROR(__xludf.DUMMYFUNCTION("""COMPUTED_VALUE"""),"")</f>
        <v/>
      </c>
      <c r="Q1380" s="1" t="str">
        <f>IFERROR(__xludf.DUMMYFUNCTION("""COMPUTED_VALUE"""),"")</f>
        <v/>
      </c>
      <c r="R1380" s="1" t="str">
        <f>IFERROR(__xludf.DUMMYFUNCTION("""COMPUTED_VALUE"""),"")</f>
        <v/>
      </c>
      <c r="S1380" s="1" t="str">
        <f>IFERROR(__xludf.DUMMYFUNCTION("""COMPUTED_VALUE"""),"")</f>
        <v/>
      </c>
      <c r="T1380" s="1" t="str">
        <f>IFERROR(__xludf.DUMMYFUNCTION("""COMPUTED_VALUE"""),"")</f>
        <v/>
      </c>
      <c r="U1380" s="1" t="str">
        <f>IFERROR(__xludf.DUMMYFUNCTION("""COMPUTED_VALUE"""),"")</f>
        <v/>
      </c>
      <c r="V1380" s="1" t="str">
        <f>IFERROR(__xludf.DUMMYFUNCTION("""COMPUTED_VALUE"""),"269,091")</f>
        <v>269,091</v>
      </c>
      <c r="W1380" s="1" t="str">
        <f>IFERROR(__xludf.DUMMYFUNCTION("""COMPUTED_VALUE"""),"32")</f>
        <v>32</v>
      </c>
      <c r="X1380" s="1" t="str">
        <f>IFERROR(__xludf.DUMMYFUNCTION("""COMPUTED_VALUE"""),"")</f>
        <v/>
      </c>
      <c r="Y1380" s="1" t="str">
        <f>IFERROR(__xludf.DUMMYFUNCTION("""COMPUTED_VALUE"""),"")</f>
        <v/>
      </c>
      <c r="Z1380" s="1" t="str">
        <f>IFERROR(__xludf.DUMMYFUNCTION("""COMPUTED_VALUE"""),"Unknown")</f>
        <v>Unknown</v>
      </c>
      <c r="AA1380" s="1" t="str">
        <f>IFERROR(__xludf.DUMMYFUNCTION("""COMPUTED_VALUE"""),"")</f>
        <v/>
      </c>
      <c r="AB1380" s="1" t="str">
        <f>IFERROR(__xludf.DUMMYFUNCTION("""COMPUTED_VALUE"""),"")</f>
        <v/>
      </c>
      <c r="AC1380" s="1" t="str">
        <f>IFERROR(__xludf.DUMMYFUNCTION("""COMPUTED_VALUE"""),"")</f>
        <v/>
      </c>
      <c r="AD1380" s="1" t="str">
        <f>IFERROR(__xludf.DUMMYFUNCTION("""COMPUTED_VALUE"""),"")</f>
        <v/>
      </c>
      <c r="AE1380" s="1" t="str">
        <f>IFERROR(__xludf.DUMMYFUNCTION("""COMPUTED_VALUE"""),"")</f>
        <v/>
      </c>
      <c r="AF1380" s="1" t="str">
        <f>IFERROR(__xludf.DUMMYFUNCTION("""COMPUTED_VALUE"""),"")</f>
        <v/>
      </c>
      <c r="AG1380" s="1" t="str">
        <f>IFERROR(__xludf.DUMMYFUNCTION("""COMPUTED_VALUE"""),"Expansion named QTS MANASSAS I DC6 LLC proposed")</f>
        <v>Expansion named QTS MANASSAS I DC6 LLC proposed</v>
      </c>
      <c r="AH1380" s="1" t="str">
        <f>IFERROR(__xludf.DUMMYFUNCTION("""COMPUTED_VALUE"""),"PEC")</f>
        <v>PEC</v>
      </c>
      <c r="AI1380" s="2" t="str">
        <f>IFERROR(__xludf.DUMMYFUNCTION("""COMPUTED_VALUE"""),"https://pwc.publicaccessnow.com/PropertyDetail.aspx?mpropertynumber=246763&amp;mtab=property")</f>
        <v>https://pwc.publicaccessnow.com/PropertyDetail.aspx?mpropertynumber=246763&amp;mtab=property</v>
      </c>
      <c r="AJ1380" s="2" t="str">
        <f>IFERROR(__xludf.DUMMYFUNCTION("""COMPUTED_VALUE"""),"https://pwc.publicaccessnow.com/PropertyDetail.aspx?mtab=property&amp;mpropertynumber=246763")</f>
        <v>https://pwc.publicaccessnow.com/PropertyDetail.aspx?mtab=property&amp;mpropertynumber=246763</v>
      </c>
      <c r="AK1380" s="2" t="str">
        <f>IFERROR(__xludf.DUMMYFUNCTION("""COMPUTED_VALUE"""),"https://egcss.pwcgov.org/SelfService#/project/bf056fe5-a489-4e3f-ac62-1a4449179c33?tab=locations")</f>
        <v>https://egcss.pwcgov.org/SelfService#/project/bf056fe5-a489-4e3f-ac62-1a4449179c33?tab=locations</v>
      </c>
      <c r="AL1380" s="1" t="str">
        <f>IFERROR(__xludf.DUMMYFUNCTION("""COMPUTED_VALUE"""),"")</f>
        <v/>
      </c>
      <c r="AM1380" s="1" t="str">
        <f>IFERROR(__xludf.DUMMYFUNCTION("""COMPUTED_VALUE"""),"")</f>
        <v/>
      </c>
      <c r="AN1380" s="1" t="str">
        <f>IFERROR(__xludf.DUMMYFUNCTION("""COMPUTED_VALUE"""),"")</f>
        <v/>
      </c>
      <c r="AO1380" s="1" t="str">
        <f>IFERROR(__xludf.DUMMYFUNCTION("""COMPUTED_VALUE"""),"")</f>
        <v/>
      </c>
      <c r="AP1380" s="1" t="str">
        <f>IFERROR(__xludf.DUMMYFUNCTION("""COMPUTED_VALUE"""),"")</f>
        <v/>
      </c>
      <c r="AQ1380" s="1" t="str">
        <f>IFERROR(__xludf.DUMMYFUNCTION("""COMPUTED_VALUE"""),"04/10/2024")</f>
        <v>04/10/2024</v>
      </c>
      <c r="AR1380" s="1" t="str">
        <f>IFERROR(__xludf.DUMMYFUNCTION("""COMPUTED_VALUE"""),"02/10/2026")</f>
        <v>02/10/2026</v>
      </c>
    </row>
    <row r="1381">
      <c r="A1381" s="1" t="str">
        <f>IFERROR(__xludf.DUMMYFUNCTION("""COMPUTED_VALUE"""),"QTS MANASSAS I DC6 LLC")</f>
        <v>QTS MANASSAS I DC6 LLC</v>
      </c>
      <c r="B1381" s="1" t="str">
        <f>IFERROR(__xludf.DUMMYFUNCTION("""COMPUTED_VALUE"""),"9540 GODWIN DR")</f>
        <v>9540 GODWIN DR</v>
      </c>
      <c r="C1381" s="1" t="str">
        <f>IFERROR(__xludf.DUMMYFUNCTION("""COMPUTED_VALUE"""),"Manassas")</f>
        <v>Manassas</v>
      </c>
      <c r="D1381" s="1" t="str">
        <f>IFERROR(__xludf.DUMMYFUNCTION("""COMPUTED_VALUE"""),"VA")</f>
        <v>VA</v>
      </c>
      <c r="E1381" s="1" t="str">
        <f>IFERROR(__xludf.DUMMYFUNCTION("""COMPUTED_VALUE"""),"20110")</f>
        <v>20110</v>
      </c>
      <c r="F1381" s="1" t="str">
        <f>IFERROR(__xludf.DUMMYFUNCTION("""COMPUTED_VALUE"""),"Prince William")</f>
        <v>Prince William</v>
      </c>
      <c r="G1381" s="1" t="str">
        <f>IFERROR(__xludf.DUMMYFUNCTION("""COMPUTED_VALUE"""),"38.75438")</f>
        <v>38.75438</v>
      </c>
      <c r="H1381" s="1" t="str">
        <f>IFERROR(__xludf.DUMMYFUNCTION("""COMPUTED_VALUE"""),"-77.509895")</f>
        <v>-77.509895</v>
      </c>
      <c r="I1381" s="1" t="str">
        <f>IFERROR(__xludf.DUMMYFUNCTION("""COMPUTED_VALUE"""),"Expanding")</f>
        <v>Expanding</v>
      </c>
      <c r="J1381" s="1" t="str">
        <f>IFERROR(__xludf.DUMMYFUNCTION("""COMPUTED_VALUE"""),"High")</f>
        <v>High</v>
      </c>
      <c r="K1381" s="1" t="str">
        <f>IFERROR(__xludf.DUMMYFUNCTION("""COMPUTED_VALUE"""),"")</f>
        <v/>
      </c>
      <c r="L1381" s="1" t="str">
        <f>IFERROR(__xludf.DUMMYFUNCTION("""COMPUTED_VALUE"""),"QTS MANASSAS I DC6 LLC C/O BLACKSTONE PROPERTY ADVISORS")</f>
        <v>QTS MANASSAS I DC6 LLC C/O BLACKSTONE PROPERTY ADVISORS</v>
      </c>
      <c r="M1381" s="1" t="str">
        <f>IFERROR(__xludf.DUMMYFUNCTION("""COMPUTED_VALUE"""),"")</f>
        <v/>
      </c>
      <c r="N1381" s="1" t="str">
        <f>IFERROR(__xludf.DUMMYFUNCTION("""COMPUTED_VALUE"""),"")</f>
        <v/>
      </c>
      <c r="O1381" s="1" t="str">
        <f>IFERROR(__xludf.DUMMYFUNCTION("""COMPUTED_VALUE"""),"Unknown")</f>
        <v>Unknown</v>
      </c>
      <c r="P1381" s="1" t="str">
        <f>IFERROR(__xludf.DUMMYFUNCTION("""COMPUTED_VALUE"""),"")</f>
        <v/>
      </c>
      <c r="Q1381" s="1" t="str">
        <f>IFERROR(__xludf.DUMMYFUNCTION("""COMPUTED_VALUE"""),"")</f>
        <v/>
      </c>
      <c r="R1381" s="1" t="str">
        <f>IFERROR(__xludf.DUMMYFUNCTION("""COMPUTED_VALUE"""),"")</f>
        <v/>
      </c>
      <c r="S1381" s="1" t="str">
        <f>IFERROR(__xludf.DUMMYFUNCTION("""COMPUTED_VALUE"""),"")</f>
        <v/>
      </c>
      <c r="T1381" s="1" t="str">
        <f>IFERROR(__xludf.DUMMYFUNCTION("""COMPUTED_VALUE"""),"")</f>
        <v/>
      </c>
      <c r="U1381" s="1" t="str">
        <f>IFERROR(__xludf.DUMMYFUNCTION("""COMPUTED_VALUE"""),"")</f>
        <v/>
      </c>
      <c r="V1381" s="1" t="str">
        <f>IFERROR(__xludf.DUMMYFUNCTION("""COMPUTED_VALUE"""),"269,091")</f>
        <v>269,091</v>
      </c>
      <c r="W1381" s="1" t="str">
        <f>IFERROR(__xludf.DUMMYFUNCTION("""COMPUTED_VALUE"""),"")</f>
        <v/>
      </c>
      <c r="X1381" s="1" t="str">
        <f>IFERROR(__xludf.DUMMYFUNCTION("""COMPUTED_VALUE"""),"")</f>
        <v/>
      </c>
      <c r="Y1381" s="1" t="str">
        <f>IFERROR(__xludf.DUMMYFUNCTION("""COMPUTED_VALUE"""),"")</f>
        <v/>
      </c>
      <c r="Z1381" s="1" t="str">
        <f>IFERROR(__xludf.DUMMYFUNCTION("""COMPUTED_VALUE"""),"Unknown")</f>
        <v>Unknown</v>
      </c>
      <c r="AA1381" s="1" t="str">
        <f>IFERROR(__xludf.DUMMYFUNCTION("""COMPUTED_VALUE"""),"")</f>
        <v/>
      </c>
      <c r="AB1381" s="1" t="str">
        <f>IFERROR(__xludf.DUMMYFUNCTION("""COMPUTED_VALUE"""),"")</f>
        <v/>
      </c>
      <c r="AC1381" s="1" t="str">
        <f>IFERROR(__xludf.DUMMYFUNCTION("""COMPUTED_VALUE"""),"")</f>
        <v/>
      </c>
      <c r="AD1381" s="1" t="str">
        <f>IFERROR(__xludf.DUMMYFUNCTION("""COMPUTED_VALUE"""),"")</f>
        <v/>
      </c>
      <c r="AE1381" s="1" t="str">
        <f>IFERROR(__xludf.DUMMYFUNCTION("""COMPUTED_VALUE"""),"")</f>
        <v/>
      </c>
      <c r="AF1381" s="1" t="str">
        <f>IFERROR(__xludf.DUMMYFUNCTION("""COMPUTED_VALUE"""),"")</f>
        <v/>
      </c>
      <c r="AG1381" s="1" t="str">
        <f>IFERROR(__xludf.DUMMYFUNCTION("""COMPUTED_VALUE"""),"")</f>
        <v/>
      </c>
      <c r="AH1381" s="1" t="str">
        <f>IFERROR(__xludf.DUMMYFUNCTION("""COMPUTED_VALUE"""),"PEC")</f>
        <v>PEC</v>
      </c>
      <c r="AI1381" s="2" t="str">
        <f>IFERROR(__xludf.DUMMYFUNCTION("""COMPUTED_VALUE"""),"https://egcss.pwcgov.org/SelfService#/project/0c44cca2-aaaa-4c97-8b2b-e2bb17ee1980?tab=moreinfo")</f>
        <v>https://egcss.pwcgov.org/SelfService#/project/0c44cca2-aaaa-4c97-8b2b-e2bb17ee1980?tab=moreinfo</v>
      </c>
      <c r="AJ1381" s="2" t="str">
        <f>IFERROR(__xludf.DUMMYFUNCTION("""COMPUTED_VALUE"""),"https://pwc.publicaccessnow.com/PropertyDetail.aspx?mtab=property&amp;mpropertynumber=081575")</f>
        <v>https://pwc.publicaccessnow.com/PropertyDetail.aspx?mtab=property&amp;mpropertynumber=081575</v>
      </c>
      <c r="AK1381" s="1" t="str">
        <f>IFERROR(__xludf.DUMMYFUNCTION("""COMPUTED_VALUE"""),"")</f>
        <v/>
      </c>
      <c r="AL1381" s="1" t="str">
        <f>IFERROR(__xludf.DUMMYFUNCTION("""COMPUTED_VALUE"""),"")</f>
        <v/>
      </c>
      <c r="AM1381" s="1" t="str">
        <f>IFERROR(__xludf.DUMMYFUNCTION("""COMPUTED_VALUE"""),"")</f>
        <v/>
      </c>
      <c r="AN1381" s="1" t="str">
        <f>IFERROR(__xludf.DUMMYFUNCTION("""COMPUTED_VALUE"""),"")</f>
        <v/>
      </c>
      <c r="AO1381" s="1" t="str">
        <f>IFERROR(__xludf.DUMMYFUNCTION("""COMPUTED_VALUE"""),"")</f>
        <v/>
      </c>
      <c r="AP1381" s="1" t="str">
        <f>IFERROR(__xludf.DUMMYFUNCTION("""COMPUTED_VALUE"""),"")</f>
        <v/>
      </c>
      <c r="AQ1381" s="1" t="str">
        <f>IFERROR(__xludf.DUMMYFUNCTION("""COMPUTED_VALUE"""),"04/10/2024")</f>
        <v>04/10/2024</v>
      </c>
      <c r="AR1381" s="1" t="str">
        <f>IFERROR(__xludf.DUMMYFUNCTION("""COMPUTED_VALUE"""),"02/10/2026")</f>
        <v>02/10/2026</v>
      </c>
    </row>
    <row r="1382">
      <c r="A1382" s="1" t="str">
        <f>IFERROR(__xludf.DUMMYFUNCTION("""COMPUTED_VALUE"""),"SI NVA02 LLC A1A")</f>
        <v>SI NVA02 LLC A1A</v>
      </c>
      <c r="B1382" s="1" t="str">
        <f>IFERROR(__xludf.DUMMYFUNCTION("""COMPUTED_VALUE"""),"9720 HORNBAKER RD")</f>
        <v>9720 HORNBAKER RD</v>
      </c>
      <c r="C1382" s="1" t="str">
        <f>IFERROR(__xludf.DUMMYFUNCTION("""COMPUTED_VALUE"""),"Manassas")</f>
        <v>Manassas</v>
      </c>
      <c r="D1382" s="1" t="str">
        <f>IFERROR(__xludf.DUMMYFUNCTION("""COMPUTED_VALUE"""),"VA")</f>
        <v>VA</v>
      </c>
      <c r="E1382" s="1" t="str">
        <f>IFERROR(__xludf.DUMMYFUNCTION("""COMPUTED_VALUE"""),"20109")</f>
        <v>20109</v>
      </c>
      <c r="F1382" s="1" t="str">
        <f>IFERROR(__xludf.DUMMYFUNCTION("""COMPUTED_VALUE"""),"Prince William")</f>
        <v>Prince William</v>
      </c>
      <c r="G1382" s="1" t="str">
        <f>IFERROR(__xludf.DUMMYFUNCTION("""COMPUTED_VALUE"""),"38.74435")</f>
        <v>38.74435</v>
      </c>
      <c r="H1382" s="1" t="str">
        <f>IFERROR(__xludf.DUMMYFUNCTION("""COMPUTED_VALUE"""),"-77.53293")</f>
        <v>-77.53293</v>
      </c>
      <c r="I1382" s="1" t="str">
        <f>IFERROR(__xludf.DUMMYFUNCTION("""COMPUTED_VALUE"""),"Operating")</f>
        <v>Operating</v>
      </c>
      <c r="J1382" s="1" t="str">
        <f>IFERROR(__xludf.DUMMYFUNCTION("""COMPUTED_VALUE"""),"High")</f>
        <v>High</v>
      </c>
      <c r="K1382" s="1" t="str">
        <f>IFERROR(__xludf.DUMMYFUNCTION("""COMPUTED_VALUE"""),"")</f>
        <v/>
      </c>
      <c r="L1382" s="1" t="str">
        <f>IFERROR(__xludf.DUMMYFUNCTION("""COMPUTED_VALUE"""),"STACK INFRASTRUCTURE")</f>
        <v>STACK INFRASTRUCTURE</v>
      </c>
      <c r="M1382" s="1" t="str">
        <f>IFERROR(__xludf.DUMMYFUNCTION("""COMPUTED_VALUE"""),"")</f>
        <v/>
      </c>
      <c r="N1382" s="1" t="str">
        <f>IFERROR(__xludf.DUMMYFUNCTION("""COMPUTED_VALUE"""),"")</f>
        <v/>
      </c>
      <c r="O1382" s="1" t="str">
        <f>IFERROR(__xludf.DUMMYFUNCTION("""COMPUTED_VALUE"""),"Unknown")</f>
        <v>Unknown</v>
      </c>
      <c r="P1382" s="1" t="str">
        <f>IFERROR(__xludf.DUMMYFUNCTION("""COMPUTED_VALUE"""),"")</f>
        <v/>
      </c>
      <c r="Q1382" s="1" t="str">
        <f>IFERROR(__xludf.DUMMYFUNCTION("""COMPUTED_VALUE"""),"")</f>
        <v/>
      </c>
      <c r="R1382" s="1" t="str">
        <f>IFERROR(__xludf.DUMMYFUNCTION("""COMPUTED_VALUE"""),"")</f>
        <v/>
      </c>
      <c r="S1382" s="1" t="str">
        <f>IFERROR(__xludf.DUMMYFUNCTION("""COMPUTED_VALUE"""),"")</f>
        <v/>
      </c>
      <c r="T1382" s="1" t="str">
        <f>IFERROR(__xludf.DUMMYFUNCTION("""COMPUTED_VALUE"""),"")</f>
        <v/>
      </c>
      <c r="U1382" s="1" t="str">
        <f>IFERROR(__xludf.DUMMYFUNCTION("""COMPUTED_VALUE"""),"")</f>
        <v/>
      </c>
      <c r="V1382" s="1" t="str">
        <f>IFERROR(__xludf.DUMMYFUNCTION("""COMPUTED_VALUE"""),"224,652")</f>
        <v>224,652</v>
      </c>
      <c r="W1382" s="1" t="str">
        <f>IFERROR(__xludf.DUMMYFUNCTION("""COMPUTED_VALUE"""),"12")</f>
        <v>12</v>
      </c>
      <c r="X1382" s="1" t="str">
        <f>IFERROR(__xludf.DUMMYFUNCTION("""COMPUTED_VALUE"""),"")</f>
        <v/>
      </c>
      <c r="Y1382" s="1" t="str">
        <f>IFERROR(__xludf.DUMMYFUNCTION("""COMPUTED_VALUE"""),"")</f>
        <v/>
      </c>
      <c r="Z1382" s="1" t="str">
        <f>IFERROR(__xludf.DUMMYFUNCTION("""COMPUTED_VALUE"""),"Unknown")</f>
        <v>Unknown</v>
      </c>
      <c r="AA1382" s="1" t="str">
        <f>IFERROR(__xludf.DUMMYFUNCTION("""COMPUTED_VALUE"""),"")</f>
        <v/>
      </c>
      <c r="AB1382" s="1" t="str">
        <f>IFERROR(__xludf.DUMMYFUNCTION("""COMPUTED_VALUE"""),"")</f>
        <v/>
      </c>
      <c r="AC1382" s="1" t="str">
        <f>IFERROR(__xludf.DUMMYFUNCTION("""COMPUTED_VALUE"""),"")</f>
        <v/>
      </c>
      <c r="AD1382" s="1" t="str">
        <f>IFERROR(__xludf.DUMMYFUNCTION("""COMPUTED_VALUE"""),"")</f>
        <v/>
      </c>
      <c r="AE1382" s="1" t="str">
        <f>IFERROR(__xludf.DUMMYFUNCTION("""COMPUTED_VALUE"""),"")</f>
        <v/>
      </c>
      <c r="AF1382" s="1" t="str">
        <f>IFERROR(__xludf.DUMMYFUNCTION("""COMPUTED_VALUE"""),"")</f>
        <v/>
      </c>
      <c r="AG1382" s="1" t="str">
        <f>IFERROR(__xludf.DUMMYFUNCTION("""COMPUTED_VALUE"""),"")</f>
        <v/>
      </c>
      <c r="AH1382" s="1" t="str">
        <f>IFERROR(__xludf.DUMMYFUNCTION("""COMPUTED_VALUE"""),"PEC")</f>
        <v>PEC</v>
      </c>
      <c r="AI1382" s="2" t="str">
        <f>IFERROR(__xludf.DUMMYFUNCTION("""COMPUTED_VALUE"""),"https://pwc.publicaccessnow.com/PropertyDetail.aspx?mpropertynumber=263058&amp;mtab=property&amp;p=263058")</f>
        <v>https://pwc.publicaccessnow.com/PropertyDetail.aspx?mpropertynumber=263058&amp;mtab=property&amp;p=263058</v>
      </c>
      <c r="AJ1382" s="1" t="str">
        <f>IFERROR(__xludf.DUMMYFUNCTION("""COMPUTED_VALUE"""),"")</f>
        <v/>
      </c>
      <c r="AK1382" s="1" t="str">
        <f>IFERROR(__xludf.DUMMYFUNCTION("""COMPUTED_VALUE"""),"")</f>
        <v/>
      </c>
      <c r="AL1382" s="1" t="str">
        <f>IFERROR(__xludf.DUMMYFUNCTION("""COMPUTED_VALUE"""),"")</f>
        <v/>
      </c>
      <c r="AM1382" s="1" t="str">
        <f>IFERROR(__xludf.DUMMYFUNCTION("""COMPUTED_VALUE"""),"")</f>
        <v/>
      </c>
      <c r="AN1382" s="1" t="str">
        <f>IFERROR(__xludf.DUMMYFUNCTION("""COMPUTED_VALUE"""),"")</f>
        <v/>
      </c>
      <c r="AO1382" s="1" t="str">
        <f>IFERROR(__xludf.DUMMYFUNCTION("""COMPUTED_VALUE"""),"")</f>
        <v/>
      </c>
      <c r="AP1382" s="1" t="str">
        <f>IFERROR(__xludf.DUMMYFUNCTION("""COMPUTED_VALUE"""),"")</f>
        <v/>
      </c>
      <c r="AQ1382" s="1" t="str">
        <f>IFERROR(__xludf.DUMMYFUNCTION("""COMPUTED_VALUE"""),"04/10/2024")</f>
        <v>04/10/2024</v>
      </c>
      <c r="AR1382" s="1" t="str">
        <f>IFERROR(__xludf.DUMMYFUNCTION("""COMPUTED_VALUE"""),"10/17/2025")</f>
        <v>10/17/2025</v>
      </c>
    </row>
    <row r="1383">
      <c r="A1383" s="1" t="str">
        <f>IFERROR(__xludf.DUMMYFUNCTION("""COMPUTED_VALUE"""),"SI NVA02 LLC A2A")</f>
        <v>SI NVA02 LLC A2A</v>
      </c>
      <c r="B1383" s="1" t="str">
        <f>IFERROR(__xludf.DUMMYFUNCTION("""COMPUTED_VALUE"""),"9750 HORNBAKER RD")</f>
        <v>9750 HORNBAKER RD</v>
      </c>
      <c r="C1383" s="1" t="str">
        <f>IFERROR(__xludf.DUMMYFUNCTION("""COMPUTED_VALUE"""),"Manassas")</f>
        <v>Manassas</v>
      </c>
      <c r="D1383" s="1" t="str">
        <f>IFERROR(__xludf.DUMMYFUNCTION("""COMPUTED_VALUE"""),"VA")</f>
        <v>VA</v>
      </c>
      <c r="E1383" s="1" t="str">
        <f>IFERROR(__xludf.DUMMYFUNCTION("""COMPUTED_VALUE"""),"20109")</f>
        <v>20109</v>
      </c>
      <c r="F1383" s="1" t="str">
        <f>IFERROR(__xludf.DUMMYFUNCTION("""COMPUTED_VALUE"""),"Prince William")</f>
        <v>Prince William</v>
      </c>
      <c r="G1383" s="1" t="str">
        <f>IFERROR(__xludf.DUMMYFUNCTION("""COMPUTED_VALUE"""),"38.743156")</f>
        <v>38.743156</v>
      </c>
      <c r="H1383" s="1" t="str">
        <f>IFERROR(__xludf.DUMMYFUNCTION("""COMPUTED_VALUE"""),"-77.53342")</f>
        <v>-77.53342</v>
      </c>
      <c r="I1383" s="1" t="str">
        <f>IFERROR(__xludf.DUMMYFUNCTION("""COMPUTED_VALUE"""),"Operating")</f>
        <v>Operating</v>
      </c>
      <c r="J1383" s="1" t="str">
        <f>IFERROR(__xludf.DUMMYFUNCTION("""COMPUTED_VALUE"""),"High")</f>
        <v>High</v>
      </c>
      <c r="K1383" s="1" t="str">
        <f>IFERROR(__xludf.DUMMYFUNCTION("""COMPUTED_VALUE"""),"")</f>
        <v/>
      </c>
      <c r="L1383" s="1" t="str">
        <f>IFERROR(__xludf.DUMMYFUNCTION("""COMPUTED_VALUE"""),"STACK INFRASTRUCTURE")</f>
        <v>STACK INFRASTRUCTURE</v>
      </c>
      <c r="M1383" s="1" t="str">
        <f>IFERROR(__xludf.DUMMYFUNCTION("""COMPUTED_VALUE"""),"")</f>
        <v/>
      </c>
      <c r="N1383" s="1" t="str">
        <f>IFERROR(__xludf.DUMMYFUNCTION("""COMPUTED_VALUE"""),"")</f>
        <v/>
      </c>
      <c r="O1383" s="1" t="str">
        <f>IFERROR(__xludf.DUMMYFUNCTION("""COMPUTED_VALUE"""),"Unknown")</f>
        <v>Unknown</v>
      </c>
      <c r="P1383" s="1" t="str">
        <f>IFERROR(__xludf.DUMMYFUNCTION("""COMPUTED_VALUE"""),"")</f>
        <v/>
      </c>
      <c r="Q1383" s="1" t="str">
        <f>IFERROR(__xludf.DUMMYFUNCTION("""COMPUTED_VALUE"""),"")</f>
        <v/>
      </c>
      <c r="R1383" s="1" t="str">
        <f>IFERROR(__xludf.DUMMYFUNCTION("""COMPUTED_VALUE"""),"")</f>
        <v/>
      </c>
      <c r="S1383" s="1" t="str">
        <f>IFERROR(__xludf.DUMMYFUNCTION("""COMPUTED_VALUE"""),"")</f>
        <v/>
      </c>
      <c r="T1383" s="1" t="str">
        <f>IFERROR(__xludf.DUMMYFUNCTION("""COMPUTED_VALUE"""),"")</f>
        <v/>
      </c>
      <c r="U1383" s="1" t="str">
        <f>IFERROR(__xludf.DUMMYFUNCTION("""COMPUTED_VALUE"""),"")</f>
        <v/>
      </c>
      <c r="V1383" s="1" t="str">
        <f>IFERROR(__xludf.DUMMYFUNCTION("""COMPUTED_VALUE"""),"241,249")</f>
        <v>241,249</v>
      </c>
      <c r="W1383" s="1" t="str">
        <f>IFERROR(__xludf.DUMMYFUNCTION("""COMPUTED_VALUE"""),"13")</f>
        <v>13</v>
      </c>
      <c r="X1383" s="1" t="str">
        <f>IFERROR(__xludf.DUMMYFUNCTION("""COMPUTED_VALUE"""),"")</f>
        <v/>
      </c>
      <c r="Y1383" s="1" t="str">
        <f>IFERROR(__xludf.DUMMYFUNCTION("""COMPUTED_VALUE"""),"")</f>
        <v/>
      </c>
      <c r="Z1383" s="1" t="str">
        <f>IFERROR(__xludf.DUMMYFUNCTION("""COMPUTED_VALUE"""),"Unknown")</f>
        <v>Unknown</v>
      </c>
      <c r="AA1383" s="1" t="str">
        <f>IFERROR(__xludf.DUMMYFUNCTION("""COMPUTED_VALUE"""),"")</f>
        <v/>
      </c>
      <c r="AB1383" s="1" t="str">
        <f>IFERROR(__xludf.DUMMYFUNCTION("""COMPUTED_VALUE"""),"")</f>
        <v/>
      </c>
      <c r="AC1383" s="1" t="str">
        <f>IFERROR(__xludf.DUMMYFUNCTION("""COMPUTED_VALUE"""),"")</f>
        <v/>
      </c>
      <c r="AD1383" s="1" t="str">
        <f>IFERROR(__xludf.DUMMYFUNCTION("""COMPUTED_VALUE"""),"")</f>
        <v/>
      </c>
      <c r="AE1383" s="1" t="str">
        <f>IFERROR(__xludf.DUMMYFUNCTION("""COMPUTED_VALUE"""),"")</f>
        <v/>
      </c>
      <c r="AF1383" s="1" t="str">
        <f>IFERROR(__xludf.DUMMYFUNCTION("""COMPUTED_VALUE"""),"")</f>
        <v/>
      </c>
      <c r="AG1383" s="1" t="str">
        <f>IFERROR(__xludf.DUMMYFUNCTION("""COMPUTED_VALUE"""),"")</f>
        <v/>
      </c>
      <c r="AH1383" s="1" t="str">
        <f>IFERROR(__xludf.DUMMYFUNCTION("""COMPUTED_VALUE"""),"PEC")</f>
        <v>PEC</v>
      </c>
      <c r="AI1383" s="2" t="str">
        <f>IFERROR(__xludf.DUMMYFUNCTION("""COMPUTED_VALUE"""),"https://pwc.publicaccessnow.com/PropertyDetail.aspx?mpropertynumber=263807&amp;mtab=property&amp;p=263807")</f>
        <v>https://pwc.publicaccessnow.com/PropertyDetail.aspx?mpropertynumber=263807&amp;mtab=property&amp;p=263807</v>
      </c>
      <c r="AJ1383" s="1" t="str">
        <f>IFERROR(__xludf.DUMMYFUNCTION("""COMPUTED_VALUE"""),"")</f>
        <v/>
      </c>
      <c r="AK1383" s="1" t="str">
        <f>IFERROR(__xludf.DUMMYFUNCTION("""COMPUTED_VALUE"""),"")</f>
        <v/>
      </c>
      <c r="AL1383" s="1" t="str">
        <f>IFERROR(__xludf.DUMMYFUNCTION("""COMPUTED_VALUE"""),"")</f>
        <v/>
      </c>
      <c r="AM1383" s="1" t="str">
        <f>IFERROR(__xludf.DUMMYFUNCTION("""COMPUTED_VALUE"""),"")</f>
        <v/>
      </c>
      <c r="AN1383" s="1" t="str">
        <f>IFERROR(__xludf.DUMMYFUNCTION("""COMPUTED_VALUE"""),"")</f>
        <v/>
      </c>
      <c r="AO1383" s="1" t="str">
        <f>IFERROR(__xludf.DUMMYFUNCTION("""COMPUTED_VALUE"""),"")</f>
        <v/>
      </c>
      <c r="AP1383" s="1" t="str">
        <f>IFERROR(__xludf.DUMMYFUNCTION("""COMPUTED_VALUE"""),"")</f>
        <v/>
      </c>
      <c r="AQ1383" s="1" t="str">
        <f>IFERROR(__xludf.DUMMYFUNCTION("""COMPUTED_VALUE"""),"04/10/2024")</f>
        <v>04/10/2024</v>
      </c>
      <c r="AR1383" s="1" t="str">
        <f>IFERROR(__xludf.DUMMYFUNCTION("""COMPUTED_VALUE"""),"10/17/2025")</f>
        <v>10/17/2025</v>
      </c>
    </row>
    <row r="1384">
      <c r="A1384" s="1" t="str">
        <f>IFERROR(__xludf.DUMMYFUNCTION("""COMPUTED_VALUE"""),"SI NVA 04 LLC (Avanti at Innovation)")</f>
        <v>SI NVA 04 LLC (Avanti at Innovation)</v>
      </c>
      <c r="B1384" s="1" t="str">
        <f>IFERROR(__xludf.DUMMYFUNCTION("""COMPUTED_VALUE"""),"9590 HORNBAKER RD")</f>
        <v>9590 HORNBAKER RD</v>
      </c>
      <c r="C1384" s="1" t="str">
        <f>IFERROR(__xludf.DUMMYFUNCTION("""COMPUTED_VALUE"""),"Manassas")</f>
        <v>Manassas</v>
      </c>
      <c r="D1384" s="1" t="str">
        <f>IFERROR(__xludf.DUMMYFUNCTION("""COMPUTED_VALUE"""),"VA")</f>
        <v>VA</v>
      </c>
      <c r="E1384" s="1" t="str">
        <f>IFERROR(__xludf.DUMMYFUNCTION("""COMPUTED_VALUE"""),"20109")</f>
        <v>20109</v>
      </c>
      <c r="F1384" s="1" t="str">
        <f>IFERROR(__xludf.DUMMYFUNCTION("""COMPUTED_VALUE"""),"Prince William")</f>
        <v>Prince William</v>
      </c>
      <c r="G1384" s="1" t="str">
        <f>IFERROR(__xludf.DUMMYFUNCTION("""COMPUTED_VALUE"""),"38.74576")</f>
        <v>38.74576</v>
      </c>
      <c r="H1384" s="1" t="str">
        <f>IFERROR(__xludf.DUMMYFUNCTION("""COMPUTED_VALUE"""),"-77.53817")</f>
        <v>-77.53817</v>
      </c>
      <c r="I1384" s="1" t="str">
        <f>IFERROR(__xludf.DUMMYFUNCTION("""COMPUTED_VALUE"""),"Operating")</f>
        <v>Operating</v>
      </c>
      <c r="J1384" s="1" t="str">
        <f>IFERROR(__xludf.DUMMYFUNCTION("""COMPUTED_VALUE"""),"High")</f>
        <v>High</v>
      </c>
      <c r="K1384" s="1" t="str">
        <f>IFERROR(__xludf.DUMMYFUNCTION("""COMPUTED_VALUE"""),"")</f>
        <v/>
      </c>
      <c r="L1384" s="1" t="str">
        <f>IFERROR(__xludf.DUMMYFUNCTION("""COMPUTED_VALUE"""),"STACK INFRASTRUCTURE")</f>
        <v>STACK INFRASTRUCTURE</v>
      </c>
      <c r="M1384" s="1" t="str">
        <f>IFERROR(__xludf.DUMMYFUNCTION("""COMPUTED_VALUE"""),"")</f>
        <v/>
      </c>
      <c r="N1384" s="1" t="str">
        <f>IFERROR(__xludf.DUMMYFUNCTION("""COMPUTED_VALUE"""),"")</f>
        <v/>
      </c>
      <c r="O1384" s="1" t="str">
        <f>IFERROR(__xludf.DUMMYFUNCTION("""COMPUTED_VALUE"""),"Unknown")</f>
        <v>Unknown</v>
      </c>
      <c r="P1384" s="1" t="str">
        <f>IFERROR(__xludf.DUMMYFUNCTION("""COMPUTED_VALUE"""),"")</f>
        <v/>
      </c>
      <c r="Q1384" s="1" t="str">
        <f>IFERROR(__xludf.DUMMYFUNCTION("""COMPUTED_VALUE"""),"")</f>
        <v/>
      </c>
      <c r="R1384" s="1" t="str">
        <f>IFERROR(__xludf.DUMMYFUNCTION("""COMPUTED_VALUE"""),"")</f>
        <v/>
      </c>
      <c r="S1384" s="1" t="str">
        <f>IFERROR(__xludf.DUMMYFUNCTION("""COMPUTED_VALUE"""),"")</f>
        <v/>
      </c>
      <c r="T1384" s="1" t="str">
        <f>IFERROR(__xludf.DUMMYFUNCTION("""COMPUTED_VALUE"""),"")</f>
        <v/>
      </c>
      <c r="U1384" s="1" t="str">
        <f>IFERROR(__xludf.DUMMYFUNCTION("""COMPUTED_VALUE"""),"")</f>
        <v/>
      </c>
      <c r="V1384" s="1" t="str">
        <f>IFERROR(__xludf.DUMMYFUNCTION("""COMPUTED_VALUE"""),"281,000")</f>
        <v>281,000</v>
      </c>
      <c r="W1384" s="1" t="str">
        <f>IFERROR(__xludf.DUMMYFUNCTION("""COMPUTED_VALUE"""),"11")</f>
        <v>11</v>
      </c>
      <c r="X1384" s="1" t="str">
        <f>IFERROR(__xludf.DUMMYFUNCTION("""COMPUTED_VALUE"""),"")</f>
        <v/>
      </c>
      <c r="Y1384" s="1" t="str">
        <f>IFERROR(__xludf.DUMMYFUNCTION("""COMPUTED_VALUE"""),"")</f>
        <v/>
      </c>
      <c r="Z1384" s="1" t="str">
        <f>IFERROR(__xludf.DUMMYFUNCTION("""COMPUTED_VALUE"""),"Unknown")</f>
        <v>Unknown</v>
      </c>
      <c r="AA1384" s="1" t="str">
        <f>IFERROR(__xludf.DUMMYFUNCTION("""COMPUTED_VALUE"""),"")</f>
        <v/>
      </c>
      <c r="AB1384" s="1" t="str">
        <f>IFERROR(__xludf.DUMMYFUNCTION("""COMPUTED_VALUE"""),"")</f>
        <v/>
      </c>
      <c r="AC1384" s="1" t="str">
        <f>IFERROR(__xludf.DUMMYFUNCTION("""COMPUTED_VALUE"""),"")</f>
        <v/>
      </c>
      <c r="AD1384" s="1" t="str">
        <f>IFERROR(__xludf.DUMMYFUNCTION("""COMPUTED_VALUE"""),"")</f>
        <v/>
      </c>
      <c r="AE1384" s="1" t="str">
        <f>IFERROR(__xludf.DUMMYFUNCTION("""COMPUTED_VALUE"""),"")</f>
        <v/>
      </c>
      <c r="AF1384" s="1" t="str">
        <f>IFERROR(__xludf.DUMMYFUNCTION("""COMPUTED_VALUE"""),"")</f>
        <v/>
      </c>
      <c r="AG1384" s="1" t="str">
        <f>IFERROR(__xludf.DUMMYFUNCTION("""COMPUTED_VALUE"""),"")</f>
        <v/>
      </c>
      <c r="AH1384" s="1" t="str">
        <f>IFERROR(__xludf.DUMMYFUNCTION("""COMPUTED_VALUE"""),"PEC")</f>
        <v>PEC</v>
      </c>
      <c r="AI1384" s="2" t="str">
        <f>IFERROR(__xludf.DUMMYFUNCTION("""COMPUTED_VALUE"""),"https://pwc.publicaccessnow.com/PropertyDetail.aspx?mtab=property&amp;mpropertynumber=264057")</f>
        <v>https://pwc.publicaccessnow.com/PropertyDetail.aspx?mtab=property&amp;mpropertynumber=264057</v>
      </c>
      <c r="AJ1384" s="1" t="str">
        <f>IFERROR(__xludf.DUMMYFUNCTION("""COMPUTED_VALUE"""),"")</f>
        <v/>
      </c>
      <c r="AK1384" s="1" t="str">
        <f>IFERROR(__xludf.DUMMYFUNCTION("""COMPUTED_VALUE"""),"")</f>
        <v/>
      </c>
      <c r="AL1384" s="1" t="str">
        <f>IFERROR(__xludf.DUMMYFUNCTION("""COMPUTED_VALUE"""),"")</f>
        <v/>
      </c>
      <c r="AM1384" s="1" t="str">
        <f>IFERROR(__xludf.DUMMYFUNCTION("""COMPUTED_VALUE"""),"")</f>
        <v/>
      </c>
      <c r="AN1384" s="1" t="str">
        <f>IFERROR(__xludf.DUMMYFUNCTION("""COMPUTED_VALUE"""),"")</f>
        <v/>
      </c>
      <c r="AO1384" s="1" t="str">
        <f>IFERROR(__xludf.DUMMYFUNCTION("""COMPUTED_VALUE"""),"")</f>
        <v/>
      </c>
      <c r="AP1384" s="1" t="str">
        <f>IFERROR(__xludf.DUMMYFUNCTION("""COMPUTED_VALUE"""),"")</f>
        <v/>
      </c>
      <c r="AQ1384" s="1" t="str">
        <f>IFERROR(__xludf.DUMMYFUNCTION("""COMPUTED_VALUE"""),"04/10/2024")</f>
        <v>04/10/2024</v>
      </c>
      <c r="AR1384" s="1" t="str">
        <f>IFERROR(__xludf.DUMMYFUNCTION("""COMPUTED_VALUE"""),"10/17/2025")</f>
        <v>10/17/2025</v>
      </c>
    </row>
    <row r="1385">
      <c r="A1385" s="1" t="str">
        <f>IFERROR(__xludf.DUMMYFUNCTION("""COMPUTED_VALUE"""),"SI NVA05 LLC")</f>
        <v>SI NVA05 LLC</v>
      </c>
      <c r="B1385" s="1" t="str">
        <f>IFERROR(__xludf.DUMMYFUNCTION("""COMPUTED_VALUE"""),"9680 INNOVATION DR")</f>
        <v>9680 INNOVATION DR</v>
      </c>
      <c r="C1385" s="1" t="str">
        <f>IFERROR(__xludf.DUMMYFUNCTION("""COMPUTED_VALUE"""),"Manassas")</f>
        <v>Manassas</v>
      </c>
      <c r="D1385" s="1" t="str">
        <f>IFERROR(__xludf.DUMMYFUNCTION("""COMPUTED_VALUE"""),"VA")</f>
        <v>VA</v>
      </c>
      <c r="E1385" s="1" t="str">
        <f>IFERROR(__xludf.DUMMYFUNCTION("""COMPUTED_VALUE"""),"20110")</f>
        <v>20110</v>
      </c>
      <c r="F1385" s="1" t="str">
        <f>IFERROR(__xludf.DUMMYFUNCTION("""COMPUTED_VALUE"""),"Prince William")</f>
        <v>Prince William</v>
      </c>
      <c r="G1385" s="1" t="str">
        <f>IFERROR(__xludf.DUMMYFUNCTION("""COMPUTED_VALUE"""),"38.748386")</f>
        <v>38.748386</v>
      </c>
      <c r="H1385" s="1" t="str">
        <f>IFERROR(__xludf.DUMMYFUNCTION("""COMPUTED_VALUE"""),"-77.521545")</f>
        <v>-77.521545</v>
      </c>
      <c r="I1385" s="1" t="str">
        <f>IFERROR(__xludf.DUMMYFUNCTION("""COMPUTED_VALUE"""),"Operating")</f>
        <v>Operating</v>
      </c>
      <c r="J1385" s="1" t="str">
        <f>IFERROR(__xludf.DUMMYFUNCTION("""COMPUTED_VALUE"""),"High")</f>
        <v>High</v>
      </c>
      <c r="K1385" s="1" t="str">
        <f>IFERROR(__xludf.DUMMYFUNCTION("""COMPUTED_VALUE"""),"")</f>
        <v/>
      </c>
      <c r="L1385" s="1" t="str">
        <f>IFERROR(__xludf.DUMMYFUNCTION("""COMPUTED_VALUE"""),"STACK INFRASTRUCTURE")</f>
        <v>STACK INFRASTRUCTURE</v>
      </c>
      <c r="M1385" s="1" t="str">
        <f>IFERROR(__xludf.DUMMYFUNCTION("""COMPUTED_VALUE"""),"")</f>
        <v/>
      </c>
      <c r="N1385" s="1" t="str">
        <f>IFERROR(__xludf.DUMMYFUNCTION("""COMPUTED_VALUE"""),"")</f>
        <v/>
      </c>
      <c r="O1385" s="1" t="str">
        <f>IFERROR(__xludf.DUMMYFUNCTION("""COMPUTED_VALUE"""),"Unknown")</f>
        <v>Unknown</v>
      </c>
      <c r="P1385" s="1" t="str">
        <f>IFERROR(__xludf.DUMMYFUNCTION("""COMPUTED_VALUE"""),"")</f>
        <v/>
      </c>
      <c r="Q1385" s="1" t="str">
        <f>IFERROR(__xludf.DUMMYFUNCTION("""COMPUTED_VALUE"""),"")</f>
        <v/>
      </c>
      <c r="R1385" s="1" t="str">
        <f>IFERROR(__xludf.DUMMYFUNCTION("""COMPUTED_VALUE"""),"")</f>
        <v/>
      </c>
      <c r="S1385" s="1" t="str">
        <f>IFERROR(__xludf.DUMMYFUNCTION("""COMPUTED_VALUE"""),"")</f>
        <v/>
      </c>
      <c r="T1385" s="1" t="str">
        <f>IFERROR(__xludf.DUMMYFUNCTION("""COMPUTED_VALUE"""),"")</f>
        <v/>
      </c>
      <c r="U1385" s="1" t="str">
        <f>IFERROR(__xludf.DUMMYFUNCTION("""COMPUTED_VALUE"""),"")</f>
        <v/>
      </c>
      <c r="V1385" s="1" t="str">
        <f>IFERROR(__xludf.DUMMYFUNCTION("""COMPUTED_VALUE"""),"213,320")</f>
        <v>213,320</v>
      </c>
      <c r="W1385" s="1" t="str">
        <f>IFERROR(__xludf.DUMMYFUNCTION("""COMPUTED_VALUE"""),"31")</f>
        <v>31</v>
      </c>
      <c r="X1385" s="1" t="str">
        <f>IFERROR(__xludf.DUMMYFUNCTION("""COMPUTED_VALUE"""),"")</f>
        <v/>
      </c>
      <c r="Y1385" s="1" t="str">
        <f>IFERROR(__xludf.DUMMYFUNCTION("""COMPUTED_VALUE"""),"")</f>
        <v/>
      </c>
      <c r="Z1385" s="1" t="str">
        <f>IFERROR(__xludf.DUMMYFUNCTION("""COMPUTED_VALUE"""),"Unknown")</f>
        <v>Unknown</v>
      </c>
      <c r="AA1385" s="1" t="str">
        <f>IFERROR(__xludf.DUMMYFUNCTION("""COMPUTED_VALUE"""),"")</f>
        <v/>
      </c>
      <c r="AB1385" s="1" t="str">
        <f>IFERROR(__xludf.DUMMYFUNCTION("""COMPUTED_VALUE"""),"")</f>
        <v/>
      </c>
      <c r="AC1385" s="1" t="str">
        <f>IFERROR(__xludf.DUMMYFUNCTION("""COMPUTED_VALUE"""),"")</f>
        <v/>
      </c>
      <c r="AD1385" s="1" t="str">
        <f>IFERROR(__xludf.DUMMYFUNCTION("""COMPUTED_VALUE"""),"")</f>
        <v/>
      </c>
      <c r="AE1385" s="1" t="str">
        <f>IFERROR(__xludf.DUMMYFUNCTION("""COMPUTED_VALUE"""),"")</f>
        <v/>
      </c>
      <c r="AF1385" s="1" t="str">
        <f>IFERROR(__xludf.DUMMYFUNCTION("""COMPUTED_VALUE"""),"")</f>
        <v/>
      </c>
      <c r="AG1385" s="1" t="str">
        <f>IFERROR(__xludf.DUMMYFUNCTION("""COMPUTED_VALUE"""),"")</f>
        <v/>
      </c>
      <c r="AH1385" s="1" t="str">
        <f>IFERROR(__xludf.DUMMYFUNCTION("""COMPUTED_VALUE"""),"PEC")</f>
        <v>PEC</v>
      </c>
      <c r="AI1385" s="2" t="str">
        <f>IFERROR(__xludf.DUMMYFUNCTION("""COMPUTED_VALUE"""),"https://pwc.publicaccessnow.com/PropertyDetail.aspx?mpropertynumber=265449&amp;mtab=property&amp;p=265449")</f>
        <v>https://pwc.publicaccessnow.com/PropertyDetail.aspx?mpropertynumber=265449&amp;mtab=property&amp;p=265449</v>
      </c>
      <c r="AJ1385" s="1" t="str">
        <f>IFERROR(__xludf.DUMMYFUNCTION("""COMPUTED_VALUE"""),"")</f>
        <v/>
      </c>
      <c r="AK1385" s="1" t="str">
        <f>IFERROR(__xludf.DUMMYFUNCTION("""COMPUTED_VALUE"""),"")</f>
        <v/>
      </c>
      <c r="AL1385" s="1" t="str">
        <f>IFERROR(__xludf.DUMMYFUNCTION("""COMPUTED_VALUE"""),"")</f>
        <v/>
      </c>
      <c r="AM1385" s="1" t="str">
        <f>IFERROR(__xludf.DUMMYFUNCTION("""COMPUTED_VALUE"""),"")</f>
        <v/>
      </c>
      <c r="AN1385" s="1" t="str">
        <f>IFERROR(__xludf.DUMMYFUNCTION("""COMPUTED_VALUE"""),"")</f>
        <v/>
      </c>
      <c r="AO1385" s="1" t="str">
        <f>IFERROR(__xludf.DUMMYFUNCTION("""COMPUTED_VALUE"""),"")</f>
        <v/>
      </c>
      <c r="AP1385" s="1" t="str">
        <f>IFERROR(__xludf.DUMMYFUNCTION("""COMPUTED_VALUE"""),"")</f>
        <v/>
      </c>
      <c r="AQ1385" s="1" t="str">
        <f>IFERROR(__xludf.DUMMYFUNCTION("""COMPUTED_VALUE"""),"04/10/2024")</f>
        <v>04/10/2024</v>
      </c>
      <c r="AR1385" s="1" t="str">
        <f>IFERROR(__xludf.DUMMYFUNCTION("""COMPUTED_VALUE"""),"10/17/2025")</f>
        <v>10/17/2025</v>
      </c>
    </row>
    <row r="1386">
      <c r="A1386" s="1" t="str">
        <f>IFERROR(__xludf.DUMMYFUNCTION("""COMPUTED_VALUE"""),"SI NVA06 LLC")</f>
        <v>SI NVA06 LLC</v>
      </c>
      <c r="B1386" s="1" t="str">
        <f>IFERROR(__xludf.DUMMYFUNCTION("""COMPUTED_VALUE"""),"9700 INNOVATION DR")</f>
        <v>9700 INNOVATION DR</v>
      </c>
      <c r="C1386" s="1" t="str">
        <f>IFERROR(__xludf.DUMMYFUNCTION("""COMPUTED_VALUE"""),"Manassas")</f>
        <v>Manassas</v>
      </c>
      <c r="D1386" s="1" t="str">
        <f>IFERROR(__xludf.DUMMYFUNCTION("""COMPUTED_VALUE"""),"VA")</f>
        <v>VA</v>
      </c>
      <c r="E1386" s="1" t="str">
        <f>IFERROR(__xludf.DUMMYFUNCTION("""COMPUTED_VALUE"""),"20110")</f>
        <v>20110</v>
      </c>
      <c r="F1386" s="1" t="str">
        <f>IFERROR(__xludf.DUMMYFUNCTION("""COMPUTED_VALUE"""),"Prince William")</f>
        <v>Prince William</v>
      </c>
      <c r="G1386" s="1" t="str">
        <f>IFERROR(__xludf.DUMMYFUNCTION("""COMPUTED_VALUE"""),"38.747314")</f>
        <v>38.747314</v>
      </c>
      <c r="H1386" s="1" t="str">
        <f>IFERROR(__xludf.DUMMYFUNCTION("""COMPUTED_VALUE"""),"-77.51989")</f>
        <v>-77.51989</v>
      </c>
      <c r="I1386" s="1" t="str">
        <f>IFERROR(__xludf.DUMMYFUNCTION("""COMPUTED_VALUE"""),"Operating")</f>
        <v>Operating</v>
      </c>
      <c r="J1386" s="1" t="str">
        <f>IFERROR(__xludf.DUMMYFUNCTION("""COMPUTED_VALUE"""),"High")</f>
        <v>High</v>
      </c>
      <c r="K1386" s="1" t="str">
        <f>IFERROR(__xludf.DUMMYFUNCTION("""COMPUTED_VALUE"""),"")</f>
        <v/>
      </c>
      <c r="L1386" s="1" t="str">
        <f>IFERROR(__xludf.DUMMYFUNCTION("""COMPUTED_VALUE"""),"STACK INFRASTRUCTURE")</f>
        <v>STACK INFRASTRUCTURE</v>
      </c>
      <c r="M1386" s="1" t="str">
        <f>IFERROR(__xludf.DUMMYFUNCTION("""COMPUTED_VALUE"""),"")</f>
        <v/>
      </c>
      <c r="N1386" s="1" t="str">
        <f>IFERROR(__xludf.DUMMYFUNCTION("""COMPUTED_VALUE"""),"")</f>
        <v/>
      </c>
      <c r="O1386" s="1" t="str">
        <f>IFERROR(__xludf.DUMMYFUNCTION("""COMPUTED_VALUE"""),"Unknown")</f>
        <v>Unknown</v>
      </c>
      <c r="P1386" s="1" t="str">
        <f>IFERROR(__xludf.DUMMYFUNCTION("""COMPUTED_VALUE"""),"")</f>
        <v/>
      </c>
      <c r="Q1386" s="1" t="str">
        <f>IFERROR(__xludf.DUMMYFUNCTION("""COMPUTED_VALUE"""),"")</f>
        <v/>
      </c>
      <c r="R1386" s="1" t="str">
        <f>IFERROR(__xludf.DUMMYFUNCTION("""COMPUTED_VALUE"""),"")</f>
        <v/>
      </c>
      <c r="S1386" s="1" t="str">
        <f>IFERROR(__xludf.DUMMYFUNCTION("""COMPUTED_VALUE"""),"")</f>
        <v/>
      </c>
      <c r="T1386" s="1" t="str">
        <f>IFERROR(__xludf.DUMMYFUNCTION("""COMPUTED_VALUE"""),"")</f>
        <v/>
      </c>
      <c r="U1386" s="1" t="str">
        <f>IFERROR(__xludf.DUMMYFUNCTION("""COMPUTED_VALUE"""),"")</f>
        <v/>
      </c>
      <c r="V1386" s="1" t="str">
        <f>IFERROR(__xludf.DUMMYFUNCTION("""COMPUTED_VALUE"""),"223,757")</f>
        <v>223,757</v>
      </c>
      <c r="W1386" s="1" t="str">
        <f>IFERROR(__xludf.DUMMYFUNCTION("""COMPUTED_VALUE"""),"16")</f>
        <v>16</v>
      </c>
      <c r="X1386" s="1" t="str">
        <f>IFERROR(__xludf.DUMMYFUNCTION("""COMPUTED_VALUE"""),"")</f>
        <v/>
      </c>
      <c r="Y1386" s="1" t="str">
        <f>IFERROR(__xludf.DUMMYFUNCTION("""COMPUTED_VALUE"""),"")</f>
        <v/>
      </c>
      <c r="Z1386" s="1" t="str">
        <f>IFERROR(__xludf.DUMMYFUNCTION("""COMPUTED_VALUE"""),"Unknown")</f>
        <v>Unknown</v>
      </c>
      <c r="AA1386" s="1" t="str">
        <f>IFERROR(__xludf.DUMMYFUNCTION("""COMPUTED_VALUE"""),"")</f>
        <v/>
      </c>
      <c r="AB1386" s="1" t="str">
        <f>IFERROR(__xludf.DUMMYFUNCTION("""COMPUTED_VALUE"""),"")</f>
        <v/>
      </c>
      <c r="AC1386" s="1" t="str">
        <f>IFERROR(__xludf.DUMMYFUNCTION("""COMPUTED_VALUE"""),"")</f>
        <v/>
      </c>
      <c r="AD1386" s="1" t="str">
        <f>IFERROR(__xludf.DUMMYFUNCTION("""COMPUTED_VALUE"""),"")</f>
        <v/>
      </c>
      <c r="AE1386" s="1" t="str">
        <f>IFERROR(__xludf.DUMMYFUNCTION("""COMPUTED_VALUE"""),"")</f>
        <v/>
      </c>
      <c r="AF1386" s="1" t="str">
        <f>IFERROR(__xludf.DUMMYFUNCTION("""COMPUTED_VALUE"""),"")</f>
        <v/>
      </c>
      <c r="AG1386" s="1" t="str">
        <f>IFERROR(__xludf.DUMMYFUNCTION("""COMPUTED_VALUE"""),"")</f>
        <v/>
      </c>
      <c r="AH1386" s="1" t="str">
        <f>IFERROR(__xludf.DUMMYFUNCTION("""COMPUTED_VALUE"""),"PEC")</f>
        <v>PEC</v>
      </c>
      <c r="AI1386" s="2" t="str">
        <f>IFERROR(__xludf.DUMMYFUNCTION("""COMPUTED_VALUE"""),"https://pwc.publicaccessnow.com/PropertyDetail.aspx?mtab=property&amp;mpropertynumber=265450")</f>
        <v>https://pwc.publicaccessnow.com/PropertyDetail.aspx?mtab=property&amp;mpropertynumber=265450</v>
      </c>
      <c r="AJ1386" s="1" t="str">
        <f>IFERROR(__xludf.DUMMYFUNCTION("""COMPUTED_VALUE"""),"")</f>
        <v/>
      </c>
      <c r="AK1386" s="1" t="str">
        <f>IFERROR(__xludf.DUMMYFUNCTION("""COMPUTED_VALUE"""),"")</f>
        <v/>
      </c>
      <c r="AL1386" s="1" t="str">
        <f>IFERROR(__xludf.DUMMYFUNCTION("""COMPUTED_VALUE"""),"")</f>
        <v/>
      </c>
      <c r="AM1386" s="1" t="str">
        <f>IFERROR(__xludf.DUMMYFUNCTION("""COMPUTED_VALUE"""),"")</f>
        <v/>
      </c>
      <c r="AN1386" s="1" t="str">
        <f>IFERROR(__xludf.DUMMYFUNCTION("""COMPUTED_VALUE"""),"")</f>
        <v/>
      </c>
      <c r="AO1386" s="1" t="str">
        <f>IFERROR(__xludf.DUMMYFUNCTION("""COMPUTED_VALUE"""),"")</f>
        <v/>
      </c>
      <c r="AP1386" s="1" t="str">
        <f>IFERROR(__xludf.DUMMYFUNCTION("""COMPUTED_VALUE"""),"")</f>
        <v/>
      </c>
      <c r="AQ1386" s="1" t="str">
        <f>IFERROR(__xludf.DUMMYFUNCTION("""COMPUTED_VALUE"""),"04/10/2024")</f>
        <v>04/10/2024</v>
      </c>
      <c r="AR1386" s="1" t="str">
        <f>IFERROR(__xludf.DUMMYFUNCTION("""COMPUTED_VALUE"""),"10/17/2025")</f>
        <v>10/17/2025</v>
      </c>
    </row>
    <row r="1387">
      <c r="A1387" s="1" t="str">
        <f>IFERROR(__xludf.DUMMYFUNCTION("""COMPUTED_VALUE"""),"SI NVA07 LLC")</f>
        <v>SI NVA07 LLC</v>
      </c>
      <c r="B1387" s="1" t="str">
        <f>IFERROR(__xludf.DUMMYFUNCTION("""COMPUTED_VALUE"""),"9720 INNOVATION DR")</f>
        <v>9720 INNOVATION DR</v>
      </c>
      <c r="C1387" s="1" t="str">
        <f>IFERROR(__xludf.DUMMYFUNCTION("""COMPUTED_VALUE"""),"Manassas")</f>
        <v>Manassas</v>
      </c>
      <c r="D1387" s="1" t="str">
        <f>IFERROR(__xludf.DUMMYFUNCTION("""COMPUTED_VALUE"""),"VA")</f>
        <v>VA</v>
      </c>
      <c r="E1387" s="1" t="str">
        <f>IFERROR(__xludf.DUMMYFUNCTION("""COMPUTED_VALUE"""),"20110")</f>
        <v>20110</v>
      </c>
      <c r="F1387" s="1" t="str">
        <f>IFERROR(__xludf.DUMMYFUNCTION("""COMPUTED_VALUE"""),"Prince William")</f>
        <v>Prince William</v>
      </c>
      <c r="G1387" s="1" t="str">
        <f>IFERROR(__xludf.DUMMYFUNCTION("""COMPUTED_VALUE"""),"38.746647")</f>
        <v>38.746647</v>
      </c>
      <c r="H1387" s="1" t="str">
        <f>IFERROR(__xludf.DUMMYFUNCTION("""COMPUTED_VALUE"""),"-77.51876")</f>
        <v>-77.51876</v>
      </c>
      <c r="I1387" s="1" t="str">
        <f>IFERROR(__xludf.DUMMYFUNCTION("""COMPUTED_VALUE"""),"Operating")</f>
        <v>Operating</v>
      </c>
      <c r="J1387" s="1" t="str">
        <f>IFERROR(__xludf.DUMMYFUNCTION("""COMPUTED_VALUE"""),"High")</f>
        <v>High</v>
      </c>
      <c r="K1387" s="1" t="str">
        <f>IFERROR(__xludf.DUMMYFUNCTION("""COMPUTED_VALUE"""),"")</f>
        <v/>
      </c>
      <c r="L1387" s="1" t="str">
        <f>IFERROR(__xludf.DUMMYFUNCTION("""COMPUTED_VALUE"""),"STACK INFRASTRUCTURE")</f>
        <v>STACK INFRASTRUCTURE</v>
      </c>
      <c r="M1387" s="1" t="str">
        <f>IFERROR(__xludf.DUMMYFUNCTION("""COMPUTED_VALUE"""),"")</f>
        <v/>
      </c>
      <c r="N1387" s="1" t="str">
        <f>IFERROR(__xludf.DUMMYFUNCTION("""COMPUTED_VALUE"""),"")</f>
        <v/>
      </c>
      <c r="O1387" s="1" t="str">
        <f>IFERROR(__xludf.DUMMYFUNCTION("""COMPUTED_VALUE"""),"Unknown")</f>
        <v>Unknown</v>
      </c>
      <c r="P1387" s="1" t="str">
        <f>IFERROR(__xludf.DUMMYFUNCTION("""COMPUTED_VALUE"""),"")</f>
        <v/>
      </c>
      <c r="Q1387" s="1" t="str">
        <f>IFERROR(__xludf.DUMMYFUNCTION("""COMPUTED_VALUE"""),"")</f>
        <v/>
      </c>
      <c r="R1387" s="1" t="str">
        <f>IFERROR(__xludf.DUMMYFUNCTION("""COMPUTED_VALUE"""),"")</f>
        <v/>
      </c>
      <c r="S1387" s="1" t="str">
        <f>IFERROR(__xludf.DUMMYFUNCTION("""COMPUTED_VALUE"""),"")</f>
        <v/>
      </c>
      <c r="T1387" s="1" t="str">
        <f>IFERROR(__xludf.DUMMYFUNCTION("""COMPUTED_VALUE"""),"")</f>
        <v/>
      </c>
      <c r="U1387" s="1" t="str">
        <f>IFERROR(__xludf.DUMMYFUNCTION("""COMPUTED_VALUE"""),"")</f>
        <v/>
      </c>
      <c r="V1387" s="1" t="str">
        <f>IFERROR(__xludf.DUMMYFUNCTION("""COMPUTED_VALUE"""),"233,757")</f>
        <v>233,757</v>
      </c>
      <c r="W1387" s="1" t="str">
        <f>IFERROR(__xludf.DUMMYFUNCTION("""COMPUTED_VALUE"""),"16")</f>
        <v>16</v>
      </c>
      <c r="X1387" s="1" t="str">
        <f>IFERROR(__xludf.DUMMYFUNCTION("""COMPUTED_VALUE"""),"")</f>
        <v/>
      </c>
      <c r="Y1387" s="1" t="str">
        <f>IFERROR(__xludf.DUMMYFUNCTION("""COMPUTED_VALUE"""),"")</f>
        <v/>
      </c>
      <c r="Z1387" s="1" t="str">
        <f>IFERROR(__xludf.DUMMYFUNCTION("""COMPUTED_VALUE"""),"Unknown")</f>
        <v>Unknown</v>
      </c>
      <c r="AA1387" s="1" t="str">
        <f>IFERROR(__xludf.DUMMYFUNCTION("""COMPUTED_VALUE"""),"")</f>
        <v/>
      </c>
      <c r="AB1387" s="1" t="str">
        <f>IFERROR(__xludf.DUMMYFUNCTION("""COMPUTED_VALUE"""),"")</f>
        <v/>
      </c>
      <c r="AC1387" s="1" t="str">
        <f>IFERROR(__xludf.DUMMYFUNCTION("""COMPUTED_VALUE"""),"")</f>
        <v/>
      </c>
      <c r="AD1387" s="1" t="str">
        <f>IFERROR(__xludf.DUMMYFUNCTION("""COMPUTED_VALUE"""),"")</f>
        <v/>
      </c>
      <c r="AE1387" s="1" t="str">
        <f>IFERROR(__xludf.DUMMYFUNCTION("""COMPUTED_VALUE"""),"")</f>
        <v/>
      </c>
      <c r="AF1387" s="1" t="str">
        <f>IFERROR(__xludf.DUMMYFUNCTION("""COMPUTED_VALUE"""),"")</f>
        <v/>
      </c>
      <c r="AG1387" s="1" t="str">
        <f>IFERROR(__xludf.DUMMYFUNCTION("""COMPUTED_VALUE"""),"")</f>
        <v/>
      </c>
      <c r="AH1387" s="1" t="str">
        <f>IFERROR(__xludf.DUMMYFUNCTION("""COMPUTED_VALUE"""),"PEC")</f>
        <v>PEC</v>
      </c>
      <c r="AI1387" s="2" t="str">
        <f>IFERROR(__xludf.DUMMYFUNCTION("""COMPUTED_VALUE"""),"https://pwc.publicaccessnow.com/PropertyDetail.aspx?mtab=property&amp;mpropertynumber=265451")</f>
        <v>https://pwc.publicaccessnow.com/PropertyDetail.aspx?mtab=property&amp;mpropertynumber=265451</v>
      </c>
      <c r="AJ1387" s="1" t="str">
        <f>IFERROR(__xludf.DUMMYFUNCTION("""COMPUTED_VALUE"""),"")</f>
        <v/>
      </c>
      <c r="AK1387" s="1" t="str">
        <f>IFERROR(__xludf.DUMMYFUNCTION("""COMPUTED_VALUE"""),"")</f>
        <v/>
      </c>
      <c r="AL1387" s="1" t="str">
        <f>IFERROR(__xludf.DUMMYFUNCTION("""COMPUTED_VALUE"""),"")</f>
        <v/>
      </c>
      <c r="AM1387" s="1" t="str">
        <f>IFERROR(__xludf.DUMMYFUNCTION("""COMPUTED_VALUE"""),"")</f>
        <v/>
      </c>
      <c r="AN1387" s="1" t="str">
        <f>IFERROR(__xludf.DUMMYFUNCTION("""COMPUTED_VALUE"""),"")</f>
        <v/>
      </c>
      <c r="AO1387" s="1" t="str">
        <f>IFERROR(__xludf.DUMMYFUNCTION("""COMPUTED_VALUE"""),"")</f>
        <v/>
      </c>
      <c r="AP1387" s="1" t="str">
        <f>IFERROR(__xludf.DUMMYFUNCTION("""COMPUTED_VALUE"""),"")</f>
        <v/>
      </c>
      <c r="AQ1387" s="1" t="str">
        <f>IFERROR(__xludf.DUMMYFUNCTION("""COMPUTED_VALUE"""),"04/10/2024")</f>
        <v>04/10/2024</v>
      </c>
      <c r="AR1387" s="1" t="str">
        <f>IFERROR(__xludf.DUMMYFUNCTION("""COMPUTED_VALUE"""),"10/17/2025")</f>
        <v>10/17/2025</v>
      </c>
    </row>
    <row r="1388">
      <c r="A1388" s="1" t="str">
        <f>IFERROR(__xludf.DUMMYFUNCTION("""COMPUTED_VALUE"""),"SI NVA08 LLC")</f>
        <v>SI NVA08 LLC</v>
      </c>
      <c r="B1388" s="1" t="str">
        <f>IFERROR(__xludf.DUMMYFUNCTION("""COMPUTED_VALUE"""),"9740 INNOVATION DR")</f>
        <v>9740 INNOVATION DR</v>
      </c>
      <c r="C1388" s="1" t="str">
        <f>IFERROR(__xludf.DUMMYFUNCTION("""COMPUTED_VALUE"""),"Manassas")</f>
        <v>Manassas</v>
      </c>
      <c r="D1388" s="1" t="str">
        <f>IFERROR(__xludf.DUMMYFUNCTION("""COMPUTED_VALUE"""),"VA")</f>
        <v>VA</v>
      </c>
      <c r="E1388" s="1" t="str">
        <f>IFERROR(__xludf.DUMMYFUNCTION("""COMPUTED_VALUE"""),"20110")</f>
        <v>20110</v>
      </c>
      <c r="F1388" s="1" t="str">
        <f>IFERROR(__xludf.DUMMYFUNCTION("""COMPUTED_VALUE"""),"Prince William")</f>
        <v>Prince William</v>
      </c>
      <c r="G1388" s="1" t="str">
        <f>IFERROR(__xludf.DUMMYFUNCTION("""COMPUTED_VALUE"""),"38.746067")</f>
        <v>38.746067</v>
      </c>
      <c r="H1388" s="1" t="str">
        <f>IFERROR(__xludf.DUMMYFUNCTION("""COMPUTED_VALUE"""),"-77.51748")</f>
        <v>-77.51748</v>
      </c>
      <c r="I1388" s="1" t="str">
        <f>IFERROR(__xludf.DUMMYFUNCTION("""COMPUTED_VALUE"""),"Operating")</f>
        <v>Operating</v>
      </c>
      <c r="J1388" s="1" t="str">
        <f>IFERROR(__xludf.DUMMYFUNCTION("""COMPUTED_VALUE"""),"High")</f>
        <v>High</v>
      </c>
      <c r="K1388" s="1" t="str">
        <f>IFERROR(__xludf.DUMMYFUNCTION("""COMPUTED_VALUE"""),"")</f>
        <v/>
      </c>
      <c r="L1388" s="1" t="str">
        <f>IFERROR(__xludf.DUMMYFUNCTION("""COMPUTED_VALUE"""),"STACK INFRASTRUCTURE")</f>
        <v>STACK INFRASTRUCTURE</v>
      </c>
      <c r="M1388" s="1" t="str">
        <f>IFERROR(__xludf.DUMMYFUNCTION("""COMPUTED_VALUE"""),"")</f>
        <v/>
      </c>
      <c r="N1388" s="1" t="str">
        <f>IFERROR(__xludf.DUMMYFUNCTION("""COMPUTED_VALUE"""),"")</f>
        <v/>
      </c>
      <c r="O1388" s="1" t="str">
        <f>IFERROR(__xludf.DUMMYFUNCTION("""COMPUTED_VALUE"""),"Unknown")</f>
        <v>Unknown</v>
      </c>
      <c r="P1388" s="1" t="str">
        <f>IFERROR(__xludf.DUMMYFUNCTION("""COMPUTED_VALUE"""),"")</f>
        <v/>
      </c>
      <c r="Q1388" s="1" t="str">
        <f>IFERROR(__xludf.DUMMYFUNCTION("""COMPUTED_VALUE"""),"")</f>
        <v/>
      </c>
      <c r="R1388" s="1" t="str">
        <f>IFERROR(__xludf.DUMMYFUNCTION("""COMPUTED_VALUE"""),"")</f>
        <v/>
      </c>
      <c r="S1388" s="1" t="str">
        <f>IFERROR(__xludf.DUMMYFUNCTION("""COMPUTED_VALUE"""),"")</f>
        <v/>
      </c>
      <c r="T1388" s="1" t="str">
        <f>IFERROR(__xludf.DUMMYFUNCTION("""COMPUTED_VALUE"""),"")</f>
        <v/>
      </c>
      <c r="U1388" s="1" t="str">
        <f>IFERROR(__xludf.DUMMYFUNCTION("""COMPUTED_VALUE"""),"")</f>
        <v/>
      </c>
      <c r="V1388" s="1" t="str">
        <f>IFERROR(__xludf.DUMMYFUNCTION("""COMPUTED_VALUE"""),"216,067")</f>
        <v>216,067</v>
      </c>
      <c r="W1388" s="1" t="str">
        <f>IFERROR(__xludf.DUMMYFUNCTION("""COMPUTED_VALUE"""),"16")</f>
        <v>16</v>
      </c>
      <c r="X1388" s="1" t="str">
        <f>IFERROR(__xludf.DUMMYFUNCTION("""COMPUTED_VALUE"""),"")</f>
        <v/>
      </c>
      <c r="Y1388" s="1" t="str">
        <f>IFERROR(__xludf.DUMMYFUNCTION("""COMPUTED_VALUE"""),"")</f>
        <v/>
      </c>
      <c r="Z1388" s="1" t="str">
        <f>IFERROR(__xludf.DUMMYFUNCTION("""COMPUTED_VALUE"""),"Unknown")</f>
        <v>Unknown</v>
      </c>
      <c r="AA1388" s="1" t="str">
        <f>IFERROR(__xludf.DUMMYFUNCTION("""COMPUTED_VALUE"""),"")</f>
        <v/>
      </c>
      <c r="AB1388" s="1" t="str">
        <f>IFERROR(__xludf.DUMMYFUNCTION("""COMPUTED_VALUE"""),"")</f>
        <v/>
      </c>
      <c r="AC1388" s="1" t="str">
        <f>IFERROR(__xludf.DUMMYFUNCTION("""COMPUTED_VALUE"""),"")</f>
        <v/>
      </c>
      <c r="AD1388" s="1" t="str">
        <f>IFERROR(__xludf.DUMMYFUNCTION("""COMPUTED_VALUE"""),"")</f>
        <v/>
      </c>
      <c r="AE1388" s="1" t="str">
        <f>IFERROR(__xludf.DUMMYFUNCTION("""COMPUTED_VALUE"""),"")</f>
        <v/>
      </c>
      <c r="AF1388" s="1" t="str">
        <f>IFERROR(__xludf.DUMMYFUNCTION("""COMPUTED_VALUE"""),"")</f>
        <v/>
      </c>
      <c r="AG1388" s="1" t="str">
        <f>IFERROR(__xludf.DUMMYFUNCTION("""COMPUTED_VALUE"""),"")</f>
        <v/>
      </c>
      <c r="AH1388" s="1" t="str">
        <f>IFERROR(__xludf.DUMMYFUNCTION("""COMPUTED_VALUE"""),"PEC")</f>
        <v>PEC</v>
      </c>
      <c r="AI1388" s="2" t="str">
        <f>IFERROR(__xludf.DUMMYFUNCTION("""COMPUTED_VALUE"""),"https://pwc.publicaccessnow.com/PropertyDetail.aspx?mpropertynumber=265452&amp;mtab=property&amp;p=265452")</f>
        <v>https://pwc.publicaccessnow.com/PropertyDetail.aspx?mpropertynumber=265452&amp;mtab=property&amp;p=265452</v>
      </c>
      <c r="AJ1388" s="1" t="str">
        <f>IFERROR(__xludf.DUMMYFUNCTION("""COMPUTED_VALUE"""),"")</f>
        <v/>
      </c>
      <c r="AK1388" s="1" t="str">
        <f>IFERROR(__xludf.DUMMYFUNCTION("""COMPUTED_VALUE"""),"")</f>
        <v/>
      </c>
      <c r="AL1388" s="1" t="str">
        <f>IFERROR(__xludf.DUMMYFUNCTION("""COMPUTED_VALUE"""),"")</f>
        <v/>
      </c>
      <c r="AM1388" s="1" t="str">
        <f>IFERROR(__xludf.DUMMYFUNCTION("""COMPUTED_VALUE"""),"")</f>
        <v/>
      </c>
      <c r="AN1388" s="1" t="str">
        <f>IFERROR(__xludf.DUMMYFUNCTION("""COMPUTED_VALUE"""),"")</f>
        <v/>
      </c>
      <c r="AO1388" s="1" t="str">
        <f>IFERROR(__xludf.DUMMYFUNCTION("""COMPUTED_VALUE"""),"")</f>
        <v/>
      </c>
      <c r="AP1388" s="1" t="str">
        <f>IFERROR(__xludf.DUMMYFUNCTION("""COMPUTED_VALUE"""),"")</f>
        <v/>
      </c>
      <c r="AQ1388" s="1" t="str">
        <f>IFERROR(__xludf.DUMMYFUNCTION("""COMPUTED_VALUE"""),"04/10/2024")</f>
        <v>04/10/2024</v>
      </c>
      <c r="AR1388" s="1" t="str">
        <f>IFERROR(__xludf.DUMMYFUNCTION("""COMPUTED_VALUE"""),"10/17/2025")</f>
        <v>10/17/2025</v>
      </c>
    </row>
    <row r="1389">
      <c r="A1389" s="1" t="str">
        <f>IFERROR(__xludf.DUMMYFUNCTION("""COMPUTED_VALUE"""),"South Point Phase II LLC")</f>
        <v>South Point Phase II LLC</v>
      </c>
      <c r="B1389" s="1" t="str">
        <f>IFERROR(__xludf.DUMMYFUNCTION("""COMPUTED_VALUE"""),"8300 BUCKEYE TIMBER DR")</f>
        <v>8300 BUCKEYE TIMBER DR</v>
      </c>
      <c r="C1389" s="1" t="str">
        <f>IFERROR(__xludf.DUMMYFUNCTION("""COMPUTED_VALUE"""),"Manassas")</f>
        <v>Manassas</v>
      </c>
      <c r="D1389" s="1" t="str">
        <f>IFERROR(__xludf.DUMMYFUNCTION("""COMPUTED_VALUE"""),"VA")</f>
        <v>VA</v>
      </c>
      <c r="E1389" s="1" t="str">
        <f>IFERROR(__xludf.DUMMYFUNCTION("""COMPUTED_VALUE"""),"20109")</f>
        <v>20109</v>
      </c>
      <c r="F1389" s="1" t="str">
        <f>IFERROR(__xludf.DUMMYFUNCTION("""COMPUTED_VALUE"""),"Prince William")</f>
        <v>Prince William</v>
      </c>
      <c r="G1389" s="1" t="str">
        <f>IFERROR(__xludf.DUMMYFUNCTION("""COMPUTED_VALUE"""),"38.77665")</f>
        <v>38.77665</v>
      </c>
      <c r="H1389" s="1" t="str">
        <f>IFERROR(__xludf.DUMMYFUNCTION("""COMPUTED_VALUE"""),"-77.5567")</f>
        <v>-77.5567</v>
      </c>
      <c r="I1389" s="1" t="str">
        <f>IFERROR(__xludf.DUMMYFUNCTION("""COMPUTED_VALUE"""),"Proposed")</f>
        <v>Proposed</v>
      </c>
      <c r="J1389" s="1" t="str">
        <f>IFERROR(__xludf.DUMMYFUNCTION("""COMPUTED_VALUE"""),"High")</f>
        <v>High</v>
      </c>
      <c r="K1389" s="1" t="str">
        <f>IFERROR(__xludf.DUMMYFUNCTION("""COMPUTED_VALUE"""),"")</f>
        <v/>
      </c>
      <c r="L1389" s="1" t="str">
        <f>IFERROR(__xludf.DUMMYFUNCTION("""COMPUTED_VALUE"""),"South Point Phase II LLC")</f>
        <v>South Point Phase II LLC</v>
      </c>
      <c r="M1389" s="1" t="str">
        <f>IFERROR(__xludf.DUMMYFUNCTION("""COMPUTED_VALUE"""),"")</f>
        <v/>
      </c>
      <c r="N1389" s="1" t="str">
        <f>IFERROR(__xludf.DUMMYFUNCTION("""COMPUTED_VALUE"""),"")</f>
        <v/>
      </c>
      <c r="O1389" s="1" t="str">
        <f>IFERROR(__xludf.DUMMYFUNCTION("""COMPUTED_VALUE"""),"Unknown")</f>
        <v>Unknown</v>
      </c>
      <c r="P1389" s="1" t="str">
        <f>IFERROR(__xludf.DUMMYFUNCTION("""COMPUTED_VALUE"""),"")</f>
        <v/>
      </c>
      <c r="Q1389" s="1" t="str">
        <f>IFERROR(__xludf.DUMMYFUNCTION("""COMPUTED_VALUE"""),"")</f>
        <v/>
      </c>
      <c r="R1389" s="1" t="str">
        <f>IFERROR(__xludf.DUMMYFUNCTION("""COMPUTED_VALUE"""),"")</f>
        <v/>
      </c>
      <c r="S1389" s="1" t="str">
        <f>IFERROR(__xludf.DUMMYFUNCTION("""COMPUTED_VALUE"""),"")</f>
        <v/>
      </c>
      <c r="T1389" s="1" t="str">
        <f>IFERROR(__xludf.DUMMYFUNCTION("""COMPUTED_VALUE"""),"")</f>
        <v/>
      </c>
      <c r="U1389" s="1" t="str">
        <f>IFERROR(__xludf.DUMMYFUNCTION("""COMPUTED_VALUE"""),"")</f>
        <v/>
      </c>
      <c r="V1389" s="1" t="str">
        <f>IFERROR(__xludf.DUMMYFUNCTION("""COMPUTED_VALUE"""),"530,000")</f>
        <v>530,000</v>
      </c>
      <c r="W1389" s="1" t="str">
        <f>IFERROR(__xludf.DUMMYFUNCTION("""COMPUTED_VALUE"""),"22")</f>
        <v>22</v>
      </c>
      <c r="X1389" s="1" t="str">
        <f>IFERROR(__xludf.DUMMYFUNCTION("""COMPUTED_VALUE"""),"")</f>
        <v/>
      </c>
      <c r="Y1389" s="1" t="str">
        <f>IFERROR(__xludf.DUMMYFUNCTION("""COMPUTED_VALUE"""),"")</f>
        <v/>
      </c>
      <c r="Z1389" s="1" t="str">
        <f>IFERROR(__xludf.DUMMYFUNCTION("""COMPUTED_VALUE"""),"Unknown")</f>
        <v>Unknown</v>
      </c>
      <c r="AA1389" s="1" t="str">
        <f>IFERROR(__xludf.DUMMYFUNCTION("""COMPUTED_VALUE"""),"")</f>
        <v/>
      </c>
      <c r="AB1389" s="1" t="str">
        <f>IFERROR(__xludf.DUMMYFUNCTION("""COMPUTED_VALUE"""),"")</f>
        <v/>
      </c>
      <c r="AC1389" s="1" t="str">
        <f>IFERROR(__xludf.DUMMYFUNCTION("""COMPUTED_VALUE"""),"")</f>
        <v/>
      </c>
      <c r="AD1389" s="1" t="str">
        <f>IFERROR(__xludf.DUMMYFUNCTION("""COMPUTED_VALUE"""),"")</f>
        <v/>
      </c>
      <c r="AE1389" s="1" t="str">
        <f>IFERROR(__xludf.DUMMYFUNCTION("""COMPUTED_VALUE"""),"")</f>
        <v/>
      </c>
      <c r="AF1389" s="1" t="str">
        <f>IFERROR(__xludf.DUMMYFUNCTION("""COMPUTED_VALUE"""),"")</f>
        <v/>
      </c>
      <c r="AG1389" s="1" t="str">
        <f>IFERROR(__xludf.DUMMYFUNCTION("""COMPUTED_VALUE"""),"This project covers multiple parcels. The total acreage has been represented here.")</f>
        <v>This project covers multiple parcels. The total acreage has been represented here.</v>
      </c>
      <c r="AH1389" s="1" t="str">
        <f>IFERROR(__xludf.DUMMYFUNCTION("""COMPUTED_VALUE"""),"PEC")</f>
        <v>PEC</v>
      </c>
      <c r="AI1389" s="2" t="str">
        <f>IFERROR(__xludf.DUMMYFUNCTION("""COMPUTED_VALUE"""),"https://www.insidenova.com/headlines/planners-support-linton-hall-data-center-proposal/article_a70fa594-176e-11ec-995a-7f53ce2a867d.html")</f>
        <v>https://www.insidenova.com/headlines/planners-support-linton-hall-data-center-proposal/article_a70fa594-176e-11ec-995a-7f53ce2a867d.html</v>
      </c>
      <c r="AJ1389" s="2" t="str">
        <f>IFERROR(__xludf.DUMMYFUNCTION("""COMPUTED_VALUE"""),"https://pwc.publicaccessnow.com/PropertyDetail.aspx?mtab=property&amp;mpropertynumber=225070")</f>
        <v>https://pwc.publicaccessnow.com/PropertyDetail.aspx?mtab=property&amp;mpropertynumber=225070</v>
      </c>
      <c r="AK1389" s="1" t="str">
        <f>IFERROR(__xludf.DUMMYFUNCTION("""COMPUTED_VALUE"""),"")</f>
        <v/>
      </c>
      <c r="AL1389" s="1" t="str">
        <f>IFERROR(__xludf.DUMMYFUNCTION("""COMPUTED_VALUE"""),"")</f>
        <v/>
      </c>
      <c r="AM1389" s="1" t="str">
        <f>IFERROR(__xludf.DUMMYFUNCTION("""COMPUTED_VALUE"""),"")</f>
        <v/>
      </c>
      <c r="AN1389" s="1" t="str">
        <f>IFERROR(__xludf.DUMMYFUNCTION("""COMPUTED_VALUE"""),"")</f>
        <v/>
      </c>
      <c r="AO1389" s="1" t="str">
        <f>IFERROR(__xludf.DUMMYFUNCTION("""COMPUTED_VALUE"""),"")</f>
        <v/>
      </c>
      <c r="AP1389" s="1" t="str">
        <f>IFERROR(__xludf.DUMMYFUNCTION("""COMPUTED_VALUE"""),"")</f>
        <v/>
      </c>
      <c r="AQ1389" s="1" t="str">
        <f>IFERROR(__xludf.DUMMYFUNCTION("""COMPUTED_VALUE"""),"04/10/2024")</f>
        <v>04/10/2024</v>
      </c>
      <c r="AR1389" s="1" t="str">
        <f>IFERROR(__xludf.DUMMYFUNCTION("""COMPUTED_VALUE"""),"10/17/2025")</f>
        <v>10/17/2025</v>
      </c>
    </row>
    <row r="1390">
      <c r="A1390" s="1" t="str">
        <f>IFERROR(__xludf.DUMMYFUNCTION("""COMPUTED_VALUE"""),"Stoneview")</f>
        <v>Stoneview</v>
      </c>
      <c r="B1390" s="1" t="str">
        <f>IFERROR(__xludf.DUMMYFUNCTION("""COMPUTED_VALUE"""),"8625 Wellington Rd")</f>
        <v>8625 Wellington Rd</v>
      </c>
      <c r="C1390" s="1" t="str">
        <f>IFERROR(__xludf.DUMMYFUNCTION("""COMPUTED_VALUE"""),"Manassas")</f>
        <v>Manassas</v>
      </c>
      <c r="D1390" s="1" t="str">
        <f>IFERROR(__xludf.DUMMYFUNCTION("""COMPUTED_VALUE"""),"VA")</f>
        <v>VA</v>
      </c>
      <c r="E1390" s="1" t="str">
        <f>IFERROR(__xludf.DUMMYFUNCTION("""COMPUTED_VALUE"""),"20109")</f>
        <v>20109</v>
      </c>
      <c r="F1390" s="1" t="str">
        <f>IFERROR(__xludf.DUMMYFUNCTION("""COMPUTED_VALUE"""),"Prince William")</f>
        <v>Prince William</v>
      </c>
      <c r="G1390" s="1" t="str">
        <f>IFERROR(__xludf.DUMMYFUNCTION("""COMPUTED_VALUE"""),"38.76551")</f>
        <v>38.76551</v>
      </c>
      <c r="H1390" s="1" t="str">
        <f>IFERROR(__xludf.DUMMYFUNCTION("""COMPUTED_VALUE"""),"-77.51943")</f>
        <v>-77.51943</v>
      </c>
      <c r="I1390" s="1" t="str">
        <f>IFERROR(__xludf.DUMMYFUNCTION("""COMPUTED_VALUE"""),"Proposed")</f>
        <v>Proposed</v>
      </c>
      <c r="J1390" s="1" t="str">
        <f>IFERROR(__xludf.DUMMYFUNCTION("""COMPUTED_VALUE"""),"High")</f>
        <v>High</v>
      </c>
      <c r="K1390" s="1" t="str">
        <f>IFERROR(__xludf.DUMMYFUNCTION("""COMPUTED_VALUE"""),"")</f>
        <v/>
      </c>
      <c r="L1390" s="1" t="str">
        <f>IFERROR(__xludf.DUMMYFUNCTION("""COMPUTED_VALUE"""),"")</f>
        <v/>
      </c>
      <c r="M1390" s="1" t="str">
        <f>IFERROR(__xludf.DUMMYFUNCTION("""COMPUTED_VALUE"""),"")</f>
        <v/>
      </c>
      <c r="N1390" s="1" t="str">
        <f>IFERROR(__xludf.DUMMYFUNCTION("""COMPUTED_VALUE"""),"")</f>
        <v/>
      </c>
      <c r="O1390" s="1" t="str">
        <f>IFERROR(__xludf.DUMMYFUNCTION("""COMPUTED_VALUE"""),"Unknown")</f>
        <v>Unknown</v>
      </c>
      <c r="P1390" s="1" t="str">
        <f>IFERROR(__xludf.DUMMYFUNCTION("""COMPUTED_VALUE"""),"")</f>
        <v/>
      </c>
      <c r="Q1390" s="1" t="str">
        <f>IFERROR(__xludf.DUMMYFUNCTION("""COMPUTED_VALUE"""),"")</f>
        <v/>
      </c>
      <c r="R1390" s="1" t="str">
        <f>IFERROR(__xludf.DUMMYFUNCTION("""COMPUTED_VALUE"""),"")</f>
        <v/>
      </c>
      <c r="S1390" s="1" t="str">
        <f>IFERROR(__xludf.DUMMYFUNCTION("""COMPUTED_VALUE"""),"")</f>
        <v/>
      </c>
      <c r="T1390" s="1" t="str">
        <f>IFERROR(__xludf.DUMMYFUNCTION("""COMPUTED_VALUE"""),"")</f>
        <v/>
      </c>
      <c r="U1390" s="1" t="str">
        <f>IFERROR(__xludf.DUMMYFUNCTION("""COMPUTED_VALUE"""),"")</f>
        <v/>
      </c>
      <c r="V1390" s="1" t="str">
        <f>IFERROR(__xludf.DUMMYFUNCTION("""COMPUTED_VALUE"""),"149,558")</f>
        <v>149,558</v>
      </c>
      <c r="W1390" s="1" t="str">
        <f>IFERROR(__xludf.DUMMYFUNCTION("""COMPUTED_VALUE"""),"12")</f>
        <v>12</v>
      </c>
      <c r="X1390" s="1" t="str">
        <f>IFERROR(__xludf.DUMMYFUNCTION("""COMPUTED_VALUE"""),"")</f>
        <v/>
      </c>
      <c r="Y1390" s="1" t="str">
        <f>IFERROR(__xludf.DUMMYFUNCTION("""COMPUTED_VALUE"""),"")</f>
        <v/>
      </c>
      <c r="Z1390" s="1" t="str">
        <f>IFERROR(__xludf.DUMMYFUNCTION("""COMPUTED_VALUE"""),"Unknown")</f>
        <v>Unknown</v>
      </c>
      <c r="AA1390" s="1" t="str">
        <f>IFERROR(__xludf.DUMMYFUNCTION("""COMPUTED_VALUE"""),"")</f>
        <v/>
      </c>
      <c r="AB1390" s="1" t="str">
        <f>IFERROR(__xludf.DUMMYFUNCTION("""COMPUTED_VALUE"""),"")</f>
        <v/>
      </c>
      <c r="AC1390" s="1" t="str">
        <f>IFERROR(__xludf.DUMMYFUNCTION("""COMPUTED_VALUE"""),"")</f>
        <v/>
      </c>
      <c r="AD1390" s="1" t="str">
        <f>IFERROR(__xludf.DUMMYFUNCTION("""COMPUTED_VALUE"""),"")</f>
        <v/>
      </c>
      <c r="AE1390" s="1" t="str">
        <f>IFERROR(__xludf.DUMMYFUNCTION("""COMPUTED_VALUE"""),"")</f>
        <v/>
      </c>
      <c r="AF1390" s="1" t="str">
        <f>IFERROR(__xludf.DUMMYFUNCTION("""COMPUTED_VALUE"""),"")</f>
        <v/>
      </c>
      <c r="AG1390" s="1" t="str">
        <f>IFERROR(__xludf.DUMMYFUNCTION("""COMPUTED_VALUE"""),"")</f>
        <v/>
      </c>
      <c r="AH1390" s="1" t="str">
        <f>IFERROR(__xludf.DUMMYFUNCTION("""COMPUTED_VALUE"""),"PEC")</f>
        <v>PEC</v>
      </c>
      <c r="AI1390" s="2" t="str">
        <f>IFERROR(__xludf.DUMMYFUNCTION("""COMPUTED_VALUE"""),"https://egcss.pwcgov.org/SelfService#/plan/3f012be5-4a81-4341-8710-e239efdb3b1e")</f>
        <v>https://egcss.pwcgov.org/SelfService#/plan/3f012be5-4a81-4341-8710-e239efdb3b1e</v>
      </c>
      <c r="AJ1390" s="2" t="str">
        <f>IFERROR(__xludf.DUMMYFUNCTION("""COMPUTED_VALUE"""),"https://pwc.publicaccessnow.com/PropertyDetail.aspx?mtab=property&amp;mpropertynumber=023779")</f>
        <v>https://pwc.publicaccessnow.com/PropertyDetail.aspx?mtab=property&amp;mpropertynumber=023779</v>
      </c>
      <c r="AK1390" s="1" t="str">
        <f>IFERROR(__xludf.DUMMYFUNCTION("""COMPUTED_VALUE"""),"")</f>
        <v/>
      </c>
      <c r="AL1390" s="1" t="str">
        <f>IFERROR(__xludf.DUMMYFUNCTION("""COMPUTED_VALUE"""),"")</f>
        <v/>
      </c>
      <c r="AM1390" s="1" t="str">
        <f>IFERROR(__xludf.DUMMYFUNCTION("""COMPUTED_VALUE"""),"")</f>
        <v/>
      </c>
      <c r="AN1390" s="1" t="str">
        <f>IFERROR(__xludf.DUMMYFUNCTION("""COMPUTED_VALUE"""),"")</f>
        <v/>
      </c>
      <c r="AO1390" s="1" t="str">
        <f>IFERROR(__xludf.DUMMYFUNCTION("""COMPUTED_VALUE"""),"")</f>
        <v/>
      </c>
      <c r="AP1390" s="1" t="str">
        <f>IFERROR(__xludf.DUMMYFUNCTION("""COMPUTED_VALUE"""),"")</f>
        <v/>
      </c>
      <c r="AQ1390" s="1" t="str">
        <f>IFERROR(__xludf.DUMMYFUNCTION("""COMPUTED_VALUE"""),"07/11/2025")</f>
        <v>07/11/2025</v>
      </c>
      <c r="AR1390" s="1" t="str">
        <f>IFERROR(__xludf.DUMMYFUNCTION("""COMPUTED_VALUE"""),"10/17/2025")</f>
        <v>10/17/2025</v>
      </c>
    </row>
    <row r="1391">
      <c r="A1391" s="1" t="str">
        <f>IFERROR(__xludf.DUMMYFUNCTION("""COMPUTED_VALUE"""),"UNICORN INTERESTS LLC, PCL C1")</f>
        <v>UNICORN INTERESTS LLC, PCL C1</v>
      </c>
      <c r="B1391" s="1" t="str">
        <f>IFERROR(__xludf.DUMMYFUNCTION("""COMPUTED_VALUE"""),"10849 AIRMAN AVE")</f>
        <v>10849 AIRMAN AVE</v>
      </c>
      <c r="C1391" s="1" t="str">
        <f>IFERROR(__xludf.DUMMYFUNCTION("""COMPUTED_VALUE"""),"Manassas")</f>
        <v>Manassas</v>
      </c>
      <c r="D1391" s="1" t="str">
        <f>IFERROR(__xludf.DUMMYFUNCTION("""COMPUTED_VALUE"""),"VA")</f>
        <v>VA</v>
      </c>
      <c r="E1391" s="1" t="str">
        <f>IFERROR(__xludf.DUMMYFUNCTION("""COMPUTED_VALUE"""),"20110")</f>
        <v>20110</v>
      </c>
      <c r="F1391" s="1" t="str">
        <f>IFERROR(__xludf.DUMMYFUNCTION("""COMPUTED_VALUE"""),"Prince William")</f>
        <v>Prince William</v>
      </c>
      <c r="G1391" s="1" t="str">
        <f>IFERROR(__xludf.DUMMYFUNCTION("""COMPUTED_VALUE"""),"38.719288")</f>
        <v>38.719288</v>
      </c>
      <c r="H1391" s="1" t="str">
        <f>IFERROR(__xludf.DUMMYFUNCTION("""COMPUTED_VALUE"""),"-77.496185")</f>
        <v>-77.496185</v>
      </c>
      <c r="I1391" s="1" t="str">
        <f>IFERROR(__xludf.DUMMYFUNCTION("""COMPUTED_VALUE"""),"Proposed")</f>
        <v>Proposed</v>
      </c>
      <c r="J1391" s="1" t="str">
        <f>IFERROR(__xludf.DUMMYFUNCTION("""COMPUTED_VALUE"""),"High")</f>
        <v>High</v>
      </c>
      <c r="K1391" s="1" t="str">
        <f>IFERROR(__xludf.DUMMYFUNCTION("""COMPUTED_VALUE"""),"")</f>
        <v/>
      </c>
      <c r="L1391" s="1" t="str">
        <f>IFERROR(__xludf.DUMMYFUNCTION("""COMPUTED_VALUE"""),"UNICORN INTERESTS LLC")</f>
        <v>UNICORN INTERESTS LLC</v>
      </c>
      <c r="M1391" s="1" t="str">
        <f>IFERROR(__xludf.DUMMYFUNCTION("""COMPUTED_VALUE"""),"")</f>
        <v/>
      </c>
      <c r="N1391" s="1" t="str">
        <f>IFERROR(__xludf.DUMMYFUNCTION("""COMPUTED_VALUE"""),"")</f>
        <v/>
      </c>
      <c r="O1391" s="1" t="str">
        <f>IFERROR(__xludf.DUMMYFUNCTION("""COMPUTED_VALUE"""),"Unknown")</f>
        <v>Unknown</v>
      </c>
      <c r="P1391" s="1" t="str">
        <f>IFERROR(__xludf.DUMMYFUNCTION("""COMPUTED_VALUE"""),"")</f>
        <v/>
      </c>
      <c r="Q1391" s="1" t="str">
        <f>IFERROR(__xludf.DUMMYFUNCTION("""COMPUTED_VALUE"""),"")</f>
        <v/>
      </c>
      <c r="R1391" s="1" t="str">
        <f>IFERROR(__xludf.DUMMYFUNCTION("""COMPUTED_VALUE"""),"")</f>
        <v/>
      </c>
      <c r="S1391" s="1" t="str">
        <f>IFERROR(__xludf.DUMMYFUNCTION("""COMPUTED_VALUE"""),"")</f>
        <v/>
      </c>
      <c r="T1391" s="1" t="str">
        <f>IFERROR(__xludf.DUMMYFUNCTION("""COMPUTED_VALUE"""),"")</f>
        <v/>
      </c>
      <c r="U1391" s="1" t="str">
        <f>IFERROR(__xludf.DUMMYFUNCTION("""COMPUTED_VALUE"""),"")</f>
        <v/>
      </c>
      <c r="V1391" s="1" t="str">
        <f>IFERROR(__xludf.DUMMYFUNCTION("""COMPUTED_VALUE"""),"250,144")</f>
        <v>250,144</v>
      </c>
      <c r="W1391" s="1" t="str">
        <f>IFERROR(__xludf.DUMMYFUNCTION("""COMPUTED_VALUE"""),"17")</f>
        <v>17</v>
      </c>
      <c r="X1391" s="1" t="str">
        <f>IFERROR(__xludf.DUMMYFUNCTION("""COMPUTED_VALUE"""),"")</f>
        <v/>
      </c>
      <c r="Y1391" s="1" t="str">
        <f>IFERROR(__xludf.DUMMYFUNCTION("""COMPUTED_VALUE"""),"")</f>
        <v/>
      </c>
      <c r="Z1391" s="1" t="str">
        <f>IFERROR(__xludf.DUMMYFUNCTION("""COMPUTED_VALUE"""),"Unknown")</f>
        <v>Unknown</v>
      </c>
      <c r="AA1391" s="1" t="str">
        <f>IFERROR(__xludf.DUMMYFUNCTION("""COMPUTED_VALUE"""),"")</f>
        <v/>
      </c>
      <c r="AB1391" s="1" t="str">
        <f>IFERROR(__xludf.DUMMYFUNCTION("""COMPUTED_VALUE"""),"")</f>
        <v/>
      </c>
      <c r="AC1391" s="1" t="str">
        <f>IFERROR(__xludf.DUMMYFUNCTION("""COMPUTED_VALUE"""),"")</f>
        <v/>
      </c>
      <c r="AD1391" s="1" t="str">
        <f>IFERROR(__xludf.DUMMYFUNCTION("""COMPUTED_VALUE"""),"")</f>
        <v/>
      </c>
      <c r="AE1391" s="1" t="str">
        <f>IFERROR(__xludf.DUMMYFUNCTION("""COMPUTED_VALUE"""),"")</f>
        <v/>
      </c>
      <c r="AF1391" s="1" t="str">
        <f>IFERROR(__xludf.DUMMYFUNCTION("""COMPUTED_VALUE"""),"")</f>
        <v/>
      </c>
      <c r="AG1391" s="1" t="str">
        <f>IFERROR(__xludf.DUMMYFUNCTION("""COMPUTED_VALUE"""),"")</f>
        <v/>
      </c>
      <c r="AH1391" s="1" t="str">
        <f>IFERROR(__xludf.DUMMYFUNCTION("""COMPUTED_VALUE"""),"PEC")</f>
        <v>PEC</v>
      </c>
      <c r="AI1391" s="2" t="str">
        <f>IFERROR(__xludf.DUMMYFUNCTION("""COMPUTED_VALUE"""),"https://egcss.pwcgov.org/SelfService#/project/d91b5451-7721-4963-b450-05f269c503e5")</f>
        <v>https://egcss.pwcgov.org/SelfService#/project/d91b5451-7721-4963-b450-05f269c503e5</v>
      </c>
      <c r="AJ1391" s="2" t="str">
        <f>IFERROR(__xludf.DUMMYFUNCTION("""COMPUTED_VALUE"""),"https://pwc.publicaccessnow.com/PropertyDetail.aspx?mtab=property&amp;mpropertynumber=254675")</f>
        <v>https://pwc.publicaccessnow.com/PropertyDetail.aspx?mtab=property&amp;mpropertynumber=254675</v>
      </c>
      <c r="AK1391" s="1" t="str">
        <f>IFERROR(__xludf.DUMMYFUNCTION("""COMPUTED_VALUE"""),"")</f>
        <v/>
      </c>
      <c r="AL1391" s="1" t="str">
        <f>IFERROR(__xludf.DUMMYFUNCTION("""COMPUTED_VALUE"""),"")</f>
        <v/>
      </c>
      <c r="AM1391" s="1" t="str">
        <f>IFERROR(__xludf.DUMMYFUNCTION("""COMPUTED_VALUE"""),"")</f>
        <v/>
      </c>
      <c r="AN1391" s="1" t="str">
        <f>IFERROR(__xludf.DUMMYFUNCTION("""COMPUTED_VALUE"""),"")</f>
        <v/>
      </c>
      <c r="AO1391" s="1" t="str">
        <f>IFERROR(__xludf.DUMMYFUNCTION("""COMPUTED_VALUE"""),"")</f>
        <v/>
      </c>
      <c r="AP1391" s="1" t="str">
        <f>IFERROR(__xludf.DUMMYFUNCTION("""COMPUTED_VALUE"""),"")</f>
        <v/>
      </c>
      <c r="AQ1391" s="1" t="str">
        <f>IFERROR(__xludf.DUMMYFUNCTION("""COMPUTED_VALUE"""),"04/10/2024")</f>
        <v>04/10/2024</v>
      </c>
      <c r="AR1391" s="1" t="str">
        <f>IFERROR(__xludf.DUMMYFUNCTION("""COMPUTED_VALUE"""),"10/17/2025")</f>
        <v>10/17/2025</v>
      </c>
    </row>
    <row r="1392">
      <c r="A1392" s="1" t="str">
        <f>IFERROR(__xludf.DUMMYFUNCTION("""COMPUTED_VALUE"""),"VA6B1 and VA6B2")</f>
        <v>VA6B1 and VA6B2</v>
      </c>
      <c r="B1392" s="1" t="str">
        <f>IFERROR(__xludf.DUMMYFUNCTION("""COMPUTED_VALUE"""),"7749 WELLINGTON RD")</f>
        <v>7749 WELLINGTON RD</v>
      </c>
      <c r="C1392" s="1" t="str">
        <f>IFERROR(__xludf.DUMMYFUNCTION("""COMPUTED_VALUE"""),"Manassas")</f>
        <v>Manassas</v>
      </c>
      <c r="D1392" s="1" t="str">
        <f>IFERROR(__xludf.DUMMYFUNCTION("""COMPUTED_VALUE"""),"VA")</f>
        <v>VA</v>
      </c>
      <c r="E1392" s="1" t="str">
        <f>IFERROR(__xludf.DUMMYFUNCTION("""COMPUTED_VALUE"""),"20109")</f>
        <v>20109</v>
      </c>
      <c r="F1392" s="1" t="str">
        <f>IFERROR(__xludf.DUMMYFUNCTION("""COMPUTED_VALUE"""),"Prince William")</f>
        <v>Prince William</v>
      </c>
      <c r="G1392" s="1" t="str">
        <f>IFERROR(__xludf.DUMMYFUNCTION("""COMPUTED_VALUE"""),"38.76804")</f>
        <v>38.76804</v>
      </c>
      <c r="H1392" s="1" t="str">
        <f>IFERROR(__xludf.DUMMYFUNCTION("""COMPUTED_VALUE"""),"-77.53841")</f>
        <v>-77.53841</v>
      </c>
      <c r="I1392" s="1" t="str">
        <f>IFERROR(__xludf.DUMMYFUNCTION("""COMPUTED_VALUE"""),"Operating")</f>
        <v>Operating</v>
      </c>
      <c r="J1392" s="1" t="str">
        <f>IFERROR(__xludf.DUMMYFUNCTION("""COMPUTED_VALUE"""),"High")</f>
        <v>High</v>
      </c>
      <c r="K1392" s="1" t="str">
        <f>IFERROR(__xludf.DUMMYFUNCTION("""COMPUTED_VALUE"""),"")</f>
        <v/>
      </c>
      <c r="L1392" s="1" t="str">
        <f>IFERROR(__xludf.DUMMYFUNCTION("""COMPUTED_VALUE"""),"IRON MOUNTAIN DATA CENTERS LLC")</f>
        <v>IRON MOUNTAIN DATA CENTERS LLC</v>
      </c>
      <c r="M1392" s="1" t="str">
        <f>IFERROR(__xludf.DUMMYFUNCTION("""COMPUTED_VALUE"""),"")</f>
        <v/>
      </c>
      <c r="N1392" s="1" t="str">
        <f>IFERROR(__xludf.DUMMYFUNCTION("""COMPUTED_VALUE"""),"")</f>
        <v/>
      </c>
      <c r="O1392" s="1" t="str">
        <f>IFERROR(__xludf.DUMMYFUNCTION("""COMPUTED_VALUE"""),"Unknown")</f>
        <v>Unknown</v>
      </c>
      <c r="P1392" s="1" t="str">
        <f>IFERROR(__xludf.DUMMYFUNCTION("""COMPUTED_VALUE"""),"")</f>
        <v/>
      </c>
      <c r="Q1392" s="1" t="str">
        <f>IFERROR(__xludf.DUMMYFUNCTION("""COMPUTED_VALUE"""),"")</f>
        <v/>
      </c>
      <c r="R1392" s="1" t="str">
        <f>IFERROR(__xludf.DUMMYFUNCTION("""COMPUTED_VALUE"""),"")</f>
        <v/>
      </c>
      <c r="S1392" s="1" t="str">
        <f>IFERROR(__xludf.DUMMYFUNCTION("""COMPUTED_VALUE"""),"")</f>
        <v/>
      </c>
      <c r="T1392" s="1" t="str">
        <f>IFERROR(__xludf.DUMMYFUNCTION("""COMPUTED_VALUE"""),"")</f>
        <v/>
      </c>
      <c r="U1392" s="1" t="str">
        <f>IFERROR(__xludf.DUMMYFUNCTION("""COMPUTED_VALUE"""),"")</f>
        <v/>
      </c>
      <c r="V1392" s="1" t="str">
        <f>IFERROR(__xludf.DUMMYFUNCTION("""COMPUTED_VALUE"""),"230,706")</f>
        <v>230,706</v>
      </c>
      <c r="W1392" s="1" t="str">
        <f>IFERROR(__xludf.DUMMYFUNCTION("""COMPUTED_VALUE"""),"14")</f>
        <v>14</v>
      </c>
      <c r="X1392" s="1" t="str">
        <f>IFERROR(__xludf.DUMMYFUNCTION("""COMPUTED_VALUE"""),"")</f>
        <v/>
      </c>
      <c r="Y1392" s="1" t="str">
        <f>IFERROR(__xludf.DUMMYFUNCTION("""COMPUTED_VALUE"""),"")</f>
        <v/>
      </c>
      <c r="Z1392" s="1" t="str">
        <f>IFERROR(__xludf.DUMMYFUNCTION("""COMPUTED_VALUE"""),"Unknown")</f>
        <v>Unknown</v>
      </c>
      <c r="AA1392" s="1" t="str">
        <f>IFERROR(__xludf.DUMMYFUNCTION("""COMPUTED_VALUE"""),"")</f>
        <v/>
      </c>
      <c r="AB1392" s="1" t="str">
        <f>IFERROR(__xludf.DUMMYFUNCTION("""COMPUTED_VALUE"""),"")</f>
        <v/>
      </c>
      <c r="AC1392" s="1" t="str">
        <f>IFERROR(__xludf.DUMMYFUNCTION("""COMPUTED_VALUE"""),"")</f>
        <v/>
      </c>
      <c r="AD1392" s="1" t="str">
        <f>IFERROR(__xludf.DUMMYFUNCTION("""COMPUTED_VALUE"""),"")</f>
        <v/>
      </c>
      <c r="AE1392" s="1" t="str">
        <f>IFERROR(__xludf.DUMMYFUNCTION("""COMPUTED_VALUE"""),"")</f>
        <v/>
      </c>
      <c r="AF1392" s="1" t="str">
        <f>IFERROR(__xludf.DUMMYFUNCTION("""COMPUTED_VALUE"""),"")</f>
        <v/>
      </c>
      <c r="AG1392" s="1" t="str">
        <f>IFERROR(__xludf.DUMMYFUNCTION("""COMPUTED_VALUE"""),"")</f>
        <v/>
      </c>
      <c r="AH1392" s="1" t="str">
        <f>IFERROR(__xludf.DUMMYFUNCTION("""COMPUTED_VALUE"""),"PEC")</f>
        <v>PEC</v>
      </c>
      <c r="AI1392" s="2" t="str">
        <f>IFERROR(__xludf.DUMMYFUNCTION("""COMPUTED_VALUE"""),"https://egcss.pwcgov.org/SelfService#/project/e9a346de-2f59-4bf0-97e6-98b81a0869e6")</f>
        <v>https://egcss.pwcgov.org/SelfService#/project/e9a346de-2f59-4bf0-97e6-98b81a0869e6</v>
      </c>
      <c r="AJ1392" s="2" t="str">
        <f>IFERROR(__xludf.DUMMYFUNCTION("""COMPUTED_VALUE"""),"https://pwc.publicaccessnow.com/PropertyDetail.aspx?mtab=property&amp;mpropertynumber=270074")</f>
        <v>https://pwc.publicaccessnow.com/PropertyDetail.aspx?mtab=property&amp;mpropertynumber=270074</v>
      </c>
      <c r="AK1392" s="1" t="str">
        <f>IFERROR(__xludf.DUMMYFUNCTION("""COMPUTED_VALUE"""),"")</f>
        <v/>
      </c>
      <c r="AL1392" s="1" t="str">
        <f>IFERROR(__xludf.DUMMYFUNCTION("""COMPUTED_VALUE"""),"")</f>
        <v/>
      </c>
      <c r="AM1392" s="1" t="str">
        <f>IFERROR(__xludf.DUMMYFUNCTION("""COMPUTED_VALUE"""),"")</f>
        <v/>
      </c>
      <c r="AN1392" s="1" t="str">
        <f>IFERROR(__xludf.DUMMYFUNCTION("""COMPUTED_VALUE"""),"")</f>
        <v/>
      </c>
      <c r="AO1392" s="1" t="str">
        <f>IFERROR(__xludf.DUMMYFUNCTION("""COMPUTED_VALUE"""),"")</f>
        <v/>
      </c>
      <c r="AP1392" s="1" t="str">
        <f>IFERROR(__xludf.DUMMYFUNCTION("""COMPUTED_VALUE"""),"")</f>
        <v/>
      </c>
      <c r="AQ1392" s="1" t="str">
        <f>IFERROR(__xludf.DUMMYFUNCTION("""COMPUTED_VALUE"""),"04/10/2024")</f>
        <v>04/10/2024</v>
      </c>
      <c r="AR1392" s="1" t="str">
        <f>IFERROR(__xludf.DUMMYFUNCTION("""COMPUTED_VALUE"""),"10/17/2025")</f>
        <v>10/17/2025</v>
      </c>
    </row>
    <row r="1393">
      <c r="A1393" s="1" t="str">
        <f>IFERROR(__xludf.DUMMYFUNCTION("""COMPUTED_VALUE"""),"Vulcan Data Center")</f>
        <v>Vulcan Data Center</v>
      </c>
      <c r="B1393" s="1" t="str">
        <f>IFERROR(__xludf.DUMMYFUNCTION("""COMPUTED_VALUE"""),"8501 VULCAN LN")</f>
        <v>8501 VULCAN LN</v>
      </c>
      <c r="C1393" s="1" t="str">
        <f>IFERROR(__xludf.DUMMYFUNCTION("""COMPUTED_VALUE"""),"Manassas")</f>
        <v>Manassas</v>
      </c>
      <c r="D1393" s="1" t="str">
        <f>IFERROR(__xludf.DUMMYFUNCTION("""COMPUTED_VALUE"""),"VA")</f>
        <v>VA</v>
      </c>
      <c r="E1393" s="1" t="str">
        <f>IFERROR(__xludf.DUMMYFUNCTION("""COMPUTED_VALUE"""),"20109")</f>
        <v>20109</v>
      </c>
      <c r="F1393" s="1" t="str">
        <f>IFERROR(__xludf.DUMMYFUNCTION("""COMPUTED_VALUE"""),"Prince William")</f>
        <v>Prince William</v>
      </c>
      <c r="G1393" s="1" t="str">
        <f>IFERROR(__xludf.DUMMYFUNCTION("""COMPUTED_VALUE"""),"38.77115")</f>
        <v>38.77115</v>
      </c>
      <c r="H1393" s="1" t="str">
        <f>IFERROR(__xludf.DUMMYFUNCTION("""COMPUTED_VALUE"""),"-77.51435")</f>
        <v>-77.51435</v>
      </c>
      <c r="I1393" s="1" t="str">
        <f>IFERROR(__xludf.DUMMYFUNCTION("""COMPUTED_VALUE"""),"Proposed")</f>
        <v>Proposed</v>
      </c>
      <c r="J1393" s="1" t="str">
        <f>IFERROR(__xludf.DUMMYFUNCTION("""COMPUTED_VALUE"""),"High")</f>
        <v>High</v>
      </c>
      <c r="K1393" s="1" t="str">
        <f>IFERROR(__xludf.DUMMYFUNCTION("""COMPUTED_VALUE"""),"")</f>
        <v/>
      </c>
      <c r="L1393" s="1" t="str">
        <f>IFERROR(__xludf.DUMMYFUNCTION("""COMPUTED_VALUE"""),"Amazon")</f>
        <v>Amazon</v>
      </c>
      <c r="M1393" s="1" t="str">
        <f>IFERROR(__xludf.DUMMYFUNCTION("""COMPUTED_VALUE"""),"")</f>
        <v/>
      </c>
      <c r="N1393" s="1" t="str">
        <f>IFERROR(__xludf.DUMMYFUNCTION("""COMPUTED_VALUE"""),"")</f>
        <v/>
      </c>
      <c r="O1393" s="1" t="str">
        <f>IFERROR(__xludf.DUMMYFUNCTION("""COMPUTED_VALUE"""),"Unknown")</f>
        <v>Unknown</v>
      </c>
      <c r="P1393" s="1" t="str">
        <f>IFERROR(__xludf.DUMMYFUNCTION("""COMPUTED_VALUE"""),"")</f>
        <v/>
      </c>
      <c r="Q1393" s="1" t="str">
        <f>IFERROR(__xludf.DUMMYFUNCTION("""COMPUTED_VALUE"""),"")</f>
        <v/>
      </c>
      <c r="R1393" s="1" t="str">
        <f>IFERROR(__xludf.DUMMYFUNCTION("""COMPUTED_VALUE"""),"")</f>
        <v/>
      </c>
      <c r="S1393" s="1" t="str">
        <f>IFERROR(__xludf.DUMMYFUNCTION("""COMPUTED_VALUE"""),"")</f>
        <v/>
      </c>
      <c r="T1393" s="1" t="str">
        <f>IFERROR(__xludf.DUMMYFUNCTION("""COMPUTED_VALUE"""),"")</f>
        <v/>
      </c>
      <c r="U1393" s="1" t="str">
        <f>IFERROR(__xludf.DUMMYFUNCTION("""COMPUTED_VALUE"""),"")</f>
        <v/>
      </c>
      <c r="V1393" s="1" t="str">
        <f>IFERROR(__xludf.DUMMYFUNCTION("""COMPUTED_VALUE"""),"1,071,000")</f>
        <v>1,071,000</v>
      </c>
      <c r="W1393" s="1" t="str">
        <f>IFERROR(__xludf.DUMMYFUNCTION("""COMPUTED_VALUE"""),"165")</f>
        <v>165</v>
      </c>
      <c r="X1393" s="1" t="str">
        <f>IFERROR(__xludf.DUMMYFUNCTION("""COMPUTED_VALUE"""),"")</f>
        <v/>
      </c>
      <c r="Y1393" s="1" t="str">
        <f>IFERROR(__xludf.DUMMYFUNCTION("""COMPUTED_VALUE"""),"")</f>
        <v/>
      </c>
      <c r="Z1393" s="1" t="str">
        <f>IFERROR(__xludf.DUMMYFUNCTION("""COMPUTED_VALUE"""),"Unknown")</f>
        <v>Unknown</v>
      </c>
      <c r="AA1393" s="1" t="str">
        <f>IFERROR(__xludf.DUMMYFUNCTION("""COMPUTED_VALUE"""),"")</f>
        <v/>
      </c>
      <c r="AB1393" s="1" t="str">
        <f>IFERROR(__xludf.DUMMYFUNCTION("""COMPUTED_VALUE"""),"")</f>
        <v/>
      </c>
      <c r="AC1393" s="1" t="str">
        <f>IFERROR(__xludf.DUMMYFUNCTION("""COMPUTED_VALUE"""),"")</f>
        <v/>
      </c>
      <c r="AD1393" s="1" t="str">
        <f>IFERROR(__xludf.DUMMYFUNCTION("""COMPUTED_VALUE"""),"")</f>
        <v/>
      </c>
      <c r="AE1393" s="1" t="str">
        <f>IFERROR(__xludf.DUMMYFUNCTION("""COMPUTED_VALUE"""),"")</f>
        <v/>
      </c>
      <c r="AF1393" s="1" t="str">
        <f>IFERROR(__xludf.DUMMYFUNCTION("""COMPUTED_VALUE"""),"")</f>
        <v/>
      </c>
      <c r="AG1393" s="1" t="str">
        <f>IFERROR(__xludf.DUMMYFUNCTION("""COMPUTED_VALUE"""),"square footage is an estimate")</f>
        <v>square footage is an estimate</v>
      </c>
      <c r="AH1393" s="1" t="str">
        <f>IFERROR(__xludf.DUMMYFUNCTION("""COMPUTED_VALUE"""),"PEC")</f>
        <v>PEC</v>
      </c>
      <c r="AI1393" s="2" t="str">
        <f>IFERROR(__xludf.DUMMYFUNCTION("""COMPUTED_VALUE"""),"https://egcss.pwcgov.org/SelfService#/plan/f322379d-0301-4028-9ba5-e23724a6cb51")</f>
        <v>https://egcss.pwcgov.org/SelfService#/plan/f322379d-0301-4028-9ba5-e23724a6cb51</v>
      </c>
      <c r="AJ1393" s="2" t="str">
        <f>IFERROR(__xludf.DUMMYFUNCTION("""COMPUTED_VALUE"""),"https://pwc.publicaccessnow.com/PropertyDetail.aspx?mtab=property&amp;mpropertynumber=019605")</f>
        <v>https://pwc.publicaccessnow.com/PropertyDetail.aspx?mtab=property&amp;mpropertynumber=019605</v>
      </c>
      <c r="AK1393" s="1" t="str">
        <f>IFERROR(__xludf.DUMMYFUNCTION("""COMPUTED_VALUE"""),"")</f>
        <v/>
      </c>
      <c r="AL1393" s="1" t="str">
        <f>IFERROR(__xludf.DUMMYFUNCTION("""COMPUTED_VALUE"""),"")</f>
        <v/>
      </c>
      <c r="AM1393" s="1" t="str">
        <f>IFERROR(__xludf.DUMMYFUNCTION("""COMPUTED_VALUE"""),"")</f>
        <v/>
      </c>
      <c r="AN1393" s="1" t="str">
        <f>IFERROR(__xludf.DUMMYFUNCTION("""COMPUTED_VALUE"""),"")</f>
        <v/>
      </c>
      <c r="AO1393" s="1" t="str">
        <f>IFERROR(__xludf.DUMMYFUNCTION("""COMPUTED_VALUE"""),"")</f>
        <v/>
      </c>
      <c r="AP1393" s="1" t="str">
        <f>IFERROR(__xludf.DUMMYFUNCTION("""COMPUTED_VALUE"""),"")</f>
        <v/>
      </c>
      <c r="AQ1393" s="1" t="str">
        <f>IFERROR(__xludf.DUMMYFUNCTION("""COMPUTED_VALUE"""),"04/10/2024")</f>
        <v>04/10/2024</v>
      </c>
      <c r="AR1393" s="1" t="str">
        <f>IFERROR(__xludf.DUMMYFUNCTION("""COMPUTED_VALUE"""),"10/17/2025")</f>
        <v>10/17/2025</v>
      </c>
    </row>
    <row r="1394">
      <c r="A1394" s="1" t="str">
        <f>IFERROR(__xludf.DUMMYFUNCTION("""COMPUTED_VALUE"""),"WELLINGTON GLEN TECHNOLOGY PARK")</f>
        <v>WELLINGTON GLEN TECHNOLOGY PARK</v>
      </c>
      <c r="B1394" s="1" t="str">
        <f>IFERROR(__xludf.DUMMYFUNCTION("""COMPUTED_VALUE"""),"11901 SUDLEY MANOR DR")</f>
        <v>11901 SUDLEY MANOR DR</v>
      </c>
      <c r="C1394" s="1" t="str">
        <f>IFERROR(__xludf.DUMMYFUNCTION("""COMPUTED_VALUE"""),"Manassas")</f>
        <v>Manassas</v>
      </c>
      <c r="D1394" s="1" t="str">
        <f>IFERROR(__xludf.DUMMYFUNCTION("""COMPUTED_VALUE"""),"VA")</f>
        <v>VA</v>
      </c>
      <c r="E1394" s="1" t="str">
        <f>IFERROR(__xludf.DUMMYFUNCTION("""COMPUTED_VALUE"""),"20109")</f>
        <v>20109</v>
      </c>
      <c r="F1394" s="1" t="str">
        <f>IFERROR(__xludf.DUMMYFUNCTION("""COMPUTED_VALUE"""),"Prince William")</f>
        <v>Prince William</v>
      </c>
      <c r="G1394" s="1" t="str">
        <f>IFERROR(__xludf.DUMMYFUNCTION("""COMPUTED_VALUE"""),"38.764816")</f>
        <v>38.764816</v>
      </c>
      <c r="H1394" s="1" t="str">
        <f>IFERROR(__xludf.DUMMYFUNCTION("""COMPUTED_VALUE"""),"-77.54452")</f>
        <v>-77.54452</v>
      </c>
      <c r="I1394" s="1" t="str">
        <f>IFERROR(__xludf.DUMMYFUNCTION("""COMPUTED_VALUE"""),"Proposed")</f>
        <v>Proposed</v>
      </c>
      <c r="J1394" s="1" t="str">
        <f>IFERROR(__xludf.DUMMYFUNCTION("""COMPUTED_VALUE"""),"High")</f>
        <v>High</v>
      </c>
      <c r="K1394" s="1" t="str">
        <f>IFERROR(__xludf.DUMMYFUNCTION("""COMPUTED_VALUE"""),"")</f>
        <v/>
      </c>
      <c r="L1394" s="1" t="str">
        <f>IFERROR(__xludf.DUMMYFUNCTION("""COMPUTED_VALUE"""),"")</f>
        <v/>
      </c>
      <c r="M1394" s="1" t="str">
        <f>IFERROR(__xludf.DUMMYFUNCTION("""COMPUTED_VALUE"""),"")</f>
        <v/>
      </c>
      <c r="N1394" s="1" t="str">
        <f>IFERROR(__xludf.DUMMYFUNCTION("""COMPUTED_VALUE"""),"")</f>
        <v/>
      </c>
      <c r="O1394" s="1" t="str">
        <f>IFERROR(__xludf.DUMMYFUNCTION("""COMPUTED_VALUE"""),"Unknown")</f>
        <v>Unknown</v>
      </c>
      <c r="P1394" s="1" t="str">
        <f>IFERROR(__xludf.DUMMYFUNCTION("""COMPUTED_VALUE"""),"")</f>
        <v/>
      </c>
      <c r="Q1394" s="1" t="str">
        <f>IFERROR(__xludf.DUMMYFUNCTION("""COMPUTED_VALUE"""),"")</f>
        <v/>
      </c>
      <c r="R1394" s="1" t="str">
        <f>IFERROR(__xludf.DUMMYFUNCTION("""COMPUTED_VALUE"""),"")</f>
        <v/>
      </c>
      <c r="S1394" s="1" t="str">
        <f>IFERROR(__xludf.DUMMYFUNCTION("""COMPUTED_VALUE"""),"")</f>
        <v/>
      </c>
      <c r="T1394" s="1" t="str">
        <f>IFERROR(__xludf.DUMMYFUNCTION("""COMPUTED_VALUE"""),"")</f>
        <v/>
      </c>
      <c r="U1394" s="1" t="str">
        <f>IFERROR(__xludf.DUMMYFUNCTION("""COMPUTED_VALUE"""),"")</f>
        <v/>
      </c>
      <c r="V1394" s="1" t="str">
        <f>IFERROR(__xludf.DUMMYFUNCTION("""COMPUTED_VALUE"""),"645,000")</f>
        <v>645,000</v>
      </c>
      <c r="W1394" s="1" t="str">
        <f>IFERROR(__xludf.DUMMYFUNCTION("""COMPUTED_VALUE"""),"51")</f>
        <v>51</v>
      </c>
      <c r="X1394" s="1" t="str">
        <f>IFERROR(__xludf.DUMMYFUNCTION("""COMPUTED_VALUE"""),"")</f>
        <v/>
      </c>
      <c r="Y1394" s="1" t="str">
        <f>IFERROR(__xludf.DUMMYFUNCTION("""COMPUTED_VALUE"""),"")</f>
        <v/>
      </c>
      <c r="Z1394" s="1" t="str">
        <f>IFERROR(__xludf.DUMMYFUNCTION("""COMPUTED_VALUE"""),"Unknown")</f>
        <v>Unknown</v>
      </c>
      <c r="AA1394" s="1" t="str">
        <f>IFERROR(__xludf.DUMMYFUNCTION("""COMPUTED_VALUE"""),"")</f>
        <v/>
      </c>
      <c r="AB1394" s="1" t="str">
        <f>IFERROR(__xludf.DUMMYFUNCTION("""COMPUTED_VALUE"""),"")</f>
        <v/>
      </c>
      <c r="AC1394" s="1" t="str">
        <f>IFERROR(__xludf.DUMMYFUNCTION("""COMPUTED_VALUE"""),"")</f>
        <v/>
      </c>
      <c r="AD1394" s="1" t="str">
        <f>IFERROR(__xludf.DUMMYFUNCTION("""COMPUTED_VALUE"""),"")</f>
        <v/>
      </c>
      <c r="AE1394" s="1" t="str">
        <f>IFERROR(__xludf.DUMMYFUNCTION("""COMPUTED_VALUE"""),"")</f>
        <v/>
      </c>
      <c r="AF1394" s="1" t="str">
        <f>IFERROR(__xludf.DUMMYFUNCTION("""COMPUTED_VALUE"""),"")</f>
        <v/>
      </c>
      <c r="AG1394" s="1" t="str">
        <f>IFERROR(__xludf.DUMMYFUNCTION("""COMPUTED_VALUE"""),"This project covers multiple parcels. The total acreage has been represented here. Square footage increased in an amendment in 2025")</f>
        <v>This project covers multiple parcels. The total acreage has been represented here. Square footage increased in an amendment in 2025</v>
      </c>
      <c r="AH1394" s="1" t="str">
        <f>IFERROR(__xludf.DUMMYFUNCTION("""COMPUTED_VALUE"""),"PEC")</f>
        <v>PEC</v>
      </c>
      <c r="AI1394" s="2" t="str">
        <f>IFERROR(__xludf.DUMMYFUNCTION("""COMPUTED_VALUE"""),"https://egcss.pwcgov.org/SelfService#/plan/c31952ca-2934-4acc-ab29-9db4ec01e339?tab=attachments")</f>
        <v>https://egcss.pwcgov.org/SelfService#/plan/c31952ca-2934-4acc-ab29-9db4ec01e339?tab=attachments</v>
      </c>
      <c r="AJ1394" s="1" t="str">
        <f>IFERROR(__xludf.DUMMYFUNCTION("""COMPUTED_VALUE"""),"")</f>
        <v/>
      </c>
      <c r="AK1394" s="1" t="str">
        <f>IFERROR(__xludf.DUMMYFUNCTION("""COMPUTED_VALUE"""),"")</f>
        <v/>
      </c>
      <c r="AL1394" s="1" t="str">
        <f>IFERROR(__xludf.DUMMYFUNCTION("""COMPUTED_VALUE"""),"")</f>
        <v/>
      </c>
      <c r="AM1394" s="1" t="str">
        <f>IFERROR(__xludf.DUMMYFUNCTION("""COMPUTED_VALUE"""),"")</f>
        <v/>
      </c>
      <c r="AN1394" s="1" t="str">
        <f>IFERROR(__xludf.DUMMYFUNCTION("""COMPUTED_VALUE"""),"")</f>
        <v/>
      </c>
      <c r="AO1394" s="1" t="str">
        <f>IFERROR(__xludf.DUMMYFUNCTION("""COMPUTED_VALUE"""),"")</f>
        <v/>
      </c>
      <c r="AP1394" s="1" t="str">
        <f>IFERROR(__xludf.DUMMYFUNCTION("""COMPUTED_VALUE"""),"")</f>
        <v/>
      </c>
      <c r="AQ1394" s="1" t="str">
        <f>IFERROR(__xludf.DUMMYFUNCTION("""COMPUTED_VALUE"""),"07/14/2025")</f>
        <v>07/14/2025</v>
      </c>
      <c r="AR1394" s="1" t="str">
        <f>IFERROR(__xludf.DUMMYFUNCTION("""COMPUTED_VALUE"""),"10/17/2025")</f>
        <v>10/17/2025</v>
      </c>
    </row>
    <row r="1395">
      <c r="A1395" s="1" t="str">
        <f>IFERROR(__xludf.DUMMYFUNCTION("""COMPUTED_VALUE"""),"Wellington Road PRA")</f>
        <v>Wellington Road PRA</v>
      </c>
      <c r="B1395" s="1" t="str">
        <f>IFERROR(__xludf.DUMMYFUNCTION("""COMPUTED_VALUE"""),"8819 Wellington Rd")</f>
        <v>8819 Wellington Rd</v>
      </c>
      <c r="C1395" s="1" t="str">
        <f>IFERROR(__xludf.DUMMYFUNCTION("""COMPUTED_VALUE"""),"Manassas")</f>
        <v>Manassas</v>
      </c>
      <c r="D1395" s="1" t="str">
        <f>IFERROR(__xludf.DUMMYFUNCTION("""COMPUTED_VALUE"""),"VA")</f>
        <v>VA</v>
      </c>
      <c r="E1395" s="1" t="str">
        <f>IFERROR(__xludf.DUMMYFUNCTION("""COMPUTED_VALUE"""),"20109")</f>
        <v>20109</v>
      </c>
      <c r="F1395" s="1" t="str">
        <f>IFERROR(__xludf.DUMMYFUNCTION("""COMPUTED_VALUE"""),"Prince William")</f>
        <v>Prince William</v>
      </c>
      <c r="G1395" s="1" t="str">
        <f>IFERROR(__xludf.DUMMYFUNCTION("""COMPUTED_VALUE"""),"38.763477")</f>
        <v>38.763477</v>
      </c>
      <c r="H1395" s="1" t="str">
        <f>IFERROR(__xludf.DUMMYFUNCTION("""COMPUTED_VALUE"""),"-77.513535")</f>
        <v>-77.513535</v>
      </c>
      <c r="I1395" s="1" t="str">
        <f>IFERROR(__xludf.DUMMYFUNCTION("""COMPUTED_VALUE"""),"Proposed")</f>
        <v>Proposed</v>
      </c>
      <c r="J1395" s="1" t="str">
        <f>IFERROR(__xludf.DUMMYFUNCTION("""COMPUTED_VALUE"""),"High")</f>
        <v>High</v>
      </c>
      <c r="K1395" s="1" t="str">
        <f>IFERROR(__xludf.DUMMYFUNCTION("""COMPUTED_VALUE"""),"")</f>
        <v/>
      </c>
      <c r="L1395" s="1" t="str">
        <f>IFERROR(__xludf.DUMMYFUNCTION("""COMPUTED_VALUE"""),"")</f>
        <v/>
      </c>
      <c r="M1395" s="1" t="str">
        <f>IFERROR(__xludf.DUMMYFUNCTION("""COMPUTED_VALUE"""),"")</f>
        <v/>
      </c>
      <c r="N1395" s="1" t="str">
        <f>IFERROR(__xludf.DUMMYFUNCTION("""COMPUTED_VALUE"""),"")</f>
        <v/>
      </c>
      <c r="O1395" s="1" t="str">
        <f>IFERROR(__xludf.DUMMYFUNCTION("""COMPUTED_VALUE"""),"Unknown")</f>
        <v>Unknown</v>
      </c>
      <c r="P1395" s="1" t="str">
        <f>IFERROR(__xludf.DUMMYFUNCTION("""COMPUTED_VALUE"""),"")</f>
        <v/>
      </c>
      <c r="Q1395" s="1" t="str">
        <f>IFERROR(__xludf.DUMMYFUNCTION("""COMPUTED_VALUE"""),"")</f>
        <v/>
      </c>
      <c r="R1395" s="1" t="str">
        <f>IFERROR(__xludf.DUMMYFUNCTION("""COMPUTED_VALUE"""),"")</f>
        <v/>
      </c>
      <c r="S1395" s="1" t="str">
        <f>IFERROR(__xludf.DUMMYFUNCTION("""COMPUTED_VALUE"""),"")</f>
        <v/>
      </c>
      <c r="T1395" s="1" t="str">
        <f>IFERROR(__xludf.DUMMYFUNCTION("""COMPUTED_VALUE"""),"")</f>
        <v/>
      </c>
      <c r="U1395" s="1" t="str">
        <f>IFERROR(__xludf.DUMMYFUNCTION("""COMPUTED_VALUE"""),"")</f>
        <v/>
      </c>
      <c r="V1395" s="1" t="str">
        <f>IFERROR(__xludf.DUMMYFUNCTION("""COMPUTED_VALUE"""),"370,175")</f>
        <v>370,175</v>
      </c>
      <c r="W1395" s="1" t="str">
        <f>IFERROR(__xludf.DUMMYFUNCTION("""COMPUTED_VALUE"""),"9")</f>
        <v>9</v>
      </c>
      <c r="X1395" s="1" t="str">
        <f>IFERROR(__xludf.DUMMYFUNCTION("""COMPUTED_VALUE"""),"")</f>
        <v/>
      </c>
      <c r="Y1395" s="1" t="str">
        <f>IFERROR(__xludf.DUMMYFUNCTION("""COMPUTED_VALUE"""),"")</f>
        <v/>
      </c>
      <c r="Z1395" s="1" t="str">
        <f>IFERROR(__xludf.DUMMYFUNCTION("""COMPUTED_VALUE"""),"Unknown")</f>
        <v>Unknown</v>
      </c>
      <c r="AA1395" s="1" t="str">
        <f>IFERROR(__xludf.DUMMYFUNCTION("""COMPUTED_VALUE"""),"")</f>
        <v/>
      </c>
      <c r="AB1395" s="1" t="str">
        <f>IFERROR(__xludf.DUMMYFUNCTION("""COMPUTED_VALUE"""),"")</f>
        <v/>
      </c>
      <c r="AC1395" s="1" t="str">
        <f>IFERROR(__xludf.DUMMYFUNCTION("""COMPUTED_VALUE"""),"")</f>
        <v/>
      </c>
      <c r="AD1395" s="1" t="str">
        <f>IFERROR(__xludf.DUMMYFUNCTION("""COMPUTED_VALUE"""),"")</f>
        <v/>
      </c>
      <c r="AE1395" s="1" t="str">
        <f>IFERROR(__xludf.DUMMYFUNCTION("""COMPUTED_VALUE"""),"")</f>
        <v/>
      </c>
      <c r="AF1395" s="1" t="str">
        <f>IFERROR(__xludf.DUMMYFUNCTION("""COMPUTED_VALUE"""),"")</f>
        <v/>
      </c>
      <c r="AG1395" s="1" t="str">
        <f>IFERROR(__xludf.DUMMYFUNCTION("""COMPUTED_VALUE"""),"This project covers multiple parcels. The total acreage has been represented here.")</f>
        <v>This project covers multiple parcels. The total acreage has been represented here.</v>
      </c>
      <c r="AH1395" s="1" t="str">
        <f>IFERROR(__xludf.DUMMYFUNCTION("""COMPUTED_VALUE"""),"PEC")</f>
        <v>PEC</v>
      </c>
      <c r="AI1395" s="2" t="str">
        <f>IFERROR(__xludf.DUMMYFUNCTION("""COMPUTED_VALUE"""),"https://egcss.pwcgov.org/SelfService#/plan/55087cda-4790-4f98-be5d-2a054fe2c464?tab=attachments")</f>
        <v>https://egcss.pwcgov.org/SelfService#/plan/55087cda-4790-4f98-be5d-2a054fe2c464?tab=attachments</v>
      </c>
      <c r="AJ1395" s="1" t="str">
        <f>IFERROR(__xludf.DUMMYFUNCTION("""COMPUTED_VALUE"""),"")</f>
        <v/>
      </c>
      <c r="AK1395" s="1" t="str">
        <f>IFERROR(__xludf.DUMMYFUNCTION("""COMPUTED_VALUE"""),"")</f>
        <v/>
      </c>
      <c r="AL1395" s="1" t="str">
        <f>IFERROR(__xludf.DUMMYFUNCTION("""COMPUTED_VALUE"""),"")</f>
        <v/>
      </c>
      <c r="AM1395" s="1" t="str">
        <f>IFERROR(__xludf.DUMMYFUNCTION("""COMPUTED_VALUE"""),"")</f>
        <v/>
      </c>
      <c r="AN1395" s="1" t="str">
        <f>IFERROR(__xludf.DUMMYFUNCTION("""COMPUTED_VALUE"""),"")</f>
        <v/>
      </c>
      <c r="AO1395" s="1" t="str">
        <f>IFERROR(__xludf.DUMMYFUNCTION("""COMPUTED_VALUE"""),"")</f>
        <v/>
      </c>
      <c r="AP1395" s="1" t="str">
        <f>IFERROR(__xludf.DUMMYFUNCTION("""COMPUTED_VALUE"""),"")</f>
        <v/>
      </c>
      <c r="AQ1395" s="1" t="str">
        <f>IFERROR(__xludf.DUMMYFUNCTION("""COMPUTED_VALUE"""),"07/11/2025")</f>
        <v>07/11/2025</v>
      </c>
      <c r="AR1395" s="1" t="str">
        <f>IFERROR(__xludf.DUMMYFUNCTION("""COMPUTED_VALUE"""),"10/17/2025")</f>
        <v>10/17/2025</v>
      </c>
    </row>
    <row r="1396">
      <c r="A1396" s="1" t="str">
        <f>IFERROR(__xludf.DUMMYFUNCTION("""COMPUTED_VALUE"""),"Westview 66")</f>
        <v>Westview 66</v>
      </c>
      <c r="B1396" s="1" t="str">
        <f>IFERROR(__xludf.DUMMYFUNCTION("""COMPUTED_VALUE"""),"11314 BALLS FORD RD")</f>
        <v>11314 BALLS FORD RD</v>
      </c>
      <c r="C1396" s="1" t="str">
        <f>IFERROR(__xludf.DUMMYFUNCTION("""COMPUTED_VALUE"""),"Manassas")</f>
        <v>Manassas</v>
      </c>
      <c r="D1396" s="1" t="str">
        <f>IFERROR(__xludf.DUMMYFUNCTION("""COMPUTED_VALUE"""),"VA")</f>
        <v>VA</v>
      </c>
      <c r="E1396" s="1" t="str">
        <f>IFERROR(__xludf.DUMMYFUNCTION("""COMPUTED_VALUE"""),"20109")</f>
        <v>20109</v>
      </c>
      <c r="F1396" s="1" t="str">
        <f>IFERROR(__xludf.DUMMYFUNCTION("""COMPUTED_VALUE"""),"Prince William")</f>
        <v>Prince William</v>
      </c>
      <c r="G1396" s="1" t="str">
        <f>IFERROR(__xludf.DUMMYFUNCTION("""COMPUTED_VALUE"""),"38.79625")</f>
        <v>38.79625</v>
      </c>
      <c r="H1396" s="1" t="str">
        <f>IFERROR(__xludf.DUMMYFUNCTION("""COMPUTED_VALUE"""),"-77.53552")</f>
        <v>-77.53552</v>
      </c>
      <c r="I1396" s="1" t="str">
        <f>IFERROR(__xludf.DUMMYFUNCTION("""COMPUTED_VALUE"""),"Proposed")</f>
        <v>Proposed</v>
      </c>
      <c r="J1396" s="1" t="str">
        <f>IFERROR(__xludf.DUMMYFUNCTION("""COMPUTED_VALUE"""),"High")</f>
        <v>High</v>
      </c>
      <c r="K1396" s="1" t="str">
        <f>IFERROR(__xludf.DUMMYFUNCTION("""COMPUTED_VALUE"""),"")</f>
        <v/>
      </c>
      <c r="L1396" s="1" t="str">
        <f>IFERROR(__xludf.DUMMYFUNCTION("""COMPUTED_VALUE"""),"Microsoft")</f>
        <v>Microsoft</v>
      </c>
      <c r="M1396" s="1" t="str">
        <f>IFERROR(__xludf.DUMMYFUNCTION("""COMPUTED_VALUE"""),"")</f>
        <v/>
      </c>
      <c r="N1396" s="1" t="str">
        <f>IFERROR(__xludf.DUMMYFUNCTION("""COMPUTED_VALUE"""),"")</f>
        <v/>
      </c>
      <c r="O1396" s="1" t="str">
        <f>IFERROR(__xludf.DUMMYFUNCTION("""COMPUTED_VALUE"""),"Unknown")</f>
        <v>Unknown</v>
      </c>
      <c r="P1396" s="1" t="str">
        <f>IFERROR(__xludf.DUMMYFUNCTION("""COMPUTED_VALUE"""),"")</f>
        <v/>
      </c>
      <c r="Q1396" s="1" t="str">
        <f>IFERROR(__xludf.DUMMYFUNCTION("""COMPUTED_VALUE"""),"")</f>
        <v/>
      </c>
      <c r="R1396" s="1" t="str">
        <f>IFERROR(__xludf.DUMMYFUNCTION("""COMPUTED_VALUE"""),"")</f>
        <v/>
      </c>
      <c r="S1396" s="1" t="str">
        <f>IFERROR(__xludf.DUMMYFUNCTION("""COMPUTED_VALUE"""),"")</f>
        <v/>
      </c>
      <c r="T1396" s="1" t="str">
        <f>IFERROR(__xludf.DUMMYFUNCTION("""COMPUTED_VALUE"""),"")</f>
        <v/>
      </c>
      <c r="U1396" s="1" t="str">
        <f>IFERROR(__xludf.DUMMYFUNCTION("""COMPUTED_VALUE"""),"")</f>
        <v/>
      </c>
      <c r="V1396" s="1" t="str">
        <f>IFERROR(__xludf.DUMMYFUNCTION("""COMPUTED_VALUE"""),"623,360")</f>
        <v>623,360</v>
      </c>
      <c r="W1396" s="1" t="str">
        <f>IFERROR(__xludf.DUMMYFUNCTION("""COMPUTED_VALUE"""),"40")</f>
        <v>40</v>
      </c>
      <c r="X1396" s="1" t="str">
        <f>IFERROR(__xludf.DUMMYFUNCTION("""COMPUTED_VALUE"""),"")</f>
        <v/>
      </c>
      <c r="Y1396" s="1" t="str">
        <f>IFERROR(__xludf.DUMMYFUNCTION("""COMPUTED_VALUE"""),"")</f>
        <v/>
      </c>
      <c r="Z1396" s="1" t="str">
        <f>IFERROR(__xludf.DUMMYFUNCTION("""COMPUTED_VALUE"""),"Unknown")</f>
        <v>Unknown</v>
      </c>
      <c r="AA1396" s="1" t="str">
        <f>IFERROR(__xludf.DUMMYFUNCTION("""COMPUTED_VALUE"""),"")</f>
        <v/>
      </c>
      <c r="AB1396" s="1" t="str">
        <f>IFERROR(__xludf.DUMMYFUNCTION("""COMPUTED_VALUE"""),"")</f>
        <v/>
      </c>
      <c r="AC1396" s="1" t="str">
        <f>IFERROR(__xludf.DUMMYFUNCTION("""COMPUTED_VALUE"""),"")</f>
        <v/>
      </c>
      <c r="AD1396" s="1" t="str">
        <f>IFERROR(__xludf.DUMMYFUNCTION("""COMPUTED_VALUE"""),"")</f>
        <v/>
      </c>
      <c r="AE1396" s="1" t="str">
        <f>IFERROR(__xludf.DUMMYFUNCTION("""COMPUTED_VALUE"""),"")</f>
        <v/>
      </c>
      <c r="AF1396" s="1" t="str">
        <f>IFERROR(__xludf.DUMMYFUNCTION("""COMPUTED_VALUE"""),"")</f>
        <v/>
      </c>
      <c r="AG1396" s="1" t="str">
        <f>IFERROR(__xludf.DUMMYFUNCTION("""COMPUTED_VALUE"""),"")</f>
        <v/>
      </c>
      <c r="AH1396" s="1" t="str">
        <f>IFERROR(__xludf.DUMMYFUNCTION("""COMPUTED_VALUE"""),"PEC")</f>
        <v>PEC</v>
      </c>
      <c r="AI1396" s="2" t="str">
        <f>IFERROR(__xludf.DUMMYFUNCTION("""COMPUTED_VALUE"""),"https://www.datacenterdynamics.com/en/news/microsoft-to-build-new-data-center-in-manassas-virginia/")</f>
        <v>https://www.datacenterdynamics.com/en/news/microsoft-to-build-new-data-center-in-manassas-virginia/</v>
      </c>
      <c r="AJ1396" s="2" t="str">
        <f>IFERROR(__xludf.DUMMYFUNCTION("""COMPUTED_VALUE"""),"https://pwc.publicaccessnow.com/PropertyDetail.aspx?mtab=property&amp;mpropertynumber=246592")</f>
        <v>https://pwc.publicaccessnow.com/PropertyDetail.aspx?mtab=property&amp;mpropertynumber=246592</v>
      </c>
      <c r="AK1396" s="1" t="str">
        <f>IFERROR(__xludf.DUMMYFUNCTION("""COMPUTED_VALUE"""),"")</f>
        <v/>
      </c>
      <c r="AL1396" s="1" t="str">
        <f>IFERROR(__xludf.DUMMYFUNCTION("""COMPUTED_VALUE"""),"")</f>
        <v/>
      </c>
      <c r="AM1396" s="1" t="str">
        <f>IFERROR(__xludf.DUMMYFUNCTION("""COMPUTED_VALUE"""),"")</f>
        <v/>
      </c>
      <c r="AN1396" s="1" t="str">
        <f>IFERROR(__xludf.DUMMYFUNCTION("""COMPUTED_VALUE"""),"")</f>
        <v/>
      </c>
      <c r="AO1396" s="1" t="str">
        <f>IFERROR(__xludf.DUMMYFUNCTION("""COMPUTED_VALUE"""),"")</f>
        <v/>
      </c>
      <c r="AP1396" s="1" t="str">
        <f>IFERROR(__xludf.DUMMYFUNCTION("""COMPUTED_VALUE"""),"")</f>
        <v/>
      </c>
      <c r="AQ1396" s="1" t="str">
        <f>IFERROR(__xludf.DUMMYFUNCTION("""COMPUTED_VALUE"""),"04/10/2024")</f>
        <v>04/10/2024</v>
      </c>
      <c r="AR1396" s="1" t="str">
        <f>IFERROR(__xludf.DUMMYFUNCTION("""COMPUTED_VALUE"""),"10/17/2025")</f>
        <v>10/17/2025</v>
      </c>
    </row>
    <row r="1397">
      <c r="A1397" s="1" t="str">
        <f>IFERROR(__xludf.DUMMYFUNCTION("""COMPUTED_VALUE"""),"NVA05C")</f>
        <v>NVA05C</v>
      </c>
      <c r="B1397" s="1" t="str">
        <f>IFERROR(__xludf.DUMMYFUNCTION("""COMPUTED_VALUE"""),"8860 WELLINGTON RD")</f>
        <v>8860 WELLINGTON RD</v>
      </c>
      <c r="C1397" s="1" t="str">
        <f>IFERROR(__xludf.DUMMYFUNCTION("""COMPUTED_VALUE"""),"MANASSAS")</f>
        <v>MANASSAS</v>
      </c>
      <c r="D1397" s="1" t="str">
        <f>IFERROR(__xludf.DUMMYFUNCTION("""COMPUTED_VALUE"""),"VA")</f>
        <v>VA</v>
      </c>
      <c r="E1397" s="1" t="str">
        <f>IFERROR(__xludf.DUMMYFUNCTION("""COMPUTED_VALUE"""),"20109")</f>
        <v>20109</v>
      </c>
      <c r="F1397" s="1" t="str">
        <f>IFERROR(__xludf.DUMMYFUNCTION("""COMPUTED_VALUE"""),"Prince William")</f>
        <v>Prince William</v>
      </c>
      <c r="G1397" s="1" t="str">
        <f>IFERROR(__xludf.DUMMYFUNCTION("""COMPUTED_VALUE"""),"38.761223")</f>
        <v>38.761223</v>
      </c>
      <c r="H1397" s="1" t="str">
        <f>IFERROR(__xludf.DUMMYFUNCTION("""COMPUTED_VALUE"""),"-77.511635")</f>
        <v>-77.511635</v>
      </c>
      <c r="I1397" s="1" t="str">
        <f>IFERROR(__xludf.DUMMYFUNCTION("""COMPUTED_VALUE"""),"Proposed")</f>
        <v>Proposed</v>
      </c>
      <c r="J1397" s="1" t="str">
        <f>IFERROR(__xludf.DUMMYFUNCTION("""COMPUTED_VALUE"""),"High")</f>
        <v>High</v>
      </c>
      <c r="K1397" s="1" t="str">
        <f>IFERROR(__xludf.DUMMYFUNCTION("""COMPUTED_VALUE"""),"")</f>
        <v/>
      </c>
      <c r="L1397" s="1" t="str">
        <f>IFERROR(__xludf.DUMMYFUNCTION("""COMPUTED_VALUE"""),"")</f>
        <v/>
      </c>
      <c r="M1397" s="1" t="str">
        <f>IFERROR(__xludf.DUMMYFUNCTION("""COMPUTED_VALUE"""),"")</f>
        <v/>
      </c>
      <c r="N1397" s="1" t="str">
        <f>IFERROR(__xludf.DUMMYFUNCTION("""COMPUTED_VALUE"""),"")</f>
        <v/>
      </c>
      <c r="O1397" s="1" t="str">
        <f>IFERROR(__xludf.DUMMYFUNCTION("""COMPUTED_VALUE"""),"Unknown")</f>
        <v>Unknown</v>
      </c>
      <c r="P1397" s="1" t="str">
        <f>IFERROR(__xludf.DUMMYFUNCTION("""COMPUTED_VALUE"""),"")</f>
        <v/>
      </c>
      <c r="Q1397" s="1" t="str">
        <f>IFERROR(__xludf.DUMMYFUNCTION("""COMPUTED_VALUE"""),"")</f>
        <v/>
      </c>
      <c r="R1397" s="1" t="str">
        <f>IFERROR(__xludf.DUMMYFUNCTION("""COMPUTED_VALUE"""),"")</f>
        <v/>
      </c>
      <c r="S1397" s="1" t="str">
        <f>IFERROR(__xludf.DUMMYFUNCTION("""COMPUTED_VALUE"""),"")</f>
        <v/>
      </c>
      <c r="T1397" s="1" t="str">
        <f>IFERROR(__xludf.DUMMYFUNCTION("""COMPUTED_VALUE"""),"")</f>
        <v/>
      </c>
      <c r="U1397" s="1" t="str">
        <f>IFERROR(__xludf.DUMMYFUNCTION("""COMPUTED_VALUE"""),"")</f>
        <v/>
      </c>
      <c r="V1397" s="1" t="str">
        <f>IFERROR(__xludf.DUMMYFUNCTION("""COMPUTED_VALUE"""),"261,312")</f>
        <v>261,312</v>
      </c>
      <c r="W1397" s="1" t="str">
        <f>IFERROR(__xludf.DUMMYFUNCTION("""COMPUTED_VALUE"""),"24")</f>
        <v>24</v>
      </c>
      <c r="X1397" s="1" t="str">
        <f>IFERROR(__xludf.DUMMYFUNCTION("""COMPUTED_VALUE"""),"")</f>
        <v/>
      </c>
      <c r="Y1397" s="1" t="str">
        <f>IFERROR(__xludf.DUMMYFUNCTION("""COMPUTED_VALUE"""),"")</f>
        <v/>
      </c>
      <c r="Z1397" s="1" t="str">
        <f>IFERROR(__xludf.DUMMYFUNCTION("""COMPUTED_VALUE"""),"Unknown")</f>
        <v>Unknown</v>
      </c>
      <c r="AA1397" s="1" t="str">
        <f>IFERROR(__xludf.DUMMYFUNCTION("""COMPUTED_VALUE"""),"")</f>
        <v/>
      </c>
      <c r="AB1397" s="1" t="str">
        <f>IFERROR(__xludf.DUMMYFUNCTION("""COMPUTED_VALUE"""),"")</f>
        <v/>
      </c>
      <c r="AC1397" s="1" t="str">
        <f>IFERROR(__xludf.DUMMYFUNCTION("""COMPUTED_VALUE"""),"")</f>
        <v/>
      </c>
      <c r="AD1397" s="1" t="str">
        <f>IFERROR(__xludf.DUMMYFUNCTION("""COMPUTED_VALUE"""),"")</f>
        <v/>
      </c>
      <c r="AE1397" s="1" t="str">
        <f>IFERROR(__xludf.DUMMYFUNCTION("""COMPUTED_VALUE"""),"")</f>
        <v/>
      </c>
      <c r="AF1397" s="1" t="str">
        <f>IFERROR(__xludf.DUMMYFUNCTION("""COMPUTED_VALUE"""),"")</f>
        <v/>
      </c>
      <c r="AG1397" s="1" t="str">
        <f>IFERROR(__xludf.DUMMYFUNCTION("""COMPUTED_VALUE"""),"This project covers multiple parcels. The total acreage has been represented here. Tax parcel information unavailable at time of addition.")</f>
        <v>This project covers multiple parcels. The total acreage has been represented here. Tax parcel information unavailable at time of addition.</v>
      </c>
      <c r="AH1397" s="1" t="str">
        <f>IFERROR(__xludf.DUMMYFUNCTION("""COMPUTED_VALUE"""),"PEC")</f>
        <v>PEC</v>
      </c>
      <c r="AI1397" s="2" t="str">
        <f>IFERROR(__xludf.DUMMYFUNCTION("""COMPUTED_VALUE"""),"https://egcss.pwcgov.org/SelfService#/plan/ec71ba9b-8783-4bd2-ab90-57a68d5f7d0c?tab=locations")</f>
        <v>https://egcss.pwcgov.org/SelfService#/plan/ec71ba9b-8783-4bd2-ab90-57a68d5f7d0c?tab=locations</v>
      </c>
      <c r="AJ1397" s="1" t="str">
        <f>IFERROR(__xludf.DUMMYFUNCTION("""COMPUTED_VALUE"""),"")</f>
        <v/>
      </c>
      <c r="AK1397" s="1" t="str">
        <f>IFERROR(__xludf.DUMMYFUNCTION("""COMPUTED_VALUE"""),"")</f>
        <v/>
      </c>
      <c r="AL1397" s="1" t="str">
        <f>IFERROR(__xludf.DUMMYFUNCTION("""COMPUTED_VALUE"""),"")</f>
        <v/>
      </c>
      <c r="AM1397" s="1" t="str">
        <f>IFERROR(__xludf.DUMMYFUNCTION("""COMPUTED_VALUE"""),"")</f>
        <v/>
      </c>
      <c r="AN1397" s="1" t="str">
        <f>IFERROR(__xludf.DUMMYFUNCTION("""COMPUTED_VALUE"""),"")</f>
        <v/>
      </c>
      <c r="AO1397" s="1" t="str">
        <f>IFERROR(__xludf.DUMMYFUNCTION("""COMPUTED_VALUE"""),"")</f>
        <v/>
      </c>
      <c r="AP1397" s="1" t="str">
        <f>IFERROR(__xludf.DUMMYFUNCTION("""COMPUTED_VALUE"""),"")</f>
        <v/>
      </c>
      <c r="AQ1397" s="1" t="str">
        <f>IFERROR(__xludf.DUMMYFUNCTION("""COMPUTED_VALUE"""),"07/12/2025")</f>
        <v>07/12/2025</v>
      </c>
      <c r="AR1397" s="1" t="str">
        <f>IFERROR(__xludf.DUMMYFUNCTION("""COMPUTED_VALUE"""),"10/17/2025")</f>
        <v>10/17/2025</v>
      </c>
    </row>
    <row r="1398">
      <c r="A1398" s="1" t="str">
        <f>IFERROR(__xludf.DUMMYFUNCTION("""COMPUTED_VALUE"""),"Roosevelt Building")</f>
        <v>Roosevelt Building</v>
      </c>
      <c r="B1398" s="1" t="str">
        <f>IFERROR(__xludf.DUMMYFUNCTION("""COMPUTED_VALUE"""),"1755 OLD MEADOW RD")</f>
        <v>1755 OLD MEADOW RD</v>
      </c>
      <c r="C1398" s="1" t="str">
        <f>IFERROR(__xludf.DUMMYFUNCTION("""COMPUTED_VALUE"""),"McLean")</f>
        <v>McLean</v>
      </c>
      <c r="D1398" s="1" t="str">
        <f>IFERROR(__xludf.DUMMYFUNCTION("""COMPUTED_VALUE"""),"VA")</f>
        <v>VA</v>
      </c>
      <c r="E1398" s="1" t="str">
        <f>IFERROR(__xludf.DUMMYFUNCTION("""COMPUTED_VALUE"""),"22102")</f>
        <v>22102</v>
      </c>
      <c r="F1398" s="1" t="str">
        <f>IFERROR(__xludf.DUMMYFUNCTION("""COMPUTED_VALUE"""),"Fairfax")</f>
        <v>Fairfax</v>
      </c>
      <c r="G1398" s="1" t="str">
        <f>IFERROR(__xludf.DUMMYFUNCTION("""COMPUTED_VALUE"""),"38.919983")</f>
        <v>38.919983</v>
      </c>
      <c r="H1398" s="1" t="str">
        <f>IFERROR(__xludf.DUMMYFUNCTION("""COMPUTED_VALUE"""),"-77.211754")</f>
        <v>-77.211754</v>
      </c>
      <c r="I1398" s="1" t="str">
        <f>IFERROR(__xludf.DUMMYFUNCTION("""COMPUTED_VALUE"""),"Operating")</f>
        <v>Operating</v>
      </c>
      <c r="J1398" s="1" t="str">
        <f>IFERROR(__xludf.DUMMYFUNCTION("""COMPUTED_VALUE"""),"High")</f>
        <v>High</v>
      </c>
      <c r="K1398" s="1" t="str">
        <f>IFERROR(__xludf.DUMMYFUNCTION("""COMPUTED_VALUE"""),"")</f>
        <v/>
      </c>
      <c r="L1398" s="1" t="str">
        <f>IFERROR(__xludf.DUMMYFUNCTION("""COMPUTED_VALUE"""),"YOSEMITE DC ASSETS LLC")</f>
        <v>YOSEMITE DC ASSETS LLC</v>
      </c>
      <c r="M1398" s="1" t="str">
        <f>IFERROR(__xludf.DUMMYFUNCTION("""COMPUTED_VALUE"""),"")</f>
        <v/>
      </c>
      <c r="N1398" s="1" t="str">
        <f>IFERROR(__xludf.DUMMYFUNCTION("""COMPUTED_VALUE"""),"")</f>
        <v/>
      </c>
      <c r="O1398" s="1" t="str">
        <f>IFERROR(__xludf.DUMMYFUNCTION("""COMPUTED_VALUE"""),"Unknown")</f>
        <v>Unknown</v>
      </c>
      <c r="P1398" s="1" t="str">
        <f>IFERROR(__xludf.DUMMYFUNCTION("""COMPUTED_VALUE"""),"")</f>
        <v/>
      </c>
      <c r="Q1398" s="1" t="str">
        <f>IFERROR(__xludf.DUMMYFUNCTION("""COMPUTED_VALUE"""),"")</f>
        <v/>
      </c>
      <c r="R1398" s="1" t="str">
        <f>IFERROR(__xludf.DUMMYFUNCTION("""COMPUTED_VALUE"""),"")</f>
        <v/>
      </c>
      <c r="S1398" s="1" t="str">
        <f>IFERROR(__xludf.DUMMYFUNCTION("""COMPUTED_VALUE"""),"")</f>
        <v/>
      </c>
      <c r="T1398" s="1" t="str">
        <f>IFERROR(__xludf.DUMMYFUNCTION("""COMPUTED_VALUE"""),"")</f>
        <v/>
      </c>
      <c r="U1398" s="1" t="str">
        <f>IFERROR(__xludf.DUMMYFUNCTION("""COMPUTED_VALUE"""),"")</f>
        <v/>
      </c>
      <c r="V1398" s="1" t="str">
        <f>IFERROR(__xludf.DUMMYFUNCTION("""COMPUTED_VALUE"""),"72,546")</f>
        <v>72,546</v>
      </c>
      <c r="W1398" s="1" t="str">
        <f>IFERROR(__xludf.DUMMYFUNCTION("""COMPUTED_VALUE"""),"4")</f>
        <v>4</v>
      </c>
      <c r="X1398" s="1" t="str">
        <f>IFERROR(__xludf.DUMMYFUNCTION("""COMPUTED_VALUE"""),"")</f>
        <v/>
      </c>
      <c r="Y1398" s="1" t="str">
        <f>IFERROR(__xludf.DUMMYFUNCTION("""COMPUTED_VALUE"""),"")</f>
        <v/>
      </c>
      <c r="Z1398" s="1" t="str">
        <f>IFERROR(__xludf.DUMMYFUNCTION("""COMPUTED_VALUE"""),"Unknown")</f>
        <v>Unknown</v>
      </c>
      <c r="AA1398" s="1" t="str">
        <f>IFERROR(__xludf.DUMMYFUNCTION("""COMPUTED_VALUE"""),"")</f>
        <v/>
      </c>
      <c r="AB1398" s="1" t="str">
        <f>IFERROR(__xludf.DUMMYFUNCTION("""COMPUTED_VALUE"""),"")</f>
        <v/>
      </c>
      <c r="AC1398" s="1" t="str">
        <f>IFERROR(__xludf.DUMMYFUNCTION("""COMPUTED_VALUE"""),"")</f>
        <v/>
      </c>
      <c r="AD1398" s="1" t="str">
        <f>IFERROR(__xludf.DUMMYFUNCTION("""COMPUTED_VALUE"""),"")</f>
        <v/>
      </c>
      <c r="AE1398" s="1" t="str">
        <f>IFERROR(__xludf.DUMMYFUNCTION("""COMPUTED_VALUE"""),"")</f>
        <v/>
      </c>
      <c r="AF1398" s="1" t="str">
        <f>IFERROR(__xludf.DUMMYFUNCTION("""COMPUTED_VALUE"""),"")</f>
        <v/>
      </c>
      <c r="AG1398" s="1" t="str">
        <f>IFERROR(__xludf.DUMMYFUNCTION("""COMPUTED_VALUE"""),"")</f>
        <v/>
      </c>
      <c r="AH1398" s="1" t="str">
        <f>IFERROR(__xludf.DUMMYFUNCTION("""COMPUTED_VALUE"""),"PEC")</f>
        <v>PEC</v>
      </c>
      <c r="AI1398" s="2" t="str">
        <f>IFERROR(__xludf.DUMMYFUNCTION("""COMPUTED_VALUE"""),"https://www.fairfaxcounty.gov/planning-development/sites/planning-development/files/Assets/Documents/PDF/data-centers-report.pdf#page=1")</f>
        <v>https://www.fairfaxcounty.gov/planning-development/sites/planning-development/files/Assets/Documents/PDF/data-centers-report.pdf#page=1</v>
      </c>
      <c r="AJ1398" s="2" t="str">
        <f>IFERROR(__xludf.DUMMYFUNCTION("""COMPUTED_VALUE"""),"https://icare.fairfaxcounty.gov/ffxcare/Datalets/Datalet.aspx?mode=&amp;UseSearch=no&amp;pin=0294%2006%20%200105&amp;jur=129&amp;taxyr=2025")</f>
        <v>https://icare.fairfaxcounty.gov/ffxcare/Datalets/Datalet.aspx?mode=&amp;UseSearch=no&amp;pin=0294%2006%20%200105&amp;jur=129&amp;taxyr=2025</v>
      </c>
      <c r="AK1398" s="1" t="str">
        <f>IFERROR(__xludf.DUMMYFUNCTION("""COMPUTED_VALUE"""),"")</f>
        <v/>
      </c>
      <c r="AL1398" s="1" t="str">
        <f>IFERROR(__xludf.DUMMYFUNCTION("""COMPUTED_VALUE"""),"")</f>
        <v/>
      </c>
      <c r="AM1398" s="1" t="str">
        <f>IFERROR(__xludf.DUMMYFUNCTION("""COMPUTED_VALUE"""),"")</f>
        <v/>
      </c>
      <c r="AN1398" s="1" t="str">
        <f>IFERROR(__xludf.DUMMYFUNCTION("""COMPUTED_VALUE"""),"")</f>
        <v/>
      </c>
      <c r="AO1398" s="1" t="str">
        <f>IFERROR(__xludf.DUMMYFUNCTION("""COMPUTED_VALUE"""),"")</f>
        <v/>
      </c>
      <c r="AP1398" s="1" t="str">
        <f>IFERROR(__xludf.DUMMYFUNCTION("""COMPUTED_VALUE"""),"")</f>
        <v/>
      </c>
      <c r="AQ1398" s="1" t="str">
        <f>IFERROR(__xludf.DUMMYFUNCTION("""COMPUTED_VALUE"""),"04/10/2024")</f>
        <v>04/10/2024</v>
      </c>
      <c r="AR1398" s="1" t="str">
        <f>IFERROR(__xludf.DUMMYFUNCTION("""COMPUTED_VALUE"""),"10/17/2025")</f>
        <v>10/17/2025</v>
      </c>
    </row>
    <row r="1399">
      <c r="A1399" s="1" t="str">
        <f>IFERROR(__xludf.DUMMYFUNCTION("""COMPUTED_VALUE"""),"Middletown Data Center")</f>
        <v>Middletown Data Center</v>
      </c>
      <c r="B1399" s="1" t="str">
        <f>IFERROR(__xludf.DUMMYFUNCTION("""COMPUTED_VALUE"""),"8209 Valley Pike")</f>
        <v>8209 Valley Pike</v>
      </c>
      <c r="C1399" s="1" t="str">
        <f>IFERROR(__xludf.DUMMYFUNCTION("""COMPUTED_VALUE"""),"MIddletown")</f>
        <v>MIddletown</v>
      </c>
      <c r="D1399" s="1" t="str">
        <f>IFERROR(__xludf.DUMMYFUNCTION("""COMPUTED_VALUE"""),"VA")</f>
        <v>VA</v>
      </c>
      <c r="E1399" s="1" t="str">
        <f>IFERROR(__xludf.DUMMYFUNCTION("""COMPUTED_VALUE"""),"22645")</f>
        <v>22645</v>
      </c>
      <c r="F1399" s="1" t="str">
        <f>IFERROR(__xludf.DUMMYFUNCTION("""COMPUTED_VALUE"""),"Frederick")</f>
        <v>Frederick</v>
      </c>
      <c r="G1399" s="1" t="str">
        <f>IFERROR(__xludf.DUMMYFUNCTION("""COMPUTED_VALUE"""),"39.01765")</f>
        <v>39.01765</v>
      </c>
      <c r="H1399" s="1" t="str">
        <f>IFERROR(__xludf.DUMMYFUNCTION("""COMPUTED_VALUE"""),"-78.29093")</f>
        <v>-78.29093</v>
      </c>
      <c r="I1399" s="1" t="str">
        <f>IFERROR(__xludf.DUMMYFUNCTION("""COMPUTED_VALUE"""),"Operating")</f>
        <v>Operating</v>
      </c>
      <c r="J1399" s="1" t="str">
        <f>IFERROR(__xludf.DUMMYFUNCTION("""COMPUTED_VALUE"""),"High")</f>
        <v>High</v>
      </c>
      <c r="K1399" s="1" t="str">
        <f>IFERROR(__xludf.DUMMYFUNCTION("""COMPUTED_VALUE"""),"")</f>
        <v/>
      </c>
      <c r="L1399" s="1" t="str">
        <f>IFERROR(__xludf.DUMMYFUNCTION("""COMPUTED_VALUE"""),"MIDDLETOWN DATA CENTER LLC")</f>
        <v>MIDDLETOWN DATA CENTER LLC</v>
      </c>
      <c r="M1399" s="1" t="str">
        <f>IFERROR(__xludf.DUMMYFUNCTION("""COMPUTED_VALUE"""),"")</f>
        <v/>
      </c>
      <c r="N1399" s="1" t="str">
        <f>IFERROR(__xludf.DUMMYFUNCTION("""COMPUTED_VALUE"""),"6.7")</f>
        <v>6.7</v>
      </c>
      <c r="O1399" s="1" t="str">
        <f>IFERROR(__xludf.DUMMYFUNCTION("""COMPUTED_VALUE"""),"Small (0-10 MW)")</f>
        <v>Small (0-10 MW)</v>
      </c>
      <c r="P1399" s="1" t="str">
        <f>IFERROR(__xludf.DUMMYFUNCTION("""COMPUTED_VALUE"""),"")</f>
        <v/>
      </c>
      <c r="Q1399" s="1" t="str">
        <f>IFERROR(__xludf.DUMMYFUNCTION("""COMPUTED_VALUE"""),"")</f>
        <v/>
      </c>
      <c r="R1399" s="1" t="str">
        <f>IFERROR(__xludf.DUMMYFUNCTION("""COMPUTED_VALUE"""),"")</f>
        <v/>
      </c>
      <c r="S1399" s="1" t="str">
        <f>IFERROR(__xludf.DUMMYFUNCTION("""COMPUTED_VALUE"""),"")</f>
        <v/>
      </c>
      <c r="T1399" s="1" t="str">
        <f>IFERROR(__xludf.DUMMYFUNCTION("""COMPUTED_VALUE"""),"")</f>
        <v/>
      </c>
      <c r="U1399" s="1" t="str">
        <f>IFERROR(__xludf.DUMMYFUNCTION("""COMPUTED_VALUE"""),"")</f>
        <v/>
      </c>
      <c r="V1399" s="1" t="str">
        <f>IFERROR(__xludf.DUMMYFUNCTION("""COMPUTED_VALUE"""),"33,483")</f>
        <v>33,483</v>
      </c>
      <c r="W1399" s="1" t="str">
        <f>IFERROR(__xludf.DUMMYFUNCTION("""COMPUTED_VALUE"""),"6")</f>
        <v>6</v>
      </c>
      <c r="X1399" s="1" t="str">
        <f>IFERROR(__xludf.DUMMYFUNCTION("""COMPUTED_VALUE"""),"")</f>
        <v/>
      </c>
      <c r="Y1399" s="1" t="str">
        <f>IFERROR(__xludf.DUMMYFUNCTION("""COMPUTED_VALUE"""),"")</f>
        <v/>
      </c>
      <c r="Z1399" s="1" t="str">
        <f>IFERROR(__xludf.DUMMYFUNCTION("""COMPUTED_VALUE"""),"Unknown")</f>
        <v>Unknown</v>
      </c>
      <c r="AA1399" s="1" t="str">
        <f>IFERROR(__xludf.DUMMYFUNCTION("""COMPUTED_VALUE"""),"")</f>
        <v/>
      </c>
      <c r="AB1399" s="1" t="str">
        <f>IFERROR(__xludf.DUMMYFUNCTION("""COMPUTED_VALUE"""),"")</f>
        <v/>
      </c>
      <c r="AC1399" s="1" t="str">
        <f>IFERROR(__xludf.DUMMYFUNCTION("""COMPUTED_VALUE"""),"")</f>
        <v/>
      </c>
      <c r="AD1399" s="1" t="str">
        <f>IFERROR(__xludf.DUMMYFUNCTION("""COMPUTED_VALUE"""),"")</f>
        <v/>
      </c>
      <c r="AE1399" s="1" t="str">
        <f>IFERROR(__xludf.DUMMYFUNCTION("""COMPUTED_VALUE"""),"")</f>
        <v/>
      </c>
      <c r="AF1399" s="1" t="str">
        <f>IFERROR(__xludf.DUMMYFUNCTION("""COMPUTED_VALUE"""),"")</f>
        <v/>
      </c>
      <c r="AG1399" s="1" t="str">
        <f>IFERROR(__xludf.DUMMYFUNCTION("""COMPUTED_VALUE"""),"")</f>
        <v/>
      </c>
      <c r="AH1399" s="1" t="str">
        <f>IFERROR(__xludf.DUMMYFUNCTION("""COMPUTED_VALUE"""),"PEC")</f>
        <v>PEC</v>
      </c>
      <c r="AI1399" s="2" t="str">
        <f>IFERROR(__xludf.DUMMYFUNCTION("""COMPUTED_VALUE"""),"https://frdnet.fcva.us/applications/COR_ViewPropertyCards/View_Detail.aspx?mrecno=28249")</f>
        <v>https://frdnet.fcva.us/applications/COR_ViewPropertyCards/View_Detail.aspx?mrecno=28249</v>
      </c>
      <c r="AJ1399" s="1" t="str">
        <f>IFERROR(__xludf.DUMMYFUNCTION("""COMPUTED_VALUE"""),"")</f>
        <v/>
      </c>
      <c r="AK1399" s="1" t="str">
        <f>IFERROR(__xludf.DUMMYFUNCTION("""COMPUTED_VALUE"""),"")</f>
        <v/>
      </c>
      <c r="AL1399" s="1" t="str">
        <f>IFERROR(__xludf.DUMMYFUNCTION("""COMPUTED_VALUE"""),"")</f>
        <v/>
      </c>
      <c r="AM1399" s="1" t="str">
        <f>IFERROR(__xludf.DUMMYFUNCTION("""COMPUTED_VALUE"""),"")</f>
        <v/>
      </c>
      <c r="AN1399" s="1" t="str">
        <f>IFERROR(__xludf.DUMMYFUNCTION("""COMPUTED_VALUE"""),"")</f>
        <v/>
      </c>
      <c r="AO1399" s="1" t="str">
        <f>IFERROR(__xludf.DUMMYFUNCTION("""COMPUTED_VALUE"""),"")</f>
        <v/>
      </c>
      <c r="AP1399" s="1" t="str">
        <f>IFERROR(__xludf.DUMMYFUNCTION("""COMPUTED_VALUE"""),"")</f>
        <v/>
      </c>
      <c r="AQ1399" s="1" t="str">
        <f>IFERROR(__xludf.DUMMYFUNCTION("""COMPUTED_VALUE"""),"04/10/2024")</f>
        <v>04/10/2024</v>
      </c>
      <c r="AR1399" s="1" t="str">
        <f>IFERROR(__xludf.DUMMYFUNCTION("""COMPUTED_VALUE"""),"10/17/2025")</f>
        <v>10/17/2025</v>
      </c>
    </row>
    <row r="1400">
      <c r="A1400" s="1" t="str">
        <f>IFERROR(__xludf.DUMMYFUNCTION("""COMPUTED_VALUE"""),"Project Loch")</f>
        <v>Project Loch</v>
      </c>
      <c r="B1400" s="1" t="str">
        <f>IFERROR(__xludf.DUMMYFUNCTION("""COMPUTED_VALUE"""),"751 WATKINS CENTRE PKWY")</f>
        <v>751 WATKINS CENTRE PKWY</v>
      </c>
      <c r="C1400" s="1" t="str">
        <f>IFERROR(__xludf.DUMMYFUNCTION("""COMPUTED_VALUE"""),"Midlothian")</f>
        <v>Midlothian</v>
      </c>
      <c r="D1400" s="1" t="str">
        <f>IFERROR(__xludf.DUMMYFUNCTION("""COMPUTED_VALUE"""),"VA")</f>
        <v>VA</v>
      </c>
      <c r="E1400" s="1" t="str">
        <f>IFERROR(__xludf.DUMMYFUNCTION("""COMPUTED_VALUE"""),"23114")</f>
        <v>23114</v>
      </c>
      <c r="F1400" s="1" t="str">
        <f>IFERROR(__xludf.DUMMYFUNCTION("""COMPUTED_VALUE"""),"Chesterfield")</f>
        <v>Chesterfield</v>
      </c>
      <c r="G1400" s="1" t="str">
        <f>IFERROR(__xludf.DUMMYFUNCTION("""COMPUTED_VALUE"""),"37.499065")</f>
        <v>37.499065</v>
      </c>
      <c r="H1400" s="1" t="str">
        <f>IFERROR(__xludf.DUMMYFUNCTION("""COMPUTED_VALUE"""),"-77.69161")</f>
        <v>-77.69161</v>
      </c>
      <c r="I1400" s="1" t="str">
        <f>IFERROR(__xludf.DUMMYFUNCTION("""COMPUTED_VALUE"""),"Proposed")</f>
        <v>Proposed</v>
      </c>
      <c r="J1400" s="1" t="str">
        <f>IFERROR(__xludf.DUMMYFUNCTION("""COMPUTED_VALUE"""),"High")</f>
        <v>High</v>
      </c>
      <c r="K1400" s="1" t="str">
        <f>IFERROR(__xludf.DUMMYFUNCTION("""COMPUTED_VALUE"""),"")</f>
        <v/>
      </c>
      <c r="L1400" s="1" t="str">
        <f>IFERROR(__xludf.DUMMYFUNCTION("""COMPUTED_VALUE"""),"")</f>
        <v/>
      </c>
      <c r="M1400" s="1" t="str">
        <f>IFERROR(__xludf.DUMMYFUNCTION("""COMPUTED_VALUE"""),"")</f>
        <v/>
      </c>
      <c r="N1400" s="1" t="str">
        <f>IFERROR(__xludf.DUMMYFUNCTION("""COMPUTED_VALUE"""),"")</f>
        <v/>
      </c>
      <c r="O1400" s="1" t="str">
        <f>IFERROR(__xludf.DUMMYFUNCTION("""COMPUTED_VALUE"""),"Unknown")</f>
        <v>Unknown</v>
      </c>
      <c r="P1400" s="1" t="str">
        <f>IFERROR(__xludf.DUMMYFUNCTION("""COMPUTED_VALUE"""),"")</f>
        <v/>
      </c>
      <c r="Q1400" s="1" t="str">
        <f>IFERROR(__xludf.DUMMYFUNCTION("""COMPUTED_VALUE"""),"")</f>
        <v/>
      </c>
      <c r="R1400" s="1" t="str">
        <f>IFERROR(__xludf.DUMMYFUNCTION("""COMPUTED_VALUE"""),"")</f>
        <v/>
      </c>
      <c r="S1400" s="1" t="str">
        <f>IFERROR(__xludf.DUMMYFUNCTION("""COMPUTED_VALUE"""),"")</f>
        <v/>
      </c>
      <c r="T1400" s="1" t="str">
        <f>IFERROR(__xludf.DUMMYFUNCTION("""COMPUTED_VALUE"""),"")</f>
        <v/>
      </c>
      <c r="U1400" s="1" t="str">
        <f>IFERROR(__xludf.DUMMYFUNCTION("""COMPUTED_VALUE"""),"")</f>
        <v/>
      </c>
      <c r="V1400" s="1" t="str">
        <f>IFERROR(__xludf.DUMMYFUNCTION("""COMPUTED_VALUE"""),"")</f>
        <v/>
      </c>
      <c r="W1400" s="1" t="str">
        <f>IFERROR(__xludf.DUMMYFUNCTION("""COMPUTED_VALUE"""),"350")</f>
        <v>350</v>
      </c>
      <c r="X1400" s="1" t="str">
        <f>IFERROR(__xludf.DUMMYFUNCTION("""COMPUTED_VALUE"""),"")</f>
        <v/>
      </c>
      <c r="Y1400" s="1" t="str">
        <f>IFERROR(__xludf.DUMMYFUNCTION("""COMPUTED_VALUE"""),"")</f>
        <v/>
      </c>
      <c r="Z1400" s="1" t="str">
        <f>IFERROR(__xludf.DUMMYFUNCTION("""COMPUTED_VALUE"""),"Unknown")</f>
        <v>Unknown</v>
      </c>
      <c r="AA1400" s="1" t="str">
        <f>IFERROR(__xludf.DUMMYFUNCTION("""COMPUTED_VALUE"""),"")</f>
        <v/>
      </c>
      <c r="AB1400" s="1" t="str">
        <f>IFERROR(__xludf.DUMMYFUNCTION("""COMPUTED_VALUE"""),"")</f>
        <v/>
      </c>
      <c r="AC1400" s="1" t="str">
        <f>IFERROR(__xludf.DUMMYFUNCTION("""COMPUTED_VALUE"""),"")</f>
        <v/>
      </c>
      <c r="AD1400" s="1" t="str">
        <f>IFERROR(__xludf.DUMMYFUNCTION("""COMPUTED_VALUE"""),"")</f>
        <v/>
      </c>
      <c r="AE1400" s="1" t="str">
        <f>IFERROR(__xludf.DUMMYFUNCTION("""COMPUTED_VALUE"""),"")</f>
        <v/>
      </c>
      <c r="AF1400" s="1" t="str">
        <f>IFERROR(__xludf.DUMMYFUNCTION("""COMPUTED_VALUE"""),"")</f>
        <v/>
      </c>
      <c r="AG1400" s="1" t="str">
        <f>IFERROR(__xludf.DUMMYFUNCTION("""COMPUTED_VALUE"""),"Square footage not reported. Project covers more than one parcel, the acreage represents the combined acreage")</f>
        <v>Square footage not reported. Project covers more than one parcel, the acreage represents the combined acreage</v>
      </c>
      <c r="AH1400" s="1" t="str">
        <f>IFERROR(__xludf.DUMMYFUNCTION("""COMPUTED_VALUE"""),"PEC")</f>
        <v>PEC</v>
      </c>
      <c r="AI1400" s="2" t="str">
        <f>IFERROR(__xludf.DUMMYFUNCTION("""COMPUTED_VALUE"""),"https://chesterfieldfits.com/site/wp-content/uploads/2025/05/25SN1040-Watkins.-Proffers.-Executed.-5.9.25-01718951xBE3E4.pdf")</f>
        <v>https://chesterfieldfits.com/site/wp-content/uploads/2025/05/25SN1040-Watkins.-Proffers.-Executed.-5.9.25-01718951xBE3E4.pdf</v>
      </c>
      <c r="AJ1400" s="2" t="str">
        <f>IFERROR(__xludf.DUMMYFUNCTION("""COMPUTED_VALUE"""),"https://www.chesterfield.gov/828/Real-Estate-Assessment-Data#/Details/716706972000002")</f>
        <v>https://www.chesterfield.gov/828/Real-Estate-Assessment-Data#/Details/716706972000002</v>
      </c>
      <c r="AK1400" s="1" t="str">
        <f>IFERROR(__xludf.DUMMYFUNCTION("""COMPUTED_VALUE"""),"")</f>
        <v/>
      </c>
      <c r="AL1400" s="1" t="str">
        <f>IFERROR(__xludf.DUMMYFUNCTION("""COMPUTED_VALUE"""),"")</f>
        <v/>
      </c>
      <c r="AM1400" s="1" t="str">
        <f>IFERROR(__xludf.DUMMYFUNCTION("""COMPUTED_VALUE"""),"")</f>
        <v/>
      </c>
      <c r="AN1400" s="1" t="str">
        <f>IFERROR(__xludf.DUMMYFUNCTION("""COMPUTED_VALUE"""),"")</f>
        <v/>
      </c>
      <c r="AO1400" s="1" t="str">
        <f>IFERROR(__xludf.DUMMYFUNCTION("""COMPUTED_VALUE"""),"")</f>
        <v/>
      </c>
      <c r="AP1400" s="1" t="str">
        <f>IFERROR(__xludf.DUMMYFUNCTION("""COMPUTED_VALUE"""),"")</f>
        <v/>
      </c>
      <c r="AQ1400" s="1" t="str">
        <f>IFERROR(__xludf.DUMMYFUNCTION("""COMPUTED_VALUE"""),"09/12/2025")</f>
        <v>09/12/2025</v>
      </c>
      <c r="AR1400" s="1" t="str">
        <f>IFERROR(__xludf.DUMMYFUNCTION("""COMPUTED_VALUE"""),"10/17/2025")</f>
        <v>10/17/2025</v>
      </c>
    </row>
    <row r="1401">
      <c r="A1401" s="1" t="str">
        <f>IFERROR(__xludf.DUMMYFUNCTION("""COMPUTED_VALUE"""),"Province Group @Powhatan Technology Park")</f>
        <v>Province Group @Powhatan Technology Park</v>
      </c>
      <c r="B1401" s="1" t="str">
        <f>IFERROR(__xludf.DUMMYFUNCTION("""COMPUTED_VALUE"""),"1318 PAGE RD")</f>
        <v>1318 PAGE RD</v>
      </c>
      <c r="C1401" s="1" t="str">
        <f>IFERROR(__xludf.DUMMYFUNCTION("""COMPUTED_VALUE"""),"MIDLOTHIAN")</f>
        <v>MIDLOTHIAN</v>
      </c>
      <c r="D1401" s="1" t="str">
        <f>IFERROR(__xludf.DUMMYFUNCTION("""COMPUTED_VALUE"""),"VA")</f>
        <v>VA</v>
      </c>
      <c r="E1401" s="1" t="str">
        <f>IFERROR(__xludf.DUMMYFUNCTION("""COMPUTED_VALUE"""),"23113")</f>
        <v>23113</v>
      </c>
      <c r="F1401" s="1" t="str">
        <f>IFERROR(__xludf.DUMMYFUNCTION("""COMPUTED_VALUE"""),"Powhatan")</f>
        <v>Powhatan</v>
      </c>
      <c r="G1401" s="1" t="str">
        <f>IFERROR(__xludf.DUMMYFUNCTION("""COMPUTED_VALUE"""),"37.50839")</f>
        <v>37.50839</v>
      </c>
      <c r="H1401" s="1" t="str">
        <f>IFERROR(__xludf.DUMMYFUNCTION("""COMPUTED_VALUE"""),"-77.73239")</f>
        <v>-77.73239</v>
      </c>
      <c r="I1401" s="1" t="str">
        <f>IFERROR(__xludf.DUMMYFUNCTION("""COMPUTED_VALUE"""),"Approved/Permitted/Under construction")</f>
        <v>Approved/Permitted/Under construction</v>
      </c>
      <c r="J1401" s="1" t="str">
        <f>IFERROR(__xludf.DUMMYFUNCTION("""COMPUTED_VALUE"""),"High")</f>
        <v>High</v>
      </c>
      <c r="K1401" s="1" t="str">
        <f>IFERROR(__xludf.DUMMYFUNCTION("""COMPUTED_VALUE"""),"")</f>
        <v/>
      </c>
      <c r="L1401" s="1" t="str">
        <f>IFERROR(__xludf.DUMMYFUNCTION("""COMPUTED_VALUE"""),"Province Group")</f>
        <v>Province Group</v>
      </c>
      <c r="M1401" s="1" t="str">
        <f>IFERROR(__xludf.DUMMYFUNCTION("""COMPUTED_VALUE"""),"")</f>
        <v/>
      </c>
      <c r="N1401" s="1" t="str">
        <f>IFERROR(__xludf.DUMMYFUNCTION("""COMPUTED_VALUE"""),"365-2,400")</f>
        <v>365-2,400</v>
      </c>
      <c r="O1401" s="1" t="str">
        <f>IFERROR(__xludf.DUMMYFUNCTION("""COMPUTED_VALUE"""),"Mega campus (&gt;1,000 MW)")</f>
        <v>Mega campus (&gt;1,000 MW)</v>
      </c>
      <c r="P1401" s="1" t="str">
        <f>IFERROR(__xludf.DUMMYFUNCTION("""COMPUTED_VALUE"""),"")</f>
        <v/>
      </c>
      <c r="Q1401" s="1" t="str">
        <f>IFERROR(__xludf.DUMMYFUNCTION("""COMPUTED_VALUE"""),"")</f>
        <v/>
      </c>
      <c r="R1401" s="1" t="str">
        <f>IFERROR(__xludf.DUMMYFUNCTION("""COMPUTED_VALUE"""),"")</f>
        <v/>
      </c>
      <c r="S1401" s="1" t="str">
        <f>IFERROR(__xludf.DUMMYFUNCTION("""COMPUTED_VALUE"""),"")</f>
        <v/>
      </c>
      <c r="T1401" s="1" t="str">
        <f>IFERROR(__xludf.DUMMYFUNCTION("""COMPUTED_VALUE"""),"")</f>
        <v/>
      </c>
      <c r="U1401" s="1" t="str">
        <f>IFERROR(__xludf.DUMMYFUNCTION("""COMPUTED_VALUE"""),"")</f>
        <v/>
      </c>
      <c r="V1401" s="1" t="str">
        <f>IFERROR(__xludf.DUMMYFUNCTION("""COMPUTED_VALUE"""),"2,000,000")</f>
        <v>2,000,000</v>
      </c>
      <c r="W1401" s="1" t="str">
        <f>IFERROR(__xludf.DUMMYFUNCTION("""COMPUTED_VALUE"""),"180")</f>
        <v>180</v>
      </c>
      <c r="X1401" s="1" t="str">
        <f>IFERROR(__xludf.DUMMYFUNCTION("""COMPUTED_VALUE"""),"")</f>
        <v/>
      </c>
      <c r="Y1401" s="1" t="str">
        <f>IFERROR(__xludf.DUMMYFUNCTION("""COMPUTED_VALUE"""),"")</f>
        <v/>
      </c>
      <c r="Z1401" s="1" t="str">
        <f>IFERROR(__xludf.DUMMYFUNCTION("""COMPUTED_VALUE"""),"Unknown")</f>
        <v>Unknown</v>
      </c>
      <c r="AA1401" s="1" t="str">
        <f>IFERROR(__xludf.DUMMYFUNCTION("""COMPUTED_VALUE"""),"")</f>
        <v/>
      </c>
      <c r="AB1401" s="1" t="str">
        <f>IFERROR(__xludf.DUMMYFUNCTION("""COMPUTED_VALUE"""),"")</f>
        <v/>
      </c>
      <c r="AC1401" s="1" t="str">
        <f>IFERROR(__xludf.DUMMYFUNCTION("""COMPUTED_VALUE"""),"")</f>
        <v/>
      </c>
      <c r="AD1401" s="1" t="str">
        <f>IFERROR(__xludf.DUMMYFUNCTION("""COMPUTED_VALUE"""),"")</f>
        <v/>
      </c>
      <c r="AE1401" s="1" t="str">
        <f>IFERROR(__xludf.DUMMYFUNCTION("""COMPUTED_VALUE"""),"")</f>
        <v/>
      </c>
      <c r="AF1401" s="1" t="str">
        <f>IFERROR(__xludf.DUMMYFUNCTION("""COMPUTED_VALUE"""),"")</f>
        <v/>
      </c>
      <c r="AG1401" s="1" t="str">
        <f>IFERROR(__xludf.DUMMYFUNCTION("""COMPUTED_VALUE"""),"sqft covers three buildings")</f>
        <v>sqft covers three buildings</v>
      </c>
      <c r="AH1401" s="1" t="str">
        <f>IFERROR(__xludf.DUMMYFUNCTION("""COMPUTED_VALUE"""),"PEC")</f>
        <v>PEC</v>
      </c>
      <c r="AI1401" s="2" t="str">
        <f>IFERROR(__xludf.DUMMYFUNCTION("""COMPUTED_VALUE"""),"https://www.datacenterdynamics.com/en/news/3bn-data-center-proposed-outside-richmond-in-powhatan-county-virginia/")</f>
        <v>https://www.datacenterdynamics.com/en/news/3bn-data-center-proposed-outside-richmond-in-powhatan-county-virginia/</v>
      </c>
      <c r="AJ1401" s="2" t="str">
        <f>IFERROR(__xludf.DUMMYFUNCTION("""COMPUTED_VALUE"""),"https://powhatanvarealestate.org/ParcelViewer/")</f>
        <v>https://powhatanvarealestate.org/ParcelViewer/</v>
      </c>
      <c r="AK1401" s="2" t="str">
        <f>IFERROR(__xludf.DUMMYFUNCTION("""COMPUTED_VALUE"""),"https://www.datacenterdynamics.com/en/news/province-group-data-center-campus-gets-green-light-in-powhatan-county-virginia/")</f>
        <v>https://www.datacenterdynamics.com/en/news/province-group-data-center-campus-gets-green-light-in-powhatan-county-virginia/</v>
      </c>
      <c r="AL1401" s="2" t="str">
        <f>IFERROR(__xludf.DUMMYFUNCTION("""COMPUTED_VALUE"""),"https://www.jll.com/en-us/newsroom/powhatan-county-approves-180-acre-data-center-development")</f>
        <v>https://www.jll.com/en-us/newsroom/powhatan-county-approves-180-acre-data-center-development</v>
      </c>
      <c r="AM1401" s="2" t="str">
        <f>IFERROR(__xludf.DUMMYFUNCTION("""COMPUTED_VALUE"""),"https://www.wric.com/news/local-news/powhatan-county/data-center-campus-eastern-powhatan/")</f>
        <v>https://www.wric.com/news/local-news/powhatan-county/data-center-campus-eastern-powhatan/</v>
      </c>
      <c r="AN1401" s="1" t="str">
        <f>IFERROR(__xludf.DUMMYFUNCTION("""COMPUTED_VALUE"""),"")</f>
        <v/>
      </c>
      <c r="AO1401" s="1" t="str">
        <f>IFERROR(__xludf.DUMMYFUNCTION("""COMPUTED_VALUE"""),"")</f>
        <v/>
      </c>
      <c r="AP1401" s="1" t="str">
        <f>IFERROR(__xludf.DUMMYFUNCTION("""COMPUTED_VALUE"""),"")</f>
        <v/>
      </c>
      <c r="AQ1401" s="1" t="str">
        <f>IFERROR(__xludf.DUMMYFUNCTION("""COMPUTED_VALUE"""),"08/22/2024")</f>
        <v>08/22/2024</v>
      </c>
      <c r="AR1401" s="1" t="str">
        <f>IFERROR(__xludf.DUMMYFUNCTION("""COMPUTED_VALUE"""),"01/15/2026")</f>
        <v>01/15/2026</v>
      </c>
    </row>
    <row r="1402">
      <c r="A1402" s="1" t="str">
        <f>IFERROR(__xludf.DUMMYFUNCTION("""COMPUTED_VALUE"""),"Project Loch (Google)")</f>
        <v>Project Loch (Google)</v>
      </c>
      <c r="B1402" s="1" t="str">
        <f>IFERROR(__xludf.DUMMYFUNCTION("""COMPUTED_VALUE"""),"750 Watkins Centre Pkwy")</f>
        <v>750 Watkins Centre Pkwy</v>
      </c>
      <c r="C1402" s="1" t="str">
        <f>IFERROR(__xludf.DUMMYFUNCTION("""COMPUTED_VALUE"""),"Midloththian")</f>
        <v>Midloththian</v>
      </c>
      <c r="D1402" s="1" t="str">
        <f>IFERROR(__xludf.DUMMYFUNCTION("""COMPUTED_VALUE"""),"VA")</f>
        <v>VA</v>
      </c>
      <c r="E1402" s="1" t="str">
        <f>IFERROR(__xludf.DUMMYFUNCTION("""COMPUTED_VALUE"""),"23114")</f>
        <v>23114</v>
      </c>
      <c r="F1402" s="1" t="str">
        <f>IFERROR(__xludf.DUMMYFUNCTION("""COMPUTED_VALUE"""),"Chesterfield")</f>
        <v>Chesterfield</v>
      </c>
      <c r="G1402" s="1" t="str">
        <f>IFERROR(__xludf.DUMMYFUNCTION("""COMPUTED_VALUE"""),"37.49932")</f>
        <v>37.49932</v>
      </c>
      <c r="H1402" s="1" t="str">
        <f>IFERROR(__xludf.DUMMYFUNCTION("""COMPUTED_VALUE"""),"-77.6884")</f>
        <v>-77.6884</v>
      </c>
      <c r="I1402" s="1" t="str">
        <f>IFERROR(__xludf.DUMMYFUNCTION("""COMPUTED_VALUE"""),"Proposed")</f>
        <v>Proposed</v>
      </c>
      <c r="J1402" s="1" t="str">
        <f>IFERROR(__xludf.DUMMYFUNCTION("""COMPUTED_VALUE"""),"High")</f>
        <v>High</v>
      </c>
      <c r="K1402" s="1" t="str">
        <f>IFERROR(__xludf.DUMMYFUNCTION("""COMPUTED_VALUE"""),"")</f>
        <v/>
      </c>
      <c r="L1402" s="1" t="str">
        <f>IFERROR(__xludf.DUMMYFUNCTION("""COMPUTED_VALUE"""),"Google")</f>
        <v>Google</v>
      </c>
      <c r="M1402" s="1" t="str">
        <f>IFERROR(__xludf.DUMMYFUNCTION("""COMPUTED_VALUE"""),"")</f>
        <v/>
      </c>
      <c r="N1402" s="1" t="str">
        <f>IFERROR(__xludf.DUMMYFUNCTION("""COMPUTED_VALUE"""),"")</f>
        <v/>
      </c>
      <c r="O1402" s="1" t="str">
        <f>IFERROR(__xludf.DUMMYFUNCTION("""COMPUTED_VALUE"""),"Unknown")</f>
        <v>Unknown</v>
      </c>
      <c r="P1402" s="1" t="str">
        <f>IFERROR(__xludf.DUMMYFUNCTION("""COMPUTED_VALUE"""),"")</f>
        <v/>
      </c>
      <c r="Q1402" s="1" t="str">
        <f>IFERROR(__xludf.DUMMYFUNCTION("""COMPUTED_VALUE"""),"")</f>
        <v/>
      </c>
      <c r="R1402" s="1" t="str">
        <f>IFERROR(__xludf.DUMMYFUNCTION("""COMPUTED_VALUE"""),"")</f>
        <v/>
      </c>
      <c r="S1402" s="1" t="str">
        <f>IFERROR(__xludf.DUMMYFUNCTION("""COMPUTED_VALUE"""),"")</f>
        <v/>
      </c>
      <c r="T1402" s="1" t="str">
        <f>IFERROR(__xludf.DUMMYFUNCTION("""COMPUTED_VALUE"""),"")</f>
        <v/>
      </c>
      <c r="U1402" s="1" t="str">
        <f>IFERROR(__xludf.DUMMYFUNCTION("""COMPUTED_VALUE"""),"")</f>
        <v/>
      </c>
      <c r="V1402" s="1" t="str">
        <f>IFERROR(__xludf.DUMMYFUNCTION("""COMPUTED_VALUE"""),"")</f>
        <v/>
      </c>
      <c r="W1402" s="1" t="str">
        <f>IFERROR(__xludf.DUMMYFUNCTION("""COMPUTED_VALUE"""),"340")</f>
        <v>340</v>
      </c>
      <c r="X1402" s="1" t="str">
        <f>IFERROR(__xludf.DUMMYFUNCTION("""COMPUTED_VALUE"""),"")</f>
        <v/>
      </c>
      <c r="Y1402" s="1" t="str">
        <f>IFERROR(__xludf.DUMMYFUNCTION("""COMPUTED_VALUE"""),"")</f>
        <v/>
      </c>
      <c r="Z1402" s="1" t="str">
        <f>IFERROR(__xludf.DUMMYFUNCTION("""COMPUTED_VALUE"""),"Unknown")</f>
        <v>Unknown</v>
      </c>
      <c r="AA1402" s="1" t="str">
        <f>IFERROR(__xludf.DUMMYFUNCTION("""COMPUTED_VALUE"""),"")</f>
        <v/>
      </c>
      <c r="AB1402" s="1" t="str">
        <f>IFERROR(__xludf.DUMMYFUNCTION("""COMPUTED_VALUE"""),"")</f>
        <v/>
      </c>
      <c r="AC1402" s="1" t="str">
        <f>IFERROR(__xludf.DUMMYFUNCTION("""COMPUTED_VALUE"""),"")</f>
        <v/>
      </c>
      <c r="AD1402" s="1" t="str">
        <f>IFERROR(__xludf.DUMMYFUNCTION("""COMPUTED_VALUE"""),"")</f>
        <v/>
      </c>
      <c r="AE1402" s="1" t="str">
        <f>IFERROR(__xludf.DUMMYFUNCTION("""COMPUTED_VALUE"""),"")</f>
        <v/>
      </c>
      <c r="AF1402" s="1" t="str">
        <f>IFERROR(__xludf.DUMMYFUNCTION("""COMPUTED_VALUE"""),"")</f>
        <v/>
      </c>
      <c r="AG1402" s="1" t="str">
        <f>IFERROR(__xludf.DUMMYFUNCTION("""COMPUTED_VALUE"""),"")</f>
        <v/>
      </c>
      <c r="AH1402" s="1" t="str">
        <f>IFERROR(__xludf.DUMMYFUNCTION("""COMPUTED_VALUE"""),"Media Monitoring")</f>
        <v>Media Monitoring</v>
      </c>
      <c r="AI1402" s="2" t="str">
        <f>IFERROR(__xludf.DUMMYFUNCTION("""COMPUTED_VALUE"""),"https://richmondbizsense.com/2025/07/14/sites-slated-for-mystery-data-center-projects-in-chesterfield-sell-for-nearly-60m/")</f>
        <v>https://richmondbizsense.com/2025/07/14/sites-slated-for-mystery-data-center-projects-in-chesterfield-sell-for-nearly-60m/</v>
      </c>
      <c r="AJ1402" s="2" t="str">
        <f>IFERROR(__xludf.DUMMYFUNCTION("""COMPUTED_VALUE"""),"https://richmondbizsense.com/2025/08/28/chesterfield-scores-a-google-trifecta-tech-giant-reveals-ties-to-3-massive-sites-across-the-county/")</f>
        <v>https://richmondbizsense.com/2025/08/28/chesterfield-scores-a-google-trifecta-tech-giant-reveals-ties-to-3-massive-sites-across-the-county/</v>
      </c>
      <c r="AK1402" s="1" t="str">
        <f>IFERROR(__xludf.DUMMYFUNCTION("""COMPUTED_VALUE"""),"")</f>
        <v/>
      </c>
      <c r="AL1402" s="1" t="str">
        <f>IFERROR(__xludf.DUMMYFUNCTION("""COMPUTED_VALUE"""),"")</f>
        <v/>
      </c>
      <c r="AM1402" s="1" t="str">
        <f>IFERROR(__xludf.DUMMYFUNCTION("""COMPUTED_VALUE"""),"")</f>
        <v/>
      </c>
      <c r="AN1402" s="1" t="str">
        <f>IFERROR(__xludf.DUMMYFUNCTION("""COMPUTED_VALUE"""),"")</f>
        <v/>
      </c>
      <c r="AO1402" s="1" t="str">
        <f>IFERROR(__xludf.DUMMYFUNCTION("""COMPUTED_VALUE"""),"")</f>
        <v/>
      </c>
      <c r="AP1402" s="1" t="str">
        <f>IFERROR(__xludf.DUMMYFUNCTION("""COMPUTED_VALUE"""),"")</f>
        <v/>
      </c>
      <c r="AQ1402" s="1" t="str">
        <f>IFERROR(__xludf.DUMMYFUNCTION("""COMPUTED_VALUE"""),"07/15/2025")</f>
        <v>07/15/2025</v>
      </c>
      <c r="AR1402" s="1" t="str">
        <f>IFERROR(__xludf.DUMMYFUNCTION("""COMPUTED_VALUE"""),"07/15/2025")</f>
        <v>07/15/2025</v>
      </c>
    </row>
    <row r="1403">
      <c r="A1403" s="1" t="str">
        <f>IFERROR(__xludf.DUMMYFUNCTION("""COMPUTED_VALUE"""),"Lake Anna Tech Campus")</f>
        <v>Lake Anna Tech Campus</v>
      </c>
      <c r="B1403" s="1" t="str">
        <f>IFERROR(__xludf.DUMMYFUNCTION("""COMPUTED_VALUE"""),"Intersection of Haley Dr and Kentucky Springs Rd")</f>
        <v>Intersection of Haley Dr and Kentucky Springs Rd</v>
      </c>
      <c r="C1403" s="1" t="str">
        <f>IFERROR(__xludf.DUMMYFUNCTION("""COMPUTED_VALUE"""),"Mineral")</f>
        <v>Mineral</v>
      </c>
      <c r="D1403" s="1" t="str">
        <f>IFERROR(__xludf.DUMMYFUNCTION("""COMPUTED_VALUE"""),"VA")</f>
        <v>VA</v>
      </c>
      <c r="E1403" s="1" t="str">
        <f>IFERROR(__xludf.DUMMYFUNCTION("""COMPUTED_VALUE"""),"23117")</f>
        <v>23117</v>
      </c>
      <c r="F1403" s="1" t="str">
        <f>IFERROR(__xludf.DUMMYFUNCTION("""COMPUTED_VALUE"""),"Louisa")</f>
        <v>Louisa</v>
      </c>
      <c r="G1403" s="1" t="str">
        <f>IFERROR(__xludf.DUMMYFUNCTION("""COMPUTED_VALUE"""),"38.04825")</f>
        <v>38.04825</v>
      </c>
      <c r="H1403" s="1" t="str">
        <f>IFERROR(__xludf.DUMMYFUNCTION("""COMPUTED_VALUE"""),"-77.80991")</f>
        <v>-77.80991</v>
      </c>
      <c r="I1403" s="1" t="str">
        <f>IFERROR(__xludf.DUMMYFUNCTION("""COMPUTED_VALUE"""),"Proposed")</f>
        <v>Proposed</v>
      </c>
      <c r="J1403" s="1" t="str">
        <f>IFERROR(__xludf.DUMMYFUNCTION("""COMPUTED_VALUE"""),"Medium")</f>
        <v>Medium</v>
      </c>
      <c r="K1403" s="1" t="str">
        <f>IFERROR(__xludf.DUMMYFUNCTION("""COMPUTED_VALUE"""),"")</f>
        <v/>
      </c>
      <c r="L1403" s="1" t="str">
        <f>IFERROR(__xludf.DUMMYFUNCTION("""COMPUTED_VALUE"""),"Amazon")</f>
        <v>Amazon</v>
      </c>
      <c r="M1403" s="1" t="str">
        <f>IFERROR(__xludf.DUMMYFUNCTION("""COMPUTED_VALUE"""),"")</f>
        <v/>
      </c>
      <c r="N1403" s="1" t="str">
        <f>IFERROR(__xludf.DUMMYFUNCTION("""COMPUTED_VALUE"""),"")</f>
        <v/>
      </c>
      <c r="O1403" s="1" t="str">
        <f>IFERROR(__xludf.DUMMYFUNCTION("""COMPUTED_VALUE"""),"Unknown")</f>
        <v>Unknown</v>
      </c>
      <c r="P1403" s="1" t="str">
        <f>IFERROR(__xludf.DUMMYFUNCTION("""COMPUTED_VALUE"""),"")</f>
        <v/>
      </c>
      <c r="Q1403" s="1" t="str">
        <f>IFERROR(__xludf.DUMMYFUNCTION("""COMPUTED_VALUE"""),"")</f>
        <v/>
      </c>
      <c r="R1403" s="1" t="str">
        <f>IFERROR(__xludf.DUMMYFUNCTION("""COMPUTED_VALUE"""),"")</f>
        <v/>
      </c>
      <c r="S1403" s="1" t="str">
        <f>IFERROR(__xludf.DUMMYFUNCTION("""COMPUTED_VALUE"""),"")</f>
        <v/>
      </c>
      <c r="T1403" s="1" t="str">
        <f>IFERROR(__xludf.DUMMYFUNCTION("""COMPUTED_VALUE"""),"")</f>
        <v/>
      </c>
      <c r="U1403" s="1" t="str">
        <f>IFERROR(__xludf.DUMMYFUNCTION("""COMPUTED_VALUE"""),"")</f>
        <v/>
      </c>
      <c r="V1403" s="1" t="str">
        <f>IFERROR(__xludf.DUMMYFUNCTION("""COMPUTED_VALUE"""),"1,700,000")</f>
        <v>1,700,000</v>
      </c>
      <c r="W1403" s="1" t="str">
        <f>IFERROR(__xludf.DUMMYFUNCTION("""COMPUTED_VALUE"""),"150")</f>
        <v>150</v>
      </c>
      <c r="X1403" s="1" t="str">
        <f>IFERROR(__xludf.DUMMYFUNCTION("""COMPUTED_VALUE"""),"")</f>
        <v/>
      </c>
      <c r="Y1403" s="1" t="str">
        <f>IFERROR(__xludf.DUMMYFUNCTION("""COMPUTED_VALUE"""),"")</f>
        <v/>
      </c>
      <c r="Z1403" s="1" t="str">
        <f>IFERROR(__xludf.DUMMYFUNCTION("""COMPUTED_VALUE"""),"Unknown")</f>
        <v>Unknown</v>
      </c>
      <c r="AA1403" s="1" t="str">
        <f>IFERROR(__xludf.DUMMYFUNCTION("""COMPUTED_VALUE"""),"")</f>
        <v/>
      </c>
      <c r="AB1403" s="1" t="str">
        <f>IFERROR(__xludf.DUMMYFUNCTION("""COMPUTED_VALUE"""),"")</f>
        <v/>
      </c>
      <c r="AC1403" s="1" t="str">
        <f>IFERROR(__xludf.DUMMYFUNCTION("""COMPUTED_VALUE"""),"")</f>
        <v/>
      </c>
      <c r="AD1403" s="1" t="str">
        <f>IFERROR(__xludf.DUMMYFUNCTION("""COMPUTED_VALUE"""),"")</f>
        <v/>
      </c>
      <c r="AE1403" s="1" t="str">
        <f>IFERROR(__xludf.DUMMYFUNCTION("""COMPUTED_VALUE"""),"")</f>
        <v/>
      </c>
      <c r="AF1403" s="1" t="str">
        <f>IFERROR(__xludf.DUMMYFUNCTION("""COMPUTED_VALUE"""),"")</f>
        <v/>
      </c>
      <c r="AG1403" s="1" t="str">
        <f>IFERROR(__xludf.DUMMYFUNCTION("""COMPUTED_VALUE"""),"This project covers multiple parcels. The total acreage has been represented here.")</f>
        <v>This project covers multiple parcels. The total acreage has been represented here.</v>
      </c>
      <c r="AH1403" s="1" t="str">
        <f>IFERROR(__xludf.DUMMYFUNCTION("""COMPUTED_VALUE"""),"PEC")</f>
        <v>PEC</v>
      </c>
      <c r="AI1403" s="2" t="str">
        <f>IFERROR(__xludf.DUMMYFUNCTION("""COMPUTED_VALUE"""),"https://tammypurcell.substack.com/p/more-details-emerge-about-plans-for?utm_source=substack&amp;utm_medium=email")</f>
        <v>https://tammypurcell.substack.com/p/more-details-emerge-about-plans-for?utm_source=substack&amp;utm_medium=email</v>
      </c>
      <c r="AJ1403" s="1" t="str">
        <f>IFERROR(__xludf.DUMMYFUNCTION("""COMPUTED_VALUE"""),"")</f>
        <v/>
      </c>
      <c r="AK1403" s="1" t="str">
        <f>IFERROR(__xludf.DUMMYFUNCTION("""COMPUTED_VALUE"""),"")</f>
        <v/>
      </c>
      <c r="AL1403" s="1" t="str">
        <f>IFERROR(__xludf.DUMMYFUNCTION("""COMPUTED_VALUE"""),"")</f>
        <v/>
      </c>
      <c r="AM1403" s="1" t="str">
        <f>IFERROR(__xludf.DUMMYFUNCTION("""COMPUTED_VALUE"""),"")</f>
        <v/>
      </c>
      <c r="AN1403" s="1" t="str">
        <f>IFERROR(__xludf.DUMMYFUNCTION("""COMPUTED_VALUE"""),"")</f>
        <v/>
      </c>
      <c r="AO1403" s="1" t="str">
        <f>IFERROR(__xludf.DUMMYFUNCTION("""COMPUTED_VALUE"""),"")</f>
        <v/>
      </c>
      <c r="AP1403" s="1" t="str">
        <f>IFERROR(__xludf.DUMMYFUNCTION("""COMPUTED_VALUE"""),"")</f>
        <v/>
      </c>
      <c r="AQ1403" s="1" t="str">
        <f>IFERROR(__xludf.DUMMYFUNCTION("""COMPUTED_VALUE"""),"04/10/2024")</f>
        <v>04/10/2024</v>
      </c>
      <c r="AR1403" s="1" t="str">
        <f>IFERROR(__xludf.DUMMYFUNCTION("""COMPUTED_VALUE"""),"10/17/2025")</f>
        <v>10/17/2025</v>
      </c>
    </row>
    <row r="1404">
      <c r="A1404" s="1" t="str">
        <f>IFERROR(__xludf.DUMMYFUNCTION("""COMPUTED_VALUE"""),"Project Skye (Google)")</f>
        <v>Project Skye (Google)</v>
      </c>
      <c r="B1404" s="1" t="str">
        <f>IFERROR(__xludf.DUMMYFUNCTION("""COMPUTED_VALUE"""),"4200 Moseley R")</f>
        <v>4200 Moseley R</v>
      </c>
      <c r="C1404" s="1" t="str">
        <f>IFERROR(__xludf.DUMMYFUNCTION("""COMPUTED_VALUE"""),"Moseley")</f>
        <v>Moseley</v>
      </c>
      <c r="D1404" s="1" t="str">
        <f>IFERROR(__xludf.DUMMYFUNCTION("""COMPUTED_VALUE"""),"VA")</f>
        <v>VA</v>
      </c>
      <c r="E1404" s="1" t="str">
        <f>IFERROR(__xludf.DUMMYFUNCTION("""COMPUTED_VALUE"""),"23120")</f>
        <v>23120</v>
      </c>
      <c r="F1404" s="1" t="str">
        <f>IFERROR(__xludf.DUMMYFUNCTION("""COMPUTED_VALUE"""),"Chesterfield")</f>
        <v>Chesterfield</v>
      </c>
      <c r="G1404" s="1" t="str">
        <f>IFERROR(__xludf.DUMMYFUNCTION("""COMPUTED_VALUE"""),"37.44824")</f>
        <v>37.44824</v>
      </c>
      <c r="H1404" s="1" t="str">
        <f>IFERROR(__xludf.DUMMYFUNCTION("""COMPUTED_VALUE"""),"-77.781")</f>
        <v>-77.781</v>
      </c>
      <c r="I1404" s="1" t="str">
        <f>IFERROR(__xludf.DUMMYFUNCTION("""COMPUTED_VALUE"""),"Proposed")</f>
        <v>Proposed</v>
      </c>
      <c r="J1404" s="1" t="str">
        <f>IFERROR(__xludf.DUMMYFUNCTION("""COMPUTED_VALUE"""),"High")</f>
        <v>High</v>
      </c>
      <c r="K1404" s="1" t="str">
        <f>IFERROR(__xludf.DUMMYFUNCTION("""COMPUTED_VALUE"""),"")</f>
        <v/>
      </c>
      <c r="L1404" s="1" t="str">
        <f>IFERROR(__xludf.DUMMYFUNCTION("""COMPUTED_VALUE"""),"Google")</f>
        <v>Google</v>
      </c>
      <c r="M1404" s="1" t="str">
        <f>IFERROR(__xludf.DUMMYFUNCTION("""COMPUTED_VALUE"""),"")</f>
        <v/>
      </c>
      <c r="N1404" s="1" t="str">
        <f>IFERROR(__xludf.DUMMYFUNCTION("""COMPUTED_VALUE"""),"")</f>
        <v/>
      </c>
      <c r="O1404" s="1" t="str">
        <f>IFERROR(__xludf.DUMMYFUNCTION("""COMPUTED_VALUE"""),"Unknown")</f>
        <v>Unknown</v>
      </c>
      <c r="P1404" s="1" t="str">
        <f>IFERROR(__xludf.DUMMYFUNCTION("""COMPUTED_VALUE"""),"")</f>
        <v/>
      </c>
      <c r="Q1404" s="1" t="str">
        <f>IFERROR(__xludf.DUMMYFUNCTION("""COMPUTED_VALUE"""),"")</f>
        <v/>
      </c>
      <c r="R1404" s="1" t="str">
        <f>IFERROR(__xludf.DUMMYFUNCTION("""COMPUTED_VALUE"""),"")</f>
        <v/>
      </c>
      <c r="S1404" s="1" t="str">
        <f>IFERROR(__xludf.DUMMYFUNCTION("""COMPUTED_VALUE"""),"")</f>
        <v/>
      </c>
      <c r="T1404" s="1" t="str">
        <f>IFERROR(__xludf.DUMMYFUNCTION("""COMPUTED_VALUE"""),"")</f>
        <v/>
      </c>
      <c r="U1404" s="1" t="str">
        <f>IFERROR(__xludf.DUMMYFUNCTION("""COMPUTED_VALUE"""),"")</f>
        <v/>
      </c>
      <c r="V1404" s="1" t="str">
        <f>IFERROR(__xludf.DUMMYFUNCTION("""COMPUTED_VALUE"""),"")</f>
        <v/>
      </c>
      <c r="W1404" s="1" t="str">
        <f>IFERROR(__xludf.DUMMYFUNCTION("""COMPUTED_VALUE"""),"890")</f>
        <v>890</v>
      </c>
      <c r="X1404" s="1" t="str">
        <f>IFERROR(__xludf.DUMMYFUNCTION("""COMPUTED_VALUE"""),"")</f>
        <v/>
      </c>
      <c r="Y1404" s="1" t="str">
        <f>IFERROR(__xludf.DUMMYFUNCTION("""COMPUTED_VALUE"""),"")</f>
        <v/>
      </c>
      <c r="Z1404" s="1" t="str">
        <f>IFERROR(__xludf.DUMMYFUNCTION("""COMPUTED_VALUE"""),"Unknown")</f>
        <v>Unknown</v>
      </c>
      <c r="AA1404" s="1" t="str">
        <f>IFERROR(__xludf.DUMMYFUNCTION("""COMPUTED_VALUE"""),"")</f>
        <v/>
      </c>
      <c r="AB1404" s="1" t="str">
        <f>IFERROR(__xludf.DUMMYFUNCTION("""COMPUTED_VALUE"""),"")</f>
        <v/>
      </c>
      <c r="AC1404" s="1" t="str">
        <f>IFERROR(__xludf.DUMMYFUNCTION("""COMPUTED_VALUE"""),"")</f>
        <v/>
      </c>
      <c r="AD1404" s="1" t="str">
        <f>IFERROR(__xludf.DUMMYFUNCTION("""COMPUTED_VALUE"""),"")</f>
        <v/>
      </c>
      <c r="AE1404" s="1" t="str">
        <f>IFERROR(__xludf.DUMMYFUNCTION("""COMPUTED_VALUE"""),"")</f>
        <v/>
      </c>
      <c r="AF1404" s="1" t="str">
        <f>IFERROR(__xludf.DUMMYFUNCTION("""COMPUTED_VALUE"""),"")</f>
        <v/>
      </c>
      <c r="AG1404" s="1" t="str">
        <f>IFERROR(__xludf.DUMMYFUNCTION("""COMPUTED_VALUE"""),"")</f>
        <v/>
      </c>
      <c r="AH1404" s="1" t="str">
        <f>IFERROR(__xludf.DUMMYFUNCTION("""COMPUTED_VALUE"""),"Media Monitoring")</f>
        <v>Media Monitoring</v>
      </c>
      <c r="AI1404" s="2" t="str">
        <f>IFERROR(__xludf.DUMMYFUNCTION("""COMPUTED_VALUE"""),"https://richmondbizsense.com/2025/07/14/sites-slated-for-mystery-data-center-projects-in-chesterfield-sell-for-nearly-60m/")</f>
        <v>https://richmondbizsense.com/2025/07/14/sites-slated-for-mystery-data-center-projects-in-chesterfield-sell-for-nearly-60m/</v>
      </c>
      <c r="AJ1404" s="2" t="str">
        <f>IFERROR(__xludf.DUMMYFUNCTION("""COMPUTED_VALUE"""),"https://richmondbizsense.com/2025/08/28/chesterfield-scores-a-google-trifecta-tech-giant-reveals-ties-to-3-massive-sites-across-the-county/")</f>
        <v>https://richmondbizsense.com/2025/08/28/chesterfield-scores-a-google-trifecta-tech-giant-reveals-ties-to-3-massive-sites-across-the-county/</v>
      </c>
      <c r="AK1404" s="1" t="str">
        <f>IFERROR(__xludf.DUMMYFUNCTION("""COMPUTED_VALUE"""),"")</f>
        <v/>
      </c>
      <c r="AL1404" s="1" t="str">
        <f>IFERROR(__xludf.DUMMYFUNCTION("""COMPUTED_VALUE"""),"")</f>
        <v/>
      </c>
      <c r="AM1404" s="1" t="str">
        <f>IFERROR(__xludf.DUMMYFUNCTION("""COMPUTED_VALUE"""),"")</f>
        <v/>
      </c>
      <c r="AN1404" s="1" t="str">
        <f>IFERROR(__xludf.DUMMYFUNCTION("""COMPUTED_VALUE"""),"")</f>
        <v/>
      </c>
      <c r="AO1404" s="1" t="str">
        <f>IFERROR(__xludf.DUMMYFUNCTION("""COMPUTED_VALUE"""),"")</f>
        <v/>
      </c>
      <c r="AP1404" s="1" t="str">
        <f>IFERROR(__xludf.DUMMYFUNCTION("""COMPUTED_VALUE"""),"")</f>
        <v/>
      </c>
      <c r="AQ1404" s="1" t="str">
        <f>IFERROR(__xludf.DUMMYFUNCTION("""COMPUTED_VALUE"""),"07/15/2025")</f>
        <v>07/15/2025</v>
      </c>
      <c r="AR1404" s="1" t="str">
        <f>IFERROR(__xludf.DUMMYFUNCTION("""COMPUTED_VALUE"""),"07/15/2025")</f>
        <v>07/15/2025</v>
      </c>
    </row>
    <row r="1405">
      <c r="A1405" s="1" t="str">
        <f>IFERROR(__xludf.DUMMYFUNCTION("""COMPUTED_VALUE"""),"Upper Magnolia Green East")</f>
        <v>Upper Magnolia Green East</v>
      </c>
      <c r="B1405" s="1" t="str">
        <f>IFERROR(__xludf.DUMMYFUNCTION("""COMPUTED_VALUE"""),"18100 DUVAL RD")</f>
        <v>18100 DUVAL RD</v>
      </c>
      <c r="C1405" s="1" t="str">
        <f>IFERROR(__xludf.DUMMYFUNCTION("""COMPUTED_VALUE"""),"Moseley")</f>
        <v>Moseley</v>
      </c>
      <c r="D1405" s="1" t="str">
        <f>IFERROR(__xludf.DUMMYFUNCTION("""COMPUTED_VALUE"""),"VA")</f>
        <v>VA</v>
      </c>
      <c r="E1405" s="1" t="str">
        <f>IFERROR(__xludf.DUMMYFUNCTION("""COMPUTED_VALUE"""),"23120")</f>
        <v>23120</v>
      </c>
      <c r="F1405" s="1" t="str">
        <f>IFERROR(__xludf.DUMMYFUNCTION("""COMPUTED_VALUE"""),"Chesterfield")</f>
        <v>Chesterfield</v>
      </c>
      <c r="G1405" s="1" t="str">
        <f>IFERROR(__xludf.DUMMYFUNCTION("""COMPUTED_VALUE"""),"37.42037")</f>
        <v>37.42037</v>
      </c>
      <c r="H1405" s="1" t="str">
        <f>IFERROR(__xludf.DUMMYFUNCTION("""COMPUTED_VALUE"""),"-77.75997")</f>
        <v>-77.75997</v>
      </c>
      <c r="I1405" s="1" t="str">
        <f>IFERROR(__xludf.DUMMYFUNCTION("""COMPUTED_VALUE"""),"Proposed")</f>
        <v>Proposed</v>
      </c>
      <c r="J1405" s="1" t="str">
        <f>IFERROR(__xludf.DUMMYFUNCTION("""COMPUTED_VALUE"""),"High")</f>
        <v>High</v>
      </c>
      <c r="K1405" s="1" t="str">
        <f>IFERROR(__xludf.DUMMYFUNCTION("""COMPUTED_VALUE"""),"")</f>
        <v/>
      </c>
      <c r="L1405" s="1" t="str">
        <f>IFERROR(__xludf.DUMMYFUNCTION("""COMPUTED_VALUE"""),"")</f>
        <v/>
      </c>
      <c r="M1405" s="1" t="str">
        <f>IFERROR(__xludf.DUMMYFUNCTION("""COMPUTED_VALUE"""),"")</f>
        <v/>
      </c>
      <c r="N1405" s="1" t="str">
        <f>IFERROR(__xludf.DUMMYFUNCTION("""COMPUTED_VALUE"""),"")</f>
        <v/>
      </c>
      <c r="O1405" s="1" t="str">
        <f>IFERROR(__xludf.DUMMYFUNCTION("""COMPUTED_VALUE"""),"Unknown")</f>
        <v>Unknown</v>
      </c>
      <c r="P1405" s="1" t="str">
        <f>IFERROR(__xludf.DUMMYFUNCTION("""COMPUTED_VALUE"""),"")</f>
        <v/>
      </c>
      <c r="Q1405" s="1" t="str">
        <f>IFERROR(__xludf.DUMMYFUNCTION("""COMPUTED_VALUE"""),"")</f>
        <v/>
      </c>
      <c r="R1405" s="1" t="str">
        <f>IFERROR(__xludf.DUMMYFUNCTION("""COMPUTED_VALUE"""),"")</f>
        <v/>
      </c>
      <c r="S1405" s="1" t="str">
        <f>IFERROR(__xludf.DUMMYFUNCTION("""COMPUTED_VALUE"""),"")</f>
        <v/>
      </c>
      <c r="T1405" s="1" t="str">
        <f>IFERROR(__xludf.DUMMYFUNCTION("""COMPUTED_VALUE"""),"")</f>
        <v/>
      </c>
      <c r="U1405" s="1" t="str">
        <f>IFERROR(__xludf.DUMMYFUNCTION("""COMPUTED_VALUE"""),"")</f>
        <v/>
      </c>
      <c r="V1405" s="1" t="str">
        <f>IFERROR(__xludf.DUMMYFUNCTION("""COMPUTED_VALUE"""),"")</f>
        <v/>
      </c>
      <c r="W1405" s="1" t="str">
        <f>IFERROR(__xludf.DUMMYFUNCTION("""COMPUTED_VALUE"""),"744")</f>
        <v>744</v>
      </c>
      <c r="X1405" s="1" t="str">
        <f>IFERROR(__xludf.DUMMYFUNCTION("""COMPUTED_VALUE"""),"")</f>
        <v/>
      </c>
      <c r="Y1405" s="1" t="str">
        <f>IFERROR(__xludf.DUMMYFUNCTION("""COMPUTED_VALUE"""),"")</f>
        <v/>
      </c>
      <c r="Z1405" s="1" t="str">
        <f>IFERROR(__xludf.DUMMYFUNCTION("""COMPUTED_VALUE"""),"Unknown")</f>
        <v>Unknown</v>
      </c>
      <c r="AA1405" s="1" t="str">
        <f>IFERROR(__xludf.DUMMYFUNCTION("""COMPUTED_VALUE"""),"")</f>
        <v/>
      </c>
      <c r="AB1405" s="1" t="str">
        <f>IFERROR(__xludf.DUMMYFUNCTION("""COMPUTED_VALUE"""),"")</f>
        <v/>
      </c>
      <c r="AC1405" s="1" t="str">
        <f>IFERROR(__xludf.DUMMYFUNCTION("""COMPUTED_VALUE"""),"")</f>
        <v/>
      </c>
      <c r="AD1405" s="1" t="str">
        <f>IFERROR(__xludf.DUMMYFUNCTION("""COMPUTED_VALUE"""),"")</f>
        <v/>
      </c>
      <c r="AE1405" s="1" t="str">
        <f>IFERROR(__xludf.DUMMYFUNCTION("""COMPUTED_VALUE"""),"")</f>
        <v/>
      </c>
      <c r="AF1405" s="1" t="str">
        <f>IFERROR(__xludf.DUMMYFUNCTION("""COMPUTED_VALUE"""),"")</f>
        <v/>
      </c>
      <c r="AG1405" s="1" t="str">
        <f>IFERROR(__xludf.DUMMYFUNCTION("""COMPUTED_VALUE"""),"This project covers multiple parcels. The total acreage has been represented here.")</f>
        <v>This project covers multiple parcels. The total acreage has been represented here.</v>
      </c>
      <c r="AH1405" s="1" t="str">
        <f>IFERROR(__xludf.DUMMYFUNCTION("""COMPUTED_VALUE"""),"PEC")</f>
        <v>PEC</v>
      </c>
      <c r="AI1405" s="2" t="str">
        <f>IFERROR(__xludf.DUMMYFUNCTION("""COMPUTED_VALUE"""),"https://chesterfieldfits.com/site/wp-content/uploads/2025/05/East.Proffers.Executed.04-09-25-01709493xBE3E4.pdf")</f>
        <v>https://chesterfieldfits.com/site/wp-content/uploads/2025/05/East.Proffers.Executed.04-09-25-01709493xBE3E4.pdf</v>
      </c>
      <c r="AJ1405" s="2" t="str">
        <f>IFERROR(__xludf.DUMMYFUNCTION("""COMPUTED_VALUE"""),"https://www.chesterfield.gov/828/Real-Estate-Assessment-Data#/Details/698680060200000")</f>
        <v>https://www.chesterfield.gov/828/Real-Estate-Assessment-Data#/Details/698680060200000</v>
      </c>
      <c r="AK1405" s="1" t="str">
        <f>IFERROR(__xludf.DUMMYFUNCTION("""COMPUTED_VALUE"""),"")</f>
        <v/>
      </c>
      <c r="AL1405" s="1" t="str">
        <f>IFERROR(__xludf.DUMMYFUNCTION("""COMPUTED_VALUE"""),"")</f>
        <v/>
      </c>
      <c r="AM1405" s="1" t="str">
        <f>IFERROR(__xludf.DUMMYFUNCTION("""COMPUTED_VALUE"""),"")</f>
        <v/>
      </c>
      <c r="AN1405" s="1" t="str">
        <f>IFERROR(__xludf.DUMMYFUNCTION("""COMPUTED_VALUE"""),"")</f>
        <v/>
      </c>
      <c r="AO1405" s="1" t="str">
        <f>IFERROR(__xludf.DUMMYFUNCTION("""COMPUTED_VALUE"""),"")</f>
        <v/>
      </c>
      <c r="AP1405" s="1" t="str">
        <f>IFERROR(__xludf.DUMMYFUNCTION("""COMPUTED_VALUE"""),"")</f>
        <v/>
      </c>
      <c r="AQ1405" s="1" t="str">
        <f>IFERROR(__xludf.DUMMYFUNCTION("""COMPUTED_VALUE"""),"06/27/2025")</f>
        <v>06/27/2025</v>
      </c>
      <c r="AR1405" s="1" t="str">
        <f>IFERROR(__xludf.DUMMYFUNCTION("""COMPUTED_VALUE"""),"10/17/2025")</f>
        <v>10/17/2025</v>
      </c>
    </row>
    <row r="1406">
      <c r="A1406" s="1" t="str">
        <f>IFERROR(__xludf.DUMMYFUNCTION("""COMPUTED_VALUE"""),"Upper Magnolia Green West Tract A and Tract B")</f>
        <v>Upper Magnolia Green West Tract A and Tract B</v>
      </c>
      <c r="B1406" s="1" t="str">
        <f>IFERROR(__xludf.DUMMYFUNCTION("""COMPUTED_VALUE"""),"4401 MOSELEY RD")</f>
        <v>4401 MOSELEY RD</v>
      </c>
      <c r="C1406" s="1" t="str">
        <f>IFERROR(__xludf.DUMMYFUNCTION("""COMPUTED_VALUE"""),"Moseley")</f>
        <v>Moseley</v>
      </c>
      <c r="D1406" s="1" t="str">
        <f>IFERROR(__xludf.DUMMYFUNCTION("""COMPUTED_VALUE"""),"VA")</f>
        <v>VA</v>
      </c>
      <c r="E1406" s="1" t="str">
        <f>IFERROR(__xludf.DUMMYFUNCTION("""COMPUTED_VALUE"""),"23120")</f>
        <v>23120</v>
      </c>
      <c r="F1406" s="1" t="str">
        <f>IFERROR(__xludf.DUMMYFUNCTION("""COMPUTED_VALUE"""),"Chesterfield")</f>
        <v>Chesterfield</v>
      </c>
      <c r="G1406" s="1" t="str">
        <f>IFERROR(__xludf.DUMMYFUNCTION("""COMPUTED_VALUE"""),"37.444225")</f>
        <v>37.444225</v>
      </c>
      <c r="H1406" s="1" t="str">
        <f>IFERROR(__xludf.DUMMYFUNCTION("""COMPUTED_VALUE"""),"-77.77384")</f>
        <v>-77.77384</v>
      </c>
      <c r="I1406" s="1" t="str">
        <f>IFERROR(__xludf.DUMMYFUNCTION("""COMPUTED_VALUE"""),"Proposed")</f>
        <v>Proposed</v>
      </c>
      <c r="J1406" s="1" t="str">
        <f>IFERROR(__xludf.DUMMYFUNCTION("""COMPUTED_VALUE"""),"High")</f>
        <v>High</v>
      </c>
      <c r="K1406" s="1" t="str">
        <f>IFERROR(__xludf.DUMMYFUNCTION("""COMPUTED_VALUE"""),"")</f>
        <v/>
      </c>
      <c r="L1406" s="1" t="str">
        <f>IFERROR(__xludf.DUMMYFUNCTION("""COMPUTED_VALUE"""),"")</f>
        <v/>
      </c>
      <c r="M1406" s="1" t="str">
        <f>IFERROR(__xludf.DUMMYFUNCTION("""COMPUTED_VALUE"""),"")</f>
        <v/>
      </c>
      <c r="N1406" s="1" t="str">
        <f>IFERROR(__xludf.DUMMYFUNCTION("""COMPUTED_VALUE"""),"")</f>
        <v/>
      </c>
      <c r="O1406" s="1" t="str">
        <f>IFERROR(__xludf.DUMMYFUNCTION("""COMPUTED_VALUE"""),"Unknown")</f>
        <v>Unknown</v>
      </c>
      <c r="P1406" s="1" t="str">
        <f>IFERROR(__xludf.DUMMYFUNCTION("""COMPUTED_VALUE"""),"")</f>
        <v/>
      </c>
      <c r="Q1406" s="1" t="str">
        <f>IFERROR(__xludf.DUMMYFUNCTION("""COMPUTED_VALUE"""),"")</f>
        <v/>
      </c>
      <c r="R1406" s="1" t="str">
        <f>IFERROR(__xludf.DUMMYFUNCTION("""COMPUTED_VALUE"""),"")</f>
        <v/>
      </c>
      <c r="S1406" s="1" t="str">
        <f>IFERROR(__xludf.DUMMYFUNCTION("""COMPUTED_VALUE"""),"")</f>
        <v/>
      </c>
      <c r="T1406" s="1" t="str">
        <f>IFERROR(__xludf.DUMMYFUNCTION("""COMPUTED_VALUE"""),"")</f>
        <v/>
      </c>
      <c r="U1406" s="1" t="str">
        <f>IFERROR(__xludf.DUMMYFUNCTION("""COMPUTED_VALUE"""),"")</f>
        <v/>
      </c>
      <c r="V1406" s="1" t="str">
        <f>IFERROR(__xludf.DUMMYFUNCTION("""COMPUTED_VALUE"""),"")</f>
        <v/>
      </c>
      <c r="W1406" s="1" t="str">
        <f>IFERROR(__xludf.DUMMYFUNCTION("""COMPUTED_VALUE"""),"979")</f>
        <v>979</v>
      </c>
      <c r="X1406" s="1" t="str">
        <f>IFERROR(__xludf.DUMMYFUNCTION("""COMPUTED_VALUE"""),"")</f>
        <v/>
      </c>
      <c r="Y1406" s="1" t="str">
        <f>IFERROR(__xludf.DUMMYFUNCTION("""COMPUTED_VALUE"""),"")</f>
        <v/>
      </c>
      <c r="Z1406" s="1" t="str">
        <f>IFERROR(__xludf.DUMMYFUNCTION("""COMPUTED_VALUE"""),"Unknown")</f>
        <v>Unknown</v>
      </c>
      <c r="AA1406" s="1" t="str">
        <f>IFERROR(__xludf.DUMMYFUNCTION("""COMPUTED_VALUE"""),"")</f>
        <v/>
      </c>
      <c r="AB1406" s="1" t="str">
        <f>IFERROR(__xludf.DUMMYFUNCTION("""COMPUTED_VALUE"""),"")</f>
        <v/>
      </c>
      <c r="AC1406" s="1" t="str">
        <f>IFERROR(__xludf.DUMMYFUNCTION("""COMPUTED_VALUE"""),"")</f>
        <v/>
      </c>
      <c r="AD1406" s="1" t="str">
        <f>IFERROR(__xludf.DUMMYFUNCTION("""COMPUTED_VALUE"""),"")</f>
        <v/>
      </c>
      <c r="AE1406" s="1" t="str">
        <f>IFERROR(__xludf.DUMMYFUNCTION("""COMPUTED_VALUE"""),"")</f>
        <v/>
      </c>
      <c r="AF1406" s="1" t="str">
        <f>IFERROR(__xludf.DUMMYFUNCTION("""COMPUTED_VALUE"""),"")</f>
        <v/>
      </c>
      <c r="AG1406" s="1" t="str">
        <f>IFERROR(__xludf.DUMMYFUNCTION("""COMPUTED_VALUE"""),"This project covers multiple parcels. The total acreage has been represented here.")</f>
        <v>This project covers multiple parcels. The total acreage has been represented here.</v>
      </c>
      <c r="AH1406" s="1" t="str">
        <f>IFERROR(__xludf.DUMMYFUNCTION("""COMPUTED_VALUE"""),"PEC")</f>
        <v>PEC</v>
      </c>
      <c r="AI1406" s="2" t="str">
        <f>IFERROR(__xludf.DUMMYFUNCTION("""COMPUTED_VALUE"""),"https://chesterfieldfits.com/site/wp-content/uploads/2025/05/25SN1038.West-Tract-A.-Proffers.-Executed.-5.9.25-01718952xBE3E4.pdf")</f>
        <v>https://chesterfieldfits.com/site/wp-content/uploads/2025/05/25SN1038.West-Tract-A.-Proffers.-Executed.-5.9.25-01718952xBE3E4.pdf</v>
      </c>
      <c r="AJ1406" s="2" t="str">
        <f>IFERROR(__xludf.DUMMYFUNCTION("""COMPUTED_VALUE"""),"https://www.chesterfield.gov/828/Real-Estate-Assessment-Data#/Details/693685201900000")</f>
        <v>https://www.chesterfield.gov/828/Real-Estate-Assessment-Data#/Details/693685201900000</v>
      </c>
      <c r="AK1406" s="1" t="str">
        <f>IFERROR(__xludf.DUMMYFUNCTION("""COMPUTED_VALUE"""),"")</f>
        <v/>
      </c>
      <c r="AL1406" s="1" t="str">
        <f>IFERROR(__xludf.DUMMYFUNCTION("""COMPUTED_VALUE"""),"")</f>
        <v/>
      </c>
      <c r="AM1406" s="1" t="str">
        <f>IFERROR(__xludf.DUMMYFUNCTION("""COMPUTED_VALUE"""),"")</f>
        <v/>
      </c>
      <c r="AN1406" s="1" t="str">
        <f>IFERROR(__xludf.DUMMYFUNCTION("""COMPUTED_VALUE"""),"")</f>
        <v/>
      </c>
      <c r="AO1406" s="1" t="str">
        <f>IFERROR(__xludf.DUMMYFUNCTION("""COMPUTED_VALUE"""),"")</f>
        <v/>
      </c>
      <c r="AP1406" s="1" t="str">
        <f>IFERROR(__xludf.DUMMYFUNCTION("""COMPUTED_VALUE"""),"")</f>
        <v/>
      </c>
      <c r="AQ1406" s="1" t="str">
        <f>IFERROR(__xludf.DUMMYFUNCTION("""COMPUTED_VALUE"""),"06/27/2025")</f>
        <v>06/27/2025</v>
      </c>
      <c r="AR1406" s="1" t="str">
        <f>IFERROR(__xludf.DUMMYFUNCTION("""COMPUTED_VALUE"""),"10/17/2025")</f>
        <v>10/17/2025</v>
      </c>
    </row>
    <row r="1407">
      <c r="A1407" s="1" t="str">
        <f>IFERROR(__xludf.DUMMYFUNCTION("""COMPUTED_VALUE"""),"EdgeConneX Norfolk")</f>
        <v>EdgeConneX Norfolk</v>
      </c>
      <c r="B1407" s="1" t="str">
        <f>IFERROR(__xludf.DUMMYFUNCTION("""COMPUTED_VALUE"""),"3800 VILLAGE AVENUE")</f>
        <v>3800 VILLAGE AVENUE</v>
      </c>
      <c r="C1407" s="1" t="str">
        <f>IFERROR(__xludf.DUMMYFUNCTION("""COMPUTED_VALUE"""),"Norfolk")</f>
        <v>Norfolk</v>
      </c>
      <c r="D1407" s="1" t="str">
        <f>IFERROR(__xludf.DUMMYFUNCTION("""COMPUTED_VALUE"""),"VA")</f>
        <v>VA</v>
      </c>
      <c r="E1407" s="1" t="str">
        <f>IFERROR(__xludf.DUMMYFUNCTION("""COMPUTED_VALUE"""),"23502")</f>
        <v>23502</v>
      </c>
      <c r="F1407" s="1" t="str">
        <f>IFERROR(__xludf.DUMMYFUNCTION("""COMPUTED_VALUE"""),"Norfolk")</f>
        <v>Norfolk</v>
      </c>
      <c r="G1407" s="1" t="str">
        <f>IFERROR(__xludf.DUMMYFUNCTION("""COMPUTED_VALUE"""),"36.86186")</f>
        <v>36.86186</v>
      </c>
      <c r="H1407" s="1" t="str">
        <f>IFERROR(__xludf.DUMMYFUNCTION("""COMPUTED_VALUE"""),"-76.235344")</f>
        <v>-76.235344</v>
      </c>
      <c r="I1407" s="1" t="str">
        <f>IFERROR(__xludf.DUMMYFUNCTION("""COMPUTED_VALUE"""),"Operating")</f>
        <v>Operating</v>
      </c>
      <c r="J1407" s="1" t="str">
        <f>IFERROR(__xludf.DUMMYFUNCTION("""COMPUTED_VALUE"""),"High")</f>
        <v>High</v>
      </c>
      <c r="K1407" s="1" t="str">
        <f>IFERROR(__xludf.DUMMYFUNCTION("""COMPUTED_VALUE"""),"")</f>
        <v/>
      </c>
      <c r="L1407" s="1" t="str">
        <f>IFERROR(__xludf.DUMMYFUNCTION("""COMPUTED_VALUE"""),"Warehouse 888, Llc")</f>
        <v>Warehouse 888, Llc</v>
      </c>
      <c r="M1407" s="1" t="str">
        <f>IFERROR(__xludf.DUMMYFUNCTION("""COMPUTED_VALUE"""),"")</f>
        <v/>
      </c>
      <c r="N1407" s="1" t="str">
        <f>IFERROR(__xludf.DUMMYFUNCTION("""COMPUTED_VALUE"""),"")</f>
        <v/>
      </c>
      <c r="O1407" s="1" t="str">
        <f>IFERROR(__xludf.DUMMYFUNCTION("""COMPUTED_VALUE"""),"Unknown")</f>
        <v>Unknown</v>
      </c>
      <c r="P1407" s="1" t="str">
        <f>IFERROR(__xludf.DUMMYFUNCTION("""COMPUTED_VALUE"""),"")</f>
        <v/>
      </c>
      <c r="Q1407" s="1" t="str">
        <f>IFERROR(__xludf.DUMMYFUNCTION("""COMPUTED_VALUE"""),"")</f>
        <v/>
      </c>
      <c r="R1407" s="1" t="str">
        <f>IFERROR(__xludf.DUMMYFUNCTION("""COMPUTED_VALUE"""),"")</f>
        <v/>
      </c>
      <c r="S1407" s="1" t="str">
        <f>IFERROR(__xludf.DUMMYFUNCTION("""COMPUTED_VALUE"""),"")</f>
        <v/>
      </c>
      <c r="T1407" s="1" t="str">
        <f>IFERROR(__xludf.DUMMYFUNCTION("""COMPUTED_VALUE"""),"")</f>
        <v/>
      </c>
      <c r="U1407" s="1" t="str">
        <f>IFERROR(__xludf.DUMMYFUNCTION("""COMPUTED_VALUE"""),"")</f>
        <v/>
      </c>
      <c r="V1407" s="1" t="str">
        <f>IFERROR(__xludf.DUMMYFUNCTION("""COMPUTED_VALUE"""),"4,610")</f>
        <v>4,610</v>
      </c>
      <c r="W1407" s="1" t="str">
        <f>IFERROR(__xludf.DUMMYFUNCTION("""COMPUTED_VALUE"""),"5")</f>
        <v>5</v>
      </c>
      <c r="X1407" s="1" t="str">
        <f>IFERROR(__xludf.DUMMYFUNCTION("""COMPUTED_VALUE"""),"")</f>
        <v/>
      </c>
      <c r="Y1407" s="1" t="str">
        <f>IFERROR(__xludf.DUMMYFUNCTION("""COMPUTED_VALUE"""),"")</f>
        <v/>
      </c>
      <c r="Z1407" s="1" t="str">
        <f>IFERROR(__xludf.DUMMYFUNCTION("""COMPUTED_VALUE"""),"Unknown")</f>
        <v>Unknown</v>
      </c>
      <c r="AA1407" s="1" t="str">
        <f>IFERROR(__xludf.DUMMYFUNCTION("""COMPUTED_VALUE"""),"")</f>
        <v/>
      </c>
      <c r="AB1407" s="1" t="str">
        <f>IFERROR(__xludf.DUMMYFUNCTION("""COMPUTED_VALUE"""),"")</f>
        <v/>
      </c>
      <c r="AC1407" s="1" t="str">
        <f>IFERROR(__xludf.DUMMYFUNCTION("""COMPUTED_VALUE"""),"")</f>
        <v/>
      </c>
      <c r="AD1407" s="1" t="str">
        <f>IFERROR(__xludf.DUMMYFUNCTION("""COMPUTED_VALUE"""),"")</f>
        <v/>
      </c>
      <c r="AE1407" s="1" t="str">
        <f>IFERROR(__xludf.DUMMYFUNCTION("""COMPUTED_VALUE"""),"")</f>
        <v/>
      </c>
      <c r="AF1407" s="1" t="str">
        <f>IFERROR(__xludf.DUMMYFUNCTION("""COMPUTED_VALUE"""),"")</f>
        <v/>
      </c>
      <c r="AG1407" s="1" t="str">
        <f>IFERROR(__xludf.DUMMYFUNCTION("""COMPUTED_VALUE"""),"Partial use of an existing building")</f>
        <v>Partial use of an existing building</v>
      </c>
      <c r="AH1407" s="1" t="str">
        <f>IFERROR(__xludf.DUMMYFUNCTION("""COMPUTED_VALUE"""),"PEC")</f>
        <v>PEC</v>
      </c>
      <c r="AI1407" s="2" t="str">
        <f>IFERROR(__xludf.DUMMYFUNCTION("""COMPUTED_VALUE"""),"https://air.norfolk.gov/#/property/46178100")</f>
        <v>https://air.norfolk.gov/#/property/46178100</v>
      </c>
      <c r="AJ1407" s="1" t="str">
        <f>IFERROR(__xludf.DUMMYFUNCTION("""COMPUTED_VALUE"""),"")</f>
        <v/>
      </c>
      <c r="AK1407" s="1" t="str">
        <f>IFERROR(__xludf.DUMMYFUNCTION("""COMPUTED_VALUE"""),"")</f>
        <v/>
      </c>
      <c r="AL1407" s="1" t="str">
        <f>IFERROR(__xludf.DUMMYFUNCTION("""COMPUTED_VALUE"""),"")</f>
        <v/>
      </c>
      <c r="AM1407" s="1" t="str">
        <f>IFERROR(__xludf.DUMMYFUNCTION("""COMPUTED_VALUE"""),"")</f>
        <v/>
      </c>
      <c r="AN1407" s="1" t="str">
        <f>IFERROR(__xludf.DUMMYFUNCTION("""COMPUTED_VALUE"""),"")</f>
        <v/>
      </c>
      <c r="AO1407" s="1" t="str">
        <f>IFERROR(__xludf.DUMMYFUNCTION("""COMPUTED_VALUE"""),"")</f>
        <v/>
      </c>
      <c r="AP1407" s="1" t="str">
        <f>IFERROR(__xludf.DUMMYFUNCTION("""COMPUTED_VALUE"""),"")</f>
        <v/>
      </c>
      <c r="AQ1407" s="1" t="str">
        <f>IFERROR(__xludf.DUMMYFUNCTION("""COMPUTED_VALUE"""),"04/10/2024")</f>
        <v>04/10/2024</v>
      </c>
      <c r="AR1407" s="1" t="str">
        <f>IFERROR(__xludf.DUMMYFUNCTION("""COMPUTED_VALUE"""),"10/17/2025")</f>
        <v>10/17/2025</v>
      </c>
    </row>
    <row r="1408">
      <c r="A1408" s="1" t="str">
        <f>IFERROR(__xludf.DUMMYFUNCTION("""COMPUTED_VALUE"""),"Perspecta Datacenter Campus")</f>
        <v>Perspecta Datacenter Campus</v>
      </c>
      <c r="B1408" s="1" t="str">
        <f>IFERROR(__xludf.DUMMYFUNCTION("""COMPUTED_VALUE"""),"13600 EDS DR")</f>
        <v>13600 EDS DR</v>
      </c>
      <c r="C1408" s="1" t="str">
        <f>IFERROR(__xludf.DUMMYFUNCTION("""COMPUTED_VALUE"""),"Oak Hill")</f>
        <v>Oak Hill</v>
      </c>
      <c r="D1408" s="1" t="str">
        <f>IFERROR(__xludf.DUMMYFUNCTION("""COMPUTED_VALUE"""),"VA")</f>
        <v>VA</v>
      </c>
      <c r="E1408" s="1" t="str">
        <f>IFERROR(__xludf.DUMMYFUNCTION("""COMPUTED_VALUE"""),"20171")</f>
        <v>20171</v>
      </c>
      <c r="F1408" s="1" t="str">
        <f>IFERROR(__xludf.DUMMYFUNCTION("""COMPUTED_VALUE"""),"Fairfax")</f>
        <v>Fairfax</v>
      </c>
      <c r="G1408" s="1" t="str">
        <f>IFERROR(__xludf.DUMMYFUNCTION("""COMPUTED_VALUE"""),"38.923347")</f>
        <v>38.923347</v>
      </c>
      <c r="H1408" s="1" t="str">
        <f>IFERROR(__xludf.DUMMYFUNCTION("""COMPUTED_VALUE"""),"-77.426834")</f>
        <v>-77.426834</v>
      </c>
      <c r="I1408" s="1" t="str">
        <f>IFERROR(__xludf.DUMMYFUNCTION("""COMPUTED_VALUE"""),"Expanding")</f>
        <v>Expanding</v>
      </c>
      <c r="J1408" s="1" t="str">
        <f>IFERROR(__xludf.DUMMYFUNCTION("""COMPUTED_VALUE"""),"High")</f>
        <v>High</v>
      </c>
      <c r="K1408" s="1" t="str">
        <f>IFERROR(__xludf.DUMMYFUNCTION("""COMPUTED_VALUE"""),"")</f>
        <v/>
      </c>
      <c r="L1408" s="1" t="str">
        <f>IFERROR(__xludf.DUMMYFUNCTION("""COMPUTED_VALUE"""),"Amazon")</f>
        <v>Amazon</v>
      </c>
      <c r="M1408" s="1" t="str">
        <f>IFERROR(__xludf.DUMMYFUNCTION("""COMPUTED_VALUE"""),"")</f>
        <v/>
      </c>
      <c r="N1408" s="1" t="str">
        <f>IFERROR(__xludf.DUMMYFUNCTION("""COMPUTED_VALUE"""),"")</f>
        <v/>
      </c>
      <c r="O1408" s="1" t="str">
        <f>IFERROR(__xludf.DUMMYFUNCTION("""COMPUTED_VALUE"""),"Unknown")</f>
        <v>Unknown</v>
      </c>
      <c r="P1408" s="1" t="str">
        <f>IFERROR(__xludf.DUMMYFUNCTION("""COMPUTED_VALUE"""),"")</f>
        <v/>
      </c>
      <c r="Q1408" s="1" t="str">
        <f>IFERROR(__xludf.DUMMYFUNCTION("""COMPUTED_VALUE"""),"")</f>
        <v/>
      </c>
      <c r="R1408" s="1" t="str">
        <f>IFERROR(__xludf.DUMMYFUNCTION("""COMPUTED_VALUE"""),"")</f>
        <v/>
      </c>
      <c r="S1408" s="1" t="str">
        <f>IFERROR(__xludf.DUMMYFUNCTION("""COMPUTED_VALUE"""),"")</f>
        <v/>
      </c>
      <c r="T1408" s="1" t="str">
        <f>IFERROR(__xludf.DUMMYFUNCTION("""COMPUTED_VALUE"""),"")</f>
        <v/>
      </c>
      <c r="U1408" s="1" t="str">
        <f>IFERROR(__xludf.DUMMYFUNCTION("""COMPUTED_VALUE"""),"")</f>
        <v/>
      </c>
      <c r="V1408" s="1" t="str">
        <f>IFERROR(__xludf.DUMMYFUNCTION("""COMPUTED_VALUE"""),"1,046,632")</f>
        <v>1,046,632</v>
      </c>
      <c r="W1408" s="1" t="str">
        <f>IFERROR(__xludf.DUMMYFUNCTION("""COMPUTED_VALUE"""),"48")</f>
        <v>48</v>
      </c>
      <c r="X1408" s="1" t="str">
        <f>IFERROR(__xludf.DUMMYFUNCTION("""COMPUTED_VALUE"""),"")</f>
        <v/>
      </c>
      <c r="Y1408" s="1" t="str">
        <f>IFERROR(__xludf.DUMMYFUNCTION("""COMPUTED_VALUE"""),"")</f>
        <v/>
      </c>
      <c r="Z1408" s="1" t="str">
        <f>IFERROR(__xludf.DUMMYFUNCTION("""COMPUTED_VALUE"""),"Unknown")</f>
        <v>Unknown</v>
      </c>
      <c r="AA1408" s="1" t="str">
        <f>IFERROR(__xludf.DUMMYFUNCTION("""COMPUTED_VALUE"""),"")</f>
        <v/>
      </c>
      <c r="AB1408" s="1" t="str">
        <f>IFERROR(__xludf.DUMMYFUNCTION("""COMPUTED_VALUE"""),"")</f>
        <v/>
      </c>
      <c r="AC1408" s="1" t="str">
        <f>IFERROR(__xludf.DUMMYFUNCTION("""COMPUTED_VALUE"""),"")</f>
        <v/>
      </c>
      <c r="AD1408" s="1" t="str">
        <f>IFERROR(__xludf.DUMMYFUNCTION("""COMPUTED_VALUE"""),"")</f>
        <v/>
      </c>
      <c r="AE1408" s="1" t="str">
        <f>IFERROR(__xludf.DUMMYFUNCTION("""COMPUTED_VALUE"""),"")</f>
        <v/>
      </c>
      <c r="AF1408" s="1" t="str">
        <f>IFERROR(__xludf.DUMMYFUNCTION("""COMPUTED_VALUE"""),"")</f>
        <v/>
      </c>
      <c r="AG1408" s="1" t="str">
        <f>IFERROR(__xludf.DUMMYFUNCTION("""COMPUTED_VALUE"""),"271,471 sq foot expansion of an existing facility")</f>
        <v>271,471 sq foot expansion of an existing facility</v>
      </c>
      <c r="AH1408" s="1" t="str">
        <f>IFERROR(__xludf.DUMMYFUNCTION("""COMPUTED_VALUE"""),"PEC")</f>
        <v>PEC</v>
      </c>
      <c r="AI1408" s="2" t="str">
        <f>IFERROR(__xludf.DUMMYFUNCTION("""COMPUTED_VALUE"""),"https://www.fairfaxcounty.gov/planning-development/sites/planning-development/files/Assets/Documents/PDF/data-centers-report.pdf#page=1")</f>
        <v>https://www.fairfaxcounty.gov/planning-development/sites/planning-development/files/Assets/Documents/PDF/data-centers-report.pdf#page=1</v>
      </c>
      <c r="AJ1408" s="2" t="str">
        <f>IFERROR(__xludf.DUMMYFUNCTION("""COMPUTED_VALUE"""),"https://icare.fairfaxcounty.gov/ffxcare/Datalets/Datalet.aspx?mode=&amp;UseSearch=no&amp;pin=0244%2001%20%200006B8&amp;jur=129&amp;taxyr=2025")</f>
        <v>https://icare.fairfaxcounty.gov/ffxcare/Datalets/Datalet.aspx?mode=&amp;UseSearch=no&amp;pin=0244%2001%20%200006B8&amp;jur=129&amp;taxyr=2025</v>
      </c>
      <c r="AK1408" s="1" t="str">
        <f>IFERROR(__xludf.DUMMYFUNCTION("""COMPUTED_VALUE"""),"")</f>
        <v/>
      </c>
      <c r="AL1408" s="1" t="str">
        <f>IFERROR(__xludf.DUMMYFUNCTION("""COMPUTED_VALUE"""),"")</f>
        <v/>
      </c>
      <c r="AM1408" s="1" t="str">
        <f>IFERROR(__xludf.DUMMYFUNCTION("""COMPUTED_VALUE"""),"")</f>
        <v/>
      </c>
      <c r="AN1408" s="1" t="str">
        <f>IFERROR(__xludf.DUMMYFUNCTION("""COMPUTED_VALUE"""),"")</f>
        <v/>
      </c>
      <c r="AO1408" s="1" t="str">
        <f>IFERROR(__xludf.DUMMYFUNCTION("""COMPUTED_VALUE"""),"")</f>
        <v/>
      </c>
      <c r="AP1408" s="1" t="str">
        <f>IFERROR(__xludf.DUMMYFUNCTION("""COMPUTED_VALUE"""),"")</f>
        <v/>
      </c>
      <c r="AQ1408" s="1" t="str">
        <f>IFERROR(__xludf.DUMMYFUNCTION("""COMPUTED_VALUE"""),"04/10/2024")</f>
        <v>04/10/2024</v>
      </c>
      <c r="AR1408" s="1" t="str">
        <f>IFERROR(__xludf.DUMMYFUNCTION("""COMPUTED_VALUE"""),"02/10/2026")</f>
        <v>02/10/2026</v>
      </c>
    </row>
    <row r="1409">
      <c r="A1409" s="1" t="str">
        <f>IFERROR(__xludf.DUMMYFUNCTION("""COMPUTED_VALUE"""),"Convergent Technology Park")</f>
        <v>Convergent Technology Park</v>
      </c>
      <c r="B1409" s="1" t="str">
        <f>IFERROR(__xludf.DUMMYFUNCTION("""COMPUTED_VALUE"""),"James Madison St")</f>
        <v>James Madison St</v>
      </c>
      <c r="C1409" s="1" t="str">
        <f>IFERROR(__xludf.DUMMYFUNCTION("""COMPUTED_VALUE"""),"Remington")</f>
        <v>Remington</v>
      </c>
      <c r="D1409" s="1" t="str">
        <f>IFERROR(__xludf.DUMMYFUNCTION("""COMPUTED_VALUE"""),"VA")</f>
        <v>VA</v>
      </c>
      <c r="E1409" s="1" t="str">
        <f>IFERROR(__xludf.DUMMYFUNCTION("""COMPUTED_VALUE"""),"22734")</f>
        <v>22734</v>
      </c>
      <c r="F1409" s="1" t="str">
        <f>IFERROR(__xludf.DUMMYFUNCTION("""COMPUTED_VALUE"""),"Fauquier")</f>
        <v>Fauquier</v>
      </c>
      <c r="G1409" s="1" t="str">
        <f>IFERROR(__xludf.DUMMYFUNCTION("""COMPUTED_VALUE"""),"38.546986")</f>
        <v>38.546986</v>
      </c>
      <c r="H1409" s="1" t="str">
        <f>IFERROR(__xludf.DUMMYFUNCTION("""COMPUTED_VALUE"""),"-77.80626")</f>
        <v>-77.80626</v>
      </c>
      <c r="I1409" s="1" t="str">
        <f>IFERROR(__xludf.DUMMYFUNCTION("""COMPUTED_VALUE"""),"Proposed")</f>
        <v>Proposed</v>
      </c>
      <c r="J1409" s="1" t="str">
        <f>IFERROR(__xludf.DUMMYFUNCTION("""COMPUTED_VALUE"""),"High")</f>
        <v>High</v>
      </c>
      <c r="K1409" s="1" t="str">
        <f>IFERROR(__xludf.DUMMYFUNCTION("""COMPUTED_VALUE"""),"")</f>
        <v/>
      </c>
      <c r="L1409" s="1" t="str">
        <f>IFERROR(__xludf.DUMMYFUNCTION("""COMPUTED_VALUE"""),"Convergent VA LLC")</f>
        <v>Convergent VA LLC</v>
      </c>
      <c r="M1409" s="1" t="str">
        <f>IFERROR(__xludf.DUMMYFUNCTION("""COMPUTED_VALUE"""),"")</f>
        <v/>
      </c>
      <c r="N1409" s="1" t="str">
        <f>IFERROR(__xludf.DUMMYFUNCTION("""COMPUTED_VALUE"""),"")</f>
        <v/>
      </c>
      <c r="O1409" s="1" t="str">
        <f>IFERROR(__xludf.DUMMYFUNCTION("""COMPUTED_VALUE"""),"Unknown")</f>
        <v>Unknown</v>
      </c>
      <c r="P1409" s="1" t="str">
        <f>IFERROR(__xludf.DUMMYFUNCTION("""COMPUTED_VALUE"""),"")</f>
        <v/>
      </c>
      <c r="Q1409" s="1" t="str">
        <f>IFERROR(__xludf.DUMMYFUNCTION("""COMPUTED_VALUE"""),"")</f>
        <v/>
      </c>
      <c r="R1409" s="1" t="str">
        <f>IFERROR(__xludf.DUMMYFUNCTION("""COMPUTED_VALUE"""),"")</f>
        <v/>
      </c>
      <c r="S1409" s="1" t="str">
        <f>IFERROR(__xludf.DUMMYFUNCTION("""COMPUTED_VALUE"""),"")</f>
        <v/>
      </c>
      <c r="T1409" s="1" t="str">
        <f>IFERROR(__xludf.DUMMYFUNCTION("""COMPUTED_VALUE"""),"")</f>
        <v/>
      </c>
      <c r="U1409" s="1" t="str">
        <f>IFERROR(__xludf.DUMMYFUNCTION("""COMPUTED_VALUE"""),"")</f>
        <v/>
      </c>
      <c r="V1409" s="1" t="str">
        <f>IFERROR(__xludf.DUMMYFUNCTION("""COMPUTED_VALUE"""),"1,056,000")</f>
        <v>1,056,000</v>
      </c>
      <c r="W1409" s="1" t="str">
        <f>IFERROR(__xludf.DUMMYFUNCTION("""COMPUTED_VALUE"""),"139")</f>
        <v>139</v>
      </c>
      <c r="X1409" s="1" t="str">
        <f>IFERROR(__xludf.DUMMYFUNCTION("""COMPUTED_VALUE"""),"")</f>
        <v/>
      </c>
      <c r="Y1409" s="1" t="str">
        <f>IFERROR(__xludf.DUMMYFUNCTION("""COMPUTED_VALUE"""),"")</f>
        <v/>
      </c>
      <c r="Z1409" s="1" t="str">
        <f>IFERROR(__xludf.DUMMYFUNCTION("""COMPUTED_VALUE"""),"Unknown")</f>
        <v>Unknown</v>
      </c>
      <c r="AA1409" s="1" t="str">
        <f>IFERROR(__xludf.DUMMYFUNCTION("""COMPUTED_VALUE"""),"")</f>
        <v/>
      </c>
      <c r="AB1409" s="1" t="str">
        <f>IFERROR(__xludf.DUMMYFUNCTION("""COMPUTED_VALUE"""),"")</f>
        <v/>
      </c>
      <c r="AC1409" s="1" t="str">
        <f>IFERROR(__xludf.DUMMYFUNCTION("""COMPUTED_VALUE"""),"")</f>
        <v/>
      </c>
      <c r="AD1409" s="1" t="str">
        <f>IFERROR(__xludf.DUMMYFUNCTION("""COMPUTED_VALUE"""),"")</f>
        <v/>
      </c>
      <c r="AE1409" s="1" t="str">
        <f>IFERROR(__xludf.DUMMYFUNCTION("""COMPUTED_VALUE"""),"")</f>
        <v/>
      </c>
      <c r="AF1409" s="1" t="str">
        <f>IFERROR(__xludf.DUMMYFUNCTION("""COMPUTED_VALUE"""),"")</f>
        <v/>
      </c>
      <c r="AG1409" s="1" t="str">
        <f>IFERROR(__xludf.DUMMYFUNCTION("""COMPUTED_VALUE"""),"listed sqft in northern 104 acres")</f>
        <v>listed sqft in northern 104 acres</v>
      </c>
      <c r="AH1409" s="1" t="str">
        <f>IFERROR(__xludf.DUMMYFUNCTION("""COMPUTED_VALUE"""),"PEC")</f>
        <v>PEC</v>
      </c>
      <c r="AI1409" s="2" t="str">
        <f>IFERROR(__xludf.DUMMYFUNCTION("""COMPUTED_VALUE"""),"https://commdevpay.fauquiercounty.gov/Energov_Prod/SelfService#/plan/4370817a-ce39-47d9-994b-1a0548fa9fa2?tab=attachments")</f>
        <v>https://commdevpay.fauquiercounty.gov/Energov_Prod/SelfService#/plan/4370817a-ce39-47d9-994b-1a0548fa9fa2?tab=attachments</v>
      </c>
      <c r="AJ1409" s="2" t="str">
        <f>IFERROR(__xludf.DUMMYFUNCTION("""COMPUTED_VALUE"""),"https://commdevpay.fauquiercounty.gov/Energov_Prod/SelfService#/plan/4370817a-ce39-47d9-994b-1a0548fa9fa2?tab=attachments")</f>
        <v>https://commdevpay.fauquiercounty.gov/Energov_Prod/SelfService#/plan/4370817a-ce39-47d9-994b-1a0548fa9fa2?tab=attachments</v>
      </c>
      <c r="AK1409" s="1" t="str">
        <f>IFERROR(__xludf.DUMMYFUNCTION("""COMPUTED_VALUE"""),"")</f>
        <v/>
      </c>
      <c r="AL1409" s="1" t="str">
        <f>IFERROR(__xludf.DUMMYFUNCTION("""COMPUTED_VALUE"""),"")</f>
        <v/>
      </c>
      <c r="AM1409" s="1" t="str">
        <f>IFERROR(__xludf.DUMMYFUNCTION("""COMPUTED_VALUE"""),"")</f>
        <v/>
      </c>
      <c r="AN1409" s="1" t="str">
        <f>IFERROR(__xludf.DUMMYFUNCTION("""COMPUTED_VALUE"""),"")</f>
        <v/>
      </c>
      <c r="AO1409" s="1" t="str">
        <f>IFERROR(__xludf.DUMMYFUNCTION("""COMPUTED_VALUE"""),"")</f>
        <v/>
      </c>
      <c r="AP1409" s="1" t="str">
        <f>IFERROR(__xludf.DUMMYFUNCTION("""COMPUTED_VALUE"""),"")</f>
        <v/>
      </c>
      <c r="AQ1409" s="1" t="str">
        <f>IFERROR(__xludf.DUMMYFUNCTION("""COMPUTED_VALUE"""),"08/22/2024")</f>
        <v>08/22/2024</v>
      </c>
      <c r="AR1409" s="1" t="str">
        <f>IFERROR(__xludf.DUMMYFUNCTION("""COMPUTED_VALUE"""),"10/17/2025")</f>
        <v>10/17/2025</v>
      </c>
    </row>
    <row r="1410">
      <c r="A1410" s="1" t="str">
        <f>IFERROR(__xludf.DUMMYFUNCTION("""COMPUTED_VALUE"""),"Gigaland LLC Data Center")</f>
        <v>Gigaland LLC Data Center</v>
      </c>
      <c r="B1410" s="1" t="str">
        <f>IFERROR(__xludf.DUMMYFUNCTION("""COMPUTED_VALUE"""),"~12283 Lucky Hill Rd")</f>
        <v>~12283 Lucky Hill Rd</v>
      </c>
      <c r="C1410" s="1" t="str">
        <f>IFERROR(__xludf.DUMMYFUNCTION("""COMPUTED_VALUE"""),"Remington")</f>
        <v>Remington</v>
      </c>
      <c r="D1410" s="1" t="str">
        <f>IFERROR(__xludf.DUMMYFUNCTION("""COMPUTED_VALUE"""),"VA")</f>
        <v>VA</v>
      </c>
      <c r="E1410" s="1" t="str">
        <f>IFERROR(__xludf.DUMMYFUNCTION("""COMPUTED_VALUE"""),"22734")</f>
        <v>22734</v>
      </c>
      <c r="F1410" s="1" t="str">
        <f>IFERROR(__xludf.DUMMYFUNCTION("""COMPUTED_VALUE"""),"Fauquier")</f>
        <v>Fauquier</v>
      </c>
      <c r="G1410" s="1" t="str">
        <f>IFERROR(__xludf.DUMMYFUNCTION("""COMPUTED_VALUE"""),"38.5367")</f>
        <v>38.5367</v>
      </c>
      <c r="H1410" s="1" t="str">
        <f>IFERROR(__xludf.DUMMYFUNCTION("""COMPUTED_VALUE"""),"-77.7811")</f>
        <v>-77.7811</v>
      </c>
      <c r="I1410" s="1" t="str">
        <f>IFERROR(__xludf.DUMMYFUNCTION("""COMPUTED_VALUE"""),"Suspended")</f>
        <v>Suspended</v>
      </c>
      <c r="J1410" s="1" t="str">
        <f>IFERROR(__xludf.DUMMYFUNCTION("""COMPUTED_VALUE"""),"High")</f>
        <v>High</v>
      </c>
      <c r="K1410" s="1" t="str">
        <f>IFERROR(__xludf.DUMMYFUNCTION("""COMPUTED_VALUE"""),"")</f>
        <v/>
      </c>
      <c r="L1410" s="1" t="str">
        <f>IFERROR(__xludf.DUMMYFUNCTION("""COMPUTED_VALUE"""),"")</f>
        <v/>
      </c>
      <c r="M1410" s="1" t="str">
        <f>IFERROR(__xludf.DUMMYFUNCTION("""COMPUTED_VALUE"""),"")</f>
        <v/>
      </c>
      <c r="N1410" s="1" t="str">
        <f>IFERROR(__xludf.DUMMYFUNCTION("""COMPUTED_VALUE"""),"")</f>
        <v/>
      </c>
      <c r="O1410" s="1" t="str">
        <f>IFERROR(__xludf.DUMMYFUNCTION("""COMPUTED_VALUE"""),"Unknown")</f>
        <v>Unknown</v>
      </c>
      <c r="P1410" s="1" t="str">
        <f>IFERROR(__xludf.DUMMYFUNCTION("""COMPUTED_VALUE"""),"")</f>
        <v/>
      </c>
      <c r="Q1410" s="1" t="str">
        <f>IFERROR(__xludf.DUMMYFUNCTION("""COMPUTED_VALUE"""),"")</f>
        <v/>
      </c>
      <c r="R1410" s="1" t="str">
        <f>IFERROR(__xludf.DUMMYFUNCTION("""COMPUTED_VALUE"""),"")</f>
        <v/>
      </c>
      <c r="S1410" s="1" t="str">
        <f>IFERROR(__xludf.DUMMYFUNCTION("""COMPUTED_VALUE"""),"")</f>
        <v/>
      </c>
      <c r="T1410" s="1" t="str">
        <f>IFERROR(__xludf.DUMMYFUNCTION("""COMPUTED_VALUE"""),"")</f>
        <v/>
      </c>
      <c r="U1410" s="1" t="str">
        <f>IFERROR(__xludf.DUMMYFUNCTION("""COMPUTED_VALUE"""),"")</f>
        <v/>
      </c>
      <c r="V1410" s="1" t="str">
        <f>IFERROR(__xludf.DUMMYFUNCTION("""COMPUTED_VALUE"""),"2,200,000")</f>
        <v>2,200,000</v>
      </c>
      <c r="W1410" s="1" t="str">
        <f>IFERROR(__xludf.DUMMYFUNCTION("""COMPUTED_VALUE"""),"")</f>
        <v/>
      </c>
      <c r="X1410" s="1" t="str">
        <f>IFERROR(__xludf.DUMMYFUNCTION("""COMPUTED_VALUE"""),"")</f>
        <v/>
      </c>
      <c r="Y1410" s="1" t="str">
        <f>IFERROR(__xludf.DUMMYFUNCTION("""COMPUTED_VALUE"""),"")</f>
        <v/>
      </c>
      <c r="Z1410" s="1" t="str">
        <f>IFERROR(__xludf.DUMMYFUNCTION("""COMPUTED_VALUE"""),"Unknown")</f>
        <v>Unknown</v>
      </c>
      <c r="AA1410" s="1" t="str">
        <f>IFERROR(__xludf.DUMMYFUNCTION("""COMPUTED_VALUE"""),"")</f>
        <v/>
      </c>
      <c r="AB1410" s="1" t="str">
        <f>IFERROR(__xludf.DUMMYFUNCTION("""COMPUTED_VALUE"""),"")</f>
        <v/>
      </c>
      <c r="AC1410" s="1" t="str">
        <f>IFERROR(__xludf.DUMMYFUNCTION("""COMPUTED_VALUE"""),"")</f>
        <v/>
      </c>
      <c r="AD1410" s="1" t="str">
        <f>IFERROR(__xludf.DUMMYFUNCTION("""COMPUTED_VALUE"""),"")</f>
        <v/>
      </c>
      <c r="AE1410" s="1" t="str">
        <f>IFERROR(__xludf.DUMMYFUNCTION("""COMPUTED_VALUE"""),"")</f>
        <v/>
      </c>
      <c r="AF1410" s="1" t="str">
        <f>IFERROR(__xludf.DUMMYFUNCTION("""COMPUTED_VALUE"""),"")</f>
        <v/>
      </c>
      <c r="AG1410" s="1" t="str">
        <f>IFERROR(__xludf.DUMMYFUNCTION("""COMPUTED_VALUE"""),"May now be reduced in half to 1 million sq ft")</f>
        <v>May now be reduced in half to 1 million sq ft</v>
      </c>
      <c r="AH1410" s="1" t="str">
        <f>IFERROR(__xludf.DUMMYFUNCTION("""COMPUTED_VALUE"""),"Media Monitoring")</f>
        <v>Media Monitoring</v>
      </c>
      <c r="AI1410" s="2" t="str">
        <f>IFERROR(__xludf.DUMMYFUNCTION("""COMPUTED_VALUE"""),"https://www.fauquiernow.com/news/gigaland-developers-weigh-smaller-footprint-for-remington-data-center/article_1b71d125-88f6-4ca9-9992-3cc5b3f789cc.html")</f>
        <v>https://www.fauquiernow.com/news/gigaland-developers-weigh-smaller-footprint-for-remington-data-center/article_1b71d125-88f6-4ca9-9992-3cc5b3f789cc.html</v>
      </c>
      <c r="AJ1410" s="2" t="str">
        <f>IFERROR(__xludf.DUMMYFUNCTION("""COMPUTED_VALUE"""),"https://www.datacenterdynamics.com/en/news/plans-for-800mw-gigaland-data-center-campus-withdrawn-in-fauquier-county-virginia/")</f>
        <v>https://www.datacenterdynamics.com/en/news/plans-for-800mw-gigaland-data-center-campus-withdrawn-in-fauquier-county-virginia/</v>
      </c>
      <c r="AK1410" s="1" t="str">
        <f>IFERROR(__xludf.DUMMYFUNCTION("""COMPUTED_VALUE"""),"")</f>
        <v/>
      </c>
      <c r="AL1410" s="1" t="str">
        <f>IFERROR(__xludf.DUMMYFUNCTION("""COMPUTED_VALUE"""),"")</f>
        <v/>
      </c>
      <c r="AM1410" s="1" t="str">
        <f>IFERROR(__xludf.DUMMYFUNCTION("""COMPUTED_VALUE"""),"")</f>
        <v/>
      </c>
      <c r="AN1410" s="1" t="str">
        <f>IFERROR(__xludf.DUMMYFUNCTION("""COMPUTED_VALUE"""),"")</f>
        <v/>
      </c>
      <c r="AO1410" s="1" t="str">
        <f>IFERROR(__xludf.DUMMYFUNCTION("""COMPUTED_VALUE"""),"")</f>
        <v/>
      </c>
      <c r="AP1410" s="1" t="str">
        <f>IFERROR(__xludf.DUMMYFUNCTION("""COMPUTED_VALUE"""),"")</f>
        <v/>
      </c>
      <c r="AQ1410" s="1" t="str">
        <f>IFERROR(__xludf.DUMMYFUNCTION("""COMPUTED_VALUE"""),"09/02/2025")</f>
        <v>09/02/2025</v>
      </c>
      <c r="AR1410" s="1" t="str">
        <f>IFERROR(__xludf.DUMMYFUNCTION("""COMPUTED_VALUE"""),"09/02/2025")</f>
        <v>09/02/2025</v>
      </c>
    </row>
    <row r="1411">
      <c r="A1411" s="1" t="str">
        <f>IFERROR(__xludf.DUMMYFUNCTION("""COMPUTED_VALUE"""),"Gigaland Remington")</f>
        <v>Gigaland Remington</v>
      </c>
      <c r="B1411" s="1" t="str">
        <f>IFERROR(__xludf.DUMMYFUNCTION("""COMPUTED_VALUE"""),"12270 Lucky Hill Road")</f>
        <v>12270 Lucky Hill Road</v>
      </c>
      <c r="C1411" s="1" t="str">
        <f>IFERROR(__xludf.DUMMYFUNCTION("""COMPUTED_VALUE"""),"Remington")</f>
        <v>Remington</v>
      </c>
      <c r="D1411" s="1" t="str">
        <f>IFERROR(__xludf.DUMMYFUNCTION("""COMPUTED_VALUE"""),"VA")</f>
        <v>VA</v>
      </c>
      <c r="E1411" s="1" t="str">
        <f>IFERROR(__xludf.DUMMYFUNCTION("""COMPUTED_VALUE"""),"22734")</f>
        <v>22734</v>
      </c>
      <c r="F1411" s="1" t="str">
        <f>IFERROR(__xludf.DUMMYFUNCTION("""COMPUTED_VALUE"""),"Fauquier")</f>
        <v>Fauquier</v>
      </c>
      <c r="G1411" s="1" t="str">
        <f>IFERROR(__xludf.DUMMYFUNCTION("""COMPUTED_VALUE"""),"38.534485")</f>
        <v>38.534485</v>
      </c>
      <c r="H1411" s="1" t="str">
        <f>IFERROR(__xludf.DUMMYFUNCTION("""COMPUTED_VALUE"""),"-77.78287")</f>
        <v>-77.78287</v>
      </c>
      <c r="I1411" s="1" t="str">
        <f>IFERROR(__xludf.DUMMYFUNCTION("""COMPUTED_VALUE"""),"Proposed")</f>
        <v>Proposed</v>
      </c>
      <c r="J1411" s="1" t="str">
        <f>IFERROR(__xludf.DUMMYFUNCTION("""COMPUTED_VALUE"""),"High")</f>
        <v>High</v>
      </c>
      <c r="K1411" s="1" t="str">
        <f>IFERROR(__xludf.DUMMYFUNCTION("""COMPUTED_VALUE"""),"")</f>
        <v/>
      </c>
      <c r="L1411" s="1" t="str">
        <f>IFERROR(__xludf.DUMMYFUNCTION("""COMPUTED_VALUE"""),"Gigaland Data Centers")</f>
        <v>Gigaland Data Centers</v>
      </c>
      <c r="M1411" s="1" t="str">
        <f>IFERROR(__xludf.DUMMYFUNCTION("""COMPUTED_VALUE"""),"")</f>
        <v/>
      </c>
      <c r="N1411" s="1" t="str">
        <f>IFERROR(__xludf.DUMMYFUNCTION("""COMPUTED_VALUE"""),"")</f>
        <v/>
      </c>
      <c r="O1411" s="1" t="str">
        <f>IFERROR(__xludf.DUMMYFUNCTION("""COMPUTED_VALUE"""),"Unknown")</f>
        <v>Unknown</v>
      </c>
      <c r="P1411" s="1" t="str">
        <f>IFERROR(__xludf.DUMMYFUNCTION("""COMPUTED_VALUE"""),"")</f>
        <v/>
      </c>
      <c r="Q1411" s="1" t="str">
        <f>IFERROR(__xludf.DUMMYFUNCTION("""COMPUTED_VALUE"""),"")</f>
        <v/>
      </c>
      <c r="R1411" s="1" t="str">
        <f>IFERROR(__xludf.DUMMYFUNCTION("""COMPUTED_VALUE"""),"")</f>
        <v/>
      </c>
      <c r="S1411" s="1" t="str">
        <f>IFERROR(__xludf.DUMMYFUNCTION("""COMPUTED_VALUE"""),"")</f>
        <v/>
      </c>
      <c r="T1411" s="1" t="str">
        <f>IFERROR(__xludf.DUMMYFUNCTION("""COMPUTED_VALUE"""),"")</f>
        <v/>
      </c>
      <c r="U1411" s="1" t="str">
        <f>IFERROR(__xludf.DUMMYFUNCTION("""COMPUTED_VALUE"""),"")</f>
        <v/>
      </c>
      <c r="V1411" s="1" t="str">
        <f>IFERROR(__xludf.DUMMYFUNCTION("""COMPUTED_VALUE"""),"1,600,000")</f>
        <v>1,600,000</v>
      </c>
      <c r="W1411" s="1" t="str">
        <f>IFERROR(__xludf.DUMMYFUNCTION("""COMPUTED_VALUE"""),"202")</f>
        <v>202</v>
      </c>
      <c r="X1411" s="1" t="str">
        <f>IFERROR(__xludf.DUMMYFUNCTION("""COMPUTED_VALUE"""),"")</f>
        <v/>
      </c>
      <c r="Y1411" s="1" t="str">
        <f>IFERROR(__xludf.DUMMYFUNCTION("""COMPUTED_VALUE"""),"")</f>
        <v/>
      </c>
      <c r="Z1411" s="1" t="str">
        <f>IFERROR(__xludf.DUMMYFUNCTION("""COMPUTED_VALUE"""),"Unknown")</f>
        <v>Unknown</v>
      </c>
      <c r="AA1411" s="1" t="str">
        <f>IFERROR(__xludf.DUMMYFUNCTION("""COMPUTED_VALUE"""),"")</f>
        <v/>
      </c>
      <c r="AB1411" s="1" t="str">
        <f>IFERROR(__xludf.DUMMYFUNCTION("""COMPUTED_VALUE"""),"")</f>
        <v/>
      </c>
      <c r="AC1411" s="1" t="str">
        <f>IFERROR(__xludf.DUMMYFUNCTION("""COMPUTED_VALUE"""),"")</f>
        <v/>
      </c>
      <c r="AD1411" s="1" t="str">
        <f>IFERROR(__xludf.DUMMYFUNCTION("""COMPUTED_VALUE"""),"")</f>
        <v/>
      </c>
      <c r="AE1411" s="1" t="str">
        <f>IFERROR(__xludf.DUMMYFUNCTION("""COMPUTED_VALUE"""),"")</f>
        <v/>
      </c>
      <c r="AF1411" s="1" t="str">
        <f>IFERROR(__xludf.DUMMYFUNCTION("""COMPUTED_VALUE"""),"")</f>
        <v/>
      </c>
      <c r="AG1411" s="1" t="str">
        <f>IFERROR(__xludf.DUMMYFUNCTION("""COMPUTED_VALUE"""),"Project covers more than one parcel, the acreage represents the combined acreage")</f>
        <v>Project covers more than one parcel, the acreage represents the combined acreage</v>
      </c>
      <c r="AH1411" s="1" t="str">
        <f>IFERROR(__xludf.DUMMYFUNCTION("""COMPUTED_VALUE"""),"PEC")</f>
        <v>PEC</v>
      </c>
      <c r="AI1411" s="2" t="str">
        <f>IFERROR(__xludf.DUMMYFUNCTION("""COMPUTED_VALUE"""),"https://www.fauquier.com/news/gigaland-pitches-new-data-center-complex-near-remington/article_54a84456-c63e-11ee-9791-af00814cfeff.html?emci=b70cb8e1-97c6-ee11-85f9-002248223794&amp;emdi=9a5bec2c-b0c6-ee11-85f9-002248223794&amp;ceid=11786847#tncms-source=Front%20"&amp;"Page%20Top%20Headlines%201-4")</f>
        <v>https://www.fauquier.com/news/gigaland-pitches-new-data-center-complex-near-remington/article_54a84456-c63e-11ee-9791-af00814cfeff.html?emci=b70cb8e1-97c6-ee11-85f9-002248223794&amp;emdi=9a5bec2c-b0c6-ee11-85f9-002248223794&amp;ceid=11786847#tncms-source=Front%20Page%20Top%20Headlines%201-4</v>
      </c>
      <c r="AJ1411" s="2" t="str">
        <f>IFERROR(__xludf.DUMMYFUNCTION("""COMPUTED_VALUE"""),"https://gis.vgsi.com/fauquierva/Parcel.aspx?pid=7982")</f>
        <v>https://gis.vgsi.com/fauquierva/Parcel.aspx?pid=7982</v>
      </c>
      <c r="AK1411" s="1" t="str">
        <f>IFERROR(__xludf.DUMMYFUNCTION("""COMPUTED_VALUE"""),"")</f>
        <v/>
      </c>
      <c r="AL1411" s="1" t="str">
        <f>IFERROR(__xludf.DUMMYFUNCTION("""COMPUTED_VALUE"""),"")</f>
        <v/>
      </c>
      <c r="AM1411" s="1" t="str">
        <f>IFERROR(__xludf.DUMMYFUNCTION("""COMPUTED_VALUE"""),"")</f>
        <v/>
      </c>
      <c r="AN1411" s="1" t="str">
        <f>IFERROR(__xludf.DUMMYFUNCTION("""COMPUTED_VALUE"""),"")</f>
        <v/>
      </c>
      <c r="AO1411" s="1" t="str">
        <f>IFERROR(__xludf.DUMMYFUNCTION("""COMPUTED_VALUE"""),"")</f>
        <v/>
      </c>
      <c r="AP1411" s="1" t="str">
        <f>IFERROR(__xludf.DUMMYFUNCTION("""COMPUTED_VALUE"""),"")</f>
        <v/>
      </c>
      <c r="AQ1411" s="1" t="str">
        <f>IFERROR(__xludf.DUMMYFUNCTION("""COMPUTED_VALUE"""),"04/10/2024")</f>
        <v>04/10/2024</v>
      </c>
      <c r="AR1411" s="1" t="str">
        <f>IFERROR(__xludf.DUMMYFUNCTION("""COMPUTED_VALUE"""),"10/17/2025")</f>
        <v>10/17/2025</v>
      </c>
    </row>
    <row r="1412">
      <c r="A1412" s="1" t="str">
        <f>IFERROR(__xludf.DUMMYFUNCTION("""COMPUTED_VALUE"""),"Remington Technology Park")</f>
        <v>Remington Technology Park</v>
      </c>
      <c r="B1412" s="1" t="str">
        <f>IFERROR(__xludf.DUMMYFUNCTION("""COMPUTED_VALUE"""),"6980 HELM DR")</f>
        <v>6980 HELM DR</v>
      </c>
      <c r="C1412" s="1" t="str">
        <f>IFERROR(__xludf.DUMMYFUNCTION("""COMPUTED_VALUE"""),"Remington")</f>
        <v>Remington</v>
      </c>
      <c r="D1412" s="1" t="str">
        <f>IFERROR(__xludf.DUMMYFUNCTION("""COMPUTED_VALUE"""),"VA")</f>
        <v>VA</v>
      </c>
      <c r="E1412" s="1" t="str">
        <f>IFERROR(__xludf.DUMMYFUNCTION("""COMPUTED_VALUE"""),"22734")</f>
        <v>22734</v>
      </c>
      <c r="F1412" s="1" t="str">
        <f>IFERROR(__xludf.DUMMYFUNCTION("""COMPUTED_VALUE"""),"Fauquier")</f>
        <v>Fauquier</v>
      </c>
      <c r="G1412" s="1" t="str">
        <f>IFERROR(__xludf.DUMMYFUNCTION("""COMPUTED_VALUE"""),"38.54051")</f>
        <v>38.54051</v>
      </c>
      <c r="H1412" s="1" t="str">
        <f>IFERROR(__xludf.DUMMYFUNCTION("""COMPUTED_VALUE"""),"-77.78908")</f>
        <v>-77.78908</v>
      </c>
      <c r="I1412" s="1" t="str">
        <f>IFERROR(__xludf.DUMMYFUNCTION("""COMPUTED_VALUE"""),"Proposed")</f>
        <v>Proposed</v>
      </c>
      <c r="J1412" s="1" t="str">
        <f>IFERROR(__xludf.DUMMYFUNCTION("""COMPUTED_VALUE"""),"High")</f>
        <v>High</v>
      </c>
      <c r="K1412" s="1" t="str">
        <f>IFERROR(__xludf.DUMMYFUNCTION("""COMPUTED_VALUE"""),"")</f>
        <v/>
      </c>
      <c r="L1412" s="1" t="str">
        <f>IFERROR(__xludf.DUMMYFUNCTION("""COMPUTED_VALUE"""),"REMINGTON TECHNOLOGY PARK LTD PTNRSHP")</f>
        <v>REMINGTON TECHNOLOGY PARK LTD PTNRSHP</v>
      </c>
      <c r="M1412" s="1" t="str">
        <f>IFERROR(__xludf.DUMMYFUNCTION("""COMPUTED_VALUE"""),"")</f>
        <v/>
      </c>
      <c r="N1412" s="1" t="str">
        <f>IFERROR(__xludf.DUMMYFUNCTION("""COMPUTED_VALUE"""),"300")</f>
        <v>300</v>
      </c>
      <c r="O1412" s="1" t="str">
        <f>IFERROR(__xludf.DUMMYFUNCTION("""COMPUTED_VALUE"""),"Hyperscale (100-999 MW)")</f>
        <v>Hyperscale (100-999 MW)</v>
      </c>
      <c r="P1412" s="1" t="str">
        <f>IFERROR(__xludf.DUMMYFUNCTION("""COMPUTED_VALUE"""),"")</f>
        <v/>
      </c>
      <c r="Q1412" s="1" t="str">
        <f>IFERROR(__xludf.DUMMYFUNCTION("""COMPUTED_VALUE"""),"")</f>
        <v/>
      </c>
      <c r="R1412" s="1" t="str">
        <f>IFERROR(__xludf.DUMMYFUNCTION("""COMPUTED_VALUE"""),"")</f>
        <v/>
      </c>
      <c r="S1412" s="1" t="str">
        <f>IFERROR(__xludf.DUMMYFUNCTION("""COMPUTED_VALUE"""),"")</f>
        <v/>
      </c>
      <c r="T1412" s="1" t="str">
        <f>IFERROR(__xludf.DUMMYFUNCTION("""COMPUTED_VALUE"""),"")</f>
        <v/>
      </c>
      <c r="U1412" s="1" t="str">
        <f>IFERROR(__xludf.DUMMYFUNCTION("""COMPUTED_VALUE"""),"")</f>
        <v/>
      </c>
      <c r="V1412" s="1" t="str">
        <f>IFERROR(__xludf.DUMMYFUNCTION("""COMPUTED_VALUE"""),"1,700,000")</f>
        <v>1,700,000</v>
      </c>
      <c r="W1412" s="1" t="str">
        <f>IFERROR(__xludf.DUMMYFUNCTION("""COMPUTED_VALUE"""),"234")</f>
        <v>234</v>
      </c>
      <c r="X1412" s="1" t="str">
        <f>IFERROR(__xludf.DUMMYFUNCTION("""COMPUTED_VALUE"""),"")</f>
        <v/>
      </c>
      <c r="Y1412" s="1" t="str">
        <f>IFERROR(__xludf.DUMMYFUNCTION("""COMPUTED_VALUE"""),"")</f>
        <v/>
      </c>
      <c r="Z1412" s="1" t="str">
        <f>IFERROR(__xludf.DUMMYFUNCTION("""COMPUTED_VALUE"""),"Unknown")</f>
        <v>Unknown</v>
      </c>
      <c r="AA1412" s="1" t="str">
        <f>IFERROR(__xludf.DUMMYFUNCTION("""COMPUTED_VALUE"""),"")</f>
        <v/>
      </c>
      <c r="AB1412" s="1" t="str">
        <f>IFERROR(__xludf.DUMMYFUNCTION("""COMPUTED_VALUE"""),"")</f>
        <v/>
      </c>
      <c r="AC1412" s="1" t="str">
        <f>IFERROR(__xludf.DUMMYFUNCTION("""COMPUTED_VALUE"""),"")</f>
        <v/>
      </c>
      <c r="AD1412" s="1" t="str">
        <f>IFERROR(__xludf.DUMMYFUNCTION("""COMPUTED_VALUE"""),"")</f>
        <v/>
      </c>
      <c r="AE1412" s="1" t="str">
        <f>IFERROR(__xludf.DUMMYFUNCTION("""COMPUTED_VALUE"""),"")</f>
        <v/>
      </c>
      <c r="AF1412" s="1" t="str">
        <f>IFERROR(__xludf.DUMMYFUNCTION("""COMPUTED_VALUE"""),"")</f>
        <v/>
      </c>
      <c r="AG1412" s="1" t="str">
        <f>IFERROR(__xludf.DUMMYFUNCTION("""COMPUTED_VALUE"""),"")</f>
        <v/>
      </c>
      <c r="AH1412" s="1" t="str">
        <f>IFERROR(__xludf.DUMMYFUNCTION("""COMPUTED_VALUE"""),"PEC")</f>
        <v>PEC</v>
      </c>
      <c r="AI1412" s="2" t="str">
        <f>IFERROR(__xludf.DUMMYFUNCTION("""COMPUTED_VALUE"""),"https://commdevpay.fauquiercounty.gov/Energov_Prod/SelfService#/plan/418c4f35-ec88-4631-97e8-6b53bf810a32")</f>
        <v>https://commdevpay.fauquiercounty.gov/Energov_Prod/SelfService#/plan/418c4f35-ec88-4631-97e8-6b53bf810a32</v>
      </c>
      <c r="AJ1412" s="2" t="str">
        <f>IFERROR(__xludf.DUMMYFUNCTION("""COMPUTED_VALUE"""),"https://gis.vgsi.com/fauquierva/Parcel.aspx?pid=8404")</f>
        <v>https://gis.vgsi.com/fauquierva/Parcel.aspx?pid=8404</v>
      </c>
      <c r="AK1412" s="1" t="str">
        <f>IFERROR(__xludf.DUMMYFUNCTION("""COMPUTED_VALUE"""),"")</f>
        <v/>
      </c>
      <c r="AL1412" s="1" t="str">
        <f>IFERROR(__xludf.DUMMYFUNCTION("""COMPUTED_VALUE"""),"")</f>
        <v/>
      </c>
      <c r="AM1412" s="1" t="str">
        <f>IFERROR(__xludf.DUMMYFUNCTION("""COMPUTED_VALUE"""),"")</f>
        <v/>
      </c>
      <c r="AN1412" s="1" t="str">
        <f>IFERROR(__xludf.DUMMYFUNCTION("""COMPUTED_VALUE"""),"")</f>
        <v/>
      </c>
      <c r="AO1412" s="1" t="str">
        <f>IFERROR(__xludf.DUMMYFUNCTION("""COMPUTED_VALUE"""),"")</f>
        <v/>
      </c>
      <c r="AP1412" s="1" t="str">
        <f>IFERROR(__xludf.DUMMYFUNCTION("""COMPUTED_VALUE"""),"")</f>
        <v/>
      </c>
      <c r="AQ1412" s="1" t="str">
        <f>IFERROR(__xludf.DUMMYFUNCTION("""COMPUTED_VALUE"""),"04/10/2024")</f>
        <v>04/10/2024</v>
      </c>
      <c r="AR1412" s="1" t="str">
        <f>IFERROR(__xludf.DUMMYFUNCTION("""COMPUTED_VALUE"""),"10/17/2025")</f>
        <v>10/17/2025</v>
      </c>
    </row>
    <row r="1413">
      <c r="A1413" s="1" t="str">
        <f>IFERROR(__xludf.DUMMYFUNCTION("""COMPUTED_VALUE"""),"SAMX Data Center")</f>
        <v>SAMX Data Center</v>
      </c>
      <c r="B1413" s="1" t="str">
        <f>IFERROR(__xludf.DUMMYFUNCTION("""COMPUTED_VALUE"""),"11825 REMINGTON RD")</f>
        <v>11825 REMINGTON RD</v>
      </c>
      <c r="C1413" s="1" t="str">
        <f>IFERROR(__xludf.DUMMYFUNCTION("""COMPUTED_VALUE"""),"Remington")</f>
        <v>Remington</v>
      </c>
      <c r="D1413" s="1" t="str">
        <f>IFERROR(__xludf.DUMMYFUNCTION("""COMPUTED_VALUE"""),"VA")</f>
        <v>VA</v>
      </c>
      <c r="E1413" s="1" t="str">
        <f>IFERROR(__xludf.DUMMYFUNCTION("""COMPUTED_VALUE"""),"22734")</f>
        <v>22734</v>
      </c>
      <c r="F1413" s="1" t="str">
        <f>IFERROR(__xludf.DUMMYFUNCTION("""COMPUTED_VALUE"""),"Fauquier")</f>
        <v>Fauquier</v>
      </c>
      <c r="G1413" s="1" t="str">
        <f>IFERROR(__xludf.DUMMYFUNCTION("""COMPUTED_VALUE"""),"38.543182")</f>
        <v>38.543182</v>
      </c>
      <c r="H1413" s="1" t="str">
        <f>IFERROR(__xludf.DUMMYFUNCTION("""COMPUTED_VALUE"""),"-77.7834")</f>
        <v>-77.7834</v>
      </c>
      <c r="I1413" s="1" t="str">
        <f>IFERROR(__xludf.DUMMYFUNCTION("""COMPUTED_VALUE"""),"Proposed")</f>
        <v>Proposed</v>
      </c>
      <c r="J1413" s="1" t="str">
        <f>IFERROR(__xludf.DUMMYFUNCTION("""COMPUTED_VALUE"""),"High")</f>
        <v>High</v>
      </c>
      <c r="K1413" s="1" t="str">
        <f>IFERROR(__xludf.DUMMYFUNCTION("""COMPUTED_VALUE"""),"")</f>
        <v/>
      </c>
      <c r="L1413" s="1" t="str">
        <f>IFERROR(__xludf.DUMMYFUNCTION("""COMPUTED_VALUE"""),"SAMX Data")</f>
        <v>SAMX Data</v>
      </c>
      <c r="M1413" s="1" t="str">
        <f>IFERROR(__xludf.DUMMYFUNCTION("""COMPUTED_VALUE"""),"")</f>
        <v/>
      </c>
      <c r="N1413" s="1" t="str">
        <f>IFERROR(__xludf.DUMMYFUNCTION("""COMPUTED_VALUE"""),"")</f>
        <v/>
      </c>
      <c r="O1413" s="1" t="str">
        <f>IFERROR(__xludf.DUMMYFUNCTION("""COMPUTED_VALUE"""),"Unknown")</f>
        <v>Unknown</v>
      </c>
      <c r="P1413" s="1" t="str">
        <f>IFERROR(__xludf.DUMMYFUNCTION("""COMPUTED_VALUE"""),"")</f>
        <v/>
      </c>
      <c r="Q1413" s="1" t="str">
        <f>IFERROR(__xludf.DUMMYFUNCTION("""COMPUTED_VALUE"""),"")</f>
        <v/>
      </c>
      <c r="R1413" s="1" t="str">
        <f>IFERROR(__xludf.DUMMYFUNCTION("""COMPUTED_VALUE"""),"")</f>
        <v/>
      </c>
      <c r="S1413" s="1" t="str">
        <f>IFERROR(__xludf.DUMMYFUNCTION("""COMPUTED_VALUE"""),"")</f>
        <v/>
      </c>
      <c r="T1413" s="1" t="str">
        <f>IFERROR(__xludf.DUMMYFUNCTION("""COMPUTED_VALUE"""),"")</f>
        <v/>
      </c>
      <c r="U1413" s="1" t="str">
        <f>IFERROR(__xludf.DUMMYFUNCTION("""COMPUTED_VALUE"""),"")</f>
        <v/>
      </c>
      <c r="V1413" s="1" t="str">
        <f>IFERROR(__xludf.DUMMYFUNCTION("""COMPUTED_VALUE"""),"1,140,000")</f>
        <v>1,140,000</v>
      </c>
      <c r="W1413" s="1" t="str">
        <f>IFERROR(__xludf.DUMMYFUNCTION("""COMPUTED_VALUE"""),"55")</f>
        <v>55</v>
      </c>
      <c r="X1413" s="1" t="str">
        <f>IFERROR(__xludf.DUMMYFUNCTION("""COMPUTED_VALUE"""),"")</f>
        <v/>
      </c>
      <c r="Y1413" s="1" t="str">
        <f>IFERROR(__xludf.DUMMYFUNCTION("""COMPUTED_VALUE"""),"")</f>
        <v/>
      </c>
      <c r="Z1413" s="1" t="str">
        <f>IFERROR(__xludf.DUMMYFUNCTION("""COMPUTED_VALUE"""),"Unknown")</f>
        <v>Unknown</v>
      </c>
      <c r="AA1413" s="1" t="str">
        <f>IFERROR(__xludf.DUMMYFUNCTION("""COMPUTED_VALUE"""),"")</f>
        <v/>
      </c>
      <c r="AB1413" s="1" t="str">
        <f>IFERROR(__xludf.DUMMYFUNCTION("""COMPUTED_VALUE"""),"")</f>
        <v/>
      </c>
      <c r="AC1413" s="1" t="str">
        <f>IFERROR(__xludf.DUMMYFUNCTION("""COMPUTED_VALUE"""),"")</f>
        <v/>
      </c>
      <c r="AD1413" s="1" t="str">
        <f>IFERROR(__xludf.DUMMYFUNCTION("""COMPUTED_VALUE"""),"")</f>
        <v/>
      </c>
      <c r="AE1413" s="1" t="str">
        <f>IFERROR(__xludf.DUMMYFUNCTION("""COMPUTED_VALUE"""),"")</f>
        <v/>
      </c>
      <c r="AF1413" s="1" t="str">
        <f>IFERROR(__xludf.DUMMYFUNCTION("""COMPUTED_VALUE"""),"")</f>
        <v/>
      </c>
      <c r="AG1413" s="1" t="str">
        <f>IFERROR(__xludf.DUMMYFUNCTION("""COMPUTED_VALUE"""),"Project covers more than one parcel, the acreage represents the combined acreage")</f>
        <v>Project covers more than one parcel, the acreage represents the combined acreage</v>
      </c>
      <c r="AH1413" s="1" t="str">
        <f>IFERROR(__xludf.DUMMYFUNCTION("""COMPUTED_VALUE"""),"PEC")</f>
        <v>PEC</v>
      </c>
      <c r="AI1413" s="2" t="str">
        <f>IFERROR(__xludf.DUMMYFUNCTION("""COMPUTED_VALUE"""),"https://commdevpay.fauquiercounty.gov/Energov_Prod/SelfService#/plan/e3d99e5d-0689-4369-9a48-015f450b6517")</f>
        <v>https://commdevpay.fauquiercounty.gov/Energov_Prod/SelfService#/plan/e3d99e5d-0689-4369-9a48-015f450b6517</v>
      </c>
      <c r="AJ1413" s="2" t="str">
        <f>IFERROR(__xludf.DUMMYFUNCTION("""COMPUTED_VALUE"""),"https://gis.vgsi.com/fauquierva/Parcel.aspx?pid=8405")</f>
        <v>https://gis.vgsi.com/fauquierva/Parcel.aspx?pid=8405</v>
      </c>
      <c r="AK1413" s="1" t="str">
        <f>IFERROR(__xludf.DUMMYFUNCTION("""COMPUTED_VALUE"""),"")</f>
        <v/>
      </c>
      <c r="AL1413" s="1" t="str">
        <f>IFERROR(__xludf.DUMMYFUNCTION("""COMPUTED_VALUE"""),"")</f>
        <v/>
      </c>
      <c r="AM1413" s="1" t="str">
        <f>IFERROR(__xludf.DUMMYFUNCTION("""COMPUTED_VALUE"""),"")</f>
        <v/>
      </c>
      <c r="AN1413" s="1" t="str">
        <f>IFERROR(__xludf.DUMMYFUNCTION("""COMPUTED_VALUE"""),"")</f>
        <v/>
      </c>
      <c r="AO1413" s="1" t="str">
        <f>IFERROR(__xludf.DUMMYFUNCTION("""COMPUTED_VALUE"""),"")</f>
        <v/>
      </c>
      <c r="AP1413" s="1" t="str">
        <f>IFERROR(__xludf.DUMMYFUNCTION("""COMPUTED_VALUE"""),"")</f>
        <v/>
      </c>
      <c r="AQ1413" s="1" t="str">
        <f>IFERROR(__xludf.DUMMYFUNCTION("""COMPUTED_VALUE"""),"04/10/2024")</f>
        <v>04/10/2024</v>
      </c>
      <c r="AR1413" s="1" t="str">
        <f>IFERROR(__xludf.DUMMYFUNCTION("""COMPUTED_VALUE"""),"10/17/2025")</f>
        <v>10/17/2025</v>
      </c>
    </row>
    <row r="1414">
      <c r="A1414" s="1" t="str">
        <f>IFERROR(__xludf.DUMMYFUNCTION("""COMPUTED_VALUE"""),"Remington Innovation Campus")</f>
        <v>Remington Innovation Campus</v>
      </c>
      <c r="B1414" s="1" t="str">
        <f>IFERROR(__xludf.DUMMYFUNCTION("""COMPUTED_VALUE"""),"11462 REMINGTON RD")</f>
        <v>11462 REMINGTON RD</v>
      </c>
      <c r="C1414" s="1" t="str">
        <f>IFERROR(__xludf.DUMMYFUNCTION("""COMPUTED_VALUE"""),"REMINGTON")</f>
        <v>REMINGTON</v>
      </c>
      <c r="D1414" s="1" t="str">
        <f>IFERROR(__xludf.DUMMYFUNCTION("""COMPUTED_VALUE"""),"VA")</f>
        <v>VA</v>
      </c>
      <c r="E1414" s="1" t="str">
        <f>IFERROR(__xludf.DUMMYFUNCTION("""COMPUTED_VALUE"""),"22734")</f>
        <v>22734</v>
      </c>
      <c r="F1414" s="1" t="str">
        <f>IFERROR(__xludf.DUMMYFUNCTION("""COMPUTED_VALUE"""),"Fauquier")</f>
        <v>Fauquier</v>
      </c>
      <c r="G1414" s="1" t="str">
        <f>IFERROR(__xludf.DUMMYFUNCTION("""COMPUTED_VALUE"""),"38.56304")</f>
        <v>38.56304</v>
      </c>
      <c r="H1414" s="1" t="str">
        <f>IFERROR(__xludf.DUMMYFUNCTION("""COMPUTED_VALUE"""),"-77.77671")</f>
        <v>-77.77671</v>
      </c>
      <c r="I1414" s="1" t="str">
        <f>IFERROR(__xludf.DUMMYFUNCTION("""COMPUTED_VALUE"""),"Proposed")</f>
        <v>Proposed</v>
      </c>
      <c r="J1414" s="1" t="str">
        <f>IFERROR(__xludf.DUMMYFUNCTION("""COMPUTED_VALUE"""),"High")</f>
        <v>High</v>
      </c>
      <c r="K1414" s="1" t="str">
        <f>IFERROR(__xludf.DUMMYFUNCTION("""COMPUTED_VALUE"""),"")</f>
        <v/>
      </c>
      <c r="L1414" s="1" t="str">
        <f>IFERROR(__xludf.DUMMYFUNCTION("""COMPUTED_VALUE"""),"")</f>
        <v/>
      </c>
      <c r="M1414" s="1" t="str">
        <f>IFERROR(__xludf.DUMMYFUNCTION("""COMPUTED_VALUE"""),"")</f>
        <v/>
      </c>
      <c r="N1414" s="1" t="str">
        <f>IFERROR(__xludf.DUMMYFUNCTION("""COMPUTED_VALUE"""),"")</f>
        <v/>
      </c>
      <c r="O1414" s="1" t="str">
        <f>IFERROR(__xludf.DUMMYFUNCTION("""COMPUTED_VALUE"""),"Unknown")</f>
        <v>Unknown</v>
      </c>
      <c r="P1414" s="1" t="str">
        <f>IFERROR(__xludf.DUMMYFUNCTION("""COMPUTED_VALUE"""),"")</f>
        <v/>
      </c>
      <c r="Q1414" s="1" t="str">
        <f>IFERROR(__xludf.DUMMYFUNCTION("""COMPUTED_VALUE"""),"")</f>
        <v/>
      </c>
      <c r="R1414" s="1" t="str">
        <f>IFERROR(__xludf.DUMMYFUNCTION("""COMPUTED_VALUE"""),"")</f>
        <v/>
      </c>
      <c r="S1414" s="1" t="str">
        <f>IFERROR(__xludf.DUMMYFUNCTION("""COMPUTED_VALUE"""),"")</f>
        <v/>
      </c>
      <c r="T1414" s="1" t="str">
        <f>IFERROR(__xludf.DUMMYFUNCTION("""COMPUTED_VALUE"""),"")</f>
        <v/>
      </c>
      <c r="U1414" s="1" t="str">
        <f>IFERROR(__xludf.DUMMYFUNCTION("""COMPUTED_VALUE"""),"")</f>
        <v/>
      </c>
      <c r="V1414" s="1" t="str">
        <f>IFERROR(__xludf.DUMMYFUNCTION("""COMPUTED_VALUE"""),"2,221,560")</f>
        <v>2,221,560</v>
      </c>
      <c r="W1414" s="1" t="str">
        <f>IFERROR(__xludf.DUMMYFUNCTION("""COMPUTED_VALUE"""),"204")</f>
        <v>204</v>
      </c>
      <c r="X1414" s="1" t="str">
        <f>IFERROR(__xludf.DUMMYFUNCTION("""COMPUTED_VALUE"""),"")</f>
        <v/>
      </c>
      <c r="Y1414" s="1" t="str">
        <f>IFERROR(__xludf.DUMMYFUNCTION("""COMPUTED_VALUE"""),"")</f>
        <v/>
      </c>
      <c r="Z1414" s="1" t="str">
        <f>IFERROR(__xludf.DUMMYFUNCTION("""COMPUTED_VALUE"""),"Unknown")</f>
        <v>Unknown</v>
      </c>
      <c r="AA1414" s="1" t="str">
        <f>IFERROR(__xludf.DUMMYFUNCTION("""COMPUTED_VALUE"""),"")</f>
        <v/>
      </c>
      <c r="AB1414" s="1" t="str">
        <f>IFERROR(__xludf.DUMMYFUNCTION("""COMPUTED_VALUE"""),"")</f>
        <v/>
      </c>
      <c r="AC1414" s="1" t="str">
        <f>IFERROR(__xludf.DUMMYFUNCTION("""COMPUTED_VALUE"""),"")</f>
        <v/>
      </c>
      <c r="AD1414" s="1" t="str">
        <f>IFERROR(__xludf.DUMMYFUNCTION("""COMPUTED_VALUE"""),"")</f>
        <v/>
      </c>
      <c r="AE1414" s="1" t="str">
        <f>IFERROR(__xludf.DUMMYFUNCTION("""COMPUTED_VALUE"""),"")</f>
        <v/>
      </c>
      <c r="AF1414" s="1" t="str">
        <f>IFERROR(__xludf.DUMMYFUNCTION("""COMPUTED_VALUE"""),"")</f>
        <v/>
      </c>
      <c r="AG1414" s="1" t="str">
        <f>IFERROR(__xludf.DUMMYFUNCTION("""COMPUTED_VALUE"""),"Project covers more than one parcel, the acreage represents the combined acreage. Square footage based on 0.25 FAR")</f>
        <v>Project covers more than one parcel, the acreage represents the combined acreage. Square footage based on 0.25 FAR</v>
      </c>
      <c r="AH1414" s="1" t="str">
        <f>IFERROR(__xludf.DUMMYFUNCTION("""COMPUTED_VALUE"""),"PEC")</f>
        <v>PEC</v>
      </c>
      <c r="AI1414" s="2" t="str">
        <f>IFERROR(__xludf.DUMMYFUNCTION("""COMPUTED_VALUE"""),"https://commdevpay.fauquiercounty.gov/Energov_Prod/SelfService#/plan/e900e88c-2070-4bb5-81ff-23e7be27ca04?tab=locations")</f>
        <v>https://commdevpay.fauquiercounty.gov/Energov_Prod/SelfService#/plan/e900e88c-2070-4bb5-81ff-23e7be27ca04?tab=locations</v>
      </c>
      <c r="AJ1414" s="2" t="str">
        <f>IFERROR(__xludf.DUMMYFUNCTION("""COMPUTED_VALUE"""),"https://www.actdatascout.com/RealProperty/ParcelView")</f>
        <v>https://www.actdatascout.com/RealProperty/ParcelView</v>
      </c>
      <c r="AK1414" s="1" t="str">
        <f>IFERROR(__xludf.DUMMYFUNCTION("""COMPUTED_VALUE"""),"")</f>
        <v/>
      </c>
      <c r="AL1414" s="1" t="str">
        <f>IFERROR(__xludf.DUMMYFUNCTION("""COMPUTED_VALUE"""),"")</f>
        <v/>
      </c>
      <c r="AM1414" s="1" t="str">
        <f>IFERROR(__xludf.DUMMYFUNCTION("""COMPUTED_VALUE"""),"")</f>
        <v/>
      </c>
      <c r="AN1414" s="1" t="str">
        <f>IFERROR(__xludf.DUMMYFUNCTION("""COMPUTED_VALUE"""),"")</f>
        <v/>
      </c>
      <c r="AO1414" s="1" t="str">
        <f>IFERROR(__xludf.DUMMYFUNCTION("""COMPUTED_VALUE"""),"")</f>
        <v/>
      </c>
      <c r="AP1414" s="1" t="str">
        <f>IFERROR(__xludf.DUMMYFUNCTION("""COMPUTED_VALUE"""),"")</f>
        <v/>
      </c>
      <c r="AQ1414" s="1" t="str">
        <f>IFERROR(__xludf.DUMMYFUNCTION("""COMPUTED_VALUE"""),"07/17/2025")</f>
        <v>07/17/2025</v>
      </c>
      <c r="AR1414" s="1" t="str">
        <f>IFERROR(__xludf.DUMMYFUNCTION("""COMPUTED_VALUE"""),"10/17/2025")</f>
        <v>10/17/2025</v>
      </c>
    </row>
    <row r="1415">
      <c r="A1415" s="1" t="str">
        <f>IFERROR(__xludf.DUMMYFUNCTION("""COMPUTED_VALUE"""),"Coresite 12100 SV &amp; 12098 SV")</f>
        <v>Coresite 12100 SV &amp; 12098 SV</v>
      </c>
      <c r="B1415" s="1" t="str">
        <f>IFERROR(__xludf.DUMMYFUNCTION("""COMPUTED_VALUE"""),"12379 A SUNRISE VALLEY DR")</f>
        <v>12379 A SUNRISE VALLEY DR</v>
      </c>
      <c r="C1415" s="1" t="str">
        <f>IFERROR(__xludf.DUMMYFUNCTION("""COMPUTED_VALUE"""),"Reston")</f>
        <v>Reston</v>
      </c>
      <c r="D1415" s="1" t="str">
        <f>IFERROR(__xludf.DUMMYFUNCTION("""COMPUTED_VALUE"""),"VA")</f>
        <v>VA</v>
      </c>
      <c r="E1415" s="1" t="str">
        <f>IFERROR(__xludf.DUMMYFUNCTION("""COMPUTED_VALUE"""),"20191")</f>
        <v>20191</v>
      </c>
      <c r="F1415" s="1" t="str">
        <f>IFERROR(__xludf.DUMMYFUNCTION("""COMPUTED_VALUE"""),"Fairfax")</f>
        <v>Fairfax</v>
      </c>
      <c r="G1415" s="1" t="str">
        <f>IFERROR(__xludf.DUMMYFUNCTION("""COMPUTED_VALUE"""),"38.948456")</f>
        <v>38.948456</v>
      </c>
      <c r="H1415" s="1" t="str">
        <f>IFERROR(__xludf.DUMMYFUNCTION("""COMPUTED_VALUE"""),"-77.371704")</f>
        <v>-77.371704</v>
      </c>
      <c r="I1415" s="1" t="str">
        <f>IFERROR(__xludf.DUMMYFUNCTION("""COMPUTED_VALUE"""),"Expanding")</f>
        <v>Expanding</v>
      </c>
      <c r="J1415" s="1" t="str">
        <f>IFERROR(__xludf.DUMMYFUNCTION("""COMPUTED_VALUE"""),"High")</f>
        <v>High</v>
      </c>
      <c r="K1415" s="1" t="str">
        <f>IFERROR(__xludf.DUMMYFUNCTION("""COMPUTED_VALUE"""),"")</f>
        <v/>
      </c>
      <c r="L1415" s="1" t="str">
        <f>IFERROR(__xludf.DUMMYFUNCTION("""COMPUTED_VALUE"""),"Coresite")</f>
        <v>Coresite</v>
      </c>
      <c r="M1415" s="1" t="str">
        <f>IFERROR(__xludf.DUMMYFUNCTION("""COMPUTED_VALUE"""),"")</f>
        <v/>
      </c>
      <c r="N1415" s="1" t="str">
        <f>IFERROR(__xludf.DUMMYFUNCTION("""COMPUTED_VALUE"""),"")</f>
        <v/>
      </c>
      <c r="O1415" s="1" t="str">
        <f>IFERROR(__xludf.DUMMYFUNCTION("""COMPUTED_VALUE"""),"Unknown")</f>
        <v>Unknown</v>
      </c>
      <c r="P1415" s="1" t="str">
        <f>IFERROR(__xludf.DUMMYFUNCTION("""COMPUTED_VALUE"""),"")</f>
        <v/>
      </c>
      <c r="Q1415" s="1" t="str">
        <f>IFERROR(__xludf.DUMMYFUNCTION("""COMPUTED_VALUE"""),"")</f>
        <v/>
      </c>
      <c r="R1415" s="1" t="str">
        <f>IFERROR(__xludf.DUMMYFUNCTION("""COMPUTED_VALUE"""),"")</f>
        <v/>
      </c>
      <c r="S1415" s="1" t="str">
        <f>IFERROR(__xludf.DUMMYFUNCTION("""COMPUTED_VALUE"""),"")</f>
        <v/>
      </c>
      <c r="T1415" s="1" t="str">
        <f>IFERROR(__xludf.DUMMYFUNCTION("""COMPUTED_VALUE"""),"")</f>
        <v/>
      </c>
      <c r="U1415" s="1" t="str">
        <f>IFERROR(__xludf.DUMMYFUNCTION("""COMPUTED_VALUE"""),"")</f>
        <v/>
      </c>
      <c r="V1415" s="1" t="str">
        <f>IFERROR(__xludf.DUMMYFUNCTION("""COMPUTED_VALUE"""),"610,643")</f>
        <v>610,643</v>
      </c>
      <c r="W1415" s="1" t="str">
        <f>IFERROR(__xludf.DUMMYFUNCTION("""COMPUTED_VALUE"""),"13")</f>
        <v>13</v>
      </c>
      <c r="X1415" s="1" t="str">
        <f>IFERROR(__xludf.DUMMYFUNCTION("""COMPUTED_VALUE"""),"")</f>
        <v/>
      </c>
      <c r="Y1415" s="1" t="str">
        <f>IFERROR(__xludf.DUMMYFUNCTION("""COMPUTED_VALUE"""),"")</f>
        <v/>
      </c>
      <c r="Z1415" s="1" t="str">
        <f>IFERROR(__xludf.DUMMYFUNCTION("""COMPUTED_VALUE"""),"Unknown")</f>
        <v>Unknown</v>
      </c>
      <c r="AA1415" s="1" t="str">
        <f>IFERROR(__xludf.DUMMYFUNCTION("""COMPUTED_VALUE"""),"")</f>
        <v/>
      </c>
      <c r="AB1415" s="1" t="str">
        <f>IFERROR(__xludf.DUMMYFUNCTION("""COMPUTED_VALUE"""),"")</f>
        <v/>
      </c>
      <c r="AC1415" s="1" t="str">
        <f>IFERROR(__xludf.DUMMYFUNCTION("""COMPUTED_VALUE"""),"")</f>
        <v/>
      </c>
      <c r="AD1415" s="1" t="str">
        <f>IFERROR(__xludf.DUMMYFUNCTION("""COMPUTED_VALUE"""),"")</f>
        <v/>
      </c>
      <c r="AE1415" s="1" t="str">
        <f>IFERROR(__xludf.DUMMYFUNCTION("""COMPUTED_VALUE"""),"")</f>
        <v/>
      </c>
      <c r="AF1415" s="1" t="str">
        <f>IFERROR(__xludf.DUMMYFUNCTION("""COMPUTED_VALUE"""),"")</f>
        <v/>
      </c>
      <c r="AG1415" s="1" t="str">
        <f>IFERROR(__xludf.DUMMYFUNCTION("""COMPUTED_VALUE"""),"332,957 sq foot expansion")</f>
        <v>332,957 sq foot expansion</v>
      </c>
      <c r="AH1415" s="1" t="str">
        <f>IFERROR(__xludf.DUMMYFUNCTION("""COMPUTED_VALUE"""),"PEC")</f>
        <v>PEC</v>
      </c>
      <c r="AI1415" s="2" t="str">
        <f>IFERROR(__xludf.DUMMYFUNCTION("""COMPUTED_VALUE"""),"https://www.fairfaxcounty.gov/planning-development/sites/planning-development/files/Assets/Documents/PDF/data-centers-report.pdf#page=1")</f>
        <v>https://www.fairfaxcounty.gov/planning-development/sites/planning-development/files/Assets/Documents/PDF/data-centers-report.pdf#page=1</v>
      </c>
      <c r="AJ1415" s="2" t="str">
        <f>IFERROR(__xludf.DUMMYFUNCTION("""COMPUTED_VALUE"""),"https://icare.fairfaxcounty.gov/ffxcare/Datalets/Datalet.aspx?mode=&amp;UseSearch=no&amp;pin=0173%2001%20%200032A&amp;jur=129&amp;taxyr=2025")</f>
        <v>https://icare.fairfaxcounty.gov/ffxcare/Datalets/Datalet.aspx?mode=&amp;UseSearch=no&amp;pin=0173%2001%20%200032A&amp;jur=129&amp;taxyr=2025</v>
      </c>
      <c r="AK1415" s="1" t="str">
        <f>IFERROR(__xludf.DUMMYFUNCTION("""COMPUTED_VALUE"""),"")</f>
        <v/>
      </c>
      <c r="AL1415" s="1" t="str">
        <f>IFERROR(__xludf.DUMMYFUNCTION("""COMPUTED_VALUE"""),"")</f>
        <v/>
      </c>
      <c r="AM1415" s="1" t="str">
        <f>IFERROR(__xludf.DUMMYFUNCTION("""COMPUTED_VALUE"""),"")</f>
        <v/>
      </c>
      <c r="AN1415" s="1" t="str">
        <f>IFERROR(__xludf.DUMMYFUNCTION("""COMPUTED_VALUE"""),"")</f>
        <v/>
      </c>
      <c r="AO1415" s="1" t="str">
        <f>IFERROR(__xludf.DUMMYFUNCTION("""COMPUTED_VALUE"""),"")</f>
        <v/>
      </c>
      <c r="AP1415" s="1" t="str">
        <f>IFERROR(__xludf.DUMMYFUNCTION("""COMPUTED_VALUE"""),"")</f>
        <v/>
      </c>
      <c r="AQ1415" s="1" t="str">
        <f>IFERROR(__xludf.DUMMYFUNCTION("""COMPUTED_VALUE"""),"04/10/2024")</f>
        <v>04/10/2024</v>
      </c>
      <c r="AR1415" s="1" t="str">
        <f>IFERROR(__xludf.DUMMYFUNCTION("""COMPUTED_VALUE"""),"02/10/2026")</f>
        <v>02/10/2026</v>
      </c>
    </row>
    <row r="1416">
      <c r="A1416" s="1" t="str">
        <f>IFERROR(__xludf.DUMMYFUNCTION("""COMPUTED_VALUE"""),"LEMUR PROPERTIES LLC")</f>
        <v>LEMUR PROPERTIES LLC</v>
      </c>
      <c r="B1416" s="1" t="str">
        <f>IFERROR(__xludf.DUMMYFUNCTION("""COMPUTED_VALUE"""),"1780 BUSINESS CENTER DR")</f>
        <v>1780 BUSINESS CENTER DR</v>
      </c>
      <c r="C1416" s="1" t="str">
        <f>IFERROR(__xludf.DUMMYFUNCTION("""COMPUTED_VALUE"""),"Reston")</f>
        <v>Reston</v>
      </c>
      <c r="D1416" s="1" t="str">
        <f>IFERROR(__xludf.DUMMYFUNCTION("""COMPUTED_VALUE"""),"VA")</f>
        <v>VA</v>
      </c>
      <c r="E1416" s="1" t="str">
        <f>IFERROR(__xludf.DUMMYFUNCTION("""COMPUTED_VALUE"""),"20190")</f>
        <v>20190</v>
      </c>
      <c r="F1416" s="1" t="str">
        <f>IFERROR(__xludf.DUMMYFUNCTION("""COMPUTED_VALUE"""),"Fairfax")</f>
        <v>Fairfax</v>
      </c>
      <c r="G1416" s="1" t="str">
        <f>IFERROR(__xludf.DUMMYFUNCTION("""COMPUTED_VALUE"""),"38.948555")</f>
        <v>38.948555</v>
      </c>
      <c r="H1416" s="1" t="str">
        <f>IFERROR(__xludf.DUMMYFUNCTION("""COMPUTED_VALUE"""),"-77.32714")</f>
        <v>-77.32714</v>
      </c>
      <c r="I1416" s="1" t="str">
        <f>IFERROR(__xludf.DUMMYFUNCTION("""COMPUTED_VALUE"""),"Operating")</f>
        <v>Operating</v>
      </c>
      <c r="J1416" s="1" t="str">
        <f>IFERROR(__xludf.DUMMYFUNCTION("""COMPUTED_VALUE"""),"High")</f>
        <v>High</v>
      </c>
      <c r="K1416" s="1" t="str">
        <f>IFERROR(__xludf.DUMMYFUNCTION("""COMPUTED_VALUE"""),"")</f>
        <v/>
      </c>
      <c r="L1416" s="1" t="str">
        <f>IFERROR(__xludf.DUMMYFUNCTION("""COMPUTED_VALUE"""),"Digital Realty")</f>
        <v>Digital Realty</v>
      </c>
      <c r="M1416" s="1" t="str">
        <f>IFERROR(__xludf.DUMMYFUNCTION("""COMPUTED_VALUE"""),"")</f>
        <v/>
      </c>
      <c r="N1416" s="1" t="str">
        <f>IFERROR(__xludf.DUMMYFUNCTION("""COMPUTED_VALUE"""),"")</f>
        <v/>
      </c>
      <c r="O1416" s="1" t="str">
        <f>IFERROR(__xludf.DUMMYFUNCTION("""COMPUTED_VALUE"""),"Unknown")</f>
        <v>Unknown</v>
      </c>
      <c r="P1416" s="1" t="str">
        <f>IFERROR(__xludf.DUMMYFUNCTION("""COMPUTED_VALUE"""),"")</f>
        <v/>
      </c>
      <c r="Q1416" s="1" t="str">
        <f>IFERROR(__xludf.DUMMYFUNCTION("""COMPUTED_VALUE"""),"")</f>
        <v/>
      </c>
      <c r="R1416" s="1" t="str">
        <f>IFERROR(__xludf.DUMMYFUNCTION("""COMPUTED_VALUE"""),"")</f>
        <v/>
      </c>
      <c r="S1416" s="1" t="str">
        <f>IFERROR(__xludf.DUMMYFUNCTION("""COMPUTED_VALUE"""),"")</f>
        <v/>
      </c>
      <c r="T1416" s="1" t="str">
        <f>IFERROR(__xludf.DUMMYFUNCTION("""COMPUTED_VALUE"""),"")</f>
        <v/>
      </c>
      <c r="U1416" s="1" t="str">
        <f>IFERROR(__xludf.DUMMYFUNCTION("""COMPUTED_VALUE"""),"")</f>
        <v/>
      </c>
      <c r="V1416" s="1" t="str">
        <f>IFERROR(__xludf.DUMMYFUNCTION("""COMPUTED_VALUE"""),"264,888")</f>
        <v>264,888</v>
      </c>
      <c r="W1416" s="1" t="str">
        <f>IFERROR(__xludf.DUMMYFUNCTION("""COMPUTED_VALUE"""),"9")</f>
        <v>9</v>
      </c>
      <c r="X1416" s="1" t="str">
        <f>IFERROR(__xludf.DUMMYFUNCTION("""COMPUTED_VALUE"""),"")</f>
        <v/>
      </c>
      <c r="Y1416" s="1" t="str">
        <f>IFERROR(__xludf.DUMMYFUNCTION("""COMPUTED_VALUE"""),"")</f>
        <v/>
      </c>
      <c r="Z1416" s="1" t="str">
        <f>IFERROR(__xludf.DUMMYFUNCTION("""COMPUTED_VALUE"""),"Unknown")</f>
        <v>Unknown</v>
      </c>
      <c r="AA1416" s="1" t="str">
        <f>IFERROR(__xludf.DUMMYFUNCTION("""COMPUTED_VALUE"""),"")</f>
        <v/>
      </c>
      <c r="AB1416" s="1" t="str">
        <f>IFERROR(__xludf.DUMMYFUNCTION("""COMPUTED_VALUE"""),"")</f>
        <v/>
      </c>
      <c r="AC1416" s="1" t="str">
        <f>IFERROR(__xludf.DUMMYFUNCTION("""COMPUTED_VALUE"""),"")</f>
        <v/>
      </c>
      <c r="AD1416" s="1" t="str">
        <f>IFERROR(__xludf.DUMMYFUNCTION("""COMPUTED_VALUE"""),"")</f>
        <v/>
      </c>
      <c r="AE1416" s="1" t="str">
        <f>IFERROR(__xludf.DUMMYFUNCTION("""COMPUTED_VALUE"""),"")</f>
        <v/>
      </c>
      <c r="AF1416" s="1" t="str">
        <f>IFERROR(__xludf.DUMMYFUNCTION("""COMPUTED_VALUE"""),"")</f>
        <v/>
      </c>
      <c r="AG1416" s="1" t="str">
        <f>IFERROR(__xludf.DUMMYFUNCTION("""COMPUTED_VALUE"""),"")</f>
        <v/>
      </c>
      <c r="AH1416" s="1" t="str">
        <f>IFERROR(__xludf.DUMMYFUNCTION("""COMPUTED_VALUE"""),"PEC")</f>
        <v>PEC</v>
      </c>
      <c r="AI1416" s="2" t="str">
        <f>IFERROR(__xludf.DUMMYFUNCTION("""COMPUTED_VALUE"""),"https://www.fairfaxcounty.gov/planning-development/sites/planning-development/files/Assets/Documents/PDF/data-centers-report.pdf#page=1")</f>
        <v>https://www.fairfaxcounty.gov/planning-development/sites/planning-development/files/Assets/Documents/PDF/data-centers-report.pdf#page=1</v>
      </c>
      <c r="AJ1416" s="2" t="str">
        <f>IFERROR(__xludf.DUMMYFUNCTION("""COMPUTED_VALUE"""),"https://icare.fairfaxcounty.gov/ffxcare/Datalets/Datalet.aspx?mode=&amp;UseSearch=no&amp;pin=0183%2008%20%200009A&amp;jur=129&amp;taxyr=2025")</f>
        <v>https://icare.fairfaxcounty.gov/ffxcare/Datalets/Datalet.aspx?mode=&amp;UseSearch=no&amp;pin=0183%2008%20%200009A&amp;jur=129&amp;taxyr=2025</v>
      </c>
      <c r="AK1416" s="1" t="str">
        <f>IFERROR(__xludf.DUMMYFUNCTION("""COMPUTED_VALUE"""),"")</f>
        <v/>
      </c>
      <c r="AL1416" s="1" t="str">
        <f>IFERROR(__xludf.DUMMYFUNCTION("""COMPUTED_VALUE"""),"")</f>
        <v/>
      </c>
      <c r="AM1416" s="1" t="str">
        <f>IFERROR(__xludf.DUMMYFUNCTION("""COMPUTED_VALUE"""),"")</f>
        <v/>
      </c>
      <c r="AN1416" s="1" t="str">
        <f>IFERROR(__xludf.DUMMYFUNCTION("""COMPUTED_VALUE"""),"")</f>
        <v/>
      </c>
      <c r="AO1416" s="1" t="str">
        <f>IFERROR(__xludf.DUMMYFUNCTION("""COMPUTED_VALUE"""),"")</f>
        <v/>
      </c>
      <c r="AP1416" s="1" t="str">
        <f>IFERROR(__xludf.DUMMYFUNCTION("""COMPUTED_VALUE"""),"")</f>
        <v/>
      </c>
      <c r="AQ1416" s="1" t="str">
        <f>IFERROR(__xludf.DUMMYFUNCTION("""COMPUTED_VALUE"""),"04/10/2024")</f>
        <v>04/10/2024</v>
      </c>
      <c r="AR1416" s="1" t="str">
        <f>IFERROR(__xludf.DUMMYFUNCTION("""COMPUTED_VALUE"""),"10/17/2025")</f>
        <v>10/17/2025</v>
      </c>
    </row>
    <row r="1417">
      <c r="A1417" s="1" t="str">
        <f>IFERROR(__xludf.DUMMYFUNCTION("""COMPUTED_VALUE"""),"RDC-1807 MICHAEL FARADAY COURT")</f>
        <v>RDC-1807 MICHAEL FARADAY COURT</v>
      </c>
      <c r="B1417" s="1" t="str">
        <f>IFERROR(__xludf.DUMMYFUNCTION("""COMPUTED_VALUE"""),"1807 MICHAEL FARADAY CT")</f>
        <v>1807 MICHAEL FARADAY CT</v>
      </c>
      <c r="C1417" s="1" t="str">
        <f>IFERROR(__xludf.DUMMYFUNCTION("""COMPUTED_VALUE"""),"Reston")</f>
        <v>Reston</v>
      </c>
      <c r="D1417" s="1" t="str">
        <f>IFERROR(__xludf.DUMMYFUNCTION("""COMPUTED_VALUE"""),"VA")</f>
        <v>VA</v>
      </c>
      <c r="E1417" s="1" t="str">
        <f>IFERROR(__xludf.DUMMYFUNCTION("""COMPUTED_VALUE"""),"20190")</f>
        <v>20190</v>
      </c>
      <c r="F1417" s="1" t="str">
        <f>IFERROR(__xludf.DUMMYFUNCTION("""COMPUTED_VALUE"""),"Fairfax")</f>
        <v>Fairfax</v>
      </c>
      <c r="G1417" s="1" t="str">
        <f>IFERROR(__xludf.DUMMYFUNCTION("""COMPUTED_VALUE"""),"38.948864")</f>
        <v>38.948864</v>
      </c>
      <c r="H1417" s="1" t="str">
        <f>IFERROR(__xludf.DUMMYFUNCTION("""COMPUTED_VALUE"""),"-77.32922")</f>
        <v>-77.32922</v>
      </c>
      <c r="I1417" s="1" t="str">
        <f>IFERROR(__xludf.DUMMYFUNCTION("""COMPUTED_VALUE"""),"Operating")</f>
        <v>Operating</v>
      </c>
      <c r="J1417" s="1" t="str">
        <f>IFERROR(__xludf.DUMMYFUNCTION("""COMPUTED_VALUE"""),"High")</f>
        <v>High</v>
      </c>
      <c r="K1417" s="1" t="str">
        <f>IFERROR(__xludf.DUMMYFUNCTION("""COMPUTED_VALUE"""),"")</f>
        <v/>
      </c>
      <c r="L1417" s="1" t="str">
        <f>IFERROR(__xludf.DUMMYFUNCTION("""COMPUTED_VALUE"""),"RDC-1807 MICHAEL FARADAY COURT LLC")</f>
        <v>RDC-1807 MICHAEL FARADAY COURT LLC</v>
      </c>
      <c r="M1417" s="1" t="str">
        <f>IFERROR(__xludf.DUMMYFUNCTION("""COMPUTED_VALUE"""),"")</f>
        <v/>
      </c>
      <c r="N1417" s="1" t="str">
        <f>IFERROR(__xludf.DUMMYFUNCTION("""COMPUTED_VALUE"""),"")</f>
        <v/>
      </c>
      <c r="O1417" s="1" t="str">
        <f>IFERROR(__xludf.DUMMYFUNCTION("""COMPUTED_VALUE"""),"Unknown")</f>
        <v>Unknown</v>
      </c>
      <c r="P1417" s="1" t="str">
        <f>IFERROR(__xludf.DUMMYFUNCTION("""COMPUTED_VALUE"""),"")</f>
        <v/>
      </c>
      <c r="Q1417" s="1" t="str">
        <f>IFERROR(__xludf.DUMMYFUNCTION("""COMPUTED_VALUE"""),"")</f>
        <v/>
      </c>
      <c r="R1417" s="1" t="str">
        <f>IFERROR(__xludf.DUMMYFUNCTION("""COMPUTED_VALUE"""),"")</f>
        <v/>
      </c>
      <c r="S1417" s="1" t="str">
        <f>IFERROR(__xludf.DUMMYFUNCTION("""COMPUTED_VALUE"""),"")</f>
        <v/>
      </c>
      <c r="T1417" s="1" t="str">
        <f>IFERROR(__xludf.DUMMYFUNCTION("""COMPUTED_VALUE"""),"")</f>
        <v/>
      </c>
      <c r="U1417" s="1" t="str">
        <f>IFERROR(__xludf.DUMMYFUNCTION("""COMPUTED_VALUE"""),"")</f>
        <v/>
      </c>
      <c r="V1417" s="1" t="str">
        <f>IFERROR(__xludf.DUMMYFUNCTION("""COMPUTED_VALUE"""),"30,609")</f>
        <v>30,609</v>
      </c>
      <c r="W1417" s="1" t="str">
        <f>IFERROR(__xludf.DUMMYFUNCTION("""COMPUTED_VALUE"""),"2")</f>
        <v>2</v>
      </c>
      <c r="X1417" s="1" t="str">
        <f>IFERROR(__xludf.DUMMYFUNCTION("""COMPUTED_VALUE"""),"")</f>
        <v/>
      </c>
      <c r="Y1417" s="1" t="str">
        <f>IFERROR(__xludf.DUMMYFUNCTION("""COMPUTED_VALUE"""),"")</f>
        <v/>
      </c>
      <c r="Z1417" s="1" t="str">
        <f>IFERROR(__xludf.DUMMYFUNCTION("""COMPUTED_VALUE"""),"Unknown")</f>
        <v>Unknown</v>
      </c>
      <c r="AA1417" s="1" t="str">
        <f>IFERROR(__xludf.DUMMYFUNCTION("""COMPUTED_VALUE"""),"")</f>
        <v/>
      </c>
      <c r="AB1417" s="1" t="str">
        <f>IFERROR(__xludf.DUMMYFUNCTION("""COMPUTED_VALUE"""),"")</f>
        <v/>
      </c>
      <c r="AC1417" s="1" t="str">
        <f>IFERROR(__xludf.DUMMYFUNCTION("""COMPUTED_VALUE"""),"")</f>
        <v/>
      </c>
      <c r="AD1417" s="1" t="str">
        <f>IFERROR(__xludf.DUMMYFUNCTION("""COMPUTED_VALUE"""),"")</f>
        <v/>
      </c>
      <c r="AE1417" s="1" t="str">
        <f>IFERROR(__xludf.DUMMYFUNCTION("""COMPUTED_VALUE"""),"")</f>
        <v/>
      </c>
      <c r="AF1417" s="1" t="str">
        <f>IFERROR(__xludf.DUMMYFUNCTION("""COMPUTED_VALUE"""),"")</f>
        <v/>
      </c>
      <c r="AG1417" s="1" t="str">
        <f>IFERROR(__xludf.DUMMYFUNCTION("""COMPUTED_VALUE"""),"")</f>
        <v/>
      </c>
      <c r="AH1417" s="1" t="str">
        <f>IFERROR(__xludf.DUMMYFUNCTION("""COMPUTED_VALUE"""),"PEC")</f>
        <v>PEC</v>
      </c>
      <c r="AI1417" s="2" t="str">
        <f>IFERROR(__xludf.DUMMYFUNCTION("""COMPUTED_VALUE"""),"https://icare.fairfaxcounty.gov/ffxcare/Datalets/Datalet.aspx?mode=&amp;UseSearch=no&amp;pin=0183%2005%20%200010&amp;jur=129&amp;taxyr=2025")</f>
        <v>https://icare.fairfaxcounty.gov/ffxcare/Datalets/Datalet.aspx?mode=&amp;UseSearch=no&amp;pin=0183%2005%20%200010&amp;jur=129&amp;taxyr=2025</v>
      </c>
      <c r="AJ1417" s="1" t="str">
        <f>IFERROR(__xludf.DUMMYFUNCTION("""COMPUTED_VALUE"""),"")</f>
        <v/>
      </c>
      <c r="AK1417" s="1" t="str">
        <f>IFERROR(__xludf.DUMMYFUNCTION("""COMPUTED_VALUE"""),"")</f>
        <v/>
      </c>
      <c r="AL1417" s="1" t="str">
        <f>IFERROR(__xludf.DUMMYFUNCTION("""COMPUTED_VALUE"""),"")</f>
        <v/>
      </c>
      <c r="AM1417" s="1" t="str">
        <f>IFERROR(__xludf.DUMMYFUNCTION("""COMPUTED_VALUE"""),"")</f>
        <v/>
      </c>
      <c r="AN1417" s="1" t="str">
        <f>IFERROR(__xludf.DUMMYFUNCTION("""COMPUTED_VALUE"""),"")</f>
        <v/>
      </c>
      <c r="AO1417" s="1" t="str">
        <f>IFERROR(__xludf.DUMMYFUNCTION("""COMPUTED_VALUE"""),"")</f>
        <v/>
      </c>
      <c r="AP1417" s="1" t="str">
        <f>IFERROR(__xludf.DUMMYFUNCTION("""COMPUTED_VALUE"""),"")</f>
        <v/>
      </c>
      <c r="AQ1417" s="1" t="str">
        <f>IFERROR(__xludf.DUMMYFUNCTION("""COMPUTED_VALUE"""),"04/10/2024")</f>
        <v>04/10/2024</v>
      </c>
      <c r="AR1417" s="1" t="str">
        <f>IFERROR(__xludf.DUMMYFUNCTION("""COMPUTED_VALUE"""),"10/17/2025")</f>
        <v>10/17/2025</v>
      </c>
    </row>
    <row r="1418">
      <c r="A1418" s="1" t="str">
        <f>IFERROR(__xludf.DUMMYFUNCTION("""COMPUTED_VALUE"""),"Science Applications International Corp (SAIC)")</f>
        <v>Science Applications International Corp (SAIC)</v>
      </c>
      <c r="B1418" s="1" t="str">
        <f>IFERROR(__xludf.DUMMYFUNCTION("""COMPUTED_VALUE"""),"12010 SUNSET HILLS RD")</f>
        <v>12010 SUNSET HILLS RD</v>
      </c>
      <c r="C1418" s="1" t="str">
        <f>IFERROR(__xludf.DUMMYFUNCTION("""COMPUTED_VALUE"""),"Reston")</f>
        <v>Reston</v>
      </c>
      <c r="D1418" s="1" t="str">
        <f>IFERROR(__xludf.DUMMYFUNCTION("""COMPUTED_VALUE"""),"VA")</f>
        <v>VA</v>
      </c>
      <c r="E1418" s="1" t="str">
        <f>IFERROR(__xludf.DUMMYFUNCTION("""COMPUTED_VALUE"""),"20190")</f>
        <v>20190</v>
      </c>
      <c r="F1418" s="1" t="str">
        <f>IFERROR(__xludf.DUMMYFUNCTION("""COMPUTED_VALUE"""),"Fairfax")</f>
        <v>Fairfax</v>
      </c>
      <c r="G1418" s="1" t="str">
        <f>IFERROR(__xludf.DUMMYFUNCTION("""COMPUTED_VALUE"""),"38.952652")</f>
        <v>38.952652</v>
      </c>
      <c r="H1418" s="1" t="str">
        <f>IFERROR(__xludf.DUMMYFUNCTION("""COMPUTED_VALUE"""),"-77.34998")</f>
        <v>-77.34998</v>
      </c>
      <c r="I1418" s="1" t="str">
        <f>IFERROR(__xludf.DUMMYFUNCTION("""COMPUTED_VALUE"""),"Operating")</f>
        <v>Operating</v>
      </c>
      <c r="J1418" s="1" t="str">
        <f>IFERROR(__xludf.DUMMYFUNCTION("""COMPUTED_VALUE"""),"High")</f>
        <v>High</v>
      </c>
      <c r="K1418" s="1" t="str">
        <f>IFERROR(__xludf.DUMMYFUNCTION("""COMPUTED_VALUE"""),"")</f>
        <v/>
      </c>
      <c r="L1418" s="1" t="str">
        <f>IFERROR(__xludf.DUMMYFUNCTION("""COMPUTED_VALUE"""),"DISCOVERY SQUARE LLC")</f>
        <v>DISCOVERY SQUARE LLC</v>
      </c>
      <c r="M1418" s="1" t="str">
        <f>IFERROR(__xludf.DUMMYFUNCTION("""COMPUTED_VALUE"""),"")</f>
        <v/>
      </c>
      <c r="N1418" s="1" t="str">
        <f>IFERROR(__xludf.DUMMYFUNCTION("""COMPUTED_VALUE"""),"")</f>
        <v/>
      </c>
      <c r="O1418" s="1" t="str">
        <f>IFERROR(__xludf.DUMMYFUNCTION("""COMPUTED_VALUE"""),"Unknown")</f>
        <v>Unknown</v>
      </c>
      <c r="P1418" s="1" t="str">
        <f>IFERROR(__xludf.DUMMYFUNCTION("""COMPUTED_VALUE"""),"")</f>
        <v/>
      </c>
      <c r="Q1418" s="1" t="str">
        <f>IFERROR(__xludf.DUMMYFUNCTION("""COMPUTED_VALUE"""),"")</f>
        <v/>
      </c>
      <c r="R1418" s="1" t="str">
        <f>IFERROR(__xludf.DUMMYFUNCTION("""COMPUTED_VALUE"""),"")</f>
        <v/>
      </c>
      <c r="S1418" s="1" t="str">
        <f>IFERROR(__xludf.DUMMYFUNCTION("""COMPUTED_VALUE"""),"")</f>
        <v/>
      </c>
      <c r="T1418" s="1" t="str">
        <f>IFERROR(__xludf.DUMMYFUNCTION("""COMPUTED_VALUE"""),"")</f>
        <v/>
      </c>
      <c r="U1418" s="1" t="str">
        <f>IFERROR(__xludf.DUMMYFUNCTION("""COMPUTED_VALUE"""),"")</f>
        <v/>
      </c>
      <c r="V1418" s="1" t="str">
        <f>IFERROR(__xludf.DUMMYFUNCTION("""COMPUTED_VALUE"""),"")</f>
        <v/>
      </c>
      <c r="W1418" s="1" t="str">
        <f>IFERROR(__xludf.DUMMYFUNCTION("""COMPUTED_VALUE"""),"6")</f>
        <v>6</v>
      </c>
      <c r="X1418" s="1" t="str">
        <f>IFERROR(__xludf.DUMMYFUNCTION("""COMPUTED_VALUE"""),"")</f>
        <v/>
      </c>
      <c r="Y1418" s="1" t="str">
        <f>IFERROR(__xludf.DUMMYFUNCTION("""COMPUTED_VALUE"""),"")</f>
        <v/>
      </c>
      <c r="Z1418" s="1" t="str">
        <f>IFERROR(__xludf.DUMMYFUNCTION("""COMPUTED_VALUE"""),"Unknown")</f>
        <v>Unknown</v>
      </c>
      <c r="AA1418" s="1" t="str">
        <f>IFERROR(__xludf.DUMMYFUNCTION("""COMPUTED_VALUE"""),"")</f>
        <v/>
      </c>
      <c r="AB1418" s="1" t="str">
        <f>IFERROR(__xludf.DUMMYFUNCTION("""COMPUTED_VALUE"""),"")</f>
        <v/>
      </c>
      <c r="AC1418" s="1" t="str">
        <f>IFERROR(__xludf.DUMMYFUNCTION("""COMPUTED_VALUE"""),"")</f>
        <v/>
      </c>
      <c r="AD1418" s="1" t="str">
        <f>IFERROR(__xludf.DUMMYFUNCTION("""COMPUTED_VALUE"""),"")</f>
        <v/>
      </c>
      <c r="AE1418" s="1" t="str">
        <f>IFERROR(__xludf.DUMMYFUNCTION("""COMPUTED_VALUE"""),"")</f>
        <v/>
      </c>
      <c r="AF1418" s="1" t="str">
        <f>IFERROR(__xludf.DUMMYFUNCTION("""COMPUTED_VALUE"""),"")</f>
        <v/>
      </c>
      <c r="AG1418" s="1" t="str">
        <f>IFERROR(__xludf.DUMMYFUNCTION("""COMPUTED_VALUE"""),"")</f>
        <v/>
      </c>
      <c r="AH1418" s="1" t="str">
        <f>IFERROR(__xludf.DUMMYFUNCTION("""COMPUTED_VALUE"""),"PEC")</f>
        <v>PEC</v>
      </c>
      <c r="AI1418" s="2" t="str">
        <f>IFERROR(__xludf.DUMMYFUNCTION("""COMPUTED_VALUE"""),"https://icare.fairfaxcounty.gov/ffxcare/datalets/datalet.aspx?mode=com_combined&amp;UseSearch=no&amp;pin=0173%2001%20%200005&amp;jur=129&amp;taxyr=2025&amp;LMparent=138")</f>
        <v>https://icare.fairfaxcounty.gov/ffxcare/datalets/datalet.aspx?mode=com_combined&amp;UseSearch=no&amp;pin=0173%2001%20%200005&amp;jur=129&amp;taxyr=2025&amp;LMparent=138</v>
      </c>
      <c r="AJ1418" s="1" t="str">
        <f>IFERROR(__xludf.DUMMYFUNCTION("""COMPUTED_VALUE"""),"")</f>
        <v/>
      </c>
      <c r="AK1418" s="1" t="str">
        <f>IFERROR(__xludf.DUMMYFUNCTION("""COMPUTED_VALUE"""),"")</f>
        <v/>
      </c>
      <c r="AL1418" s="1" t="str">
        <f>IFERROR(__xludf.DUMMYFUNCTION("""COMPUTED_VALUE"""),"")</f>
        <v/>
      </c>
      <c r="AM1418" s="1" t="str">
        <f>IFERROR(__xludf.DUMMYFUNCTION("""COMPUTED_VALUE"""),"")</f>
        <v/>
      </c>
      <c r="AN1418" s="1" t="str">
        <f>IFERROR(__xludf.DUMMYFUNCTION("""COMPUTED_VALUE"""),"")</f>
        <v/>
      </c>
      <c r="AO1418" s="1" t="str">
        <f>IFERROR(__xludf.DUMMYFUNCTION("""COMPUTED_VALUE"""),"")</f>
        <v/>
      </c>
      <c r="AP1418" s="1" t="str">
        <f>IFERROR(__xludf.DUMMYFUNCTION("""COMPUTED_VALUE"""),"")</f>
        <v/>
      </c>
      <c r="AQ1418" s="1" t="str">
        <f>IFERROR(__xludf.DUMMYFUNCTION("""COMPUTED_VALUE"""),"04/10/2024")</f>
        <v>04/10/2024</v>
      </c>
      <c r="AR1418" s="1" t="str">
        <f>IFERROR(__xludf.DUMMYFUNCTION("""COMPUTED_VALUE"""),"10/17/2025")</f>
        <v>10/17/2025</v>
      </c>
    </row>
    <row r="1419">
      <c r="A1419" s="1" t="str">
        <f>IFERROR(__xludf.DUMMYFUNCTION("""COMPUTED_VALUE"""),"SUNRISE TECHNOLOGY PARK")</f>
        <v>SUNRISE TECHNOLOGY PARK</v>
      </c>
      <c r="B1419" s="1" t="str">
        <f>IFERROR(__xludf.DUMMYFUNCTION("""COMPUTED_VALUE"""),"12098 SUNRISE VALLEY DR")</f>
        <v>12098 SUNRISE VALLEY DR</v>
      </c>
      <c r="C1419" s="1" t="str">
        <f>IFERROR(__xludf.DUMMYFUNCTION("""COMPUTED_VALUE"""),"Reston")</f>
        <v>Reston</v>
      </c>
      <c r="D1419" s="1" t="str">
        <f>IFERROR(__xludf.DUMMYFUNCTION("""COMPUTED_VALUE"""),"VA")</f>
        <v>VA</v>
      </c>
      <c r="E1419" s="1" t="str">
        <f>IFERROR(__xludf.DUMMYFUNCTION("""COMPUTED_VALUE"""),"20191")</f>
        <v>20191</v>
      </c>
      <c r="F1419" s="1" t="str">
        <f>IFERROR(__xludf.DUMMYFUNCTION("""COMPUTED_VALUE"""),"Fairfax")</f>
        <v>Fairfax</v>
      </c>
      <c r="G1419" s="1" t="str">
        <f>IFERROR(__xludf.DUMMYFUNCTION("""COMPUTED_VALUE"""),"38.950703")</f>
        <v>38.950703</v>
      </c>
      <c r="H1419" s="1" t="str">
        <f>IFERROR(__xludf.DUMMYFUNCTION("""COMPUTED_VALUE"""),"-77.36489")</f>
        <v>-77.36489</v>
      </c>
      <c r="I1419" s="1" t="str">
        <f>IFERROR(__xludf.DUMMYFUNCTION("""COMPUTED_VALUE"""),"Operating")</f>
        <v>Operating</v>
      </c>
      <c r="J1419" s="1" t="str">
        <f>IFERROR(__xludf.DUMMYFUNCTION("""COMPUTED_VALUE"""),"High")</f>
        <v>High</v>
      </c>
      <c r="K1419" s="1" t="str">
        <f>IFERROR(__xludf.DUMMYFUNCTION("""COMPUTED_VALUE"""),"")</f>
        <v/>
      </c>
      <c r="L1419" s="1" t="str">
        <f>IFERROR(__xludf.DUMMYFUNCTION("""COMPUTED_VALUE"""),"Coresite")</f>
        <v>Coresite</v>
      </c>
      <c r="M1419" s="1" t="str">
        <f>IFERROR(__xludf.DUMMYFUNCTION("""COMPUTED_VALUE"""),"")</f>
        <v/>
      </c>
      <c r="N1419" s="1" t="str">
        <f>IFERROR(__xludf.DUMMYFUNCTION("""COMPUTED_VALUE"""),"")</f>
        <v/>
      </c>
      <c r="O1419" s="1" t="str">
        <f>IFERROR(__xludf.DUMMYFUNCTION("""COMPUTED_VALUE"""),"Unknown")</f>
        <v>Unknown</v>
      </c>
      <c r="P1419" s="1" t="str">
        <f>IFERROR(__xludf.DUMMYFUNCTION("""COMPUTED_VALUE"""),"")</f>
        <v/>
      </c>
      <c r="Q1419" s="1" t="str">
        <f>IFERROR(__xludf.DUMMYFUNCTION("""COMPUTED_VALUE"""),"")</f>
        <v/>
      </c>
      <c r="R1419" s="1" t="str">
        <f>IFERROR(__xludf.DUMMYFUNCTION("""COMPUTED_VALUE"""),"")</f>
        <v/>
      </c>
      <c r="S1419" s="1" t="str">
        <f>IFERROR(__xludf.DUMMYFUNCTION("""COMPUTED_VALUE"""),"")</f>
        <v/>
      </c>
      <c r="T1419" s="1" t="str">
        <f>IFERROR(__xludf.DUMMYFUNCTION("""COMPUTED_VALUE"""),"")</f>
        <v/>
      </c>
      <c r="U1419" s="1" t="str">
        <f>IFERROR(__xludf.DUMMYFUNCTION("""COMPUTED_VALUE"""),"")</f>
        <v/>
      </c>
      <c r="V1419" s="1" t="str">
        <f>IFERROR(__xludf.DUMMYFUNCTION("""COMPUTED_VALUE"""),"423,341")</f>
        <v>423,341</v>
      </c>
      <c r="W1419" s="1" t="str">
        <f>IFERROR(__xludf.DUMMYFUNCTION("""COMPUTED_VALUE"""),"14")</f>
        <v>14</v>
      </c>
      <c r="X1419" s="1" t="str">
        <f>IFERROR(__xludf.DUMMYFUNCTION("""COMPUTED_VALUE"""),"")</f>
        <v/>
      </c>
      <c r="Y1419" s="1" t="str">
        <f>IFERROR(__xludf.DUMMYFUNCTION("""COMPUTED_VALUE"""),"")</f>
        <v/>
      </c>
      <c r="Z1419" s="1" t="str">
        <f>IFERROR(__xludf.DUMMYFUNCTION("""COMPUTED_VALUE"""),"Unknown")</f>
        <v>Unknown</v>
      </c>
      <c r="AA1419" s="1" t="str">
        <f>IFERROR(__xludf.DUMMYFUNCTION("""COMPUTED_VALUE"""),"")</f>
        <v/>
      </c>
      <c r="AB1419" s="1" t="str">
        <f>IFERROR(__xludf.DUMMYFUNCTION("""COMPUTED_VALUE"""),"")</f>
        <v/>
      </c>
      <c r="AC1419" s="1" t="str">
        <f>IFERROR(__xludf.DUMMYFUNCTION("""COMPUTED_VALUE"""),"")</f>
        <v/>
      </c>
      <c r="AD1419" s="1" t="str">
        <f>IFERROR(__xludf.DUMMYFUNCTION("""COMPUTED_VALUE"""),"")</f>
        <v/>
      </c>
      <c r="AE1419" s="1" t="str">
        <f>IFERROR(__xludf.DUMMYFUNCTION("""COMPUTED_VALUE"""),"")</f>
        <v/>
      </c>
      <c r="AF1419" s="1" t="str">
        <f>IFERROR(__xludf.DUMMYFUNCTION("""COMPUTED_VALUE"""),"")</f>
        <v/>
      </c>
      <c r="AG1419" s="1" t="str">
        <f>IFERROR(__xludf.DUMMYFUNCTION("""COMPUTED_VALUE"""),"square footage may be underrepresented")</f>
        <v>square footage may be underrepresented</v>
      </c>
      <c r="AH1419" s="1" t="str">
        <f>IFERROR(__xludf.DUMMYFUNCTION("""COMPUTED_VALUE"""),"PEC")</f>
        <v>PEC</v>
      </c>
      <c r="AI1419" s="2" t="str">
        <f>IFERROR(__xludf.DUMMYFUNCTION("""COMPUTED_VALUE"""),"https://www.fairfaxcounty.gov/planning-development/sites/planning-development/files/Assets/Documents/PDF/data-centers-report.pdf#page=1")</f>
        <v>https://www.fairfaxcounty.gov/planning-development/sites/planning-development/files/Assets/Documents/PDF/data-centers-report.pdf#page=1</v>
      </c>
      <c r="AJ1419" s="2" t="str">
        <f>IFERROR(__xludf.DUMMYFUNCTION("""COMPUTED_VALUE"""),"https://icare.fairfaxcounty.gov/ffxcare/datalets/datalet.aspx?mode=profileall&amp;sIndex=0&amp;idx=1&amp;LMparent=138")</f>
        <v>https://icare.fairfaxcounty.gov/ffxcare/datalets/datalet.aspx?mode=profileall&amp;sIndex=0&amp;idx=1&amp;LMparent=138</v>
      </c>
      <c r="AK1419" s="1" t="str">
        <f>IFERROR(__xludf.DUMMYFUNCTION("""COMPUTED_VALUE"""),"")</f>
        <v/>
      </c>
      <c r="AL1419" s="1" t="str">
        <f>IFERROR(__xludf.DUMMYFUNCTION("""COMPUTED_VALUE"""),"")</f>
        <v/>
      </c>
      <c r="AM1419" s="1" t="str">
        <f>IFERROR(__xludf.DUMMYFUNCTION("""COMPUTED_VALUE"""),"")</f>
        <v/>
      </c>
      <c r="AN1419" s="1" t="str">
        <f>IFERROR(__xludf.DUMMYFUNCTION("""COMPUTED_VALUE"""),"")</f>
        <v/>
      </c>
      <c r="AO1419" s="1" t="str">
        <f>IFERROR(__xludf.DUMMYFUNCTION("""COMPUTED_VALUE"""),"")</f>
        <v/>
      </c>
      <c r="AP1419" s="1" t="str">
        <f>IFERROR(__xludf.DUMMYFUNCTION("""COMPUTED_VALUE"""),"")</f>
        <v/>
      </c>
      <c r="AQ1419" s="1" t="str">
        <f>IFERROR(__xludf.DUMMYFUNCTION("""COMPUTED_VALUE"""),"04/10/2024")</f>
        <v>04/10/2024</v>
      </c>
      <c r="AR1419" s="1" t="str">
        <f>IFERROR(__xludf.DUMMYFUNCTION("""COMPUTED_VALUE"""),"10/17/2025")</f>
        <v>10/17/2025</v>
      </c>
    </row>
    <row r="1420">
      <c r="A1420" s="1" t="str">
        <f>IFERROR(__xludf.DUMMYFUNCTION("""COMPUTED_VALUE"""),"Azalea")</f>
        <v>Azalea</v>
      </c>
      <c r="B1420" s="1" t="str">
        <f>IFERROR(__xludf.DUMMYFUNCTION("""COMPUTED_VALUE"""),"5209 WILKINSON RD")</f>
        <v>5209 WILKINSON RD</v>
      </c>
      <c r="C1420" s="1" t="str">
        <f>IFERROR(__xludf.DUMMYFUNCTION("""COMPUTED_VALUE"""),"Richmond")</f>
        <v>Richmond</v>
      </c>
      <c r="D1420" s="1" t="str">
        <f>IFERROR(__xludf.DUMMYFUNCTION("""COMPUTED_VALUE"""),"VA")</f>
        <v>VA</v>
      </c>
      <c r="E1420" s="1" t="str">
        <f>IFERROR(__xludf.DUMMYFUNCTION("""COMPUTED_VALUE"""),"23227")</f>
        <v>23227</v>
      </c>
      <c r="F1420" s="1" t="str">
        <f>IFERROR(__xludf.DUMMYFUNCTION("""COMPUTED_VALUE"""),"Henrico")</f>
        <v>Henrico</v>
      </c>
      <c r="G1420" s="1" t="str">
        <f>IFERROR(__xludf.DUMMYFUNCTION("""COMPUTED_VALUE"""),"37.604717")</f>
        <v>37.604717</v>
      </c>
      <c r="H1420" s="1" t="str">
        <f>IFERROR(__xludf.DUMMYFUNCTION("""COMPUTED_VALUE"""),"-77.423416")</f>
        <v>-77.423416</v>
      </c>
      <c r="I1420" s="1" t="str">
        <f>IFERROR(__xludf.DUMMYFUNCTION("""COMPUTED_VALUE"""),"Proposed")</f>
        <v>Proposed</v>
      </c>
      <c r="J1420" s="1" t="str">
        <f>IFERROR(__xludf.DUMMYFUNCTION("""COMPUTED_VALUE"""),"High")</f>
        <v>High</v>
      </c>
      <c r="K1420" s="1" t="str">
        <f>IFERROR(__xludf.DUMMYFUNCTION("""COMPUTED_VALUE"""),"")</f>
        <v/>
      </c>
      <c r="L1420" s="1" t="str">
        <f>IFERROR(__xludf.DUMMYFUNCTION("""COMPUTED_VALUE"""),"BWS Enterprises")</f>
        <v>BWS Enterprises</v>
      </c>
      <c r="M1420" s="1" t="str">
        <f>IFERROR(__xludf.DUMMYFUNCTION("""COMPUTED_VALUE"""),"")</f>
        <v/>
      </c>
      <c r="N1420" s="1" t="str">
        <f>IFERROR(__xludf.DUMMYFUNCTION("""COMPUTED_VALUE"""),"10")</f>
        <v>10</v>
      </c>
      <c r="O1420" s="1" t="str">
        <f>IFERROR(__xludf.DUMMYFUNCTION("""COMPUTED_VALUE"""),"Small (0-10 MW)")</f>
        <v>Small (0-10 MW)</v>
      </c>
      <c r="P1420" s="1" t="str">
        <f>IFERROR(__xludf.DUMMYFUNCTION("""COMPUTED_VALUE"""),"")</f>
        <v/>
      </c>
      <c r="Q1420" s="1" t="str">
        <f>IFERROR(__xludf.DUMMYFUNCTION("""COMPUTED_VALUE"""),"")</f>
        <v/>
      </c>
      <c r="R1420" s="1" t="str">
        <f>IFERROR(__xludf.DUMMYFUNCTION("""COMPUTED_VALUE"""),"")</f>
        <v/>
      </c>
      <c r="S1420" s="1" t="str">
        <f>IFERROR(__xludf.DUMMYFUNCTION("""COMPUTED_VALUE"""),"")</f>
        <v/>
      </c>
      <c r="T1420" s="1" t="str">
        <f>IFERROR(__xludf.DUMMYFUNCTION("""COMPUTED_VALUE"""),"")</f>
        <v/>
      </c>
      <c r="U1420" s="1" t="str">
        <f>IFERROR(__xludf.DUMMYFUNCTION("""COMPUTED_VALUE"""),"")</f>
        <v/>
      </c>
      <c r="V1420" s="1" t="str">
        <f>IFERROR(__xludf.DUMMYFUNCTION("""COMPUTED_VALUE"""),"456,108")</f>
        <v>456,108</v>
      </c>
      <c r="W1420" s="1" t="str">
        <f>IFERROR(__xludf.DUMMYFUNCTION("""COMPUTED_VALUE"""),"31")</f>
        <v>31</v>
      </c>
      <c r="X1420" s="1" t="str">
        <f>IFERROR(__xludf.DUMMYFUNCTION("""COMPUTED_VALUE"""),"")</f>
        <v/>
      </c>
      <c r="Y1420" s="1" t="str">
        <f>IFERROR(__xludf.DUMMYFUNCTION("""COMPUTED_VALUE"""),"")</f>
        <v/>
      </c>
      <c r="Z1420" s="1" t="str">
        <f>IFERROR(__xludf.DUMMYFUNCTION("""COMPUTED_VALUE"""),"Unknown")</f>
        <v>Unknown</v>
      </c>
      <c r="AA1420" s="1" t="str">
        <f>IFERROR(__xludf.DUMMYFUNCTION("""COMPUTED_VALUE"""),"")</f>
        <v/>
      </c>
      <c r="AB1420" s="1" t="str">
        <f>IFERROR(__xludf.DUMMYFUNCTION("""COMPUTED_VALUE"""),"")</f>
        <v/>
      </c>
      <c r="AC1420" s="1" t="str">
        <f>IFERROR(__xludf.DUMMYFUNCTION("""COMPUTED_VALUE"""),"")</f>
        <v/>
      </c>
      <c r="AD1420" s="1" t="str">
        <f>IFERROR(__xludf.DUMMYFUNCTION("""COMPUTED_VALUE"""),"")</f>
        <v/>
      </c>
      <c r="AE1420" s="1" t="str">
        <f>IFERROR(__xludf.DUMMYFUNCTION("""COMPUTED_VALUE"""),"")</f>
        <v/>
      </c>
      <c r="AF1420" s="1" t="str">
        <f>IFERROR(__xludf.DUMMYFUNCTION("""COMPUTED_VALUE"""),"")</f>
        <v/>
      </c>
      <c r="AG1420" s="1" t="str">
        <f>IFERROR(__xludf.DUMMYFUNCTION("""COMPUTED_VALUE"""),"Azalea flea market location")</f>
        <v>Azalea flea market location</v>
      </c>
      <c r="AH1420" s="1" t="str">
        <f>IFERROR(__xludf.DUMMYFUNCTION("""COMPUTED_VALUE"""),"PEC")</f>
        <v>PEC</v>
      </c>
      <c r="AI1420" s="2" t="str">
        <f>IFERROR(__xludf.DUMMYFUNCTION("""COMPUTED_VALUE"""),"https://www.datacenterdynamics.com/en/news/proposals-for-two-data-center-projects-in-richmond-virginia-deferred-by-local-officials/")</f>
        <v>https://www.datacenterdynamics.com/en/news/proposals-for-two-data-center-projects-in-richmond-virginia-deferred-by-local-officials/</v>
      </c>
      <c r="AJ1420" s="2" t="str">
        <f>IFERROR(__xludf.DUMMYFUNCTION("""COMPUTED_VALUE"""),"https://realestate.henrico.us/ords/cam/f?p=510101:5:::NO::P5_PARCEL_ID,P5_SEARCH_TYPE:795-746-5940,0")</f>
        <v>https://realestate.henrico.us/ords/cam/f?p=510101:5:::NO::P5_PARCEL_ID,P5_SEARCH_TYPE:795-746-5940,0</v>
      </c>
      <c r="AK1420" s="1" t="str">
        <f>IFERROR(__xludf.DUMMYFUNCTION("""COMPUTED_VALUE"""),"")</f>
        <v/>
      </c>
      <c r="AL1420" s="1" t="str">
        <f>IFERROR(__xludf.DUMMYFUNCTION("""COMPUTED_VALUE"""),"")</f>
        <v/>
      </c>
      <c r="AM1420" s="1" t="str">
        <f>IFERROR(__xludf.DUMMYFUNCTION("""COMPUTED_VALUE"""),"")</f>
        <v/>
      </c>
      <c r="AN1420" s="1" t="str">
        <f>IFERROR(__xludf.DUMMYFUNCTION("""COMPUTED_VALUE"""),"")</f>
        <v/>
      </c>
      <c r="AO1420" s="1" t="str">
        <f>IFERROR(__xludf.DUMMYFUNCTION("""COMPUTED_VALUE"""),"")</f>
        <v/>
      </c>
      <c r="AP1420" s="1" t="str">
        <f>IFERROR(__xludf.DUMMYFUNCTION("""COMPUTED_VALUE"""),"")</f>
        <v/>
      </c>
      <c r="AQ1420" s="1" t="str">
        <f>IFERROR(__xludf.DUMMYFUNCTION("""COMPUTED_VALUE"""),"08/28/2024")</f>
        <v>08/28/2024</v>
      </c>
      <c r="AR1420" s="1" t="str">
        <f>IFERROR(__xludf.DUMMYFUNCTION("""COMPUTED_VALUE"""),"10/17/2025")</f>
        <v>10/17/2025</v>
      </c>
    </row>
    <row r="1421">
      <c r="A1421" s="1" t="str">
        <f>IFERROR(__xludf.DUMMYFUNCTION("""COMPUTED_VALUE"""),"Infotel Systems Data Center")</f>
        <v>Infotel Systems Data Center</v>
      </c>
      <c r="B1421" s="1" t="str">
        <f>IFERROR(__xludf.DUMMYFUNCTION("""COMPUTED_VALUE"""),"6008 HERMITAGE RD")</f>
        <v>6008 HERMITAGE RD</v>
      </c>
      <c r="C1421" s="1" t="str">
        <f>IFERROR(__xludf.DUMMYFUNCTION("""COMPUTED_VALUE"""),"Richmond")</f>
        <v>Richmond</v>
      </c>
      <c r="D1421" s="1" t="str">
        <f>IFERROR(__xludf.DUMMYFUNCTION("""COMPUTED_VALUE"""),"VA")</f>
        <v>VA</v>
      </c>
      <c r="E1421" s="1" t="str">
        <f>IFERROR(__xludf.DUMMYFUNCTION("""COMPUTED_VALUE"""),"23228")</f>
        <v>23228</v>
      </c>
      <c r="F1421" s="1" t="str">
        <f>IFERROR(__xludf.DUMMYFUNCTION("""COMPUTED_VALUE"""),"Henrico")</f>
        <v>Henrico</v>
      </c>
      <c r="G1421" s="1" t="str">
        <f>IFERROR(__xludf.DUMMYFUNCTION("""COMPUTED_VALUE"""),"37.61285")</f>
        <v>37.61285</v>
      </c>
      <c r="H1421" s="1" t="str">
        <f>IFERROR(__xludf.DUMMYFUNCTION("""COMPUTED_VALUE"""),"-77.47348")</f>
        <v>-77.47348</v>
      </c>
      <c r="I1421" s="1" t="str">
        <f>IFERROR(__xludf.DUMMYFUNCTION("""COMPUTED_VALUE"""),"Operating")</f>
        <v>Operating</v>
      </c>
      <c r="J1421" s="1" t="str">
        <f>IFERROR(__xludf.DUMMYFUNCTION("""COMPUTED_VALUE"""),"High")</f>
        <v>High</v>
      </c>
      <c r="K1421" s="1" t="str">
        <f>IFERROR(__xludf.DUMMYFUNCTION("""COMPUTED_VALUE"""),"")</f>
        <v/>
      </c>
      <c r="L1421" s="1" t="str">
        <f>IFERROR(__xludf.DUMMYFUNCTION("""COMPUTED_VALUE"""),"Infotel")</f>
        <v>Infotel</v>
      </c>
      <c r="M1421" s="1" t="str">
        <f>IFERROR(__xludf.DUMMYFUNCTION("""COMPUTED_VALUE"""),"")</f>
        <v/>
      </c>
      <c r="N1421" s="1" t="str">
        <f>IFERROR(__xludf.DUMMYFUNCTION("""COMPUTED_VALUE"""),"")</f>
        <v/>
      </c>
      <c r="O1421" s="1" t="str">
        <f>IFERROR(__xludf.DUMMYFUNCTION("""COMPUTED_VALUE"""),"Unknown")</f>
        <v>Unknown</v>
      </c>
      <c r="P1421" s="1" t="str">
        <f>IFERROR(__xludf.DUMMYFUNCTION("""COMPUTED_VALUE"""),"")</f>
        <v/>
      </c>
      <c r="Q1421" s="1" t="str">
        <f>IFERROR(__xludf.DUMMYFUNCTION("""COMPUTED_VALUE"""),"")</f>
        <v/>
      </c>
      <c r="R1421" s="1" t="str">
        <f>IFERROR(__xludf.DUMMYFUNCTION("""COMPUTED_VALUE"""),"")</f>
        <v/>
      </c>
      <c r="S1421" s="1" t="str">
        <f>IFERROR(__xludf.DUMMYFUNCTION("""COMPUTED_VALUE"""),"")</f>
        <v/>
      </c>
      <c r="T1421" s="1" t="str">
        <f>IFERROR(__xludf.DUMMYFUNCTION("""COMPUTED_VALUE"""),"")</f>
        <v/>
      </c>
      <c r="U1421" s="1" t="str">
        <f>IFERROR(__xludf.DUMMYFUNCTION("""COMPUTED_VALUE"""),"")</f>
        <v/>
      </c>
      <c r="V1421" s="1" t="str">
        <f>IFERROR(__xludf.DUMMYFUNCTION("""COMPUTED_VALUE"""),"572")</f>
        <v>572</v>
      </c>
      <c r="W1421" s="1" t="str">
        <f>IFERROR(__xludf.DUMMYFUNCTION("""COMPUTED_VALUE"""),"1")</f>
        <v>1</v>
      </c>
      <c r="X1421" s="1" t="str">
        <f>IFERROR(__xludf.DUMMYFUNCTION("""COMPUTED_VALUE"""),"")</f>
        <v/>
      </c>
      <c r="Y1421" s="1" t="str">
        <f>IFERROR(__xludf.DUMMYFUNCTION("""COMPUTED_VALUE"""),"")</f>
        <v/>
      </c>
      <c r="Z1421" s="1" t="str">
        <f>IFERROR(__xludf.DUMMYFUNCTION("""COMPUTED_VALUE"""),"Unknown")</f>
        <v>Unknown</v>
      </c>
      <c r="AA1421" s="1" t="str">
        <f>IFERROR(__xludf.DUMMYFUNCTION("""COMPUTED_VALUE"""),"")</f>
        <v/>
      </c>
      <c r="AB1421" s="1" t="str">
        <f>IFERROR(__xludf.DUMMYFUNCTION("""COMPUTED_VALUE"""),"")</f>
        <v/>
      </c>
      <c r="AC1421" s="1" t="str">
        <f>IFERROR(__xludf.DUMMYFUNCTION("""COMPUTED_VALUE"""),"")</f>
        <v/>
      </c>
      <c r="AD1421" s="1" t="str">
        <f>IFERROR(__xludf.DUMMYFUNCTION("""COMPUTED_VALUE"""),"")</f>
        <v/>
      </c>
      <c r="AE1421" s="1" t="str">
        <f>IFERROR(__xludf.DUMMYFUNCTION("""COMPUTED_VALUE"""),"")</f>
        <v/>
      </c>
      <c r="AF1421" s="1" t="str">
        <f>IFERROR(__xludf.DUMMYFUNCTION("""COMPUTED_VALUE"""),"")</f>
        <v/>
      </c>
      <c r="AG1421" s="1" t="str">
        <f>IFERROR(__xludf.DUMMYFUNCTION("""COMPUTED_VALUE"""),"")</f>
        <v/>
      </c>
      <c r="AH1421" s="1" t="str">
        <f>IFERROR(__xludf.DUMMYFUNCTION("""COMPUTED_VALUE"""),"PEC")</f>
        <v>PEC</v>
      </c>
      <c r="AI1421" s="2" t="str">
        <f>IFERROR(__xludf.DUMMYFUNCTION("""COMPUTED_VALUE"""),"https://realestate.henrico.us/ords/cam/f?p=510101:5:::NO::P5_PARCEL_ID,P5_SEARCH_TYPE:780-748-2431,0")</f>
        <v>https://realestate.henrico.us/ords/cam/f?p=510101:5:::NO::P5_PARCEL_ID,P5_SEARCH_TYPE:780-748-2431,0</v>
      </c>
      <c r="AJ1421" s="1" t="str">
        <f>IFERROR(__xludf.DUMMYFUNCTION("""COMPUTED_VALUE"""),"")</f>
        <v/>
      </c>
      <c r="AK1421" s="1" t="str">
        <f>IFERROR(__xludf.DUMMYFUNCTION("""COMPUTED_VALUE"""),"")</f>
        <v/>
      </c>
      <c r="AL1421" s="1" t="str">
        <f>IFERROR(__xludf.DUMMYFUNCTION("""COMPUTED_VALUE"""),"")</f>
        <v/>
      </c>
      <c r="AM1421" s="1" t="str">
        <f>IFERROR(__xludf.DUMMYFUNCTION("""COMPUTED_VALUE"""),"")</f>
        <v/>
      </c>
      <c r="AN1421" s="1" t="str">
        <f>IFERROR(__xludf.DUMMYFUNCTION("""COMPUTED_VALUE"""),"")</f>
        <v/>
      </c>
      <c r="AO1421" s="1" t="str">
        <f>IFERROR(__xludf.DUMMYFUNCTION("""COMPUTED_VALUE"""),"")</f>
        <v/>
      </c>
      <c r="AP1421" s="1" t="str">
        <f>IFERROR(__xludf.DUMMYFUNCTION("""COMPUTED_VALUE"""),"")</f>
        <v/>
      </c>
      <c r="AQ1421" s="1" t="str">
        <f>IFERROR(__xludf.DUMMYFUNCTION("""COMPUTED_VALUE"""),"04/10/2024")</f>
        <v>04/10/2024</v>
      </c>
      <c r="AR1421" s="1" t="str">
        <f>IFERROR(__xludf.DUMMYFUNCTION("""COMPUTED_VALUE"""),"10/17/2025")</f>
        <v>10/17/2025</v>
      </c>
    </row>
    <row r="1422">
      <c r="A1422" s="1" t="str">
        <f>IFERROR(__xludf.DUMMYFUNCTION("""COMPUTED_VALUE"""),"Lumen Richmond 1")</f>
        <v>Lumen Richmond 1</v>
      </c>
      <c r="B1422" s="1" t="str">
        <f>IFERROR(__xludf.DUMMYFUNCTION("""COMPUTED_VALUE"""),"8851 PARK CENTRAL DR")</f>
        <v>8851 PARK CENTRAL DR</v>
      </c>
      <c r="C1422" s="1" t="str">
        <f>IFERROR(__xludf.DUMMYFUNCTION("""COMPUTED_VALUE"""),"Richmond")</f>
        <v>Richmond</v>
      </c>
      <c r="D1422" s="1" t="str">
        <f>IFERROR(__xludf.DUMMYFUNCTION("""COMPUTED_VALUE"""),"VA")</f>
        <v>VA</v>
      </c>
      <c r="E1422" s="1" t="str">
        <f>IFERROR(__xludf.DUMMYFUNCTION("""COMPUTED_VALUE"""),"23227")</f>
        <v>23227</v>
      </c>
      <c r="F1422" s="1" t="str">
        <f>IFERROR(__xludf.DUMMYFUNCTION("""COMPUTED_VALUE"""),"Henrico")</f>
        <v>Henrico</v>
      </c>
      <c r="G1422" s="1" t="str">
        <f>IFERROR(__xludf.DUMMYFUNCTION("""COMPUTED_VALUE"""),"37.646786")</f>
        <v>37.646786</v>
      </c>
      <c r="H1422" s="1" t="str">
        <f>IFERROR(__xludf.DUMMYFUNCTION("""COMPUTED_VALUE"""),"-77.438446")</f>
        <v>-77.438446</v>
      </c>
      <c r="I1422" s="1" t="str">
        <f>IFERROR(__xludf.DUMMYFUNCTION("""COMPUTED_VALUE"""),"Operating")</f>
        <v>Operating</v>
      </c>
      <c r="J1422" s="1" t="str">
        <f>IFERROR(__xludf.DUMMYFUNCTION("""COMPUTED_VALUE"""),"High")</f>
        <v>High</v>
      </c>
      <c r="K1422" s="1" t="str">
        <f>IFERROR(__xludf.DUMMYFUNCTION("""COMPUTED_VALUE"""),"")</f>
        <v/>
      </c>
      <c r="L1422" s="1" t="str">
        <f>IFERROR(__xludf.DUMMYFUNCTION("""COMPUTED_VALUE"""),"LEVEL 3 COMMUNICATIONS LLC")</f>
        <v>LEVEL 3 COMMUNICATIONS LLC</v>
      </c>
      <c r="M1422" s="1" t="str">
        <f>IFERROR(__xludf.DUMMYFUNCTION("""COMPUTED_VALUE"""),"")</f>
        <v/>
      </c>
      <c r="N1422" s="1" t="str">
        <f>IFERROR(__xludf.DUMMYFUNCTION("""COMPUTED_VALUE"""),"")</f>
        <v/>
      </c>
      <c r="O1422" s="1" t="str">
        <f>IFERROR(__xludf.DUMMYFUNCTION("""COMPUTED_VALUE"""),"Unknown")</f>
        <v>Unknown</v>
      </c>
      <c r="P1422" s="1" t="str">
        <f>IFERROR(__xludf.DUMMYFUNCTION("""COMPUTED_VALUE"""),"")</f>
        <v/>
      </c>
      <c r="Q1422" s="1" t="str">
        <f>IFERROR(__xludf.DUMMYFUNCTION("""COMPUTED_VALUE"""),"")</f>
        <v/>
      </c>
      <c r="R1422" s="1" t="str">
        <f>IFERROR(__xludf.DUMMYFUNCTION("""COMPUTED_VALUE"""),"")</f>
        <v/>
      </c>
      <c r="S1422" s="1" t="str">
        <f>IFERROR(__xludf.DUMMYFUNCTION("""COMPUTED_VALUE"""),"")</f>
        <v/>
      </c>
      <c r="T1422" s="1" t="str">
        <f>IFERROR(__xludf.DUMMYFUNCTION("""COMPUTED_VALUE"""),"")</f>
        <v/>
      </c>
      <c r="U1422" s="1" t="str">
        <f>IFERROR(__xludf.DUMMYFUNCTION("""COMPUTED_VALUE"""),"")</f>
        <v/>
      </c>
      <c r="V1422" s="1" t="str">
        <f>IFERROR(__xludf.DUMMYFUNCTION("""COMPUTED_VALUE"""),"36,508")</f>
        <v>36,508</v>
      </c>
      <c r="W1422" s="1" t="str">
        <f>IFERROR(__xludf.DUMMYFUNCTION("""COMPUTED_VALUE"""),"6")</f>
        <v>6</v>
      </c>
      <c r="X1422" s="1" t="str">
        <f>IFERROR(__xludf.DUMMYFUNCTION("""COMPUTED_VALUE"""),"")</f>
        <v/>
      </c>
      <c r="Y1422" s="1" t="str">
        <f>IFERROR(__xludf.DUMMYFUNCTION("""COMPUTED_VALUE"""),"")</f>
        <v/>
      </c>
      <c r="Z1422" s="1" t="str">
        <f>IFERROR(__xludf.DUMMYFUNCTION("""COMPUTED_VALUE"""),"Unknown")</f>
        <v>Unknown</v>
      </c>
      <c r="AA1422" s="1" t="str">
        <f>IFERROR(__xludf.DUMMYFUNCTION("""COMPUTED_VALUE"""),"")</f>
        <v/>
      </c>
      <c r="AB1422" s="1" t="str">
        <f>IFERROR(__xludf.DUMMYFUNCTION("""COMPUTED_VALUE"""),"")</f>
        <v/>
      </c>
      <c r="AC1422" s="1" t="str">
        <f>IFERROR(__xludf.DUMMYFUNCTION("""COMPUTED_VALUE"""),"")</f>
        <v/>
      </c>
      <c r="AD1422" s="1" t="str">
        <f>IFERROR(__xludf.DUMMYFUNCTION("""COMPUTED_VALUE"""),"")</f>
        <v/>
      </c>
      <c r="AE1422" s="1" t="str">
        <f>IFERROR(__xludf.DUMMYFUNCTION("""COMPUTED_VALUE"""),"")</f>
        <v/>
      </c>
      <c r="AF1422" s="1" t="str">
        <f>IFERROR(__xludf.DUMMYFUNCTION("""COMPUTED_VALUE"""),"")</f>
        <v/>
      </c>
      <c r="AG1422" s="1" t="str">
        <f>IFERROR(__xludf.DUMMYFUNCTION("""COMPUTED_VALUE"""),"")</f>
        <v/>
      </c>
      <c r="AH1422" s="1" t="str">
        <f>IFERROR(__xludf.DUMMYFUNCTION("""COMPUTED_VALUE"""),"PEC")</f>
        <v>PEC</v>
      </c>
      <c r="AI1422" s="2" t="str">
        <f>IFERROR(__xludf.DUMMYFUNCTION("""COMPUTED_VALUE"""),"https://realestate.henrico.us/ords/cam/f?p=510101:5:::NO::P5_PARCEL_ID,P5_SEARCH_TYPE:790-760-2582,0")</f>
        <v>https://realestate.henrico.us/ords/cam/f?p=510101:5:::NO::P5_PARCEL_ID,P5_SEARCH_TYPE:790-760-2582,0</v>
      </c>
      <c r="AJ1422" s="1" t="str">
        <f>IFERROR(__xludf.DUMMYFUNCTION("""COMPUTED_VALUE"""),"")</f>
        <v/>
      </c>
      <c r="AK1422" s="1" t="str">
        <f>IFERROR(__xludf.DUMMYFUNCTION("""COMPUTED_VALUE"""),"")</f>
        <v/>
      </c>
      <c r="AL1422" s="1" t="str">
        <f>IFERROR(__xludf.DUMMYFUNCTION("""COMPUTED_VALUE"""),"")</f>
        <v/>
      </c>
      <c r="AM1422" s="1" t="str">
        <f>IFERROR(__xludf.DUMMYFUNCTION("""COMPUTED_VALUE"""),"")</f>
        <v/>
      </c>
      <c r="AN1422" s="1" t="str">
        <f>IFERROR(__xludf.DUMMYFUNCTION("""COMPUTED_VALUE"""),"")</f>
        <v/>
      </c>
      <c r="AO1422" s="1" t="str">
        <f>IFERROR(__xludf.DUMMYFUNCTION("""COMPUTED_VALUE"""),"")</f>
        <v/>
      </c>
      <c r="AP1422" s="1" t="str">
        <f>IFERROR(__xludf.DUMMYFUNCTION("""COMPUTED_VALUE"""),"")</f>
        <v/>
      </c>
      <c r="AQ1422" s="1" t="str">
        <f>IFERROR(__xludf.DUMMYFUNCTION("""COMPUTED_VALUE"""),"04/10/2024")</f>
        <v>04/10/2024</v>
      </c>
      <c r="AR1422" s="1" t="str">
        <f>IFERROR(__xludf.DUMMYFUNCTION("""COMPUTED_VALUE"""),"10/17/2025")</f>
        <v>10/17/2025</v>
      </c>
    </row>
    <row r="1423">
      <c r="A1423" s="1" t="str">
        <f>IFERROR(__xludf.DUMMYFUNCTION("""COMPUTED_VALUE"""),"Richmond Data Center")</f>
        <v>Richmond Data Center</v>
      </c>
      <c r="B1423" s="1" t="str">
        <f>IFERROR(__xludf.DUMMYFUNCTION("""COMPUTED_VALUE"""),"5209 Wilkinson Rd")</f>
        <v>5209 Wilkinson Rd</v>
      </c>
      <c r="C1423" s="1" t="str">
        <f>IFERROR(__xludf.DUMMYFUNCTION("""COMPUTED_VALUE"""),"Richmond")</f>
        <v>Richmond</v>
      </c>
      <c r="D1423" s="1" t="str">
        <f>IFERROR(__xludf.DUMMYFUNCTION("""COMPUTED_VALUE"""),"VA")</f>
        <v>VA</v>
      </c>
      <c r="E1423" s="1" t="str">
        <f>IFERROR(__xludf.DUMMYFUNCTION("""COMPUTED_VALUE"""),"23227")</f>
        <v>23227</v>
      </c>
      <c r="F1423" s="1" t="str">
        <f>IFERROR(__xludf.DUMMYFUNCTION("""COMPUTED_VALUE"""),"Henrico")</f>
        <v>Henrico</v>
      </c>
      <c r="G1423" s="1" t="str">
        <f>IFERROR(__xludf.DUMMYFUNCTION("""COMPUTED_VALUE"""),"37.60576")</f>
        <v>37.60576</v>
      </c>
      <c r="H1423" s="1" t="str">
        <f>IFERROR(__xludf.DUMMYFUNCTION("""COMPUTED_VALUE"""),"-77.4211")</f>
        <v>-77.4211</v>
      </c>
      <c r="I1423" s="1" t="str">
        <f>IFERROR(__xludf.DUMMYFUNCTION("""COMPUTED_VALUE"""),"Operating")</f>
        <v>Operating</v>
      </c>
      <c r="J1423" s="1" t="str">
        <f>IFERROR(__xludf.DUMMYFUNCTION("""COMPUTED_VALUE"""),"High")</f>
        <v>High</v>
      </c>
      <c r="K1423" s="1" t="str">
        <f>IFERROR(__xludf.DUMMYFUNCTION("""COMPUTED_VALUE"""),"")</f>
        <v/>
      </c>
      <c r="L1423" s="1" t="str">
        <f>IFERROR(__xludf.DUMMYFUNCTION("""COMPUTED_VALUE"""),"")</f>
        <v/>
      </c>
      <c r="M1423" s="1" t="str">
        <f>IFERROR(__xludf.DUMMYFUNCTION("""COMPUTED_VALUE"""),"")</f>
        <v/>
      </c>
      <c r="N1423" s="1" t="str">
        <f>IFERROR(__xludf.DUMMYFUNCTION("""COMPUTED_VALUE"""),"")</f>
        <v/>
      </c>
      <c r="O1423" s="1" t="str">
        <f>IFERROR(__xludf.DUMMYFUNCTION("""COMPUTED_VALUE"""),"Unknown")</f>
        <v>Unknown</v>
      </c>
      <c r="P1423" s="1" t="str">
        <f>IFERROR(__xludf.DUMMYFUNCTION("""COMPUTED_VALUE"""),"")</f>
        <v/>
      </c>
      <c r="Q1423" s="1" t="str">
        <f>IFERROR(__xludf.DUMMYFUNCTION("""COMPUTED_VALUE"""),"")</f>
        <v/>
      </c>
      <c r="R1423" s="1" t="str">
        <f>IFERROR(__xludf.DUMMYFUNCTION("""COMPUTED_VALUE"""),"")</f>
        <v/>
      </c>
      <c r="S1423" s="1" t="str">
        <f>IFERROR(__xludf.DUMMYFUNCTION("""COMPUTED_VALUE"""),"")</f>
        <v/>
      </c>
      <c r="T1423" s="1" t="str">
        <f>IFERROR(__xludf.DUMMYFUNCTION("""COMPUTED_VALUE"""),"")</f>
        <v/>
      </c>
      <c r="U1423" s="1" t="str">
        <f>IFERROR(__xludf.DUMMYFUNCTION("""COMPUTED_VALUE"""),"")</f>
        <v/>
      </c>
      <c r="V1423" s="1" t="str">
        <f>IFERROR(__xludf.DUMMYFUNCTION("""COMPUTED_VALUE"""),"65,000")</f>
        <v>65,000</v>
      </c>
      <c r="W1423" s="1" t="str">
        <f>IFERROR(__xludf.DUMMYFUNCTION("""COMPUTED_VALUE"""),"")</f>
        <v/>
      </c>
      <c r="X1423" s="1" t="str">
        <f>IFERROR(__xludf.DUMMYFUNCTION("""COMPUTED_VALUE"""),"")</f>
        <v/>
      </c>
      <c r="Y1423" s="1" t="str">
        <f>IFERROR(__xludf.DUMMYFUNCTION("""COMPUTED_VALUE"""),"")</f>
        <v/>
      </c>
      <c r="Z1423" s="1" t="str">
        <f>IFERROR(__xludf.DUMMYFUNCTION("""COMPUTED_VALUE"""),"Unknown")</f>
        <v>Unknown</v>
      </c>
      <c r="AA1423" s="1" t="str">
        <f>IFERROR(__xludf.DUMMYFUNCTION("""COMPUTED_VALUE"""),"")</f>
        <v/>
      </c>
      <c r="AB1423" s="1" t="str">
        <f>IFERROR(__xludf.DUMMYFUNCTION("""COMPUTED_VALUE"""),"")</f>
        <v/>
      </c>
      <c r="AC1423" s="1" t="str">
        <f>IFERROR(__xludf.DUMMYFUNCTION("""COMPUTED_VALUE"""),"")</f>
        <v/>
      </c>
      <c r="AD1423" s="1" t="str">
        <f>IFERROR(__xludf.DUMMYFUNCTION("""COMPUTED_VALUE"""),"")</f>
        <v/>
      </c>
      <c r="AE1423" s="1" t="str">
        <f>IFERROR(__xludf.DUMMYFUNCTION("""COMPUTED_VALUE"""),"")</f>
        <v/>
      </c>
      <c r="AF1423" s="1" t="str">
        <f>IFERROR(__xludf.DUMMYFUNCTION("""COMPUTED_VALUE"""),"")</f>
        <v/>
      </c>
      <c r="AG1423" s="1" t="str">
        <f>IFERROR(__xludf.DUMMYFUNCTION("""COMPUTED_VALUE"""),"")</f>
        <v/>
      </c>
      <c r="AH1423" s="1" t="str">
        <f>IFERROR(__xludf.DUMMYFUNCTION("""COMPUTED_VALUE"""),"Media Monitoring")</f>
        <v>Media Monitoring</v>
      </c>
      <c r="AI1423" s="2" t="str">
        <f>IFERROR(__xludf.DUMMYFUNCTION("""COMPUTED_VALUE"""),"https://www.vpm.org/listen/2025-02-21/bizsense-beat-magnolia-green-azalea-flea-market")</f>
        <v>https://www.vpm.org/listen/2025-02-21/bizsense-beat-magnolia-green-azalea-flea-market</v>
      </c>
      <c r="AJ1423" s="1" t="str">
        <f>IFERROR(__xludf.DUMMYFUNCTION("""COMPUTED_VALUE"""),"")</f>
        <v/>
      </c>
      <c r="AK1423" s="1" t="str">
        <f>IFERROR(__xludf.DUMMYFUNCTION("""COMPUTED_VALUE"""),"")</f>
        <v/>
      </c>
      <c r="AL1423" s="1" t="str">
        <f>IFERROR(__xludf.DUMMYFUNCTION("""COMPUTED_VALUE"""),"")</f>
        <v/>
      </c>
      <c r="AM1423" s="1" t="str">
        <f>IFERROR(__xludf.DUMMYFUNCTION("""COMPUTED_VALUE"""),"")</f>
        <v/>
      </c>
      <c r="AN1423" s="1" t="str">
        <f>IFERROR(__xludf.DUMMYFUNCTION("""COMPUTED_VALUE"""),"")</f>
        <v/>
      </c>
      <c r="AO1423" s="1" t="str">
        <f>IFERROR(__xludf.DUMMYFUNCTION("""COMPUTED_VALUE"""),"")</f>
        <v/>
      </c>
      <c r="AP1423" s="1" t="str">
        <f>IFERROR(__xludf.DUMMYFUNCTION("""COMPUTED_VALUE"""),"")</f>
        <v/>
      </c>
      <c r="AQ1423" s="1" t="str">
        <f>IFERROR(__xludf.DUMMYFUNCTION("""COMPUTED_VALUE"""),"05/23/2025")</f>
        <v>05/23/2025</v>
      </c>
      <c r="AR1423" s="1" t="str">
        <f>IFERROR(__xludf.DUMMYFUNCTION("""COMPUTED_VALUE"""),"05/23/2025")</f>
        <v>05/23/2025</v>
      </c>
    </row>
    <row r="1424">
      <c r="A1424" s="1" t="str">
        <f>IFERROR(__xludf.DUMMYFUNCTION("""COMPUTED_VALUE"""),"Wagner Urban Logistics LLC Data Center")</f>
        <v>Wagner Urban Logistics LLC Data Center</v>
      </c>
      <c r="B1424" s="1" t="str">
        <f>IFERROR(__xludf.DUMMYFUNCTION("""COMPUTED_VALUE"""),"near 2248 Darbytown Rd")</f>
        <v>near 2248 Darbytown Rd</v>
      </c>
      <c r="C1424" s="1" t="str">
        <f>IFERROR(__xludf.DUMMYFUNCTION("""COMPUTED_VALUE"""),"Richmond")</f>
        <v>Richmond</v>
      </c>
      <c r="D1424" s="1" t="str">
        <f>IFERROR(__xludf.DUMMYFUNCTION("""COMPUTED_VALUE"""),"VA")</f>
        <v>VA</v>
      </c>
      <c r="E1424" s="1" t="str">
        <f>IFERROR(__xludf.DUMMYFUNCTION("""COMPUTED_VALUE"""),"23231")</f>
        <v>23231</v>
      </c>
      <c r="F1424" s="1" t="str">
        <f>IFERROR(__xludf.DUMMYFUNCTION("""COMPUTED_VALUE"""),"Henrico")</f>
        <v>Henrico</v>
      </c>
      <c r="G1424" s="1" t="str">
        <f>IFERROR(__xludf.DUMMYFUNCTION("""COMPUTED_VALUE"""),"37.48448")</f>
        <v>37.48448</v>
      </c>
      <c r="H1424" s="1" t="str">
        <f>IFERROR(__xludf.DUMMYFUNCTION("""COMPUTED_VALUE"""),"-77.3579")</f>
        <v>-77.3579</v>
      </c>
      <c r="I1424" s="1" t="str">
        <f>IFERROR(__xludf.DUMMYFUNCTION("""COMPUTED_VALUE"""),"Suspended")</f>
        <v>Suspended</v>
      </c>
      <c r="J1424" s="1" t="str">
        <f>IFERROR(__xludf.DUMMYFUNCTION("""COMPUTED_VALUE"""),"Medium")</f>
        <v>Medium</v>
      </c>
      <c r="K1424" s="1" t="str">
        <f>IFERROR(__xludf.DUMMYFUNCTION("""COMPUTED_VALUE"""),"")</f>
        <v/>
      </c>
      <c r="L1424" s="1" t="str">
        <f>IFERROR(__xludf.DUMMYFUNCTION("""COMPUTED_VALUE"""),"")</f>
        <v/>
      </c>
      <c r="M1424" s="1" t="str">
        <f>IFERROR(__xludf.DUMMYFUNCTION("""COMPUTED_VALUE"""),"")</f>
        <v/>
      </c>
      <c r="N1424" s="1" t="str">
        <f>IFERROR(__xludf.DUMMYFUNCTION("""COMPUTED_VALUE"""),"")</f>
        <v/>
      </c>
      <c r="O1424" s="1" t="str">
        <f>IFERROR(__xludf.DUMMYFUNCTION("""COMPUTED_VALUE"""),"Unknown")</f>
        <v>Unknown</v>
      </c>
      <c r="P1424" s="1" t="str">
        <f>IFERROR(__xludf.DUMMYFUNCTION("""COMPUTED_VALUE"""),"")</f>
        <v/>
      </c>
      <c r="Q1424" s="1" t="str">
        <f>IFERROR(__xludf.DUMMYFUNCTION("""COMPUTED_VALUE"""),"")</f>
        <v/>
      </c>
      <c r="R1424" s="1" t="str">
        <f>IFERROR(__xludf.DUMMYFUNCTION("""COMPUTED_VALUE"""),"")</f>
        <v/>
      </c>
      <c r="S1424" s="1" t="str">
        <f>IFERROR(__xludf.DUMMYFUNCTION("""COMPUTED_VALUE"""),"8")</f>
        <v>8</v>
      </c>
      <c r="T1424" s="1" t="str">
        <f>IFERROR(__xludf.DUMMYFUNCTION("""COMPUTED_VALUE"""),"")</f>
        <v/>
      </c>
      <c r="U1424" s="1" t="str">
        <f>IFERROR(__xludf.DUMMYFUNCTION("""COMPUTED_VALUE"""),"")</f>
        <v/>
      </c>
      <c r="V1424" s="1" t="str">
        <f>IFERROR(__xludf.DUMMYFUNCTION("""COMPUTED_VALUE"""),"")</f>
        <v/>
      </c>
      <c r="W1424" s="1" t="str">
        <f>IFERROR(__xludf.DUMMYFUNCTION("""COMPUTED_VALUE"""),"195")</f>
        <v>195</v>
      </c>
      <c r="X1424" s="1" t="str">
        <f>IFERROR(__xludf.DUMMYFUNCTION("""COMPUTED_VALUE"""),"")</f>
        <v/>
      </c>
      <c r="Y1424" s="1" t="str">
        <f>IFERROR(__xludf.DUMMYFUNCTION("""COMPUTED_VALUE"""),"")</f>
        <v/>
      </c>
      <c r="Z1424" s="1" t="str">
        <f>IFERROR(__xludf.DUMMYFUNCTION("""COMPUTED_VALUE"""),"Unknown")</f>
        <v>Unknown</v>
      </c>
      <c r="AA1424" s="1" t="str">
        <f>IFERROR(__xludf.DUMMYFUNCTION("""COMPUTED_VALUE"""),"")</f>
        <v/>
      </c>
      <c r="AB1424" s="1" t="str">
        <f>IFERROR(__xludf.DUMMYFUNCTION("""COMPUTED_VALUE"""),"")</f>
        <v/>
      </c>
      <c r="AC1424" s="1" t="str">
        <f>IFERROR(__xludf.DUMMYFUNCTION("""COMPUTED_VALUE"""),"")</f>
        <v/>
      </c>
      <c r="AD1424" s="1" t="str">
        <f>IFERROR(__xludf.DUMMYFUNCTION("""COMPUTED_VALUE"""),"")</f>
        <v/>
      </c>
      <c r="AE1424" s="1" t="str">
        <f>IFERROR(__xludf.DUMMYFUNCTION("""COMPUTED_VALUE"""),"")</f>
        <v/>
      </c>
      <c r="AF1424" s="1" t="str">
        <f>IFERROR(__xludf.DUMMYFUNCTION("""COMPUTED_VALUE"""),"")</f>
        <v/>
      </c>
      <c r="AG1424" s="1" t="str">
        <f>IFERROR(__xludf.DUMMYFUNCTION("""COMPUTED_VALUE"""),"Across from housing development, 1/2 mile to elementary school")</f>
        <v>Across from housing development, 1/2 mile to elementary school</v>
      </c>
      <c r="AH1424" s="1" t="str">
        <f>IFERROR(__xludf.DUMMYFUNCTION("""COMPUTED_VALUE"""),"Media Monitoring")</f>
        <v>Media Monitoring</v>
      </c>
      <c r="AI1424" s="2" t="str">
        <f>IFERROR(__xludf.DUMMYFUNCTION("""COMPUTED_VALUE"""),"https://www.datacenterdynamics.com/en/news/planners-oppose-data-center-campus-in-varina-virginia/")</f>
        <v>https://www.datacenterdynamics.com/en/news/planners-oppose-data-center-campus-in-varina-virginia/</v>
      </c>
      <c r="AJ1424" s="1" t="str">
        <f>IFERROR(__xludf.DUMMYFUNCTION("""COMPUTED_VALUE"""),"")</f>
        <v/>
      </c>
      <c r="AK1424" s="1" t="str">
        <f>IFERROR(__xludf.DUMMYFUNCTION("""COMPUTED_VALUE"""),"")</f>
        <v/>
      </c>
      <c r="AL1424" s="1" t="str">
        <f>IFERROR(__xludf.DUMMYFUNCTION("""COMPUTED_VALUE"""),"")</f>
        <v/>
      </c>
      <c r="AM1424" s="1" t="str">
        <f>IFERROR(__xludf.DUMMYFUNCTION("""COMPUTED_VALUE"""),"")</f>
        <v/>
      </c>
      <c r="AN1424" s="1" t="str">
        <f>IFERROR(__xludf.DUMMYFUNCTION("""COMPUTED_VALUE"""),"")</f>
        <v/>
      </c>
      <c r="AO1424" s="1" t="str">
        <f>IFERROR(__xludf.DUMMYFUNCTION("""COMPUTED_VALUE"""),"")</f>
        <v/>
      </c>
      <c r="AP1424" s="1" t="str">
        <f>IFERROR(__xludf.DUMMYFUNCTION("""COMPUTED_VALUE"""),"")</f>
        <v/>
      </c>
      <c r="AQ1424" s="1" t="str">
        <f>IFERROR(__xludf.DUMMYFUNCTION("""COMPUTED_VALUE"""),"09/16/2025")</f>
        <v>09/16/2025</v>
      </c>
      <c r="AR1424" s="1" t="str">
        <f>IFERROR(__xludf.DUMMYFUNCTION("""COMPUTED_VALUE"""),"09/16/2025")</f>
        <v>09/16/2025</v>
      </c>
    </row>
    <row r="1425">
      <c r="A1425" s="1" t="str">
        <f>IFERROR(__xludf.DUMMYFUNCTION("""COMPUTED_VALUE"""),"Google Data Center: Center for Research and Technology")</f>
        <v>Google Data Center: Center for Research and Technology</v>
      </c>
      <c r="B1425" s="1" t="str">
        <f>IFERROR(__xludf.DUMMYFUNCTION("""COMPUTED_VALUE"""),"near Thirlane Rd")</f>
        <v>near Thirlane Rd</v>
      </c>
      <c r="C1425" s="1" t="str">
        <f>IFERROR(__xludf.DUMMYFUNCTION("""COMPUTED_VALUE"""),"Roanoke")</f>
        <v>Roanoke</v>
      </c>
      <c r="D1425" s="1" t="str">
        <f>IFERROR(__xludf.DUMMYFUNCTION("""COMPUTED_VALUE"""),"VA")</f>
        <v>VA</v>
      </c>
      <c r="E1425" s="1" t="str">
        <f>IFERROR(__xludf.DUMMYFUNCTION("""COMPUTED_VALUE"""),"24019")</f>
        <v>24019</v>
      </c>
      <c r="F1425" s="1" t="str">
        <f>IFERROR(__xludf.DUMMYFUNCTION("""COMPUTED_VALUE"""),"Roanoke")</f>
        <v>Roanoke</v>
      </c>
      <c r="G1425" s="1" t="str">
        <f>IFERROR(__xludf.DUMMYFUNCTION("""COMPUTED_VALUE"""),"37.33734")</f>
        <v>37.33734</v>
      </c>
      <c r="H1425" s="1" t="str">
        <f>IFERROR(__xludf.DUMMYFUNCTION("""COMPUTED_VALUE"""),"-79.9992")</f>
        <v>-79.9992</v>
      </c>
      <c r="I1425" s="1" t="str">
        <f>IFERROR(__xludf.DUMMYFUNCTION("""COMPUTED_VALUE"""),"Proposed")</f>
        <v>Proposed</v>
      </c>
      <c r="J1425" s="1" t="str">
        <f>IFERROR(__xludf.DUMMYFUNCTION("""COMPUTED_VALUE"""),"High")</f>
        <v>High</v>
      </c>
      <c r="K1425" s="1" t="str">
        <f>IFERROR(__xludf.DUMMYFUNCTION("""COMPUTED_VALUE"""),"")</f>
        <v/>
      </c>
      <c r="L1425" s="1" t="str">
        <f>IFERROR(__xludf.DUMMYFUNCTION("""COMPUTED_VALUE"""),"Google")</f>
        <v>Google</v>
      </c>
      <c r="M1425" s="1" t="str">
        <f>IFERROR(__xludf.DUMMYFUNCTION("""COMPUTED_VALUE"""),"")</f>
        <v/>
      </c>
      <c r="N1425" s="1" t="str">
        <f>IFERROR(__xludf.DUMMYFUNCTION("""COMPUTED_VALUE"""),"")</f>
        <v/>
      </c>
      <c r="O1425" s="1" t="str">
        <f>IFERROR(__xludf.DUMMYFUNCTION("""COMPUTED_VALUE"""),"Unknown")</f>
        <v>Unknown</v>
      </c>
      <c r="P1425" s="1" t="str">
        <f>IFERROR(__xludf.DUMMYFUNCTION("""COMPUTED_VALUE"""),"")</f>
        <v/>
      </c>
      <c r="Q1425" s="1" t="str">
        <f>IFERROR(__xludf.DUMMYFUNCTION("""COMPUTED_VALUE"""),"")</f>
        <v/>
      </c>
      <c r="R1425" s="1" t="str">
        <f>IFERROR(__xludf.DUMMYFUNCTION("""COMPUTED_VALUE"""),"")</f>
        <v/>
      </c>
      <c r="S1425" s="1" t="str">
        <f>IFERROR(__xludf.DUMMYFUNCTION("""COMPUTED_VALUE"""),"")</f>
        <v/>
      </c>
      <c r="T1425" s="1" t="str">
        <f>IFERROR(__xludf.DUMMYFUNCTION("""COMPUTED_VALUE"""),"")</f>
        <v/>
      </c>
      <c r="U1425" s="1" t="str">
        <f>IFERROR(__xludf.DUMMYFUNCTION("""COMPUTED_VALUE"""),"")</f>
        <v/>
      </c>
      <c r="V1425" s="1" t="str">
        <f>IFERROR(__xludf.DUMMYFUNCTION("""COMPUTED_VALUE"""),"")</f>
        <v/>
      </c>
      <c r="W1425" s="1" t="str">
        <f>IFERROR(__xludf.DUMMYFUNCTION("""COMPUTED_VALUE"""),"")</f>
        <v/>
      </c>
      <c r="X1425" s="1" t="str">
        <f>IFERROR(__xludf.DUMMYFUNCTION("""COMPUTED_VALUE"""),"")</f>
        <v/>
      </c>
      <c r="Y1425" s="1" t="str">
        <f>IFERROR(__xludf.DUMMYFUNCTION("""COMPUTED_VALUE"""),"")</f>
        <v/>
      </c>
      <c r="Z1425" s="1" t="str">
        <f>IFERROR(__xludf.DUMMYFUNCTION("""COMPUTED_VALUE"""),"Unknown")</f>
        <v>Unknown</v>
      </c>
      <c r="AA1425" s="1" t="str">
        <f>IFERROR(__xludf.DUMMYFUNCTION("""COMPUTED_VALUE"""),"")</f>
        <v/>
      </c>
      <c r="AB1425" s="1" t="str">
        <f>IFERROR(__xludf.DUMMYFUNCTION("""COMPUTED_VALUE"""),"")</f>
        <v/>
      </c>
      <c r="AC1425" s="1" t="str">
        <f>IFERROR(__xludf.DUMMYFUNCTION("""COMPUTED_VALUE"""),"")</f>
        <v/>
      </c>
      <c r="AD1425" s="1" t="str">
        <f>IFERROR(__xludf.DUMMYFUNCTION("""COMPUTED_VALUE"""),"")</f>
        <v/>
      </c>
      <c r="AE1425" s="1" t="str">
        <f>IFERROR(__xludf.DUMMYFUNCTION("""COMPUTED_VALUE"""),"")</f>
        <v/>
      </c>
      <c r="AF1425" s="1" t="str">
        <f>IFERROR(__xludf.DUMMYFUNCTION("""COMPUTED_VALUE"""),"")</f>
        <v/>
      </c>
      <c r="AG1425" s="1" t="str">
        <f>IFERROR(__xludf.DUMMYFUNCTION("""COMPUTED_VALUE"""),"")</f>
        <v/>
      </c>
      <c r="AH1425" s="1" t="str">
        <f>IFERROR(__xludf.DUMMYFUNCTION("""COMPUTED_VALUE"""),"Media Monitoring")</f>
        <v>Media Monitoring</v>
      </c>
      <c r="AI1425" s="2" t="str">
        <f>IFERROR(__xludf.DUMMYFUNCTION("""COMPUTED_VALUE"""),"https://www.roanokerambler.com/with-1-billion-google-data-center-deal-inked-the-roanoke-valley-enters-the-game/")</f>
        <v>https://www.roanokerambler.com/with-1-billion-google-data-center-deal-inked-the-roanoke-valley-enters-the-game/</v>
      </c>
      <c r="AJ1425" s="2" t="str">
        <f>IFERROR(__xludf.DUMMYFUNCTION("""COMPUTED_VALUE"""),"https://roanoke.org/real-estate/roanoke-county-center-for-research-technology/")</f>
        <v>https://roanoke.org/real-estate/roanoke-county-center-for-research-technology/</v>
      </c>
      <c r="AK1425" s="1" t="str">
        <f>IFERROR(__xludf.DUMMYFUNCTION("""COMPUTED_VALUE"""),"")</f>
        <v/>
      </c>
      <c r="AL1425" s="1" t="str">
        <f>IFERROR(__xludf.DUMMYFUNCTION("""COMPUTED_VALUE"""),"")</f>
        <v/>
      </c>
      <c r="AM1425" s="1" t="str">
        <f>IFERROR(__xludf.DUMMYFUNCTION("""COMPUTED_VALUE"""),"")</f>
        <v/>
      </c>
      <c r="AN1425" s="1" t="str">
        <f>IFERROR(__xludf.DUMMYFUNCTION("""COMPUTED_VALUE"""),"")</f>
        <v/>
      </c>
      <c r="AO1425" s="1" t="str">
        <f>IFERROR(__xludf.DUMMYFUNCTION("""COMPUTED_VALUE"""),"")</f>
        <v/>
      </c>
      <c r="AP1425" s="1" t="str">
        <f>IFERROR(__xludf.DUMMYFUNCTION("""COMPUTED_VALUE"""),"")</f>
        <v/>
      </c>
      <c r="AQ1425" s="1" t="str">
        <f>IFERROR(__xludf.DUMMYFUNCTION("""COMPUTED_VALUE"""),"07/18/2025")</f>
        <v>07/18/2025</v>
      </c>
      <c r="AR1425" s="1" t="str">
        <f>IFERROR(__xludf.DUMMYFUNCTION("""COMPUTED_VALUE"""),"07/18/2025")</f>
        <v>07/18/2025</v>
      </c>
    </row>
    <row r="1426">
      <c r="A1426" s="1" t="str">
        <f>IFERROR(__xludf.DUMMYFUNCTION("""COMPUTED_VALUE"""),"Google Data Center: Summit View Business Park ""Project Flash""")</f>
        <v>Google Data Center: Summit View Business Park "Project Flash"</v>
      </c>
      <c r="B1426" s="1" t="str">
        <f>IFERROR(__xludf.DUMMYFUNCTION("""COMPUTED_VALUE"""),"east and west of Brick Church Rd")</f>
        <v>east and west of Brick Church Rd</v>
      </c>
      <c r="C1426" s="1" t="str">
        <f>IFERROR(__xludf.DUMMYFUNCTION("""COMPUTED_VALUE"""),"Rocky Mount")</f>
        <v>Rocky Mount</v>
      </c>
      <c r="D1426" s="1" t="str">
        <f>IFERROR(__xludf.DUMMYFUNCTION("""COMPUTED_VALUE"""),"VA")</f>
        <v>VA</v>
      </c>
      <c r="E1426" s="1" t="str">
        <f>IFERROR(__xludf.DUMMYFUNCTION("""COMPUTED_VALUE"""),"24151")</f>
        <v>24151</v>
      </c>
      <c r="F1426" s="1" t="str">
        <f>IFERROR(__xludf.DUMMYFUNCTION("""COMPUTED_VALUE"""),"Franklin")</f>
        <v>Franklin</v>
      </c>
      <c r="G1426" s="1" t="str">
        <f>IFERROR(__xludf.DUMMYFUNCTION("""COMPUTED_VALUE"""),"37.07742")</f>
        <v>37.07742</v>
      </c>
      <c r="H1426" s="1" t="str">
        <f>IFERROR(__xludf.DUMMYFUNCTION("""COMPUTED_VALUE"""),"-79.9252")</f>
        <v>-79.9252</v>
      </c>
      <c r="I1426" s="1" t="str">
        <f>IFERROR(__xludf.DUMMYFUNCTION("""COMPUTED_VALUE"""),"Proposed")</f>
        <v>Proposed</v>
      </c>
      <c r="J1426" s="1" t="str">
        <f>IFERROR(__xludf.DUMMYFUNCTION("""COMPUTED_VALUE"""),"Medium")</f>
        <v>Medium</v>
      </c>
      <c r="K1426" s="1" t="str">
        <f>IFERROR(__xludf.DUMMYFUNCTION("""COMPUTED_VALUE"""),"")</f>
        <v/>
      </c>
      <c r="L1426" s="1" t="str">
        <f>IFERROR(__xludf.DUMMYFUNCTION("""COMPUTED_VALUE"""),"Crusoe")</f>
        <v>Crusoe</v>
      </c>
      <c r="M1426" s="1" t="str">
        <f>IFERROR(__xludf.DUMMYFUNCTION("""COMPUTED_VALUE"""),"Google")</f>
        <v>Google</v>
      </c>
      <c r="N1426" s="1" t="str">
        <f>IFERROR(__xludf.DUMMYFUNCTION("""COMPUTED_VALUE"""),"100")</f>
        <v>100</v>
      </c>
      <c r="O1426" s="1" t="str">
        <f>IFERROR(__xludf.DUMMYFUNCTION("""COMPUTED_VALUE"""),"Hyperscale (100-999 MW)")</f>
        <v>Hyperscale (100-999 MW)</v>
      </c>
      <c r="P1426" s="1" t="str">
        <f>IFERROR(__xludf.DUMMYFUNCTION("""COMPUTED_VALUE"""),"")</f>
        <v/>
      </c>
      <c r="Q1426" s="1" t="str">
        <f>IFERROR(__xludf.DUMMYFUNCTION("""COMPUTED_VALUE"""),"")</f>
        <v/>
      </c>
      <c r="R1426" s="1" t="str">
        <f>IFERROR(__xludf.DUMMYFUNCTION("""COMPUTED_VALUE"""),"")</f>
        <v/>
      </c>
      <c r="S1426" s="1" t="str">
        <f>IFERROR(__xludf.DUMMYFUNCTION("""COMPUTED_VALUE"""),"")</f>
        <v/>
      </c>
      <c r="T1426" s="1" t="str">
        <f>IFERROR(__xludf.DUMMYFUNCTION("""COMPUTED_VALUE"""),"")</f>
        <v/>
      </c>
      <c r="U1426" s="1" t="str">
        <f>IFERROR(__xludf.DUMMYFUNCTION("""COMPUTED_VALUE"""),"")</f>
        <v/>
      </c>
      <c r="V1426" s="1" t="str">
        <f>IFERROR(__xludf.DUMMYFUNCTION("""COMPUTED_VALUE"""),"")</f>
        <v/>
      </c>
      <c r="W1426" s="1" t="str">
        <f>IFERROR(__xludf.DUMMYFUNCTION("""COMPUTED_VALUE"""),"150")</f>
        <v>150</v>
      </c>
      <c r="X1426" s="1" t="str">
        <f>IFERROR(__xludf.DUMMYFUNCTION("""COMPUTED_VALUE"""),"")</f>
        <v/>
      </c>
      <c r="Y1426" s="1" t="str">
        <f>IFERROR(__xludf.DUMMYFUNCTION("""COMPUTED_VALUE"""),"")</f>
        <v/>
      </c>
      <c r="Z1426" s="1" t="str">
        <f>IFERROR(__xludf.DUMMYFUNCTION("""COMPUTED_VALUE"""),"Unknown")</f>
        <v>Unknown</v>
      </c>
      <c r="AA1426" s="1" t="str">
        <f>IFERROR(__xludf.DUMMYFUNCTION("""COMPUTED_VALUE"""),"")</f>
        <v/>
      </c>
      <c r="AB1426" s="1" t="str">
        <f>IFERROR(__xludf.DUMMYFUNCTION("""COMPUTED_VALUE"""),"")</f>
        <v/>
      </c>
      <c r="AC1426" s="1" t="str">
        <f>IFERROR(__xludf.DUMMYFUNCTION("""COMPUTED_VALUE"""),"")</f>
        <v/>
      </c>
      <c r="AD1426" s="1" t="str">
        <f>IFERROR(__xludf.DUMMYFUNCTION("""COMPUTED_VALUE"""),"")</f>
        <v/>
      </c>
      <c r="AE1426" s="1" t="str">
        <f>IFERROR(__xludf.DUMMYFUNCTION("""COMPUTED_VALUE"""),"")</f>
        <v/>
      </c>
      <c r="AF1426" s="1" t="str">
        <f>IFERROR(__xludf.DUMMYFUNCTION("""COMPUTED_VALUE"""),"")</f>
        <v/>
      </c>
      <c r="AG1426" s="1" t="str">
        <f>IFERROR(__xludf.DUMMYFUNCTION("""COMPUTED_VALUE"""),"")</f>
        <v/>
      </c>
      <c r="AH1426" s="1" t="str">
        <f>IFERROR(__xludf.DUMMYFUNCTION("""COMPUTED_VALUE"""),"Media Monitoring")</f>
        <v>Media Monitoring</v>
      </c>
      <c r="AI1426" s="2" t="str">
        <f>IFERROR(__xludf.DUMMYFUNCTION("""COMPUTED_VALUE"""),"https://www.roanokerambler.com/with-1-billion-google-data-center-deal-inked-the-roanoke-valley-enters-the-game/")</f>
        <v>https://www.roanokerambler.com/with-1-billion-google-data-center-deal-inked-the-roanoke-valley-enters-the-game/</v>
      </c>
      <c r="AJ1426" s="2" t="str">
        <f>IFERROR(__xludf.DUMMYFUNCTION("""COMPUTED_VALUE"""),"https://www.yesfranklincountyva.org/228/Summit-View-Business-Park")</f>
        <v>https://www.yesfranklincountyva.org/228/Summit-View-Business-Park</v>
      </c>
      <c r="AK1426" s="2" t="str">
        <f>IFERROR(__xludf.DUMMYFUNCTION("""COMPUTED_VALUE"""),"https://www.datacenterdynamics.com/en/news/crusoe-linked-to-potential-data-center-project-in-franklin-county-virginia/")</f>
        <v>https://www.datacenterdynamics.com/en/news/crusoe-linked-to-potential-data-center-project-in-franklin-county-virginia/</v>
      </c>
      <c r="AL1426" s="1" t="str">
        <f>IFERROR(__xludf.DUMMYFUNCTION("""COMPUTED_VALUE"""),"")</f>
        <v/>
      </c>
      <c r="AM1426" s="1" t="str">
        <f>IFERROR(__xludf.DUMMYFUNCTION("""COMPUTED_VALUE"""),"")</f>
        <v/>
      </c>
      <c r="AN1426" s="1" t="str">
        <f>IFERROR(__xludf.DUMMYFUNCTION("""COMPUTED_VALUE"""),"")</f>
        <v/>
      </c>
      <c r="AO1426" s="1" t="str">
        <f>IFERROR(__xludf.DUMMYFUNCTION("""COMPUTED_VALUE"""),"")</f>
        <v/>
      </c>
      <c r="AP1426" s="1" t="str">
        <f>IFERROR(__xludf.DUMMYFUNCTION("""COMPUTED_VALUE"""),"")</f>
        <v/>
      </c>
      <c r="AQ1426" s="1" t="str">
        <f>IFERROR(__xludf.DUMMYFUNCTION("""COMPUTED_VALUE"""),"07/18/2025")</f>
        <v>07/18/2025</v>
      </c>
      <c r="AR1426" s="1" t="str">
        <f>IFERROR(__xludf.DUMMYFUNCTION("""COMPUTED_VALUE"""),"07/16/2026")</f>
        <v>07/16/2026</v>
      </c>
    </row>
    <row r="1427">
      <c r="A1427" s="1" t="str">
        <f>IFERROR(__xludf.DUMMYFUNCTION("""COMPUTED_VALUE"""),"Green Energy Center")</f>
        <v>Green Energy Center</v>
      </c>
      <c r="B1427" s="1" t="str">
        <f>IFERROR(__xludf.DUMMYFUNCTION("""COMPUTED_VALUE"""),"HOG ISLAND ROAD")</f>
        <v>HOG ISLAND ROAD</v>
      </c>
      <c r="C1427" s="1" t="str">
        <f>IFERROR(__xludf.DUMMYFUNCTION("""COMPUTED_VALUE"""),"Rushmere")</f>
        <v>Rushmere</v>
      </c>
      <c r="D1427" s="1" t="str">
        <f>IFERROR(__xludf.DUMMYFUNCTION("""COMPUTED_VALUE"""),"VA")</f>
        <v>VA</v>
      </c>
      <c r="E1427" s="1" t="str">
        <f>IFERROR(__xludf.DUMMYFUNCTION("""COMPUTED_VALUE"""),"23883")</f>
        <v>23883</v>
      </c>
      <c r="F1427" s="1" t="str">
        <f>IFERROR(__xludf.DUMMYFUNCTION("""COMPUTED_VALUE"""),"Surry")</f>
        <v>Surry</v>
      </c>
      <c r="G1427" s="1" t="str">
        <f>IFERROR(__xludf.DUMMYFUNCTION("""COMPUTED_VALUE"""),"37.152023")</f>
        <v>37.152023</v>
      </c>
      <c r="H1427" s="1" t="str">
        <f>IFERROR(__xludf.DUMMYFUNCTION("""COMPUTED_VALUE"""),"-76.685074")</f>
        <v>-76.685074</v>
      </c>
      <c r="I1427" s="1" t="str">
        <f>IFERROR(__xludf.DUMMYFUNCTION("""COMPUTED_VALUE"""),"Proposed")</f>
        <v>Proposed</v>
      </c>
      <c r="J1427" s="1" t="str">
        <f>IFERROR(__xludf.DUMMYFUNCTION("""COMPUTED_VALUE"""),"Medium")</f>
        <v>Medium</v>
      </c>
      <c r="K1427" s="1" t="str">
        <f>IFERROR(__xludf.DUMMYFUNCTION("""COMPUTED_VALUE"""),"")</f>
        <v/>
      </c>
      <c r="L1427" s="1" t="str">
        <f>IFERROR(__xludf.DUMMYFUNCTION("""COMPUTED_VALUE"""),"Green Energy Partners")</f>
        <v>Green Energy Partners</v>
      </c>
      <c r="M1427" s="1" t="str">
        <f>IFERROR(__xludf.DUMMYFUNCTION("""COMPUTED_VALUE"""),"")</f>
        <v/>
      </c>
      <c r="N1427" s="1" t="str">
        <f>IFERROR(__xludf.DUMMYFUNCTION("""COMPUTED_VALUE"""),"")</f>
        <v/>
      </c>
      <c r="O1427" s="1" t="str">
        <f>IFERROR(__xludf.DUMMYFUNCTION("""COMPUTED_VALUE"""),"Unknown")</f>
        <v>Unknown</v>
      </c>
      <c r="P1427" s="1" t="str">
        <f>IFERROR(__xludf.DUMMYFUNCTION("""COMPUTED_VALUE"""),"")</f>
        <v/>
      </c>
      <c r="Q1427" s="1" t="str">
        <f>IFERROR(__xludf.DUMMYFUNCTION("""COMPUTED_VALUE"""),"")</f>
        <v/>
      </c>
      <c r="R1427" s="1" t="str">
        <f>IFERROR(__xludf.DUMMYFUNCTION("""COMPUTED_VALUE"""),"")</f>
        <v/>
      </c>
      <c r="S1427" s="1" t="str">
        <f>IFERROR(__xludf.DUMMYFUNCTION("""COMPUTED_VALUE"""),"")</f>
        <v/>
      </c>
      <c r="T1427" s="1" t="str">
        <f>IFERROR(__xludf.DUMMYFUNCTION("""COMPUTED_VALUE"""),"")</f>
        <v/>
      </c>
      <c r="U1427" s="1" t="str">
        <f>IFERROR(__xludf.DUMMYFUNCTION("""COMPUTED_VALUE"""),"")</f>
        <v/>
      </c>
      <c r="V1427" s="1" t="str">
        <f>IFERROR(__xludf.DUMMYFUNCTION("""COMPUTED_VALUE"""),"")</f>
        <v/>
      </c>
      <c r="W1427" s="1" t="str">
        <f>IFERROR(__xludf.DUMMYFUNCTION("""COMPUTED_VALUE"""),"641")</f>
        <v>641</v>
      </c>
      <c r="X1427" s="1" t="str">
        <f>IFERROR(__xludf.DUMMYFUNCTION("""COMPUTED_VALUE"""),"")</f>
        <v/>
      </c>
      <c r="Y1427" s="1" t="str">
        <f>IFERROR(__xludf.DUMMYFUNCTION("""COMPUTED_VALUE"""),"")</f>
        <v/>
      </c>
      <c r="Z1427" s="1" t="str">
        <f>IFERROR(__xludf.DUMMYFUNCTION("""COMPUTED_VALUE"""),"Unknown")</f>
        <v>Unknown</v>
      </c>
      <c r="AA1427" s="1" t="str">
        <f>IFERROR(__xludf.DUMMYFUNCTION("""COMPUTED_VALUE"""),"")</f>
        <v/>
      </c>
      <c r="AB1427" s="1" t="str">
        <f>IFERROR(__xludf.DUMMYFUNCTION("""COMPUTED_VALUE"""),"")</f>
        <v/>
      </c>
      <c r="AC1427" s="1" t="str">
        <f>IFERROR(__xludf.DUMMYFUNCTION("""COMPUTED_VALUE"""),"")</f>
        <v/>
      </c>
      <c r="AD1427" s="1" t="str">
        <f>IFERROR(__xludf.DUMMYFUNCTION("""COMPUTED_VALUE"""),"")</f>
        <v/>
      </c>
      <c r="AE1427" s="1" t="str">
        <f>IFERROR(__xludf.DUMMYFUNCTION("""COMPUTED_VALUE"""),"")</f>
        <v/>
      </c>
      <c r="AF1427" s="1" t="str">
        <f>IFERROR(__xludf.DUMMYFUNCTION("""COMPUTED_VALUE"""),"")</f>
        <v/>
      </c>
      <c r="AG1427" s="1" t="str">
        <f>IFERROR(__xludf.DUMMYFUNCTION("""COMPUTED_VALUE"""),"This project covers multiple parcels. The total acreage has been represented here.")</f>
        <v>This project covers multiple parcels. The total acreage has been represented here.</v>
      </c>
      <c r="AH1427" s="1" t="str">
        <f>IFERROR(__xludf.DUMMYFUNCTION("""COMPUTED_VALUE"""),"PEC")</f>
        <v>PEC</v>
      </c>
      <c r="AI1427" s="2" t="str">
        <f>IFERROR(__xludf.DUMMYFUNCTION("""COMPUTED_VALUE"""),"https://www.datacenterfrontier.com/energy/article/33010239/onsite-energy-plans-for-new-data-center-projects-reflect-industrys-decarbonization-investment")</f>
        <v>https://www.datacenterfrontier.com/energy/article/33010239/onsite-energy-plans-for-new-data-center-projects-reflect-industrys-decarbonization-investment</v>
      </c>
      <c r="AJ1427" s="1" t="str">
        <f>IFERROR(__xludf.DUMMYFUNCTION("""COMPUTED_VALUE"""),"")</f>
        <v/>
      </c>
      <c r="AK1427" s="1" t="str">
        <f>IFERROR(__xludf.DUMMYFUNCTION("""COMPUTED_VALUE"""),"")</f>
        <v/>
      </c>
      <c r="AL1427" s="1" t="str">
        <f>IFERROR(__xludf.DUMMYFUNCTION("""COMPUTED_VALUE"""),"")</f>
        <v/>
      </c>
      <c r="AM1427" s="1" t="str">
        <f>IFERROR(__xludf.DUMMYFUNCTION("""COMPUTED_VALUE"""),"")</f>
        <v/>
      </c>
      <c r="AN1427" s="1" t="str">
        <f>IFERROR(__xludf.DUMMYFUNCTION("""COMPUTED_VALUE"""),"")</f>
        <v/>
      </c>
      <c r="AO1427" s="1" t="str">
        <f>IFERROR(__xludf.DUMMYFUNCTION("""COMPUTED_VALUE"""),"")</f>
        <v/>
      </c>
      <c r="AP1427" s="1" t="str">
        <f>IFERROR(__xludf.DUMMYFUNCTION("""COMPUTED_VALUE"""),"")</f>
        <v/>
      </c>
      <c r="AQ1427" s="1" t="str">
        <f>IFERROR(__xludf.DUMMYFUNCTION("""COMPUTED_VALUE"""),"04/10/2024")</f>
        <v>04/10/2024</v>
      </c>
      <c r="AR1427" s="1" t="str">
        <f>IFERROR(__xludf.DUMMYFUNCTION("""COMPUTED_VALUE"""),"10/17/2025")</f>
        <v>10/17/2025</v>
      </c>
    </row>
    <row r="1428">
      <c r="A1428" s="1" t="str">
        <f>IFERROR(__xludf.DUMMYFUNCTION("""COMPUTED_VALUE"""),"ADP Ladysmith Data Hub")</f>
        <v>ADP Ladysmith Data Hub</v>
      </c>
      <c r="B1428" s="1" t="str">
        <f>IFERROR(__xludf.DUMMYFUNCTION("""COMPUTED_VALUE"""),"18577 GREEN RD")</f>
        <v>18577 GREEN RD</v>
      </c>
      <c r="C1428" s="1" t="str">
        <f>IFERROR(__xludf.DUMMYFUNCTION("""COMPUTED_VALUE"""),"Ruther Glen")</f>
        <v>Ruther Glen</v>
      </c>
      <c r="D1428" s="1" t="str">
        <f>IFERROR(__xludf.DUMMYFUNCTION("""COMPUTED_VALUE"""),"VA")</f>
        <v>VA</v>
      </c>
      <c r="E1428" s="1" t="str">
        <f>IFERROR(__xludf.DUMMYFUNCTION("""COMPUTED_VALUE"""),"22546")</f>
        <v>22546</v>
      </c>
      <c r="F1428" s="1" t="str">
        <f>IFERROR(__xludf.DUMMYFUNCTION("""COMPUTED_VALUE"""),"Caroline")</f>
        <v>Caroline</v>
      </c>
      <c r="G1428" s="1" t="str">
        <f>IFERROR(__xludf.DUMMYFUNCTION("""COMPUTED_VALUE"""),"38.00433")</f>
        <v>38.00433</v>
      </c>
      <c r="H1428" s="1" t="str">
        <f>IFERROR(__xludf.DUMMYFUNCTION("""COMPUTED_VALUE"""),"-77.50445")</f>
        <v>-77.50445</v>
      </c>
      <c r="I1428" s="1" t="str">
        <f>IFERROR(__xludf.DUMMYFUNCTION("""COMPUTED_VALUE"""),"Proposed")</f>
        <v>Proposed</v>
      </c>
      <c r="J1428" s="1" t="str">
        <f>IFERROR(__xludf.DUMMYFUNCTION("""COMPUTED_VALUE"""),"High")</f>
        <v>High</v>
      </c>
      <c r="K1428" s="1" t="str">
        <f>IFERROR(__xludf.DUMMYFUNCTION("""COMPUTED_VALUE"""),"")</f>
        <v/>
      </c>
      <c r="L1428" s="1" t="str">
        <f>IFERROR(__xludf.DUMMYFUNCTION("""COMPUTED_VALUE"""),"")</f>
        <v/>
      </c>
      <c r="M1428" s="1" t="str">
        <f>IFERROR(__xludf.DUMMYFUNCTION("""COMPUTED_VALUE"""),"")</f>
        <v/>
      </c>
      <c r="N1428" s="1" t="str">
        <f>IFERROR(__xludf.DUMMYFUNCTION("""COMPUTED_VALUE"""),"")</f>
        <v/>
      </c>
      <c r="O1428" s="1" t="str">
        <f>IFERROR(__xludf.DUMMYFUNCTION("""COMPUTED_VALUE"""),"Unknown")</f>
        <v>Unknown</v>
      </c>
      <c r="P1428" s="1" t="str">
        <f>IFERROR(__xludf.DUMMYFUNCTION("""COMPUTED_VALUE"""),"")</f>
        <v/>
      </c>
      <c r="Q1428" s="1" t="str">
        <f>IFERROR(__xludf.DUMMYFUNCTION("""COMPUTED_VALUE"""),"")</f>
        <v/>
      </c>
      <c r="R1428" s="1" t="str">
        <f>IFERROR(__xludf.DUMMYFUNCTION("""COMPUTED_VALUE"""),"")</f>
        <v/>
      </c>
      <c r="S1428" s="1" t="str">
        <f>IFERROR(__xludf.DUMMYFUNCTION("""COMPUTED_VALUE"""),"")</f>
        <v/>
      </c>
      <c r="T1428" s="1" t="str">
        <f>IFERROR(__xludf.DUMMYFUNCTION("""COMPUTED_VALUE"""),"")</f>
        <v/>
      </c>
      <c r="U1428" s="1" t="str">
        <f>IFERROR(__xludf.DUMMYFUNCTION("""COMPUTED_VALUE"""),"")</f>
        <v/>
      </c>
      <c r="V1428" s="1" t="str">
        <f>IFERROR(__xludf.DUMMYFUNCTION("""COMPUTED_VALUE"""),"1,600,000")</f>
        <v>1,600,000</v>
      </c>
      <c r="W1428" s="1" t="str">
        <f>IFERROR(__xludf.DUMMYFUNCTION("""COMPUTED_VALUE"""),"140")</f>
        <v>140</v>
      </c>
      <c r="X1428" s="1" t="str">
        <f>IFERROR(__xludf.DUMMYFUNCTION("""COMPUTED_VALUE"""),"")</f>
        <v/>
      </c>
      <c r="Y1428" s="1" t="str">
        <f>IFERROR(__xludf.DUMMYFUNCTION("""COMPUTED_VALUE"""),"")</f>
        <v/>
      </c>
      <c r="Z1428" s="1" t="str">
        <f>IFERROR(__xludf.DUMMYFUNCTION("""COMPUTED_VALUE"""),"Unknown")</f>
        <v>Unknown</v>
      </c>
      <c r="AA1428" s="1" t="str">
        <f>IFERROR(__xludf.DUMMYFUNCTION("""COMPUTED_VALUE"""),"")</f>
        <v/>
      </c>
      <c r="AB1428" s="1" t="str">
        <f>IFERROR(__xludf.DUMMYFUNCTION("""COMPUTED_VALUE"""),"")</f>
        <v/>
      </c>
      <c r="AC1428" s="1" t="str">
        <f>IFERROR(__xludf.DUMMYFUNCTION("""COMPUTED_VALUE"""),"")</f>
        <v/>
      </c>
      <c r="AD1428" s="1" t="str">
        <f>IFERROR(__xludf.DUMMYFUNCTION("""COMPUTED_VALUE"""),"")</f>
        <v/>
      </c>
      <c r="AE1428" s="1" t="str">
        <f>IFERROR(__xludf.DUMMYFUNCTION("""COMPUTED_VALUE"""),"")</f>
        <v/>
      </c>
      <c r="AF1428" s="1" t="str">
        <f>IFERROR(__xludf.DUMMYFUNCTION("""COMPUTED_VALUE"""),"")</f>
        <v/>
      </c>
      <c r="AG1428" s="1" t="str">
        <f>IFERROR(__xludf.DUMMYFUNCTION("""COMPUTED_VALUE"""),"")</f>
        <v/>
      </c>
      <c r="AH1428" s="1" t="str">
        <f>IFERROR(__xludf.DUMMYFUNCTION("""COMPUTED_VALUE"""),"PEC")</f>
        <v>PEC</v>
      </c>
      <c r="AI1428" s="2" t="str">
        <f>IFERROR(__xludf.DUMMYFUNCTION("""COMPUTED_VALUE"""),"https://co.caroline.va.us/DocumentCenter/View/10347/RZ-02-2025-SPEX-06-2025-Ladysmith-Data-Hub?bidId=")</f>
        <v>https://co.caroline.va.us/DocumentCenter/View/10347/RZ-02-2025-SPEX-06-2025-Ladysmith-Data-Hub?bidId=</v>
      </c>
      <c r="AJ1428" s="1" t="str">
        <f>IFERROR(__xludf.DUMMYFUNCTION("""COMPUTED_VALUE"""),"")</f>
        <v/>
      </c>
      <c r="AK1428" s="1" t="str">
        <f>IFERROR(__xludf.DUMMYFUNCTION("""COMPUTED_VALUE"""),"")</f>
        <v/>
      </c>
      <c r="AL1428" s="1" t="str">
        <f>IFERROR(__xludf.DUMMYFUNCTION("""COMPUTED_VALUE"""),"")</f>
        <v/>
      </c>
      <c r="AM1428" s="1" t="str">
        <f>IFERROR(__xludf.DUMMYFUNCTION("""COMPUTED_VALUE"""),"")</f>
        <v/>
      </c>
      <c r="AN1428" s="1" t="str">
        <f>IFERROR(__xludf.DUMMYFUNCTION("""COMPUTED_VALUE"""),"")</f>
        <v/>
      </c>
      <c r="AO1428" s="1" t="str">
        <f>IFERROR(__xludf.DUMMYFUNCTION("""COMPUTED_VALUE"""),"")</f>
        <v/>
      </c>
      <c r="AP1428" s="1" t="str">
        <f>IFERROR(__xludf.DUMMYFUNCTION("""COMPUTED_VALUE"""),"")</f>
        <v/>
      </c>
      <c r="AQ1428" s="1" t="str">
        <f>IFERROR(__xludf.DUMMYFUNCTION("""COMPUTED_VALUE"""),"07/16/2025")</f>
        <v>07/16/2025</v>
      </c>
      <c r="AR1428" s="1" t="str">
        <f>IFERROR(__xludf.DUMMYFUNCTION("""COMPUTED_VALUE"""),"10/17/2025")</f>
        <v>10/17/2025</v>
      </c>
    </row>
    <row r="1429">
      <c r="A1429" s="1" t="str">
        <f>IFERROR(__xludf.DUMMYFUNCTION("""COMPUTED_VALUE"""),"Airlee Industrial and Data Center Site")</f>
        <v>Airlee Industrial and Data Center Site</v>
      </c>
      <c r="B1429" s="1" t="str">
        <f>IFERROR(__xludf.DUMMYFUNCTION("""COMPUTED_VALUE"""),"Intersection of Rt. 1 and CCC Road")</f>
        <v>Intersection of Rt. 1 and CCC Road</v>
      </c>
      <c r="C1429" s="1" t="str">
        <f>IFERROR(__xludf.DUMMYFUNCTION("""COMPUTED_VALUE"""),"Ruther Glen")</f>
        <v>Ruther Glen</v>
      </c>
      <c r="D1429" s="1" t="str">
        <f>IFERROR(__xludf.DUMMYFUNCTION("""COMPUTED_VALUE"""),"VA")</f>
        <v>VA</v>
      </c>
      <c r="E1429" s="1" t="str">
        <f>IFERROR(__xludf.DUMMYFUNCTION("""COMPUTED_VALUE"""),"22546")</f>
        <v>22546</v>
      </c>
      <c r="F1429" s="1" t="str">
        <f>IFERROR(__xludf.DUMMYFUNCTION("""COMPUTED_VALUE"""),"Caroline")</f>
        <v>Caroline</v>
      </c>
      <c r="G1429" s="1" t="str">
        <f>IFERROR(__xludf.DUMMYFUNCTION("""COMPUTED_VALUE"""),"37.997375")</f>
        <v>37.997375</v>
      </c>
      <c r="H1429" s="1" t="str">
        <f>IFERROR(__xludf.DUMMYFUNCTION("""COMPUTED_VALUE"""),"-77.50243")</f>
        <v>-77.50243</v>
      </c>
      <c r="I1429" s="1" t="str">
        <f>IFERROR(__xludf.DUMMYFUNCTION("""COMPUTED_VALUE"""),"Proposed")</f>
        <v>Proposed</v>
      </c>
      <c r="J1429" s="1" t="str">
        <f>IFERROR(__xludf.DUMMYFUNCTION("""COMPUTED_VALUE"""),"High")</f>
        <v>High</v>
      </c>
      <c r="K1429" s="1" t="str">
        <f>IFERROR(__xludf.DUMMYFUNCTION("""COMPUTED_VALUE"""),"")</f>
        <v/>
      </c>
      <c r="L1429" s="1" t="str">
        <f>IFERROR(__xludf.DUMMYFUNCTION("""COMPUTED_VALUE"""),"")</f>
        <v/>
      </c>
      <c r="M1429" s="1" t="str">
        <f>IFERROR(__xludf.DUMMYFUNCTION("""COMPUTED_VALUE"""),"")</f>
        <v/>
      </c>
      <c r="N1429" s="1" t="str">
        <f>IFERROR(__xludf.DUMMYFUNCTION("""COMPUTED_VALUE"""),"")</f>
        <v/>
      </c>
      <c r="O1429" s="1" t="str">
        <f>IFERROR(__xludf.DUMMYFUNCTION("""COMPUTED_VALUE"""),"Unknown")</f>
        <v>Unknown</v>
      </c>
      <c r="P1429" s="1" t="str">
        <f>IFERROR(__xludf.DUMMYFUNCTION("""COMPUTED_VALUE"""),"")</f>
        <v/>
      </c>
      <c r="Q1429" s="1" t="str">
        <f>IFERROR(__xludf.DUMMYFUNCTION("""COMPUTED_VALUE"""),"")</f>
        <v/>
      </c>
      <c r="R1429" s="1" t="str">
        <f>IFERROR(__xludf.DUMMYFUNCTION("""COMPUTED_VALUE"""),"")</f>
        <v/>
      </c>
      <c r="S1429" s="1" t="str">
        <f>IFERROR(__xludf.DUMMYFUNCTION("""COMPUTED_VALUE"""),"")</f>
        <v/>
      </c>
      <c r="T1429" s="1" t="str">
        <f>IFERROR(__xludf.DUMMYFUNCTION("""COMPUTED_VALUE"""),"")</f>
        <v/>
      </c>
      <c r="U1429" s="1" t="str">
        <f>IFERROR(__xludf.DUMMYFUNCTION("""COMPUTED_VALUE"""),"")</f>
        <v/>
      </c>
      <c r="V1429" s="1" t="str">
        <f>IFERROR(__xludf.DUMMYFUNCTION("""COMPUTED_VALUE"""),"1,500,000")</f>
        <v>1,500,000</v>
      </c>
      <c r="W1429" s="1" t="str">
        <f>IFERROR(__xludf.DUMMYFUNCTION("""COMPUTED_VALUE"""),"184")</f>
        <v>184</v>
      </c>
      <c r="X1429" s="1" t="str">
        <f>IFERROR(__xludf.DUMMYFUNCTION("""COMPUTED_VALUE"""),"")</f>
        <v/>
      </c>
      <c r="Y1429" s="1" t="str">
        <f>IFERROR(__xludf.DUMMYFUNCTION("""COMPUTED_VALUE"""),"")</f>
        <v/>
      </c>
      <c r="Z1429" s="1" t="str">
        <f>IFERROR(__xludf.DUMMYFUNCTION("""COMPUTED_VALUE"""),"Unknown")</f>
        <v>Unknown</v>
      </c>
      <c r="AA1429" s="1" t="str">
        <f>IFERROR(__xludf.DUMMYFUNCTION("""COMPUTED_VALUE"""),"")</f>
        <v/>
      </c>
      <c r="AB1429" s="1" t="str">
        <f>IFERROR(__xludf.DUMMYFUNCTION("""COMPUTED_VALUE"""),"")</f>
        <v/>
      </c>
      <c r="AC1429" s="1" t="str">
        <f>IFERROR(__xludf.DUMMYFUNCTION("""COMPUTED_VALUE"""),"")</f>
        <v/>
      </c>
      <c r="AD1429" s="1" t="str">
        <f>IFERROR(__xludf.DUMMYFUNCTION("""COMPUTED_VALUE"""),"")</f>
        <v/>
      </c>
      <c r="AE1429" s="1" t="str">
        <f>IFERROR(__xludf.DUMMYFUNCTION("""COMPUTED_VALUE"""),"")</f>
        <v/>
      </c>
      <c r="AF1429" s="1" t="str">
        <f>IFERROR(__xludf.DUMMYFUNCTION("""COMPUTED_VALUE"""),"")</f>
        <v/>
      </c>
      <c r="AG1429" s="1" t="str">
        <f>IFERROR(__xludf.DUMMYFUNCTION("""COMPUTED_VALUE"""),"Project covers more than one parcel, the acreage represents the combined acreage")</f>
        <v>Project covers more than one parcel, the acreage represents the combined acreage</v>
      </c>
      <c r="AH1429" s="1" t="str">
        <f>IFERROR(__xludf.DUMMYFUNCTION("""COMPUTED_VALUE"""),"PEC")</f>
        <v>PEC</v>
      </c>
      <c r="AI1429" s="2" t="str">
        <f>IFERROR(__xludf.DUMMYFUNCTION("""COMPUTED_VALUE"""),"https://sites.vedp.org/virginia/propertyid/286091")</f>
        <v>https://sites.vedp.org/virginia/propertyid/286091</v>
      </c>
      <c r="AJ1429" s="1" t="str">
        <f>IFERROR(__xludf.DUMMYFUNCTION("""COMPUTED_VALUE"""),"")</f>
        <v/>
      </c>
      <c r="AK1429" s="1" t="str">
        <f>IFERROR(__xludf.DUMMYFUNCTION("""COMPUTED_VALUE"""),"")</f>
        <v/>
      </c>
      <c r="AL1429" s="1" t="str">
        <f>IFERROR(__xludf.DUMMYFUNCTION("""COMPUTED_VALUE"""),"")</f>
        <v/>
      </c>
      <c r="AM1429" s="1" t="str">
        <f>IFERROR(__xludf.DUMMYFUNCTION("""COMPUTED_VALUE"""),"")</f>
        <v/>
      </c>
      <c r="AN1429" s="1" t="str">
        <f>IFERROR(__xludf.DUMMYFUNCTION("""COMPUTED_VALUE"""),"")</f>
        <v/>
      </c>
      <c r="AO1429" s="1" t="str">
        <f>IFERROR(__xludf.DUMMYFUNCTION("""COMPUTED_VALUE"""),"")</f>
        <v/>
      </c>
      <c r="AP1429" s="1" t="str">
        <f>IFERROR(__xludf.DUMMYFUNCTION("""COMPUTED_VALUE"""),"")</f>
        <v/>
      </c>
      <c r="AQ1429" s="1" t="str">
        <f>IFERROR(__xludf.DUMMYFUNCTION("""COMPUTED_VALUE"""),"07/16/2025")</f>
        <v>07/16/2025</v>
      </c>
      <c r="AR1429" s="1" t="str">
        <f>IFERROR(__xludf.DUMMYFUNCTION("""COMPUTED_VALUE"""),"10/17/2025")</f>
        <v>10/17/2025</v>
      </c>
    </row>
    <row r="1430">
      <c r="A1430" s="1" t="str">
        <f>IFERROR(__xludf.DUMMYFUNCTION("""COMPUTED_VALUE"""),"Carmel Church Data Hub")</f>
        <v>Carmel Church Data Hub</v>
      </c>
      <c r="B1430" s="1" t="str">
        <f>IFERROR(__xludf.DUMMYFUNCTION("""COMPUTED_VALUE"""),"Welcom Way Dr")</f>
        <v>Welcom Way Dr</v>
      </c>
      <c r="C1430" s="1" t="str">
        <f>IFERROR(__xludf.DUMMYFUNCTION("""COMPUTED_VALUE"""),"Ruther Glen")</f>
        <v>Ruther Glen</v>
      </c>
      <c r="D1430" s="1" t="str">
        <f>IFERROR(__xludf.DUMMYFUNCTION("""COMPUTED_VALUE"""),"VA")</f>
        <v>VA</v>
      </c>
      <c r="E1430" s="1" t="str">
        <f>IFERROR(__xludf.DUMMYFUNCTION("""COMPUTED_VALUE"""),"22546")</f>
        <v>22546</v>
      </c>
      <c r="F1430" s="1" t="str">
        <f>IFERROR(__xludf.DUMMYFUNCTION("""COMPUTED_VALUE"""),"Caroline")</f>
        <v>Caroline</v>
      </c>
      <c r="G1430" s="1" t="str">
        <f>IFERROR(__xludf.DUMMYFUNCTION("""COMPUTED_VALUE"""),"37.939327")</f>
        <v>37.939327</v>
      </c>
      <c r="H1430" s="1" t="str">
        <f>IFERROR(__xludf.DUMMYFUNCTION("""COMPUTED_VALUE"""),"-77.477974")</f>
        <v>-77.477974</v>
      </c>
      <c r="I1430" s="1" t="str">
        <f>IFERROR(__xludf.DUMMYFUNCTION("""COMPUTED_VALUE"""),"Proposed")</f>
        <v>Proposed</v>
      </c>
      <c r="J1430" s="1" t="str">
        <f>IFERROR(__xludf.DUMMYFUNCTION("""COMPUTED_VALUE"""),"Medium")</f>
        <v>Medium</v>
      </c>
      <c r="K1430" s="1" t="str">
        <f>IFERROR(__xludf.DUMMYFUNCTION("""COMPUTED_VALUE"""),"")</f>
        <v/>
      </c>
      <c r="L1430" s="1" t="str">
        <f>IFERROR(__xludf.DUMMYFUNCTION("""COMPUTED_VALUE"""),"W &amp; F PARTNERS")</f>
        <v>W &amp; F PARTNERS</v>
      </c>
      <c r="M1430" s="1" t="str">
        <f>IFERROR(__xludf.DUMMYFUNCTION("""COMPUTED_VALUE"""),"")</f>
        <v/>
      </c>
      <c r="N1430" s="1" t="str">
        <f>IFERROR(__xludf.DUMMYFUNCTION("""COMPUTED_VALUE"""),"")</f>
        <v/>
      </c>
      <c r="O1430" s="1" t="str">
        <f>IFERROR(__xludf.DUMMYFUNCTION("""COMPUTED_VALUE"""),"Unknown")</f>
        <v>Unknown</v>
      </c>
      <c r="P1430" s="1" t="str">
        <f>IFERROR(__xludf.DUMMYFUNCTION("""COMPUTED_VALUE"""),"")</f>
        <v/>
      </c>
      <c r="Q1430" s="1" t="str">
        <f>IFERROR(__xludf.DUMMYFUNCTION("""COMPUTED_VALUE"""),"")</f>
        <v/>
      </c>
      <c r="R1430" s="1" t="str">
        <f>IFERROR(__xludf.DUMMYFUNCTION("""COMPUTED_VALUE"""),"")</f>
        <v/>
      </c>
      <c r="S1430" s="1" t="str">
        <f>IFERROR(__xludf.DUMMYFUNCTION("""COMPUTED_VALUE"""),"")</f>
        <v/>
      </c>
      <c r="T1430" s="1" t="str">
        <f>IFERROR(__xludf.DUMMYFUNCTION("""COMPUTED_VALUE"""),"")</f>
        <v/>
      </c>
      <c r="U1430" s="1" t="str">
        <f>IFERROR(__xludf.DUMMYFUNCTION("""COMPUTED_VALUE"""),"")</f>
        <v/>
      </c>
      <c r="V1430" s="1" t="str">
        <f>IFERROR(__xludf.DUMMYFUNCTION("""COMPUTED_VALUE"""),"1,600,000")</f>
        <v>1,600,000</v>
      </c>
      <c r="W1430" s="1" t="str">
        <f>IFERROR(__xludf.DUMMYFUNCTION("""COMPUTED_VALUE"""),"97")</f>
        <v>97</v>
      </c>
      <c r="X1430" s="1" t="str">
        <f>IFERROR(__xludf.DUMMYFUNCTION("""COMPUTED_VALUE"""),"")</f>
        <v/>
      </c>
      <c r="Y1430" s="1" t="str">
        <f>IFERROR(__xludf.DUMMYFUNCTION("""COMPUTED_VALUE"""),"")</f>
        <v/>
      </c>
      <c r="Z1430" s="1" t="str">
        <f>IFERROR(__xludf.DUMMYFUNCTION("""COMPUTED_VALUE"""),"Unknown")</f>
        <v>Unknown</v>
      </c>
      <c r="AA1430" s="1" t="str">
        <f>IFERROR(__xludf.DUMMYFUNCTION("""COMPUTED_VALUE"""),"")</f>
        <v/>
      </c>
      <c r="AB1430" s="1" t="str">
        <f>IFERROR(__xludf.DUMMYFUNCTION("""COMPUTED_VALUE"""),"")</f>
        <v/>
      </c>
      <c r="AC1430" s="1" t="str">
        <f>IFERROR(__xludf.DUMMYFUNCTION("""COMPUTED_VALUE"""),"")</f>
        <v/>
      </c>
      <c r="AD1430" s="1" t="str">
        <f>IFERROR(__xludf.DUMMYFUNCTION("""COMPUTED_VALUE"""),"")</f>
        <v/>
      </c>
      <c r="AE1430" s="1" t="str">
        <f>IFERROR(__xludf.DUMMYFUNCTION("""COMPUTED_VALUE"""),"")</f>
        <v/>
      </c>
      <c r="AF1430" s="1" t="str">
        <f>IFERROR(__xludf.DUMMYFUNCTION("""COMPUTED_VALUE"""),"")</f>
        <v/>
      </c>
      <c r="AG1430" s="1" t="str">
        <f>IFERROR(__xludf.DUMMYFUNCTION("""COMPUTED_VALUE"""),"Project covers more than one parcel, the acreage represents the combined acreage")</f>
        <v>Project covers more than one parcel, the acreage represents the combined acreage</v>
      </c>
      <c r="AH1430" s="1" t="str">
        <f>IFERROR(__xludf.DUMMYFUNCTION("""COMPUTED_VALUE"""),"PEC")</f>
        <v>PEC</v>
      </c>
      <c r="AI1430" s="2" t="str">
        <f>IFERROR(__xludf.DUMMYFUNCTION("""COMPUTED_VALUE"""),"https://co.caroline.va.us/DocumentCenter/View/9366/RZ-03-2023--Carmel-Church-Data-Hub")</f>
        <v>https://co.caroline.va.us/DocumentCenter/View/9366/RZ-03-2023--Carmel-Church-Data-Hub</v>
      </c>
      <c r="AJ1430" s="1" t="str">
        <f>IFERROR(__xludf.DUMMYFUNCTION("""COMPUTED_VALUE"""),"")</f>
        <v/>
      </c>
      <c r="AK1430" s="1" t="str">
        <f>IFERROR(__xludf.DUMMYFUNCTION("""COMPUTED_VALUE"""),"")</f>
        <v/>
      </c>
      <c r="AL1430" s="1" t="str">
        <f>IFERROR(__xludf.DUMMYFUNCTION("""COMPUTED_VALUE"""),"")</f>
        <v/>
      </c>
      <c r="AM1430" s="1" t="str">
        <f>IFERROR(__xludf.DUMMYFUNCTION("""COMPUTED_VALUE"""),"")</f>
        <v/>
      </c>
      <c r="AN1430" s="1" t="str">
        <f>IFERROR(__xludf.DUMMYFUNCTION("""COMPUTED_VALUE"""),"")</f>
        <v/>
      </c>
      <c r="AO1430" s="1" t="str">
        <f>IFERROR(__xludf.DUMMYFUNCTION("""COMPUTED_VALUE"""),"")</f>
        <v/>
      </c>
      <c r="AP1430" s="1" t="str">
        <f>IFERROR(__xludf.DUMMYFUNCTION("""COMPUTED_VALUE"""),"")</f>
        <v/>
      </c>
      <c r="AQ1430" s="1" t="str">
        <f>IFERROR(__xludf.DUMMYFUNCTION("""COMPUTED_VALUE"""),"04/10/2024")</f>
        <v>04/10/2024</v>
      </c>
      <c r="AR1430" s="1" t="str">
        <f>IFERROR(__xludf.DUMMYFUNCTION("""COMPUTED_VALUE"""),"10/17/2025")</f>
        <v>10/17/2025</v>
      </c>
    </row>
    <row r="1431">
      <c r="A1431" s="1" t="str">
        <f>IFERROR(__xludf.DUMMYFUNCTION("""COMPUTED_VALUE"""),"Carmel Technology &amp; Enterprise Center")</f>
        <v>Carmel Technology &amp; Enterprise Center</v>
      </c>
      <c r="B1431" s="1" t="str">
        <f>IFERROR(__xludf.DUMMYFUNCTION("""COMPUTED_VALUE"""),"Jericho Road, west of the intersection
 of Jericho Road, Rogers Clark Blvd. &amp; U.S. Route 1")</f>
        <v>Jericho Road, west of the intersection
 of Jericho Road, Rogers Clark Blvd. &amp; U.S. Route 1</v>
      </c>
      <c r="C1431" s="1" t="str">
        <f>IFERROR(__xludf.DUMMYFUNCTION("""COMPUTED_VALUE"""),"Ruther Glen")</f>
        <v>Ruther Glen</v>
      </c>
      <c r="D1431" s="1" t="str">
        <f>IFERROR(__xludf.DUMMYFUNCTION("""COMPUTED_VALUE"""),"VA")</f>
        <v>VA</v>
      </c>
      <c r="E1431" s="1" t="str">
        <f>IFERROR(__xludf.DUMMYFUNCTION("""COMPUTED_VALUE"""),"22546")</f>
        <v>22546</v>
      </c>
      <c r="F1431" s="1" t="str">
        <f>IFERROR(__xludf.DUMMYFUNCTION("""COMPUTED_VALUE"""),"Caroline")</f>
        <v>Caroline</v>
      </c>
      <c r="G1431" s="1" t="str">
        <f>IFERROR(__xludf.DUMMYFUNCTION("""COMPUTED_VALUE"""),"37.924026")</f>
        <v>37.924026</v>
      </c>
      <c r="H1431" s="1" t="str">
        <f>IFERROR(__xludf.DUMMYFUNCTION("""COMPUTED_VALUE"""),"-77.50552")</f>
        <v>-77.50552</v>
      </c>
      <c r="I1431" s="1" t="str">
        <f>IFERROR(__xludf.DUMMYFUNCTION("""COMPUTED_VALUE"""),"Proposed")</f>
        <v>Proposed</v>
      </c>
      <c r="J1431" s="1" t="str">
        <f>IFERROR(__xludf.DUMMYFUNCTION("""COMPUTED_VALUE"""),"Medium")</f>
        <v>Medium</v>
      </c>
      <c r="K1431" s="1" t="str">
        <f>IFERROR(__xludf.DUMMYFUNCTION("""COMPUTED_VALUE"""),"")</f>
        <v/>
      </c>
      <c r="L1431" s="1" t="str">
        <f>IFERROR(__xludf.DUMMYFUNCTION("""COMPUTED_VALUE"""),"")</f>
        <v/>
      </c>
      <c r="M1431" s="1" t="str">
        <f>IFERROR(__xludf.DUMMYFUNCTION("""COMPUTED_VALUE"""),"")</f>
        <v/>
      </c>
      <c r="N1431" s="1" t="str">
        <f>IFERROR(__xludf.DUMMYFUNCTION("""COMPUTED_VALUE"""),"")</f>
        <v/>
      </c>
      <c r="O1431" s="1" t="str">
        <f>IFERROR(__xludf.DUMMYFUNCTION("""COMPUTED_VALUE"""),"Unknown")</f>
        <v>Unknown</v>
      </c>
      <c r="P1431" s="1" t="str">
        <f>IFERROR(__xludf.DUMMYFUNCTION("""COMPUTED_VALUE"""),"")</f>
        <v/>
      </c>
      <c r="Q1431" s="1" t="str">
        <f>IFERROR(__xludf.DUMMYFUNCTION("""COMPUTED_VALUE"""),"")</f>
        <v/>
      </c>
      <c r="R1431" s="1" t="str">
        <f>IFERROR(__xludf.DUMMYFUNCTION("""COMPUTED_VALUE"""),"")</f>
        <v/>
      </c>
      <c r="S1431" s="1" t="str">
        <f>IFERROR(__xludf.DUMMYFUNCTION("""COMPUTED_VALUE"""),"")</f>
        <v/>
      </c>
      <c r="T1431" s="1" t="str">
        <f>IFERROR(__xludf.DUMMYFUNCTION("""COMPUTED_VALUE"""),"")</f>
        <v/>
      </c>
      <c r="U1431" s="1" t="str">
        <f>IFERROR(__xludf.DUMMYFUNCTION("""COMPUTED_VALUE"""),"")</f>
        <v/>
      </c>
      <c r="V1431" s="1" t="str">
        <f>IFERROR(__xludf.DUMMYFUNCTION("""COMPUTED_VALUE"""),"5,600,000")</f>
        <v>5,600,000</v>
      </c>
      <c r="W1431" s="1" t="str">
        <f>IFERROR(__xludf.DUMMYFUNCTION("""COMPUTED_VALUE"""),"1196")</f>
        <v>1196</v>
      </c>
      <c r="X1431" s="1" t="str">
        <f>IFERROR(__xludf.DUMMYFUNCTION("""COMPUTED_VALUE"""),"")</f>
        <v/>
      </c>
      <c r="Y1431" s="1" t="str">
        <f>IFERROR(__xludf.DUMMYFUNCTION("""COMPUTED_VALUE"""),"")</f>
        <v/>
      </c>
      <c r="Z1431" s="1" t="str">
        <f>IFERROR(__xludf.DUMMYFUNCTION("""COMPUTED_VALUE"""),"Unknown")</f>
        <v>Unknown</v>
      </c>
      <c r="AA1431" s="1" t="str">
        <f>IFERROR(__xludf.DUMMYFUNCTION("""COMPUTED_VALUE"""),"")</f>
        <v/>
      </c>
      <c r="AB1431" s="1" t="str">
        <f>IFERROR(__xludf.DUMMYFUNCTION("""COMPUTED_VALUE"""),"")</f>
        <v/>
      </c>
      <c r="AC1431" s="1" t="str">
        <f>IFERROR(__xludf.DUMMYFUNCTION("""COMPUTED_VALUE"""),"")</f>
        <v/>
      </c>
      <c r="AD1431" s="1" t="str">
        <f>IFERROR(__xludf.DUMMYFUNCTION("""COMPUTED_VALUE"""),"")</f>
        <v/>
      </c>
      <c r="AE1431" s="1" t="str">
        <f>IFERROR(__xludf.DUMMYFUNCTION("""COMPUTED_VALUE"""),"")</f>
        <v/>
      </c>
      <c r="AF1431" s="1" t="str">
        <f>IFERROR(__xludf.DUMMYFUNCTION("""COMPUTED_VALUE"""),"")</f>
        <v/>
      </c>
      <c r="AG1431" s="1" t="str">
        <f>IFERROR(__xludf.DUMMYFUNCTION("""COMPUTED_VALUE"""),"Project covers more than one parcel, the acreage represents the combined acreage")</f>
        <v>Project covers more than one parcel, the acreage represents the combined acreage</v>
      </c>
      <c r="AH1431" s="1" t="str">
        <f>IFERROR(__xludf.DUMMYFUNCTION("""COMPUTED_VALUE"""),"PEC")</f>
        <v>PEC</v>
      </c>
      <c r="AI1431" s="2" t="str">
        <f>IFERROR(__xludf.DUMMYFUNCTION("""COMPUTED_VALUE"""),"https://co.caroline.va.us/DocumentCenter/View/9994/RZ-06-2024-Luck-Stone-CTEC")</f>
        <v>https://co.caroline.va.us/DocumentCenter/View/9994/RZ-06-2024-Luck-Stone-CTEC</v>
      </c>
      <c r="AJ1431" s="1" t="str">
        <f>IFERROR(__xludf.DUMMYFUNCTION("""COMPUTED_VALUE"""),"")</f>
        <v/>
      </c>
      <c r="AK1431" s="1" t="str">
        <f>IFERROR(__xludf.DUMMYFUNCTION("""COMPUTED_VALUE"""),"")</f>
        <v/>
      </c>
      <c r="AL1431" s="1" t="str">
        <f>IFERROR(__xludf.DUMMYFUNCTION("""COMPUTED_VALUE"""),"")</f>
        <v/>
      </c>
      <c r="AM1431" s="1" t="str">
        <f>IFERROR(__xludf.DUMMYFUNCTION("""COMPUTED_VALUE"""),"")</f>
        <v/>
      </c>
      <c r="AN1431" s="1" t="str">
        <f>IFERROR(__xludf.DUMMYFUNCTION("""COMPUTED_VALUE"""),"")</f>
        <v/>
      </c>
      <c r="AO1431" s="1" t="str">
        <f>IFERROR(__xludf.DUMMYFUNCTION("""COMPUTED_VALUE"""),"")</f>
        <v/>
      </c>
      <c r="AP1431" s="1" t="str">
        <f>IFERROR(__xludf.DUMMYFUNCTION("""COMPUTED_VALUE"""),"")</f>
        <v/>
      </c>
      <c r="AQ1431" s="1" t="str">
        <f>IFERROR(__xludf.DUMMYFUNCTION("""COMPUTED_VALUE"""),"07/16/2025")</f>
        <v>07/16/2025</v>
      </c>
      <c r="AR1431" s="1" t="str">
        <f>IFERROR(__xludf.DUMMYFUNCTION("""COMPUTED_VALUE"""),"10/17/2025")</f>
        <v>10/17/2025</v>
      </c>
    </row>
    <row r="1432">
      <c r="A1432" s="1" t="str">
        <f>IFERROR(__xludf.DUMMYFUNCTION("""COMPUTED_VALUE"""),"Caroline Center for Innovation")</f>
        <v>Caroline Center for Innovation</v>
      </c>
      <c r="B1432" s="1" t="str">
        <f>IFERROR(__xludf.DUMMYFUNCTION("""COMPUTED_VALUE"""),"23286 CARNEAL LN")</f>
        <v>23286 CARNEAL LN</v>
      </c>
      <c r="C1432" s="1" t="str">
        <f>IFERROR(__xludf.DUMMYFUNCTION("""COMPUTED_VALUE"""),"Ruther Glen")</f>
        <v>Ruther Glen</v>
      </c>
      <c r="D1432" s="1" t="str">
        <f>IFERROR(__xludf.DUMMYFUNCTION("""COMPUTED_VALUE"""),"VA")</f>
        <v>VA</v>
      </c>
      <c r="E1432" s="1" t="str">
        <f>IFERROR(__xludf.DUMMYFUNCTION("""COMPUTED_VALUE"""),"22546")</f>
        <v>22546</v>
      </c>
      <c r="F1432" s="1" t="str">
        <f>IFERROR(__xludf.DUMMYFUNCTION("""COMPUTED_VALUE"""),"Caroline")</f>
        <v>Caroline</v>
      </c>
      <c r="G1432" s="1" t="str">
        <f>IFERROR(__xludf.DUMMYFUNCTION("""COMPUTED_VALUE"""),"37.942783")</f>
        <v>37.942783</v>
      </c>
      <c r="H1432" s="1" t="str">
        <f>IFERROR(__xludf.DUMMYFUNCTION("""COMPUTED_VALUE"""),"-77.41627")</f>
        <v>-77.41627</v>
      </c>
      <c r="I1432" s="1" t="str">
        <f>IFERROR(__xludf.DUMMYFUNCTION("""COMPUTED_VALUE"""),"Proposed")</f>
        <v>Proposed</v>
      </c>
      <c r="J1432" s="1" t="str">
        <f>IFERROR(__xludf.DUMMYFUNCTION("""COMPUTED_VALUE"""),"High")</f>
        <v>High</v>
      </c>
      <c r="K1432" s="1" t="str">
        <f>IFERROR(__xludf.DUMMYFUNCTION("""COMPUTED_VALUE"""),"")</f>
        <v/>
      </c>
      <c r="L1432" s="1" t="str">
        <f>IFERROR(__xludf.DUMMYFUNCTION("""COMPUTED_VALUE"""),"")</f>
        <v/>
      </c>
      <c r="M1432" s="1" t="str">
        <f>IFERROR(__xludf.DUMMYFUNCTION("""COMPUTED_VALUE"""),"")</f>
        <v/>
      </c>
      <c r="N1432" s="1" t="str">
        <f>IFERROR(__xludf.DUMMYFUNCTION("""COMPUTED_VALUE"""),"")</f>
        <v/>
      </c>
      <c r="O1432" s="1" t="str">
        <f>IFERROR(__xludf.DUMMYFUNCTION("""COMPUTED_VALUE"""),"Unknown")</f>
        <v>Unknown</v>
      </c>
      <c r="P1432" s="1" t="str">
        <f>IFERROR(__xludf.DUMMYFUNCTION("""COMPUTED_VALUE"""),"")</f>
        <v/>
      </c>
      <c r="Q1432" s="1" t="str">
        <f>IFERROR(__xludf.DUMMYFUNCTION("""COMPUTED_VALUE"""),"")</f>
        <v/>
      </c>
      <c r="R1432" s="1" t="str">
        <f>IFERROR(__xludf.DUMMYFUNCTION("""COMPUTED_VALUE"""),"")</f>
        <v/>
      </c>
      <c r="S1432" s="1" t="str">
        <f>IFERROR(__xludf.DUMMYFUNCTION("""COMPUTED_VALUE"""),"")</f>
        <v/>
      </c>
      <c r="T1432" s="1" t="str">
        <f>IFERROR(__xludf.DUMMYFUNCTION("""COMPUTED_VALUE"""),"")</f>
        <v/>
      </c>
      <c r="U1432" s="1" t="str">
        <f>IFERROR(__xludf.DUMMYFUNCTION("""COMPUTED_VALUE"""),"")</f>
        <v/>
      </c>
      <c r="V1432" s="1" t="str">
        <f>IFERROR(__xludf.DUMMYFUNCTION("""COMPUTED_VALUE"""),"3,000,000")</f>
        <v>3,000,000</v>
      </c>
      <c r="W1432" s="1" t="str">
        <f>IFERROR(__xludf.DUMMYFUNCTION("""COMPUTED_VALUE"""),"278")</f>
        <v>278</v>
      </c>
      <c r="X1432" s="1" t="str">
        <f>IFERROR(__xludf.DUMMYFUNCTION("""COMPUTED_VALUE"""),"")</f>
        <v/>
      </c>
      <c r="Y1432" s="1" t="str">
        <f>IFERROR(__xludf.DUMMYFUNCTION("""COMPUTED_VALUE"""),"")</f>
        <v/>
      </c>
      <c r="Z1432" s="1" t="str">
        <f>IFERROR(__xludf.DUMMYFUNCTION("""COMPUTED_VALUE"""),"Unknown")</f>
        <v>Unknown</v>
      </c>
      <c r="AA1432" s="1" t="str">
        <f>IFERROR(__xludf.DUMMYFUNCTION("""COMPUTED_VALUE"""),"")</f>
        <v/>
      </c>
      <c r="AB1432" s="1" t="str">
        <f>IFERROR(__xludf.DUMMYFUNCTION("""COMPUTED_VALUE"""),"")</f>
        <v/>
      </c>
      <c r="AC1432" s="1" t="str">
        <f>IFERROR(__xludf.DUMMYFUNCTION("""COMPUTED_VALUE"""),"")</f>
        <v/>
      </c>
      <c r="AD1432" s="1" t="str">
        <f>IFERROR(__xludf.DUMMYFUNCTION("""COMPUTED_VALUE"""),"")</f>
        <v/>
      </c>
      <c r="AE1432" s="1" t="str">
        <f>IFERROR(__xludf.DUMMYFUNCTION("""COMPUTED_VALUE"""),"")</f>
        <v/>
      </c>
      <c r="AF1432" s="1" t="str">
        <f>IFERROR(__xludf.DUMMYFUNCTION("""COMPUTED_VALUE"""),"")</f>
        <v/>
      </c>
      <c r="AG1432" s="1" t="str">
        <f>IFERROR(__xludf.DUMMYFUNCTION("""COMPUTED_VALUE"""),"Project covers more than one parcel, the acreage represents the combined acreage")</f>
        <v>Project covers more than one parcel, the acreage represents the combined acreage</v>
      </c>
      <c r="AH1432" s="1" t="str">
        <f>IFERROR(__xludf.DUMMYFUNCTION("""COMPUTED_VALUE"""),"PEC")</f>
        <v>PEC</v>
      </c>
      <c r="AI1432" s="2" t="str">
        <f>IFERROR(__xludf.DUMMYFUNCTION("""COMPUTED_VALUE"""),"https://co.caroline.va.us/DocumentCenter/View/10157/RZ-01-2025-Caroline-Ctr-for-Innovation")</f>
        <v>https://co.caroline.va.us/DocumentCenter/View/10157/RZ-01-2025-Caroline-Ctr-for-Innovation</v>
      </c>
      <c r="AJ1432" s="1" t="str">
        <f>IFERROR(__xludf.DUMMYFUNCTION("""COMPUTED_VALUE"""),"")</f>
        <v/>
      </c>
      <c r="AK1432" s="1" t="str">
        <f>IFERROR(__xludf.DUMMYFUNCTION("""COMPUTED_VALUE"""),"")</f>
        <v/>
      </c>
      <c r="AL1432" s="1" t="str">
        <f>IFERROR(__xludf.DUMMYFUNCTION("""COMPUTED_VALUE"""),"")</f>
        <v/>
      </c>
      <c r="AM1432" s="1" t="str">
        <f>IFERROR(__xludf.DUMMYFUNCTION("""COMPUTED_VALUE"""),"")</f>
        <v/>
      </c>
      <c r="AN1432" s="1" t="str">
        <f>IFERROR(__xludf.DUMMYFUNCTION("""COMPUTED_VALUE"""),"")</f>
        <v/>
      </c>
      <c r="AO1432" s="1" t="str">
        <f>IFERROR(__xludf.DUMMYFUNCTION("""COMPUTED_VALUE"""),"")</f>
        <v/>
      </c>
      <c r="AP1432" s="1" t="str">
        <f>IFERROR(__xludf.DUMMYFUNCTION("""COMPUTED_VALUE"""),"")</f>
        <v/>
      </c>
      <c r="AQ1432" s="1" t="str">
        <f>IFERROR(__xludf.DUMMYFUNCTION("""COMPUTED_VALUE"""),"07/16/2025")</f>
        <v>07/16/2025</v>
      </c>
      <c r="AR1432" s="1" t="str">
        <f>IFERROR(__xludf.DUMMYFUNCTION("""COMPUTED_VALUE"""),"10/17/2025")</f>
        <v>10/17/2025</v>
      </c>
    </row>
    <row r="1433">
      <c r="A1433" s="1" t="str">
        <f>IFERROR(__xludf.DUMMYFUNCTION("""COMPUTED_VALUE"""),"Caroline Center for Innovation - North")</f>
        <v>Caroline Center for Innovation - North</v>
      </c>
      <c r="B1433" s="1" t="str">
        <f>IFERROR(__xludf.DUMMYFUNCTION("""COMPUTED_VALUE"""),"13039 Mickey's Wy")</f>
        <v>13039 Mickey's Wy</v>
      </c>
      <c r="C1433" s="1" t="str">
        <f>IFERROR(__xludf.DUMMYFUNCTION("""COMPUTED_VALUE"""),"Ruther Glen")</f>
        <v>Ruther Glen</v>
      </c>
      <c r="D1433" s="1" t="str">
        <f>IFERROR(__xludf.DUMMYFUNCTION("""COMPUTED_VALUE"""),"VA")</f>
        <v>VA</v>
      </c>
      <c r="E1433" s="1" t="str">
        <f>IFERROR(__xludf.DUMMYFUNCTION("""COMPUTED_VALUE"""),"22546")</f>
        <v>22546</v>
      </c>
      <c r="F1433" s="1" t="str">
        <f>IFERROR(__xludf.DUMMYFUNCTION("""COMPUTED_VALUE"""),"Caroline")</f>
        <v>Caroline</v>
      </c>
      <c r="G1433" s="1" t="str">
        <f>IFERROR(__xludf.DUMMYFUNCTION("""COMPUTED_VALUE"""),"37.95119")</f>
        <v>37.95119</v>
      </c>
      <c r="H1433" s="1" t="str">
        <f>IFERROR(__xludf.DUMMYFUNCTION("""COMPUTED_VALUE"""),"-77.42421")</f>
        <v>-77.42421</v>
      </c>
      <c r="I1433" s="1" t="str">
        <f>IFERROR(__xludf.DUMMYFUNCTION("""COMPUTED_VALUE"""),"Proposed")</f>
        <v>Proposed</v>
      </c>
      <c r="J1433" s="1" t="str">
        <f>IFERROR(__xludf.DUMMYFUNCTION("""COMPUTED_VALUE"""),"High")</f>
        <v>High</v>
      </c>
      <c r="K1433" s="1" t="str">
        <f>IFERROR(__xludf.DUMMYFUNCTION("""COMPUTED_VALUE"""),"")</f>
        <v/>
      </c>
      <c r="L1433" s="1" t="str">
        <f>IFERROR(__xludf.DUMMYFUNCTION("""COMPUTED_VALUE"""),"")</f>
        <v/>
      </c>
      <c r="M1433" s="1" t="str">
        <f>IFERROR(__xludf.DUMMYFUNCTION("""COMPUTED_VALUE"""),"")</f>
        <v/>
      </c>
      <c r="N1433" s="1" t="str">
        <f>IFERROR(__xludf.DUMMYFUNCTION("""COMPUTED_VALUE"""),"")</f>
        <v/>
      </c>
      <c r="O1433" s="1" t="str">
        <f>IFERROR(__xludf.DUMMYFUNCTION("""COMPUTED_VALUE"""),"Unknown")</f>
        <v>Unknown</v>
      </c>
      <c r="P1433" s="1" t="str">
        <f>IFERROR(__xludf.DUMMYFUNCTION("""COMPUTED_VALUE"""),"")</f>
        <v/>
      </c>
      <c r="Q1433" s="1" t="str">
        <f>IFERROR(__xludf.DUMMYFUNCTION("""COMPUTED_VALUE"""),"")</f>
        <v/>
      </c>
      <c r="R1433" s="1" t="str">
        <f>IFERROR(__xludf.DUMMYFUNCTION("""COMPUTED_VALUE"""),"")</f>
        <v/>
      </c>
      <c r="S1433" s="1" t="str">
        <f>IFERROR(__xludf.DUMMYFUNCTION("""COMPUTED_VALUE"""),"")</f>
        <v/>
      </c>
      <c r="T1433" s="1" t="str">
        <f>IFERROR(__xludf.DUMMYFUNCTION("""COMPUTED_VALUE"""),"")</f>
        <v/>
      </c>
      <c r="U1433" s="1" t="str">
        <f>IFERROR(__xludf.DUMMYFUNCTION("""COMPUTED_VALUE"""),"")</f>
        <v/>
      </c>
      <c r="V1433" s="1" t="str">
        <f>IFERROR(__xludf.DUMMYFUNCTION("""COMPUTED_VALUE"""),"1,500,000")</f>
        <v>1,500,000</v>
      </c>
      <c r="W1433" s="1" t="str">
        <f>IFERROR(__xludf.DUMMYFUNCTION("""COMPUTED_VALUE"""),"95")</f>
        <v>95</v>
      </c>
      <c r="X1433" s="1" t="str">
        <f>IFERROR(__xludf.DUMMYFUNCTION("""COMPUTED_VALUE"""),"")</f>
        <v/>
      </c>
      <c r="Y1433" s="1" t="str">
        <f>IFERROR(__xludf.DUMMYFUNCTION("""COMPUTED_VALUE"""),"")</f>
        <v/>
      </c>
      <c r="Z1433" s="1" t="str">
        <f>IFERROR(__xludf.DUMMYFUNCTION("""COMPUTED_VALUE"""),"Unknown")</f>
        <v>Unknown</v>
      </c>
      <c r="AA1433" s="1" t="str">
        <f>IFERROR(__xludf.DUMMYFUNCTION("""COMPUTED_VALUE"""),"")</f>
        <v/>
      </c>
      <c r="AB1433" s="1" t="str">
        <f>IFERROR(__xludf.DUMMYFUNCTION("""COMPUTED_VALUE"""),"")</f>
        <v/>
      </c>
      <c r="AC1433" s="1" t="str">
        <f>IFERROR(__xludf.DUMMYFUNCTION("""COMPUTED_VALUE"""),"")</f>
        <v/>
      </c>
      <c r="AD1433" s="1" t="str">
        <f>IFERROR(__xludf.DUMMYFUNCTION("""COMPUTED_VALUE"""),"")</f>
        <v/>
      </c>
      <c r="AE1433" s="1" t="str">
        <f>IFERROR(__xludf.DUMMYFUNCTION("""COMPUTED_VALUE"""),"")</f>
        <v/>
      </c>
      <c r="AF1433" s="1" t="str">
        <f>IFERROR(__xludf.DUMMYFUNCTION("""COMPUTED_VALUE"""),"")</f>
        <v/>
      </c>
      <c r="AG1433" s="1" t="str">
        <f>IFERROR(__xludf.DUMMYFUNCTION("""COMPUTED_VALUE"""),"")</f>
        <v/>
      </c>
      <c r="AH1433" s="1" t="str">
        <f>IFERROR(__xludf.DUMMYFUNCTION("""COMPUTED_VALUE"""),"PEC")</f>
        <v>PEC</v>
      </c>
      <c r="AI1433" s="2" t="str">
        <f>IFERROR(__xludf.DUMMYFUNCTION("""COMPUTED_VALUE"""),"https://co.caroline.va.us/DocumentCenter/View/10428/SPEX-08-2025-Caroline-Ctr-for-Innov-North---Reedy-Church")</f>
        <v>https://co.caroline.va.us/DocumentCenter/View/10428/SPEX-08-2025-Caroline-Ctr-for-Innov-North---Reedy-Church</v>
      </c>
      <c r="AJ1433" s="1" t="str">
        <f>IFERROR(__xludf.DUMMYFUNCTION("""COMPUTED_VALUE"""),"")</f>
        <v/>
      </c>
      <c r="AK1433" s="1" t="str">
        <f>IFERROR(__xludf.DUMMYFUNCTION("""COMPUTED_VALUE"""),"")</f>
        <v/>
      </c>
      <c r="AL1433" s="1" t="str">
        <f>IFERROR(__xludf.DUMMYFUNCTION("""COMPUTED_VALUE"""),"")</f>
        <v/>
      </c>
      <c r="AM1433" s="1" t="str">
        <f>IFERROR(__xludf.DUMMYFUNCTION("""COMPUTED_VALUE"""),"")</f>
        <v/>
      </c>
      <c r="AN1433" s="1" t="str">
        <f>IFERROR(__xludf.DUMMYFUNCTION("""COMPUTED_VALUE"""),"")</f>
        <v/>
      </c>
      <c r="AO1433" s="1" t="str">
        <f>IFERROR(__xludf.DUMMYFUNCTION("""COMPUTED_VALUE"""),"")</f>
        <v/>
      </c>
      <c r="AP1433" s="1" t="str">
        <f>IFERROR(__xludf.DUMMYFUNCTION("""COMPUTED_VALUE"""),"")</f>
        <v/>
      </c>
      <c r="AQ1433" s="1" t="str">
        <f>IFERROR(__xludf.DUMMYFUNCTION("""COMPUTED_VALUE"""),"07/16/2025")</f>
        <v>07/16/2025</v>
      </c>
      <c r="AR1433" s="1" t="str">
        <f>IFERROR(__xludf.DUMMYFUNCTION("""COMPUTED_VALUE"""),"10/17/2025")</f>
        <v>10/17/2025</v>
      </c>
    </row>
    <row r="1434">
      <c r="A1434" s="1" t="str">
        <f>IFERROR(__xludf.DUMMYFUNCTION("""COMPUTED_VALUE"""),"CleanArc Data Center (VA1)")</f>
        <v>CleanArc Data Center (VA1)</v>
      </c>
      <c r="B1434" s="1" t="str">
        <f>IFERROR(__xludf.DUMMYFUNCTION("""COMPUTED_VALUE"""),"8436 Ladysmith Rd")</f>
        <v>8436 Ladysmith Rd</v>
      </c>
      <c r="C1434" s="1" t="str">
        <f>IFERROR(__xludf.DUMMYFUNCTION("""COMPUTED_VALUE"""),"Ruther Glen")</f>
        <v>Ruther Glen</v>
      </c>
      <c r="D1434" s="1" t="str">
        <f>IFERROR(__xludf.DUMMYFUNCTION("""COMPUTED_VALUE"""),"VA")</f>
        <v>VA</v>
      </c>
      <c r="E1434" s="1" t="str">
        <f>IFERROR(__xludf.DUMMYFUNCTION("""COMPUTED_VALUE"""),"22546")</f>
        <v>22546</v>
      </c>
      <c r="F1434" s="1" t="str">
        <f>IFERROR(__xludf.DUMMYFUNCTION("""COMPUTED_VALUE"""),"Caroline")</f>
        <v>Caroline</v>
      </c>
      <c r="G1434" s="1" t="str">
        <f>IFERROR(__xludf.DUMMYFUNCTION("""COMPUTED_VALUE"""),"38.01594")</f>
        <v>38.01594</v>
      </c>
      <c r="H1434" s="1" t="str">
        <f>IFERROR(__xludf.DUMMYFUNCTION("""COMPUTED_VALUE"""),"-77.4973")</f>
        <v>-77.4973</v>
      </c>
      <c r="I1434" s="1" t="str">
        <f>IFERROR(__xludf.DUMMYFUNCTION("""COMPUTED_VALUE"""),"Approved/Permitted/Under construction")</f>
        <v>Approved/Permitted/Under construction</v>
      </c>
      <c r="J1434" s="1" t="str">
        <f>IFERROR(__xludf.DUMMYFUNCTION("""COMPUTED_VALUE"""),"High")</f>
        <v>High</v>
      </c>
      <c r="K1434" s="1" t="str">
        <f>IFERROR(__xludf.DUMMYFUNCTION("""COMPUTED_VALUE"""),"")</f>
        <v/>
      </c>
      <c r="L1434" s="1" t="str">
        <f>IFERROR(__xludf.DUMMYFUNCTION("""COMPUTED_VALUE"""),"CleanArc")</f>
        <v>CleanArc</v>
      </c>
      <c r="M1434" s="1" t="str">
        <f>IFERROR(__xludf.DUMMYFUNCTION("""COMPUTED_VALUE"""),"")</f>
        <v/>
      </c>
      <c r="N1434" s="1" t="str">
        <f>IFERROR(__xludf.DUMMYFUNCTION("""COMPUTED_VALUE"""),"300-600")</f>
        <v>300-600</v>
      </c>
      <c r="O1434" s="1" t="str">
        <f>IFERROR(__xludf.DUMMYFUNCTION("""COMPUTED_VALUE"""),"Hyperscale (100-999 MW)")</f>
        <v>Hyperscale (100-999 MW)</v>
      </c>
      <c r="P1434" s="1" t="str">
        <f>IFERROR(__xludf.DUMMYFUNCTION("""COMPUTED_VALUE"""),"")</f>
        <v/>
      </c>
      <c r="Q1434" s="1" t="str">
        <f>IFERROR(__xludf.DUMMYFUNCTION("""COMPUTED_VALUE"""),"")</f>
        <v/>
      </c>
      <c r="R1434" s="1" t="str">
        <f>IFERROR(__xludf.DUMMYFUNCTION("""COMPUTED_VALUE"""),"")</f>
        <v/>
      </c>
      <c r="S1434" s="1" t="str">
        <f>IFERROR(__xludf.DUMMYFUNCTION("""COMPUTED_VALUE"""),"3")</f>
        <v>3</v>
      </c>
      <c r="T1434" s="1" t="str">
        <f>IFERROR(__xludf.DUMMYFUNCTION("""COMPUTED_VALUE"""),"")</f>
        <v/>
      </c>
      <c r="U1434" s="1" t="str">
        <f>IFERROR(__xludf.DUMMYFUNCTION("""COMPUTED_VALUE"""),"Closed loop")</f>
        <v>Closed loop</v>
      </c>
      <c r="V1434" s="1" t="str">
        <f>IFERROR(__xludf.DUMMYFUNCTION("""COMPUTED_VALUE"""),"")</f>
        <v/>
      </c>
      <c r="W1434" s="1" t="str">
        <f>IFERROR(__xludf.DUMMYFUNCTION("""COMPUTED_VALUE"""),"650")</f>
        <v>650</v>
      </c>
      <c r="X1434" s="1" t="str">
        <f>IFERROR(__xludf.DUMMYFUNCTION("""COMPUTED_VALUE"""),"$3 billion")</f>
        <v>$3 billion</v>
      </c>
      <c r="Y1434" s="1" t="str">
        <f>IFERROR(__xludf.DUMMYFUNCTION("""COMPUTED_VALUE"""),"2027")</f>
        <v>2027</v>
      </c>
      <c r="Z1434" s="1" t="str">
        <f>IFERROR(__xludf.DUMMYFUNCTION("""COMPUTED_VALUE"""),"Unknown")</f>
        <v>Unknown</v>
      </c>
      <c r="AA1434" s="1" t="str">
        <f>IFERROR(__xludf.DUMMYFUNCTION("""COMPUTED_VALUE"""),"")</f>
        <v/>
      </c>
      <c r="AB1434" s="1" t="str">
        <f>IFERROR(__xludf.DUMMYFUNCTION("""COMPUTED_VALUE"""),"")</f>
        <v/>
      </c>
      <c r="AC1434" s="1" t="str">
        <f>IFERROR(__xludf.DUMMYFUNCTION("""COMPUTED_VALUE"""),"")</f>
        <v/>
      </c>
      <c r="AD1434" s="1" t="str">
        <f>IFERROR(__xludf.DUMMYFUNCTION("""COMPUTED_VALUE"""),"")</f>
        <v/>
      </c>
      <c r="AE1434" s="1" t="str">
        <f>IFERROR(__xludf.DUMMYFUNCTION("""COMPUTED_VALUE"""),"")</f>
        <v/>
      </c>
      <c r="AF1434" s="1" t="str">
        <f>IFERROR(__xludf.DUMMYFUNCTION("""COMPUTED_VALUE"""),"")</f>
        <v/>
      </c>
      <c r="AG1434" s="1" t="str">
        <f>IFERROR(__xludf.DUMMYFUNCTION("""COMPUTED_VALUE"""),"")</f>
        <v/>
      </c>
      <c r="AH1434" s="1" t="str">
        <f>IFERROR(__xludf.DUMMYFUNCTION("""COMPUTED_VALUE"""),"Media Monitoring")</f>
        <v>Media Monitoring</v>
      </c>
      <c r="AI1434" s="2" t="str">
        <f>IFERROR(__xludf.DUMMYFUNCTION("""COMPUTED_VALUE"""),"https://www.datacenterdynamics.com/en/news/cleanarc-gets-green-light-for-600mw-data-center-campus-in-caroline-county-virginia/")</f>
        <v>https://www.datacenterdynamics.com/en/news/cleanarc-gets-green-light-for-600mw-data-center-campus-in-caroline-county-virginia/</v>
      </c>
      <c r="AJ1434" s="2" t="str">
        <f>IFERROR(__xludf.DUMMYFUNCTION("""COMPUTED_VALUE"""),"https://www.datacenterdynamics.com/en/news/cleanarc-breaks-ground-on-900mw-data-center-campus-in-virginia/")</f>
        <v>https://www.datacenterdynamics.com/en/news/cleanarc-breaks-ground-on-900mw-data-center-campus-in-virginia/</v>
      </c>
      <c r="AK1434" s="2" t="str">
        <f>IFERROR(__xludf.DUMMYFUNCTION("""COMPUTED_VALUE"""),"https://www.governor.virginia.gov/newsroom/news-releases/2025/november/name-1071533-en.html")</f>
        <v>https://www.governor.virginia.gov/newsroom/news-releases/2025/november/name-1071533-en.html</v>
      </c>
      <c r="AL1434" s="1" t="str">
        <f>IFERROR(__xludf.DUMMYFUNCTION("""COMPUTED_VALUE"""),"")</f>
        <v/>
      </c>
      <c r="AM1434" s="1" t="str">
        <f>IFERROR(__xludf.DUMMYFUNCTION("""COMPUTED_VALUE"""),"")</f>
        <v/>
      </c>
      <c r="AN1434" s="1" t="str">
        <f>IFERROR(__xludf.DUMMYFUNCTION("""COMPUTED_VALUE"""),"")</f>
        <v/>
      </c>
      <c r="AO1434" s="1" t="str">
        <f>IFERROR(__xludf.DUMMYFUNCTION("""COMPUTED_VALUE"""),"")</f>
        <v/>
      </c>
      <c r="AP1434" s="1" t="str">
        <f>IFERROR(__xludf.DUMMYFUNCTION("""COMPUTED_VALUE"""),"")</f>
        <v/>
      </c>
      <c r="AQ1434" s="1" t="str">
        <f>IFERROR(__xludf.DUMMYFUNCTION("""COMPUTED_VALUE"""),"09/19/2025")</f>
        <v>09/19/2025</v>
      </c>
      <c r="AR1434" s="1" t="str">
        <f>IFERROR(__xludf.DUMMYFUNCTION("""COMPUTED_VALUE"""),"11/26/2025")</f>
        <v>11/26/2025</v>
      </c>
    </row>
    <row r="1435">
      <c r="A1435" s="1" t="str">
        <f>IFERROR(__xludf.DUMMYFUNCTION("""COMPUTED_VALUE"""),"Thornberry Data Center Campus")</f>
        <v>Thornberry Data Center Campus</v>
      </c>
      <c r="B1435" s="1" t="str">
        <f>IFERROR(__xludf.DUMMYFUNCTION("""COMPUTED_VALUE"""),"23202 Carneal Lane")</f>
        <v>23202 Carneal Lane</v>
      </c>
      <c r="C1435" s="1" t="str">
        <f>IFERROR(__xludf.DUMMYFUNCTION("""COMPUTED_VALUE"""),"Ruther Glen")</f>
        <v>Ruther Glen</v>
      </c>
      <c r="D1435" s="1" t="str">
        <f>IFERROR(__xludf.DUMMYFUNCTION("""COMPUTED_VALUE"""),"VA")</f>
        <v>VA</v>
      </c>
      <c r="E1435" s="1" t="str">
        <f>IFERROR(__xludf.DUMMYFUNCTION("""COMPUTED_VALUE"""),"22546")</f>
        <v>22546</v>
      </c>
      <c r="F1435" s="1" t="str">
        <f>IFERROR(__xludf.DUMMYFUNCTION("""COMPUTED_VALUE"""),"Caroline")</f>
        <v>Caroline</v>
      </c>
      <c r="G1435" s="1" t="str">
        <f>IFERROR(__xludf.DUMMYFUNCTION("""COMPUTED_VALUE"""),"37.95416")</f>
        <v>37.95416</v>
      </c>
      <c r="H1435" s="1" t="str">
        <f>IFERROR(__xludf.DUMMYFUNCTION("""COMPUTED_VALUE"""),"-77.40686")</f>
        <v>-77.40686</v>
      </c>
      <c r="I1435" s="1" t="str">
        <f>IFERROR(__xludf.DUMMYFUNCTION("""COMPUTED_VALUE"""),"Proposed")</f>
        <v>Proposed</v>
      </c>
      <c r="J1435" s="1" t="str">
        <f>IFERROR(__xludf.DUMMYFUNCTION("""COMPUTED_VALUE"""),"High")</f>
        <v>High</v>
      </c>
      <c r="K1435" s="1" t="str">
        <f>IFERROR(__xludf.DUMMYFUNCTION("""COMPUTED_VALUE"""),"")</f>
        <v/>
      </c>
      <c r="L1435" s="1" t="str">
        <f>IFERROR(__xludf.DUMMYFUNCTION("""COMPUTED_VALUE"""),"")</f>
        <v/>
      </c>
      <c r="M1435" s="1" t="str">
        <f>IFERROR(__xludf.DUMMYFUNCTION("""COMPUTED_VALUE"""),"")</f>
        <v/>
      </c>
      <c r="N1435" s="1" t="str">
        <f>IFERROR(__xludf.DUMMYFUNCTION("""COMPUTED_VALUE"""),"")</f>
        <v/>
      </c>
      <c r="O1435" s="1" t="str">
        <f>IFERROR(__xludf.DUMMYFUNCTION("""COMPUTED_VALUE"""),"Unknown")</f>
        <v>Unknown</v>
      </c>
      <c r="P1435" s="1" t="str">
        <f>IFERROR(__xludf.DUMMYFUNCTION("""COMPUTED_VALUE"""),"")</f>
        <v/>
      </c>
      <c r="Q1435" s="1" t="str">
        <f>IFERROR(__xludf.DUMMYFUNCTION("""COMPUTED_VALUE"""),"")</f>
        <v/>
      </c>
      <c r="R1435" s="1" t="str">
        <f>IFERROR(__xludf.DUMMYFUNCTION("""COMPUTED_VALUE"""),"")</f>
        <v/>
      </c>
      <c r="S1435" s="1" t="str">
        <f>IFERROR(__xludf.DUMMYFUNCTION("""COMPUTED_VALUE"""),"")</f>
        <v/>
      </c>
      <c r="T1435" s="1" t="str">
        <f>IFERROR(__xludf.DUMMYFUNCTION("""COMPUTED_VALUE"""),"")</f>
        <v/>
      </c>
      <c r="U1435" s="1" t="str">
        <f>IFERROR(__xludf.DUMMYFUNCTION("""COMPUTED_VALUE"""),"")</f>
        <v/>
      </c>
      <c r="V1435" s="1" t="str">
        <f>IFERROR(__xludf.DUMMYFUNCTION("""COMPUTED_VALUE"""),"3,300,000")</f>
        <v>3,300,000</v>
      </c>
      <c r="W1435" s="1" t="str">
        <f>IFERROR(__xludf.DUMMYFUNCTION("""COMPUTED_VALUE"""),"1002")</f>
        <v>1002</v>
      </c>
      <c r="X1435" s="1" t="str">
        <f>IFERROR(__xludf.DUMMYFUNCTION("""COMPUTED_VALUE"""),"")</f>
        <v/>
      </c>
      <c r="Y1435" s="1" t="str">
        <f>IFERROR(__xludf.DUMMYFUNCTION("""COMPUTED_VALUE"""),"")</f>
        <v/>
      </c>
      <c r="Z1435" s="1" t="str">
        <f>IFERROR(__xludf.DUMMYFUNCTION("""COMPUTED_VALUE"""),"Unknown")</f>
        <v>Unknown</v>
      </c>
      <c r="AA1435" s="1" t="str">
        <f>IFERROR(__xludf.DUMMYFUNCTION("""COMPUTED_VALUE"""),"")</f>
        <v/>
      </c>
      <c r="AB1435" s="1" t="str">
        <f>IFERROR(__xludf.DUMMYFUNCTION("""COMPUTED_VALUE"""),"")</f>
        <v/>
      </c>
      <c r="AC1435" s="1" t="str">
        <f>IFERROR(__xludf.DUMMYFUNCTION("""COMPUTED_VALUE"""),"")</f>
        <v/>
      </c>
      <c r="AD1435" s="1" t="str">
        <f>IFERROR(__xludf.DUMMYFUNCTION("""COMPUTED_VALUE"""),"")</f>
        <v/>
      </c>
      <c r="AE1435" s="1" t="str">
        <f>IFERROR(__xludf.DUMMYFUNCTION("""COMPUTED_VALUE"""),"")</f>
        <v/>
      </c>
      <c r="AF1435" s="1" t="str">
        <f>IFERROR(__xludf.DUMMYFUNCTION("""COMPUTED_VALUE"""),"")</f>
        <v/>
      </c>
      <c r="AG1435" s="1" t="str">
        <f>IFERROR(__xludf.DUMMYFUNCTION("""COMPUTED_VALUE"""),"Property straddles CSX railroad line")</f>
        <v>Property straddles CSX railroad line</v>
      </c>
      <c r="AH1435" s="1" t="str">
        <f>IFERROR(__xludf.DUMMYFUNCTION("""COMPUTED_VALUE"""),"PEC")</f>
        <v>PEC</v>
      </c>
      <c r="AI1435" s="2" t="str">
        <f>IFERROR(__xludf.DUMMYFUNCTION("""COMPUTED_VALUE"""),"https://co.caroline.va.us/DocumentCenter/View/10426/RZ-03-2025-Thornberry-LLC-Reedy-Church")</f>
        <v>https://co.caroline.va.us/DocumentCenter/View/10426/RZ-03-2025-Thornberry-LLC-Reedy-Church</v>
      </c>
      <c r="AJ1435" s="1" t="str">
        <f>IFERROR(__xludf.DUMMYFUNCTION("""COMPUTED_VALUE"""),"")</f>
        <v/>
      </c>
      <c r="AK1435" s="1" t="str">
        <f>IFERROR(__xludf.DUMMYFUNCTION("""COMPUTED_VALUE"""),"")</f>
        <v/>
      </c>
      <c r="AL1435" s="1" t="str">
        <f>IFERROR(__xludf.DUMMYFUNCTION("""COMPUTED_VALUE"""),"")</f>
        <v/>
      </c>
      <c r="AM1435" s="1" t="str">
        <f>IFERROR(__xludf.DUMMYFUNCTION("""COMPUTED_VALUE"""),"")</f>
        <v/>
      </c>
      <c r="AN1435" s="1" t="str">
        <f>IFERROR(__xludf.DUMMYFUNCTION("""COMPUTED_VALUE"""),"")</f>
        <v/>
      </c>
      <c r="AO1435" s="1" t="str">
        <f>IFERROR(__xludf.DUMMYFUNCTION("""COMPUTED_VALUE"""),"")</f>
        <v/>
      </c>
      <c r="AP1435" s="1" t="str">
        <f>IFERROR(__xludf.DUMMYFUNCTION("""COMPUTED_VALUE"""),"")</f>
        <v/>
      </c>
      <c r="AQ1435" s="1" t="str">
        <f>IFERROR(__xludf.DUMMYFUNCTION("""COMPUTED_VALUE"""),"07/16/2025")</f>
        <v>07/16/2025</v>
      </c>
      <c r="AR1435" s="1" t="str">
        <f>IFERROR(__xludf.DUMMYFUNCTION("""COMPUTED_VALUE"""),"10/17/2025")</f>
        <v>10/17/2025</v>
      </c>
    </row>
    <row r="1436">
      <c r="A1436" s="1" t="str">
        <f>IFERROR(__xludf.DUMMYFUNCTION("""COMPUTED_VALUE"""),"VALCO Data Center Park")</f>
        <v>VALCO Data Center Park</v>
      </c>
      <c r="B1436" s="1" t="str">
        <f>IFERROR(__xludf.DUMMYFUNCTION("""COMPUTED_VALUE"""),"Mt Airy Road")</f>
        <v>Mt Airy Road</v>
      </c>
      <c r="C1436" s="1" t="str">
        <f>IFERROR(__xludf.DUMMYFUNCTION("""COMPUTED_VALUE"""),"Ruther Glen")</f>
        <v>Ruther Glen</v>
      </c>
      <c r="D1436" s="1" t="str">
        <f>IFERROR(__xludf.DUMMYFUNCTION("""COMPUTED_VALUE"""),"VA")</f>
        <v>VA</v>
      </c>
      <c r="E1436" s="1" t="str">
        <f>IFERROR(__xludf.DUMMYFUNCTION("""COMPUTED_VALUE"""),"22546")</f>
        <v>22546</v>
      </c>
      <c r="F1436" s="1" t="str">
        <f>IFERROR(__xludf.DUMMYFUNCTION("""COMPUTED_VALUE"""),"Caroline")</f>
        <v>Caroline</v>
      </c>
      <c r="G1436" s="1" t="str">
        <f>IFERROR(__xludf.DUMMYFUNCTION("""COMPUTED_VALUE"""),"37.924103")</f>
        <v>37.924103</v>
      </c>
      <c r="H1436" s="1" t="str">
        <f>IFERROR(__xludf.DUMMYFUNCTION("""COMPUTED_VALUE"""),"-77.54387")</f>
        <v>-77.54387</v>
      </c>
      <c r="I1436" s="1" t="str">
        <f>IFERROR(__xludf.DUMMYFUNCTION("""COMPUTED_VALUE"""),"Proposed")</f>
        <v>Proposed</v>
      </c>
      <c r="J1436" s="1" t="str">
        <f>IFERROR(__xludf.DUMMYFUNCTION("""COMPUTED_VALUE"""),"Medium")</f>
        <v>Medium</v>
      </c>
      <c r="K1436" s="1" t="str">
        <f>IFERROR(__xludf.DUMMYFUNCTION("""COMPUTED_VALUE"""),"")</f>
        <v/>
      </c>
      <c r="L1436" s="1" t="str">
        <f>IFERROR(__xludf.DUMMYFUNCTION("""COMPUTED_VALUE"""),"VALCO CAROLINE COUNTY")</f>
        <v>VALCO CAROLINE COUNTY</v>
      </c>
      <c r="M1436" s="1" t="str">
        <f>IFERROR(__xludf.DUMMYFUNCTION("""COMPUTED_VALUE"""),"")</f>
        <v/>
      </c>
      <c r="N1436" s="1" t="str">
        <f>IFERROR(__xludf.DUMMYFUNCTION("""COMPUTED_VALUE"""),"")</f>
        <v/>
      </c>
      <c r="O1436" s="1" t="str">
        <f>IFERROR(__xludf.DUMMYFUNCTION("""COMPUTED_VALUE"""),"Unknown")</f>
        <v>Unknown</v>
      </c>
      <c r="P1436" s="1" t="str">
        <f>IFERROR(__xludf.DUMMYFUNCTION("""COMPUTED_VALUE"""),"")</f>
        <v/>
      </c>
      <c r="Q1436" s="1" t="str">
        <f>IFERROR(__xludf.DUMMYFUNCTION("""COMPUTED_VALUE"""),"")</f>
        <v/>
      </c>
      <c r="R1436" s="1" t="str">
        <f>IFERROR(__xludf.DUMMYFUNCTION("""COMPUTED_VALUE"""),"")</f>
        <v/>
      </c>
      <c r="S1436" s="1" t="str">
        <f>IFERROR(__xludf.DUMMYFUNCTION("""COMPUTED_VALUE"""),"")</f>
        <v/>
      </c>
      <c r="T1436" s="1" t="str">
        <f>IFERROR(__xludf.DUMMYFUNCTION("""COMPUTED_VALUE"""),"")</f>
        <v/>
      </c>
      <c r="U1436" s="1" t="str">
        <f>IFERROR(__xludf.DUMMYFUNCTION("""COMPUTED_VALUE"""),"")</f>
        <v/>
      </c>
      <c r="V1436" s="1" t="str">
        <f>IFERROR(__xludf.DUMMYFUNCTION("""COMPUTED_VALUE"""),"1,216,000")</f>
        <v>1,216,000</v>
      </c>
      <c r="W1436" s="1" t="str">
        <f>IFERROR(__xludf.DUMMYFUNCTION("""COMPUTED_VALUE"""),"855")</f>
        <v>855</v>
      </c>
      <c r="X1436" s="1" t="str">
        <f>IFERROR(__xludf.DUMMYFUNCTION("""COMPUTED_VALUE"""),"")</f>
        <v/>
      </c>
      <c r="Y1436" s="1" t="str">
        <f>IFERROR(__xludf.DUMMYFUNCTION("""COMPUTED_VALUE"""),"")</f>
        <v/>
      </c>
      <c r="Z1436" s="1" t="str">
        <f>IFERROR(__xludf.DUMMYFUNCTION("""COMPUTED_VALUE"""),"Unknown")</f>
        <v>Unknown</v>
      </c>
      <c r="AA1436" s="1" t="str">
        <f>IFERROR(__xludf.DUMMYFUNCTION("""COMPUTED_VALUE"""),"")</f>
        <v/>
      </c>
      <c r="AB1436" s="1" t="str">
        <f>IFERROR(__xludf.DUMMYFUNCTION("""COMPUTED_VALUE"""),"")</f>
        <v/>
      </c>
      <c r="AC1436" s="1" t="str">
        <f>IFERROR(__xludf.DUMMYFUNCTION("""COMPUTED_VALUE"""),"")</f>
        <v/>
      </c>
      <c r="AD1436" s="1" t="str">
        <f>IFERROR(__xludf.DUMMYFUNCTION("""COMPUTED_VALUE"""),"")</f>
        <v/>
      </c>
      <c r="AE1436" s="1" t="str">
        <f>IFERROR(__xludf.DUMMYFUNCTION("""COMPUTED_VALUE"""),"")</f>
        <v/>
      </c>
      <c r="AF1436" s="1" t="str">
        <f>IFERROR(__xludf.DUMMYFUNCTION("""COMPUTED_VALUE"""),"")</f>
        <v/>
      </c>
      <c r="AG1436" s="1" t="str">
        <f>IFERROR(__xludf.DUMMYFUNCTION("""COMPUTED_VALUE"""),"Project covers more than one parcel, the acreage represents the combined acreage")</f>
        <v>Project covers more than one parcel, the acreage represents the combined acreage</v>
      </c>
      <c r="AH1436" s="1" t="str">
        <f>IFERROR(__xludf.DUMMYFUNCTION("""COMPUTED_VALUE"""),"PEC")</f>
        <v>PEC</v>
      </c>
      <c r="AI1436" s="2" t="str">
        <f>IFERROR(__xludf.DUMMYFUNCTION("""COMPUTED_VALUE"""),"https://co.caroline.va.us/AgendaCenter/ViewFile/Item/5593?fileID=9447")</f>
        <v>https://co.caroline.va.us/AgendaCenter/ViewFile/Item/5593?fileID=9447</v>
      </c>
      <c r="AJ1436" s="1" t="str">
        <f>IFERROR(__xludf.DUMMYFUNCTION("""COMPUTED_VALUE"""),"")</f>
        <v/>
      </c>
      <c r="AK1436" s="1" t="str">
        <f>IFERROR(__xludf.DUMMYFUNCTION("""COMPUTED_VALUE"""),"")</f>
        <v/>
      </c>
      <c r="AL1436" s="1" t="str">
        <f>IFERROR(__xludf.DUMMYFUNCTION("""COMPUTED_VALUE"""),"")</f>
        <v/>
      </c>
      <c r="AM1436" s="1" t="str">
        <f>IFERROR(__xludf.DUMMYFUNCTION("""COMPUTED_VALUE"""),"")</f>
        <v/>
      </c>
      <c r="AN1436" s="1" t="str">
        <f>IFERROR(__xludf.DUMMYFUNCTION("""COMPUTED_VALUE"""),"")</f>
        <v/>
      </c>
      <c r="AO1436" s="1" t="str">
        <f>IFERROR(__xludf.DUMMYFUNCTION("""COMPUTED_VALUE"""),"")</f>
        <v/>
      </c>
      <c r="AP1436" s="1" t="str">
        <f>IFERROR(__xludf.DUMMYFUNCTION("""COMPUTED_VALUE"""),"")</f>
        <v/>
      </c>
      <c r="AQ1436" s="1" t="str">
        <f>IFERROR(__xludf.DUMMYFUNCTION("""COMPUTED_VALUE"""),"04/10/2024")</f>
        <v>04/10/2024</v>
      </c>
      <c r="AR1436" s="1" t="str">
        <f>IFERROR(__xludf.DUMMYFUNCTION("""COMPUTED_VALUE"""),"10/17/2025")</f>
        <v>10/17/2025</v>
      </c>
    </row>
    <row r="1437">
      <c r="A1437" s="1" t="str">
        <f>IFERROR(__xludf.DUMMYFUNCTION("""COMPUTED_VALUE"""),"VALCO Data Center Park")</f>
        <v>VALCO Data Center Park</v>
      </c>
      <c r="B1437" s="1" t="str">
        <f>IFERROR(__xludf.DUMMYFUNCTION("""COMPUTED_VALUE"""),"5499 Mt Airy Dr")</f>
        <v>5499 Mt Airy Dr</v>
      </c>
      <c r="C1437" s="1" t="str">
        <f>IFERROR(__xludf.DUMMYFUNCTION("""COMPUTED_VALUE"""),"Ruther Glen")</f>
        <v>Ruther Glen</v>
      </c>
      <c r="D1437" s="1" t="str">
        <f>IFERROR(__xludf.DUMMYFUNCTION("""COMPUTED_VALUE"""),"VA")</f>
        <v>VA</v>
      </c>
      <c r="E1437" s="1" t="str">
        <f>IFERROR(__xludf.DUMMYFUNCTION("""COMPUTED_VALUE"""),"22546")</f>
        <v>22546</v>
      </c>
      <c r="F1437" s="1" t="str">
        <f>IFERROR(__xludf.DUMMYFUNCTION("""COMPUTED_VALUE"""),"Caroline")</f>
        <v>Caroline</v>
      </c>
      <c r="G1437" s="1" t="str">
        <f>IFERROR(__xludf.DUMMYFUNCTION("""COMPUTED_VALUE"""),"37.93823")</f>
        <v>37.93823</v>
      </c>
      <c r="H1437" s="1" t="str">
        <f>IFERROR(__xludf.DUMMYFUNCTION("""COMPUTED_VALUE"""),"-77.54898")</f>
        <v>-77.54898</v>
      </c>
      <c r="I1437" s="1" t="str">
        <f>IFERROR(__xludf.DUMMYFUNCTION("""COMPUTED_VALUE"""),"Proposed")</f>
        <v>Proposed</v>
      </c>
      <c r="J1437" s="1" t="str">
        <f>IFERROR(__xludf.DUMMYFUNCTION("""COMPUTED_VALUE"""),"High")</f>
        <v>High</v>
      </c>
      <c r="K1437" s="1" t="str">
        <f>IFERROR(__xludf.DUMMYFUNCTION("""COMPUTED_VALUE"""),"")</f>
        <v/>
      </c>
      <c r="L1437" s="1" t="str">
        <f>IFERROR(__xludf.DUMMYFUNCTION("""COMPUTED_VALUE"""),"")</f>
        <v/>
      </c>
      <c r="M1437" s="1" t="str">
        <f>IFERROR(__xludf.DUMMYFUNCTION("""COMPUTED_VALUE"""),"")</f>
        <v/>
      </c>
      <c r="N1437" s="1" t="str">
        <f>IFERROR(__xludf.DUMMYFUNCTION("""COMPUTED_VALUE"""),"")</f>
        <v/>
      </c>
      <c r="O1437" s="1" t="str">
        <f>IFERROR(__xludf.DUMMYFUNCTION("""COMPUTED_VALUE"""),"Hyperscale (100-999 MW)")</f>
        <v>Hyperscale (100-999 MW)</v>
      </c>
      <c r="P1437" s="1" t="str">
        <f>IFERROR(__xludf.DUMMYFUNCTION("""COMPUTED_VALUE"""),"")</f>
        <v/>
      </c>
      <c r="Q1437" s="1" t="str">
        <f>IFERROR(__xludf.DUMMYFUNCTION("""COMPUTED_VALUE"""),"")</f>
        <v/>
      </c>
      <c r="R1437" s="1" t="str">
        <f>IFERROR(__xludf.DUMMYFUNCTION("""COMPUTED_VALUE"""),"")</f>
        <v/>
      </c>
      <c r="S1437" s="1" t="str">
        <f>IFERROR(__xludf.DUMMYFUNCTION("""COMPUTED_VALUE"""),"10")</f>
        <v>10</v>
      </c>
      <c r="T1437" s="1" t="str">
        <f>IFERROR(__xludf.DUMMYFUNCTION("""COMPUTED_VALUE"""),"")</f>
        <v/>
      </c>
      <c r="U1437" s="1" t="str">
        <f>IFERROR(__xludf.DUMMYFUNCTION("""COMPUTED_VALUE"""),"")</f>
        <v/>
      </c>
      <c r="V1437" s="1" t="str">
        <f>IFERROR(__xludf.DUMMYFUNCTION("""COMPUTED_VALUE"""),"2,500,000")</f>
        <v>2,500,000</v>
      </c>
      <c r="W1437" s="1" t="str">
        <f>IFERROR(__xludf.DUMMYFUNCTION("""COMPUTED_VALUE"""),"855")</f>
        <v>855</v>
      </c>
      <c r="X1437" s="1" t="str">
        <f>IFERROR(__xludf.DUMMYFUNCTION("""COMPUTED_VALUE"""),"")</f>
        <v/>
      </c>
      <c r="Y1437" s="1" t="str">
        <f>IFERROR(__xludf.DUMMYFUNCTION("""COMPUTED_VALUE"""),"")</f>
        <v/>
      </c>
      <c r="Z1437" s="1" t="str">
        <f>IFERROR(__xludf.DUMMYFUNCTION("""COMPUTED_VALUE"""),"Unknown")</f>
        <v>Unknown</v>
      </c>
      <c r="AA1437" s="1" t="str">
        <f>IFERROR(__xludf.DUMMYFUNCTION("""COMPUTED_VALUE"""),"")</f>
        <v/>
      </c>
      <c r="AB1437" s="1" t="str">
        <f>IFERROR(__xludf.DUMMYFUNCTION("""COMPUTED_VALUE"""),"")</f>
        <v/>
      </c>
      <c r="AC1437" s="1" t="str">
        <f>IFERROR(__xludf.DUMMYFUNCTION("""COMPUTED_VALUE"""),"")</f>
        <v/>
      </c>
      <c r="AD1437" s="1" t="str">
        <f>IFERROR(__xludf.DUMMYFUNCTION("""COMPUTED_VALUE"""),"")</f>
        <v/>
      </c>
      <c r="AE1437" s="1" t="str">
        <f>IFERROR(__xludf.DUMMYFUNCTION("""COMPUTED_VALUE"""),"")</f>
        <v/>
      </c>
      <c r="AF1437" s="1" t="str">
        <f>IFERROR(__xludf.DUMMYFUNCTION("""COMPUTED_VALUE"""),"")</f>
        <v/>
      </c>
      <c r="AG1437" s="1" t="str">
        <f>IFERROR(__xludf.DUMMYFUNCTION("""COMPUTED_VALUE"""),"Facility size estimated between 750,000-2,500,000 sq feet")</f>
        <v>Facility size estimated between 750,000-2,500,000 sq feet</v>
      </c>
      <c r="AH1437" s="1" t="str">
        <f>IFERROR(__xludf.DUMMYFUNCTION("""COMPUTED_VALUE"""),"Media Monitoring")</f>
        <v>Media Monitoring</v>
      </c>
      <c r="AI1437" s="2" t="str">
        <f>IFERROR(__xludf.DUMMYFUNCTION("""COMPUTED_VALUE"""),"https://www.datacenterdynamics.com/en/news/10m-sq-ft-amazon-files-for-four-data-center-campuses-in-virginias-spotsylvania-and-caroline-counties/")</f>
        <v>https://www.datacenterdynamics.com/en/news/10m-sq-ft-amazon-files-for-four-data-center-campuses-in-virginias-spotsylvania-and-caroline-counties/</v>
      </c>
      <c r="AJ1437" s="1" t="str">
        <f>IFERROR(__xludf.DUMMYFUNCTION("""COMPUTED_VALUE"""),"")</f>
        <v/>
      </c>
      <c r="AK1437" s="1" t="str">
        <f>IFERROR(__xludf.DUMMYFUNCTION("""COMPUTED_VALUE"""),"")</f>
        <v/>
      </c>
      <c r="AL1437" s="1" t="str">
        <f>IFERROR(__xludf.DUMMYFUNCTION("""COMPUTED_VALUE"""),"")</f>
        <v/>
      </c>
      <c r="AM1437" s="1" t="str">
        <f>IFERROR(__xludf.DUMMYFUNCTION("""COMPUTED_VALUE"""),"")</f>
        <v/>
      </c>
      <c r="AN1437" s="1" t="str">
        <f>IFERROR(__xludf.DUMMYFUNCTION("""COMPUTED_VALUE"""),"")</f>
        <v/>
      </c>
      <c r="AO1437" s="1" t="str">
        <f>IFERROR(__xludf.DUMMYFUNCTION("""COMPUTED_VALUE"""),"")</f>
        <v/>
      </c>
      <c r="AP1437" s="1" t="str">
        <f>IFERROR(__xludf.DUMMYFUNCTION("""COMPUTED_VALUE"""),"")</f>
        <v/>
      </c>
      <c r="AQ1437" s="1" t="str">
        <f>IFERROR(__xludf.DUMMYFUNCTION("""COMPUTED_VALUE"""),"01/24/2026")</f>
        <v>01/24/2026</v>
      </c>
      <c r="AR1437" s="1" t="str">
        <f>IFERROR(__xludf.DUMMYFUNCTION("""COMPUTED_VALUE"""),"01/24/2026")</f>
        <v>01/24/2026</v>
      </c>
    </row>
    <row r="1438">
      <c r="A1438" s="1" t="str">
        <f>IFERROR(__xludf.DUMMYFUNCTION("""COMPUTED_VALUE"""),"Valo Park")</f>
        <v>Valo Park</v>
      </c>
      <c r="B1438" s="1" t="str">
        <f>IFERROR(__xludf.DUMMYFUNCTION("""COMPUTED_VALUE"""),"7950 JONES BRANCH DR")</f>
        <v>7950 JONES BRANCH DR</v>
      </c>
      <c r="C1438" s="1" t="str">
        <f>IFERROR(__xludf.DUMMYFUNCTION("""COMPUTED_VALUE"""),"Ruther Glen")</f>
        <v>Ruther Glen</v>
      </c>
      <c r="D1438" s="1" t="str">
        <f>IFERROR(__xludf.DUMMYFUNCTION("""COMPUTED_VALUE"""),"VA")</f>
        <v>VA</v>
      </c>
      <c r="E1438" s="1" t="str">
        <f>IFERROR(__xludf.DUMMYFUNCTION("""COMPUTED_VALUE"""),"22546")</f>
        <v>22546</v>
      </c>
      <c r="F1438" s="1" t="str">
        <f>IFERROR(__xludf.DUMMYFUNCTION("""COMPUTED_VALUE"""),"Fairfax")</f>
        <v>Fairfax</v>
      </c>
      <c r="G1438" s="1" t="str">
        <f>IFERROR(__xludf.DUMMYFUNCTION("""COMPUTED_VALUE"""),"38.932384")</f>
        <v>38.932384</v>
      </c>
      <c r="H1438" s="1" t="str">
        <f>IFERROR(__xludf.DUMMYFUNCTION("""COMPUTED_VALUE"""),"-77.21859")</f>
        <v>-77.21859</v>
      </c>
      <c r="I1438" s="1" t="str">
        <f>IFERROR(__xludf.DUMMYFUNCTION("""COMPUTED_VALUE"""),"Operating")</f>
        <v>Operating</v>
      </c>
      <c r="J1438" s="1" t="str">
        <f>IFERROR(__xludf.DUMMYFUNCTION("""COMPUTED_VALUE"""),"High")</f>
        <v>High</v>
      </c>
      <c r="K1438" s="1" t="str">
        <f>IFERROR(__xludf.DUMMYFUNCTION("""COMPUTED_VALUE"""),"")</f>
        <v/>
      </c>
      <c r="L1438" s="1" t="str">
        <f>IFERROR(__xludf.DUMMYFUNCTION("""COMPUTED_VALUE"""),"TAMARES 7950 OWNER LLC")</f>
        <v>TAMARES 7950 OWNER LLC</v>
      </c>
      <c r="M1438" s="1" t="str">
        <f>IFERROR(__xludf.DUMMYFUNCTION("""COMPUTED_VALUE"""),"")</f>
        <v/>
      </c>
      <c r="N1438" s="1" t="str">
        <f>IFERROR(__xludf.DUMMYFUNCTION("""COMPUTED_VALUE"""),"")</f>
        <v/>
      </c>
      <c r="O1438" s="1" t="str">
        <f>IFERROR(__xludf.DUMMYFUNCTION("""COMPUTED_VALUE"""),"Unknown")</f>
        <v>Unknown</v>
      </c>
      <c r="P1438" s="1" t="str">
        <f>IFERROR(__xludf.DUMMYFUNCTION("""COMPUTED_VALUE"""),"")</f>
        <v/>
      </c>
      <c r="Q1438" s="1" t="str">
        <f>IFERROR(__xludf.DUMMYFUNCTION("""COMPUTED_VALUE"""),"")</f>
        <v/>
      </c>
      <c r="R1438" s="1" t="str">
        <f>IFERROR(__xludf.DUMMYFUNCTION("""COMPUTED_VALUE"""),"")</f>
        <v/>
      </c>
      <c r="S1438" s="1" t="str">
        <f>IFERROR(__xludf.DUMMYFUNCTION("""COMPUTED_VALUE"""),"")</f>
        <v/>
      </c>
      <c r="T1438" s="1" t="str">
        <f>IFERROR(__xludf.DUMMYFUNCTION("""COMPUTED_VALUE"""),"")</f>
        <v/>
      </c>
      <c r="U1438" s="1" t="str">
        <f>IFERROR(__xludf.DUMMYFUNCTION("""COMPUTED_VALUE"""),"")</f>
        <v/>
      </c>
      <c r="V1438" s="1" t="str">
        <f>IFERROR(__xludf.DUMMYFUNCTION("""COMPUTED_VALUE"""),"842,366")</f>
        <v>842,366</v>
      </c>
      <c r="W1438" s="1" t="str">
        <f>IFERROR(__xludf.DUMMYFUNCTION("""COMPUTED_VALUE"""),"17")</f>
        <v>17</v>
      </c>
      <c r="X1438" s="1" t="str">
        <f>IFERROR(__xludf.DUMMYFUNCTION("""COMPUTED_VALUE"""),"")</f>
        <v/>
      </c>
      <c r="Y1438" s="1" t="str">
        <f>IFERROR(__xludf.DUMMYFUNCTION("""COMPUTED_VALUE"""),"")</f>
        <v/>
      </c>
      <c r="Z1438" s="1" t="str">
        <f>IFERROR(__xludf.DUMMYFUNCTION("""COMPUTED_VALUE"""),"Unknown")</f>
        <v>Unknown</v>
      </c>
      <c r="AA1438" s="1" t="str">
        <f>IFERROR(__xludf.DUMMYFUNCTION("""COMPUTED_VALUE"""),"")</f>
        <v/>
      </c>
      <c r="AB1438" s="1" t="str">
        <f>IFERROR(__xludf.DUMMYFUNCTION("""COMPUTED_VALUE"""),"")</f>
        <v/>
      </c>
      <c r="AC1438" s="1" t="str">
        <f>IFERROR(__xludf.DUMMYFUNCTION("""COMPUTED_VALUE"""),"")</f>
        <v/>
      </c>
      <c r="AD1438" s="1" t="str">
        <f>IFERROR(__xludf.DUMMYFUNCTION("""COMPUTED_VALUE"""),"")</f>
        <v/>
      </c>
      <c r="AE1438" s="1" t="str">
        <f>IFERROR(__xludf.DUMMYFUNCTION("""COMPUTED_VALUE"""),"")</f>
        <v/>
      </c>
      <c r="AF1438" s="1" t="str">
        <f>IFERROR(__xludf.DUMMYFUNCTION("""COMPUTED_VALUE"""),"")</f>
        <v/>
      </c>
      <c r="AG1438" s="1" t="str">
        <f>IFERROR(__xludf.DUMMYFUNCTION("""COMPUTED_VALUE"""),"")</f>
        <v/>
      </c>
      <c r="AH1438" s="1" t="str">
        <f>IFERROR(__xludf.DUMMYFUNCTION("""COMPUTED_VALUE"""),"PEC")</f>
        <v>PEC</v>
      </c>
      <c r="AI1438" s="2" t="str">
        <f>IFERROR(__xludf.DUMMYFUNCTION("""COMPUTED_VALUE"""),"https://icare.fairfaxcounty.gov/ffxcare/Datalets/Datalet.aspx?mode=&amp;UseSearch=no&amp;pin=0292%2015%20%20%20%20%20%20C1&amp;jur=129&amp;taxyr=2025")</f>
        <v>https://icare.fairfaxcounty.gov/ffxcare/Datalets/Datalet.aspx?mode=&amp;UseSearch=no&amp;pin=0292%2015%20%20%20%20%20%20C1&amp;jur=129&amp;taxyr=2025</v>
      </c>
      <c r="AJ1438" s="1" t="str">
        <f>IFERROR(__xludf.DUMMYFUNCTION("""COMPUTED_VALUE"""),"")</f>
        <v/>
      </c>
      <c r="AK1438" s="1" t="str">
        <f>IFERROR(__xludf.DUMMYFUNCTION("""COMPUTED_VALUE"""),"")</f>
        <v/>
      </c>
      <c r="AL1438" s="1" t="str">
        <f>IFERROR(__xludf.DUMMYFUNCTION("""COMPUTED_VALUE"""),"")</f>
        <v/>
      </c>
      <c r="AM1438" s="1" t="str">
        <f>IFERROR(__xludf.DUMMYFUNCTION("""COMPUTED_VALUE"""),"")</f>
        <v/>
      </c>
      <c r="AN1438" s="1" t="str">
        <f>IFERROR(__xludf.DUMMYFUNCTION("""COMPUTED_VALUE"""),"")</f>
        <v/>
      </c>
      <c r="AO1438" s="1" t="str">
        <f>IFERROR(__xludf.DUMMYFUNCTION("""COMPUTED_VALUE"""),"")</f>
        <v/>
      </c>
      <c r="AP1438" s="1" t="str">
        <f>IFERROR(__xludf.DUMMYFUNCTION("""COMPUTED_VALUE"""),"")</f>
        <v/>
      </c>
      <c r="AQ1438" s="1" t="str">
        <f>IFERROR(__xludf.DUMMYFUNCTION("""COMPUTED_VALUE"""),"04/10/2024")</f>
        <v>04/10/2024</v>
      </c>
      <c r="AR1438" s="1" t="str">
        <f>IFERROR(__xludf.DUMMYFUNCTION("""COMPUTED_VALUE"""),"10/17/2025")</f>
        <v>10/17/2025</v>
      </c>
    </row>
    <row r="1439">
      <c r="A1439" s="1" t="str">
        <f>IFERROR(__xludf.DUMMYFUNCTION("""COMPUTED_VALUE"""),"Google Data Center")</f>
        <v>Google Data Center</v>
      </c>
      <c r="B1439" s="1" t="str">
        <f>IFERROR(__xludf.DUMMYFUNCTION("""COMPUTED_VALUE"""),"Glenmary Dr")</f>
        <v>Glenmary Dr</v>
      </c>
      <c r="C1439" s="1" t="str">
        <f>IFERROR(__xludf.DUMMYFUNCTION("""COMPUTED_VALUE"""),"Salem")</f>
        <v>Salem</v>
      </c>
      <c r="D1439" s="1" t="str">
        <f>IFERROR(__xludf.DUMMYFUNCTION("""COMPUTED_VALUE"""),"VA")</f>
        <v>VA</v>
      </c>
      <c r="E1439" s="1" t="str">
        <f>IFERROR(__xludf.DUMMYFUNCTION("""COMPUTED_VALUE"""),"24153")</f>
        <v>24153</v>
      </c>
      <c r="F1439" s="1" t="str">
        <f>IFERROR(__xludf.DUMMYFUNCTION("""COMPUTED_VALUE"""),"Roanoke")</f>
        <v>Roanoke</v>
      </c>
      <c r="G1439" s="1" t="str">
        <f>IFERROR(__xludf.DUMMYFUNCTION("""COMPUTED_VALUE"""),"37.2685")</f>
        <v>37.2685</v>
      </c>
      <c r="H1439" s="1" t="str">
        <f>IFERROR(__xludf.DUMMYFUNCTION("""COMPUTED_VALUE"""),"-80.1678")</f>
        <v>-80.1678</v>
      </c>
      <c r="I1439" s="1" t="str">
        <f>IFERROR(__xludf.DUMMYFUNCTION("""COMPUTED_VALUE"""),"Proposed")</f>
        <v>Proposed</v>
      </c>
      <c r="J1439" s="1" t="str">
        <f>IFERROR(__xludf.DUMMYFUNCTION("""COMPUTED_VALUE"""),"Medium")</f>
        <v>Medium</v>
      </c>
      <c r="K1439" s="1" t="str">
        <f>IFERROR(__xludf.DUMMYFUNCTION("""COMPUTED_VALUE"""),"")</f>
        <v/>
      </c>
      <c r="L1439" s="1" t="str">
        <f>IFERROR(__xludf.DUMMYFUNCTION("""COMPUTED_VALUE"""),"Google")</f>
        <v>Google</v>
      </c>
      <c r="M1439" s="1" t="str">
        <f>IFERROR(__xludf.DUMMYFUNCTION("""COMPUTED_VALUE"""),"")</f>
        <v/>
      </c>
      <c r="N1439" s="1" t="str">
        <f>IFERROR(__xludf.DUMMYFUNCTION("""COMPUTED_VALUE"""),"")</f>
        <v/>
      </c>
      <c r="O1439" s="1" t="str">
        <f>IFERROR(__xludf.DUMMYFUNCTION("""COMPUTED_VALUE"""),"Unknown")</f>
        <v>Unknown</v>
      </c>
      <c r="P1439" s="1" t="str">
        <f>IFERROR(__xludf.DUMMYFUNCTION("""COMPUTED_VALUE"""),"")</f>
        <v/>
      </c>
      <c r="Q1439" s="1" t="str">
        <f>IFERROR(__xludf.DUMMYFUNCTION("""COMPUTED_VALUE"""),"")</f>
        <v/>
      </c>
      <c r="R1439" s="1" t="str">
        <f>IFERROR(__xludf.DUMMYFUNCTION("""COMPUTED_VALUE"""),"")</f>
        <v/>
      </c>
      <c r="S1439" s="1" t="str">
        <f>IFERROR(__xludf.DUMMYFUNCTION("""COMPUTED_VALUE"""),"")</f>
        <v/>
      </c>
      <c r="T1439" s="1" t="str">
        <f>IFERROR(__xludf.DUMMYFUNCTION("""COMPUTED_VALUE"""),"")</f>
        <v/>
      </c>
      <c r="U1439" s="1" t="str">
        <f>IFERROR(__xludf.DUMMYFUNCTION("""COMPUTED_VALUE"""),"")</f>
        <v/>
      </c>
      <c r="V1439" s="1" t="str">
        <f>IFERROR(__xludf.DUMMYFUNCTION("""COMPUTED_VALUE"""),"")</f>
        <v/>
      </c>
      <c r="W1439" s="1" t="str">
        <f>IFERROR(__xludf.DUMMYFUNCTION("""COMPUTED_VALUE"""),"")</f>
        <v/>
      </c>
      <c r="X1439" s="1" t="str">
        <f>IFERROR(__xludf.DUMMYFUNCTION("""COMPUTED_VALUE"""),"")</f>
        <v/>
      </c>
      <c r="Y1439" s="1" t="str">
        <f>IFERROR(__xludf.DUMMYFUNCTION("""COMPUTED_VALUE"""),"")</f>
        <v/>
      </c>
      <c r="Z1439" s="1" t="str">
        <f>IFERROR(__xludf.DUMMYFUNCTION("""COMPUTED_VALUE"""),"Unknown")</f>
        <v>Unknown</v>
      </c>
      <c r="AA1439" s="1" t="str">
        <f>IFERROR(__xludf.DUMMYFUNCTION("""COMPUTED_VALUE"""),"")</f>
        <v/>
      </c>
      <c r="AB1439" s="1" t="str">
        <f>IFERROR(__xludf.DUMMYFUNCTION("""COMPUTED_VALUE"""),"")</f>
        <v/>
      </c>
      <c r="AC1439" s="1" t="str">
        <f>IFERROR(__xludf.DUMMYFUNCTION("""COMPUTED_VALUE"""),"")</f>
        <v/>
      </c>
      <c r="AD1439" s="1" t="str">
        <f>IFERROR(__xludf.DUMMYFUNCTION("""COMPUTED_VALUE"""),"")</f>
        <v/>
      </c>
      <c r="AE1439" s="1" t="str">
        <f>IFERROR(__xludf.DUMMYFUNCTION("""COMPUTED_VALUE"""),"")</f>
        <v/>
      </c>
      <c r="AF1439" s="1" t="str">
        <f>IFERROR(__xludf.DUMMYFUNCTION("""COMPUTED_VALUE"""),"")</f>
        <v/>
      </c>
      <c r="AG1439" s="1" t="str">
        <f>IFERROR(__xludf.DUMMYFUNCTION("""COMPUTED_VALUE"""),"")</f>
        <v/>
      </c>
      <c r="AH1439" s="1" t="str">
        <f>IFERROR(__xludf.DUMMYFUNCTION("""COMPUTED_VALUE"""),"Media Monitoring")</f>
        <v>Media Monitoring</v>
      </c>
      <c r="AI1439" s="2" t="str">
        <f>IFERROR(__xludf.DUMMYFUNCTION("""COMPUTED_VALUE"""),"https://www.roanokerambler.com/with-1-billion-google-data-center-deal-inked-the-roanoke-valley-enters-the-game/")</f>
        <v>https://www.roanokerambler.com/with-1-billion-google-data-center-deal-inked-the-roanoke-valley-enters-the-game/</v>
      </c>
      <c r="AJ1439" s="1" t="str">
        <f>IFERROR(__xludf.DUMMYFUNCTION("""COMPUTED_VALUE"""),"")</f>
        <v/>
      </c>
      <c r="AK1439" s="1" t="str">
        <f>IFERROR(__xludf.DUMMYFUNCTION("""COMPUTED_VALUE"""),"")</f>
        <v/>
      </c>
      <c r="AL1439" s="1" t="str">
        <f>IFERROR(__xludf.DUMMYFUNCTION("""COMPUTED_VALUE"""),"")</f>
        <v/>
      </c>
      <c r="AM1439" s="1" t="str">
        <f>IFERROR(__xludf.DUMMYFUNCTION("""COMPUTED_VALUE"""),"")</f>
        <v/>
      </c>
      <c r="AN1439" s="1" t="str">
        <f>IFERROR(__xludf.DUMMYFUNCTION("""COMPUTED_VALUE"""),"")</f>
        <v/>
      </c>
      <c r="AO1439" s="1" t="str">
        <f>IFERROR(__xludf.DUMMYFUNCTION("""COMPUTED_VALUE"""),"")</f>
        <v/>
      </c>
      <c r="AP1439" s="1" t="str">
        <f>IFERROR(__xludf.DUMMYFUNCTION("""COMPUTED_VALUE"""),"")</f>
        <v/>
      </c>
      <c r="AQ1439" s="1" t="str">
        <f>IFERROR(__xludf.DUMMYFUNCTION("""COMPUTED_VALUE"""),"07/18/2025")</f>
        <v>07/18/2025</v>
      </c>
      <c r="AR1439" s="1" t="str">
        <f>IFERROR(__xludf.DUMMYFUNCTION("""COMPUTED_VALUE"""),"07/18/2025")</f>
        <v>07/18/2025</v>
      </c>
    </row>
    <row r="1440">
      <c r="A1440" s="1" t="str">
        <f>IFERROR(__xludf.DUMMYFUNCTION("""COMPUTED_VALUE"""),"Atlantic Crossing")</f>
        <v>Atlantic Crossing</v>
      </c>
      <c r="B1440" s="1" t="str">
        <f>IFERROR(__xludf.DUMMYFUNCTION("""COMPUTED_VALUE"""),"2801 OLD WILLIAMSBURG RD")</f>
        <v>2801 OLD WILLIAMSBURG RD</v>
      </c>
      <c r="C1440" s="1" t="str">
        <f>IFERROR(__xludf.DUMMYFUNCTION("""COMPUTED_VALUE"""),"Sandston")</f>
        <v>Sandston</v>
      </c>
      <c r="D1440" s="1" t="str">
        <f>IFERROR(__xludf.DUMMYFUNCTION("""COMPUTED_VALUE"""),"VA")</f>
        <v>VA</v>
      </c>
      <c r="E1440" s="1" t="str">
        <f>IFERROR(__xludf.DUMMYFUNCTION("""COMPUTED_VALUE"""),"23150")</f>
        <v>23150</v>
      </c>
      <c r="F1440" s="1" t="str">
        <f>IFERROR(__xludf.DUMMYFUNCTION("""COMPUTED_VALUE"""),"Henrico")</f>
        <v>Henrico</v>
      </c>
      <c r="G1440" s="1" t="str">
        <f>IFERROR(__xludf.DUMMYFUNCTION("""COMPUTED_VALUE"""),"37.504288")</f>
        <v>37.504288</v>
      </c>
      <c r="H1440" s="1" t="str">
        <f>IFERROR(__xludf.DUMMYFUNCTION("""COMPUTED_VALUE"""),"-77.26043")</f>
        <v>-77.26043</v>
      </c>
      <c r="I1440" s="1" t="str">
        <f>IFERROR(__xludf.DUMMYFUNCTION("""COMPUTED_VALUE"""),"Proposed")</f>
        <v>Proposed</v>
      </c>
      <c r="J1440" s="1" t="str">
        <f>IFERROR(__xludf.DUMMYFUNCTION("""COMPUTED_VALUE"""),"High")</f>
        <v>High</v>
      </c>
      <c r="K1440" s="1" t="str">
        <f>IFERROR(__xludf.DUMMYFUNCTION("""COMPUTED_VALUE"""),"")</f>
        <v/>
      </c>
      <c r="L1440" s="1" t="str">
        <f>IFERROR(__xludf.DUMMYFUNCTION("""COMPUTED_VALUE"""),"ATLANTIC CROSSING LLC")</f>
        <v>ATLANTIC CROSSING LLC</v>
      </c>
      <c r="M1440" s="1" t="str">
        <f>IFERROR(__xludf.DUMMYFUNCTION("""COMPUTED_VALUE"""),"")</f>
        <v/>
      </c>
      <c r="N1440" s="1" t="str">
        <f>IFERROR(__xludf.DUMMYFUNCTION("""COMPUTED_VALUE"""),"")</f>
        <v/>
      </c>
      <c r="O1440" s="1" t="str">
        <f>IFERROR(__xludf.DUMMYFUNCTION("""COMPUTED_VALUE"""),"Unknown")</f>
        <v>Unknown</v>
      </c>
      <c r="P1440" s="1" t="str">
        <f>IFERROR(__xludf.DUMMYFUNCTION("""COMPUTED_VALUE"""),"")</f>
        <v/>
      </c>
      <c r="Q1440" s="1" t="str">
        <f>IFERROR(__xludf.DUMMYFUNCTION("""COMPUTED_VALUE"""),"")</f>
        <v/>
      </c>
      <c r="R1440" s="1" t="str">
        <f>IFERROR(__xludf.DUMMYFUNCTION("""COMPUTED_VALUE"""),"")</f>
        <v/>
      </c>
      <c r="S1440" s="1" t="str">
        <f>IFERROR(__xludf.DUMMYFUNCTION("""COMPUTED_VALUE"""),"")</f>
        <v/>
      </c>
      <c r="T1440" s="1" t="str">
        <f>IFERROR(__xludf.DUMMYFUNCTION("""COMPUTED_VALUE"""),"")</f>
        <v/>
      </c>
      <c r="U1440" s="1" t="str">
        <f>IFERROR(__xludf.DUMMYFUNCTION("""COMPUTED_VALUE"""),"")</f>
        <v/>
      </c>
      <c r="V1440" s="1" t="str">
        <f>IFERROR(__xludf.DUMMYFUNCTION("""COMPUTED_VALUE"""),"")</f>
        <v/>
      </c>
      <c r="W1440" s="1" t="str">
        <f>IFERROR(__xludf.DUMMYFUNCTION("""COMPUTED_VALUE"""),"662")</f>
        <v>662</v>
      </c>
      <c r="X1440" s="1" t="str">
        <f>IFERROR(__xludf.DUMMYFUNCTION("""COMPUTED_VALUE"""),"")</f>
        <v/>
      </c>
      <c r="Y1440" s="1" t="str">
        <f>IFERROR(__xludf.DUMMYFUNCTION("""COMPUTED_VALUE"""),"")</f>
        <v/>
      </c>
      <c r="Z1440" s="1" t="str">
        <f>IFERROR(__xludf.DUMMYFUNCTION("""COMPUTED_VALUE"""),"Unknown")</f>
        <v>Unknown</v>
      </c>
      <c r="AA1440" s="1" t="str">
        <f>IFERROR(__xludf.DUMMYFUNCTION("""COMPUTED_VALUE"""),"")</f>
        <v/>
      </c>
      <c r="AB1440" s="1" t="str">
        <f>IFERROR(__xludf.DUMMYFUNCTION("""COMPUTED_VALUE"""),"")</f>
        <v/>
      </c>
      <c r="AC1440" s="1" t="str">
        <f>IFERROR(__xludf.DUMMYFUNCTION("""COMPUTED_VALUE"""),"")</f>
        <v/>
      </c>
      <c r="AD1440" s="1" t="str">
        <f>IFERROR(__xludf.DUMMYFUNCTION("""COMPUTED_VALUE"""),"")</f>
        <v/>
      </c>
      <c r="AE1440" s="1" t="str">
        <f>IFERROR(__xludf.DUMMYFUNCTION("""COMPUTED_VALUE"""),"")</f>
        <v/>
      </c>
      <c r="AF1440" s="1" t="str">
        <f>IFERROR(__xludf.DUMMYFUNCTION("""COMPUTED_VALUE"""),"")</f>
        <v/>
      </c>
      <c r="AG1440" s="1" t="str">
        <f>IFERROR(__xludf.DUMMYFUNCTION("""COMPUTED_VALUE"""),"")</f>
        <v/>
      </c>
      <c r="AH1440" s="1" t="str">
        <f>IFERROR(__xludf.DUMMYFUNCTION("""COMPUTED_VALUE"""),"PEC")</f>
        <v>PEC</v>
      </c>
      <c r="AI1440" s="2" t="str">
        <f>IFERROR(__xludf.DUMMYFUNCTION("""COMPUTED_VALUE"""),"https://www.datacenterdynamics.com/en/news/hourigan-files-for-320-acre-data-center-campus-outside-richmond-virginia/?emci=44212ab4-0fa0-ee11-bea1-002248223f36&amp;emdi=712e0f52-37a0-ee11-bea1-002248223f36&amp;ceid=11786847")</f>
        <v>https://www.datacenterdynamics.com/en/news/hourigan-files-for-320-acre-data-center-campus-outside-richmond-virginia/?emci=44212ab4-0fa0-ee11-bea1-002248223f36&amp;emdi=712e0f52-37a0-ee11-bea1-002248223f36&amp;ceid=11786847</v>
      </c>
      <c r="AJ1440" s="2" t="str">
        <f>IFERROR(__xludf.DUMMYFUNCTION("""COMPUTED_VALUE"""),"https://realestate.henrico.us/ords/cam/f?p=510101:5:::NO::P5_PARCEL_ID,P5_SEARCH_TYPE:840-713-3163,0")</f>
        <v>https://realestate.henrico.us/ords/cam/f?p=510101:5:::NO::P5_PARCEL_ID,P5_SEARCH_TYPE:840-713-3163,0</v>
      </c>
      <c r="AK1440" s="1" t="str">
        <f>IFERROR(__xludf.DUMMYFUNCTION("""COMPUTED_VALUE"""),"")</f>
        <v/>
      </c>
      <c r="AL1440" s="1" t="str">
        <f>IFERROR(__xludf.DUMMYFUNCTION("""COMPUTED_VALUE"""),"")</f>
        <v/>
      </c>
      <c r="AM1440" s="1" t="str">
        <f>IFERROR(__xludf.DUMMYFUNCTION("""COMPUTED_VALUE"""),"")</f>
        <v/>
      </c>
      <c r="AN1440" s="1" t="str">
        <f>IFERROR(__xludf.DUMMYFUNCTION("""COMPUTED_VALUE"""),"")</f>
        <v/>
      </c>
      <c r="AO1440" s="1" t="str">
        <f>IFERROR(__xludf.DUMMYFUNCTION("""COMPUTED_VALUE"""),"")</f>
        <v/>
      </c>
      <c r="AP1440" s="1" t="str">
        <f>IFERROR(__xludf.DUMMYFUNCTION("""COMPUTED_VALUE"""),"")</f>
        <v/>
      </c>
      <c r="AQ1440" s="1" t="str">
        <f>IFERROR(__xludf.DUMMYFUNCTION("""COMPUTED_VALUE"""),"05/16/2024")</f>
        <v>05/16/2024</v>
      </c>
      <c r="AR1440" s="1" t="str">
        <f>IFERROR(__xludf.DUMMYFUNCTION("""COMPUTED_VALUE"""),"10/17/2025")</f>
        <v>10/17/2025</v>
      </c>
    </row>
    <row r="1441">
      <c r="A1441" s="1" t="str">
        <f>IFERROR(__xludf.DUMMYFUNCTION("""COMPUTED_VALUE"""),"Bank of America")</f>
        <v>Bank of America</v>
      </c>
      <c r="B1441" s="1" t="str">
        <f>IFERROR(__xludf.DUMMYFUNCTION("""COMPUTED_VALUE"""),"6050 TECHNOLOGY CREEK DR")</f>
        <v>6050 TECHNOLOGY CREEK DR</v>
      </c>
      <c r="C1441" s="1" t="str">
        <f>IFERROR(__xludf.DUMMYFUNCTION("""COMPUTED_VALUE"""),"Sandston")</f>
        <v>Sandston</v>
      </c>
      <c r="D1441" s="1" t="str">
        <f>IFERROR(__xludf.DUMMYFUNCTION("""COMPUTED_VALUE"""),"VA")</f>
        <v>VA</v>
      </c>
      <c r="E1441" s="1" t="str">
        <f>IFERROR(__xludf.DUMMYFUNCTION("""COMPUTED_VALUE"""),"23150")</f>
        <v>23150</v>
      </c>
      <c r="F1441" s="1" t="str">
        <f>IFERROR(__xludf.DUMMYFUNCTION("""COMPUTED_VALUE"""),"Henrico")</f>
        <v>Henrico</v>
      </c>
      <c r="G1441" s="1" t="str">
        <f>IFERROR(__xludf.DUMMYFUNCTION("""COMPUTED_VALUE"""),"37.495663")</f>
        <v>37.495663</v>
      </c>
      <c r="H1441" s="1" t="str">
        <f>IFERROR(__xludf.DUMMYFUNCTION("""COMPUTED_VALUE"""),"-77.23808")</f>
        <v>-77.23808</v>
      </c>
      <c r="I1441" s="1" t="str">
        <f>IFERROR(__xludf.DUMMYFUNCTION("""COMPUTED_VALUE"""),"Operating")</f>
        <v>Operating</v>
      </c>
      <c r="J1441" s="1" t="str">
        <f>IFERROR(__xludf.DUMMYFUNCTION("""COMPUTED_VALUE"""),"High")</f>
        <v>High</v>
      </c>
      <c r="K1441" s="1" t="str">
        <f>IFERROR(__xludf.DUMMYFUNCTION("""COMPUTED_VALUE"""),"")</f>
        <v/>
      </c>
      <c r="L1441" s="1" t="str">
        <f>IFERROR(__xludf.DUMMYFUNCTION("""COMPUTED_VALUE"""),"Bank of America")</f>
        <v>Bank of America</v>
      </c>
      <c r="M1441" s="1" t="str">
        <f>IFERROR(__xludf.DUMMYFUNCTION("""COMPUTED_VALUE"""),"")</f>
        <v/>
      </c>
      <c r="N1441" s="1" t="str">
        <f>IFERROR(__xludf.DUMMYFUNCTION("""COMPUTED_VALUE"""),"")</f>
        <v/>
      </c>
      <c r="O1441" s="1" t="str">
        <f>IFERROR(__xludf.DUMMYFUNCTION("""COMPUTED_VALUE"""),"Unknown")</f>
        <v>Unknown</v>
      </c>
      <c r="P1441" s="1" t="str">
        <f>IFERROR(__xludf.DUMMYFUNCTION("""COMPUTED_VALUE"""),"")</f>
        <v/>
      </c>
      <c r="Q1441" s="1" t="str">
        <f>IFERROR(__xludf.DUMMYFUNCTION("""COMPUTED_VALUE"""),"")</f>
        <v/>
      </c>
      <c r="R1441" s="1" t="str">
        <f>IFERROR(__xludf.DUMMYFUNCTION("""COMPUTED_VALUE"""),"")</f>
        <v/>
      </c>
      <c r="S1441" s="1" t="str">
        <f>IFERROR(__xludf.DUMMYFUNCTION("""COMPUTED_VALUE"""),"")</f>
        <v/>
      </c>
      <c r="T1441" s="1" t="str">
        <f>IFERROR(__xludf.DUMMYFUNCTION("""COMPUTED_VALUE"""),"")</f>
        <v/>
      </c>
      <c r="U1441" s="1" t="str">
        <f>IFERROR(__xludf.DUMMYFUNCTION("""COMPUTED_VALUE"""),"")</f>
        <v/>
      </c>
      <c r="V1441" s="1" t="str">
        <f>IFERROR(__xludf.DUMMYFUNCTION("""COMPUTED_VALUE"""),"382,408")</f>
        <v>382,408</v>
      </c>
      <c r="W1441" s="1" t="str">
        <f>IFERROR(__xludf.DUMMYFUNCTION("""COMPUTED_VALUE"""),"65")</f>
        <v>65</v>
      </c>
      <c r="X1441" s="1" t="str">
        <f>IFERROR(__xludf.DUMMYFUNCTION("""COMPUTED_VALUE"""),"")</f>
        <v/>
      </c>
      <c r="Y1441" s="1" t="str">
        <f>IFERROR(__xludf.DUMMYFUNCTION("""COMPUTED_VALUE"""),"")</f>
        <v/>
      </c>
      <c r="Z1441" s="1" t="str">
        <f>IFERROR(__xludf.DUMMYFUNCTION("""COMPUTED_VALUE"""),"Unknown")</f>
        <v>Unknown</v>
      </c>
      <c r="AA1441" s="1" t="str">
        <f>IFERROR(__xludf.DUMMYFUNCTION("""COMPUTED_VALUE"""),"")</f>
        <v/>
      </c>
      <c r="AB1441" s="1" t="str">
        <f>IFERROR(__xludf.DUMMYFUNCTION("""COMPUTED_VALUE"""),"")</f>
        <v/>
      </c>
      <c r="AC1441" s="1" t="str">
        <f>IFERROR(__xludf.DUMMYFUNCTION("""COMPUTED_VALUE"""),"")</f>
        <v/>
      </c>
      <c r="AD1441" s="1" t="str">
        <f>IFERROR(__xludf.DUMMYFUNCTION("""COMPUTED_VALUE"""),"")</f>
        <v/>
      </c>
      <c r="AE1441" s="1" t="str">
        <f>IFERROR(__xludf.DUMMYFUNCTION("""COMPUTED_VALUE"""),"")</f>
        <v/>
      </c>
      <c r="AF1441" s="1" t="str">
        <f>IFERROR(__xludf.DUMMYFUNCTION("""COMPUTED_VALUE"""),"")</f>
        <v/>
      </c>
      <c r="AG1441" s="1" t="str">
        <f>IFERROR(__xludf.DUMMYFUNCTION("""COMPUTED_VALUE"""),"")</f>
        <v/>
      </c>
      <c r="AH1441" s="1" t="str">
        <f>IFERROR(__xludf.DUMMYFUNCTION("""COMPUTED_VALUE"""),"PEC")</f>
        <v>PEC</v>
      </c>
      <c r="AI1441" s="2" t="str">
        <f>IFERROR(__xludf.DUMMYFUNCTION("""COMPUTED_VALUE"""),"https://realestate.henrico.us/ords/cam/f?p=510101:5:::NO::P5_PARCEL_ID,P5_SEARCH_TYPE:849-706-0950,0")</f>
        <v>https://realestate.henrico.us/ords/cam/f?p=510101:5:::NO::P5_PARCEL_ID,P5_SEARCH_TYPE:849-706-0950,0</v>
      </c>
      <c r="AJ1441" s="1" t="str">
        <f>IFERROR(__xludf.DUMMYFUNCTION("""COMPUTED_VALUE"""),"")</f>
        <v/>
      </c>
      <c r="AK1441" s="1" t="str">
        <f>IFERROR(__xludf.DUMMYFUNCTION("""COMPUTED_VALUE"""),"")</f>
        <v/>
      </c>
      <c r="AL1441" s="1" t="str">
        <f>IFERROR(__xludf.DUMMYFUNCTION("""COMPUTED_VALUE"""),"")</f>
        <v/>
      </c>
      <c r="AM1441" s="1" t="str">
        <f>IFERROR(__xludf.DUMMYFUNCTION("""COMPUTED_VALUE"""),"")</f>
        <v/>
      </c>
      <c r="AN1441" s="1" t="str">
        <f>IFERROR(__xludf.DUMMYFUNCTION("""COMPUTED_VALUE"""),"")</f>
        <v/>
      </c>
      <c r="AO1441" s="1" t="str">
        <f>IFERROR(__xludf.DUMMYFUNCTION("""COMPUTED_VALUE"""),"")</f>
        <v/>
      </c>
      <c r="AP1441" s="1" t="str">
        <f>IFERROR(__xludf.DUMMYFUNCTION("""COMPUTED_VALUE"""),"")</f>
        <v/>
      </c>
      <c r="AQ1441" s="1" t="str">
        <f>IFERROR(__xludf.DUMMYFUNCTION("""COMPUTED_VALUE"""),"04/10/2024")</f>
        <v>04/10/2024</v>
      </c>
      <c r="AR1441" s="1" t="str">
        <f>IFERROR(__xludf.DUMMYFUNCTION("""COMPUTED_VALUE"""),"10/17/2025")</f>
        <v>10/17/2025</v>
      </c>
    </row>
    <row r="1442">
      <c r="A1442" s="1" t="str">
        <f>IFERROR(__xludf.DUMMYFUNCTION("""COMPUTED_VALUE"""),"Meta Henrico Data Center")</f>
        <v>Meta Henrico Data Center</v>
      </c>
      <c r="B1442" s="1" t="str">
        <f>IFERROR(__xludf.DUMMYFUNCTION("""COMPUTED_VALUE"""),"6200 TECHNOLOGY BLVD")</f>
        <v>6200 TECHNOLOGY BLVD</v>
      </c>
      <c r="C1442" s="1" t="str">
        <f>IFERROR(__xludf.DUMMYFUNCTION("""COMPUTED_VALUE"""),"Sandston")</f>
        <v>Sandston</v>
      </c>
      <c r="D1442" s="1" t="str">
        <f>IFERROR(__xludf.DUMMYFUNCTION("""COMPUTED_VALUE"""),"VA")</f>
        <v>VA</v>
      </c>
      <c r="E1442" s="1" t="str">
        <f>IFERROR(__xludf.DUMMYFUNCTION("""COMPUTED_VALUE"""),"23150")</f>
        <v>23150</v>
      </c>
      <c r="F1442" s="1" t="str">
        <f>IFERROR(__xludf.DUMMYFUNCTION("""COMPUTED_VALUE"""),"Henrico")</f>
        <v>Henrico</v>
      </c>
      <c r="G1442" s="1" t="str">
        <f>IFERROR(__xludf.DUMMYFUNCTION("""COMPUTED_VALUE"""),"37.48185")</f>
        <v>37.48185</v>
      </c>
      <c r="H1442" s="1" t="str">
        <f>IFERROR(__xludf.DUMMYFUNCTION("""COMPUTED_VALUE"""),"-77.236465")</f>
        <v>-77.236465</v>
      </c>
      <c r="I1442" s="1" t="str">
        <f>IFERROR(__xludf.DUMMYFUNCTION("""COMPUTED_VALUE"""),"Operating")</f>
        <v>Operating</v>
      </c>
      <c r="J1442" s="1" t="str">
        <f>IFERROR(__xludf.DUMMYFUNCTION("""COMPUTED_VALUE"""),"High")</f>
        <v>High</v>
      </c>
      <c r="K1442" s="1" t="str">
        <f>IFERROR(__xludf.DUMMYFUNCTION("""COMPUTED_VALUE"""),"")</f>
        <v/>
      </c>
      <c r="L1442" s="1" t="str">
        <f>IFERROR(__xludf.DUMMYFUNCTION("""COMPUTED_VALUE"""),"Meta")</f>
        <v>Meta</v>
      </c>
      <c r="M1442" s="1" t="str">
        <f>IFERROR(__xludf.DUMMYFUNCTION("""COMPUTED_VALUE"""),"")</f>
        <v/>
      </c>
      <c r="N1442" s="1" t="str">
        <f>IFERROR(__xludf.DUMMYFUNCTION("""COMPUTED_VALUE"""),"")</f>
        <v/>
      </c>
      <c r="O1442" s="1" t="str">
        <f>IFERROR(__xludf.DUMMYFUNCTION("""COMPUTED_VALUE"""),"Unknown")</f>
        <v>Unknown</v>
      </c>
      <c r="P1442" s="1" t="str">
        <f>IFERROR(__xludf.DUMMYFUNCTION("""COMPUTED_VALUE"""),"")</f>
        <v/>
      </c>
      <c r="Q1442" s="1" t="str">
        <f>IFERROR(__xludf.DUMMYFUNCTION("""COMPUTED_VALUE"""),"")</f>
        <v/>
      </c>
      <c r="R1442" s="1" t="str">
        <f>IFERROR(__xludf.DUMMYFUNCTION("""COMPUTED_VALUE"""),"")</f>
        <v/>
      </c>
      <c r="S1442" s="1" t="str">
        <f>IFERROR(__xludf.DUMMYFUNCTION("""COMPUTED_VALUE"""),"")</f>
        <v/>
      </c>
      <c r="T1442" s="1" t="str">
        <f>IFERROR(__xludf.DUMMYFUNCTION("""COMPUTED_VALUE"""),"")</f>
        <v/>
      </c>
      <c r="U1442" s="1" t="str">
        <f>IFERROR(__xludf.DUMMYFUNCTION("""COMPUTED_VALUE"""),"")</f>
        <v/>
      </c>
      <c r="V1442" s="1" t="str">
        <f>IFERROR(__xludf.DUMMYFUNCTION("""COMPUTED_VALUE"""),"320,459")</f>
        <v>320,459</v>
      </c>
      <c r="W1442" s="1" t="str">
        <f>IFERROR(__xludf.DUMMYFUNCTION("""COMPUTED_VALUE"""),"172")</f>
        <v>172</v>
      </c>
      <c r="X1442" s="1" t="str">
        <f>IFERROR(__xludf.DUMMYFUNCTION("""COMPUTED_VALUE"""),"")</f>
        <v/>
      </c>
      <c r="Y1442" s="1" t="str">
        <f>IFERROR(__xludf.DUMMYFUNCTION("""COMPUTED_VALUE"""),"")</f>
        <v/>
      </c>
      <c r="Z1442" s="1" t="str">
        <f>IFERROR(__xludf.DUMMYFUNCTION("""COMPUTED_VALUE"""),"Unknown")</f>
        <v>Unknown</v>
      </c>
      <c r="AA1442" s="1" t="str">
        <f>IFERROR(__xludf.DUMMYFUNCTION("""COMPUTED_VALUE"""),"")</f>
        <v/>
      </c>
      <c r="AB1442" s="1" t="str">
        <f>IFERROR(__xludf.DUMMYFUNCTION("""COMPUTED_VALUE"""),"")</f>
        <v/>
      </c>
      <c r="AC1442" s="1" t="str">
        <f>IFERROR(__xludf.DUMMYFUNCTION("""COMPUTED_VALUE"""),"")</f>
        <v/>
      </c>
      <c r="AD1442" s="1" t="str">
        <f>IFERROR(__xludf.DUMMYFUNCTION("""COMPUTED_VALUE"""),"")</f>
        <v/>
      </c>
      <c r="AE1442" s="1" t="str">
        <f>IFERROR(__xludf.DUMMYFUNCTION("""COMPUTED_VALUE"""),"")</f>
        <v/>
      </c>
      <c r="AF1442" s="1" t="str">
        <f>IFERROR(__xludf.DUMMYFUNCTION("""COMPUTED_VALUE"""),"")</f>
        <v/>
      </c>
      <c r="AG1442" s="1" t="str">
        <f>IFERROR(__xludf.DUMMYFUNCTION("""COMPUTED_VALUE"""),"square footage may be underreported")</f>
        <v>square footage may be underreported</v>
      </c>
      <c r="AH1442" s="1" t="str">
        <f>IFERROR(__xludf.DUMMYFUNCTION("""COMPUTED_VALUE"""),"PEC")</f>
        <v>PEC</v>
      </c>
      <c r="AI1442" s="2" t="str">
        <f>IFERROR(__xludf.DUMMYFUNCTION("""COMPUTED_VALUE"""),"https://realestate.henrico.us/ords/cam/f?p=510101:5:::NO:::")</f>
        <v>https://realestate.henrico.us/ords/cam/f?p=510101:5:::NO:::</v>
      </c>
      <c r="AJ1442" s="1" t="str">
        <f>IFERROR(__xludf.DUMMYFUNCTION("""COMPUTED_VALUE"""),"")</f>
        <v/>
      </c>
      <c r="AK1442" s="1" t="str">
        <f>IFERROR(__xludf.DUMMYFUNCTION("""COMPUTED_VALUE"""),"")</f>
        <v/>
      </c>
      <c r="AL1442" s="1" t="str">
        <f>IFERROR(__xludf.DUMMYFUNCTION("""COMPUTED_VALUE"""),"")</f>
        <v/>
      </c>
      <c r="AM1442" s="1" t="str">
        <f>IFERROR(__xludf.DUMMYFUNCTION("""COMPUTED_VALUE"""),"")</f>
        <v/>
      </c>
      <c r="AN1442" s="1" t="str">
        <f>IFERROR(__xludf.DUMMYFUNCTION("""COMPUTED_VALUE"""),"")</f>
        <v/>
      </c>
      <c r="AO1442" s="1" t="str">
        <f>IFERROR(__xludf.DUMMYFUNCTION("""COMPUTED_VALUE"""),"")</f>
        <v/>
      </c>
      <c r="AP1442" s="1" t="str">
        <f>IFERROR(__xludf.DUMMYFUNCTION("""COMPUTED_VALUE"""),"")</f>
        <v/>
      </c>
      <c r="AQ1442" s="1" t="str">
        <f>IFERROR(__xludf.DUMMYFUNCTION("""COMPUTED_VALUE"""),"04/10/2024")</f>
        <v>04/10/2024</v>
      </c>
      <c r="AR1442" s="1" t="str">
        <f>IFERROR(__xludf.DUMMYFUNCTION("""COMPUTED_VALUE"""),"10/17/2025")</f>
        <v>10/17/2025</v>
      </c>
    </row>
    <row r="1443">
      <c r="A1443" s="1" t="str">
        <f>IFERROR(__xludf.DUMMYFUNCTION("""COMPUTED_VALUE"""),"Meta Richmond Data Center")</f>
        <v>Meta Richmond Data Center</v>
      </c>
      <c r="B1443" s="1" t="str">
        <f>IFERROR(__xludf.DUMMYFUNCTION("""COMPUTED_VALUE"""),"7301 TECHNOLOGY BLVD")</f>
        <v>7301 TECHNOLOGY BLVD</v>
      </c>
      <c r="C1443" s="1" t="str">
        <f>IFERROR(__xludf.DUMMYFUNCTION("""COMPUTED_VALUE"""),"Sandston")</f>
        <v>Sandston</v>
      </c>
      <c r="D1443" s="1" t="str">
        <f>IFERROR(__xludf.DUMMYFUNCTION("""COMPUTED_VALUE"""),"VA")</f>
        <v>VA</v>
      </c>
      <c r="E1443" s="1" t="str">
        <f>IFERROR(__xludf.DUMMYFUNCTION("""COMPUTED_VALUE"""),"23150")</f>
        <v>23150</v>
      </c>
      <c r="F1443" s="1" t="str">
        <f>IFERROR(__xludf.DUMMYFUNCTION("""COMPUTED_VALUE"""),"Henrico")</f>
        <v>Henrico</v>
      </c>
      <c r="G1443" s="1" t="str">
        <f>IFERROR(__xludf.DUMMYFUNCTION("""COMPUTED_VALUE"""),"37.47831")</f>
        <v>37.47831</v>
      </c>
      <c r="H1443" s="1" t="str">
        <f>IFERROR(__xludf.DUMMYFUNCTION("""COMPUTED_VALUE"""),"-77.22688")</f>
        <v>-77.22688</v>
      </c>
      <c r="I1443" s="1" t="str">
        <f>IFERROR(__xludf.DUMMYFUNCTION("""COMPUTED_VALUE"""),"Operating")</f>
        <v>Operating</v>
      </c>
      <c r="J1443" s="1" t="str">
        <f>IFERROR(__xludf.DUMMYFUNCTION("""COMPUTED_VALUE"""),"High")</f>
        <v>High</v>
      </c>
      <c r="K1443" s="1" t="str">
        <f>IFERROR(__xludf.DUMMYFUNCTION("""COMPUTED_VALUE"""),"")</f>
        <v/>
      </c>
      <c r="L1443" s="1" t="str">
        <f>IFERROR(__xludf.DUMMYFUNCTION("""COMPUTED_VALUE"""),"Meta")</f>
        <v>Meta</v>
      </c>
      <c r="M1443" s="1" t="str">
        <f>IFERROR(__xludf.DUMMYFUNCTION("""COMPUTED_VALUE"""),"")</f>
        <v/>
      </c>
      <c r="N1443" s="1" t="str">
        <f>IFERROR(__xludf.DUMMYFUNCTION("""COMPUTED_VALUE"""),"")</f>
        <v/>
      </c>
      <c r="O1443" s="1" t="str">
        <f>IFERROR(__xludf.DUMMYFUNCTION("""COMPUTED_VALUE"""),"Unknown")</f>
        <v>Unknown</v>
      </c>
      <c r="P1443" s="1" t="str">
        <f>IFERROR(__xludf.DUMMYFUNCTION("""COMPUTED_VALUE"""),"")</f>
        <v/>
      </c>
      <c r="Q1443" s="1" t="str">
        <f>IFERROR(__xludf.DUMMYFUNCTION("""COMPUTED_VALUE"""),"")</f>
        <v/>
      </c>
      <c r="R1443" s="1" t="str">
        <f>IFERROR(__xludf.DUMMYFUNCTION("""COMPUTED_VALUE"""),"")</f>
        <v/>
      </c>
      <c r="S1443" s="1" t="str">
        <f>IFERROR(__xludf.DUMMYFUNCTION("""COMPUTED_VALUE"""),"")</f>
        <v/>
      </c>
      <c r="T1443" s="1" t="str">
        <f>IFERROR(__xludf.DUMMYFUNCTION("""COMPUTED_VALUE"""),"")</f>
        <v/>
      </c>
      <c r="U1443" s="1" t="str">
        <f>IFERROR(__xludf.DUMMYFUNCTION("""COMPUTED_VALUE"""),"")</f>
        <v/>
      </c>
      <c r="V1443" s="1" t="str">
        <f>IFERROR(__xludf.DUMMYFUNCTION("""COMPUTED_VALUE"""),"338,899")</f>
        <v>338,899</v>
      </c>
      <c r="W1443" s="1" t="str">
        <f>IFERROR(__xludf.DUMMYFUNCTION("""COMPUTED_VALUE"""),"129")</f>
        <v>129</v>
      </c>
      <c r="X1443" s="1" t="str">
        <f>IFERROR(__xludf.DUMMYFUNCTION("""COMPUTED_VALUE"""),"")</f>
        <v/>
      </c>
      <c r="Y1443" s="1" t="str">
        <f>IFERROR(__xludf.DUMMYFUNCTION("""COMPUTED_VALUE"""),"")</f>
        <v/>
      </c>
      <c r="Z1443" s="1" t="str">
        <f>IFERROR(__xludf.DUMMYFUNCTION("""COMPUTED_VALUE"""),"Unknown")</f>
        <v>Unknown</v>
      </c>
      <c r="AA1443" s="1" t="str">
        <f>IFERROR(__xludf.DUMMYFUNCTION("""COMPUTED_VALUE"""),"")</f>
        <v/>
      </c>
      <c r="AB1443" s="1" t="str">
        <f>IFERROR(__xludf.DUMMYFUNCTION("""COMPUTED_VALUE"""),"")</f>
        <v/>
      </c>
      <c r="AC1443" s="1" t="str">
        <f>IFERROR(__xludf.DUMMYFUNCTION("""COMPUTED_VALUE"""),"")</f>
        <v/>
      </c>
      <c r="AD1443" s="1" t="str">
        <f>IFERROR(__xludf.DUMMYFUNCTION("""COMPUTED_VALUE"""),"")</f>
        <v/>
      </c>
      <c r="AE1443" s="1" t="str">
        <f>IFERROR(__xludf.DUMMYFUNCTION("""COMPUTED_VALUE"""),"")</f>
        <v/>
      </c>
      <c r="AF1443" s="1" t="str">
        <f>IFERROR(__xludf.DUMMYFUNCTION("""COMPUTED_VALUE"""),"")</f>
        <v/>
      </c>
      <c r="AG1443" s="1" t="str">
        <f>IFERROR(__xludf.DUMMYFUNCTION("""COMPUTED_VALUE"""),"")</f>
        <v/>
      </c>
      <c r="AH1443" s="1" t="str">
        <f>IFERROR(__xludf.DUMMYFUNCTION("""COMPUTED_VALUE"""),"PEC")</f>
        <v>PEC</v>
      </c>
      <c r="AI1443" s="2" t="str">
        <f>IFERROR(__xludf.DUMMYFUNCTION("""COMPUTED_VALUE"""),"https://realestate.henrico.us/ords/cam/f?p=510101:5:::NO::P5_PARCEL_ID,P5_SEARCH_TYPE:852-700-2714,0")</f>
        <v>https://realestate.henrico.us/ords/cam/f?p=510101:5:::NO::P5_PARCEL_ID,P5_SEARCH_TYPE:852-700-2714,0</v>
      </c>
      <c r="AJ1443" s="1" t="str">
        <f>IFERROR(__xludf.DUMMYFUNCTION("""COMPUTED_VALUE"""),"")</f>
        <v/>
      </c>
      <c r="AK1443" s="1" t="str">
        <f>IFERROR(__xludf.DUMMYFUNCTION("""COMPUTED_VALUE"""),"")</f>
        <v/>
      </c>
      <c r="AL1443" s="1" t="str">
        <f>IFERROR(__xludf.DUMMYFUNCTION("""COMPUTED_VALUE"""),"")</f>
        <v/>
      </c>
      <c r="AM1443" s="1" t="str">
        <f>IFERROR(__xludf.DUMMYFUNCTION("""COMPUTED_VALUE"""),"")</f>
        <v/>
      </c>
      <c r="AN1443" s="1" t="str">
        <f>IFERROR(__xludf.DUMMYFUNCTION("""COMPUTED_VALUE"""),"")</f>
        <v/>
      </c>
      <c r="AO1443" s="1" t="str">
        <f>IFERROR(__xludf.DUMMYFUNCTION("""COMPUTED_VALUE"""),"")</f>
        <v/>
      </c>
      <c r="AP1443" s="1" t="str">
        <f>IFERROR(__xludf.DUMMYFUNCTION("""COMPUTED_VALUE"""),"")</f>
        <v/>
      </c>
      <c r="AQ1443" s="1" t="str">
        <f>IFERROR(__xludf.DUMMYFUNCTION("""COMPUTED_VALUE"""),"04/10/2024")</f>
        <v>04/10/2024</v>
      </c>
      <c r="AR1443" s="1" t="str">
        <f>IFERROR(__xludf.DUMMYFUNCTION("""COMPUTED_VALUE"""),"10/17/2025")</f>
        <v>10/17/2025</v>
      </c>
    </row>
    <row r="1444">
      <c r="A1444" s="1" t="str">
        <f>IFERROR(__xludf.DUMMYFUNCTION("""COMPUTED_VALUE"""),"Project Tropical")</f>
        <v>Project Tropical</v>
      </c>
      <c r="B1444" s="1" t="str">
        <f>IFERROR(__xludf.DUMMYFUNCTION("""COMPUTED_VALUE"""),"3951 PORTUGEE RD")</f>
        <v>3951 PORTUGEE RD</v>
      </c>
      <c r="C1444" s="1" t="str">
        <f>IFERROR(__xludf.DUMMYFUNCTION("""COMPUTED_VALUE"""),"Sandston")</f>
        <v>Sandston</v>
      </c>
      <c r="D1444" s="1" t="str">
        <f>IFERROR(__xludf.DUMMYFUNCTION("""COMPUTED_VALUE"""),"VA")</f>
        <v>VA</v>
      </c>
      <c r="E1444" s="1" t="str">
        <f>IFERROR(__xludf.DUMMYFUNCTION("""COMPUTED_VALUE"""),"23150")</f>
        <v>23150</v>
      </c>
      <c r="F1444" s="1" t="str">
        <f>IFERROR(__xludf.DUMMYFUNCTION("""COMPUTED_VALUE"""),"Henrico")</f>
        <v>Henrico</v>
      </c>
      <c r="G1444" s="1" t="str">
        <f>IFERROR(__xludf.DUMMYFUNCTION("""COMPUTED_VALUE"""),"37.4738")</f>
        <v>37.4738</v>
      </c>
      <c r="H1444" s="1" t="str">
        <f>IFERROR(__xludf.DUMMYFUNCTION("""COMPUTED_VALUE"""),"-77.23478")</f>
        <v>-77.23478</v>
      </c>
      <c r="I1444" s="1" t="str">
        <f>IFERROR(__xludf.DUMMYFUNCTION("""COMPUTED_VALUE"""),"Expanding")</f>
        <v>Expanding</v>
      </c>
      <c r="J1444" s="1" t="str">
        <f>IFERROR(__xludf.DUMMYFUNCTION("""COMPUTED_VALUE"""),"High")</f>
        <v>High</v>
      </c>
      <c r="K1444" s="1" t="str">
        <f>IFERROR(__xludf.DUMMYFUNCTION("""COMPUTED_VALUE"""),"")</f>
        <v/>
      </c>
      <c r="L1444" s="1" t="str">
        <f>IFERROR(__xludf.DUMMYFUNCTION("""COMPUTED_VALUE"""),"Meta")</f>
        <v>Meta</v>
      </c>
      <c r="M1444" s="1" t="str">
        <f>IFERROR(__xludf.DUMMYFUNCTION("""COMPUTED_VALUE"""),"")</f>
        <v/>
      </c>
      <c r="N1444" s="1" t="str">
        <f>IFERROR(__xludf.DUMMYFUNCTION("""COMPUTED_VALUE"""),"")</f>
        <v/>
      </c>
      <c r="O1444" s="1" t="str">
        <f>IFERROR(__xludf.DUMMYFUNCTION("""COMPUTED_VALUE"""),"Unknown")</f>
        <v>Unknown</v>
      </c>
      <c r="P1444" s="1" t="str">
        <f>IFERROR(__xludf.DUMMYFUNCTION("""COMPUTED_VALUE"""),"")</f>
        <v/>
      </c>
      <c r="Q1444" s="1" t="str">
        <f>IFERROR(__xludf.DUMMYFUNCTION("""COMPUTED_VALUE"""),"")</f>
        <v/>
      </c>
      <c r="R1444" s="1" t="str">
        <f>IFERROR(__xludf.DUMMYFUNCTION("""COMPUTED_VALUE"""),"")</f>
        <v/>
      </c>
      <c r="S1444" s="1" t="str">
        <f>IFERROR(__xludf.DUMMYFUNCTION("""COMPUTED_VALUE"""),"")</f>
        <v/>
      </c>
      <c r="T1444" s="1" t="str">
        <f>IFERROR(__xludf.DUMMYFUNCTION("""COMPUTED_VALUE"""),"")</f>
        <v/>
      </c>
      <c r="U1444" s="1" t="str">
        <f>IFERROR(__xludf.DUMMYFUNCTION("""COMPUTED_VALUE"""),"")</f>
        <v/>
      </c>
      <c r="V1444" s="1" t="str">
        <f>IFERROR(__xludf.DUMMYFUNCTION("""COMPUTED_VALUE"""),"675,000")</f>
        <v>675,000</v>
      </c>
      <c r="W1444" s="1" t="str">
        <f>IFERROR(__xludf.DUMMYFUNCTION("""COMPUTED_VALUE"""),"475")</f>
        <v>475</v>
      </c>
      <c r="X1444" s="1" t="str">
        <f>IFERROR(__xludf.DUMMYFUNCTION("""COMPUTED_VALUE"""),"")</f>
        <v/>
      </c>
      <c r="Y1444" s="1" t="str">
        <f>IFERROR(__xludf.DUMMYFUNCTION("""COMPUTED_VALUE"""),"")</f>
        <v/>
      </c>
      <c r="Z1444" s="1" t="str">
        <f>IFERROR(__xludf.DUMMYFUNCTION("""COMPUTED_VALUE"""),"Unknown")</f>
        <v>Unknown</v>
      </c>
      <c r="AA1444" s="1" t="str">
        <f>IFERROR(__xludf.DUMMYFUNCTION("""COMPUTED_VALUE"""),"")</f>
        <v/>
      </c>
      <c r="AB1444" s="1" t="str">
        <f>IFERROR(__xludf.DUMMYFUNCTION("""COMPUTED_VALUE"""),"")</f>
        <v/>
      </c>
      <c r="AC1444" s="1" t="str">
        <f>IFERROR(__xludf.DUMMYFUNCTION("""COMPUTED_VALUE"""),"")</f>
        <v/>
      </c>
      <c r="AD1444" s="1" t="str">
        <f>IFERROR(__xludf.DUMMYFUNCTION("""COMPUTED_VALUE"""),"")</f>
        <v/>
      </c>
      <c r="AE1444" s="1" t="str">
        <f>IFERROR(__xludf.DUMMYFUNCTION("""COMPUTED_VALUE"""),"")</f>
        <v/>
      </c>
      <c r="AF1444" s="1" t="str">
        <f>IFERROR(__xludf.DUMMYFUNCTION("""COMPUTED_VALUE"""),"")</f>
        <v/>
      </c>
      <c r="AG1444" s="1" t="str">
        <f>IFERROR(__xludf.DUMMYFUNCTION("""COMPUTED_VALUE"""),"White Oak Tech Park Expansion")</f>
        <v>White Oak Tech Park Expansion</v>
      </c>
      <c r="AH1444" s="1" t="str">
        <f>IFERROR(__xludf.DUMMYFUNCTION("""COMPUTED_VALUE"""),"PEC")</f>
        <v>PEC</v>
      </c>
      <c r="AI1444" s="2" t="str">
        <f>IFERROR(__xludf.DUMMYFUNCTION("""COMPUTED_VALUE"""),"https://www3.co.henrico.va.us/comments/main.php?Permit=POD2022-00605&amp;Action=related&amp;Submit=Submit")</f>
        <v>https://www3.co.henrico.va.us/comments/main.php?Permit=POD2022-00605&amp;Action=related&amp;Submit=Submit</v>
      </c>
      <c r="AJ1444" s="2" t="str">
        <f>IFERROR(__xludf.DUMMYFUNCTION("""COMPUTED_VALUE"""),"https://realestate.henrico.us/ords/cam/f?p=510101:5:::NO::P5_PARCEL_ID,P5_SEARCH_TYPE:850-698-1623,0")</f>
        <v>https://realestate.henrico.us/ords/cam/f?p=510101:5:::NO::P5_PARCEL_ID,P5_SEARCH_TYPE:850-698-1623,0</v>
      </c>
      <c r="AK1444" s="1" t="str">
        <f>IFERROR(__xludf.DUMMYFUNCTION("""COMPUTED_VALUE"""),"")</f>
        <v/>
      </c>
      <c r="AL1444" s="1" t="str">
        <f>IFERROR(__xludf.DUMMYFUNCTION("""COMPUTED_VALUE"""),"")</f>
        <v/>
      </c>
      <c r="AM1444" s="1" t="str">
        <f>IFERROR(__xludf.DUMMYFUNCTION("""COMPUTED_VALUE"""),"")</f>
        <v/>
      </c>
      <c r="AN1444" s="1" t="str">
        <f>IFERROR(__xludf.DUMMYFUNCTION("""COMPUTED_VALUE"""),"")</f>
        <v/>
      </c>
      <c r="AO1444" s="1" t="str">
        <f>IFERROR(__xludf.DUMMYFUNCTION("""COMPUTED_VALUE"""),"")</f>
        <v/>
      </c>
      <c r="AP1444" s="1" t="str">
        <f>IFERROR(__xludf.DUMMYFUNCTION("""COMPUTED_VALUE"""),"")</f>
        <v/>
      </c>
      <c r="AQ1444" s="1" t="str">
        <f>IFERROR(__xludf.DUMMYFUNCTION("""COMPUTED_VALUE"""),"04/10/2024")</f>
        <v>04/10/2024</v>
      </c>
      <c r="AR1444" s="1" t="str">
        <f>IFERROR(__xludf.DUMMYFUNCTION("""COMPUTED_VALUE"""),"02/10/2026")</f>
        <v>02/10/2026</v>
      </c>
    </row>
    <row r="1445">
      <c r="A1445" s="1" t="str">
        <f>IFERROR(__xludf.DUMMYFUNCTION("""COMPUTED_VALUE"""),"Sandston Data Center Campus")</f>
        <v>Sandston Data Center Campus</v>
      </c>
      <c r="B1445" s="1" t="str">
        <f>IFERROR(__xludf.DUMMYFUNCTION("""COMPUTED_VALUE"""),"5900 Technology Blvd")</f>
        <v>5900 Technology Blvd</v>
      </c>
      <c r="C1445" s="1" t="str">
        <f>IFERROR(__xludf.DUMMYFUNCTION("""COMPUTED_VALUE"""),"Sandston")</f>
        <v>Sandston</v>
      </c>
      <c r="D1445" s="1" t="str">
        <f>IFERROR(__xludf.DUMMYFUNCTION("""COMPUTED_VALUE"""),"VA")</f>
        <v>VA</v>
      </c>
      <c r="E1445" s="1" t="str">
        <f>IFERROR(__xludf.DUMMYFUNCTION("""COMPUTED_VALUE"""),"23150")</f>
        <v>23150</v>
      </c>
      <c r="F1445" s="1" t="str">
        <f>IFERROR(__xludf.DUMMYFUNCTION("""COMPUTED_VALUE"""),"Henrico")</f>
        <v>Henrico</v>
      </c>
      <c r="G1445" s="1" t="str">
        <f>IFERROR(__xludf.DUMMYFUNCTION("""COMPUTED_VALUE"""),"37.47669")</f>
        <v>37.47669</v>
      </c>
      <c r="H1445" s="1" t="str">
        <f>IFERROR(__xludf.DUMMYFUNCTION("""COMPUTED_VALUE"""),"-77.2329")</f>
        <v>-77.2329</v>
      </c>
      <c r="I1445" s="1" t="str">
        <f>IFERROR(__xludf.DUMMYFUNCTION("""COMPUTED_VALUE"""),"Operating")</f>
        <v>Operating</v>
      </c>
      <c r="J1445" s="1" t="str">
        <f>IFERROR(__xludf.DUMMYFUNCTION("""COMPUTED_VALUE"""),"High")</f>
        <v>High</v>
      </c>
      <c r="K1445" s="1" t="str">
        <f>IFERROR(__xludf.DUMMYFUNCTION("""COMPUTED_VALUE"""),"")</f>
        <v/>
      </c>
      <c r="L1445" s="1" t="str">
        <f>IFERROR(__xludf.DUMMYFUNCTION("""COMPUTED_VALUE"""),"")</f>
        <v/>
      </c>
      <c r="M1445" s="1" t="str">
        <f>IFERROR(__xludf.DUMMYFUNCTION("""COMPUTED_VALUE"""),"")</f>
        <v/>
      </c>
      <c r="N1445" s="1" t="str">
        <f>IFERROR(__xludf.DUMMYFUNCTION("""COMPUTED_VALUE"""),"200")</f>
        <v>200</v>
      </c>
      <c r="O1445" s="1" t="str">
        <f>IFERROR(__xludf.DUMMYFUNCTION("""COMPUTED_VALUE"""),"Hyperscale (100-999 MW)")</f>
        <v>Hyperscale (100-999 MW)</v>
      </c>
      <c r="P1445" s="1" t="str">
        <f>IFERROR(__xludf.DUMMYFUNCTION("""COMPUTED_VALUE"""),"")</f>
        <v/>
      </c>
      <c r="Q1445" s="1" t="str">
        <f>IFERROR(__xludf.DUMMYFUNCTION("""COMPUTED_VALUE"""),"")</f>
        <v/>
      </c>
      <c r="R1445" s="1" t="str">
        <f>IFERROR(__xludf.DUMMYFUNCTION("""COMPUTED_VALUE"""),"")</f>
        <v/>
      </c>
      <c r="S1445" s="1" t="str">
        <f>IFERROR(__xludf.DUMMYFUNCTION("""COMPUTED_VALUE"""),"")</f>
        <v/>
      </c>
      <c r="T1445" s="1" t="str">
        <f>IFERROR(__xludf.DUMMYFUNCTION("""COMPUTED_VALUE"""),"")</f>
        <v/>
      </c>
      <c r="U1445" s="1" t="str">
        <f>IFERROR(__xludf.DUMMYFUNCTION("""COMPUTED_VALUE"""),"")</f>
        <v/>
      </c>
      <c r="V1445" s="1" t="str">
        <f>IFERROR(__xludf.DUMMYFUNCTION("""COMPUTED_VALUE"""),"1,000,000")</f>
        <v>1,000,000</v>
      </c>
      <c r="W1445" s="1" t="str">
        <f>IFERROR(__xludf.DUMMYFUNCTION("""COMPUTED_VALUE"""),"66")</f>
        <v>66</v>
      </c>
      <c r="X1445" s="1" t="str">
        <f>IFERROR(__xludf.DUMMYFUNCTION("""COMPUTED_VALUE"""),"")</f>
        <v/>
      </c>
      <c r="Y1445" s="1" t="str">
        <f>IFERROR(__xludf.DUMMYFUNCTION("""COMPUTED_VALUE"""),"")</f>
        <v/>
      </c>
      <c r="Z1445" s="1" t="str">
        <f>IFERROR(__xludf.DUMMYFUNCTION("""COMPUTED_VALUE"""),"Unknown")</f>
        <v>Unknown</v>
      </c>
      <c r="AA1445" s="1" t="str">
        <f>IFERROR(__xludf.DUMMYFUNCTION("""COMPUTED_VALUE"""),"")</f>
        <v/>
      </c>
      <c r="AB1445" s="1" t="str">
        <f>IFERROR(__xludf.DUMMYFUNCTION("""COMPUTED_VALUE"""),"")</f>
        <v/>
      </c>
      <c r="AC1445" s="1" t="str">
        <f>IFERROR(__xludf.DUMMYFUNCTION("""COMPUTED_VALUE"""),"")</f>
        <v/>
      </c>
      <c r="AD1445" s="1" t="str">
        <f>IFERROR(__xludf.DUMMYFUNCTION("""COMPUTED_VALUE"""),"")</f>
        <v/>
      </c>
      <c r="AE1445" s="1" t="str">
        <f>IFERROR(__xludf.DUMMYFUNCTION("""COMPUTED_VALUE"""),"")</f>
        <v/>
      </c>
      <c r="AF1445" s="1" t="str">
        <f>IFERROR(__xludf.DUMMYFUNCTION("""COMPUTED_VALUE"""),"")</f>
        <v/>
      </c>
      <c r="AG1445" s="1" t="str">
        <f>IFERROR(__xludf.DUMMYFUNCTION("""COMPUTED_VALUE"""),"")</f>
        <v/>
      </c>
      <c r="AH1445" s="1" t="str">
        <f>IFERROR(__xludf.DUMMYFUNCTION("""COMPUTED_VALUE"""),"Media Monitoring")</f>
        <v>Media Monitoring</v>
      </c>
      <c r="AI1445" s="2" t="str">
        <f>IFERROR(__xludf.DUMMYFUNCTION("""COMPUTED_VALUE"""),"https://www.datacenterdynamics.com/en/news/iron-mountain-starts-work-on-data-center-campus-near-richmond-virginia/")</f>
        <v>https://www.datacenterdynamics.com/en/news/iron-mountain-starts-work-on-data-center-campus-near-richmond-virginia/</v>
      </c>
      <c r="AJ1445" s="2" t="str">
        <f>IFERROR(__xludf.DUMMYFUNCTION("""COMPUTED_VALUE"""),"https://www.datacenterdynamics.com/en/news/qts-files-to-expand-richmond-data-center-campus-in-virginia/")</f>
        <v>https://www.datacenterdynamics.com/en/news/qts-files-to-expand-richmond-data-center-campus-in-virginia/</v>
      </c>
      <c r="AK1445" s="1" t="str">
        <f>IFERROR(__xludf.DUMMYFUNCTION("""COMPUTED_VALUE"""),"")</f>
        <v/>
      </c>
      <c r="AL1445" s="1" t="str">
        <f>IFERROR(__xludf.DUMMYFUNCTION("""COMPUTED_VALUE"""),"")</f>
        <v/>
      </c>
      <c r="AM1445" s="1" t="str">
        <f>IFERROR(__xludf.DUMMYFUNCTION("""COMPUTED_VALUE"""),"")</f>
        <v/>
      </c>
      <c r="AN1445" s="1" t="str">
        <f>IFERROR(__xludf.DUMMYFUNCTION("""COMPUTED_VALUE"""),"")</f>
        <v/>
      </c>
      <c r="AO1445" s="1" t="str">
        <f>IFERROR(__xludf.DUMMYFUNCTION("""COMPUTED_VALUE"""),"")</f>
        <v/>
      </c>
      <c r="AP1445" s="1" t="str">
        <f>IFERROR(__xludf.DUMMYFUNCTION("""COMPUTED_VALUE"""),"")</f>
        <v/>
      </c>
      <c r="AQ1445" s="1" t="str">
        <f>IFERROR(__xludf.DUMMYFUNCTION("""COMPUTED_VALUE"""),"05/26/2025")</f>
        <v>05/26/2025</v>
      </c>
      <c r="AR1445" s="1" t="str">
        <f>IFERROR(__xludf.DUMMYFUNCTION("""COMPUTED_VALUE"""),"06/12/2026")</f>
        <v>06/12/2026</v>
      </c>
    </row>
    <row r="1446">
      <c r="A1446" s="1" t="str">
        <f>IFERROR(__xludf.DUMMYFUNCTION("""COMPUTED_VALUE"""),"White Oak Tech Park (QTS)")</f>
        <v>White Oak Tech Park (QTS)</v>
      </c>
      <c r="B1446" s="1" t="str">
        <f>IFERROR(__xludf.DUMMYFUNCTION("""COMPUTED_VALUE"""),"6000 TECHNOLOGY BLVD")</f>
        <v>6000 TECHNOLOGY BLVD</v>
      </c>
      <c r="C1446" s="1" t="str">
        <f>IFERROR(__xludf.DUMMYFUNCTION("""COMPUTED_VALUE"""),"Sandston")</f>
        <v>Sandston</v>
      </c>
      <c r="D1446" s="1" t="str">
        <f>IFERROR(__xludf.DUMMYFUNCTION("""COMPUTED_VALUE"""),"VA")</f>
        <v>VA</v>
      </c>
      <c r="E1446" s="1" t="str">
        <f>IFERROR(__xludf.DUMMYFUNCTION("""COMPUTED_VALUE"""),"23150")</f>
        <v>23150</v>
      </c>
      <c r="F1446" s="1" t="str">
        <f>IFERROR(__xludf.DUMMYFUNCTION("""COMPUTED_VALUE"""),"Henrico")</f>
        <v>Henrico</v>
      </c>
      <c r="G1446" s="1" t="str">
        <f>IFERROR(__xludf.DUMMYFUNCTION("""COMPUTED_VALUE"""),"37.489464")</f>
        <v>37.489464</v>
      </c>
      <c r="H1446" s="1" t="str">
        <f>IFERROR(__xludf.DUMMYFUNCTION("""COMPUTED_VALUE"""),"-77.24603")</f>
        <v>-77.24603</v>
      </c>
      <c r="I1446" s="1" t="str">
        <f>IFERROR(__xludf.DUMMYFUNCTION("""COMPUTED_VALUE"""),"Operating")</f>
        <v>Operating</v>
      </c>
      <c r="J1446" s="1" t="str">
        <f>IFERROR(__xludf.DUMMYFUNCTION("""COMPUTED_VALUE"""),"High")</f>
        <v>High</v>
      </c>
      <c r="K1446" s="1" t="str">
        <f>IFERROR(__xludf.DUMMYFUNCTION("""COMPUTED_VALUE"""),"")</f>
        <v/>
      </c>
      <c r="L1446" s="1" t="str">
        <f>IFERROR(__xludf.DUMMYFUNCTION("""COMPUTED_VALUE"""),"QTS Data Centers")</f>
        <v>QTS Data Centers</v>
      </c>
      <c r="M1446" s="1" t="str">
        <f>IFERROR(__xludf.DUMMYFUNCTION("""COMPUTED_VALUE"""),"")</f>
        <v/>
      </c>
      <c r="N1446" s="1" t="str">
        <f>IFERROR(__xludf.DUMMYFUNCTION("""COMPUTED_VALUE"""),"")</f>
        <v/>
      </c>
      <c r="O1446" s="1" t="str">
        <f>IFERROR(__xludf.DUMMYFUNCTION("""COMPUTED_VALUE"""),"Hyperscale (100-999 MW)")</f>
        <v>Hyperscale (100-999 MW)</v>
      </c>
      <c r="P1446" s="1" t="str">
        <f>IFERROR(__xludf.DUMMYFUNCTION("""COMPUTED_VALUE"""),"")</f>
        <v/>
      </c>
      <c r="Q1446" s="1" t="str">
        <f>IFERROR(__xludf.DUMMYFUNCTION("""COMPUTED_VALUE"""),"")</f>
        <v/>
      </c>
      <c r="R1446" s="1" t="str">
        <f>IFERROR(__xludf.DUMMYFUNCTION("""COMPUTED_VALUE"""),"")</f>
        <v/>
      </c>
      <c r="S1446" s="1" t="str">
        <f>IFERROR(__xludf.DUMMYFUNCTION("""COMPUTED_VALUE"""),"")</f>
        <v/>
      </c>
      <c r="T1446" s="1" t="str">
        <f>IFERROR(__xludf.DUMMYFUNCTION("""COMPUTED_VALUE"""),"")</f>
        <v/>
      </c>
      <c r="U1446" s="1" t="str">
        <f>IFERROR(__xludf.DUMMYFUNCTION("""COMPUTED_VALUE"""),"")</f>
        <v/>
      </c>
      <c r="V1446" s="1" t="str">
        <f>IFERROR(__xludf.DUMMYFUNCTION("""COMPUTED_VALUE"""),"769,186")</f>
        <v>769,186</v>
      </c>
      <c r="W1446" s="1" t="str">
        <f>IFERROR(__xludf.DUMMYFUNCTION("""COMPUTED_VALUE"""),"210")</f>
        <v>210</v>
      </c>
      <c r="X1446" s="1" t="str">
        <f>IFERROR(__xludf.DUMMYFUNCTION("""COMPUTED_VALUE"""),"")</f>
        <v/>
      </c>
      <c r="Y1446" s="1" t="str">
        <f>IFERROR(__xludf.DUMMYFUNCTION("""COMPUTED_VALUE"""),"")</f>
        <v/>
      </c>
      <c r="Z1446" s="1" t="str">
        <f>IFERROR(__xludf.DUMMYFUNCTION("""COMPUTED_VALUE"""),"Unknown")</f>
        <v>Unknown</v>
      </c>
      <c r="AA1446" s="1" t="str">
        <f>IFERROR(__xludf.DUMMYFUNCTION("""COMPUTED_VALUE"""),"")</f>
        <v/>
      </c>
      <c r="AB1446" s="1" t="str">
        <f>IFERROR(__xludf.DUMMYFUNCTION("""COMPUTED_VALUE"""),"")</f>
        <v/>
      </c>
      <c r="AC1446" s="1" t="str">
        <f>IFERROR(__xludf.DUMMYFUNCTION("""COMPUTED_VALUE"""),"")</f>
        <v/>
      </c>
      <c r="AD1446" s="1" t="str">
        <f>IFERROR(__xludf.DUMMYFUNCTION("""COMPUTED_VALUE"""),"")</f>
        <v/>
      </c>
      <c r="AE1446" s="1" t="str">
        <f>IFERROR(__xludf.DUMMYFUNCTION("""COMPUTED_VALUE"""),"")</f>
        <v/>
      </c>
      <c r="AF1446" s="1" t="str">
        <f>IFERROR(__xludf.DUMMYFUNCTION("""COMPUTED_VALUE"""),"")</f>
        <v/>
      </c>
      <c r="AG1446" s="1" t="str">
        <f>IFERROR(__xludf.DUMMYFUNCTION("""COMPUTED_VALUE"""),"")</f>
        <v/>
      </c>
      <c r="AH1446" s="1" t="str">
        <f>IFERROR(__xludf.DUMMYFUNCTION("""COMPUTED_VALUE"""),"PEC")</f>
        <v>PEC</v>
      </c>
      <c r="AI1446" s="2" t="str">
        <f>IFERROR(__xludf.DUMMYFUNCTION("""COMPUTED_VALUE"""),"https://realestate.henrico.us/ords/cam/f?p=510101:5:::NO::P5_PARCEL_ID,P5_SEARCH_TYPE:846-703-0495,0")</f>
        <v>https://realestate.henrico.us/ords/cam/f?p=510101:5:::NO::P5_PARCEL_ID,P5_SEARCH_TYPE:846-703-0495,0</v>
      </c>
      <c r="AJ1446" s="2" t="str">
        <f>IFERROR(__xludf.DUMMYFUNCTION("""COMPUTED_VALUE"""),"https://richmondbizsense.com/2026/05/18/data-center-giant-qts-preparing-1100-acre-expansion-that-would-add-17-buildings-to-its-henrico-hub/")</f>
        <v>https://richmondbizsense.com/2026/05/18/data-center-giant-qts-preparing-1100-acre-expansion-that-would-add-17-buildings-to-its-henrico-hub/</v>
      </c>
      <c r="AK1446" s="2" t="str">
        <f>IFERROR(__xludf.DUMMYFUNCTION("""COMPUTED_VALUE"""),"https://www.datacenterdynamics.com/en/news/qts-files-to-expand-richmond-data-center-campus-in-virginia/")</f>
        <v>https://www.datacenterdynamics.com/en/news/qts-files-to-expand-richmond-data-center-campus-in-virginia/</v>
      </c>
      <c r="AL1446" s="1" t="str">
        <f>IFERROR(__xludf.DUMMYFUNCTION("""COMPUTED_VALUE"""),"")</f>
        <v/>
      </c>
      <c r="AM1446" s="1" t="str">
        <f>IFERROR(__xludf.DUMMYFUNCTION("""COMPUTED_VALUE"""),"")</f>
        <v/>
      </c>
      <c r="AN1446" s="1" t="str">
        <f>IFERROR(__xludf.DUMMYFUNCTION("""COMPUTED_VALUE"""),"")</f>
        <v/>
      </c>
      <c r="AO1446" s="1" t="str">
        <f>IFERROR(__xludf.DUMMYFUNCTION("""COMPUTED_VALUE"""),"")</f>
        <v/>
      </c>
      <c r="AP1446" s="1" t="str">
        <f>IFERROR(__xludf.DUMMYFUNCTION("""COMPUTED_VALUE"""),"")</f>
        <v/>
      </c>
      <c r="AQ1446" s="1" t="str">
        <f>IFERROR(__xludf.DUMMYFUNCTION("""COMPUTED_VALUE"""),"04/10/2024")</f>
        <v>04/10/2024</v>
      </c>
      <c r="AR1446" s="1" t="str">
        <f>IFERROR(__xludf.DUMMYFUNCTION("""COMPUTED_VALUE"""),"06/12/2026")</f>
        <v>06/12/2026</v>
      </c>
    </row>
    <row r="1447">
      <c r="A1447" s="1" t="str">
        <f>IFERROR(__xludf.DUMMYFUNCTION("""COMPUTED_VALUE"""),"Hillcrest Data Center")</f>
        <v>Hillcrest Data Center</v>
      </c>
      <c r="B1447" s="1" t="str">
        <f>IFERROR(__xludf.DUMMYFUNCTION("""COMPUTED_VALUE"""),"49 COUNTRY LANE")</f>
        <v>49 COUNTRY LANE</v>
      </c>
      <c r="C1447" s="1" t="str">
        <f>IFERROR(__xludf.DUMMYFUNCTION("""COMPUTED_VALUE"""),"South Hill")</f>
        <v>South Hill</v>
      </c>
      <c r="D1447" s="1" t="str">
        <f>IFERROR(__xludf.DUMMYFUNCTION("""COMPUTED_VALUE"""),"VA")</f>
        <v>VA</v>
      </c>
      <c r="E1447" s="1" t="str">
        <f>IFERROR(__xludf.DUMMYFUNCTION("""COMPUTED_VALUE"""),"23970")</f>
        <v>23970</v>
      </c>
      <c r="F1447" s="1" t="str">
        <f>IFERROR(__xludf.DUMMYFUNCTION("""COMPUTED_VALUE"""),"Mecklenburg")</f>
        <v>Mecklenburg</v>
      </c>
      <c r="G1447" s="1" t="str">
        <f>IFERROR(__xludf.DUMMYFUNCTION("""COMPUTED_VALUE"""),"36.70315")</f>
        <v>36.70315</v>
      </c>
      <c r="H1447" s="1" t="str">
        <f>IFERROR(__xludf.DUMMYFUNCTION("""COMPUTED_VALUE"""),"-78.12708")</f>
        <v>-78.12708</v>
      </c>
      <c r="I1447" s="1" t="str">
        <f>IFERROR(__xludf.DUMMYFUNCTION("""COMPUTED_VALUE"""),"Proposed")</f>
        <v>Proposed</v>
      </c>
      <c r="J1447" s="1" t="str">
        <f>IFERROR(__xludf.DUMMYFUNCTION("""COMPUTED_VALUE"""),"High")</f>
        <v>High</v>
      </c>
      <c r="K1447" s="1" t="str">
        <f>IFERROR(__xludf.DUMMYFUNCTION("""COMPUTED_VALUE"""),"")</f>
        <v/>
      </c>
      <c r="L1447" s="1" t="str">
        <f>IFERROR(__xludf.DUMMYFUNCTION("""COMPUTED_VALUE"""),"Microsoft")</f>
        <v>Microsoft</v>
      </c>
      <c r="M1447" s="1" t="str">
        <f>IFERROR(__xludf.DUMMYFUNCTION("""COMPUTED_VALUE"""),"")</f>
        <v/>
      </c>
      <c r="N1447" s="1" t="str">
        <f>IFERROR(__xludf.DUMMYFUNCTION("""COMPUTED_VALUE"""),"")</f>
        <v/>
      </c>
      <c r="O1447" s="1" t="str">
        <f>IFERROR(__xludf.DUMMYFUNCTION("""COMPUTED_VALUE"""),"Unknown")</f>
        <v>Unknown</v>
      </c>
      <c r="P1447" s="1" t="str">
        <f>IFERROR(__xludf.DUMMYFUNCTION("""COMPUTED_VALUE"""),"")</f>
        <v/>
      </c>
      <c r="Q1447" s="1" t="str">
        <f>IFERROR(__xludf.DUMMYFUNCTION("""COMPUTED_VALUE"""),"")</f>
        <v/>
      </c>
      <c r="R1447" s="1" t="str">
        <f>IFERROR(__xludf.DUMMYFUNCTION("""COMPUTED_VALUE"""),"")</f>
        <v/>
      </c>
      <c r="S1447" s="1" t="str">
        <f>IFERROR(__xludf.DUMMYFUNCTION("""COMPUTED_VALUE"""),"")</f>
        <v/>
      </c>
      <c r="T1447" s="1" t="str">
        <f>IFERROR(__xludf.DUMMYFUNCTION("""COMPUTED_VALUE"""),"")</f>
        <v/>
      </c>
      <c r="U1447" s="1" t="str">
        <f>IFERROR(__xludf.DUMMYFUNCTION("""COMPUTED_VALUE"""),"")</f>
        <v/>
      </c>
      <c r="V1447" s="1" t="str">
        <f>IFERROR(__xludf.DUMMYFUNCTION("""COMPUTED_VALUE"""),"")</f>
        <v/>
      </c>
      <c r="W1447" s="1" t="str">
        <f>IFERROR(__xludf.DUMMYFUNCTION("""COMPUTED_VALUE"""),"153")</f>
        <v>153</v>
      </c>
      <c r="X1447" s="1" t="str">
        <f>IFERROR(__xludf.DUMMYFUNCTION("""COMPUTED_VALUE"""),"")</f>
        <v/>
      </c>
      <c r="Y1447" s="1" t="str">
        <f>IFERROR(__xludf.DUMMYFUNCTION("""COMPUTED_VALUE"""),"")</f>
        <v/>
      </c>
      <c r="Z1447" s="1" t="str">
        <f>IFERROR(__xludf.DUMMYFUNCTION("""COMPUTED_VALUE"""),"Unknown")</f>
        <v>Unknown</v>
      </c>
      <c r="AA1447" s="1" t="str">
        <f>IFERROR(__xludf.DUMMYFUNCTION("""COMPUTED_VALUE"""),"")</f>
        <v/>
      </c>
      <c r="AB1447" s="1" t="str">
        <f>IFERROR(__xludf.DUMMYFUNCTION("""COMPUTED_VALUE"""),"")</f>
        <v/>
      </c>
      <c r="AC1447" s="1" t="str">
        <f>IFERROR(__xludf.DUMMYFUNCTION("""COMPUTED_VALUE"""),"")</f>
        <v/>
      </c>
      <c r="AD1447" s="1" t="str">
        <f>IFERROR(__xludf.DUMMYFUNCTION("""COMPUTED_VALUE"""),"")</f>
        <v/>
      </c>
      <c r="AE1447" s="1" t="str">
        <f>IFERROR(__xludf.DUMMYFUNCTION("""COMPUTED_VALUE"""),"")</f>
        <v/>
      </c>
      <c r="AF1447" s="1" t="str">
        <f>IFERROR(__xludf.DUMMYFUNCTION("""COMPUTED_VALUE"""),"")</f>
        <v/>
      </c>
      <c r="AG1447" s="1" t="str">
        <f>IFERROR(__xludf.DUMMYFUNCTION("""COMPUTED_VALUE"""),"This project covers multiple parcels. The total acreage has been represented here.")</f>
        <v>This project covers multiple parcels. The total acreage has been represented here.</v>
      </c>
      <c r="AH1447" s="1" t="str">
        <f>IFERROR(__xludf.DUMMYFUNCTION("""COMPUTED_VALUE"""),"PEC")</f>
        <v>PEC</v>
      </c>
      <c r="AI1447" s="2" t="str">
        <f>IFERROR(__xludf.DUMMYFUNCTION("""COMPUTED_VALUE"""),"https://www.datacenterdynamics.com/en/news/microsoft-files-for-permit-to-build-data-center-campus-in-mecklenburg-county-virginia/")</f>
        <v>https://www.datacenterdynamics.com/en/news/microsoft-files-for-permit-to-build-data-center-campus-in-mecklenburg-county-virginia/</v>
      </c>
      <c r="AJ1447" s="2" t="str">
        <f>IFERROR(__xludf.DUMMYFUNCTION("""COMPUTED_VALUE"""),"https://mecklenburg.cama.concisesystems.com/PropertyPage.aspx?id=39166&amp;direct=1")</f>
        <v>https://mecklenburg.cama.concisesystems.com/PropertyPage.aspx?id=39166&amp;direct=1</v>
      </c>
      <c r="AK1447" s="1" t="str">
        <f>IFERROR(__xludf.DUMMYFUNCTION("""COMPUTED_VALUE"""),"")</f>
        <v/>
      </c>
      <c r="AL1447" s="1" t="str">
        <f>IFERROR(__xludf.DUMMYFUNCTION("""COMPUTED_VALUE"""),"")</f>
        <v/>
      </c>
      <c r="AM1447" s="1" t="str">
        <f>IFERROR(__xludf.DUMMYFUNCTION("""COMPUTED_VALUE"""),"")</f>
        <v/>
      </c>
      <c r="AN1447" s="1" t="str">
        <f>IFERROR(__xludf.DUMMYFUNCTION("""COMPUTED_VALUE"""),"")</f>
        <v/>
      </c>
      <c r="AO1447" s="1" t="str">
        <f>IFERROR(__xludf.DUMMYFUNCTION("""COMPUTED_VALUE"""),"")</f>
        <v/>
      </c>
      <c r="AP1447" s="1" t="str">
        <f>IFERROR(__xludf.DUMMYFUNCTION("""COMPUTED_VALUE"""),"")</f>
        <v/>
      </c>
      <c r="AQ1447" s="1" t="str">
        <f>IFERROR(__xludf.DUMMYFUNCTION("""COMPUTED_VALUE"""),"04/10/2024")</f>
        <v>04/10/2024</v>
      </c>
      <c r="AR1447" s="1" t="str">
        <f>IFERROR(__xludf.DUMMYFUNCTION("""COMPUTED_VALUE"""),"10/17/2025")</f>
        <v>10/17/2025</v>
      </c>
    </row>
    <row r="1448">
      <c r="A1448" s="1" t="str">
        <f>IFERROR(__xludf.DUMMYFUNCTION("""COMPUTED_VALUE"""),"Microsoft")</f>
        <v>Microsoft</v>
      </c>
      <c r="B1448" s="1" t="str">
        <f>IFERROR(__xludf.DUMMYFUNCTION("""COMPUTED_VALUE"""),"260 Butts St")</f>
        <v>260 Butts St</v>
      </c>
      <c r="C1448" s="1" t="str">
        <f>IFERROR(__xludf.DUMMYFUNCTION("""COMPUTED_VALUE"""),"South Hill")</f>
        <v>South Hill</v>
      </c>
      <c r="D1448" s="1" t="str">
        <f>IFERROR(__xludf.DUMMYFUNCTION("""COMPUTED_VALUE"""),"VA")</f>
        <v>VA</v>
      </c>
      <c r="E1448" s="1" t="str">
        <f>IFERROR(__xludf.DUMMYFUNCTION("""COMPUTED_VALUE"""),"23970")</f>
        <v>23970</v>
      </c>
      <c r="F1448" s="1" t="str">
        <f>IFERROR(__xludf.DUMMYFUNCTION("""COMPUTED_VALUE"""),"Mecklenburg")</f>
        <v>Mecklenburg</v>
      </c>
      <c r="G1448" s="1" t="str">
        <f>IFERROR(__xludf.DUMMYFUNCTION("""COMPUTED_VALUE"""),"36.70687")</f>
        <v>36.70687</v>
      </c>
      <c r="H1448" s="1" t="str">
        <f>IFERROR(__xludf.DUMMYFUNCTION("""COMPUTED_VALUE"""),"-78.1278")</f>
        <v>-78.1278</v>
      </c>
      <c r="I1448" s="1" t="str">
        <f>IFERROR(__xludf.DUMMYFUNCTION("""COMPUTED_VALUE"""),"Approved/Permitted/Under construction")</f>
        <v>Approved/Permitted/Under construction</v>
      </c>
      <c r="J1448" s="1" t="str">
        <f>IFERROR(__xludf.DUMMYFUNCTION("""COMPUTED_VALUE"""),"High")</f>
        <v>High</v>
      </c>
      <c r="K1448" s="1" t="str">
        <f>IFERROR(__xludf.DUMMYFUNCTION("""COMPUTED_VALUE"""),"")</f>
        <v/>
      </c>
      <c r="L1448" s="1" t="str">
        <f>IFERROR(__xludf.DUMMYFUNCTION("""COMPUTED_VALUE"""),"Microsoft")</f>
        <v>Microsoft</v>
      </c>
      <c r="M1448" s="1" t="str">
        <f>IFERROR(__xludf.DUMMYFUNCTION("""COMPUTED_VALUE"""),"")</f>
        <v/>
      </c>
      <c r="N1448" s="1" t="str">
        <f>IFERROR(__xludf.DUMMYFUNCTION("""COMPUTED_VALUE"""),"")</f>
        <v/>
      </c>
      <c r="O1448" s="1" t="str">
        <f>IFERROR(__xludf.DUMMYFUNCTION("""COMPUTED_VALUE"""),"Unknown")</f>
        <v>Unknown</v>
      </c>
      <c r="P1448" s="1" t="str">
        <f>IFERROR(__xludf.DUMMYFUNCTION("""COMPUTED_VALUE"""),"")</f>
        <v/>
      </c>
      <c r="Q1448" s="1" t="str">
        <f>IFERROR(__xludf.DUMMYFUNCTION("""COMPUTED_VALUE"""),"")</f>
        <v/>
      </c>
      <c r="R1448" s="1" t="str">
        <f>IFERROR(__xludf.DUMMYFUNCTION("""COMPUTED_VALUE"""),"")</f>
        <v/>
      </c>
      <c r="S1448" s="1" t="str">
        <f>IFERROR(__xludf.DUMMYFUNCTION("""COMPUTED_VALUE"""),"")</f>
        <v/>
      </c>
      <c r="T1448" s="1" t="str">
        <f>IFERROR(__xludf.DUMMYFUNCTION("""COMPUTED_VALUE"""),"")</f>
        <v/>
      </c>
      <c r="U1448" s="1" t="str">
        <f>IFERROR(__xludf.DUMMYFUNCTION("""COMPUTED_VALUE"""),"")</f>
        <v/>
      </c>
      <c r="V1448" s="1" t="str">
        <f>IFERROR(__xludf.DUMMYFUNCTION("""COMPUTED_VALUE"""),"")</f>
        <v/>
      </c>
      <c r="W1448" s="1" t="str">
        <f>IFERROR(__xludf.DUMMYFUNCTION("""COMPUTED_VALUE"""),"")</f>
        <v/>
      </c>
      <c r="X1448" s="1" t="str">
        <f>IFERROR(__xludf.DUMMYFUNCTION("""COMPUTED_VALUE"""),"")</f>
        <v/>
      </c>
      <c r="Y1448" s="1" t="str">
        <f>IFERROR(__xludf.DUMMYFUNCTION("""COMPUTED_VALUE"""),"")</f>
        <v/>
      </c>
      <c r="Z1448" s="1" t="str">
        <f>IFERROR(__xludf.DUMMYFUNCTION("""COMPUTED_VALUE"""),"Unknown")</f>
        <v>Unknown</v>
      </c>
      <c r="AA1448" s="1" t="str">
        <f>IFERROR(__xludf.DUMMYFUNCTION("""COMPUTED_VALUE"""),"")</f>
        <v/>
      </c>
      <c r="AB1448" s="1" t="str">
        <f>IFERROR(__xludf.DUMMYFUNCTION("""COMPUTED_VALUE"""),"")</f>
        <v/>
      </c>
      <c r="AC1448" s="1" t="str">
        <f>IFERROR(__xludf.DUMMYFUNCTION("""COMPUTED_VALUE"""),"")</f>
        <v/>
      </c>
      <c r="AD1448" s="1" t="str">
        <f>IFERROR(__xludf.DUMMYFUNCTION("""COMPUTED_VALUE"""),"")</f>
        <v/>
      </c>
      <c r="AE1448" s="1" t="str">
        <f>IFERROR(__xludf.DUMMYFUNCTION("""COMPUTED_VALUE"""),"")</f>
        <v/>
      </c>
      <c r="AF1448" s="1" t="str">
        <f>IFERROR(__xludf.DUMMYFUNCTION("""COMPUTED_VALUE"""),"")</f>
        <v/>
      </c>
      <c r="AG1448" s="1" t="str">
        <f>IFERROR(__xludf.DUMMYFUNCTION("""COMPUTED_VALUE"""),"")</f>
        <v/>
      </c>
      <c r="AH1448" s="1" t="str">
        <f>IFERROR(__xludf.DUMMYFUNCTION("""COMPUTED_VALUE"""),"Crowdsourced")</f>
        <v>Crowdsourced</v>
      </c>
      <c r="AI1448" s="2" t="str">
        <f>IFERROR(__xludf.DUMMYFUNCTION("""COMPUTED_VALUE"""),"https://www.levelset.com/property-owners/microsoft-corporation/project-history/")</f>
        <v>https://www.levelset.com/property-owners/microsoft-corporation/project-history/</v>
      </c>
      <c r="AJ1448" s="1" t="str">
        <f>IFERROR(__xludf.DUMMYFUNCTION("""COMPUTED_VALUE"""),"")</f>
        <v/>
      </c>
      <c r="AK1448" s="1" t="str">
        <f>IFERROR(__xludf.DUMMYFUNCTION("""COMPUTED_VALUE"""),"")</f>
        <v/>
      </c>
      <c r="AL1448" s="1" t="str">
        <f>IFERROR(__xludf.DUMMYFUNCTION("""COMPUTED_VALUE"""),"")</f>
        <v/>
      </c>
      <c r="AM1448" s="1" t="str">
        <f>IFERROR(__xludf.DUMMYFUNCTION("""COMPUTED_VALUE"""),"")</f>
        <v/>
      </c>
      <c r="AN1448" s="1" t="str">
        <f>IFERROR(__xludf.DUMMYFUNCTION("""COMPUTED_VALUE"""),"")</f>
        <v/>
      </c>
      <c r="AO1448" s="1" t="str">
        <f>IFERROR(__xludf.DUMMYFUNCTION("""COMPUTED_VALUE"""),"")</f>
        <v/>
      </c>
      <c r="AP1448" s="1" t="str">
        <f>IFERROR(__xludf.DUMMYFUNCTION("""COMPUTED_VALUE"""),"")</f>
        <v/>
      </c>
      <c r="AQ1448" s="1" t="str">
        <f>IFERROR(__xludf.DUMMYFUNCTION("""COMPUTED_VALUE"""),"09/16/2025")</f>
        <v>09/16/2025</v>
      </c>
      <c r="AR1448" s="1" t="str">
        <f>IFERROR(__xludf.DUMMYFUNCTION("""COMPUTED_VALUE"""),"09/16/2025")</f>
        <v>09/16/2025</v>
      </c>
    </row>
    <row r="1449">
      <c r="A1449" s="1" t="str">
        <f>IFERROR(__xludf.DUMMYFUNCTION("""COMPUTED_VALUE"""),"South Hill Data Center Campus")</f>
        <v>South Hill Data Center Campus</v>
      </c>
      <c r="B1449" s="1" t="str">
        <f>IFERROR(__xludf.DUMMYFUNCTION("""COMPUTED_VALUE"""),"Tunstall Rd")</f>
        <v>Tunstall Rd</v>
      </c>
      <c r="C1449" s="1" t="str">
        <f>IFERROR(__xludf.DUMMYFUNCTION("""COMPUTED_VALUE"""),"South Hill")</f>
        <v>South Hill</v>
      </c>
      <c r="D1449" s="1" t="str">
        <f>IFERROR(__xludf.DUMMYFUNCTION("""COMPUTED_VALUE"""),"VA")</f>
        <v>VA</v>
      </c>
      <c r="E1449" s="1" t="str">
        <f>IFERROR(__xludf.DUMMYFUNCTION("""COMPUTED_VALUE"""),"23970")</f>
        <v>23970</v>
      </c>
      <c r="F1449" s="1" t="str">
        <f>IFERROR(__xludf.DUMMYFUNCTION("""COMPUTED_VALUE"""),"Mecklenburg")</f>
        <v>Mecklenburg</v>
      </c>
      <c r="G1449" s="1" t="str">
        <f>IFERROR(__xludf.DUMMYFUNCTION("""COMPUTED_VALUE"""),"36.74631")</f>
        <v>36.74631</v>
      </c>
      <c r="H1449" s="1" t="str">
        <f>IFERROR(__xludf.DUMMYFUNCTION("""COMPUTED_VALUE"""),"-78.1018")</f>
        <v>-78.1018</v>
      </c>
      <c r="I1449" s="1" t="str">
        <f>IFERROR(__xludf.DUMMYFUNCTION("""COMPUTED_VALUE"""),"Proposed")</f>
        <v>Proposed</v>
      </c>
      <c r="J1449" s="1" t="str">
        <f>IFERROR(__xludf.DUMMYFUNCTION("""COMPUTED_VALUE"""),"Medium")</f>
        <v>Medium</v>
      </c>
      <c r="K1449" s="1" t="str">
        <f>IFERROR(__xludf.DUMMYFUNCTION("""COMPUTED_VALUE"""),"")</f>
        <v/>
      </c>
      <c r="L1449" s="1" t="str">
        <f>IFERROR(__xludf.DUMMYFUNCTION("""COMPUTED_VALUE"""),"Microsoft")</f>
        <v>Microsoft</v>
      </c>
      <c r="M1449" s="1" t="str">
        <f>IFERROR(__xludf.DUMMYFUNCTION("""COMPUTED_VALUE"""),"")</f>
        <v/>
      </c>
      <c r="N1449" s="1" t="str">
        <f>IFERROR(__xludf.DUMMYFUNCTION("""COMPUTED_VALUE"""),"")</f>
        <v/>
      </c>
      <c r="O1449" s="1" t="str">
        <f>IFERROR(__xludf.DUMMYFUNCTION("""COMPUTED_VALUE"""),"Unknown")</f>
        <v>Unknown</v>
      </c>
      <c r="P1449" s="1" t="str">
        <f>IFERROR(__xludf.DUMMYFUNCTION("""COMPUTED_VALUE"""),"")</f>
        <v/>
      </c>
      <c r="Q1449" s="1" t="str">
        <f>IFERROR(__xludf.DUMMYFUNCTION("""COMPUTED_VALUE"""),"")</f>
        <v/>
      </c>
      <c r="R1449" s="1" t="str">
        <f>IFERROR(__xludf.DUMMYFUNCTION("""COMPUTED_VALUE"""),"")</f>
        <v/>
      </c>
      <c r="S1449" s="1" t="str">
        <f>IFERROR(__xludf.DUMMYFUNCTION("""COMPUTED_VALUE"""),"")</f>
        <v/>
      </c>
      <c r="T1449" s="1" t="str">
        <f>IFERROR(__xludf.DUMMYFUNCTION("""COMPUTED_VALUE"""),"")</f>
        <v/>
      </c>
      <c r="U1449" s="1" t="str">
        <f>IFERROR(__xludf.DUMMYFUNCTION("""COMPUTED_VALUE"""),"")</f>
        <v/>
      </c>
      <c r="V1449" s="1" t="str">
        <f>IFERROR(__xludf.DUMMYFUNCTION("""COMPUTED_VALUE"""),"")</f>
        <v/>
      </c>
      <c r="W1449" s="1" t="str">
        <f>IFERROR(__xludf.DUMMYFUNCTION("""COMPUTED_VALUE"""),"132")</f>
        <v>132</v>
      </c>
      <c r="X1449" s="1" t="str">
        <f>IFERROR(__xludf.DUMMYFUNCTION("""COMPUTED_VALUE"""),"")</f>
        <v/>
      </c>
      <c r="Y1449" s="1" t="str">
        <f>IFERROR(__xludf.DUMMYFUNCTION("""COMPUTED_VALUE"""),"")</f>
        <v/>
      </c>
      <c r="Z1449" s="1" t="str">
        <f>IFERROR(__xludf.DUMMYFUNCTION("""COMPUTED_VALUE"""),"Unknown")</f>
        <v>Unknown</v>
      </c>
      <c r="AA1449" s="1" t="str">
        <f>IFERROR(__xludf.DUMMYFUNCTION("""COMPUTED_VALUE"""),"")</f>
        <v/>
      </c>
      <c r="AB1449" s="1" t="str">
        <f>IFERROR(__xludf.DUMMYFUNCTION("""COMPUTED_VALUE"""),"")</f>
        <v/>
      </c>
      <c r="AC1449" s="1" t="str">
        <f>IFERROR(__xludf.DUMMYFUNCTION("""COMPUTED_VALUE"""),"")</f>
        <v/>
      </c>
      <c r="AD1449" s="1" t="str">
        <f>IFERROR(__xludf.DUMMYFUNCTION("""COMPUTED_VALUE"""),"")</f>
        <v/>
      </c>
      <c r="AE1449" s="1" t="str">
        <f>IFERROR(__xludf.DUMMYFUNCTION("""COMPUTED_VALUE"""),"")</f>
        <v/>
      </c>
      <c r="AF1449" s="1" t="str">
        <f>IFERROR(__xludf.DUMMYFUNCTION("""COMPUTED_VALUE"""),"")</f>
        <v/>
      </c>
      <c r="AG1449" s="1" t="str">
        <f>IFERROR(__xludf.DUMMYFUNCTION("""COMPUTED_VALUE"""),"")</f>
        <v/>
      </c>
      <c r="AH1449" s="1" t="str">
        <f>IFERROR(__xludf.DUMMYFUNCTION("""COMPUTED_VALUE"""),"Media Monitoring")</f>
        <v>Media Monitoring</v>
      </c>
      <c r="AI1449" s="2" t="str">
        <f>IFERROR(__xludf.DUMMYFUNCTION("""COMPUTED_VALUE"""),"https://www.datacenterdynamics.com/en/news/microsoft-files-for-another-virginia-campus-in-mecklenburg-county/")</f>
        <v>https://www.datacenterdynamics.com/en/news/microsoft-files-for-another-virginia-campus-in-mecklenburg-county/</v>
      </c>
      <c r="AJ1449" s="1" t="str">
        <f>IFERROR(__xludf.DUMMYFUNCTION("""COMPUTED_VALUE"""),"")</f>
        <v/>
      </c>
      <c r="AK1449" s="1" t="str">
        <f>IFERROR(__xludf.DUMMYFUNCTION("""COMPUTED_VALUE"""),"")</f>
        <v/>
      </c>
      <c r="AL1449" s="1" t="str">
        <f>IFERROR(__xludf.DUMMYFUNCTION("""COMPUTED_VALUE"""),"")</f>
        <v/>
      </c>
      <c r="AM1449" s="1" t="str">
        <f>IFERROR(__xludf.DUMMYFUNCTION("""COMPUTED_VALUE"""),"")</f>
        <v/>
      </c>
      <c r="AN1449" s="1" t="str">
        <f>IFERROR(__xludf.DUMMYFUNCTION("""COMPUTED_VALUE"""),"")</f>
        <v/>
      </c>
      <c r="AO1449" s="1" t="str">
        <f>IFERROR(__xludf.DUMMYFUNCTION("""COMPUTED_VALUE"""),"")</f>
        <v/>
      </c>
      <c r="AP1449" s="1" t="str">
        <f>IFERROR(__xludf.DUMMYFUNCTION("""COMPUTED_VALUE"""),"")</f>
        <v/>
      </c>
      <c r="AQ1449" s="1" t="str">
        <f>IFERROR(__xludf.DUMMYFUNCTION("""COMPUTED_VALUE"""),"05/27/2025")</f>
        <v>05/27/2025</v>
      </c>
      <c r="AR1449" s="1" t="str">
        <f>IFERROR(__xludf.DUMMYFUNCTION("""COMPUTED_VALUE"""),"05/27/2025")</f>
        <v>05/27/2025</v>
      </c>
    </row>
    <row r="1450">
      <c r="A1450" s="1" t="str">
        <f>IFERROR(__xludf.DUMMYFUNCTION("""COMPUTED_VALUE"""),"AWS H&amp;M Property")</f>
        <v>AWS H&amp;M Property</v>
      </c>
      <c r="B1450" s="1" t="str">
        <f>IFERROR(__xludf.DUMMYFUNCTION("""COMPUTED_VALUE"""),"25500 MEADOWDALE DR")</f>
        <v>25500 MEADOWDALE DR</v>
      </c>
      <c r="C1450" s="1" t="str">
        <f>IFERROR(__xludf.DUMMYFUNCTION("""COMPUTED_VALUE"""),"South Riding")</f>
        <v>South Riding</v>
      </c>
      <c r="D1450" s="1" t="str">
        <f>IFERROR(__xludf.DUMMYFUNCTION("""COMPUTED_VALUE"""),"VA")</f>
        <v>VA</v>
      </c>
      <c r="E1450" s="1" t="str">
        <f>IFERROR(__xludf.DUMMYFUNCTION("""COMPUTED_VALUE"""),"20152")</f>
        <v>20152</v>
      </c>
      <c r="F1450" s="1" t="str">
        <f>IFERROR(__xludf.DUMMYFUNCTION("""COMPUTED_VALUE"""),"Loudoun")</f>
        <v>Loudoun</v>
      </c>
      <c r="G1450" s="1" t="str">
        <f>IFERROR(__xludf.DUMMYFUNCTION("""COMPUTED_VALUE"""),"38.92111")</f>
        <v>38.92111</v>
      </c>
      <c r="H1450" s="1" t="str">
        <f>IFERROR(__xludf.DUMMYFUNCTION("""COMPUTED_VALUE"""),"-77.4863")</f>
        <v>-77.4863</v>
      </c>
      <c r="I1450" s="1" t="str">
        <f>IFERROR(__xludf.DUMMYFUNCTION("""COMPUTED_VALUE"""),"Expanding")</f>
        <v>Expanding</v>
      </c>
      <c r="J1450" s="1" t="str">
        <f>IFERROR(__xludf.DUMMYFUNCTION("""COMPUTED_VALUE"""),"High")</f>
        <v>High</v>
      </c>
      <c r="K1450" s="1" t="str">
        <f>IFERROR(__xludf.DUMMYFUNCTION("""COMPUTED_VALUE"""),"")</f>
        <v/>
      </c>
      <c r="L1450" s="1" t="str">
        <f>IFERROR(__xludf.DUMMYFUNCTION("""COMPUTED_VALUE"""),"Amazon")</f>
        <v>Amazon</v>
      </c>
      <c r="M1450" s="1" t="str">
        <f>IFERROR(__xludf.DUMMYFUNCTION("""COMPUTED_VALUE"""),"")</f>
        <v/>
      </c>
      <c r="N1450" s="1" t="str">
        <f>IFERROR(__xludf.DUMMYFUNCTION("""COMPUTED_VALUE"""),"")</f>
        <v/>
      </c>
      <c r="O1450" s="1" t="str">
        <f>IFERROR(__xludf.DUMMYFUNCTION("""COMPUTED_VALUE"""),"Unknown")</f>
        <v>Unknown</v>
      </c>
      <c r="P1450" s="1" t="str">
        <f>IFERROR(__xludf.DUMMYFUNCTION("""COMPUTED_VALUE"""),"")</f>
        <v/>
      </c>
      <c r="Q1450" s="1" t="str">
        <f>IFERROR(__xludf.DUMMYFUNCTION("""COMPUTED_VALUE"""),"")</f>
        <v/>
      </c>
      <c r="R1450" s="1" t="str">
        <f>IFERROR(__xludf.DUMMYFUNCTION("""COMPUTED_VALUE"""),"")</f>
        <v/>
      </c>
      <c r="S1450" s="1" t="str">
        <f>IFERROR(__xludf.DUMMYFUNCTION("""COMPUTED_VALUE"""),"")</f>
        <v/>
      </c>
      <c r="T1450" s="1" t="str">
        <f>IFERROR(__xludf.DUMMYFUNCTION("""COMPUTED_VALUE"""),"")</f>
        <v/>
      </c>
      <c r="U1450" s="1" t="str">
        <f>IFERROR(__xludf.DUMMYFUNCTION("""COMPUTED_VALUE"""),"")</f>
        <v/>
      </c>
      <c r="V1450" s="1" t="str">
        <f>IFERROR(__xludf.DUMMYFUNCTION("""COMPUTED_VALUE"""),"274,000")</f>
        <v>274,000</v>
      </c>
      <c r="W1450" s="1" t="str">
        <f>IFERROR(__xludf.DUMMYFUNCTION("""COMPUTED_VALUE"""),"82")</f>
        <v>82</v>
      </c>
      <c r="X1450" s="1" t="str">
        <f>IFERROR(__xludf.DUMMYFUNCTION("""COMPUTED_VALUE"""),"")</f>
        <v/>
      </c>
      <c r="Y1450" s="1" t="str">
        <f>IFERROR(__xludf.DUMMYFUNCTION("""COMPUTED_VALUE"""),"")</f>
        <v/>
      </c>
      <c r="Z1450" s="1" t="str">
        <f>IFERROR(__xludf.DUMMYFUNCTION("""COMPUTED_VALUE"""),"Unknown")</f>
        <v>Unknown</v>
      </c>
      <c r="AA1450" s="1" t="str">
        <f>IFERROR(__xludf.DUMMYFUNCTION("""COMPUTED_VALUE"""),"")</f>
        <v/>
      </c>
      <c r="AB1450" s="1" t="str">
        <f>IFERROR(__xludf.DUMMYFUNCTION("""COMPUTED_VALUE"""),"")</f>
        <v/>
      </c>
      <c r="AC1450" s="1" t="str">
        <f>IFERROR(__xludf.DUMMYFUNCTION("""COMPUTED_VALUE"""),"")</f>
        <v/>
      </c>
      <c r="AD1450" s="1" t="str">
        <f>IFERROR(__xludf.DUMMYFUNCTION("""COMPUTED_VALUE"""),"")</f>
        <v/>
      </c>
      <c r="AE1450" s="1" t="str">
        <f>IFERROR(__xludf.DUMMYFUNCTION("""COMPUTED_VALUE"""),"")</f>
        <v/>
      </c>
      <c r="AF1450" s="1" t="str">
        <f>IFERROR(__xludf.DUMMYFUNCTION("""COMPUTED_VALUE"""),"")</f>
        <v/>
      </c>
      <c r="AG1450" s="1" t="str">
        <f>IFERROR(__xludf.DUMMYFUNCTION("""COMPUTED_VALUE"""),"Computer Center. 274,000 sq ft, Building A, complete as of 2023. This parcel is likely to be subdivided after construction is complete. Building C expansion 259,000 sq ft and Building H expansion 259,000 sq ft proposed within original parcel. Additional e"&amp;"xpansion outside of original parcel 958,000 sq ft")</f>
        <v>Computer Center. 274,000 sq ft, Building A, complete as of 2023. This parcel is likely to be subdivided after construction is complete. Building C expansion 259,000 sq ft and Building H expansion 259,000 sq ft proposed within original parcel. Additional expansion outside of original parcel 958,000 sq ft</v>
      </c>
      <c r="AH1450" s="1" t="str">
        <f>IFERROR(__xludf.DUMMYFUNCTION("""COMPUTED_VALUE"""),"PEC")</f>
        <v>PEC</v>
      </c>
      <c r="AI1450" s="2" t="str">
        <f>IFERROR(__xludf.DUMMYFUNCTION("""COMPUTED_VALUE"""),"https://www.loudountimes.com/news/loudoun-planning-commission-signs-off-on-amazon-data-center-project/article_0e17ff90-d1be-11ea-9103-bb61a9f22c3a.html")</f>
        <v>https://www.loudountimes.com/news/loudoun-planning-commission-signs-off-on-amazon-data-center-project/article_0e17ff90-d1be-11ea-9103-bb61a9f22c3a.html</v>
      </c>
      <c r="AJ1450" s="2" t="str">
        <f>IFERROR(__xludf.DUMMYFUNCTION("""COMPUTED_VALUE"""),"https://reparcelasmt.loudoun.gov/pt/Datalets/Datalet.aspx?UseSearch=no&amp;mode=profileall&amp;pin=096183926000&amp;jur=107&amp;taxyr=2024")</f>
        <v>https://reparcelasmt.loudoun.gov/pt/Datalets/Datalet.aspx?UseSearch=no&amp;mode=profileall&amp;pin=096183926000&amp;jur=107&amp;taxyr=2024</v>
      </c>
      <c r="AK1450" s="2" t="str">
        <f>IFERROR(__xludf.DUMMYFUNCTION("""COMPUTED_VALUE"""),"https://loudouncountyvaeg.tylerhost.net/prod/selfservice#/plan/4922d1ce-97e0-4321-ade6-f449aace6208?tab=moreinfo")</f>
        <v>https://loudouncountyvaeg.tylerhost.net/prod/selfservice#/plan/4922d1ce-97e0-4321-ade6-f449aace6208?tab=moreinfo</v>
      </c>
      <c r="AL1450" s="1" t="str">
        <f>IFERROR(__xludf.DUMMYFUNCTION("""COMPUTED_VALUE"""),"")</f>
        <v/>
      </c>
      <c r="AM1450" s="1" t="str">
        <f>IFERROR(__xludf.DUMMYFUNCTION("""COMPUTED_VALUE"""),"")</f>
        <v/>
      </c>
      <c r="AN1450" s="1" t="str">
        <f>IFERROR(__xludf.DUMMYFUNCTION("""COMPUTED_VALUE"""),"")</f>
        <v/>
      </c>
      <c r="AO1450" s="1" t="str">
        <f>IFERROR(__xludf.DUMMYFUNCTION("""COMPUTED_VALUE"""),"")</f>
        <v/>
      </c>
      <c r="AP1450" s="1" t="str">
        <f>IFERROR(__xludf.DUMMYFUNCTION("""COMPUTED_VALUE"""),"")</f>
        <v/>
      </c>
      <c r="AQ1450" s="1" t="str">
        <f>IFERROR(__xludf.DUMMYFUNCTION("""COMPUTED_VALUE"""),"08/06/2025")</f>
        <v>08/06/2025</v>
      </c>
      <c r="AR1450" s="1" t="str">
        <f>IFERROR(__xludf.DUMMYFUNCTION("""COMPUTED_VALUE"""),"02/10/2026")</f>
        <v>02/10/2026</v>
      </c>
    </row>
    <row r="1451">
      <c r="A1451" s="1" t="str">
        <f>IFERROR(__xludf.DUMMYFUNCTION("""COMPUTED_VALUE"""),"Firefox Dulles")</f>
        <v>Firefox Dulles</v>
      </c>
      <c r="B1451" s="1" t="str">
        <f>IFERROR(__xludf.DUMMYFUNCTION("""COMPUTED_VALUE"""),"44150 WADE DR")</f>
        <v>44150 WADE DR</v>
      </c>
      <c r="C1451" s="1" t="str">
        <f>IFERROR(__xludf.DUMMYFUNCTION("""COMPUTED_VALUE"""),"South Riding")</f>
        <v>South Riding</v>
      </c>
      <c r="D1451" s="1" t="str">
        <f>IFERROR(__xludf.DUMMYFUNCTION("""COMPUTED_VALUE"""),"VA")</f>
        <v>VA</v>
      </c>
      <c r="E1451" s="1" t="str">
        <f>IFERROR(__xludf.DUMMYFUNCTION("""COMPUTED_VALUE"""),"20152")</f>
        <v>20152</v>
      </c>
      <c r="F1451" s="1" t="str">
        <f>IFERROR(__xludf.DUMMYFUNCTION("""COMPUTED_VALUE"""),"Loudoun")</f>
        <v>Loudoun</v>
      </c>
      <c r="G1451" s="1" t="str">
        <f>IFERROR(__xludf.DUMMYFUNCTION("""COMPUTED_VALUE"""),"38.920612")</f>
        <v>38.920612</v>
      </c>
      <c r="H1451" s="1" t="str">
        <f>IFERROR(__xludf.DUMMYFUNCTION("""COMPUTED_VALUE"""),"-77.472885")</f>
        <v>-77.472885</v>
      </c>
      <c r="I1451" s="1" t="str">
        <f>IFERROR(__xludf.DUMMYFUNCTION("""COMPUTED_VALUE"""),"Proposed")</f>
        <v>Proposed</v>
      </c>
      <c r="J1451" s="1" t="str">
        <f>IFERROR(__xludf.DUMMYFUNCTION("""COMPUTED_VALUE"""),"High")</f>
        <v>High</v>
      </c>
      <c r="K1451" s="1" t="str">
        <f>IFERROR(__xludf.DUMMYFUNCTION("""COMPUTED_VALUE"""),"")</f>
        <v/>
      </c>
      <c r="L1451" s="1" t="str">
        <f>IFERROR(__xludf.DUMMYFUNCTION("""COMPUTED_VALUE"""),"Brian Clifford/DLA PIPER LLP (US)")</f>
        <v>Brian Clifford/DLA PIPER LLP (US)</v>
      </c>
      <c r="M1451" s="1" t="str">
        <f>IFERROR(__xludf.DUMMYFUNCTION("""COMPUTED_VALUE"""),"")</f>
        <v/>
      </c>
      <c r="N1451" s="1" t="str">
        <f>IFERROR(__xludf.DUMMYFUNCTION("""COMPUTED_VALUE"""),"")</f>
        <v/>
      </c>
      <c r="O1451" s="1" t="str">
        <f>IFERROR(__xludf.DUMMYFUNCTION("""COMPUTED_VALUE"""),"Unknown")</f>
        <v>Unknown</v>
      </c>
      <c r="P1451" s="1" t="str">
        <f>IFERROR(__xludf.DUMMYFUNCTION("""COMPUTED_VALUE"""),"")</f>
        <v/>
      </c>
      <c r="Q1451" s="1" t="str">
        <f>IFERROR(__xludf.DUMMYFUNCTION("""COMPUTED_VALUE"""),"")</f>
        <v/>
      </c>
      <c r="R1451" s="1" t="str">
        <f>IFERROR(__xludf.DUMMYFUNCTION("""COMPUTED_VALUE"""),"")</f>
        <v/>
      </c>
      <c r="S1451" s="1" t="str">
        <f>IFERROR(__xludf.DUMMYFUNCTION("""COMPUTED_VALUE"""),"")</f>
        <v/>
      </c>
      <c r="T1451" s="1" t="str">
        <f>IFERROR(__xludf.DUMMYFUNCTION("""COMPUTED_VALUE"""),"")</f>
        <v/>
      </c>
      <c r="U1451" s="1" t="str">
        <f>IFERROR(__xludf.DUMMYFUNCTION("""COMPUTED_VALUE"""),"")</f>
        <v/>
      </c>
      <c r="V1451" s="1" t="str">
        <f>IFERROR(__xludf.DUMMYFUNCTION("""COMPUTED_VALUE"""),"641,451")</f>
        <v>641,451</v>
      </c>
      <c r="W1451" s="1" t="str">
        <f>IFERROR(__xludf.DUMMYFUNCTION("""COMPUTED_VALUE"""),"18")</f>
        <v>18</v>
      </c>
      <c r="X1451" s="1" t="str">
        <f>IFERROR(__xludf.DUMMYFUNCTION("""COMPUTED_VALUE"""),"")</f>
        <v/>
      </c>
      <c r="Y1451" s="1" t="str">
        <f>IFERROR(__xludf.DUMMYFUNCTION("""COMPUTED_VALUE"""),"")</f>
        <v/>
      </c>
      <c r="Z1451" s="1" t="str">
        <f>IFERROR(__xludf.DUMMYFUNCTION("""COMPUTED_VALUE"""),"Unknown")</f>
        <v>Unknown</v>
      </c>
      <c r="AA1451" s="1" t="str">
        <f>IFERROR(__xludf.DUMMYFUNCTION("""COMPUTED_VALUE"""),"")</f>
        <v/>
      </c>
      <c r="AB1451" s="1" t="str">
        <f>IFERROR(__xludf.DUMMYFUNCTION("""COMPUTED_VALUE"""),"")</f>
        <v/>
      </c>
      <c r="AC1451" s="1" t="str">
        <f>IFERROR(__xludf.DUMMYFUNCTION("""COMPUTED_VALUE"""),"")</f>
        <v/>
      </c>
      <c r="AD1451" s="1" t="str">
        <f>IFERROR(__xludf.DUMMYFUNCTION("""COMPUTED_VALUE"""),"")</f>
        <v/>
      </c>
      <c r="AE1451" s="1" t="str">
        <f>IFERROR(__xludf.DUMMYFUNCTION("""COMPUTED_VALUE"""),"")</f>
        <v/>
      </c>
      <c r="AF1451" s="1" t="str">
        <f>IFERROR(__xludf.DUMMYFUNCTION("""COMPUTED_VALUE"""),"")</f>
        <v/>
      </c>
      <c r="AG1451" s="1" t="str">
        <f>IFERROR(__xludf.DUMMYFUNCTION("""COMPUTED_VALUE"""),"")</f>
        <v/>
      </c>
      <c r="AH1451" s="1" t="str">
        <f>IFERROR(__xludf.DUMMYFUNCTION("""COMPUTED_VALUE"""),"PEC")</f>
        <v>PEC</v>
      </c>
      <c r="AI1451" s="2" t="str">
        <f>IFERROR(__xludf.DUMMYFUNCTION("""COMPUTED_VALUE"""),"https://loudouncountyvaeg.tylerhost.net/prod/selfservice#/plan/78E3A554-EEDF-454D-B64F-9980B4A2E471?tab=attachments")</f>
        <v>https://loudouncountyvaeg.tylerhost.net/prod/selfservice#/plan/78E3A554-EEDF-454D-B64F-9980B4A2E471?tab=attachments</v>
      </c>
      <c r="AJ1451" s="2" t="str">
        <f>IFERROR(__xludf.DUMMYFUNCTION("""COMPUTED_VALUE"""),"https://reparcelasmt.loudoun.gov/pt/Datalets/Datalet.aspx?UseSearch=no&amp;mode=profileall&amp;pin=097409598000&amp;jur=107&amp;taxyr=2024")</f>
        <v>https://reparcelasmt.loudoun.gov/pt/Datalets/Datalet.aspx?UseSearch=no&amp;mode=profileall&amp;pin=097409598000&amp;jur=107&amp;taxyr=2024</v>
      </c>
      <c r="AK1451" s="1" t="str">
        <f>IFERROR(__xludf.DUMMYFUNCTION("""COMPUTED_VALUE"""),"")</f>
        <v/>
      </c>
      <c r="AL1451" s="1" t="str">
        <f>IFERROR(__xludf.DUMMYFUNCTION("""COMPUTED_VALUE"""),"")</f>
        <v/>
      </c>
      <c r="AM1451" s="1" t="str">
        <f>IFERROR(__xludf.DUMMYFUNCTION("""COMPUTED_VALUE"""),"")</f>
        <v/>
      </c>
      <c r="AN1451" s="1" t="str">
        <f>IFERROR(__xludf.DUMMYFUNCTION("""COMPUTED_VALUE"""),"")</f>
        <v/>
      </c>
      <c r="AO1451" s="1" t="str">
        <f>IFERROR(__xludf.DUMMYFUNCTION("""COMPUTED_VALUE"""),"")</f>
        <v/>
      </c>
      <c r="AP1451" s="1" t="str">
        <f>IFERROR(__xludf.DUMMYFUNCTION("""COMPUTED_VALUE"""),"")</f>
        <v/>
      </c>
      <c r="AQ1451" s="1" t="str">
        <f>IFERROR(__xludf.DUMMYFUNCTION("""COMPUTED_VALUE"""),"04/10/2024")</f>
        <v>04/10/2024</v>
      </c>
      <c r="AR1451" s="1" t="str">
        <f>IFERROR(__xludf.DUMMYFUNCTION("""COMPUTED_VALUE"""),"10/17/2025")</f>
        <v>10/17/2025</v>
      </c>
    </row>
    <row r="1452">
      <c r="A1452" s="1" t="str">
        <f>IFERROR(__xludf.DUMMYFUNCTION("""COMPUTED_VALUE"""),"Sutton Bay")</f>
        <v>Sutton Bay</v>
      </c>
      <c r="B1452" s="1" t="str">
        <f>IFERROR(__xludf.DUMMYFUNCTION("""COMPUTED_VALUE"""),"25800 SUTTON BAY PLZ")</f>
        <v>25800 SUTTON BAY PLZ</v>
      </c>
      <c r="C1452" s="1" t="str">
        <f>IFERROR(__xludf.DUMMYFUNCTION("""COMPUTED_VALUE"""),"South Riding")</f>
        <v>South Riding</v>
      </c>
      <c r="D1452" s="1" t="str">
        <f>IFERROR(__xludf.DUMMYFUNCTION("""COMPUTED_VALUE"""),"VA")</f>
        <v>VA</v>
      </c>
      <c r="E1452" s="1" t="str">
        <f>IFERROR(__xludf.DUMMYFUNCTION("""COMPUTED_VALUE"""),"20152")</f>
        <v>20152</v>
      </c>
      <c r="F1452" s="1" t="str">
        <f>IFERROR(__xludf.DUMMYFUNCTION("""COMPUTED_VALUE"""),"Loudoun")</f>
        <v>Loudoun</v>
      </c>
      <c r="G1452" s="1" t="str">
        <f>IFERROR(__xludf.DUMMYFUNCTION("""COMPUTED_VALUE"""),"38.91631")</f>
        <v>38.91631</v>
      </c>
      <c r="H1452" s="1" t="str">
        <f>IFERROR(__xludf.DUMMYFUNCTION("""COMPUTED_VALUE"""),"-77.47834")</f>
        <v>-77.47834</v>
      </c>
      <c r="I1452" s="1" t="str">
        <f>IFERROR(__xludf.DUMMYFUNCTION("""COMPUTED_VALUE"""),"Operating")</f>
        <v>Operating</v>
      </c>
      <c r="J1452" s="1" t="str">
        <f>IFERROR(__xludf.DUMMYFUNCTION("""COMPUTED_VALUE"""),"High")</f>
        <v>High</v>
      </c>
      <c r="K1452" s="1" t="str">
        <f>IFERROR(__xludf.DUMMYFUNCTION("""COMPUTED_VALUE"""),"")</f>
        <v/>
      </c>
      <c r="L1452" s="1" t="str">
        <f>IFERROR(__xludf.DUMMYFUNCTION("""COMPUTED_VALUE"""),"Amazon")</f>
        <v>Amazon</v>
      </c>
      <c r="M1452" s="1" t="str">
        <f>IFERROR(__xludf.DUMMYFUNCTION("""COMPUTED_VALUE"""),"")</f>
        <v/>
      </c>
      <c r="N1452" s="1" t="str">
        <f>IFERROR(__xludf.DUMMYFUNCTION("""COMPUTED_VALUE"""),"")</f>
        <v/>
      </c>
      <c r="O1452" s="1" t="str">
        <f>IFERROR(__xludf.DUMMYFUNCTION("""COMPUTED_VALUE"""),"Unknown")</f>
        <v>Unknown</v>
      </c>
      <c r="P1452" s="1" t="str">
        <f>IFERROR(__xludf.DUMMYFUNCTION("""COMPUTED_VALUE"""),"")</f>
        <v/>
      </c>
      <c r="Q1452" s="1" t="str">
        <f>IFERROR(__xludf.DUMMYFUNCTION("""COMPUTED_VALUE"""),"")</f>
        <v/>
      </c>
      <c r="R1452" s="1" t="str">
        <f>IFERROR(__xludf.DUMMYFUNCTION("""COMPUTED_VALUE"""),"")</f>
        <v/>
      </c>
      <c r="S1452" s="1" t="str">
        <f>IFERROR(__xludf.DUMMYFUNCTION("""COMPUTED_VALUE"""),"")</f>
        <v/>
      </c>
      <c r="T1452" s="1" t="str">
        <f>IFERROR(__xludf.DUMMYFUNCTION("""COMPUTED_VALUE"""),"")</f>
        <v/>
      </c>
      <c r="U1452" s="1" t="str">
        <f>IFERROR(__xludf.DUMMYFUNCTION("""COMPUTED_VALUE"""),"")</f>
        <v/>
      </c>
      <c r="V1452" s="1" t="str">
        <f>IFERROR(__xludf.DUMMYFUNCTION("""COMPUTED_VALUE"""),"508,000")</f>
        <v>508,000</v>
      </c>
      <c r="W1452" s="1" t="str">
        <f>IFERROR(__xludf.DUMMYFUNCTION("""COMPUTED_VALUE"""),"43")</f>
        <v>43</v>
      </c>
      <c r="X1452" s="1" t="str">
        <f>IFERROR(__xludf.DUMMYFUNCTION("""COMPUTED_VALUE"""),"")</f>
        <v/>
      </c>
      <c r="Y1452" s="1" t="str">
        <f>IFERROR(__xludf.DUMMYFUNCTION("""COMPUTED_VALUE"""),"")</f>
        <v/>
      </c>
      <c r="Z1452" s="1" t="str">
        <f>IFERROR(__xludf.DUMMYFUNCTION("""COMPUTED_VALUE"""),"Unknown")</f>
        <v>Unknown</v>
      </c>
      <c r="AA1452" s="1" t="str">
        <f>IFERROR(__xludf.DUMMYFUNCTION("""COMPUTED_VALUE"""),"")</f>
        <v/>
      </c>
      <c r="AB1452" s="1" t="str">
        <f>IFERROR(__xludf.DUMMYFUNCTION("""COMPUTED_VALUE"""),"")</f>
        <v/>
      </c>
      <c r="AC1452" s="1" t="str">
        <f>IFERROR(__xludf.DUMMYFUNCTION("""COMPUTED_VALUE"""),"")</f>
        <v/>
      </c>
      <c r="AD1452" s="1" t="str">
        <f>IFERROR(__xludf.DUMMYFUNCTION("""COMPUTED_VALUE"""),"")</f>
        <v/>
      </c>
      <c r="AE1452" s="1" t="str">
        <f>IFERROR(__xludf.DUMMYFUNCTION("""COMPUTED_VALUE"""),"")</f>
        <v/>
      </c>
      <c r="AF1452" s="1" t="str">
        <f>IFERROR(__xludf.DUMMYFUNCTION("""COMPUTED_VALUE"""),"")</f>
        <v/>
      </c>
      <c r="AG1452" s="1" t="str">
        <f>IFERROR(__xludf.DUMMYFUNCTION("""COMPUTED_VALUE"""),"Shown as ""Storage Warehouse""")</f>
        <v>Shown as "Storage Warehouse"</v>
      </c>
      <c r="AH1452" s="1" t="str">
        <f>IFERROR(__xludf.DUMMYFUNCTION("""COMPUTED_VALUE"""),"PEC")</f>
        <v>PEC</v>
      </c>
      <c r="AI1452" s="2" t="str">
        <f>IFERROR(__xludf.DUMMYFUNCTION("""COMPUTED_VALUE"""),"https://reparcelasmt.loudoun.gov/pt/datalets/datalet.aspx?mode=profileall&amp;UseSearch=no&amp;pin=097398776000&amp;jur=107&amp;taxyr=2024&amp;LMparent=20")</f>
        <v>https://reparcelasmt.loudoun.gov/pt/datalets/datalet.aspx?mode=profileall&amp;UseSearch=no&amp;pin=097398776000&amp;jur=107&amp;taxyr=2024&amp;LMparent=20</v>
      </c>
      <c r="AJ1452" s="1" t="str">
        <f>IFERROR(__xludf.DUMMYFUNCTION("""COMPUTED_VALUE"""),"")</f>
        <v/>
      </c>
      <c r="AK1452" s="1" t="str">
        <f>IFERROR(__xludf.DUMMYFUNCTION("""COMPUTED_VALUE"""),"")</f>
        <v/>
      </c>
      <c r="AL1452" s="1" t="str">
        <f>IFERROR(__xludf.DUMMYFUNCTION("""COMPUTED_VALUE"""),"")</f>
        <v/>
      </c>
      <c r="AM1452" s="1" t="str">
        <f>IFERROR(__xludf.DUMMYFUNCTION("""COMPUTED_VALUE"""),"")</f>
        <v/>
      </c>
      <c r="AN1452" s="1" t="str">
        <f>IFERROR(__xludf.DUMMYFUNCTION("""COMPUTED_VALUE"""),"")</f>
        <v/>
      </c>
      <c r="AO1452" s="1" t="str">
        <f>IFERROR(__xludf.DUMMYFUNCTION("""COMPUTED_VALUE"""),"")</f>
        <v/>
      </c>
      <c r="AP1452" s="1" t="str">
        <f>IFERROR(__xludf.DUMMYFUNCTION("""COMPUTED_VALUE"""),"")</f>
        <v/>
      </c>
      <c r="AQ1452" s="1" t="str">
        <f>IFERROR(__xludf.DUMMYFUNCTION("""COMPUTED_VALUE"""),"04/10/2024")</f>
        <v>04/10/2024</v>
      </c>
      <c r="AR1452" s="1" t="str">
        <f>IFERROR(__xludf.DUMMYFUNCTION("""COMPUTED_VALUE"""),"10/17/2025")</f>
        <v>10/17/2025</v>
      </c>
    </row>
    <row r="1453">
      <c r="A1453" s="1" t="str">
        <f>IFERROR(__xludf.DUMMYFUNCTION("""COMPUTED_VALUE"""),"Gateway Commerce Center")</f>
        <v>Gateway Commerce Center</v>
      </c>
      <c r="B1453" s="1" t="str">
        <f>IFERROR(__xludf.DUMMYFUNCTION("""COMPUTED_VALUE"""),"5654 Hickory Ridge RD")</f>
        <v>5654 Hickory Ridge RD</v>
      </c>
      <c r="C1453" s="1" t="str">
        <f>IFERROR(__xludf.DUMMYFUNCTION("""COMPUTED_VALUE"""),"Spotsylvania")</f>
        <v>Spotsylvania</v>
      </c>
      <c r="D1453" s="1" t="str">
        <f>IFERROR(__xludf.DUMMYFUNCTION("""COMPUTED_VALUE"""),"VA")</f>
        <v>VA</v>
      </c>
      <c r="E1453" s="1" t="str">
        <f>IFERROR(__xludf.DUMMYFUNCTION("""COMPUTED_VALUE"""),"22551")</f>
        <v>22551</v>
      </c>
      <c r="F1453" s="1" t="str">
        <f>IFERROR(__xludf.DUMMYFUNCTION("""COMPUTED_VALUE"""),"Spotsylvania")</f>
        <v>Spotsylvania</v>
      </c>
      <c r="G1453" s="1" t="str">
        <f>IFERROR(__xludf.DUMMYFUNCTION("""COMPUTED_VALUE"""),"38.165024")</f>
        <v>38.165024</v>
      </c>
      <c r="H1453" s="1" t="str">
        <f>IFERROR(__xludf.DUMMYFUNCTION("""COMPUTED_VALUE"""),"-77.529495")</f>
        <v>-77.529495</v>
      </c>
      <c r="I1453" s="1" t="str">
        <f>IFERROR(__xludf.DUMMYFUNCTION("""COMPUTED_VALUE"""),"Proposed")</f>
        <v>Proposed</v>
      </c>
      <c r="J1453" s="1" t="str">
        <f>IFERROR(__xludf.DUMMYFUNCTION("""COMPUTED_VALUE"""),"High")</f>
        <v>High</v>
      </c>
      <c r="K1453" s="1" t="str">
        <f>IFERROR(__xludf.DUMMYFUNCTION("""COMPUTED_VALUE"""),"")</f>
        <v/>
      </c>
      <c r="L1453" s="1" t="str">
        <f>IFERROR(__xludf.DUMMYFUNCTION("""COMPUTED_VALUE"""),"")</f>
        <v/>
      </c>
      <c r="M1453" s="1" t="str">
        <f>IFERROR(__xludf.DUMMYFUNCTION("""COMPUTED_VALUE"""),"")</f>
        <v/>
      </c>
      <c r="N1453" s="1" t="str">
        <f>IFERROR(__xludf.DUMMYFUNCTION("""COMPUTED_VALUE"""),"")</f>
        <v/>
      </c>
      <c r="O1453" s="1" t="str">
        <f>IFERROR(__xludf.DUMMYFUNCTION("""COMPUTED_VALUE"""),"Unknown")</f>
        <v>Unknown</v>
      </c>
      <c r="P1453" s="1" t="str">
        <f>IFERROR(__xludf.DUMMYFUNCTION("""COMPUTED_VALUE"""),"")</f>
        <v/>
      </c>
      <c r="Q1453" s="1" t="str">
        <f>IFERROR(__xludf.DUMMYFUNCTION("""COMPUTED_VALUE"""),"")</f>
        <v/>
      </c>
      <c r="R1453" s="1" t="str">
        <f>IFERROR(__xludf.DUMMYFUNCTION("""COMPUTED_VALUE"""),"")</f>
        <v/>
      </c>
      <c r="S1453" s="1" t="str">
        <f>IFERROR(__xludf.DUMMYFUNCTION("""COMPUTED_VALUE"""),"")</f>
        <v/>
      </c>
      <c r="T1453" s="1" t="str">
        <f>IFERROR(__xludf.DUMMYFUNCTION("""COMPUTED_VALUE"""),"")</f>
        <v/>
      </c>
      <c r="U1453" s="1" t="str">
        <f>IFERROR(__xludf.DUMMYFUNCTION("""COMPUTED_VALUE"""),"")</f>
        <v/>
      </c>
      <c r="V1453" s="1" t="str">
        <f>IFERROR(__xludf.DUMMYFUNCTION("""COMPUTED_VALUE"""),"2,200,000")</f>
        <v>2,200,000</v>
      </c>
      <c r="W1453" s="1" t="str">
        <f>IFERROR(__xludf.DUMMYFUNCTION("""COMPUTED_VALUE"""),"203")</f>
        <v>203</v>
      </c>
      <c r="X1453" s="1" t="str">
        <f>IFERROR(__xludf.DUMMYFUNCTION("""COMPUTED_VALUE"""),"")</f>
        <v/>
      </c>
      <c r="Y1453" s="1" t="str">
        <f>IFERROR(__xludf.DUMMYFUNCTION("""COMPUTED_VALUE"""),"")</f>
        <v/>
      </c>
      <c r="Z1453" s="1" t="str">
        <f>IFERROR(__xludf.DUMMYFUNCTION("""COMPUTED_VALUE"""),"Unknown")</f>
        <v>Unknown</v>
      </c>
      <c r="AA1453" s="1" t="str">
        <f>IFERROR(__xludf.DUMMYFUNCTION("""COMPUTED_VALUE"""),"")</f>
        <v/>
      </c>
      <c r="AB1453" s="1" t="str">
        <f>IFERROR(__xludf.DUMMYFUNCTION("""COMPUTED_VALUE"""),"")</f>
        <v/>
      </c>
      <c r="AC1453" s="1" t="str">
        <f>IFERROR(__xludf.DUMMYFUNCTION("""COMPUTED_VALUE"""),"")</f>
        <v/>
      </c>
      <c r="AD1453" s="1" t="str">
        <f>IFERROR(__xludf.DUMMYFUNCTION("""COMPUTED_VALUE"""),"")</f>
        <v/>
      </c>
      <c r="AE1453" s="1" t="str">
        <f>IFERROR(__xludf.DUMMYFUNCTION("""COMPUTED_VALUE"""),"")</f>
        <v/>
      </c>
      <c r="AF1453" s="1" t="str">
        <f>IFERROR(__xludf.DUMMYFUNCTION("""COMPUTED_VALUE"""),"")</f>
        <v/>
      </c>
      <c r="AG1453" s="1" t="str">
        <f>IFERROR(__xludf.DUMMYFUNCTION("""COMPUTED_VALUE"""),"This project covers multiple parcels. The total acreage has been represented here.")</f>
        <v>This project covers multiple parcels. The total acreage has been represented here.</v>
      </c>
      <c r="AH1453" s="1" t="str">
        <f>IFERROR(__xludf.DUMMYFUNCTION("""COMPUTED_VALUE"""),"PEC")</f>
        <v>PEC</v>
      </c>
      <c r="AI1453" s="2" t="str">
        <f>IFERROR(__xludf.DUMMYFUNCTION("""COMPUTED_VALUE"""),"https://www.spotsylvania.va.us/DocumentCenter/View/24117/Executed-Proffer-Statement-")</f>
        <v>https://www.spotsylvania.va.us/DocumentCenter/View/24117/Executed-Proffer-Statement-</v>
      </c>
      <c r="AJ1453" s="2" t="str">
        <f>IFERROR(__xludf.DUMMYFUNCTION("""COMPUTED_VALUE"""),"https://gis.spotsylvania.va.us/spotsylvania/#/mwl?zoom=16&amp;location=-77.529108_38.165611")</f>
        <v>https://gis.spotsylvania.va.us/spotsylvania/#/mwl?zoom=16&amp;location=-77.529108_38.165611</v>
      </c>
      <c r="AK1453" s="1" t="str">
        <f>IFERROR(__xludf.DUMMYFUNCTION("""COMPUTED_VALUE"""),"")</f>
        <v/>
      </c>
      <c r="AL1453" s="1" t="str">
        <f>IFERROR(__xludf.DUMMYFUNCTION("""COMPUTED_VALUE"""),"")</f>
        <v/>
      </c>
      <c r="AM1453" s="1" t="str">
        <f>IFERROR(__xludf.DUMMYFUNCTION("""COMPUTED_VALUE"""),"")</f>
        <v/>
      </c>
      <c r="AN1453" s="1" t="str">
        <f>IFERROR(__xludf.DUMMYFUNCTION("""COMPUTED_VALUE"""),"")</f>
        <v/>
      </c>
      <c r="AO1453" s="1" t="str">
        <f>IFERROR(__xludf.DUMMYFUNCTION("""COMPUTED_VALUE"""),"")</f>
        <v/>
      </c>
      <c r="AP1453" s="1" t="str">
        <f>IFERROR(__xludf.DUMMYFUNCTION("""COMPUTED_VALUE"""),"")</f>
        <v/>
      </c>
      <c r="AQ1453" s="1" t="str">
        <f>IFERROR(__xludf.DUMMYFUNCTION("""COMPUTED_VALUE"""),"07/18/2025")</f>
        <v>07/18/2025</v>
      </c>
      <c r="AR1453" s="1" t="str">
        <f>IFERROR(__xludf.DUMMYFUNCTION("""COMPUTED_VALUE"""),"10/17/2025")</f>
        <v>10/17/2025</v>
      </c>
    </row>
    <row r="1454">
      <c r="A1454" s="1" t="str">
        <f>IFERROR(__xludf.DUMMYFUNCTION("""COMPUTED_VALUE"""),"SpotsyTech Campus")</f>
        <v>SpotsyTech Campus</v>
      </c>
      <c r="B1454" s="1" t="str">
        <f>IFERROR(__xludf.DUMMYFUNCTION("""COMPUTED_VALUE"""),"West of I-95, east of N Roxbury Mill Rd")</f>
        <v>West of I-95, east of N Roxbury Mill Rd</v>
      </c>
      <c r="C1454" s="1" t="str">
        <f>IFERROR(__xludf.DUMMYFUNCTION("""COMPUTED_VALUE"""),"Spotsylvania Courthouse")</f>
        <v>Spotsylvania Courthouse</v>
      </c>
      <c r="D1454" s="1" t="str">
        <f>IFERROR(__xludf.DUMMYFUNCTION("""COMPUTED_VALUE"""),"VA")</f>
        <v>VA</v>
      </c>
      <c r="E1454" s="1" t="str">
        <f>IFERROR(__xludf.DUMMYFUNCTION("""COMPUTED_VALUE"""),"22551")</f>
        <v>22551</v>
      </c>
      <c r="F1454" s="1" t="str">
        <f>IFERROR(__xludf.DUMMYFUNCTION("""COMPUTED_VALUE"""),"Spotsylvania")</f>
        <v>Spotsylvania</v>
      </c>
      <c r="G1454" s="1" t="str">
        <f>IFERROR(__xludf.DUMMYFUNCTION("""COMPUTED_VALUE"""),"38.159935")</f>
        <v>38.159935</v>
      </c>
      <c r="H1454" s="1" t="str">
        <f>IFERROR(__xludf.DUMMYFUNCTION("""COMPUTED_VALUE"""),"-77.51494")</f>
        <v>-77.51494</v>
      </c>
      <c r="I1454" s="1" t="str">
        <f>IFERROR(__xludf.DUMMYFUNCTION("""COMPUTED_VALUE"""),"Proposed")</f>
        <v>Proposed</v>
      </c>
      <c r="J1454" s="1" t="str">
        <f>IFERROR(__xludf.DUMMYFUNCTION("""COMPUTED_VALUE"""),"High")</f>
        <v>High</v>
      </c>
      <c r="K1454" s="1" t="str">
        <f>IFERROR(__xludf.DUMMYFUNCTION("""COMPUTED_VALUE"""),"")</f>
        <v/>
      </c>
      <c r="L1454" s="1" t="str">
        <f>IFERROR(__xludf.DUMMYFUNCTION("""COMPUTED_VALUE"""),"")</f>
        <v/>
      </c>
      <c r="M1454" s="1" t="str">
        <f>IFERROR(__xludf.DUMMYFUNCTION("""COMPUTED_VALUE"""),"")</f>
        <v/>
      </c>
      <c r="N1454" s="1" t="str">
        <f>IFERROR(__xludf.DUMMYFUNCTION("""COMPUTED_VALUE"""),"800")</f>
        <v>800</v>
      </c>
      <c r="O1454" s="1" t="str">
        <f>IFERROR(__xludf.DUMMYFUNCTION("""COMPUTED_VALUE"""),"Hyperscale (100-999 MW)")</f>
        <v>Hyperscale (100-999 MW)</v>
      </c>
      <c r="P1454" s="1" t="str">
        <f>IFERROR(__xludf.DUMMYFUNCTION("""COMPUTED_VALUE"""),"")</f>
        <v/>
      </c>
      <c r="Q1454" s="1" t="str">
        <f>IFERROR(__xludf.DUMMYFUNCTION("""COMPUTED_VALUE"""),"")</f>
        <v/>
      </c>
      <c r="R1454" s="1" t="str">
        <f>IFERROR(__xludf.DUMMYFUNCTION("""COMPUTED_VALUE"""),"")</f>
        <v/>
      </c>
      <c r="S1454" s="1" t="str">
        <f>IFERROR(__xludf.DUMMYFUNCTION("""COMPUTED_VALUE"""),"9")</f>
        <v>9</v>
      </c>
      <c r="T1454" s="1" t="str">
        <f>IFERROR(__xludf.DUMMYFUNCTION("""COMPUTED_VALUE"""),"")</f>
        <v/>
      </c>
      <c r="U1454" s="1" t="str">
        <f>IFERROR(__xludf.DUMMYFUNCTION("""COMPUTED_VALUE"""),"")</f>
        <v/>
      </c>
      <c r="V1454" s="1" t="str">
        <f>IFERROR(__xludf.DUMMYFUNCTION("""COMPUTED_VALUE"""),"2,900,000")</f>
        <v>2,900,000</v>
      </c>
      <c r="W1454" s="1" t="str">
        <f>IFERROR(__xludf.DUMMYFUNCTION("""COMPUTED_VALUE"""),"315")</f>
        <v>315</v>
      </c>
      <c r="X1454" s="1" t="str">
        <f>IFERROR(__xludf.DUMMYFUNCTION("""COMPUTED_VALUE"""),"")</f>
        <v/>
      </c>
      <c r="Y1454" s="1" t="str">
        <f>IFERROR(__xludf.DUMMYFUNCTION("""COMPUTED_VALUE"""),"2030")</f>
        <v>2030</v>
      </c>
      <c r="Z1454" s="1" t="str">
        <f>IFERROR(__xludf.DUMMYFUNCTION("""COMPUTED_VALUE"""),"Unknown")</f>
        <v>Unknown</v>
      </c>
      <c r="AA1454" s="1" t="str">
        <f>IFERROR(__xludf.DUMMYFUNCTION("""COMPUTED_VALUE"""),"")</f>
        <v/>
      </c>
      <c r="AB1454" s="1" t="str">
        <f>IFERROR(__xludf.DUMMYFUNCTION("""COMPUTED_VALUE"""),"")</f>
        <v/>
      </c>
      <c r="AC1454" s="1" t="str">
        <f>IFERROR(__xludf.DUMMYFUNCTION("""COMPUTED_VALUE"""),"")</f>
        <v/>
      </c>
      <c r="AD1454" s="1" t="str">
        <f>IFERROR(__xludf.DUMMYFUNCTION("""COMPUTED_VALUE"""),"")</f>
        <v/>
      </c>
      <c r="AE1454" s="1" t="str">
        <f>IFERROR(__xludf.DUMMYFUNCTION("""COMPUTED_VALUE"""),"")</f>
        <v/>
      </c>
      <c r="AF1454" s="1" t="str">
        <f>IFERROR(__xludf.DUMMYFUNCTION("""COMPUTED_VALUE"""),"")</f>
        <v/>
      </c>
      <c r="AG1454" s="1" t="str">
        <f>IFERROR(__xludf.DUMMYFUNCTION("""COMPUTED_VALUE"""),"")</f>
        <v/>
      </c>
      <c r="AH1454" s="1" t="str">
        <f>IFERROR(__xludf.DUMMYFUNCTION("""COMPUTED_VALUE"""),"Media Monitoring")</f>
        <v>Media Monitoring</v>
      </c>
      <c r="AI1454" s="2" t="str">
        <f>IFERROR(__xludf.DUMMYFUNCTION("""COMPUTED_VALUE"""),"https://www.datacenterdynamics.com/en/news/new-29-million-sq-ft-technology-park-proposed-in-spotsylvania-county-virginia/")</f>
        <v>https://www.datacenterdynamics.com/en/news/new-29-million-sq-ft-technology-park-proposed-in-spotsylvania-county-virginia/</v>
      </c>
      <c r="AJ1454" s="2" t="str">
        <f>IFERROR(__xludf.DUMMYFUNCTION("""COMPUTED_VALUE"""),"https://www.datacenterdynamics.com/en/news/powerhouse-plans-800mw-campus-in-virginias-spotsylvania-county/")</f>
        <v>https://www.datacenterdynamics.com/en/news/powerhouse-plans-800mw-campus-in-virginias-spotsylvania-county/</v>
      </c>
      <c r="AK1454" s="1" t="str">
        <f>IFERROR(__xludf.DUMMYFUNCTION("""COMPUTED_VALUE"""),"")</f>
        <v/>
      </c>
      <c r="AL1454" s="1" t="str">
        <f>IFERROR(__xludf.DUMMYFUNCTION("""COMPUTED_VALUE"""),"")</f>
        <v/>
      </c>
      <c r="AM1454" s="1" t="str">
        <f>IFERROR(__xludf.DUMMYFUNCTION("""COMPUTED_VALUE"""),"")</f>
        <v/>
      </c>
      <c r="AN1454" s="1" t="str">
        <f>IFERROR(__xludf.DUMMYFUNCTION("""COMPUTED_VALUE"""),"")</f>
        <v/>
      </c>
      <c r="AO1454" s="1" t="str">
        <f>IFERROR(__xludf.DUMMYFUNCTION("""COMPUTED_VALUE"""),"")</f>
        <v/>
      </c>
      <c r="AP1454" s="1" t="str">
        <f>IFERROR(__xludf.DUMMYFUNCTION("""COMPUTED_VALUE"""),"")</f>
        <v/>
      </c>
      <c r="AQ1454" s="1" t="str">
        <f>IFERROR(__xludf.DUMMYFUNCTION("""COMPUTED_VALUE"""),"01/24/2026")</f>
        <v>01/24/2026</v>
      </c>
      <c r="AR1454" s="1" t="str">
        <f>IFERROR(__xludf.DUMMYFUNCTION("""COMPUTED_VALUE"""),"01/24/2026")</f>
        <v>01/24/2026</v>
      </c>
    </row>
    <row r="1455">
      <c r="A1455" s="1" t="str">
        <f>IFERROR(__xludf.DUMMYFUNCTION("""COMPUTED_VALUE"""),"AWS Loisdale Station")</f>
        <v>AWS Loisdale Station</v>
      </c>
      <c r="B1455" s="1" t="str">
        <f>IFERROR(__xludf.DUMMYFUNCTION("""COMPUTED_VALUE"""),"7961 Loisdale Rd")</f>
        <v>7961 Loisdale Rd</v>
      </c>
      <c r="C1455" s="1" t="str">
        <f>IFERROR(__xludf.DUMMYFUNCTION("""COMPUTED_VALUE"""),"Springfield")</f>
        <v>Springfield</v>
      </c>
      <c r="D1455" s="1" t="str">
        <f>IFERROR(__xludf.DUMMYFUNCTION("""COMPUTED_VALUE"""),"VA")</f>
        <v>VA</v>
      </c>
      <c r="E1455" s="1" t="str">
        <f>IFERROR(__xludf.DUMMYFUNCTION("""COMPUTED_VALUE"""),"22150")</f>
        <v>22150</v>
      </c>
      <c r="F1455" s="1" t="str">
        <f>IFERROR(__xludf.DUMMYFUNCTION("""COMPUTED_VALUE"""),"Fairfax")</f>
        <v>Fairfax</v>
      </c>
      <c r="G1455" s="1" t="str">
        <f>IFERROR(__xludf.DUMMYFUNCTION("""COMPUTED_VALUE"""),"38.742268")</f>
        <v>38.742268</v>
      </c>
      <c r="H1455" s="1" t="str">
        <f>IFERROR(__xludf.DUMMYFUNCTION("""COMPUTED_VALUE"""),"-77.186424")</f>
        <v>-77.186424</v>
      </c>
      <c r="I1455" s="1" t="str">
        <f>IFERROR(__xludf.DUMMYFUNCTION("""COMPUTED_VALUE"""),"Proposed")</f>
        <v>Proposed</v>
      </c>
      <c r="J1455" s="1" t="str">
        <f>IFERROR(__xludf.DUMMYFUNCTION("""COMPUTED_VALUE"""),"High")</f>
        <v>High</v>
      </c>
      <c r="K1455" s="1" t="str">
        <f>IFERROR(__xludf.DUMMYFUNCTION("""COMPUTED_VALUE"""),"")</f>
        <v/>
      </c>
      <c r="L1455" s="1" t="str">
        <f>IFERROR(__xludf.DUMMYFUNCTION("""COMPUTED_VALUE"""),"Amazon")</f>
        <v>Amazon</v>
      </c>
      <c r="M1455" s="1" t="str">
        <f>IFERROR(__xludf.DUMMYFUNCTION("""COMPUTED_VALUE"""),"")</f>
        <v/>
      </c>
      <c r="N1455" s="1" t="str">
        <f>IFERROR(__xludf.DUMMYFUNCTION("""COMPUTED_VALUE"""),"")</f>
        <v/>
      </c>
      <c r="O1455" s="1" t="str">
        <f>IFERROR(__xludf.DUMMYFUNCTION("""COMPUTED_VALUE"""),"Unknown")</f>
        <v>Unknown</v>
      </c>
      <c r="P1455" s="1" t="str">
        <f>IFERROR(__xludf.DUMMYFUNCTION("""COMPUTED_VALUE"""),"")</f>
        <v/>
      </c>
      <c r="Q1455" s="1" t="str">
        <f>IFERROR(__xludf.DUMMYFUNCTION("""COMPUTED_VALUE"""),"")</f>
        <v/>
      </c>
      <c r="R1455" s="1" t="str">
        <f>IFERROR(__xludf.DUMMYFUNCTION("""COMPUTED_VALUE"""),"")</f>
        <v/>
      </c>
      <c r="S1455" s="1" t="str">
        <f>IFERROR(__xludf.DUMMYFUNCTION("""COMPUTED_VALUE"""),"")</f>
        <v/>
      </c>
      <c r="T1455" s="1" t="str">
        <f>IFERROR(__xludf.DUMMYFUNCTION("""COMPUTED_VALUE"""),"")</f>
        <v/>
      </c>
      <c r="U1455" s="1" t="str">
        <f>IFERROR(__xludf.DUMMYFUNCTION("""COMPUTED_VALUE"""),"")</f>
        <v/>
      </c>
      <c r="V1455" s="1" t="str">
        <f>IFERROR(__xludf.DUMMYFUNCTION("""COMPUTED_VALUE"""),"240,000")</f>
        <v>240,000</v>
      </c>
      <c r="W1455" s="1" t="str">
        <f>IFERROR(__xludf.DUMMYFUNCTION("""COMPUTED_VALUE"""),"23")</f>
        <v>23</v>
      </c>
      <c r="X1455" s="1" t="str">
        <f>IFERROR(__xludf.DUMMYFUNCTION("""COMPUTED_VALUE"""),"")</f>
        <v/>
      </c>
      <c r="Y1455" s="1" t="str">
        <f>IFERROR(__xludf.DUMMYFUNCTION("""COMPUTED_VALUE"""),"")</f>
        <v/>
      </c>
      <c r="Z1455" s="1" t="str">
        <f>IFERROR(__xludf.DUMMYFUNCTION("""COMPUTED_VALUE"""),"Unknown")</f>
        <v>Unknown</v>
      </c>
      <c r="AA1455" s="1" t="str">
        <f>IFERROR(__xludf.DUMMYFUNCTION("""COMPUTED_VALUE"""),"")</f>
        <v/>
      </c>
      <c r="AB1455" s="1" t="str">
        <f>IFERROR(__xludf.DUMMYFUNCTION("""COMPUTED_VALUE"""),"")</f>
        <v/>
      </c>
      <c r="AC1455" s="1" t="str">
        <f>IFERROR(__xludf.DUMMYFUNCTION("""COMPUTED_VALUE"""),"")</f>
        <v/>
      </c>
      <c r="AD1455" s="1" t="str">
        <f>IFERROR(__xludf.DUMMYFUNCTION("""COMPUTED_VALUE"""),"")</f>
        <v/>
      </c>
      <c r="AE1455" s="1" t="str">
        <f>IFERROR(__xludf.DUMMYFUNCTION("""COMPUTED_VALUE"""),"")</f>
        <v/>
      </c>
      <c r="AF1455" s="1" t="str">
        <f>IFERROR(__xludf.DUMMYFUNCTION("""COMPUTED_VALUE"""),"")</f>
        <v/>
      </c>
      <c r="AG1455" s="1" t="str">
        <f>IFERROR(__xludf.DUMMYFUNCTION("""COMPUTED_VALUE"""),"")</f>
        <v/>
      </c>
      <c r="AH1455" s="1" t="str">
        <f>IFERROR(__xludf.DUMMYFUNCTION("""COMPUTED_VALUE"""),"PEC")</f>
        <v>PEC</v>
      </c>
      <c r="AI1455" s="2" t="str">
        <f>IFERROR(__xludf.DUMMYFUNCTION("""COMPUTED_VALUE"""),"https://www.fairfaxcounty.gov/planning-development/sites/planning-development/files/Assets/Documents/PDF/data-centers-report.pdf#page=1")</f>
        <v>https://www.fairfaxcounty.gov/planning-development/sites/planning-development/files/Assets/Documents/PDF/data-centers-report.pdf#page=1</v>
      </c>
      <c r="AJ1455" s="2" t="str">
        <f>IFERROR(__xludf.DUMMYFUNCTION("""COMPUTED_VALUE"""),"https://icare.fairfaxcounty.gov/ffxcare/Datalets/Datalet.aspx?mode=&amp;UseSearch=no&amp;pin=0992%2001%20%200008A&amp;jur=129&amp;taxyr=2025")</f>
        <v>https://icare.fairfaxcounty.gov/ffxcare/Datalets/Datalet.aspx?mode=&amp;UseSearch=no&amp;pin=0992%2001%20%200008A&amp;jur=129&amp;taxyr=2025</v>
      </c>
      <c r="AK1455" s="1" t="str">
        <f>IFERROR(__xludf.DUMMYFUNCTION("""COMPUTED_VALUE"""),"")</f>
        <v/>
      </c>
      <c r="AL1455" s="1" t="str">
        <f>IFERROR(__xludf.DUMMYFUNCTION("""COMPUTED_VALUE"""),"")</f>
        <v/>
      </c>
      <c r="AM1455" s="1" t="str">
        <f>IFERROR(__xludf.DUMMYFUNCTION("""COMPUTED_VALUE"""),"")</f>
        <v/>
      </c>
      <c r="AN1455" s="1" t="str">
        <f>IFERROR(__xludf.DUMMYFUNCTION("""COMPUTED_VALUE"""),"")</f>
        <v/>
      </c>
      <c r="AO1455" s="1" t="str">
        <f>IFERROR(__xludf.DUMMYFUNCTION("""COMPUTED_VALUE"""),"")</f>
        <v/>
      </c>
      <c r="AP1455" s="1" t="str">
        <f>IFERROR(__xludf.DUMMYFUNCTION("""COMPUTED_VALUE"""),"")</f>
        <v/>
      </c>
      <c r="AQ1455" s="1" t="str">
        <f>IFERROR(__xludf.DUMMYFUNCTION("""COMPUTED_VALUE"""),"04/10/2024")</f>
        <v>04/10/2024</v>
      </c>
      <c r="AR1455" s="1" t="str">
        <f>IFERROR(__xludf.DUMMYFUNCTION("""COMPUTED_VALUE"""),"10/17/2025")</f>
        <v>10/17/2025</v>
      </c>
    </row>
    <row r="1456">
      <c r="A1456" s="1" t="str">
        <f>IFERROR(__xludf.DUMMYFUNCTION("""COMPUTED_VALUE"""),"VA 95 BUILDING NINE LP")</f>
        <v>VA 95 BUILDING NINE LP</v>
      </c>
      <c r="B1456" s="1" t="str">
        <f>IFERROR(__xludf.DUMMYFUNCTION("""COMPUTED_VALUE"""),"7600 BOSTON BLVD")</f>
        <v>7600 BOSTON BLVD</v>
      </c>
      <c r="C1456" s="1" t="str">
        <f>IFERROR(__xludf.DUMMYFUNCTION("""COMPUTED_VALUE"""),"Springfield")</f>
        <v>Springfield</v>
      </c>
      <c r="D1456" s="1" t="str">
        <f>IFERROR(__xludf.DUMMYFUNCTION("""COMPUTED_VALUE"""),"VA")</f>
        <v>VA</v>
      </c>
      <c r="E1456" s="1" t="str">
        <f>IFERROR(__xludf.DUMMYFUNCTION("""COMPUTED_VALUE"""),"22153")</f>
        <v>22153</v>
      </c>
      <c r="F1456" s="1" t="str">
        <f>IFERROR(__xludf.DUMMYFUNCTION("""COMPUTED_VALUE"""),"Fairfax")</f>
        <v>Fairfax</v>
      </c>
      <c r="G1456" s="1" t="str">
        <f>IFERROR(__xludf.DUMMYFUNCTION("""COMPUTED_VALUE"""),"38.739193")</f>
        <v>38.739193</v>
      </c>
      <c r="H1456" s="1" t="str">
        <f>IFERROR(__xludf.DUMMYFUNCTION("""COMPUTED_VALUE"""),"-77.20798")</f>
        <v>-77.20798</v>
      </c>
      <c r="I1456" s="1" t="str">
        <f>IFERROR(__xludf.DUMMYFUNCTION("""COMPUTED_VALUE"""),"Operating")</f>
        <v>Operating</v>
      </c>
      <c r="J1456" s="1" t="str">
        <f>IFERROR(__xludf.DUMMYFUNCTION("""COMPUTED_VALUE"""),"High")</f>
        <v>High</v>
      </c>
      <c r="K1456" s="1" t="str">
        <f>IFERROR(__xludf.DUMMYFUNCTION("""COMPUTED_VALUE"""),"")</f>
        <v/>
      </c>
      <c r="L1456" s="1" t="str">
        <f>IFERROR(__xludf.DUMMYFUNCTION("""COMPUTED_VALUE"""),"VA 95 BUILDING NINE LP")</f>
        <v>VA 95 BUILDING NINE LP</v>
      </c>
      <c r="M1456" s="1" t="str">
        <f>IFERROR(__xludf.DUMMYFUNCTION("""COMPUTED_VALUE"""),"")</f>
        <v/>
      </c>
      <c r="N1456" s="1" t="str">
        <f>IFERROR(__xludf.DUMMYFUNCTION("""COMPUTED_VALUE"""),"")</f>
        <v/>
      </c>
      <c r="O1456" s="1" t="str">
        <f>IFERROR(__xludf.DUMMYFUNCTION("""COMPUTED_VALUE"""),"Unknown")</f>
        <v>Unknown</v>
      </c>
      <c r="P1456" s="1" t="str">
        <f>IFERROR(__xludf.DUMMYFUNCTION("""COMPUTED_VALUE"""),"")</f>
        <v/>
      </c>
      <c r="Q1456" s="1" t="str">
        <f>IFERROR(__xludf.DUMMYFUNCTION("""COMPUTED_VALUE"""),"")</f>
        <v/>
      </c>
      <c r="R1456" s="1" t="str">
        <f>IFERROR(__xludf.DUMMYFUNCTION("""COMPUTED_VALUE"""),"")</f>
        <v/>
      </c>
      <c r="S1456" s="1" t="str">
        <f>IFERROR(__xludf.DUMMYFUNCTION("""COMPUTED_VALUE"""),"")</f>
        <v/>
      </c>
      <c r="T1456" s="1" t="str">
        <f>IFERROR(__xludf.DUMMYFUNCTION("""COMPUTED_VALUE"""),"")</f>
        <v/>
      </c>
      <c r="U1456" s="1" t="str">
        <f>IFERROR(__xludf.DUMMYFUNCTION("""COMPUTED_VALUE"""),"")</f>
        <v/>
      </c>
      <c r="V1456" s="1" t="str">
        <f>IFERROR(__xludf.DUMMYFUNCTION("""COMPUTED_VALUE"""),"69,832")</f>
        <v>69,832</v>
      </c>
      <c r="W1456" s="1" t="str">
        <f>IFERROR(__xludf.DUMMYFUNCTION("""COMPUTED_VALUE"""),"4")</f>
        <v>4</v>
      </c>
      <c r="X1456" s="1" t="str">
        <f>IFERROR(__xludf.DUMMYFUNCTION("""COMPUTED_VALUE"""),"")</f>
        <v/>
      </c>
      <c r="Y1456" s="1" t="str">
        <f>IFERROR(__xludf.DUMMYFUNCTION("""COMPUTED_VALUE"""),"")</f>
        <v/>
      </c>
      <c r="Z1456" s="1" t="str">
        <f>IFERROR(__xludf.DUMMYFUNCTION("""COMPUTED_VALUE"""),"Unknown")</f>
        <v>Unknown</v>
      </c>
      <c r="AA1456" s="1" t="str">
        <f>IFERROR(__xludf.DUMMYFUNCTION("""COMPUTED_VALUE"""),"")</f>
        <v/>
      </c>
      <c r="AB1456" s="1" t="str">
        <f>IFERROR(__xludf.DUMMYFUNCTION("""COMPUTED_VALUE"""),"")</f>
        <v/>
      </c>
      <c r="AC1456" s="1" t="str">
        <f>IFERROR(__xludf.DUMMYFUNCTION("""COMPUTED_VALUE"""),"")</f>
        <v/>
      </c>
      <c r="AD1456" s="1" t="str">
        <f>IFERROR(__xludf.DUMMYFUNCTION("""COMPUTED_VALUE"""),"")</f>
        <v/>
      </c>
      <c r="AE1456" s="1" t="str">
        <f>IFERROR(__xludf.DUMMYFUNCTION("""COMPUTED_VALUE"""),"")</f>
        <v/>
      </c>
      <c r="AF1456" s="1" t="str">
        <f>IFERROR(__xludf.DUMMYFUNCTION("""COMPUTED_VALUE"""),"")</f>
        <v/>
      </c>
      <c r="AG1456" s="1" t="str">
        <f>IFERROR(__xludf.DUMMYFUNCTION("""COMPUTED_VALUE"""),"")</f>
        <v/>
      </c>
      <c r="AH1456" s="1" t="str">
        <f>IFERROR(__xludf.DUMMYFUNCTION("""COMPUTED_VALUE"""),"PEC")</f>
        <v>PEC</v>
      </c>
      <c r="AI1456" s="2" t="str">
        <f>IFERROR(__xludf.DUMMYFUNCTION("""COMPUTED_VALUE"""),"https://icare.fairfaxcounty.gov/ffxcare/Datalets/Datalet.aspx?mode=&amp;UseSearch=no&amp;pin=0991%2012%20%200010&amp;jur=129&amp;taxyr=2025")</f>
        <v>https://icare.fairfaxcounty.gov/ffxcare/Datalets/Datalet.aspx?mode=&amp;UseSearch=no&amp;pin=0991%2012%20%200010&amp;jur=129&amp;taxyr=2025</v>
      </c>
      <c r="AJ1456" s="1" t="str">
        <f>IFERROR(__xludf.DUMMYFUNCTION("""COMPUTED_VALUE"""),"")</f>
        <v/>
      </c>
      <c r="AK1456" s="1" t="str">
        <f>IFERROR(__xludf.DUMMYFUNCTION("""COMPUTED_VALUE"""),"")</f>
        <v/>
      </c>
      <c r="AL1456" s="1" t="str">
        <f>IFERROR(__xludf.DUMMYFUNCTION("""COMPUTED_VALUE"""),"")</f>
        <v/>
      </c>
      <c r="AM1456" s="1" t="str">
        <f>IFERROR(__xludf.DUMMYFUNCTION("""COMPUTED_VALUE"""),"")</f>
        <v/>
      </c>
      <c r="AN1456" s="1" t="str">
        <f>IFERROR(__xludf.DUMMYFUNCTION("""COMPUTED_VALUE"""),"")</f>
        <v/>
      </c>
      <c r="AO1456" s="1" t="str">
        <f>IFERROR(__xludf.DUMMYFUNCTION("""COMPUTED_VALUE"""),"")</f>
        <v/>
      </c>
      <c r="AP1456" s="1" t="str">
        <f>IFERROR(__xludf.DUMMYFUNCTION("""COMPUTED_VALUE"""),"")</f>
        <v/>
      </c>
      <c r="AQ1456" s="1" t="str">
        <f>IFERROR(__xludf.DUMMYFUNCTION("""COMPUTED_VALUE"""),"04/10/2024")</f>
        <v>04/10/2024</v>
      </c>
      <c r="AR1456" s="1" t="str">
        <f>IFERROR(__xludf.DUMMYFUNCTION("""COMPUTED_VALUE"""),"10/17/2025")</f>
        <v>10/17/2025</v>
      </c>
    </row>
    <row r="1457">
      <c r="A1457" s="1" t="str">
        <f>IFERROR(__xludf.DUMMYFUNCTION("""COMPUTED_VALUE"""),"Accokeek Center")</f>
        <v>Accokeek Center</v>
      </c>
      <c r="B1457" s="1" t="str">
        <f>IFERROR(__xludf.DUMMYFUNCTION("""COMPUTED_VALUE"""),"RT 1/Interstate 95 South of Rappahannock Regional Jail")</f>
        <v>RT 1/Interstate 95 South of Rappahannock Regional Jail</v>
      </c>
      <c r="C1457" s="1" t="str">
        <f>IFERROR(__xludf.DUMMYFUNCTION("""COMPUTED_VALUE"""),"Stafford")</f>
        <v>Stafford</v>
      </c>
      <c r="D1457" s="1" t="str">
        <f>IFERROR(__xludf.DUMMYFUNCTION("""COMPUTED_VALUE"""),"VA")</f>
        <v>VA</v>
      </c>
      <c r="E1457" s="1" t="str">
        <f>IFERROR(__xludf.DUMMYFUNCTION("""COMPUTED_VALUE"""),"22554")</f>
        <v>22554</v>
      </c>
      <c r="F1457" s="1" t="str">
        <f>IFERROR(__xludf.DUMMYFUNCTION("""COMPUTED_VALUE"""),"Stafford")</f>
        <v>Stafford</v>
      </c>
      <c r="G1457" s="1" t="str">
        <f>IFERROR(__xludf.DUMMYFUNCTION("""COMPUTED_VALUE"""),"38.403713")</f>
        <v>38.403713</v>
      </c>
      <c r="H1457" s="1" t="str">
        <f>IFERROR(__xludf.DUMMYFUNCTION("""COMPUTED_VALUE"""),"-77.427")</f>
        <v>-77.427</v>
      </c>
      <c r="I1457" s="1" t="str">
        <f>IFERROR(__xludf.DUMMYFUNCTION("""COMPUTED_VALUE"""),"Proposed")</f>
        <v>Proposed</v>
      </c>
      <c r="J1457" s="1" t="str">
        <f>IFERROR(__xludf.DUMMYFUNCTION("""COMPUTED_VALUE"""),"Medium")</f>
        <v>Medium</v>
      </c>
      <c r="K1457" s="1" t="str">
        <f>IFERROR(__xludf.DUMMYFUNCTION("""COMPUTED_VALUE"""),"")</f>
        <v/>
      </c>
      <c r="L1457" s="1" t="str">
        <f>IFERROR(__xludf.DUMMYFUNCTION("""COMPUTED_VALUE"""),"")</f>
        <v/>
      </c>
      <c r="M1457" s="1" t="str">
        <f>IFERROR(__xludf.DUMMYFUNCTION("""COMPUTED_VALUE"""),"")</f>
        <v/>
      </c>
      <c r="N1457" s="1" t="str">
        <f>IFERROR(__xludf.DUMMYFUNCTION("""COMPUTED_VALUE"""),"")</f>
        <v/>
      </c>
      <c r="O1457" s="1" t="str">
        <f>IFERROR(__xludf.DUMMYFUNCTION("""COMPUTED_VALUE"""),"Unknown")</f>
        <v>Unknown</v>
      </c>
      <c r="P1457" s="1" t="str">
        <f>IFERROR(__xludf.DUMMYFUNCTION("""COMPUTED_VALUE"""),"")</f>
        <v/>
      </c>
      <c r="Q1457" s="1" t="str">
        <f>IFERROR(__xludf.DUMMYFUNCTION("""COMPUTED_VALUE"""),"")</f>
        <v/>
      </c>
      <c r="R1457" s="1" t="str">
        <f>IFERROR(__xludf.DUMMYFUNCTION("""COMPUTED_VALUE"""),"")</f>
        <v/>
      </c>
      <c r="S1457" s="1" t="str">
        <f>IFERROR(__xludf.DUMMYFUNCTION("""COMPUTED_VALUE"""),"")</f>
        <v/>
      </c>
      <c r="T1457" s="1" t="str">
        <f>IFERROR(__xludf.DUMMYFUNCTION("""COMPUTED_VALUE"""),"")</f>
        <v/>
      </c>
      <c r="U1457" s="1" t="str">
        <f>IFERROR(__xludf.DUMMYFUNCTION("""COMPUTED_VALUE"""),"")</f>
        <v/>
      </c>
      <c r="V1457" s="1" t="str">
        <f>IFERROR(__xludf.DUMMYFUNCTION("""COMPUTED_VALUE"""),"520,000")</f>
        <v>520,000</v>
      </c>
      <c r="W1457" s="1" t="str">
        <f>IFERROR(__xludf.DUMMYFUNCTION("""COMPUTED_VALUE"""),"80")</f>
        <v>80</v>
      </c>
      <c r="X1457" s="1" t="str">
        <f>IFERROR(__xludf.DUMMYFUNCTION("""COMPUTED_VALUE"""),"")</f>
        <v/>
      </c>
      <c r="Y1457" s="1" t="str">
        <f>IFERROR(__xludf.DUMMYFUNCTION("""COMPUTED_VALUE"""),"")</f>
        <v/>
      </c>
      <c r="Z1457" s="1" t="str">
        <f>IFERROR(__xludf.DUMMYFUNCTION("""COMPUTED_VALUE"""),"Unknown")</f>
        <v>Unknown</v>
      </c>
      <c r="AA1457" s="1" t="str">
        <f>IFERROR(__xludf.DUMMYFUNCTION("""COMPUTED_VALUE"""),"")</f>
        <v/>
      </c>
      <c r="AB1457" s="1" t="str">
        <f>IFERROR(__xludf.DUMMYFUNCTION("""COMPUTED_VALUE"""),"")</f>
        <v/>
      </c>
      <c r="AC1457" s="1" t="str">
        <f>IFERROR(__xludf.DUMMYFUNCTION("""COMPUTED_VALUE"""),"")</f>
        <v/>
      </c>
      <c r="AD1457" s="1" t="str">
        <f>IFERROR(__xludf.DUMMYFUNCTION("""COMPUTED_VALUE"""),"")</f>
        <v/>
      </c>
      <c r="AE1457" s="1" t="str">
        <f>IFERROR(__xludf.DUMMYFUNCTION("""COMPUTED_VALUE"""),"")</f>
        <v/>
      </c>
      <c r="AF1457" s="1" t="str">
        <f>IFERROR(__xludf.DUMMYFUNCTION("""COMPUTED_VALUE"""),"")</f>
        <v/>
      </c>
      <c r="AG1457" s="1" t="str">
        <f>IFERROR(__xludf.DUMMYFUNCTION("""COMPUTED_VALUE"""),"This project covers multiple parcels. The total acreage has been represented here.")</f>
        <v>This project covers multiple parcels. The total acreage has been represented here.</v>
      </c>
      <c r="AH1457" s="1" t="str">
        <f>IFERROR(__xludf.DUMMYFUNCTION("""COMPUTED_VALUE"""),"PEC")</f>
        <v>PEC</v>
      </c>
      <c r="AI1457" s="2" t="str">
        <f>IFERROR(__xludf.DUMMYFUNCTION("""COMPUTED_VALUE"""),"https://cdn.staffordcountyva.gov/Planning%20and%20Zoning/Development%20Review%20Meetings-Applications/December%202024/Accokeek%20Reclass/4-%20%20Generalized%20Development%20Plan%20(GDP)%20-%20Accokeek%20Center.pdf")</f>
        <v>https://cdn.staffordcountyva.gov/Planning%20and%20Zoning/Development%20Review%20Meetings-Applications/December%202024/Accokeek%20Reclass/4-%20%20Generalized%20Development%20Plan%20(GDP)%20-%20Accokeek%20Center.pdf</v>
      </c>
      <c r="AJ1457" s="2" t="str">
        <f>IFERROR(__xludf.DUMMYFUNCTION("""COMPUTED_VALUE"""),"https://va-stafford-assessor.publicaccessnow.com/PropertySearch/PropertyDetails.aspx?p=38%20%20%20%20%20%20%20%2096&amp;a=23952")</f>
        <v>https://va-stafford-assessor.publicaccessnow.com/PropertySearch/PropertyDetails.aspx?p=38%20%20%20%20%20%20%20%2096&amp;a=23952</v>
      </c>
      <c r="AK1457" s="1" t="str">
        <f>IFERROR(__xludf.DUMMYFUNCTION("""COMPUTED_VALUE"""),"")</f>
        <v/>
      </c>
      <c r="AL1457" s="1" t="str">
        <f>IFERROR(__xludf.DUMMYFUNCTION("""COMPUTED_VALUE"""),"")</f>
        <v/>
      </c>
      <c r="AM1457" s="1" t="str">
        <f>IFERROR(__xludf.DUMMYFUNCTION("""COMPUTED_VALUE"""),"")</f>
        <v/>
      </c>
      <c r="AN1457" s="1" t="str">
        <f>IFERROR(__xludf.DUMMYFUNCTION("""COMPUTED_VALUE"""),"")</f>
        <v/>
      </c>
      <c r="AO1457" s="1" t="str">
        <f>IFERROR(__xludf.DUMMYFUNCTION("""COMPUTED_VALUE"""),"")</f>
        <v/>
      </c>
      <c r="AP1457" s="1" t="str">
        <f>IFERROR(__xludf.DUMMYFUNCTION("""COMPUTED_VALUE"""),"")</f>
        <v/>
      </c>
      <c r="AQ1457" s="1" t="str">
        <f>IFERROR(__xludf.DUMMYFUNCTION("""COMPUTED_VALUE"""),"04/28/2025")</f>
        <v>04/28/2025</v>
      </c>
      <c r="AR1457" s="1" t="str">
        <f>IFERROR(__xludf.DUMMYFUNCTION("""COMPUTED_VALUE"""),"10/17/2025")</f>
        <v>10/17/2025</v>
      </c>
    </row>
    <row r="1458">
      <c r="A1458" s="1" t="str">
        <f>IFERROR(__xludf.DUMMYFUNCTION("""COMPUTED_VALUE"""),"Austin Ridge Logisitics Center")</f>
        <v>Austin Ridge Logisitics Center</v>
      </c>
      <c r="B1458" s="1" t="str">
        <f>IFERROR(__xludf.DUMMYFUNCTION("""COMPUTED_VALUE"""),"End of Cedar Lane, Hartwood")</f>
        <v>End of Cedar Lane, Hartwood</v>
      </c>
      <c r="C1458" s="1" t="str">
        <f>IFERROR(__xludf.DUMMYFUNCTION("""COMPUTED_VALUE"""),"Stafford")</f>
        <v>Stafford</v>
      </c>
      <c r="D1458" s="1" t="str">
        <f>IFERROR(__xludf.DUMMYFUNCTION("""COMPUTED_VALUE"""),"VA")</f>
        <v>VA</v>
      </c>
      <c r="E1458" s="1" t="str">
        <f>IFERROR(__xludf.DUMMYFUNCTION("""COMPUTED_VALUE"""),"22554")</f>
        <v>22554</v>
      </c>
      <c r="F1458" s="1" t="str">
        <f>IFERROR(__xludf.DUMMYFUNCTION("""COMPUTED_VALUE"""),"Stafford")</f>
        <v>Stafford</v>
      </c>
      <c r="G1458" s="1" t="str">
        <f>IFERROR(__xludf.DUMMYFUNCTION("""COMPUTED_VALUE"""),"38.4145")</f>
        <v>38.4145</v>
      </c>
      <c r="H1458" s="1" t="str">
        <f>IFERROR(__xludf.DUMMYFUNCTION("""COMPUTED_VALUE"""),"-77.43574")</f>
        <v>-77.43574</v>
      </c>
      <c r="I1458" s="1" t="str">
        <f>IFERROR(__xludf.DUMMYFUNCTION("""COMPUTED_VALUE"""),"Proposed")</f>
        <v>Proposed</v>
      </c>
      <c r="J1458" s="1" t="str">
        <f>IFERROR(__xludf.DUMMYFUNCTION("""COMPUTED_VALUE"""),"Medium")</f>
        <v>Medium</v>
      </c>
      <c r="K1458" s="1" t="str">
        <f>IFERROR(__xludf.DUMMYFUNCTION("""COMPUTED_VALUE"""),"")</f>
        <v/>
      </c>
      <c r="L1458" s="1" t="str">
        <f>IFERROR(__xludf.DUMMYFUNCTION("""COMPUTED_VALUE"""),"")</f>
        <v/>
      </c>
      <c r="M1458" s="1" t="str">
        <f>IFERROR(__xludf.DUMMYFUNCTION("""COMPUTED_VALUE"""),"")</f>
        <v/>
      </c>
      <c r="N1458" s="1" t="str">
        <f>IFERROR(__xludf.DUMMYFUNCTION("""COMPUTED_VALUE"""),"")</f>
        <v/>
      </c>
      <c r="O1458" s="1" t="str">
        <f>IFERROR(__xludf.DUMMYFUNCTION("""COMPUTED_VALUE"""),"Unknown")</f>
        <v>Unknown</v>
      </c>
      <c r="P1458" s="1" t="str">
        <f>IFERROR(__xludf.DUMMYFUNCTION("""COMPUTED_VALUE"""),"")</f>
        <v/>
      </c>
      <c r="Q1458" s="1" t="str">
        <f>IFERROR(__xludf.DUMMYFUNCTION("""COMPUTED_VALUE"""),"")</f>
        <v/>
      </c>
      <c r="R1458" s="1" t="str">
        <f>IFERROR(__xludf.DUMMYFUNCTION("""COMPUTED_VALUE"""),"")</f>
        <v/>
      </c>
      <c r="S1458" s="1" t="str">
        <f>IFERROR(__xludf.DUMMYFUNCTION("""COMPUTED_VALUE"""),"")</f>
        <v/>
      </c>
      <c r="T1458" s="1" t="str">
        <f>IFERROR(__xludf.DUMMYFUNCTION("""COMPUTED_VALUE"""),"")</f>
        <v/>
      </c>
      <c r="U1458" s="1" t="str">
        <f>IFERROR(__xludf.DUMMYFUNCTION("""COMPUTED_VALUE"""),"")</f>
        <v/>
      </c>
      <c r="V1458" s="1" t="str">
        <f>IFERROR(__xludf.DUMMYFUNCTION("""COMPUTED_VALUE"""),"1,600,000")</f>
        <v>1,600,000</v>
      </c>
      <c r="W1458" s="1" t="str">
        <f>IFERROR(__xludf.DUMMYFUNCTION("""COMPUTED_VALUE"""),"183")</f>
        <v>183</v>
      </c>
      <c r="X1458" s="1" t="str">
        <f>IFERROR(__xludf.DUMMYFUNCTION("""COMPUTED_VALUE"""),"")</f>
        <v/>
      </c>
      <c r="Y1458" s="1" t="str">
        <f>IFERROR(__xludf.DUMMYFUNCTION("""COMPUTED_VALUE"""),"")</f>
        <v/>
      </c>
      <c r="Z1458" s="1" t="str">
        <f>IFERROR(__xludf.DUMMYFUNCTION("""COMPUTED_VALUE"""),"Unknown")</f>
        <v>Unknown</v>
      </c>
      <c r="AA1458" s="1" t="str">
        <f>IFERROR(__xludf.DUMMYFUNCTION("""COMPUTED_VALUE"""),"")</f>
        <v/>
      </c>
      <c r="AB1458" s="1" t="str">
        <f>IFERROR(__xludf.DUMMYFUNCTION("""COMPUTED_VALUE"""),"")</f>
        <v/>
      </c>
      <c r="AC1458" s="1" t="str">
        <f>IFERROR(__xludf.DUMMYFUNCTION("""COMPUTED_VALUE"""),"")</f>
        <v/>
      </c>
      <c r="AD1458" s="1" t="str">
        <f>IFERROR(__xludf.DUMMYFUNCTION("""COMPUTED_VALUE"""),"")</f>
        <v/>
      </c>
      <c r="AE1458" s="1" t="str">
        <f>IFERROR(__xludf.DUMMYFUNCTION("""COMPUTED_VALUE"""),"")</f>
        <v/>
      </c>
      <c r="AF1458" s="1" t="str">
        <f>IFERROR(__xludf.DUMMYFUNCTION("""COMPUTED_VALUE"""),"")</f>
        <v/>
      </c>
      <c r="AG1458" s="1" t="str">
        <f>IFERROR(__xludf.DUMMYFUNCTION("""COMPUTED_VALUE"""),"This project covers multiple parcels. The total acreage has been represented here.")</f>
        <v>This project covers multiple parcels. The total acreage has been represented here.</v>
      </c>
      <c r="AH1458" s="1" t="str">
        <f>IFERROR(__xludf.DUMMYFUNCTION("""COMPUTED_VALUE"""),"PEC")</f>
        <v>PEC</v>
      </c>
      <c r="AI1458" s="2" t="str">
        <f>IFERROR(__xludf.DUMMYFUNCTION("""COMPUTED_VALUE"""),"https://www.fredericksburgfreepress.com/2025/01/22/biz-beat-roundup-more-data-centers-proposed-in-stafford/")</f>
        <v>https://www.fredericksburgfreepress.com/2025/01/22/biz-beat-roundup-more-data-centers-proposed-in-stafford/</v>
      </c>
      <c r="AJ1458" s="2" t="str">
        <f>IFERROR(__xludf.DUMMYFUNCTION("""COMPUTED_VALUE"""),"https://va-stafford-assessor.publicaccessnow.com/PropertySearch/PropertyDetails.aspx?p=38%20%20%20%20%20%20%20%2068&amp;a=23899")</f>
        <v>https://va-stafford-assessor.publicaccessnow.com/PropertySearch/PropertyDetails.aspx?p=38%20%20%20%20%20%20%20%2068&amp;a=23899</v>
      </c>
      <c r="AK1458" s="1" t="str">
        <f>IFERROR(__xludf.DUMMYFUNCTION("""COMPUTED_VALUE"""),"")</f>
        <v/>
      </c>
      <c r="AL1458" s="1" t="str">
        <f>IFERROR(__xludf.DUMMYFUNCTION("""COMPUTED_VALUE"""),"")</f>
        <v/>
      </c>
      <c r="AM1458" s="1" t="str">
        <f>IFERROR(__xludf.DUMMYFUNCTION("""COMPUTED_VALUE"""),"")</f>
        <v/>
      </c>
      <c r="AN1458" s="1" t="str">
        <f>IFERROR(__xludf.DUMMYFUNCTION("""COMPUTED_VALUE"""),"")</f>
        <v/>
      </c>
      <c r="AO1458" s="1" t="str">
        <f>IFERROR(__xludf.DUMMYFUNCTION("""COMPUTED_VALUE"""),"")</f>
        <v/>
      </c>
      <c r="AP1458" s="1" t="str">
        <f>IFERROR(__xludf.DUMMYFUNCTION("""COMPUTED_VALUE"""),"")</f>
        <v/>
      </c>
      <c r="AQ1458" s="1" t="str">
        <f>IFERROR(__xludf.DUMMYFUNCTION("""COMPUTED_VALUE"""),"04/28/2025")</f>
        <v>04/28/2025</v>
      </c>
      <c r="AR1458" s="1" t="str">
        <f>IFERROR(__xludf.DUMMYFUNCTION("""COMPUTED_VALUE"""),"10/17/2025")</f>
        <v>10/17/2025</v>
      </c>
    </row>
    <row r="1459">
      <c r="A1459" s="1" t="str">
        <f>IFERROR(__xludf.DUMMYFUNCTION("""COMPUTED_VALUE"""),"GWV")</f>
        <v>GWV</v>
      </c>
      <c r="B1459" s="1" t="str">
        <f>IFERROR(__xludf.DUMMYFUNCTION("""COMPUTED_VALUE"""),"Ramoth Church Rd, Courthouse Road, and 95")</f>
        <v>Ramoth Church Rd, Courthouse Road, and 95</v>
      </c>
      <c r="C1459" s="1" t="str">
        <f>IFERROR(__xludf.DUMMYFUNCTION("""COMPUTED_VALUE"""),"Stafford")</f>
        <v>Stafford</v>
      </c>
      <c r="D1459" s="1" t="str">
        <f>IFERROR(__xludf.DUMMYFUNCTION("""COMPUTED_VALUE"""),"VA")</f>
        <v>VA</v>
      </c>
      <c r="E1459" s="1" t="str">
        <f>IFERROR(__xludf.DUMMYFUNCTION("""COMPUTED_VALUE"""),"22554")</f>
        <v>22554</v>
      </c>
      <c r="F1459" s="1" t="str">
        <f>IFERROR(__xludf.DUMMYFUNCTION("""COMPUTED_VALUE"""),"Stafford")</f>
        <v>Stafford</v>
      </c>
      <c r="G1459" s="1" t="str">
        <f>IFERROR(__xludf.DUMMYFUNCTION("""COMPUTED_VALUE"""),"38.419758")</f>
        <v>38.419758</v>
      </c>
      <c r="H1459" s="1" t="str">
        <f>IFERROR(__xludf.DUMMYFUNCTION("""COMPUTED_VALUE"""),"-77.44698")</f>
        <v>-77.44698</v>
      </c>
      <c r="I1459" s="1" t="str">
        <f>IFERROR(__xludf.DUMMYFUNCTION("""COMPUTED_VALUE"""),"Proposed")</f>
        <v>Proposed</v>
      </c>
      <c r="J1459" s="1" t="str">
        <f>IFERROR(__xludf.DUMMYFUNCTION("""COMPUTED_VALUE"""),"Medium")</f>
        <v>Medium</v>
      </c>
      <c r="K1459" s="1" t="str">
        <f>IFERROR(__xludf.DUMMYFUNCTION("""COMPUTED_VALUE"""),"")</f>
        <v/>
      </c>
      <c r="L1459" s="1" t="str">
        <f>IFERROR(__xludf.DUMMYFUNCTION("""COMPUTED_VALUE"""),"")</f>
        <v/>
      </c>
      <c r="M1459" s="1" t="str">
        <f>IFERROR(__xludf.DUMMYFUNCTION("""COMPUTED_VALUE"""),"")</f>
        <v/>
      </c>
      <c r="N1459" s="1" t="str">
        <f>IFERROR(__xludf.DUMMYFUNCTION("""COMPUTED_VALUE"""),"")</f>
        <v/>
      </c>
      <c r="O1459" s="1" t="str">
        <f>IFERROR(__xludf.DUMMYFUNCTION("""COMPUTED_VALUE"""),"Unknown")</f>
        <v>Unknown</v>
      </c>
      <c r="P1459" s="1" t="str">
        <f>IFERROR(__xludf.DUMMYFUNCTION("""COMPUTED_VALUE"""),"")</f>
        <v/>
      </c>
      <c r="Q1459" s="1" t="str">
        <f>IFERROR(__xludf.DUMMYFUNCTION("""COMPUTED_VALUE"""),"")</f>
        <v/>
      </c>
      <c r="R1459" s="1" t="str">
        <f>IFERROR(__xludf.DUMMYFUNCTION("""COMPUTED_VALUE"""),"")</f>
        <v/>
      </c>
      <c r="S1459" s="1" t="str">
        <f>IFERROR(__xludf.DUMMYFUNCTION("""COMPUTED_VALUE"""),"")</f>
        <v/>
      </c>
      <c r="T1459" s="1" t="str">
        <f>IFERROR(__xludf.DUMMYFUNCTION("""COMPUTED_VALUE"""),"")</f>
        <v/>
      </c>
      <c r="U1459" s="1" t="str">
        <f>IFERROR(__xludf.DUMMYFUNCTION("""COMPUTED_VALUE"""),"")</f>
        <v/>
      </c>
      <c r="V1459" s="1" t="str">
        <f>IFERROR(__xludf.DUMMYFUNCTION("""COMPUTED_VALUE"""),"7,900,000")</f>
        <v>7,900,000</v>
      </c>
      <c r="W1459" s="1" t="str">
        <f>IFERROR(__xludf.DUMMYFUNCTION("""COMPUTED_VALUE"""),"1042")</f>
        <v>1042</v>
      </c>
      <c r="X1459" s="1" t="str">
        <f>IFERROR(__xludf.DUMMYFUNCTION("""COMPUTED_VALUE"""),"")</f>
        <v/>
      </c>
      <c r="Y1459" s="1" t="str">
        <f>IFERROR(__xludf.DUMMYFUNCTION("""COMPUTED_VALUE"""),"")</f>
        <v/>
      </c>
      <c r="Z1459" s="1" t="str">
        <f>IFERROR(__xludf.DUMMYFUNCTION("""COMPUTED_VALUE"""),"Unknown")</f>
        <v>Unknown</v>
      </c>
      <c r="AA1459" s="1" t="str">
        <f>IFERROR(__xludf.DUMMYFUNCTION("""COMPUTED_VALUE"""),"")</f>
        <v/>
      </c>
      <c r="AB1459" s="1" t="str">
        <f>IFERROR(__xludf.DUMMYFUNCTION("""COMPUTED_VALUE"""),"")</f>
        <v/>
      </c>
      <c r="AC1459" s="1" t="str">
        <f>IFERROR(__xludf.DUMMYFUNCTION("""COMPUTED_VALUE"""),"")</f>
        <v/>
      </c>
      <c r="AD1459" s="1" t="str">
        <f>IFERROR(__xludf.DUMMYFUNCTION("""COMPUTED_VALUE"""),"")</f>
        <v/>
      </c>
      <c r="AE1459" s="1" t="str">
        <f>IFERROR(__xludf.DUMMYFUNCTION("""COMPUTED_VALUE"""),"")</f>
        <v/>
      </c>
      <c r="AF1459" s="1" t="str">
        <f>IFERROR(__xludf.DUMMYFUNCTION("""COMPUTED_VALUE"""),"")</f>
        <v/>
      </c>
      <c r="AG1459" s="1" t="str">
        <f>IFERROR(__xludf.DUMMYFUNCTION("""COMPUTED_VALUE"""),"This project covers multiple parcels. The total acreage has been represented here. May be associated with Woodcutter and Surveyor substations")</f>
        <v>This project covers multiple parcels. The total acreage has been represented here. May be associated with Woodcutter and Surveyor substations</v>
      </c>
      <c r="AH1459" s="1" t="str">
        <f>IFERROR(__xludf.DUMMYFUNCTION("""COMPUTED_VALUE"""),"PEC")</f>
        <v>PEC</v>
      </c>
      <c r="AI1459" s="2" t="str">
        <f>IFERROR(__xludf.DUMMYFUNCTION("""COMPUTED_VALUE"""),"https://www.fxbgadvance.com/p/developer-seeks-rezoning-for-79-million")</f>
        <v>https://www.fxbgadvance.com/p/developer-seeks-rezoning-for-79-million</v>
      </c>
      <c r="AJ1459" s="2" t="str">
        <f>IFERROR(__xludf.DUMMYFUNCTION("""COMPUTED_VALUE"""),"https://va-stafford-assessor.publicaccessnow.com/PropertySearch/PropertyDetails.aspx?p=29%20%20%20%20%20%20%20%2082&amp;a=18107")</f>
        <v>https://va-stafford-assessor.publicaccessnow.com/PropertySearch/PropertyDetails.aspx?p=29%20%20%20%20%20%20%20%2082&amp;a=18107</v>
      </c>
      <c r="AK1459" s="1" t="str">
        <f>IFERROR(__xludf.DUMMYFUNCTION("""COMPUTED_VALUE"""),"")</f>
        <v/>
      </c>
      <c r="AL1459" s="1" t="str">
        <f>IFERROR(__xludf.DUMMYFUNCTION("""COMPUTED_VALUE"""),"")</f>
        <v/>
      </c>
      <c r="AM1459" s="1" t="str">
        <f>IFERROR(__xludf.DUMMYFUNCTION("""COMPUTED_VALUE"""),"")</f>
        <v/>
      </c>
      <c r="AN1459" s="1" t="str">
        <f>IFERROR(__xludf.DUMMYFUNCTION("""COMPUTED_VALUE"""),"")</f>
        <v/>
      </c>
      <c r="AO1459" s="1" t="str">
        <f>IFERROR(__xludf.DUMMYFUNCTION("""COMPUTED_VALUE"""),"")</f>
        <v/>
      </c>
      <c r="AP1459" s="1" t="str">
        <f>IFERROR(__xludf.DUMMYFUNCTION("""COMPUTED_VALUE"""),"")</f>
        <v/>
      </c>
      <c r="AQ1459" s="1" t="str">
        <f>IFERROR(__xludf.DUMMYFUNCTION("""COMPUTED_VALUE"""),"10/15/2025")</f>
        <v>10/15/2025</v>
      </c>
      <c r="AR1459" s="1" t="str">
        <f>IFERROR(__xludf.DUMMYFUNCTION("""COMPUTED_VALUE"""),"10/17/2025")</f>
        <v>10/17/2025</v>
      </c>
    </row>
    <row r="1460">
      <c r="A1460" s="1" t="str">
        <f>IFERROR(__xludf.DUMMYFUNCTION("""COMPUTED_VALUE"""),"Old Potomac Church Data Center")</f>
        <v>Old Potomac Church Data Center</v>
      </c>
      <c r="B1460" s="1" t="str">
        <f>IFERROR(__xludf.DUMMYFUNCTION("""COMPUTED_VALUE"""),"Old Potomac Church Road")</f>
        <v>Old Potomac Church Road</v>
      </c>
      <c r="C1460" s="1" t="str">
        <f>IFERROR(__xludf.DUMMYFUNCTION("""COMPUTED_VALUE"""),"Stafford")</f>
        <v>Stafford</v>
      </c>
      <c r="D1460" s="1" t="str">
        <f>IFERROR(__xludf.DUMMYFUNCTION("""COMPUTED_VALUE"""),"VA")</f>
        <v>VA</v>
      </c>
      <c r="E1460" s="1" t="str">
        <f>IFERROR(__xludf.DUMMYFUNCTION("""COMPUTED_VALUE"""),"22554")</f>
        <v>22554</v>
      </c>
      <c r="F1460" s="1" t="str">
        <f>IFERROR(__xludf.DUMMYFUNCTION("""COMPUTED_VALUE"""),"Stafford")</f>
        <v>Stafford</v>
      </c>
      <c r="G1460" s="1" t="str">
        <f>IFERROR(__xludf.DUMMYFUNCTION("""COMPUTED_VALUE"""),"38.411324")</f>
        <v>38.411324</v>
      </c>
      <c r="H1460" s="1" t="str">
        <f>IFERROR(__xludf.DUMMYFUNCTION("""COMPUTED_VALUE"""),"-77.40424")</f>
        <v>-77.40424</v>
      </c>
      <c r="I1460" s="1" t="str">
        <f>IFERROR(__xludf.DUMMYFUNCTION("""COMPUTED_VALUE"""),"Proposed")</f>
        <v>Proposed</v>
      </c>
      <c r="J1460" s="1" t="str">
        <f>IFERROR(__xludf.DUMMYFUNCTION("""COMPUTED_VALUE"""),"Medium")</f>
        <v>Medium</v>
      </c>
      <c r="K1460" s="1" t="str">
        <f>IFERROR(__xludf.DUMMYFUNCTION("""COMPUTED_VALUE"""),"")</f>
        <v/>
      </c>
      <c r="L1460" s="1" t="str">
        <f>IFERROR(__xludf.DUMMYFUNCTION("""COMPUTED_VALUE"""),"")</f>
        <v/>
      </c>
      <c r="M1460" s="1" t="str">
        <f>IFERROR(__xludf.DUMMYFUNCTION("""COMPUTED_VALUE"""),"")</f>
        <v/>
      </c>
      <c r="N1460" s="1" t="str">
        <f>IFERROR(__xludf.DUMMYFUNCTION("""COMPUTED_VALUE"""),"")</f>
        <v/>
      </c>
      <c r="O1460" s="1" t="str">
        <f>IFERROR(__xludf.DUMMYFUNCTION("""COMPUTED_VALUE"""),"Unknown")</f>
        <v>Unknown</v>
      </c>
      <c r="P1460" s="1" t="str">
        <f>IFERROR(__xludf.DUMMYFUNCTION("""COMPUTED_VALUE"""),"")</f>
        <v/>
      </c>
      <c r="Q1460" s="1" t="str">
        <f>IFERROR(__xludf.DUMMYFUNCTION("""COMPUTED_VALUE"""),"")</f>
        <v/>
      </c>
      <c r="R1460" s="1" t="str">
        <f>IFERROR(__xludf.DUMMYFUNCTION("""COMPUTED_VALUE"""),"")</f>
        <v/>
      </c>
      <c r="S1460" s="1" t="str">
        <f>IFERROR(__xludf.DUMMYFUNCTION("""COMPUTED_VALUE"""),"")</f>
        <v/>
      </c>
      <c r="T1460" s="1" t="str">
        <f>IFERROR(__xludf.DUMMYFUNCTION("""COMPUTED_VALUE"""),"")</f>
        <v/>
      </c>
      <c r="U1460" s="1" t="str">
        <f>IFERROR(__xludf.DUMMYFUNCTION("""COMPUTED_VALUE"""),"")</f>
        <v/>
      </c>
      <c r="V1460" s="1" t="str">
        <f>IFERROR(__xludf.DUMMYFUNCTION("""COMPUTED_VALUE"""),"510,000")</f>
        <v>510,000</v>
      </c>
      <c r="W1460" s="1" t="str">
        <f>IFERROR(__xludf.DUMMYFUNCTION("""COMPUTED_VALUE"""),"50")</f>
        <v>50</v>
      </c>
      <c r="X1460" s="1" t="str">
        <f>IFERROR(__xludf.DUMMYFUNCTION("""COMPUTED_VALUE"""),"")</f>
        <v/>
      </c>
      <c r="Y1460" s="1" t="str">
        <f>IFERROR(__xludf.DUMMYFUNCTION("""COMPUTED_VALUE"""),"")</f>
        <v/>
      </c>
      <c r="Z1460" s="1" t="str">
        <f>IFERROR(__xludf.DUMMYFUNCTION("""COMPUTED_VALUE"""),"Unknown")</f>
        <v>Unknown</v>
      </c>
      <c r="AA1460" s="1" t="str">
        <f>IFERROR(__xludf.DUMMYFUNCTION("""COMPUTED_VALUE"""),"")</f>
        <v/>
      </c>
      <c r="AB1460" s="1" t="str">
        <f>IFERROR(__xludf.DUMMYFUNCTION("""COMPUTED_VALUE"""),"")</f>
        <v/>
      </c>
      <c r="AC1460" s="1" t="str">
        <f>IFERROR(__xludf.DUMMYFUNCTION("""COMPUTED_VALUE"""),"")</f>
        <v/>
      </c>
      <c r="AD1460" s="1" t="str">
        <f>IFERROR(__xludf.DUMMYFUNCTION("""COMPUTED_VALUE"""),"")</f>
        <v/>
      </c>
      <c r="AE1460" s="1" t="str">
        <f>IFERROR(__xludf.DUMMYFUNCTION("""COMPUTED_VALUE"""),"")</f>
        <v/>
      </c>
      <c r="AF1460" s="1" t="str">
        <f>IFERROR(__xludf.DUMMYFUNCTION("""COMPUTED_VALUE"""),"")</f>
        <v/>
      </c>
      <c r="AG1460" s="1" t="str">
        <f>IFERROR(__xludf.DUMMYFUNCTION("""COMPUTED_VALUE"""),"")</f>
        <v/>
      </c>
      <c r="AH1460" s="1" t="str">
        <f>IFERROR(__xludf.DUMMYFUNCTION("""COMPUTED_VALUE"""),"PEC")</f>
        <v>PEC</v>
      </c>
      <c r="AI1460" s="2" t="str">
        <f>IFERROR(__xludf.DUMMYFUNCTION("""COMPUTED_VALUE"""),"https://staffordcountyva.gov/government/departments_p-z/planning_and_zoning/long_range/rezonings,_cups,_comp_plan_amendments/development_review_meetings_new_applications.php")</f>
        <v>https://staffordcountyva.gov/government/departments_p-z/planning_and_zoning/long_range/rezonings,_cups,_comp_plan_amendments/development_review_meetings_new_applications.php</v>
      </c>
      <c r="AJ1460" s="1" t="str">
        <f>IFERROR(__xludf.DUMMYFUNCTION("""COMPUTED_VALUE"""),"")</f>
        <v/>
      </c>
      <c r="AK1460" s="1" t="str">
        <f>IFERROR(__xludf.DUMMYFUNCTION("""COMPUTED_VALUE"""),"")</f>
        <v/>
      </c>
      <c r="AL1460" s="1" t="str">
        <f>IFERROR(__xludf.DUMMYFUNCTION("""COMPUTED_VALUE"""),"")</f>
        <v/>
      </c>
      <c r="AM1460" s="1" t="str">
        <f>IFERROR(__xludf.DUMMYFUNCTION("""COMPUTED_VALUE"""),"")</f>
        <v/>
      </c>
      <c r="AN1460" s="1" t="str">
        <f>IFERROR(__xludf.DUMMYFUNCTION("""COMPUTED_VALUE"""),"")</f>
        <v/>
      </c>
      <c r="AO1460" s="1" t="str">
        <f>IFERROR(__xludf.DUMMYFUNCTION("""COMPUTED_VALUE"""),"")</f>
        <v/>
      </c>
      <c r="AP1460" s="1" t="str">
        <f>IFERROR(__xludf.DUMMYFUNCTION("""COMPUTED_VALUE"""),"")</f>
        <v/>
      </c>
      <c r="AQ1460" s="1" t="str">
        <f>IFERROR(__xludf.DUMMYFUNCTION("""COMPUTED_VALUE"""),"04/10/2024")</f>
        <v>04/10/2024</v>
      </c>
      <c r="AR1460" s="1" t="str">
        <f>IFERROR(__xludf.DUMMYFUNCTION("""COMPUTED_VALUE"""),"10/17/2025")</f>
        <v>10/17/2025</v>
      </c>
    </row>
    <row r="1461">
      <c r="A1461" s="1" t="str">
        <f>IFERROR(__xludf.DUMMYFUNCTION("""COMPUTED_VALUE"""),"Stack Data Center")</f>
        <v>Stack Data Center</v>
      </c>
      <c r="B1461" s="1" t="str">
        <f>IFERROR(__xludf.DUMMYFUNCTION("""COMPUTED_VALUE"""),"~350 Eskimo Hill Rd")</f>
        <v>~350 Eskimo Hill Rd</v>
      </c>
      <c r="C1461" s="1" t="str">
        <f>IFERROR(__xludf.DUMMYFUNCTION("""COMPUTED_VALUE"""),"Stafford")</f>
        <v>Stafford</v>
      </c>
      <c r="D1461" s="1" t="str">
        <f>IFERROR(__xludf.DUMMYFUNCTION("""COMPUTED_VALUE"""),"VA")</f>
        <v>VA</v>
      </c>
      <c r="E1461" s="1" t="str">
        <f>IFERROR(__xludf.DUMMYFUNCTION("""COMPUTED_VALUE"""),"22554")</f>
        <v>22554</v>
      </c>
      <c r="F1461" s="1" t="str">
        <f>IFERROR(__xludf.DUMMYFUNCTION("""COMPUTED_VALUE"""),"Stafford")</f>
        <v>Stafford</v>
      </c>
      <c r="G1461" s="1" t="str">
        <f>IFERROR(__xludf.DUMMYFUNCTION("""COMPUTED_VALUE"""),"38.38504")</f>
        <v>38.38504</v>
      </c>
      <c r="H1461" s="1" t="str">
        <f>IFERROR(__xludf.DUMMYFUNCTION("""COMPUTED_VALUE"""),"-77.4276")</f>
        <v>-77.4276</v>
      </c>
      <c r="I1461" s="1" t="str">
        <f>IFERROR(__xludf.DUMMYFUNCTION("""COMPUTED_VALUE"""),"Proposed")</f>
        <v>Proposed</v>
      </c>
      <c r="J1461" s="1" t="str">
        <f>IFERROR(__xludf.DUMMYFUNCTION("""COMPUTED_VALUE"""),"High")</f>
        <v>High</v>
      </c>
      <c r="K1461" s="1" t="str">
        <f>IFERROR(__xludf.DUMMYFUNCTION("""COMPUTED_VALUE"""),"")</f>
        <v/>
      </c>
      <c r="L1461" s="1" t="str">
        <f>IFERROR(__xludf.DUMMYFUNCTION("""COMPUTED_VALUE"""),"")</f>
        <v/>
      </c>
      <c r="M1461" s="1" t="str">
        <f>IFERROR(__xludf.DUMMYFUNCTION("""COMPUTED_VALUE"""),"")</f>
        <v/>
      </c>
      <c r="N1461" s="1" t="str">
        <f>IFERROR(__xludf.DUMMYFUNCTION("""COMPUTED_VALUE"""),"1100")</f>
        <v>1100</v>
      </c>
      <c r="O1461" s="1" t="str">
        <f>IFERROR(__xludf.DUMMYFUNCTION("""COMPUTED_VALUE"""),"Mega campus (&gt;1,000 MW)")</f>
        <v>Mega campus (&gt;1,000 MW)</v>
      </c>
      <c r="P1461" s="1" t="str">
        <f>IFERROR(__xludf.DUMMYFUNCTION("""COMPUTED_VALUE"""),"")</f>
        <v/>
      </c>
      <c r="Q1461" s="1" t="str">
        <f>IFERROR(__xludf.DUMMYFUNCTION("""COMPUTED_VALUE"""),"")</f>
        <v/>
      </c>
      <c r="R1461" s="1" t="str">
        <f>IFERROR(__xludf.DUMMYFUNCTION("""COMPUTED_VALUE"""),"")</f>
        <v/>
      </c>
      <c r="S1461" s="1" t="str">
        <f>IFERROR(__xludf.DUMMYFUNCTION("""COMPUTED_VALUE"""),"19")</f>
        <v>19</v>
      </c>
      <c r="T1461" s="1" t="str">
        <f>IFERROR(__xludf.DUMMYFUNCTION("""COMPUTED_VALUE"""),"")</f>
        <v/>
      </c>
      <c r="U1461" s="1" t="str">
        <f>IFERROR(__xludf.DUMMYFUNCTION("""COMPUTED_VALUE"""),"")</f>
        <v/>
      </c>
      <c r="V1461" s="1" t="str">
        <f>IFERROR(__xludf.DUMMYFUNCTION("""COMPUTED_VALUE"""),"")</f>
        <v/>
      </c>
      <c r="W1461" s="1" t="str">
        <f>IFERROR(__xludf.DUMMYFUNCTION("""COMPUTED_VALUE"""),"500")</f>
        <v>500</v>
      </c>
      <c r="X1461" s="1" t="str">
        <f>IFERROR(__xludf.DUMMYFUNCTION("""COMPUTED_VALUE"""),"")</f>
        <v/>
      </c>
      <c r="Y1461" s="1" t="str">
        <f>IFERROR(__xludf.DUMMYFUNCTION("""COMPUTED_VALUE"""),"")</f>
        <v/>
      </c>
      <c r="Z1461" s="1" t="str">
        <f>IFERROR(__xludf.DUMMYFUNCTION("""COMPUTED_VALUE"""),"Unknown")</f>
        <v>Unknown</v>
      </c>
      <c r="AA1461" s="1" t="str">
        <f>IFERROR(__xludf.DUMMYFUNCTION("""COMPUTED_VALUE"""),"")</f>
        <v/>
      </c>
      <c r="AB1461" s="1" t="str">
        <f>IFERROR(__xludf.DUMMYFUNCTION("""COMPUTED_VALUE"""),"")</f>
        <v/>
      </c>
      <c r="AC1461" s="1" t="str">
        <f>IFERROR(__xludf.DUMMYFUNCTION("""COMPUTED_VALUE"""),"")</f>
        <v/>
      </c>
      <c r="AD1461" s="1" t="str">
        <f>IFERROR(__xludf.DUMMYFUNCTION("""COMPUTED_VALUE"""),"")</f>
        <v/>
      </c>
      <c r="AE1461" s="1" t="str">
        <f>IFERROR(__xludf.DUMMYFUNCTION("""COMPUTED_VALUE"""),"")</f>
        <v/>
      </c>
      <c r="AF1461" s="1" t="str">
        <f>IFERROR(__xludf.DUMMYFUNCTION("""COMPUTED_VALUE"""),"")</f>
        <v/>
      </c>
      <c r="AG1461" s="1" t="str">
        <f>IFERROR(__xludf.DUMMYFUNCTION("""COMPUTED_VALUE"""),"Up to 19 data centers in complex")</f>
        <v>Up to 19 data centers in complex</v>
      </c>
      <c r="AH1461" s="1" t="str">
        <f>IFERROR(__xludf.DUMMYFUNCTION("""COMPUTED_VALUE"""),"Media Monitoring")</f>
        <v>Media Monitoring</v>
      </c>
      <c r="AI1461" s="2" t="str">
        <f>IFERROR(__xludf.DUMMYFUNCTION("""COMPUTED_VALUE"""),"https://www.datacenterdynamics.com/en/news/stack-plans-1gw-campus-in-stafford-county-virginia/")</f>
        <v>https://www.datacenterdynamics.com/en/news/stack-plans-1gw-campus-in-stafford-county-virginia/</v>
      </c>
      <c r="AJ1461" s="1" t="str">
        <f>IFERROR(__xludf.DUMMYFUNCTION("""COMPUTED_VALUE"""),"")</f>
        <v/>
      </c>
      <c r="AK1461" s="1" t="str">
        <f>IFERROR(__xludf.DUMMYFUNCTION("""COMPUTED_VALUE"""),"")</f>
        <v/>
      </c>
      <c r="AL1461" s="1" t="str">
        <f>IFERROR(__xludf.DUMMYFUNCTION("""COMPUTED_VALUE"""),"")</f>
        <v/>
      </c>
      <c r="AM1461" s="1" t="str">
        <f>IFERROR(__xludf.DUMMYFUNCTION("""COMPUTED_VALUE"""),"")</f>
        <v/>
      </c>
      <c r="AN1461" s="1" t="str">
        <f>IFERROR(__xludf.DUMMYFUNCTION("""COMPUTED_VALUE"""),"")</f>
        <v/>
      </c>
      <c r="AO1461" s="1" t="str">
        <f>IFERROR(__xludf.DUMMYFUNCTION("""COMPUTED_VALUE"""),"")</f>
        <v/>
      </c>
      <c r="AP1461" s="1" t="str">
        <f>IFERROR(__xludf.DUMMYFUNCTION("""COMPUTED_VALUE"""),"")</f>
        <v/>
      </c>
      <c r="AQ1461" s="1" t="str">
        <f>IFERROR(__xludf.DUMMYFUNCTION("""COMPUTED_VALUE"""),"07/29/2025")</f>
        <v>07/29/2025</v>
      </c>
      <c r="AR1461" s="1" t="str">
        <f>IFERROR(__xludf.DUMMYFUNCTION("""COMPUTED_VALUE"""),"07/29/2025")</f>
        <v>07/29/2025</v>
      </c>
    </row>
    <row r="1462">
      <c r="A1462" s="1" t="str">
        <f>IFERROR(__xludf.DUMMYFUNCTION("""COMPUTED_VALUE"""),"Stafford Technology Campus")</f>
        <v>Stafford Technology Campus</v>
      </c>
      <c r="B1462" s="1" t="str">
        <f>IFERROR(__xludf.DUMMYFUNCTION("""COMPUTED_VALUE"""),"east side of Richmond Highway, across from Sage Lane")</f>
        <v>east side of Richmond Highway, across from Sage Lane</v>
      </c>
      <c r="C1462" s="1" t="str">
        <f>IFERROR(__xludf.DUMMYFUNCTION("""COMPUTED_VALUE"""),"Stafford")</f>
        <v>Stafford</v>
      </c>
      <c r="D1462" s="1" t="str">
        <f>IFERROR(__xludf.DUMMYFUNCTION("""COMPUTED_VALUE"""),"VA")</f>
        <v>VA</v>
      </c>
      <c r="E1462" s="1" t="str">
        <f>IFERROR(__xludf.DUMMYFUNCTION("""COMPUTED_VALUE"""),"22554")</f>
        <v>22554</v>
      </c>
      <c r="F1462" s="1" t="str">
        <f>IFERROR(__xludf.DUMMYFUNCTION("""COMPUTED_VALUE"""),"Stafford")</f>
        <v>Stafford</v>
      </c>
      <c r="G1462" s="1" t="str">
        <f>IFERROR(__xludf.DUMMYFUNCTION("""COMPUTED_VALUE"""),"38.38512")</f>
        <v>38.38512</v>
      </c>
      <c r="H1462" s="1" t="str">
        <f>IFERROR(__xludf.DUMMYFUNCTION("""COMPUTED_VALUE"""),"-77.43162")</f>
        <v>-77.43162</v>
      </c>
      <c r="I1462" s="1" t="str">
        <f>IFERROR(__xludf.DUMMYFUNCTION("""COMPUTED_VALUE"""),"Proposed")</f>
        <v>Proposed</v>
      </c>
      <c r="J1462" s="1" t="str">
        <f>IFERROR(__xludf.DUMMYFUNCTION("""COMPUTED_VALUE"""),"Medium")</f>
        <v>Medium</v>
      </c>
      <c r="K1462" s="1" t="str">
        <f>IFERROR(__xludf.DUMMYFUNCTION("""COMPUTED_VALUE"""),"")</f>
        <v/>
      </c>
      <c r="L1462" s="1" t="str">
        <f>IFERROR(__xludf.DUMMYFUNCTION("""COMPUTED_VALUE"""),"")</f>
        <v/>
      </c>
      <c r="M1462" s="1" t="str">
        <f>IFERROR(__xludf.DUMMYFUNCTION("""COMPUTED_VALUE"""),"")</f>
        <v/>
      </c>
      <c r="N1462" s="1" t="str">
        <f>IFERROR(__xludf.DUMMYFUNCTION("""COMPUTED_VALUE"""),"1,000")</f>
        <v>1,000</v>
      </c>
      <c r="O1462" s="1" t="str">
        <f>IFERROR(__xludf.DUMMYFUNCTION("""COMPUTED_VALUE"""),"Mega campus (&gt;1,000 MW)")</f>
        <v>Mega campus (&gt;1,000 MW)</v>
      </c>
      <c r="P1462" s="1" t="str">
        <f>IFERROR(__xludf.DUMMYFUNCTION("""COMPUTED_VALUE"""),"")</f>
        <v/>
      </c>
      <c r="Q1462" s="1" t="str">
        <f>IFERROR(__xludf.DUMMYFUNCTION("""COMPUTED_VALUE"""),"")</f>
        <v/>
      </c>
      <c r="R1462" s="1" t="str">
        <f>IFERROR(__xludf.DUMMYFUNCTION("""COMPUTED_VALUE"""),"")</f>
        <v/>
      </c>
      <c r="S1462" s="1" t="str">
        <f>IFERROR(__xludf.DUMMYFUNCTION("""COMPUTED_VALUE"""),"")</f>
        <v/>
      </c>
      <c r="T1462" s="1" t="str">
        <f>IFERROR(__xludf.DUMMYFUNCTION("""COMPUTED_VALUE"""),"")</f>
        <v/>
      </c>
      <c r="U1462" s="1" t="str">
        <f>IFERROR(__xludf.DUMMYFUNCTION("""COMPUTED_VALUE"""),"")</f>
        <v/>
      </c>
      <c r="V1462" s="1" t="str">
        <f>IFERROR(__xludf.DUMMYFUNCTION("""COMPUTED_VALUE"""),"5,500,000")</f>
        <v>5,500,000</v>
      </c>
      <c r="W1462" s="1" t="str">
        <f>IFERROR(__xludf.DUMMYFUNCTION("""COMPUTED_VALUE"""),"524")</f>
        <v>524</v>
      </c>
      <c r="X1462" s="1" t="str">
        <f>IFERROR(__xludf.DUMMYFUNCTION("""COMPUTED_VALUE"""),"")</f>
        <v/>
      </c>
      <c r="Y1462" s="1" t="str">
        <f>IFERROR(__xludf.DUMMYFUNCTION("""COMPUTED_VALUE"""),"")</f>
        <v/>
      </c>
      <c r="Z1462" s="1" t="str">
        <f>IFERROR(__xludf.DUMMYFUNCTION("""COMPUTED_VALUE"""),"Unknown")</f>
        <v>Unknown</v>
      </c>
      <c r="AA1462" s="1" t="str">
        <f>IFERROR(__xludf.DUMMYFUNCTION("""COMPUTED_VALUE"""),"")</f>
        <v/>
      </c>
      <c r="AB1462" s="1" t="str">
        <f>IFERROR(__xludf.DUMMYFUNCTION("""COMPUTED_VALUE"""),"")</f>
        <v/>
      </c>
      <c r="AC1462" s="1" t="str">
        <f>IFERROR(__xludf.DUMMYFUNCTION("""COMPUTED_VALUE"""),"")</f>
        <v/>
      </c>
      <c r="AD1462" s="1" t="str">
        <f>IFERROR(__xludf.DUMMYFUNCTION("""COMPUTED_VALUE"""),"")</f>
        <v/>
      </c>
      <c r="AE1462" s="1" t="str">
        <f>IFERROR(__xludf.DUMMYFUNCTION("""COMPUTED_VALUE"""),"")</f>
        <v/>
      </c>
      <c r="AF1462" s="1" t="str">
        <f>IFERROR(__xludf.DUMMYFUNCTION("""COMPUTED_VALUE"""),"")</f>
        <v/>
      </c>
      <c r="AG1462" s="1" t="str">
        <f>IFERROR(__xludf.DUMMYFUNCTION("""COMPUTED_VALUE"""),"This project covers multiple parcels. The total acreage has been represented here.")</f>
        <v>This project covers multiple parcels. The total acreage has been represented here.</v>
      </c>
      <c r="AH1462" s="1" t="str">
        <f>IFERROR(__xludf.DUMMYFUNCTION("""COMPUTED_VALUE"""),"PEC")</f>
        <v>PEC</v>
      </c>
      <c r="AI1462" s="2" t="str">
        <f>IFERROR(__xludf.DUMMYFUNCTION("""COMPUTED_VALUE"""),"https://staffordcountyva.gov/government/departments_p-z/planning_and_zoning/long_range/rezonings,_cups,_comp_plan_amendments/development_review_meetings_new_applications.php")</f>
        <v>https://staffordcountyva.gov/government/departments_p-z/planning_and_zoning/long_range/rezonings,_cups,_comp_plan_amendments/development_review_meetings_new_applications.php</v>
      </c>
      <c r="AJ1462" s="1" t="str">
        <f>IFERROR(__xludf.DUMMYFUNCTION("""COMPUTED_VALUE"""),"")</f>
        <v/>
      </c>
      <c r="AK1462" s="1" t="str">
        <f>IFERROR(__xludf.DUMMYFUNCTION("""COMPUTED_VALUE"""),"")</f>
        <v/>
      </c>
      <c r="AL1462" s="1" t="str">
        <f>IFERROR(__xludf.DUMMYFUNCTION("""COMPUTED_VALUE"""),"")</f>
        <v/>
      </c>
      <c r="AM1462" s="1" t="str">
        <f>IFERROR(__xludf.DUMMYFUNCTION("""COMPUTED_VALUE"""),"")</f>
        <v/>
      </c>
      <c r="AN1462" s="1" t="str">
        <f>IFERROR(__xludf.DUMMYFUNCTION("""COMPUTED_VALUE"""),"")</f>
        <v/>
      </c>
      <c r="AO1462" s="1" t="str">
        <f>IFERROR(__xludf.DUMMYFUNCTION("""COMPUTED_VALUE"""),"")</f>
        <v/>
      </c>
      <c r="AP1462" s="1" t="str">
        <f>IFERROR(__xludf.DUMMYFUNCTION("""COMPUTED_VALUE"""),"")</f>
        <v/>
      </c>
      <c r="AQ1462" s="1" t="str">
        <f>IFERROR(__xludf.DUMMYFUNCTION("""COMPUTED_VALUE"""),"04/10/2024")</f>
        <v>04/10/2024</v>
      </c>
      <c r="AR1462" s="1" t="str">
        <f>IFERROR(__xludf.DUMMYFUNCTION("""COMPUTED_VALUE"""),"10/17/2025")</f>
        <v>10/17/2025</v>
      </c>
    </row>
    <row r="1463">
      <c r="A1463" s="1" t="str">
        <f>IFERROR(__xludf.DUMMYFUNCTION("""COMPUTED_VALUE"""),"113 EXECUTIVE DR Prologis")</f>
        <v>113 EXECUTIVE DR Prologis</v>
      </c>
      <c r="B1463" s="1" t="str">
        <f>IFERROR(__xludf.DUMMYFUNCTION("""COMPUTED_VALUE"""),"113 EXECUTIVE DR")</f>
        <v>113 EXECUTIVE DR</v>
      </c>
      <c r="C1463" s="1" t="str">
        <f>IFERROR(__xludf.DUMMYFUNCTION("""COMPUTED_VALUE"""),"Sterling")</f>
        <v>Sterling</v>
      </c>
      <c r="D1463" s="1" t="str">
        <f>IFERROR(__xludf.DUMMYFUNCTION("""COMPUTED_VALUE"""),"VA")</f>
        <v>VA</v>
      </c>
      <c r="E1463" s="1" t="str">
        <f>IFERROR(__xludf.DUMMYFUNCTION("""COMPUTED_VALUE"""),"20166")</f>
        <v>20166</v>
      </c>
      <c r="F1463" s="1" t="str">
        <f>IFERROR(__xludf.DUMMYFUNCTION("""COMPUTED_VALUE"""),"Loudoun")</f>
        <v>Loudoun</v>
      </c>
      <c r="G1463" s="1" t="str">
        <f>IFERROR(__xludf.DUMMYFUNCTION("""COMPUTED_VALUE"""),"38.99067")</f>
        <v>38.99067</v>
      </c>
      <c r="H1463" s="1" t="str">
        <f>IFERROR(__xludf.DUMMYFUNCTION("""COMPUTED_VALUE"""),"-77.44434")</f>
        <v>-77.44434</v>
      </c>
      <c r="I1463" s="1" t="str">
        <f>IFERROR(__xludf.DUMMYFUNCTION("""COMPUTED_VALUE"""),"Proposed")</f>
        <v>Proposed</v>
      </c>
      <c r="J1463" s="1" t="str">
        <f>IFERROR(__xludf.DUMMYFUNCTION("""COMPUTED_VALUE"""),"High")</f>
        <v>High</v>
      </c>
      <c r="K1463" s="1" t="str">
        <f>IFERROR(__xludf.DUMMYFUNCTION("""COMPUTED_VALUE"""),"")</f>
        <v/>
      </c>
      <c r="L1463" s="1" t="str">
        <f>IFERROR(__xludf.DUMMYFUNCTION("""COMPUTED_VALUE"""),"Prologis")</f>
        <v>Prologis</v>
      </c>
      <c r="M1463" s="1" t="str">
        <f>IFERROR(__xludf.DUMMYFUNCTION("""COMPUTED_VALUE"""),"")</f>
        <v/>
      </c>
      <c r="N1463" s="1" t="str">
        <f>IFERROR(__xludf.DUMMYFUNCTION("""COMPUTED_VALUE"""),"")</f>
        <v/>
      </c>
      <c r="O1463" s="1" t="str">
        <f>IFERROR(__xludf.DUMMYFUNCTION("""COMPUTED_VALUE"""),"Unknown")</f>
        <v>Unknown</v>
      </c>
      <c r="P1463" s="1" t="str">
        <f>IFERROR(__xludf.DUMMYFUNCTION("""COMPUTED_VALUE"""),"")</f>
        <v/>
      </c>
      <c r="Q1463" s="1" t="str">
        <f>IFERROR(__xludf.DUMMYFUNCTION("""COMPUTED_VALUE"""),"")</f>
        <v/>
      </c>
      <c r="R1463" s="1" t="str">
        <f>IFERROR(__xludf.DUMMYFUNCTION("""COMPUTED_VALUE"""),"")</f>
        <v/>
      </c>
      <c r="S1463" s="1" t="str">
        <f>IFERROR(__xludf.DUMMYFUNCTION("""COMPUTED_VALUE"""),"")</f>
        <v/>
      </c>
      <c r="T1463" s="1" t="str">
        <f>IFERROR(__xludf.DUMMYFUNCTION("""COMPUTED_VALUE"""),"")</f>
        <v/>
      </c>
      <c r="U1463" s="1" t="str">
        <f>IFERROR(__xludf.DUMMYFUNCTION("""COMPUTED_VALUE"""),"")</f>
        <v/>
      </c>
      <c r="V1463" s="1" t="str">
        <f>IFERROR(__xludf.DUMMYFUNCTION("""COMPUTED_VALUE"""),"750,000")</f>
        <v>750,000</v>
      </c>
      <c r="W1463" s="1" t="str">
        <f>IFERROR(__xludf.DUMMYFUNCTION("""COMPUTED_VALUE"""),"9")</f>
        <v>9</v>
      </c>
      <c r="X1463" s="1" t="str">
        <f>IFERROR(__xludf.DUMMYFUNCTION("""COMPUTED_VALUE"""),"")</f>
        <v/>
      </c>
      <c r="Y1463" s="1" t="str">
        <f>IFERROR(__xludf.DUMMYFUNCTION("""COMPUTED_VALUE"""),"")</f>
        <v/>
      </c>
      <c r="Z1463" s="1" t="str">
        <f>IFERROR(__xludf.DUMMYFUNCTION("""COMPUTED_VALUE"""),"Unknown")</f>
        <v>Unknown</v>
      </c>
      <c r="AA1463" s="1" t="str">
        <f>IFERROR(__xludf.DUMMYFUNCTION("""COMPUTED_VALUE"""),"")</f>
        <v/>
      </c>
      <c r="AB1463" s="1" t="str">
        <f>IFERROR(__xludf.DUMMYFUNCTION("""COMPUTED_VALUE"""),"")</f>
        <v/>
      </c>
      <c r="AC1463" s="1" t="str">
        <f>IFERROR(__xludf.DUMMYFUNCTION("""COMPUTED_VALUE"""),"")</f>
        <v/>
      </c>
      <c r="AD1463" s="1" t="str">
        <f>IFERROR(__xludf.DUMMYFUNCTION("""COMPUTED_VALUE"""),"")</f>
        <v/>
      </c>
      <c r="AE1463" s="1" t="str">
        <f>IFERROR(__xludf.DUMMYFUNCTION("""COMPUTED_VALUE"""),"")</f>
        <v/>
      </c>
      <c r="AF1463" s="1" t="str">
        <f>IFERROR(__xludf.DUMMYFUNCTION("""COMPUTED_VALUE"""),"")</f>
        <v/>
      </c>
      <c r="AG1463" s="1" t="str">
        <f>IFERROR(__xludf.DUMMYFUNCTION("""COMPUTED_VALUE"""),"Flex, Industrial")</f>
        <v>Flex, Industrial</v>
      </c>
      <c r="AH1463" s="1" t="str">
        <f>IFERROR(__xludf.DUMMYFUNCTION("""COMPUTED_VALUE"""),"PEC")</f>
        <v>PEC</v>
      </c>
      <c r="AI1463" s="2" t="str">
        <f>IFERROR(__xludf.DUMMYFUNCTION("""COMPUTED_VALUE"""),"https://www.datacenterdynamics.com/en/news/prologis-seeks-rezoning-of-land-sterling-virginia-possibly-for-data-centers/")</f>
        <v>https://www.datacenterdynamics.com/en/news/prologis-seeks-rezoning-of-land-sterling-virginia-possibly-for-data-centers/</v>
      </c>
      <c r="AJ1463" s="2" t="str">
        <f>IFERROR(__xludf.DUMMYFUNCTION("""COMPUTED_VALUE"""),"https://reparcelasmt.loudoun.gov/pt/Datalets/Datalet.aspx?mode=commercial&amp;UseSearch=no&amp;pin=045269479000&amp;jur=107&amp;taxyr=2024&amp;card=2&amp;item=0&amp;State=1|1|1|1|1&amp;items=4")</f>
        <v>https://reparcelasmt.loudoun.gov/pt/Datalets/Datalet.aspx?mode=commercial&amp;UseSearch=no&amp;pin=045269479000&amp;jur=107&amp;taxyr=2024&amp;card=2&amp;item=0&amp;State=1|1|1|1|1&amp;items=4</v>
      </c>
      <c r="AK1463" s="1" t="str">
        <f>IFERROR(__xludf.DUMMYFUNCTION("""COMPUTED_VALUE"""),"")</f>
        <v/>
      </c>
      <c r="AL1463" s="1" t="str">
        <f>IFERROR(__xludf.DUMMYFUNCTION("""COMPUTED_VALUE"""),"")</f>
        <v/>
      </c>
      <c r="AM1463" s="1" t="str">
        <f>IFERROR(__xludf.DUMMYFUNCTION("""COMPUTED_VALUE"""),"")</f>
        <v/>
      </c>
      <c r="AN1463" s="1" t="str">
        <f>IFERROR(__xludf.DUMMYFUNCTION("""COMPUTED_VALUE"""),"")</f>
        <v/>
      </c>
      <c r="AO1463" s="1" t="str">
        <f>IFERROR(__xludf.DUMMYFUNCTION("""COMPUTED_VALUE"""),"")</f>
        <v/>
      </c>
      <c r="AP1463" s="1" t="str">
        <f>IFERROR(__xludf.DUMMYFUNCTION("""COMPUTED_VALUE"""),"")</f>
        <v/>
      </c>
      <c r="AQ1463" s="1" t="str">
        <f>IFERROR(__xludf.DUMMYFUNCTION("""COMPUTED_VALUE"""),"04/10/2024")</f>
        <v>04/10/2024</v>
      </c>
      <c r="AR1463" s="1" t="str">
        <f>IFERROR(__xludf.DUMMYFUNCTION("""COMPUTED_VALUE"""),"10/17/2025")</f>
        <v>10/17/2025</v>
      </c>
    </row>
    <row r="1464">
      <c r="A1464" s="1" t="str">
        <f>IFERROR(__xludf.DUMMYFUNCTION("""COMPUTED_VALUE"""),"1304 SQUIRE CT")</f>
        <v>1304 SQUIRE CT</v>
      </c>
      <c r="B1464" s="1" t="str">
        <f>IFERROR(__xludf.DUMMYFUNCTION("""COMPUTED_VALUE"""),"1304 SQUIRE CT")</f>
        <v>1304 SQUIRE CT</v>
      </c>
      <c r="C1464" s="1" t="str">
        <f>IFERROR(__xludf.DUMMYFUNCTION("""COMPUTED_VALUE"""),"Sterling")</f>
        <v>Sterling</v>
      </c>
      <c r="D1464" s="1" t="str">
        <f>IFERROR(__xludf.DUMMYFUNCTION("""COMPUTED_VALUE"""),"VA")</f>
        <v>VA</v>
      </c>
      <c r="E1464" s="1" t="str">
        <f>IFERROR(__xludf.DUMMYFUNCTION("""COMPUTED_VALUE"""),"20166")</f>
        <v>20166</v>
      </c>
      <c r="F1464" s="1" t="str">
        <f>IFERROR(__xludf.DUMMYFUNCTION("""COMPUTED_VALUE"""),"Loudoun")</f>
        <v>Loudoun</v>
      </c>
      <c r="G1464" s="1" t="str">
        <f>IFERROR(__xludf.DUMMYFUNCTION("""COMPUTED_VALUE"""),"39.02153")</f>
        <v>39.02153</v>
      </c>
      <c r="H1464" s="1" t="str">
        <f>IFERROR(__xludf.DUMMYFUNCTION("""COMPUTED_VALUE"""),"-77.43476")</f>
        <v>-77.43476</v>
      </c>
      <c r="I1464" s="1" t="str">
        <f>IFERROR(__xludf.DUMMYFUNCTION("""COMPUTED_VALUE"""),"Operating")</f>
        <v>Operating</v>
      </c>
      <c r="J1464" s="1" t="str">
        <f>IFERROR(__xludf.DUMMYFUNCTION("""COMPUTED_VALUE"""),"High")</f>
        <v>High</v>
      </c>
      <c r="K1464" s="1" t="str">
        <f>IFERROR(__xludf.DUMMYFUNCTION("""COMPUTED_VALUE"""),"")</f>
        <v/>
      </c>
      <c r="L1464" s="1" t="str">
        <f>IFERROR(__xludf.DUMMYFUNCTION("""COMPUTED_VALUE"""),"ELECTRIC BUILDING LLC")</f>
        <v>ELECTRIC BUILDING LLC</v>
      </c>
      <c r="M1464" s="1" t="str">
        <f>IFERROR(__xludf.DUMMYFUNCTION("""COMPUTED_VALUE"""),"")</f>
        <v/>
      </c>
      <c r="N1464" s="1" t="str">
        <f>IFERROR(__xludf.DUMMYFUNCTION("""COMPUTED_VALUE"""),"")</f>
        <v/>
      </c>
      <c r="O1464" s="1" t="str">
        <f>IFERROR(__xludf.DUMMYFUNCTION("""COMPUTED_VALUE"""),"Unknown")</f>
        <v>Unknown</v>
      </c>
      <c r="P1464" s="1" t="str">
        <f>IFERROR(__xludf.DUMMYFUNCTION("""COMPUTED_VALUE"""),"")</f>
        <v/>
      </c>
      <c r="Q1464" s="1" t="str">
        <f>IFERROR(__xludf.DUMMYFUNCTION("""COMPUTED_VALUE"""),"")</f>
        <v/>
      </c>
      <c r="R1464" s="1" t="str">
        <f>IFERROR(__xludf.DUMMYFUNCTION("""COMPUTED_VALUE"""),"")</f>
        <v/>
      </c>
      <c r="S1464" s="1" t="str">
        <f>IFERROR(__xludf.DUMMYFUNCTION("""COMPUTED_VALUE"""),"")</f>
        <v/>
      </c>
      <c r="T1464" s="1" t="str">
        <f>IFERROR(__xludf.DUMMYFUNCTION("""COMPUTED_VALUE"""),"")</f>
        <v/>
      </c>
      <c r="U1464" s="1" t="str">
        <f>IFERROR(__xludf.DUMMYFUNCTION("""COMPUTED_VALUE"""),"")</f>
        <v/>
      </c>
      <c r="V1464" s="1" t="str">
        <f>IFERROR(__xludf.DUMMYFUNCTION("""COMPUTED_VALUE"""),"36,000")</f>
        <v>36,000</v>
      </c>
      <c r="W1464" s="1" t="str">
        <f>IFERROR(__xludf.DUMMYFUNCTION("""COMPUTED_VALUE"""),"3")</f>
        <v>3</v>
      </c>
      <c r="X1464" s="1" t="str">
        <f>IFERROR(__xludf.DUMMYFUNCTION("""COMPUTED_VALUE"""),"")</f>
        <v/>
      </c>
      <c r="Y1464" s="1" t="str">
        <f>IFERROR(__xludf.DUMMYFUNCTION("""COMPUTED_VALUE"""),"")</f>
        <v/>
      </c>
      <c r="Z1464" s="1" t="str">
        <f>IFERROR(__xludf.DUMMYFUNCTION("""COMPUTED_VALUE"""),"Unknown")</f>
        <v>Unknown</v>
      </c>
      <c r="AA1464" s="1" t="str">
        <f>IFERROR(__xludf.DUMMYFUNCTION("""COMPUTED_VALUE"""),"")</f>
        <v/>
      </c>
      <c r="AB1464" s="1" t="str">
        <f>IFERROR(__xludf.DUMMYFUNCTION("""COMPUTED_VALUE"""),"")</f>
        <v/>
      </c>
      <c r="AC1464" s="1" t="str">
        <f>IFERROR(__xludf.DUMMYFUNCTION("""COMPUTED_VALUE"""),"")</f>
        <v/>
      </c>
      <c r="AD1464" s="1" t="str">
        <f>IFERROR(__xludf.DUMMYFUNCTION("""COMPUTED_VALUE"""),"")</f>
        <v/>
      </c>
      <c r="AE1464" s="1" t="str">
        <f>IFERROR(__xludf.DUMMYFUNCTION("""COMPUTED_VALUE"""),"")</f>
        <v/>
      </c>
      <c r="AF1464" s="1" t="str">
        <f>IFERROR(__xludf.DUMMYFUNCTION("""COMPUTED_VALUE"""),"")</f>
        <v/>
      </c>
      <c r="AG1464" s="1" t="str">
        <f>IFERROR(__xludf.DUMMYFUNCTION("""COMPUTED_VALUE"""),"Shown as ""Storage Warehouse""")</f>
        <v>Shown as "Storage Warehouse"</v>
      </c>
      <c r="AH1464" s="1" t="str">
        <f>IFERROR(__xludf.DUMMYFUNCTION("""COMPUTED_VALUE"""),"PEC")</f>
        <v>PEC</v>
      </c>
      <c r="AI1464" s="2" t="str">
        <f>IFERROR(__xludf.DUMMYFUNCTION("""COMPUTED_VALUE"""),"https://reparcelasmt.loudoun.gov/pt/datalets/datalet.aspx?mode=profileall&amp;UseSearch=no&amp;pin=042295813000&amp;jur=107&amp;taxyr=2024&amp;LMparent=20")</f>
        <v>https://reparcelasmt.loudoun.gov/pt/datalets/datalet.aspx?mode=profileall&amp;UseSearch=no&amp;pin=042295813000&amp;jur=107&amp;taxyr=2024&amp;LMparent=20</v>
      </c>
      <c r="AJ1464" s="2" t="str">
        <f>IFERROR(__xludf.DUMMYFUNCTION("""COMPUTED_VALUE"""),"https://reparcelasmt.loudoun.gov/pt/datalets/datalet.aspx?mode=profileall&amp;UseSearch=no&amp;pin=042295813000&amp;jur=107&amp;taxyr=2024&amp;LMparent=20")</f>
        <v>https://reparcelasmt.loudoun.gov/pt/datalets/datalet.aspx?mode=profileall&amp;UseSearch=no&amp;pin=042295813000&amp;jur=107&amp;taxyr=2024&amp;LMparent=20</v>
      </c>
      <c r="AK1464" s="1" t="str">
        <f>IFERROR(__xludf.DUMMYFUNCTION("""COMPUTED_VALUE"""),"")</f>
        <v/>
      </c>
      <c r="AL1464" s="1" t="str">
        <f>IFERROR(__xludf.DUMMYFUNCTION("""COMPUTED_VALUE"""),"")</f>
        <v/>
      </c>
      <c r="AM1464" s="1" t="str">
        <f>IFERROR(__xludf.DUMMYFUNCTION("""COMPUTED_VALUE"""),"")</f>
        <v/>
      </c>
      <c r="AN1464" s="1" t="str">
        <f>IFERROR(__xludf.DUMMYFUNCTION("""COMPUTED_VALUE"""),"")</f>
        <v/>
      </c>
      <c r="AO1464" s="1" t="str">
        <f>IFERROR(__xludf.DUMMYFUNCTION("""COMPUTED_VALUE"""),"")</f>
        <v/>
      </c>
      <c r="AP1464" s="1" t="str">
        <f>IFERROR(__xludf.DUMMYFUNCTION("""COMPUTED_VALUE"""),"")</f>
        <v/>
      </c>
      <c r="AQ1464" s="1" t="str">
        <f>IFERROR(__xludf.DUMMYFUNCTION("""COMPUTED_VALUE"""),"04/10/2024")</f>
        <v>04/10/2024</v>
      </c>
      <c r="AR1464" s="1" t="str">
        <f>IFERROR(__xludf.DUMMYFUNCTION("""COMPUTED_VALUE"""),"10/17/2025")</f>
        <v>10/17/2025</v>
      </c>
    </row>
    <row r="1465">
      <c r="A1465" s="1" t="str">
        <f>IFERROR(__xludf.DUMMYFUNCTION("""COMPUTED_VALUE"""),"1501 Moran Road")</f>
        <v>1501 Moran Road</v>
      </c>
      <c r="B1465" s="1" t="str">
        <f>IFERROR(__xludf.DUMMYFUNCTION("""COMPUTED_VALUE"""),"1501 Moran Road")</f>
        <v>1501 Moran Road</v>
      </c>
      <c r="C1465" s="1" t="str">
        <f>IFERROR(__xludf.DUMMYFUNCTION("""COMPUTED_VALUE"""),"Sterling")</f>
        <v>Sterling</v>
      </c>
      <c r="D1465" s="1" t="str">
        <f>IFERROR(__xludf.DUMMYFUNCTION("""COMPUTED_VALUE"""),"VA")</f>
        <v>VA</v>
      </c>
      <c r="E1465" s="1" t="str">
        <f>IFERROR(__xludf.DUMMYFUNCTION("""COMPUTED_VALUE"""),"20166")</f>
        <v>20166</v>
      </c>
      <c r="F1465" s="1" t="str">
        <f>IFERROR(__xludf.DUMMYFUNCTION("""COMPUTED_VALUE"""),"Loudoun")</f>
        <v>Loudoun</v>
      </c>
      <c r="G1465" s="1" t="str">
        <f>IFERROR(__xludf.DUMMYFUNCTION("""COMPUTED_VALUE"""),"38.995197")</f>
        <v>38.995197</v>
      </c>
      <c r="H1465" s="1" t="str">
        <f>IFERROR(__xludf.DUMMYFUNCTION("""COMPUTED_VALUE"""),"-77.44623")</f>
        <v>-77.44623</v>
      </c>
      <c r="I1465" s="1" t="str">
        <f>IFERROR(__xludf.DUMMYFUNCTION("""COMPUTED_VALUE"""),"Proposed")</f>
        <v>Proposed</v>
      </c>
      <c r="J1465" s="1" t="str">
        <f>IFERROR(__xludf.DUMMYFUNCTION("""COMPUTED_VALUE"""),"High")</f>
        <v>High</v>
      </c>
      <c r="K1465" s="1" t="str">
        <f>IFERROR(__xludf.DUMMYFUNCTION("""COMPUTED_VALUE"""),"")</f>
        <v/>
      </c>
      <c r="L1465" s="1" t="str">
        <f>IFERROR(__xludf.DUMMYFUNCTION("""COMPUTED_VALUE"""),"EdgeCore Digital/Partners Group")</f>
        <v>EdgeCore Digital/Partners Group</v>
      </c>
      <c r="M1465" s="1" t="str">
        <f>IFERROR(__xludf.DUMMYFUNCTION("""COMPUTED_VALUE"""),"")</f>
        <v/>
      </c>
      <c r="N1465" s="1" t="str">
        <f>IFERROR(__xludf.DUMMYFUNCTION("""COMPUTED_VALUE"""),"")</f>
        <v/>
      </c>
      <c r="O1465" s="1" t="str">
        <f>IFERROR(__xludf.DUMMYFUNCTION("""COMPUTED_VALUE"""),"Unknown")</f>
        <v>Unknown</v>
      </c>
      <c r="P1465" s="1" t="str">
        <f>IFERROR(__xludf.DUMMYFUNCTION("""COMPUTED_VALUE"""),"")</f>
        <v/>
      </c>
      <c r="Q1465" s="1" t="str">
        <f>IFERROR(__xludf.DUMMYFUNCTION("""COMPUTED_VALUE"""),"")</f>
        <v/>
      </c>
      <c r="R1465" s="1" t="str">
        <f>IFERROR(__xludf.DUMMYFUNCTION("""COMPUTED_VALUE"""),"")</f>
        <v/>
      </c>
      <c r="S1465" s="1" t="str">
        <f>IFERROR(__xludf.DUMMYFUNCTION("""COMPUTED_VALUE"""),"")</f>
        <v/>
      </c>
      <c r="T1465" s="1" t="str">
        <f>IFERROR(__xludf.DUMMYFUNCTION("""COMPUTED_VALUE"""),"")</f>
        <v/>
      </c>
      <c r="U1465" s="1" t="str">
        <f>IFERROR(__xludf.DUMMYFUNCTION("""COMPUTED_VALUE"""),"")</f>
        <v/>
      </c>
      <c r="V1465" s="1" t="str">
        <f>IFERROR(__xludf.DUMMYFUNCTION("""COMPUTED_VALUE"""),"285,000")</f>
        <v>285,000</v>
      </c>
      <c r="W1465" s="1" t="str">
        <f>IFERROR(__xludf.DUMMYFUNCTION("""COMPUTED_VALUE"""),"8")</f>
        <v>8</v>
      </c>
      <c r="X1465" s="1" t="str">
        <f>IFERROR(__xludf.DUMMYFUNCTION("""COMPUTED_VALUE"""),"")</f>
        <v/>
      </c>
      <c r="Y1465" s="1" t="str">
        <f>IFERROR(__xludf.DUMMYFUNCTION("""COMPUTED_VALUE"""),"")</f>
        <v/>
      </c>
      <c r="Z1465" s="1" t="str">
        <f>IFERROR(__xludf.DUMMYFUNCTION("""COMPUTED_VALUE"""),"Unknown")</f>
        <v>Unknown</v>
      </c>
      <c r="AA1465" s="1" t="str">
        <f>IFERROR(__xludf.DUMMYFUNCTION("""COMPUTED_VALUE"""),"")</f>
        <v/>
      </c>
      <c r="AB1465" s="1" t="str">
        <f>IFERROR(__xludf.DUMMYFUNCTION("""COMPUTED_VALUE"""),"")</f>
        <v/>
      </c>
      <c r="AC1465" s="1" t="str">
        <f>IFERROR(__xludf.DUMMYFUNCTION("""COMPUTED_VALUE"""),"")</f>
        <v/>
      </c>
      <c r="AD1465" s="1" t="str">
        <f>IFERROR(__xludf.DUMMYFUNCTION("""COMPUTED_VALUE"""),"")</f>
        <v/>
      </c>
      <c r="AE1465" s="1" t="str">
        <f>IFERROR(__xludf.DUMMYFUNCTION("""COMPUTED_VALUE"""),"")</f>
        <v/>
      </c>
      <c r="AF1465" s="1" t="str">
        <f>IFERROR(__xludf.DUMMYFUNCTION("""COMPUTED_VALUE"""),"")</f>
        <v/>
      </c>
      <c r="AG1465" s="1" t="str">
        <f>IFERROR(__xludf.DUMMYFUNCTION("""COMPUTED_VALUE"""),"")</f>
        <v/>
      </c>
      <c r="AH1465" s="1" t="str">
        <f>IFERROR(__xludf.DUMMYFUNCTION("""COMPUTED_VALUE"""),"PEC")</f>
        <v>PEC</v>
      </c>
      <c r="AI1465" s="2" t="str">
        <f>IFERROR(__xludf.DUMMYFUNCTION("""COMPUTED_VALUE"""),"https://loudouncountyvaeg.tylerhost.net/prod/selfservice#/plan/49535f6c-c976-4052-b47c-bc3f6488a7aa?tab=attachments")</f>
        <v>https://loudouncountyvaeg.tylerhost.net/prod/selfservice#/plan/49535f6c-c976-4052-b47c-bc3f6488a7aa?tab=attachments</v>
      </c>
      <c r="AJ1465" s="2" t="str">
        <f>IFERROR(__xludf.DUMMYFUNCTION("""COMPUTED_VALUE"""),"https://reparcelasmt.loudoun.gov/pt/Datalets/Datalet.aspx?UseSearch=no&amp;mode=profileall&amp;pin=045465016000&amp;jur=107&amp;taxyr=2024")</f>
        <v>https://reparcelasmt.loudoun.gov/pt/Datalets/Datalet.aspx?UseSearch=no&amp;mode=profileall&amp;pin=045465016000&amp;jur=107&amp;taxyr=2024</v>
      </c>
      <c r="AK1465" s="1" t="str">
        <f>IFERROR(__xludf.DUMMYFUNCTION("""COMPUTED_VALUE"""),"")</f>
        <v/>
      </c>
      <c r="AL1465" s="1" t="str">
        <f>IFERROR(__xludf.DUMMYFUNCTION("""COMPUTED_VALUE"""),"")</f>
        <v/>
      </c>
      <c r="AM1465" s="1" t="str">
        <f>IFERROR(__xludf.DUMMYFUNCTION("""COMPUTED_VALUE"""),"")</f>
        <v/>
      </c>
      <c r="AN1465" s="1" t="str">
        <f>IFERROR(__xludf.DUMMYFUNCTION("""COMPUTED_VALUE"""),"")</f>
        <v/>
      </c>
      <c r="AO1465" s="1" t="str">
        <f>IFERROR(__xludf.DUMMYFUNCTION("""COMPUTED_VALUE"""),"")</f>
        <v/>
      </c>
      <c r="AP1465" s="1" t="str">
        <f>IFERROR(__xludf.DUMMYFUNCTION("""COMPUTED_VALUE"""),"")</f>
        <v/>
      </c>
      <c r="AQ1465" s="1" t="str">
        <f>IFERROR(__xludf.DUMMYFUNCTION("""COMPUTED_VALUE"""),"04/10/2024")</f>
        <v>04/10/2024</v>
      </c>
      <c r="AR1465" s="1" t="str">
        <f>IFERROR(__xludf.DUMMYFUNCTION("""COMPUTED_VALUE"""),"10/17/2025")</f>
        <v>10/17/2025</v>
      </c>
    </row>
    <row r="1466">
      <c r="A1466" s="1" t="str">
        <f>IFERROR(__xludf.DUMMYFUNCTION("""COMPUTED_VALUE"""),"21641 CHARLES VIEW DR")</f>
        <v>21641 CHARLES VIEW DR</v>
      </c>
      <c r="B1466" s="1" t="str">
        <f>IFERROR(__xludf.DUMMYFUNCTION("""COMPUTED_VALUE"""),"21641 CHARLES VIEW DR")</f>
        <v>21641 CHARLES VIEW DR</v>
      </c>
      <c r="C1466" s="1" t="str">
        <f>IFERROR(__xludf.DUMMYFUNCTION("""COMPUTED_VALUE"""),"Sterling")</f>
        <v>Sterling</v>
      </c>
      <c r="D1466" s="1" t="str">
        <f>IFERROR(__xludf.DUMMYFUNCTION("""COMPUTED_VALUE"""),"VA")</f>
        <v>VA</v>
      </c>
      <c r="E1466" s="1" t="str">
        <f>IFERROR(__xludf.DUMMYFUNCTION("""COMPUTED_VALUE"""),"20166")</f>
        <v>20166</v>
      </c>
      <c r="F1466" s="1" t="str">
        <f>IFERROR(__xludf.DUMMYFUNCTION("""COMPUTED_VALUE"""),"Loudoun")</f>
        <v>Loudoun</v>
      </c>
      <c r="G1466" s="1" t="str">
        <f>IFERROR(__xludf.DUMMYFUNCTION("""COMPUTED_VALUE"""),"39.017963")</f>
        <v>39.017963</v>
      </c>
      <c r="H1466" s="1" t="str">
        <f>IFERROR(__xludf.DUMMYFUNCTION("""COMPUTED_VALUE"""),"-77.43968")</f>
        <v>-77.43968</v>
      </c>
      <c r="I1466" s="1" t="str">
        <f>IFERROR(__xludf.DUMMYFUNCTION("""COMPUTED_VALUE"""),"Operating")</f>
        <v>Operating</v>
      </c>
      <c r="J1466" s="1" t="str">
        <f>IFERROR(__xludf.DUMMYFUNCTION("""COMPUTED_VALUE"""),"High")</f>
        <v>High</v>
      </c>
      <c r="K1466" s="1" t="str">
        <f>IFERROR(__xludf.DUMMYFUNCTION("""COMPUTED_VALUE"""),"")</f>
        <v/>
      </c>
      <c r="L1466" s="1" t="str">
        <f>IFERROR(__xludf.DUMMYFUNCTION("""COMPUTED_VALUE"""),"Amazon")</f>
        <v>Amazon</v>
      </c>
      <c r="M1466" s="1" t="str">
        <f>IFERROR(__xludf.DUMMYFUNCTION("""COMPUTED_VALUE"""),"")</f>
        <v/>
      </c>
      <c r="N1466" s="1" t="str">
        <f>IFERROR(__xludf.DUMMYFUNCTION("""COMPUTED_VALUE"""),"")</f>
        <v/>
      </c>
      <c r="O1466" s="1" t="str">
        <f>IFERROR(__xludf.DUMMYFUNCTION("""COMPUTED_VALUE"""),"Unknown")</f>
        <v>Unknown</v>
      </c>
      <c r="P1466" s="1" t="str">
        <f>IFERROR(__xludf.DUMMYFUNCTION("""COMPUTED_VALUE"""),"")</f>
        <v/>
      </c>
      <c r="Q1466" s="1" t="str">
        <f>IFERROR(__xludf.DUMMYFUNCTION("""COMPUTED_VALUE"""),"")</f>
        <v/>
      </c>
      <c r="R1466" s="1" t="str">
        <f>IFERROR(__xludf.DUMMYFUNCTION("""COMPUTED_VALUE"""),"")</f>
        <v/>
      </c>
      <c r="S1466" s="1" t="str">
        <f>IFERROR(__xludf.DUMMYFUNCTION("""COMPUTED_VALUE"""),"")</f>
        <v/>
      </c>
      <c r="T1466" s="1" t="str">
        <f>IFERROR(__xludf.DUMMYFUNCTION("""COMPUTED_VALUE"""),"")</f>
        <v/>
      </c>
      <c r="U1466" s="1" t="str">
        <f>IFERROR(__xludf.DUMMYFUNCTION("""COMPUTED_VALUE"""),"")</f>
        <v/>
      </c>
      <c r="V1466" s="1" t="str">
        <f>IFERROR(__xludf.DUMMYFUNCTION("""COMPUTED_VALUE"""),"685,682")</f>
        <v>685,682</v>
      </c>
      <c r="W1466" s="1" t="str">
        <f>IFERROR(__xludf.DUMMYFUNCTION("""COMPUTED_VALUE"""),"54")</f>
        <v>54</v>
      </c>
      <c r="X1466" s="1" t="str">
        <f>IFERROR(__xludf.DUMMYFUNCTION("""COMPUTED_VALUE"""),"")</f>
        <v/>
      </c>
      <c r="Y1466" s="1" t="str">
        <f>IFERROR(__xludf.DUMMYFUNCTION("""COMPUTED_VALUE"""),"")</f>
        <v/>
      </c>
      <c r="Z1466" s="1" t="str">
        <f>IFERROR(__xludf.DUMMYFUNCTION("""COMPUTED_VALUE"""),"Unknown")</f>
        <v>Unknown</v>
      </c>
      <c r="AA1466" s="1" t="str">
        <f>IFERROR(__xludf.DUMMYFUNCTION("""COMPUTED_VALUE"""),"")</f>
        <v/>
      </c>
      <c r="AB1466" s="1" t="str">
        <f>IFERROR(__xludf.DUMMYFUNCTION("""COMPUTED_VALUE"""),"")</f>
        <v/>
      </c>
      <c r="AC1466" s="1" t="str">
        <f>IFERROR(__xludf.DUMMYFUNCTION("""COMPUTED_VALUE"""),"")</f>
        <v/>
      </c>
      <c r="AD1466" s="1" t="str">
        <f>IFERROR(__xludf.DUMMYFUNCTION("""COMPUTED_VALUE"""),"")</f>
        <v/>
      </c>
      <c r="AE1466" s="1" t="str">
        <f>IFERROR(__xludf.DUMMYFUNCTION("""COMPUTED_VALUE"""),"")</f>
        <v/>
      </c>
      <c r="AF1466" s="1" t="str">
        <f>IFERROR(__xludf.DUMMYFUNCTION("""COMPUTED_VALUE"""),"")</f>
        <v/>
      </c>
      <c r="AG1466" s="1" t="str">
        <f>IFERROR(__xludf.DUMMYFUNCTION("""COMPUTED_VALUE"""),"Shown as ""Storage Warehouse""")</f>
        <v>Shown as "Storage Warehouse"</v>
      </c>
      <c r="AH1466" s="1" t="str">
        <f>IFERROR(__xludf.DUMMYFUNCTION("""COMPUTED_VALUE"""),"PEC")</f>
        <v>PEC</v>
      </c>
      <c r="AI1466" s="2" t="str">
        <f>IFERROR(__xludf.DUMMYFUNCTION("""COMPUTED_VALUE"""),"https://reparcelasmt.loudoun.gov/pt/datalets/datalet.aspx?mode=profileall&amp;UseSearch=no&amp;pin=043482656000&amp;jur=107&amp;taxyr=2024&amp;LMparent=20")</f>
        <v>https://reparcelasmt.loudoun.gov/pt/datalets/datalet.aspx?mode=profileall&amp;UseSearch=no&amp;pin=043482656000&amp;jur=107&amp;taxyr=2024&amp;LMparent=20</v>
      </c>
      <c r="AJ1466" s="1" t="str">
        <f>IFERROR(__xludf.DUMMYFUNCTION("""COMPUTED_VALUE"""),"")</f>
        <v/>
      </c>
      <c r="AK1466" s="1" t="str">
        <f>IFERROR(__xludf.DUMMYFUNCTION("""COMPUTED_VALUE"""),"")</f>
        <v/>
      </c>
      <c r="AL1466" s="1" t="str">
        <f>IFERROR(__xludf.DUMMYFUNCTION("""COMPUTED_VALUE"""),"")</f>
        <v/>
      </c>
      <c r="AM1466" s="1" t="str">
        <f>IFERROR(__xludf.DUMMYFUNCTION("""COMPUTED_VALUE"""),"")</f>
        <v/>
      </c>
      <c r="AN1466" s="1" t="str">
        <f>IFERROR(__xludf.DUMMYFUNCTION("""COMPUTED_VALUE"""),"")</f>
        <v/>
      </c>
      <c r="AO1466" s="1" t="str">
        <f>IFERROR(__xludf.DUMMYFUNCTION("""COMPUTED_VALUE"""),"")</f>
        <v/>
      </c>
      <c r="AP1466" s="1" t="str">
        <f>IFERROR(__xludf.DUMMYFUNCTION("""COMPUTED_VALUE"""),"")</f>
        <v/>
      </c>
      <c r="AQ1466" s="1" t="str">
        <f>IFERROR(__xludf.DUMMYFUNCTION("""COMPUTED_VALUE"""),"04/10/2024")</f>
        <v>04/10/2024</v>
      </c>
      <c r="AR1466" s="1" t="str">
        <f>IFERROR(__xludf.DUMMYFUNCTION("""COMPUTED_VALUE"""),"10/17/2025")</f>
        <v>10/17/2025</v>
      </c>
    </row>
    <row r="1467">
      <c r="A1467" s="1" t="str">
        <f>IFERROR(__xludf.DUMMYFUNCTION("""COMPUTED_VALUE"""),"22350 KIPPER DR AWS")</f>
        <v>22350 KIPPER DR AWS</v>
      </c>
      <c r="B1467" s="1" t="str">
        <f>IFERROR(__xludf.DUMMYFUNCTION("""COMPUTED_VALUE"""),"22350 KIPPER DR")</f>
        <v>22350 KIPPER DR</v>
      </c>
      <c r="C1467" s="1" t="str">
        <f>IFERROR(__xludf.DUMMYFUNCTION("""COMPUTED_VALUE"""),"Sterling")</f>
        <v>Sterling</v>
      </c>
      <c r="D1467" s="1" t="str">
        <f>IFERROR(__xludf.DUMMYFUNCTION("""COMPUTED_VALUE"""),"VA")</f>
        <v>VA</v>
      </c>
      <c r="E1467" s="1" t="str">
        <f>IFERROR(__xludf.DUMMYFUNCTION("""COMPUTED_VALUE"""),"20166")</f>
        <v>20166</v>
      </c>
      <c r="F1467" s="1" t="str">
        <f>IFERROR(__xludf.DUMMYFUNCTION("""COMPUTED_VALUE"""),"Loudoun")</f>
        <v>Loudoun</v>
      </c>
      <c r="G1467" s="1" t="str">
        <f>IFERROR(__xludf.DUMMYFUNCTION("""COMPUTED_VALUE"""),"38.99509")</f>
        <v>38.99509</v>
      </c>
      <c r="H1467" s="1" t="str">
        <f>IFERROR(__xludf.DUMMYFUNCTION("""COMPUTED_VALUE"""),"-77.43511")</f>
        <v>-77.43511</v>
      </c>
      <c r="I1467" s="1" t="str">
        <f>IFERROR(__xludf.DUMMYFUNCTION("""COMPUTED_VALUE"""),"Operating")</f>
        <v>Operating</v>
      </c>
      <c r="J1467" s="1" t="str">
        <f>IFERROR(__xludf.DUMMYFUNCTION("""COMPUTED_VALUE"""),"High")</f>
        <v>High</v>
      </c>
      <c r="K1467" s="1" t="str">
        <f>IFERROR(__xludf.DUMMYFUNCTION("""COMPUTED_VALUE"""),"")</f>
        <v/>
      </c>
      <c r="L1467" s="1" t="str">
        <f>IFERROR(__xludf.DUMMYFUNCTION("""COMPUTED_VALUE"""),"Amazon")</f>
        <v>Amazon</v>
      </c>
      <c r="M1467" s="1" t="str">
        <f>IFERROR(__xludf.DUMMYFUNCTION("""COMPUTED_VALUE"""),"")</f>
        <v/>
      </c>
      <c r="N1467" s="1" t="str">
        <f>IFERROR(__xludf.DUMMYFUNCTION("""COMPUTED_VALUE"""),"")</f>
        <v/>
      </c>
      <c r="O1467" s="1" t="str">
        <f>IFERROR(__xludf.DUMMYFUNCTION("""COMPUTED_VALUE"""),"Unknown")</f>
        <v>Unknown</v>
      </c>
      <c r="P1467" s="1" t="str">
        <f>IFERROR(__xludf.DUMMYFUNCTION("""COMPUTED_VALUE"""),"")</f>
        <v/>
      </c>
      <c r="Q1467" s="1" t="str">
        <f>IFERROR(__xludf.DUMMYFUNCTION("""COMPUTED_VALUE"""),"")</f>
        <v/>
      </c>
      <c r="R1467" s="1" t="str">
        <f>IFERROR(__xludf.DUMMYFUNCTION("""COMPUTED_VALUE"""),"")</f>
        <v/>
      </c>
      <c r="S1467" s="1" t="str">
        <f>IFERROR(__xludf.DUMMYFUNCTION("""COMPUTED_VALUE"""),"")</f>
        <v/>
      </c>
      <c r="T1467" s="1" t="str">
        <f>IFERROR(__xludf.DUMMYFUNCTION("""COMPUTED_VALUE"""),"")</f>
        <v/>
      </c>
      <c r="U1467" s="1" t="str">
        <f>IFERROR(__xludf.DUMMYFUNCTION("""COMPUTED_VALUE"""),"")</f>
        <v/>
      </c>
      <c r="V1467" s="1" t="str">
        <f>IFERROR(__xludf.DUMMYFUNCTION("""COMPUTED_VALUE"""),"203,460")</f>
        <v>203,460</v>
      </c>
      <c r="W1467" s="1" t="str">
        <f>IFERROR(__xludf.DUMMYFUNCTION("""COMPUTED_VALUE"""),"11")</f>
        <v>11</v>
      </c>
      <c r="X1467" s="1" t="str">
        <f>IFERROR(__xludf.DUMMYFUNCTION("""COMPUTED_VALUE"""),"")</f>
        <v/>
      </c>
      <c r="Y1467" s="1" t="str">
        <f>IFERROR(__xludf.DUMMYFUNCTION("""COMPUTED_VALUE"""),"")</f>
        <v/>
      </c>
      <c r="Z1467" s="1" t="str">
        <f>IFERROR(__xludf.DUMMYFUNCTION("""COMPUTED_VALUE"""),"Unknown")</f>
        <v>Unknown</v>
      </c>
      <c r="AA1467" s="1" t="str">
        <f>IFERROR(__xludf.DUMMYFUNCTION("""COMPUTED_VALUE"""),"")</f>
        <v/>
      </c>
      <c r="AB1467" s="1" t="str">
        <f>IFERROR(__xludf.DUMMYFUNCTION("""COMPUTED_VALUE"""),"")</f>
        <v/>
      </c>
      <c r="AC1467" s="1" t="str">
        <f>IFERROR(__xludf.DUMMYFUNCTION("""COMPUTED_VALUE"""),"")</f>
        <v/>
      </c>
      <c r="AD1467" s="1" t="str">
        <f>IFERROR(__xludf.DUMMYFUNCTION("""COMPUTED_VALUE"""),"")</f>
        <v/>
      </c>
      <c r="AE1467" s="1" t="str">
        <f>IFERROR(__xludf.DUMMYFUNCTION("""COMPUTED_VALUE"""),"")</f>
        <v/>
      </c>
      <c r="AF1467" s="1" t="str">
        <f>IFERROR(__xludf.DUMMYFUNCTION("""COMPUTED_VALUE"""),"")</f>
        <v/>
      </c>
      <c r="AG1467" s="1" t="str">
        <f>IFERROR(__xludf.DUMMYFUNCTION("""COMPUTED_VALUE"""),"Shown as ""Storage Warehouse""")</f>
        <v>Shown as "Storage Warehouse"</v>
      </c>
      <c r="AH1467" s="1" t="str">
        <f>IFERROR(__xludf.DUMMYFUNCTION("""COMPUTED_VALUE"""),"PEC")</f>
        <v>PEC</v>
      </c>
      <c r="AI1467" s="2" t="str">
        <f>IFERROR(__xludf.DUMMYFUNCTION("""COMPUTED_VALUE"""),"https://reparcelasmt.loudoun.gov/pt/datalets/datalet.aspx?mode=commercial&amp;UseSearch=no&amp;pin=045494813000&amp;jur=107&amp;taxyr=2024&amp;LMparent=20")</f>
        <v>https://reparcelasmt.loudoun.gov/pt/datalets/datalet.aspx?mode=commercial&amp;UseSearch=no&amp;pin=045494813000&amp;jur=107&amp;taxyr=2024&amp;LMparent=20</v>
      </c>
      <c r="AJ1467" s="1" t="str">
        <f>IFERROR(__xludf.DUMMYFUNCTION("""COMPUTED_VALUE"""),"")</f>
        <v/>
      </c>
      <c r="AK1467" s="1" t="str">
        <f>IFERROR(__xludf.DUMMYFUNCTION("""COMPUTED_VALUE"""),"")</f>
        <v/>
      </c>
      <c r="AL1467" s="1" t="str">
        <f>IFERROR(__xludf.DUMMYFUNCTION("""COMPUTED_VALUE"""),"")</f>
        <v/>
      </c>
      <c r="AM1467" s="1" t="str">
        <f>IFERROR(__xludf.DUMMYFUNCTION("""COMPUTED_VALUE"""),"")</f>
        <v/>
      </c>
      <c r="AN1467" s="1" t="str">
        <f>IFERROR(__xludf.DUMMYFUNCTION("""COMPUTED_VALUE"""),"")</f>
        <v/>
      </c>
      <c r="AO1467" s="1" t="str">
        <f>IFERROR(__xludf.DUMMYFUNCTION("""COMPUTED_VALUE"""),"")</f>
        <v/>
      </c>
      <c r="AP1467" s="1" t="str">
        <f>IFERROR(__xludf.DUMMYFUNCTION("""COMPUTED_VALUE"""),"")</f>
        <v/>
      </c>
      <c r="AQ1467" s="1" t="str">
        <f>IFERROR(__xludf.DUMMYFUNCTION("""COMPUTED_VALUE"""),"04/10/2024")</f>
        <v>04/10/2024</v>
      </c>
      <c r="AR1467" s="1" t="str">
        <f>IFERROR(__xludf.DUMMYFUNCTION("""COMPUTED_VALUE"""),"10/17/2025")</f>
        <v>10/17/2025</v>
      </c>
    </row>
    <row r="1468">
      <c r="A1468" s="1" t="str">
        <f>IFERROR(__xludf.DUMMYFUNCTION("""COMPUTED_VALUE"""),"22370 KIPPER DR AWS")</f>
        <v>22370 KIPPER DR AWS</v>
      </c>
      <c r="B1468" s="1" t="str">
        <f>IFERROR(__xludf.DUMMYFUNCTION("""COMPUTED_VALUE"""),"22370 KIPPER DR")</f>
        <v>22370 KIPPER DR</v>
      </c>
      <c r="C1468" s="1" t="str">
        <f>IFERROR(__xludf.DUMMYFUNCTION("""COMPUTED_VALUE"""),"Sterling")</f>
        <v>Sterling</v>
      </c>
      <c r="D1468" s="1" t="str">
        <f>IFERROR(__xludf.DUMMYFUNCTION("""COMPUTED_VALUE"""),"VA")</f>
        <v>VA</v>
      </c>
      <c r="E1468" s="1" t="str">
        <f>IFERROR(__xludf.DUMMYFUNCTION("""COMPUTED_VALUE"""),"20166")</f>
        <v>20166</v>
      </c>
      <c r="F1468" s="1" t="str">
        <f>IFERROR(__xludf.DUMMYFUNCTION("""COMPUTED_VALUE"""),"Loudoun")</f>
        <v>Loudoun</v>
      </c>
      <c r="G1468" s="1" t="str">
        <f>IFERROR(__xludf.DUMMYFUNCTION("""COMPUTED_VALUE"""),"38.996964")</f>
        <v>38.996964</v>
      </c>
      <c r="H1468" s="1" t="str">
        <f>IFERROR(__xludf.DUMMYFUNCTION("""COMPUTED_VALUE"""),"-77.43581")</f>
        <v>-77.43581</v>
      </c>
      <c r="I1468" s="1" t="str">
        <f>IFERROR(__xludf.DUMMYFUNCTION("""COMPUTED_VALUE"""),"Operating")</f>
        <v>Operating</v>
      </c>
      <c r="J1468" s="1" t="str">
        <f>IFERROR(__xludf.DUMMYFUNCTION("""COMPUTED_VALUE"""),"High")</f>
        <v>High</v>
      </c>
      <c r="K1468" s="1" t="str">
        <f>IFERROR(__xludf.DUMMYFUNCTION("""COMPUTED_VALUE"""),"")</f>
        <v/>
      </c>
      <c r="L1468" s="1" t="str">
        <f>IFERROR(__xludf.DUMMYFUNCTION("""COMPUTED_VALUE"""),"Amazon")</f>
        <v>Amazon</v>
      </c>
      <c r="M1468" s="1" t="str">
        <f>IFERROR(__xludf.DUMMYFUNCTION("""COMPUTED_VALUE"""),"")</f>
        <v/>
      </c>
      <c r="N1468" s="1" t="str">
        <f>IFERROR(__xludf.DUMMYFUNCTION("""COMPUTED_VALUE"""),"")</f>
        <v/>
      </c>
      <c r="O1468" s="1" t="str">
        <f>IFERROR(__xludf.DUMMYFUNCTION("""COMPUTED_VALUE"""),"Unknown")</f>
        <v>Unknown</v>
      </c>
      <c r="P1468" s="1" t="str">
        <f>IFERROR(__xludf.DUMMYFUNCTION("""COMPUTED_VALUE"""),"")</f>
        <v/>
      </c>
      <c r="Q1468" s="1" t="str">
        <f>IFERROR(__xludf.DUMMYFUNCTION("""COMPUTED_VALUE"""),"")</f>
        <v/>
      </c>
      <c r="R1468" s="1" t="str">
        <f>IFERROR(__xludf.DUMMYFUNCTION("""COMPUTED_VALUE"""),"")</f>
        <v/>
      </c>
      <c r="S1468" s="1" t="str">
        <f>IFERROR(__xludf.DUMMYFUNCTION("""COMPUTED_VALUE"""),"")</f>
        <v/>
      </c>
      <c r="T1468" s="1" t="str">
        <f>IFERROR(__xludf.DUMMYFUNCTION("""COMPUTED_VALUE"""),"")</f>
        <v/>
      </c>
      <c r="U1468" s="1" t="str">
        <f>IFERROR(__xludf.DUMMYFUNCTION("""COMPUTED_VALUE"""),"")</f>
        <v/>
      </c>
      <c r="V1468" s="1" t="str">
        <f>IFERROR(__xludf.DUMMYFUNCTION("""COMPUTED_VALUE"""),"203,460")</f>
        <v>203,460</v>
      </c>
      <c r="W1468" s="1" t="str">
        <f>IFERROR(__xludf.DUMMYFUNCTION("""COMPUTED_VALUE"""),"14")</f>
        <v>14</v>
      </c>
      <c r="X1468" s="1" t="str">
        <f>IFERROR(__xludf.DUMMYFUNCTION("""COMPUTED_VALUE"""),"")</f>
        <v/>
      </c>
      <c r="Y1468" s="1" t="str">
        <f>IFERROR(__xludf.DUMMYFUNCTION("""COMPUTED_VALUE"""),"")</f>
        <v/>
      </c>
      <c r="Z1468" s="1" t="str">
        <f>IFERROR(__xludf.DUMMYFUNCTION("""COMPUTED_VALUE"""),"Unknown")</f>
        <v>Unknown</v>
      </c>
      <c r="AA1468" s="1" t="str">
        <f>IFERROR(__xludf.DUMMYFUNCTION("""COMPUTED_VALUE"""),"")</f>
        <v/>
      </c>
      <c r="AB1468" s="1" t="str">
        <f>IFERROR(__xludf.DUMMYFUNCTION("""COMPUTED_VALUE"""),"")</f>
        <v/>
      </c>
      <c r="AC1468" s="1" t="str">
        <f>IFERROR(__xludf.DUMMYFUNCTION("""COMPUTED_VALUE"""),"")</f>
        <v/>
      </c>
      <c r="AD1468" s="1" t="str">
        <f>IFERROR(__xludf.DUMMYFUNCTION("""COMPUTED_VALUE"""),"")</f>
        <v/>
      </c>
      <c r="AE1468" s="1" t="str">
        <f>IFERROR(__xludf.DUMMYFUNCTION("""COMPUTED_VALUE"""),"")</f>
        <v/>
      </c>
      <c r="AF1468" s="1" t="str">
        <f>IFERROR(__xludf.DUMMYFUNCTION("""COMPUTED_VALUE"""),"")</f>
        <v/>
      </c>
      <c r="AG1468" s="1" t="str">
        <f>IFERROR(__xludf.DUMMYFUNCTION("""COMPUTED_VALUE"""),"Shown as ""Storage Warehouse""")</f>
        <v>Shown as "Storage Warehouse"</v>
      </c>
      <c r="AH1468" s="1" t="str">
        <f>IFERROR(__xludf.DUMMYFUNCTION("""COMPUTED_VALUE"""),"PEC")</f>
        <v>PEC</v>
      </c>
      <c r="AI1468" s="2" t="str">
        <f>IFERROR(__xludf.DUMMYFUNCTION("""COMPUTED_VALUE"""),"https://reparcelasmt.loudoun.gov/pt/datalets/datalet.aspx?mode=commercial&amp;UseSearch=no&amp;pin=044193385000&amp;jur=107&amp;taxyr=2024&amp;LMparent=20")</f>
        <v>https://reparcelasmt.loudoun.gov/pt/datalets/datalet.aspx?mode=commercial&amp;UseSearch=no&amp;pin=044193385000&amp;jur=107&amp;taxyr=2024&amp;LMparent=20</v>
      </c>
      <c r="AJ1468" s="1" t="str">
        <f>IFERROR(__xludf.DUMMYFUNCTION("""COMPUTED_VALUE"""),"")</f>
        <v/>
      </c>
      <c r="AK1468" s="1" t="str">
        <f>IFERROR(__xludf.DUMMYFUNCTION("""COMPUTED_VALUE"""),"")</f>
        <v/>
      </c>
      <c r="AL1468" s="1" t="str">
        <f>IFERROR(__xludf.DUMMYFUNCTION("""COMPUTED_VALUE"""),"")</f>
        <v/>
      </c>
      <c r="AM1468" s="1" t="str">
        <f>IFERROR(__xludf.DUMMYFUNCTION("""COMPUTED_VALUE"""),"")</f>
        <v/>
      </c>
      <c r="AN1468" s="1" t="str">
        <f>IFERROR(__xludf.DUMMYFUNCTION("""COMPUTED_VALUE"""),"")</f>
        <v/>
      </c>
      <c r="AO1468" s="1" t="str">
        <f>IFERROR(__xludf.DUMMYFUNCTION("""COMPUTED_VALUE"""),"")</f>
        <v/>
      </c>
      <c r="AP1468" s="1" t="str">
        <f>IFERROR(__xludf.DUMMYFUNCTION("""COMPUTED_VALUE"""),"")</f>
        <v/>
      </c>
      <c r="AQ1468" s="1" t="str">
        <f>IFERROR(__xludf.DUMMYFUNCTION("""COMPUTED_VALUE"""),"04/10/2024")</f>
        <v>04/10/2024</v>
      </c>
      <c r="AR1468" s="1" t="str">
        <f>IFERROR(__xludf.DUMMYFUNCTION("""COMPUTED_VALUE"""),"10/17/2025")</f>
        <v>10/17/2025</v>
      </c>
    </row>
    <row r="1469">
      <c r="A1469" s="1" t="str">
        <f>IFERROR(__xludf.DUMMYFUNCTION("""COMPUTED_VALUE"""),"22660 Executive Dr Prologis")</f>
        <v>22660 Executive Dr Prologis</v>
      </c>
      <c r="B1469" s="1" t="str">
        <f>IFERROR(__xludf.DUMMYFUNCTION("""COMPUTED_VALUE"""),"22660 Executive Dr")</f>
        <v>22660 Executive Dr</v>
      </c>
      <c r="C1469" s="1" t="str">
        <f>IFERROR(__xludf.DUMMYFUNCTION("""COMPUTED_VALUE"""),"Sterling")</f>
        <v>Sterling</v>
      </c>
      <c r="D1469" s="1" t="str">
        <f>IFERROR(__xludf.DUMMYFUNCTION("""COMPUTED_VALUE"""),"VA")</f>
        <v>VA</v>
      </c>
      <c r="E1469" s="1" t="str">
        <f>IFERROR(__xludf.DUMMYFUNCTION("""COMPUTED_VALUE"""),"20166")</f>
        <v>20166</v>
      </c>
      <c r="F1469" s="1" t="str">
        <f>IFERROR(__xludf.DUMMYFUNCTION("""COMPUTED_VALUE"""),"Loudoun")</f>
        <v>Loudoun</v>
      </c>
      <c r="G1469" s="1" t="str">
        <f>IFERROR(__xludf.DUMMYFUNCTION("""COMPUTED_VALUE"""),"38.989754")</f>
        <v>38.989754</v>
      </c>
      <c r="H1469" s="1" t="str">
        <f>IFERROR(__xludf.DUMMYFUNCTION("""COMPUTED_VALUE"""),"-77.44206")</f>
        <v>-77.44206</v>
      </c>
      <c r="I1469" s="1" t="str">
        <f>IFERROR(__xludf.DUMMYFUNCTION("""COMPUTED_VALUE"""),"Proposed")</f>
        <v>Proposed</v>
      </c>
      <c r="J1469" s="1" t="str">
        <f>IFERROR(__xludf.DUMMYFUNCTION("""COMPUTED_VALUE"""),"High")</f>
        <v>High</v>
      </c>
      <c r="K1469" s="1" t="str">
        <f>IFERROR(__xludf.DUMMYFUNCTION("""COMPUTED_VALUE"""),"")</f>
        <v/>
      </c>
      <c r="L1469" s="1" t="str">
        <f>IFERROR(__xludf.DUMMYFUNCTION("""COMPUTED_VALUE"""),"Prologis")</f>
        <v>Prologis</v>
      </c>
      <c r="M1469" s="1" t="str">
        <f>IFERROR(__xludf.DUMMYFUNCTION("""COMPUTED_VALUE"""),"")</f>
        <v/>
      </c>
      <c r="N1469" s="1" t="str">
        <f>IFERROR(__xludf.DUMMYFUNCTION("""COMPUTED_VALUE"""),"")</f>
        <v/>
      </c>
      <c r="O1469" s="1" t="str">
        <f>IFERROR(__xludf.DUMMYFUNCTION("""COMPUTED_VALUE"""),"Unknown")</f>
        <v>Unknown</v>
      </c>
      <c r="P1469" s="1" t="str">
        <f>IFERROR(__xludf.DUMMYFUNCTION("""COMPUTED_VALUE"""),"")</f>
        <v/>
      </c>
      <c r="Q1469" s="1" t="str">
        <f>IFERROR(__xludf.DUMMYFUNCTION("""COMPUTED_VALUE"""),"")</f>
        <v/>
      </c>
      <c r="R1469" s="1" t="str">
        <f>IFERROR(__xludf.DUMMYFUNCTION("""COMPUTED_VALUE"""),"")</f>
        <v/>
      </c>
      <c r="S1469" s="1" t="str">
        <f>IFERROR(__xludf.DUMMYFUNCTION("""COMPUTED_VALUE"""),"")</f>
        <v/>
      </c>
      <c r="T1469" s="1" t="str">
        <f>IFERROR(__xludf.DUMMYFUNCTION("""COMPUTED_VALUE"""),"")</f>
        <v/>
      </c>
      <c r="U1469" s="1" t="str">
        <f>IFERROR(__xludf.DUMMYFUNCTION("""COMPUTED_VALUE"""),"")</f>
        <v/>
      </c>
      <c r="V1469" s="1" t="str">
        <f>IFERROR(__xludf.DUMMYFUNCTION("""COMPUTED_VALUE"""),"")</f>
        <v/>
      </c>
      <c r="W1469" s="1" t="str">
        <f>IFERROR(__xludf.DUMMYFUNCTION("""COMPUTED_VALUE"""),"8")</f>
        <v>8</v>
      </c>
      <c r="X1469" s="1" t="str">
        <f>IFERROR(__xludf.DUMMYFUNCTION("""COMPUTED_VALUE"""),"")</f>
        <v/>
      </c>
      <c r="Y1469" s="1" t="str">
        <f>IFERROR(__xludf.DUMMYFUNCTION("""COMPUTED_VALUE"""),"")</f>
        <v/>
      </c>
      <c r="Z1469" s="1" t="str">
        <f>IFERROR(__xludf.DUMMYFUNCTION("""COMPUTED_VALUE"""),"Unknown")</f>
        <v>Unknown</v>
      </c>
      <c r="AA1469" s="1" t="str">
        <f>IFERROR(__xludf.DUMMYFUNCTION("""COMPUTED_VALUE"""),"")</f>
        <v/>
      </c>
      <c r="AB1469" s="1" t="str">
        <f>IFERROR(__xludf.DUMMYFUNCTION("""COMPUTED_VALUE"""),"")</f>
        <v/>
      </c>
      <c r="AC1469" s="1" t="str">
        <f>IFERROR(__xludf.DUMMYFUNCTION("""COMPUTED_VALUE"""),"")</f>
        <v/>
      </c>
      <c r="AD1469" s="1" t="str">
        <f>IFERROR(__xludf.DUMMYFUNCTION("""COMPUTED_VALUE"""),"")</f>
        <v/>
      </c>
      <c r="AE1469" s="1" t="str">
        <f>IFERROR(__xludf.DUMMYFUNCTION("""COMPUTED_VALUE"""),"")</f>
        <v/>
      </c>
      <c r="AF1469" s="1" t="str">
        <f>IFERROR(__xludf.DUMMYFUNCTION("""COMPUTED_VALUE"""),"")</f>
        <v/>
      </c>
      <c r="AG1469" s="1" t="str">
        <f>IFERROR(__xludf.DUMMYFUNCTION("""COMPUTED_VALUE"""),"Flex, Industrial (Formerly PEC-LDN-0045)")</f>
        <v>Flex, Industrial (Formerly PEC-LDN-0045)</v>
      </c>
      <c r="AH1469" s="1" t="str">
        <f>IFERROR(__xludf.DUMMYFUNCTION("""COMPUTED_VALUE"""),"PEC")</f>
        <v>PEC</v>
      </c>
      <c r="AI1469" s="2" t="str">
        <f>IFERROR(__xludf.DUMMYFUNCTION("""COMPUTED_VALUE"""),"https://www.datacenterdynamics.com/en/news/prologis-seeks-rezoning-of-land-sterling-virginia-possibly-for-data-centers/")</f>
        <v>https://www.datacenterdynamics.com/en/news/prologis-seeks-rezoning-of-land-sterling-virginia-possibly-for-data-centers/</v>
      </c>
      <c r="AJ1469" s="2" t="str">
        <f>IFERROR(__xludf.DUMMYFUNCTION("""COMPUTED_VALUE"""),"https://reparcelasmt.loudoun.gov/pt/Datalets/Datalet.aspx?UseSearch=no&amp;mode=profileall&amp;pin=045274849000&amp;jur=107&amp;taxyr=2024")</f>
        <v>https://reparcelasmt.loudoun.gov/pt/Datalets/Datalet.aspx?UseSearch=no&amp;mode=profileall&amp;pin=045274849000&amp;jur=107&amp;taxyr=2024</v>
      </c>
      <c r="AK1469" s="1" t="str">
        <f>IFERROR(__xludf.DUMMYFUNCTION("""COMPUTED_VALUE"""),"")</f>
        <v/>
      </c>
      <c r="AL1469" s="1" t="str">
        <f>IFERROR(__xludf.DUMMYFUNCTION("""COMPUTED_VALUE"""),"")</f>
        <v/>
      </c>
      <c r="AM1469" s="1" t="str">
        <f>IFERROR(__xludf.DUMMYFUNCTION("""COMPUTED_VALUE"""),"")</f>
        <v/>
      </c>
      <c r="AN1469" s="1" t="str">
        <f>IFERROR(__xludf.DUMMYFUNCTION("""COMPUTED_VALUE"""),"")</f>
        <v/>
      </c>
      <c r="AO1469" s="1" t="str">
        <f>IFERROR(__xludf.DUMMYFUNCTION("""COMPUTED_VALUE"""),"")</f>
        <v/>
      </c>
      <c r="AP1469" s="1" t="str">
        <f>IFERROR(__xludf.DUMMYFUNCTION("""COMPUTED_VALUE"""),"")</f>
        <v/>
      </c>
      <c r="AQ1469" s="1" t="str">
        <f>IFERROR(__xludf.DUMMYFUNCTION("""COMPUTED_VALUE"""),"04/10/2024")</f>
        <v>04/10/2024</v>
      </c>
      <c r="AR1469" s="1" t="str">
        <f>IFERROR(__xludf.DUMMYFUNCTION("""COMPUTED_VALUE"""),"10/17/2025")</f>
        <v>10/17/2025</v>
      </c>
    </row>
    <row r="1470">
      <c r="A1470" s="1" t="str">
        <f>IFERROR(__xludf.DUMMYFUNCTION("""COMPUTED_VALUE"""),"22945 INTERNATIONAL DR AWS")</f>
        <v>22945 INTERNATIONAL DR AWS</v>
      </c>
      <c r="B1470" s="1" t="str">
        <f>IFERROR(__xludf.DUMMYFUNCTION("""COMPUTED_VALUE"""),"22945 INTERNATIONAL DR")</f>
        <v>22945 INTERNATIONAL DR</v>
      </c>
      <c r="C1470" s="1" t="str">
        <f>IFERROR(__xludf.DUMMYFUNCTION("""COMPUTED_VALUE"""),"Sterling")</f>
        <v>Sterling</v>
      </c>
      <c r="D1470" s="1" t="str">
        <f>IFERROR(__xludf.DUMMYFUNCTION("""COMPUTED_VALUE"""),"VA")</f>
        <v>VA</v>
      </c>
      <c r="E1470" s="1" t="str">
        <f>IFERROR(__xludf.DUMMYFUNCTION("""COMPUTED_VALUE"""),"20166")</f>
        <v>20166</v>
      </c>
      <c r="F1470" s="1" t="str">
        <f>IFERROR(__xludf.DUMMYFUNCTION("""COMPUTED_VALUE"""),"Loudoun")</f>
        <v>Loudoun</v>
      </c>
      <c r="G1470" s="1" t="str">
        <f>IFERROR(__xludf.DUMMYFUNCTION("""COMPUTED_VALUE"""),"38.98216")</f>
        <v>38.98216</v>
      </c>
      <c r="H1470" s="1" t="str">
        <f>IFERROR(__xludf.DUMMYFUNCTION("""COMPUTED_VALUE"""),"-77.42751")</f>
        <v>-77.42751</v>
      </c>
      <c r="I1470" s="1" t="str">
        <f>IFERROR(__xludf.DUMMYFUNCTION("""COMPUTED_VALUE"""),"Operating")</f>
        <v>Operating</v>
      </c>
      <c r="J1470" s="1" t="str">
        <f>IFERROR(__xludf.DUMMYFUNCTION("""COMPUTED_VALUE"""),"High")</f>
        <v>High</v>
      </c>
      <c r="K1470" s="1" t="str">
        <f>IFERROR(__xludf.DUMMYFUNCTION("""COMPUTED_VALUE"""),"")</f>
        <v/>
      </c>
      <c r="L1470" s="1" t="str">
        <f>IFERROR(__xludf.DUMMYFUNCTION("""COMPUTED_VALUE"""),"Amazon")</f>
        <v>Amazon</v>
      </c>
      <c r="M1470" s="1" t="str">
        <f>IFERROR(__xludf.DUMMYFUNCTION("""COMPUTED_VALUE"""),"")</f>
        <v/>
      </c>
      <c r="N1470" s="1" t="str">
        <f>IFERROR(__xludf.DUMMYFUNCTION("""COMPUTED_VALUE"""),"")</f>
        <v/>
      </c>
      <c r="O1470" s="1" t="str">
        <f>IFERROR(__xludf.DUMMYFUNCTION("""COMPUTED_VALUE"""),"Unknown")</f>
        <v>Unknown</v>
      </c>
      <c r="P1470" s="1" t="str">
        <f>IFERROR(__xludf.DUMMYFUNCTION("""COMPUTED_VALUE"""),"")</f>
        <v/>
      </c>
      <c r="Q1470" s="1" t="str">
        <f>IFERROR(__xludf.DUMMYFUNCTION("""COMPUTED_VALUE"""),"")</f>
        <v/>
      </c>
      <c r="R1470" s="1" t="str">
        <f>IFERROR(__xludf.DUMMYFUNCTION("""COMPUTED_VALUE"""),"")</f>
        <v/>
      </c>
      <c r="S1470" s="1" t="str">
        <f>IFERROR(__xludf.DUMMYFUNCTION("""COMPUTED_VALUE"""),"")</f>
        <v/>
      </c>
      <c r="T1470" s="1" t="str">
        <f>IFERROR(__xludf.DUMMYFUNCTION("""COMPUTED_VALUE"""),"")</f>
        <v/>
      </c>
      <c r="U1470" s="1" t="str">
        <f>IFERROR(__xludf.DUMMYFUNCTION("""COMPUTED_VALUE"""),"")</f>
        <v/>
      </c>
      <c r="V1470" s="1" t="str">
        <f>IFERROR(__xludf.DUMMYFUNCTION("""COMPUTED_VALUE"""),"147,900")</f>
        <v>147,900</v>
      </c>
      <c r="W1470" s="1" t="str">
        <f>IFERROR(__xludf.DUMMYFUNCTION("""COMPUTED_VALUE"""),"17")</f>
        <v>17</v>
      </c>
      <c r="X1470" s="1" t="str">
        <f>IFERROR(__xludf.DUMMYFUNCTION("""COMPUTED_VALUE"""),"")</f>
        <v/>
      </c>
      <c r="Y1470" s="1" t="str">
        <f>IFERROR(__xludf.DUMMYFUNCTION("""COMPUTED_VALUE"""),"")</f>
        <v/>
      </c>
      <c r="Z1470" s="1" t="str">
        <f>IFERROR(__xludf.DUMMYFUNCTION("""COMPUTED_VALUE"""),"Unknown")</f>
        <v>Unknown</v>
      </c>
      <c r="AA1470" s="1" t="str">
        <f>IFERROR(__xludf.DUMMYFUNCTION("""COMPUTED_VALUE"""),"")</f>
        <v/>
      </c>
      <c r="AB1470" s="1" t="str">
        <f>IFERROR(__xludf.DUMMYFUNCTION("""COMPUTED_VALUE"""),"")</f>
        <v/>
      </c>
      <c r="AC1470" s="1" t="str">
        <f>IFERROR(__xludf.DUMMYFUNCTION("""COMPUTED_VALUE"""),"")</f>
        <v/>
      </c>
      <c r="AD1470" s="1" t="str">
        <f>IFERROR(__xludf.DUMMYFUNCTION("""COMPUTED_VALUE"""),"")</f>
        <v/>
      </c>
      <c r="AE1470" s="1" t="str">
        <f>IFERROR(__xludf.DUMMYFUNCTION("""COMPUTED_VALUE"""),"")</f>
        <v/>
      </c>
      <c r="AF1470" s="1" t="str">
        <f>IFERROR(__xludf.DUMMYFUNCTION("""COMPUTED_VALUE"""),"")</f>
        <v/>
      </c>
      <c r="AG1470" s="1" t="str">
        <f>IFERROR(__xludf.DUMMYFUNCTION("""COMPUTED_VALUE"""),"Shown as ""Storage Warehouse""")</f>
        <v>Shown as "Storage Warehouse"</v>
      </c>
      <c r="AH1470" s="1" t="str">
        <f>IFERROR(__xludf.DUMMYFUNCTION("""COMPUTED_VALUE"""),"PEC")</f>
        <v>PEC</v>
      </c>
      <c r="AI1470" s="2" t="str">
        <f>IFERROR(__xludf.DUMMYFUNCTION("""COMPUTED_VALUE"""),"https://reparcelasmt.loudoun.gov/pt/Datalets/Datalet.aspx?UseSearch=no&amp;mode=profileall&amp;pin=034357851000&amp;jur=107&amp;taxyr=2024")</f>
        <v>https://reparcelasmt.loudoun.gov/pt/Datalets/Datalet.aspx?UseSearch=no&amp;mode=profileall&amp;pin=034357851000&amp;jur=107&amp;taxyr=2024</v>
      </c>
      <c r="AJ1470" s="1" t="str">
        <f>IFERROR(__xludf.DUMMYFUNCTION("""COMPUTED_VALUE"""),"")</f>
        <v/>
      </c>
      <c r="AK1470" s="1" t="str">
        <f>IFERROR(__xludf.DUMMYFUNCTION("""COMPUTED_VALUE"""),"")</f>
        <v/>
      </c>
      <c r="AL1470" s="1" t="str">
        <f>IFERROR(__xludf.DUMMYFUNCTION("""COMPUTED_VALUE"""),"")</f>
        <v/>
      </c>
      <c r="AM1470" s="1" t="str">
        <f>IFERROR(__xludf.DUMMYFUNCTION("""COMPUTED_VALUE"""),"")</f>
        <v/>
      </c>
      <c r="AN1470" s="1" t="str">
        <f>IFERROR(__xludf.DUMMYFUNCTION("""COMPUTED_VALUE"""),"")</f>
        <v/>
      </c>
      <c r="AO1470" s="1" t="str">
        <f>IFERROR(__xludf.DUMMYFUNCTION("""COMPUTED_VALUE"""),"")</f>
        <v/>
      </c>
      <c r="AP1470" s="1" t="str">
        <f>IFERROR(__xludf.DUMMYFUNCTION("""COMPUTED_VALUE"""),"")</f>
        <v/>
      </c>
      <c r="AQ1470" s="1" t="str">
        <f>IFERROR(__xludf.DUMMYFUNCTION("""COMPUTED_VALUE"""),"04/10/2024")</f>
        <v>04/10/2024</v>
      </c>
      <c r="AR1470" s="1" t="str">
        <f>IFERROR(__xludf.DUMMYFUNCTION("""COMPUTED_VALUE"""),"10/17/2025")</f>
        <v>10/17/2025</v>
      </c>
    </row>
    <row r="1471">
      <c r="A1471" s="1" t="str">
        <f>IFERROR(__xludf.DUMMYFUNCTION("""COMPUTED_VALUE"""),"23005 INTERNATIONAL DR")</f>
        <v>23005 INTERNATIONAL DR</v>
      </c>
      <c r="B1471" s="1" t="str">
        <f>IFERROR(__xludf.DUMMYFUNCTION("""COMPUTED_VALUE"""),"23005 INTERNATIONAL DR")</f>
        <v>23005 INTERNATIONAL DR</v>
      </c>
      <c r="C1471" s="1" t="str">
        <f>IFERROR(__xludf.DUMMYFUNCTION("""COMPUTED_VALUE"""),"Sterling")</f>
        <v>Sterling</v>
      </c>
      <c r="D1471" s="1" t="str">
        <f>IFERROR(__xludf.DUMMYFUNCTION("""COMPUTED_VALUE"""),"VA")</f>
        <v>VA</v>
      </c>
      <c r="E1471" s="1" t="str">
        <f>IFERROR(__xludf.DUMMYFUNCTION("""COMPUTED_VALUE"""),"20166")</f>
        <v>20166</v>
      </c>
      <c r="F1471" s="1" t="str">
        <f>IFERROR(__xludf.DUMMYFUNCTION("""COMPUTED_VALUE"""),"Loudoun")</f>
        <v>Loudoun</v>
      </c>
      <c r="G1471" s="1" t="str">
        <f>IFERROR(__xludf.DUMMYFUNCTION("""COMPUTED_VALUE"""),"38.98")</f>
        <v>38.98</v>
      </c>
      <c r="H1471" s="1" t="str">
        <f>IFERROR(__xludf.DUMMYFUNCTION("""COMPUTED_VALUE"""),"-77.42562")</f>
        <v>-77.42562</v>
      </c>
      <c r="I1471" s="1" t="str">
        <f>IFERROR(__xludf.DUMMYFUNCTION("""COMPUTED_VALUE"""),"Operating")</f>
        <v>Operating</v>
      </c>
      <c r="J1471" s="1" t="str">
        <f>IFERROR(__xludf.DUMMYFUNCTION("""COMPUTED_VALUE"""),"High")</f>
        <v>High</v>
      </c>
      <c r="K1471" s="1" t="str">
        <f>IFERROR(__xludf.DUMMYFUNCTION("""COMPUTED_VALUE"""),"")</f>
        <v/>
      </c>
      <c r="L1471" s="1" t="str">
        <f>IFERROR(__xludf.DUMMYFUNCTION("""COMPUTED_VALUE"""),"DULLES NCP II LLC")</f>
        <v>DULLES NCP II LLC</v>
      </c>
      <c r="M1471" s="1" t="str">
        <f>IFERROR(__xludf.DUMMYFUNCTION("""COMPUTED_VALUE"""),"")</f>
        <v/>
      </c>
      <c r="N1471" s="1" t="str">
        <f>IFERROR(__xludf.DUMMYFUNCTION("""COMPUTED_VALUE"""),"")</f>
        <v/>
      </c>
      <c r="O1471" s="1" t="str">
        <f>IFERROR(__xludf.DUMMYFUNCTION("""COMPUTED_VALUE"""),"Unknown")</f>
        <v>Unknown</v>
      </c>
      <c r="P1471" s="1" t="str">
        <f>IFERROR(__xludf.DUMMYFUNCTION("""COMPUTED_VALUE"""),"")</f>
        <v/>
      </c>
      <c r="Q1471" s="1" t="str">
        <f>IFERROR(__xludf.DUMMYFUNCTION("""COMPUTED_VALUE"""),"")</f>
        <v/>
      </c>
      <c r="R1471" s="1" t="str">
        <f>IFERROR(__xludf.DUMMYFUNCTION("""COMPUTED_VALUE"""),"")</f>
        <v/>
      </c>
      <c r="S1471" s="1" t="str">
        <f>IFERROR(__xludf.DUMMYFUNCTION("""COMPUTED_VALUE"""),"")</f>
        <v/>
      </c>
      <c r="T1471" s="1" t="str">
        <f>IFERROR(__xludf.DUMMYFUNCTION("""COMPUTED_VALUE"""),"")</f>
        <v/>
      </c>
      <c r="U1471" s="1" t="str">
        <f>IFERROR(__xludf.DUMMYFUNCTION("""COMPUTED_VALUE"""),"")</f>
        <v/>
      </c>
      <c r="V1471" s="1" t="str">
        <f>IFERROR(__xludf.DUMMYFUNCTION("""COMPUTED_VALUE"""),"169,960")</f>
        <v>169,960</v>
      </c>
      <c r="W1471" s="1" t="str">
        <f>IFERROR(__xludf.DUMMYFUNCTION("""COMPUTED_VALUE"""),"8")</f>
        <v>8</v>
      </c>
      <c r="X1471" s="1" t="str">
        <f>IFERROR(__xludf.DUMMYFUNCTION("""COMPUTED_VALUE"""),"")</f>
        <v/>
      </c>
      <c r="Y1471" s="1" t="str">
        <f>IFERROR(__xludf.DUMMYFUNCTION("""COMPUTED_VALUE"""),"")</f>
        <v/>
      </c>
      <c r="Z1471" s="1" t="str">
        <f>IFERROR(__xludf.DUMMYFUNCTION("""COMPUTED_VALUE"""),"Unknown")</f>
        <v>Unknown</v>
      </c>
      <c r="AA1471" s="1" t="str">
        <f>IFERROR(__xludf.DUMMYFUNCTION("""COMPUTED_VALUE"""),"")</f>
        <v/>
      </c>
      <c r="AB1471" s="1" t="str">
        <f>IFERROR(__xludf.DUMMYFUNCTION("""COMPUTED_VALUE"""),"")</f>
        <v/>
      </c>
      <c r="AC1471" s="1" t="str">
        <f>IFERROR(__xludf.DUMMYFUNCTION("""COMPUTED_VALUE"""),"")</f>
        <v/>
      </c>
      <c r="AD1471" s="1" t="str">
        <f>IFERROR(__xludf.DUMMYFUNCTION("""COMPUTED_VALUE"""),"")</f>
        <v/>
      </c>
      <c r="AE1471" s="1" t="str">
        <f>IFERROR(__xludf.DUMMYFUNCTION("""COMPUTED_VALUE"""),"")</f>
        <v/>
      </c>
      <c r="AF1471" s="1" t="str">
        <f>IFERROR(__xludf.DUMMYFUNCTION("""COMPUTED_VALUE"""),"")</f>
        <v/>
      </c>
      <c r="AG1471" s="1" t="str">
        <f>IFERROR(__xludf.DUMMYFUNCTION("""COMPUTED_VALUE"""),"Shown as ""Storage Warehouse""")</f>
        <v>Shown as "Storage Warehouse"</v>
      </c>
      <c r="AH1471" s="1" t="str">
        <f>IFERROR(__xludf.DUMMYFUNCTION("""COMPUTED_VALUE"""),"PEC")</f>
        <v>PEC</v>
      </c>
      <c r="AI1471" s="2" t="str">
        <f>IFERROR(__xludf.DUMMYFUNCTION("""COMPUTED_VALUE"""),"https://reparcelasmt.loudoun.gov/pt/datalets/datalet.aspx?mode=profileall&amp;UseSearch=no&amp;pin=034263373000&amp;jur=107&amp;taxyr=2024&amp;LMparent=20")</f>
        <v>https://reparcelasmt.loudoun.gov/pt/datalets/datalet.aspx?mode=profileall&amp;UseSearch=no&amp;pin=034263373000&amp;jur=107&amp;taxyr=2024&amp;LMparent=20</v>
      </c>
      <c r="AJ1471" s="1" t="str">
        <f>IFERROR(__xludf.DUMMYFUNCTION("""COMPUTED_VALUE"""),"")</f>
        <v/>
      </c>
      <c r="AK1471" s="1" t="str">
        <f>IFERROR(__xludf.DUMMYFUNCTION("""COMPUTED_VALUE"""),"")</f>
        <v/>
      </c>
      <c r="AL1471" s="1" t="str">
        <f>IFERROR(__xludf.DUMMYFUNCTION("""COMPUTED_VALUE"""),"")</f>
        <v/>
      </c>
      <c r="AM1471" s="1" t="str">
        <f>IFERROR(__xludf.DUMMYFUNCTION("""COMPUTED_VALUE"""),"")</f>
        <v/>
      </c>
      <c r="AN1471" s="1" t="str">
        <f>IFERROR(__xludf.DUMMYFUNCTION("""COMPUTED_VALUE"""),"")</f>
        <v/>
      </c>
      <c r="AO1471" s="1" t="str">
        <f>IFERROR(__xludf.DUMMYFUNCTION("""COMPUTED_VALUE"""),"")</f>
        <v/>
      </c>
      <c r="AP1471" s="1" t="str">
        <f>IFERROR(__xludf.DUMMYFUNCTION("""COMPUTED_VALUE"""),"")</f>
        <v/>
      </c>
      <c r="AQ1471" s="1" t="str">
        <f>IFERROR(__xludf.DUMMYFUNCTION("""COMPUTED_VALUE"""),"04/10/2024")</f>
        <v>04/10/2024</v>
      </c>
      <c r="AR1471" s="1" t="str">
        <f>IFERROR(__xludf.DUMMYFUNCTION("""COMPUTED_VALUE"""),"10/17/2025")</f>
        <v>10/17/2025</v>
      </c>
    </row>
    <row r="1472">
      <c r="A1472" s="1" t="str">
        <f>IFERROR(__xludf.DUMMYFUNCTION("""COMPUTED_VALUE"""),"45845 NOKES BLVD")</f>
        <v>45845 NOKES BLVD</v>
      </c>
      <c r="B1472" s="1" t="str">
        <f>IFERROR(__xludf.DUMMYFUNCTION("""COMPUTED_VALUE"""),"45845 NOKES BLVD")</f>
        <v>45845 NOKES BLVD</v>
      </c>
      <c r="C1472" s="1" t="str">
        <f>IFERROR(__xludf.DUMMYFUNCTION("""COMPUTED_VALUE"""),"Sterling")</f>
        <v>Sterling</v>
      </c>
      <c r="D1472" s="1" t="str">
        <f>IFERROR(__xludf.DUMMYFUNCTION("""COMPUTED_VALUE"""),"VA")</f>
        <v>VA</v>
      </c>
      <c r="E1472" s="1" t="str">
        <f>IFERROR(__xludf.DUMMYFUNCTION("""COMPUTED_VALUE"""),"20166")</f>
        <v>20166</v>
      </c>
      <c r="F1472" s="1" t="str">
        <f>IFERROR(__xludf.DUMMYFUNCTION("""COMPUTED_VALUE"""),"Loudoun")</f>
        <v>Loudoun</v>
      </c>
      <c r="G1472" s="1" t="str">
        <f>IFERROR(__xludf.DUMMYFUNCTION("""COMPUTED_VALUE"""),"39.02387")</f>
        <v>39.02387</v>
      </c>
      <c r="H1472" s="1" t="str">
        <f>IFERROR(__xludf.DUMMYFUNCTION("""COMPUTED_VALUE"""),"-77.41527")</f>
        <v>-77.41527</v>
      </c>
      <c r="I1472" s="1" t="str">
        <f>IFERROR(__xludf.DUMMYFUNCTION("""COMPUTED_VALUE"""),"Operating")</f>
        <v>Operating</v>
      </c>
      <c r="J1472" s="1" t="str">
        <f>IFERROR(__xludf.DUMMYFUNCTION("""COMPUTED_VALUE"""),"High")</f>
        <v>High</v>
      </c>
      <c r="K1472" s="1" t="str">
        <f>IFERROR(__xludf.DUMMYFUNCTION("""COMPUTED_VALUE"""),"")</f>
        <v/>
      </c>
      <c r="L1472" s="1" t="str">
        <f>IFERROR(__xludf.DUMMYFUNCTION("""COMPUTED_VALUE"""),"MEDINA DC 2 ASSETS LLC")</f>
        <v>MEDINA DC 2 ASSETS LLC</v>
      </c>
      <c r="M1472" s="1" t="str">
        <f>IFERROR(__xludf.DUMMYFUNCTION("""COMPUTED_VALUE"""),"")</f>
        <v/>
      </c>
      <c r="N1472" s="1" t="str">
        <f>IFERROR(__xludf.DUMMYFUNCTION("""COMPUTED_VALUE"""),"")</f>
        <v/>
      </c>
      <c r="O1472" s="1" t="str">
        <f>IFERROR(__xludf.DUMMYFUNCTION("""COMPUTED_VALUE"""),"Unknown")</f>
        <v>Unknown</v>
      </c>
      <c r="P1472" s="1" t="str">
        <f>IFERROR(__xludf.DUMMYFUNCTION("""COMPUTED_VALUE"""),"")</f>
        <v/>
      </c>
      <c r="Q1472" s="1" t="str">
        <f>IFERROR(__xludf.DUMMYFUNCTION("""COMPUTED_VALUE"""),"")</f>
        <v/>
      </c>
      <c r="R1472" s="1" t="str">
        <f>IFERROR(__xludf.DUMMYFUNCTION("""COMPUTED_VALUE"""),"")</f>
        <v/>
      </c>
      <c r="S1472" s="1" t="str">
        <f>IFERROR(__xludf.DUMMYFUNCTION("""COMPUTED_VALUE"""),"")</f>
        <v/>
      </c>
      <c r="T1472" s="1" t="str">
        <f>IFERROR(__xludf.DUMMYFUNCTION("""COMPUTED_VALUE"""),"")</f>
        <v/>
      </c>
      <c r="U1472" s="1" t="str">
        <f>IFERROR(__xludf.DUMMYFUNCTION("""COMPUTED_VALUE"""),"")</f>
        <v/>
      </c>
      <c r="V1472" s="1" t="str">
        <f>IFERROR(__xludf.DUMMYFUNCTION("""COMPUTED_VALUE"""),"79,300")</f>
        <v>79,300</v>
      </c>
      <c r="W1472" s="1" t="str">
        <f>IFERROR(__xludf.DUMMYFUNCTION("""COMPUTED_VALUE"""),"6")</f>
        <v>6</v>
      </c>
      <c r="X1472" s="1" t="str">
        <f>IFERROR(__xludf.DUMMYFUNCTION("""COMPUTED_VALUE"""),"")</f>
        <v/>
      </c>
      <c r="Y1472" s="1" t="str">
        <f>IFERROR(__xludf.DUMMYFUNCTION("""COMPUTED_VALUE"""),"")</f>
        <v/>
      </c>
      <c r="Z1472" s="1" t="str">
        <f>IFERROR(__xludf.DUMMYFUNCTION("""COMPUTED_VALUE"""),"Unknown")</f>
        <v>Unknown</v>
      </c>
      <c r="AA1472" s="1" t="str">
        <f>IFERROR(__xludf.DUMMYFUNCTION("""COMPUTED_VALUE"""),"")</f>
        <v/>
      </c>
      <c r="AB1472" s="1" t="str">
        <f>IFERROR(__xludf.DUMMYFUNCTION("""COMPUTED_VALUE"""),"")</f>
        <v/>
      </c>
      <c r="AC1472" s="1" t="str">
        <f>IFERROR(__xludf.DUMMYFUNCTION("""COMPUTED_VALUE"""),"")</f>
        <v/>
      </c>
      <c r="AD1472" s="1" t="str">
        <f>IFERROR(__xludf.DUMMYFUNCTION("""COMPUTED_VALUE"""),"")</f>
        <v/>
      </c>
      <c r="AE1472" s="1" t="str">
        <f>IFERROR(__xludf.DUMMYFUNCTION("""COMPUTED_VALUE"""),"")</f>
        <v/>
      </c>
      <c r="AF1472" s="1" t="str">
        <f>IFERROR(__xludf.DUMMYFUNCTION("""COMPUTED_VALUE"""),"")</f>
        <v/>
      </c>
      <c r="AG1472" s="1" t="str">
        <f>IFERROR(__xludf.DUMMYFUNCTION("""COMPUTED_VALUE"""),"Shown as ""Storage Warehouse""")</f>
        <v>Shown as "Storage Warehouse"</v>
      </c>
      <c r="AH1472" s="1" t="str">
        <f>IFERROR(__xludf.DUMMYFUNCTION("""COMPUTED_VALUE"""),"PEC")</f>
        <v>PEC</v>
      </c>
      <c r="AI1472" s="2" t="str">
        <f>IFERROR(__xludf.DUMMYFUNCTION("""COMPUTED_VALUE"""),"https://cloudandcolocation.com/datacenters/cyxtera-sterling-data-center-iad1-b/")</f>
        <v>https://cloudandcolocation.com/datacenters/cyxtera-sterling-data-center-iad1-b/</v>
      </c>
      <c r="AJ1472" s="2" t="str">
        <f>IFERROR(__xludf.DUMMYFUNCTION("""COMPUTED_VALUE"""),"https://reparcelasmt.loudoun.gov/pt/Datalets/Datalet.aspx?UseSearch=no&amp;mode=profileall&amp;pin=030391106000&amp;jur=107&amp;taxyr=2024")</f>
        <v>https://reparcelasmt.loudoun.gov/pt/Datalets/Datalet.aspx?UseSearch=no&amp;mode=profileall&amp;pin=030391106000&amp;jur=107&amp;taxyr=2024</v>
      </c>
      <c r="AK1472" s="1" t="str">
        <f>IFERROR(__xludf.DUMMYFUNCTION("""COMPUTED_VALUE"""),"")</f>
        <v/>
      </c>
      <c r="AL1472" s="1" t="str">
        <f>IFERROR(__xludf.DUMMYFUNCTION("""COMPUTED_VALUE"""),"")</f>
        <v/>
      </c>
      <c r="AM1472" s="1" t="str">
        <f>IFERROR(__xludf.DUMMYFUNCTION("""COMPUTED_VALUE"""),"")</f>
        <v/>
      </c>
      <c r="AN1472" s="1" t="str">
        <f>IFERROR(__xludf.DUMMYFUNCTION("""COMPUTED_VALUE"""),"")</f>
        <v/>
      </c>
      <c r="AO1472" s="1" t="str">
        <f>IFERROR(__xludf.DUMMYFUNCTION("""COMPUTED_VALUE"""),"")</f>
        <v/>
      </c>
      <c r="AP1472" s="1" t="str">
        <f>IFERROR(__xludf.DUMMYFUNCTION("""COMPUTED_VALUE"""),"")</f>
        <v/>
      </c>
      <c r="AQ1472" s="1" t="str">
        <f>IFERROR(__xludf.DUMMYFUNCTION("""COMPUTED_VALUE"""),"04/10/2024")</f>
        <v>04/10/2024</v>
      </c>
      <c r="AR1472" s="1" t="str">
        <f>IFERROR(__xludf.DUMMYFUNCTION("""COMPUTED_VALUE"""),"10/17/2025")</f>
        <v>10/17/2025</v>
      </c>
    </row>
    <row r="1473">
      <c r="A1473" s="1" t="str">
        <f>IFERROR(__xludf.DUMMYFUNCTION("""COMPUTED_VALUE"""),"Aligned: IAD03")</f>
        <v>Aligned: IAD03</v>
      </c>
      <c r="B1473" s="1" t="str">
        <f>IFERROR(__xludf.DUMMYFUNCTION("""COMPUTED_VALUE"""),"22715 Relocation Dr")</f>
        <v>22715 Relocation Dr</v>
      </c>
      <c r="C1473" s="1" t="str">
        <f>IFERROR(__xludf.DUMMYFUNCTION("""COMPUTED_VALUE"""),"Sterling")</f>
        <v>Sterling</v>
      </c>
      <c r="D1473" s="1" t="str">
        <f>IFERROR(__xludf.DUMMYFUNCTION("""COMPUTED_VALUE"""),"VA")</f>
        <v>VA</v>
      </c>
      <c r="E1473" s="1" t="str">
        <f>IFERROR(__xludf.DUMMYFUNCTION("""COMPUTED_VALUE"""),"20166")</f>
        <v>20166</v>
      </c>
      <c r="F1473" s="1" t="str">
        <f>IFERROR(__xludf.DUMMYFUNCTION("""COMPUTED_VALUE"""),"Loudoun")</f>
        <v>Loudoun</v>
      </c>
      <c r="G1473" s="1" t="str">
        <f>IFERROR(__xludf.DUMMYFUNCTION("""COMPUTED_VALUE"""),"38.98857")</f>
        <v>38.98857</v>
      </c>
      <c r="H1473" s="1" t="str">
        <f>IFERROR(__xludf.DUMMYFUNCTION("""COMPUTED_VALUE"""),"-77.4409")</f>
        <v>-77.4409</v>
      </c>
      <c r="I1473" s="1" t="str">
        <f>IFERROR(__xludf.DUMMYFUNCTION("""COMPUTED_VALUE"""),"Operating")</f>
        <v>Operating</v>
      </c>
      <c r="J1473" s="1" t="str">
        <f>IFERROR(__xludf.DUMMYFUNCTION("""COMPUTED_VALUE"""),"High")</f>
        <v>High</v>
      </c>
      <c r="K1473" s="1" t="str">
        <f>IFERROR(__xludf.DUMMYFUNCTION("""COMPUTED_VALUE"""),"")</f>
        <v/>
      </c>
      <c r="L1473" s="1" t="str">
        <f>IFERROR(__xludf.DUMMYFUNCTION("""COMPUTED_VALUE"""),"Vantage Data Centers VA2 LLC; Ryan Dorsett")</f>
        <v>Vantage Data Centers VA2 LLC; Ryan Dorsett</v>
      </c>
      <c r="M1473" s="1" t="str">
        <f>IFERROR(__xludf.DUMMYFUNCTION("""COMPUTED_VALUE"""),"")</f>
        <v/>
      </c>
      <c r="N1473" s="1" t="str">
        <f>IFERROR(__xludf.DUMMYFUNCTION("""COMPUTED_VALUE"""),"72")</f>
        <v>72</v>
      </c>
      <c r="O1473" s="1" t="str">
        <f>IFERROR(__xludf.DUMMYFUNCTION("""COMPUTED_VALUE"""),"Large (51-99 MW)")</f>
        <v>Large (51-99 MW)</v>
      </c>
      <c r="P1473" s="1" t="str">
        <f>IFERROR(__xludf.DUMMYFUNCTION("""COMPUTED_VALUE"""),"")</f>
        <v/>
      </c>
      <c r="Q1473" s="1" t="str">
        <f>IFERROR(__xludf.DUMMYFUNCTION("""COMPUTED_VALUE"""),"")</f>
        <v/>
      </c>
      <c r="R1473" s="1" t="str">
        <f>IFERROR(__xludf.DUMMYFUNCTION("""COMPUTED_VALUE"""),"")</f>
        <v/>
      </c>
      <c r="S1473" s="1" t="str">
        <f>IFERROR(__xludf.DUMMYFUNCTION("""COMPUTED_VALUE"""),"")</f>
        <v/>
      </c>
      <c r="T1473" s="1" t="str">
        <f>IFERROR(__xludf.DUMMYFUNCTION("""COMPUTED_VALUE"""),"")</f>
        <v/>
      </c>
      <c r="U1473" s="1" t="str">
        <f>IFERROR(__xludf.DUMMYFUNCTION("""COMPUTED_VALUE"""),"")</f>
        <v/>
      </c>
      <c r="V1473" s="1" t="str">
        <f>IFERROR(__xludf.DUMMYFUNCTION("""COMPUTED_VALUE"""),"430,000")</f>
        <v>430,000</v>
      </c>
      <c r="W1473" s="1" t="str">
        <f>IFERROR(__xludf.DUMMYFUNCTION("""COMPUTED_VALUE"""),"10")</f>
        <v>10</v>
      </c>
      <c r="X1473" s="1" t="str">
        <f>IFERROR(__xludf.DUMMYFUNCTION("""COMPUTED_VALUE"""),"")</f>
        <v/>
      </c>
      <c r="Y1473" s="1" t="str">
        <f>IFERROR(__xludf.DUMMYFUNCTION("""COMPUTED_VALUE"""),"")</f>
        <v/>
      </c>
      <c r="Z1473" s="1" t="str">
        <f>IFERROR(__xludf.DUMMYFUNCTION("""COMPUTED_VALUE"""),"Unknown")</f>
        <v>Unknown</v>
      </c>
      <c r="AA1473" s="1" t="str">
        <f>IFERROR(__xludf.DUMMYFUNCTION("""COMPUTED_VALUE"""),"")</f>
        <v/>
      </c>
      <c r="AB1473" s="1" t="str">
        <f>IFERROR(__xludf.DUMMYFUNCTION("""COMPUTED_VALUE"""),"")</f>
        <v/>
      </c>
      <c r="AC1473" s="1" t="str">
        <f>IFERROR(__xludf.DUMMYFUNCTION("""COMPUTED_VALUE"""),"")</f>
        <v/>
      </c>
      <c r="AD1473" s="1" t="str">
        <f>IFERROR(__xludf.DUMMYFUNCTION("""COMPUTED_VALUE"""),"")</f>
        <v/>
      </c>
      <c r="AE1473" s="1" t="str">
        <f>IFERROR(__xludf.DUMMYFUNCTION("""COMPUTED_VALUE"""),"")</f>
        <v/>
      </c>
      <c r="AF1473" s="1" t="str">
        <f>IFERROR(__xludf.DUMMYFUNCTION("""COMPUTED_VALUE"""),"")</f>
        <v/>
      </c>
      <c r="AG1473" s="1" t="str">
        <f>IFERROR(__xludf.DUMMYFUNCTION("""COMPUTED_VALUE"""),"Computer Center. Traffic study references ""453,377 sq ft of data center"", but building appears complete")</f>
        <v>Computer Center. Traffic study references "453,377 sq ft of data center", but building appears complete</v>
      </c>
      <c r="AH1473" s="1" t="str">
        <f>IFERROR(__xludf.DUMMYFUNCTION("""COMPUTED_VALUE"""),"Media Monitoring")</f>
        <v>Media Monitoring</v>
      </c>
      <c r="AI1473" s="2" t="str">
        <f>IFERROR(__xludf.DUMMYFUNCTION("""COMPUTED_VALUE"""),"https://www.datacenterdynamics.com/en/news/aligned-files-to-extend-second-sterling-campus-in-virginia/")</f>
        <v>https://www.datacenterdynamics.com/en/news/aligned-files-to-extend-second-sterling-campus-in-virginia/</v>
      </c>
      <c r="AJ1473" s="2" t="str">
        <f>IFERROR(__xludf.DUMMYFUNCTION("""COMPUTED_VALUE"""),"https://loudouncountyvaeg.tylerhost.net/prod/selfservice#/plan/1EA54DC9-FFF0-40F8-AF9A-F9F78538C9FA?tab=locations")</f>
        <v>https://loudouncountyvaeg.tylerhost.net/prod/selfservice#/plan/1EA54DC9-FFF0-40F8-AF9A-F9F78538C9FA?tab=locations</v>
      </c>
      <c r="AK1473" s="2" t="str">
        <f>IFERROR(__xludf.DUMMYFUNCTION("""COMPUTED_VALUE"""),"https://reparcelasmt.loudoun.gov/pt/Datalets/Datalet.aspx?UseSearch=no&amp;mode=profileall&amp;pin=045279612000&amp;jur=107&amp;taxyr=2024")</f>
        <v>https://reparcelasmt.loudoun.gov/pt/Datalets/Datalet.aspx?UseSearch=no&amp;mode=profileall&amp;pin=045279612000&amp;jur=107&amp;taxyr=2024</v>
      </c>
      <c r="AL1473" s="1" t="str">
        <f>IFERROR(__xludf.DUMMYFUNCTION("""COMPUTED_VALUE"""),"")</f>
        <v/>
      </c>
      <c r="AM1473" s="1" t="str">
        <f>IFERROR(__xludf.DUMMYFUNCTION("""COMPUTED_VALUE"""),"")</f>
        <v/>
      </c>
      <c r="AN1473" s="1" t="str">
        <f>IFERROR(__xludf.DUMMYFUNCTION("""COMPUTED_VALUE"""),"")</f>
        <v/>
      </c>
      <c r="AO1473" s="1" t="str">
        <f>IFERROR(__xludf.DUMMYFUNCTION("""COMPUTED_VALUE"""),"")</f>
        <v/>
      </c>
      <c r="AP1473" s="1" t="str">
        <f>IFERROR(__xludf.DUMMYFUNCTION("""COMPUTED_VALUE"""),"")</f>
        <v/>
      </c>
      <c r="AQ1473" s="1" t="str">
        <f>IFERROR(__xludf.DUMMYFUNCTION("""COMPUTED_VALUE"""),"06/19/2025")</f>
        <v>06/19/2025</v>
      </c>
      <c r="AR1473" s="1" t="str">
        <f>IFERROR(__xludf.DUMMYFUNCTION("""COMPUTED_VALUE"""),"06/19/2025")</f>
        <v>06/19/2025</v>
      </c>
    </row>
    <row r="1474">
      <c r="A1474" s="1" t="str">
        <f>IFERROR(__xludf.DUMMYFUNCTION("""COMPUTED_VALUE"""),"AWS: IAD58")</f>
        <v>AWS: IAD58</v>
      </c>
      <c r="B1474" s="1" t="str">
        <f>IFERROR(__xludf.DUMMYFUNCTION("""COMPUTED_VALUE"""),"22745 Relocation Dr")</f>
        <v>22745 Relocation Dr</v>
      </c>
      <c r="C1474" s="1" t="str">
        <f>IFERROR(__xludf.DUMMYFUNCTION("""COMPUTED_VALUE"""),"Sterling")</f>
        <v>Sterling</v>
      </c>
      <c r="D1474" s="1" t="str">
        <f>IFERROR(__xludf.DUMMYFUNCTION("""COMPUTED_VALUE"""),"VA")</f>
        <v>VA</v>
      </c>
      <c r="E1474" s="1" t="str">
        <f>IFERROR(__xludf.DUMMYFUNCTION("""COMPUTED_VALUE"""),"20166")</f>
        <v>20166</v>
      </c>
      <c r="F1474" s="1" t="str">
        <f>IFERROR(__xludf.DUMMYFUNCTION("""COMPUTED_VALUE"""),"Loudoun")</f>
        <v>Loudoun</v>
      </c>
      <c r="G1474" s="1" t="str">
        <f>IFERROR(__xludf.DUMMYFUNCTION("""COMPUTED_VALUE"""),"38.98633")</f>
        <v>38.98633</v>
      </c>
      <c r="H1474" s="1" t="str">
        <f>IFERROR(__xludf.DUMMYFUNCTION("""COMPUTED_VALUE"""),"-77.4419")</f>
        <v>-77.4419</v>
      </c>
      <c r="I1474" s="1" t="str">
        <f>IFERROR(__xludf.DUMMYFUNCTION("""COMPUTED_VALUE"""),"Operating")</f>
        <v>Operating</v>
      </c>
      <c r="J1474" s="1" t="str">
        <f>IFERROR(__xludf.DUMMYFUNCTION("""COMPUTED_VALUE"""),"High")</f>
        <v>High</v>
      </c>
      <c r="K1474" s="1" t="str">
        <f>IFERROR(__xludf.DUMMYFUNCTION("""COMPUTED_VALUE"""),"")</f>
        <v/>
      </c>
      <c r="L1474" s="1" t="str">
        <f>IFERROR(__xludf.DUMMYFUNCTION("""COMPUTED_VALUE"""),"")</f>
        <v/>
      </c>
      <c r="M1474" s="1" t="str">
        <f>IFERROR(__xludf.DUMMYFUNCTION("""COMPUTED_VALUE"""),"")</f>
        <v/>
      </c>
      <c r="N1474" s="1" t="str">
        <f>IFERROR(__xludf.DUMMYFUNCTION("""COMPUTED_VALUE"""),"")</f>
        <v/>
      </c>
      <c r="O1474" s="1" t="str">
        <f>IFERROR(__xludf.DUMMYFUNCTION("""COMPUTED_VALUE"""),"Unknown")</f>
        <v>Unknown</v>
      </c>
      <c r="P1474" s="1" t="str">
        <f>IFERROR(__xludf.DUMMYFUNCTION("""COMPUTED_VALUE"""),"")</f>
        <v/>
      </c>
      <c r="Q1474" s="1" t="str">
        <f>IFERROR(__xludf.DUMMYFUNCTION("""COMPUTED_VALUE"""),"")</f>
        <v/>
      </c>
      <c r="R1474" s="1" t="str">
        <f>IFERROR(__xludf.DUMMYFUNCTION("""COMPUTED_VALUE"""),"")</f>
        <v/>
      </c>
      <c r="S1474" s="1" t="str">
        <f>IFERROR(__xludf.DUMMYFUNCTION("""COMPUTED_VALUE"""),"")</f>
        <v/>
      </c>
      <c r="T1474" s="1" t="str">
        <f>IFERROR(__xludf.DUMMYFUNCTION("""COMPUTED_VALUE"""),"")</f>
        <v/>
      </c>
      <c r="U1474" s="1" t="str">
        <f>IFERROR(__xludf.DUMMYFUNCTION("""COMPUTED_VALUE"""),"")</f>
        <v/>
      </c>
      <c r="V1474" s="1" t="str">
        <f>IFERROR(__xludf.DUMMYFUNCTION("""COMPUTED_VALUE"""),"251,091")</f>
        <v>251,091</v>
      </c>
      <c r="W1474" s="1" t="str">
        <f>IFERROR(__xludf.DUMMYFUNCTION("""COMPUTED_VALUE"""),"17")</f>
        <v>17</v>
      </c>
      <c r="X1474" s="1" t="str">
        <f>IFERROR(__xludf.DUMMYFUNCTION("""COMPUTED_VALUE"""),"")</f>
        <v/>
      </c>
      <c r="Y1474" s="1" t="str">
        <f>IFERROR(__xludf.DUMMYFUNCTION("""COMPUTED_VALUE"""),"")</f>
        <v/>
      </c>
      <c r="Z1474" s="1" t="str">
        <f>IFERROR(__xludf.DUMMYFUNCTION("""COMPUTED_VALUE"""),"Unknown")</f>
        <v>Unknown</v>
      </c>
      <c r="AA1474" s="1" t="str">
        <f>IFERROR(__xludf.DUMMYFUNCTION("""COMPUTED_VALUE"""),"")</f>
        <v/>
      </c>
      <c r="AB1474" s="1" t="str">
        <f>IFERROR(__xludf.DUMMYFUNCTION("""COMPUTED_VALUE"""),"")</f>
        <v/>
      </c>
      <c r="AC1474" s="1" t="str">
        <f>IFERROR(__xludf.DUMMYFUNCTION("""COMPUTED_VALUE"""),"")</f>
        <v/>
      </c>
      <c r="AD1474" s="1" t="str">
        <f>IFERROR(__xludf.DUMMYFUNCTION("""COMPUTED_VALUE"""),"")</f>
        <v/>
      </c>
      <c r="AE1474" s="1" t="str">
        <f>IFERROR(__xludf.DUMMYFUNCTION("""COMPUTED_VALUE"""),"")</f>
        <v/>
      </c>
      <c r="AF1474" s="1" t="str">
        <f>IFERROR(__xludf.DUMMYFUNCTION("""COMPUTED_VALUE"""),"")</f>
        <v/>
      </c>
      <c r="AG1474" s="1" t="str">
        <f>IFERROR(__xludf.DUMMYFUNCTION("""COMPUTED_VALUE"""),"Shown as ""Storage Warehouse""")</f>
        <v>Shown as "Storage Warehouse"</v>
      </c>
      <c r="AH1474" s="1" t="str">
        <f>IFERROR(__xludf.DUMMYFUNCTION("""COMPUTED_VALUE"""),"Media Monitoring")</f>
        <v>Media Monitoring</v>
      </c>
      <c r="AI1474" s="2" t="str">
        <f>IFERROR(__xludf.DUMMYFUNCTION("""COMPUTED_VALUE"""),"https://www.datacenterdynamics.com/en/news/aligned-files-to-extend-second-sterling-campus-in-virginia/")</f>
        <v>https://www.datacenterdynamics.com/en/news/aligned-files-to-extend-second-sterling-campus-in-virginia/</v>
      </c>
      <c r="AJ1474" s="2" t="str">
        <f>IFERROR(__xludf.DUMMYFUNCTION("""COMPUTED_VALUE"""),"https://reparcelasmt.loudoun.gov/pt/datalets/datalet.aspx?mode=profileall&amp;UseSearch=no&amp;pin=045175529000&amp;jur=107&amp;taxyr=2024&amp;LMparent=20")</f>
        <v>https://reparcelasmt.loudoun.gov/pt/datalets/datalet.aspx?mode=profileall&amp;UseSearch=no&amp;pin=045175529000&amp;jur=107&amp;taxyr=2024&amp;LMparent=20</v>
      </c>
      <c r="AK1474" s="1" t="str">
        <f>IFERROR(__xludf.DUMMYFUNCTION("""COMPUTED_VALUE"""),"")</f>
        <v/>
      </c>
      <c r="AL1474" s="1" t="str">
        <f>IFERROR(__xludf.DUMMYFUNCTION("""COMPUTED_VALUE"""),"")</f>
        <v/>
      </c>
      <c r="AM1474" s="1" t="str">
        <f>IFERROR(__xludf.DUMMYFUNCTION("""COMPUTED_VALUE"""),"")</f>
        <v/>
      </c>
      <c r="AN1474" s="1" t="str">
        <f>IFERROR(__xludf.DUMMYFUNCTION("""COMPUTED_VALUE"""),"")</f>
        <v/>
      </c>
      <c r="AO1474" s="1" t="str">
        <f>IFERROR(__xludf.DUMMYFUNCTION("""COMPUTED_VALUE"""),"")</f>
        <v/>
      </c>
      <c r="AP1474" s="1" t="str">
        <f>IFERROR(__xludf.DUMMYFUNCTION("""COMPUTED_VALUE"""),"")</f>
        <v/>
      </c>
      <c r="AQ1474" s="1" t="str">
        <f>IFERROR(__xludf.DUMMYFUNCTION("""COMPUTED_VALUE"""),"06/19/2025")</f>
        <v>06/19/2025</v>
      </c>
      <c r="AR1474" s="1" t="str">
        <f>IFERROR(__xludf.DUMMYFUNCTION("""COMPUTED_VALUE"""),"06/19/2025")</f>
        <v>06/19/2025</v>
      </c>
    </row>
    <row r="1475">
      <c r="A1475" s="1" t="str">
        <f>IFERROR(__xludf.DUMMYFUNCTION("""COMPUTED_VALUE"""),"C1 NORTHERN VA - STERLING I-III")</f>
        <v>C1 NORTHERN VA - STERLING I-III</v>
      </c>
      <c r="B1475" s="1" t="str">
        <f>IFERROR(__xludf.DUMMYFUNCTION("""COMPUTED_VALUE"""),"21111 Ridgetop")</f>
        <v>21111 Ridgetop</v>
      </c>
      <c r="C1475" s="1" t="str">
        <f>IFERROR(__xludf.DUMMYFUNCTION("""COMPUTED_VALUE"""),"Sterling")</f>
        <v>Sterling</v>
      </c>
      <c r="D1475" s="1" t="str">
        <f>IFERROR(__xludf.DUMMYFUNCTION("""COMPUTED_VALUE"""),"VA")</f>
        <v>VA</v>
      </c>
      <c r="E1475" s="1" t="str">
        <f>IFERROR(__xludf.DUMMYFUNCTION("""COMPUTED_VALUE"""),"20166")</f>
        <v>20166</v>
      </c>
      <c r="F1475" s="1" t="str">
        <f>IFERROR(__xludf.DUMMYFUNCTION("""COMPUTED_VALUE"""),"Loudoun")</f>
        <v>Loudoun</v>
      </c>
      <c r="G1475" s="1" t="str">
        <f>IFERROR(__xludf.DUMMYFUNCTION("""COMPUTED_VALUE"""),"39.026066")</f>
        <v>39.026066</v>
      </c>
      <c r="H1475" s="1" t="str">
        <f>IFERROR(__xludf.DUMMYFUNCTION("""COMPUTED_VALUE"""),"-77.414536")</f>
        <v>-77.414536</v>
      </c>
      <c r="I1475" s="1" t="str">
        <f>IFERROR(__xludf.DUMMYFUNCTION("""COMPUTED_VALUE"""),"Operating")</f>
        <v>Operating</v>
      </c>
      <c r="J1475" s="1" t="str">
        <f>IFERROR(__xludf.DUMMYFUNCTION("""COMPUTED_VALUE"""),"High")</f>
        <v>High</v>
      </c>
      <c r="K1475" s="1" t="str">
        <f>IFERROR(__xludf.DUMMYFUNCTION("""COMPUTED_VALUE"""),"")</f>
        <v/>
      </c>
      <c r="L1475" s="1" t="str">
        <f>IFERROR(__xludf.DUMMYFUNCTION("""COMPUTED_VALUE"""),"CyrusOne")</f>
        <v>CyrusOne</v>
      </c>
      <c r="M1475" s="1" t="str">
        <f>IFERROR(__xludf.DUMMYFUNCTION("""COMPUTED_VALUE"""),"")</f>
        <v/>
      </c>
      <c r="N1475" s="1" t="str">
        <f>IFERROR(__xludf.DUMMYFUNCTION("""COMPUTED_VALUE"""),"48")</f>
        <v>48</v>
      </c>
      <c r="O1475" s="1" t="str">
        <f>IFERROR(__xludf.DUMMYFUNCTION("""COMPUTED_VALUE"""),"Medium (11-50 MW)")</f>
        <v>Medium (11-50 MW)</v>
      </c>
      <c r="P1475" s="1" t="str">
        <f>IFERROR(__xludf.DUMMYFUNCTION("""COMPUTED_VALUE"""),"")</f>
        <v/>
      </c>
      <c r="Q1475" s="1" t="str">
        <f>IFERROR(__xludf.DUMMYFUNCTION("""COMPUTED_VALUE"""),"")</f>
        <v/>
      </c>
      <c r="R1475" s="1" t="str">
        <f>IFERROR(__xludf.DUMMYFUNCTION("""COMPUTED_VALUE"""),"")</f>
        <v/>
      </c>
      <c r="S1475" s="1" t="str">
        <f>IFERROR(__xludf.DUMMYFUNCTION("""COMPUTED_VALUE"""),"")</f>
        <v/>
      </c>
      <c r="T1475" s="1" t="str">
        <f>IFERROR(__xludf.DUMMYFUNCTION("""COMPUTED_VALUE"""),"")</f>
        <v/>
      </c>
      <c r="U1475" s="1" t="str">
        <f>IFERROR(__xludf.DUMMYFUNCTION("""COMPUTED_VALUE"""),"")</f>
        <v/>
      </c>
      <c r="V1475" s="1" t="str">
        <f>IFERROR(__xludf.DUMMYFUNCTION("""COMPUTED_VALUE"""),"420,000")</f>
        <v>420,000</v>
      </c>
      <c r="W1475" s="1" t="str">
        <f>IFERROR(__xludf.DUMMYFUNCTION("""COMPUTED_VALUE"""),"14")</f>
        <v>14</v>
      </c>
      <c r="X1475" s="1" t="str">
        <f>IFERROR(__xludf.DUMMYFUNCTION("""COMPUTED_VALUE"""),"")</f>
        <v/>
      </c>
      <c r="Y1475" s="1" t="str">
        <f>IFERROR(__xludf.DUMMYFUNCTION("""COMPUTED_VALUE"""),"")</f>
        <v/>
      </c>
      <c r="Z1475" s="1" t="str">
        <f>IFERROR(__xludf.DUMMYFUNCTION("""COMPUTED_VALUE"""),"Unknown")</f>
        <v>Unknown</v>
      </c>
      <c r="AA1475" s="1" t="str">
        <f>IFERROR(__xludf.DUMMYFUNCTION("""COMPUTED_VALUE"""),"")</f>
        <v/>
      </c>
      <c r="AB1475" s="1" t="str">
        <f>IFERROR(__xludf.DUMMYFUNCTION("""COMPUTED_VALUE"""),"")</f>
        <v/>
      </c>
      <c r="AC1475" s="1" t="str">
        <f>IFERROR(__xludf.DUMMYFUNCTION("""COMPUTED_VALUE"""),"")</f>
        <v/>
      </c>
      <c r="AD1475" s="1" t="str">
        <f>IFERROR(__xludf.DUMMYFUNCTION("""COMPUTED_VALUE"""),"")</f>
        <v/>
      </c>
      <c r="AE1475" s="1" t="str">
        <f>IFERROR(__xludf.DUMMYFUNCTION("""COMPUTED_VALUE"""),"")</f>
        <v/>
      </c>
      <c r="AF1475" s="1" t="str">
        <f>IFERROR(__xludf.DUMMYFUNCTION("""COMPUTED_VALUE"""),"")</f>
        <v/>
      </c>
      <c r="AG1475" s="1" t="str">
        <f>IFERROR(__xludf.DUMMYFUNCTION("""COMPUTED_VALUE"""),"Tax maps do not display square footage")</f>
        <v>Tax maps do not display square footage</v>
      </c>
      <c r="AH1475" s="1" t="str">
        <f>IFERROR(__xludf.DUMMYFUNCTION("""COMPUTED_VALUE"""),"PEC")</f>
        <v>PEC</v>
      </c>
      <c r="AI1475" s="2" t="str">
        <f>IFERROR(__xludf.DUMMYFUNCTION("""COMPUTED_VALUE"""),"https://reparcelasmt.loudoun.gov/pt/datalets/datalet.aspx?mode=profileall&amp;UseSearch=no&amp;pin=030393965001&amp;jur=107&amp;taxyr=2024&amp;LMparent=20")</f>
        <v>https://reparcelasmt.loudoun.gov/pt/datalets/datalet.aspx?mode=profileall&amp;UseSearch=no&amp;pin=030393965001&amp;jur=107&amp;taxyr=2024&amp;LMparent=20</v>
      </c>
      <c r="AJ1475" s="1" t="str">
        <f>IFERROR(__xludf.DUMMYFUNCTION("""COMPUTED_VALUE"""),"")</f>
        <v/>
      </c>
      <c r="AK1475" s="1" t="str">
        <f>IFERROR(__xludf.DUMMYFUNCTION("""COMPUTED_VALUE"""),"")</f>
        <v/>
      </c>
      <c r="AL1475" s="1" t="str">
        <f>IFERROR(__xludf.DUMMYFUNCTION("""COMPUTED_VALUE"""),"")</f>
        <v/>
      </c>
      <c r="AM1475" s="1" t="str">
        <f>IFERROR(__xludf.DUMMYFUNCTION("""COMPUTED_VALUE"""),"")</f>
        <v/>
      </c>
      <c r="AN1475" s="1" t="str">
        <f>IFERROR(__xludf.DUMMYFUNCTION("""COMPUTED_VALUE"""),"")</f>
        <v/>
      </c>
      <c r="AO1475" s="1" t="str">
        <f>IFERROR(__xludf.DUMMYFUNCTION("""COMPUTED_VALUE"""),"")</f>
        <v/>
      </c>
      <c r="AP1475" s="1" t="str">
        <f>IFERROR(__xludf.DUMMYFUNCTION("""COMPUTED_VALUE"""),"")</f>
        <v/>
      </c>
      <c r="AQ1475" s="1" t="str">
        <f>IFERROR(__xludf.DUMMYFUNCTION("""COMPUTED_VALUE"""),"04/10/2024")</f>
        <v>04/10/2024</v>
      </c>
      <c r="AR1475" s="1" t="str">
        <f>IFERROR(__xludf.DUMMYFUNCTION("""COMPUTED_VALUE"""),"10/17/2025")</f>
        <v>10/17/2025</v>
      </c>
    </row>
    <row r="1476">
      <c r="A1476" s="1" t="str">
        <f>IFERROR(__xludf.DUMMYFUNCTION("""COMPUTED_VALUE"""),"CORSCALE VA2 BLDG 1")</f>
        <v>CORSCALE VA2 BLDG 1</v>
      </c>
      <c r="B1476" s="1" t="str">
        <f>IFERROR(__xludf.DUMMYFUNCTION("""COMPUTED_VALUE"""),"45695 RUSSELL BRANCH PKWY")</f>
        <v>45695 RUSSELL BRANCH PKWY</v>
      </c>
      <c r="C1476" s="1" t="str">
        <f>IFERROR(__xludf.DUMMYFUNCTION("""COMPUTED_VALUE"""),"Sterling")</f>
        <v>Sterling</v>
      </c>
      <c r="D1476" s="1" t="str">
        <f>IFERROR(__xludf.DUMMYFUNCTION("""COMPUTED_VALUE"""),"VA")</f>
        <v>VA</v>
      </c>
      <c r="E1476" s="1" t="str">
        <f>IFERROR(__xludf.DUMMYFUNCTION("""COMPUTED_VALUE"""),"20166")</f>
        <v>20166</v>
      </c>
      <c r="F1476" s="1" t="str">
        <f>IFERROR(__xludf.DUMMYFUNCTION("""COMPUTED_VALUE"""),"Loudoun")</f>
        <v>Loudoun</v>
      </c>
      <c r="G1476" s="1" t="str">
        <f>IFERROR(__xludf.DUMMYFUNCTION("""COMPUTED_VALUE"""),"39.03804")</f>
        <v>39.03804</v>
      </c>
      <c r="H1476" s="1" t="str">
        <f>IFERROR(__xludf.DUMMYFUNCTION("""COMPUTED_VALUE"""),"-77.433716")</f>
        <v>-77.433716</v>
      </c>
      <c r="I1476" s="1" t="str">
        <f>IFERROR(__xludf.DUMMYFUNCTION("""COMPUTED_VALUE"""),"Proposed")</f>
        <v>Proposed</v>
      </c>
      <c r="J1476" s="1" t="str">
        <f>IFERROR(__xludf.DUMMYFUNCTION("""COMPUTED_VALUE"""),"High")</f>
        <v>High</v>
      </c>
      <c r="K1476" s="1" t="str">
        <f>IFERROR(__xludf.DUMMYFUNCTION("""COMPUTED_VALUE"""),"")</f>
        <v/>
      </c>
      <c r="L1476" s="1" t="str">
        <f>IFERROR(__xludf.DUMMYFUNCTION("""COMPUTED_VALUE"""),"")</f>
        <v/>
      </c>
      <c r="M1476" s="1" t="str">
        <f>IFERROR(__xludf.DUMMYFUNCTION("""COMPUTED_VALUE"""),"")</f>
        <v/>
      </c>
      <c r="N1476" s="1" t="str">
        <f>IFERROR(__xludf.DUMMYFUNCTION("""COMPUTED_VALUE"""),"")</f>
        <v/>
      </c>
      <c r="O1476" s="1" t="str">
        <f>IFERROR(__xludf.DUMMYFUNCTION("""COMPUTED_VALUE"""),"Unknown")</f>
        <v>Unknown</v>
      </c>
      <c r="P1476" s="1" t="str">
        <f>IFERROR(__xludf.DUMMYFUNCTION("""COMPUTED_VALUE"""),"")</f>
        <v/>
      </c>
      <c r="Q1476" s="1" t="str">
        <f>IFERROR(__xludf.DUMMYFUNCTION("""COMPUTED_VALUE"""),"")</f>
        <v/>
      </c>
      <c r="R1476" s="1" t="str">
        <f>IFERROR(__xludf.DUMMYFUNCTION("""COMPUTED_VALUE"""),"")</f>
        <v/>
      </c>
      <c r="S1476" s="1" t="str">
        <f>IFERROR(__xludf.DUMMYFUNCTION("""COMPUTED_VALUE"""),"")</f>
        <v/>
      </c>
      <c r="T1476" s="1" t="str">
        <f>IFERROR(__xludf.DUMMYFUNCTION("""COMPUTED_VALUE"""),"")</f>
        <v/>
      </c>
      <c r="U1476" s="1" t="str">
        <f>IFERROR(__xludf.DUMMYFUNCTION("""COMPUTED_VALUE"""),"")</f>
        <v/>
      </c>
      <c r="V1476" s="1" t="str">
        <f>IFERROR(__xludf.DUMMYFUNCTION("""COMPUTED_VALUE"""),"460,000")</f>
        <v>460,000</v>
      </c>
      <c r="W1476" s="1" t="str">
        <f>IFERROR(__xludf.DUMMYFUNCTION("""COMPUTED_VALUE"""),"24")</f>
        <v>24</v>
      </c>
      <c r="X1476" s="1" t="str">
        <f>IFERROR(__xludf.DUMMYFUNCTION("""COMPUTED_VALUE"""),"")</f>
        <v/>
      </c>
      <c r="Y1476" s="1" t="str">
        <f>IFERROR(__xludf.DUMMYFUNCTION("""COMPUTED_VALUE"""),"")</f>
        <v/>
      </c>
      <c r="Z1476" s="1" t="str">
        <f>IFERROR(__xludf.DUMMYFUNCTION("""COMPUTED_VALUE"""),"Unknown")</f>
        <v>Unknown</v>
      </c>
      <c r="AA1476" s="1" t="str">
        <f>IFERROR(__xludf.DUMMYFUNCTION("""COMPUTED_VALUE"""),"")</f>
        <v/>
      </c>
      <c r="AB1476" s="1" t="str">
        <f>IFERROR(__xludf.DUMMYFUNCTION("""COMPUTED_VALUE"""),"")</f>
        <v/>
      </c>
      <c r="AC1476" s="1" t="str">
        <f>IFERROR(__xludf.DUMMYFUNCTION("""COMPUTED_VALUE"""),"")</f>
        <v/>
      </c>
      <c r="AD1476" s="1" t="str">
        <f>IFERROR(__xludf.DUMMYFUNCTION("""COMPUTED_VALUE"""),"")</f>
        <v/>
      </c>
      <c r="AE1476" s="1" t="str">
        <f>IFERROR(__xludf.DUMMYFUNCTION("""COMPUTED_VALUE"""),"")</f>
        <v/>
      </c>
      <c r="AF1476" s="1" t="str">
        <f>IFERROR(__xludf.DUMMYFUNCTION("""COMPUTED_VALUE"""),"")</f>
        <v/>
      </c>
      <c r="AG1476" s="1" t="str">
        <f>IFERROR(__xludf.DUMMYFUNCTION("""COMPUTED_VALUE"""),"Acreage for Building 1, unclear if there will be additional buildings on this site")</f>
        <v>Acreage for Building 1, unclear if there will be additional buildings on this site</v>
      </c>
      <c r="AH1476" s="1" t="str">
        <f>IFERROR(__xludf.DUMMYFUNCTION("""COMPUTED_VALUE"""),"PEC")</f>
        <v>PEC</v>
      </c>
      <c r="AI1476" s="2" t="str">
        <f>IFERROR(__xludf.DUMMYFUNCTION("""COMPUTED_VALUE"""),"https://loudouncountyvaeg.tylerhost.net/prod/selfservice#/plan/F79A57A3-38E2-4887-BD02-B5B691CD8ABF?tab=attachments")</f>
        <v>https://loudouncountyvaeg.tylerhost.net/prod/selfservice#/plan/F79A57A3-38E2-4887-BD02-B5B691CD8ABF?tab=attachments</v>
      </c>
      <c r="AJ1476" s="2" t="str">
        <f>IFERROR(__xludf.DUMMYFUNCTION("""COMPUTED_VALUE"""),"https://reparcelasmt.loudoun.gov/pt/datalets/datalet.aspx?mode=land_summary&amp;UseSearch=no&amp;pin=041398662000&amp;jur=107&amp;taxyr=2025&amp;LMparent=20")</f>
        <v>https://reparcelasmt.loudoun.gov/pt/datalets/datalet.aspx?mode=land_summary&amp;UseSearch=no&amp;pin=041398662000&amp;jur=107&amp;taxyr=2025&amp;LMparent=20</v>
      </c>
      <c r="AK1476" s="1" t="str">
        <f>IFERROR(__xludf.DUMMYFUNCTION("""COMPUTED_VALUE"""),"")</f>
        <v/>
      </c>
      <c r="AL1476" s="1" t="str">
        <f>IFERROR(__xludf.DUMMYFUNCTION("""COMPUTED_VALUE"""),"")</f>
        <v/>
      </c>
      <c r="AM1476" s="1" t="str">
        <f>IFERROR(__xludf.DUMMYFUNCTION("""COMPUTED_VALUE"""),"")</f>
        <v/>
      </c>
      <c r="AN1476" s="1" t="str">
        <f>IFERROR(__xludf.DUMMYFUNCTION("""COMPUTED_VALUE"""),"")</f>
        <v/>
      </c>
      <c r="AO1476" s="1" t="str">
        <f>IFERROR(__xludf.DUMMYFUNCTION("""COMPUTED_VALUE"""),"")</f>
        <v/>
      </c>
      <c r="AP1476" s="1" t="str">
        <f>IFERROR(__xludf.DUMMYFUNCTION("""COMPUTED_VALUE"""),"")</f>
        <v/>
      </c>
      <c r="AQ1476" s="1" t="str">
        <f>IFERROR(__xludf.DUMMYFUNCTION("""COMPUTED_VALUE"""),"08/10/2025")</f>
        <v>08/10/2025</v>
      </c>
      <c r="AR1476" s="1" t="str">
        <f>IFERROR(__xludf.DUMMYFUNCTION("""COMPUTED_VALUE"""),"10/17/2025")</f>
        <v>10/17/2025</v>
      </c>
    </row>
    <row r="1477">
      <c r="A1477" s="1" t="str">
        <f>IFERROR(__xludf.DUMMYFUNCTION("""COMPUTED_VALUE"""),"CPUS STERLING LP")</f>
        <v>CPUS STERLING LP</v>
      </c>
      <c r="B1477" s="1" t="str">
        <f>IFERROR(__xludf.DUMMYFUNCTION("""COMPUTED_VALUE"""),"45900 PATHFINDER PLZ")</f>
        <v>45900 PATHFINDER PLZ</v>
      </c>
      <c r="C1477" s="1" t="str">
        <f>IFERROR(__xludf.DUMMYFUNCTION("""COMPUTED_VALUE"""),"Sterling")</f>
        <v>Sterling</v>
      </c>
      <c r="D1477" s="1" t="str">
        <f>IFERROR(__xludf.DUMMYFUNCTION("""COMPUTED_VALUE"""),"VA")</f>
        <v>VA</v>
      </c>
      <c r="E1477" s="1" t="str">
        <f>IFERROR(__xludf.DUMMYFUNCTION("""COMPUTED_VALUE"""),"20164")</f>
        <v>20164</v>
      </c>
      <c r="F1477" s="1" t="str">
        <f>IFERROR(__xludf.DUMMYFUNCTION("""COMPUTED_VALUE"""),"Loudoun")</f>
        <v>Loudoun</v>
      </c>
      <c r="G1477" s="1" t="str">
        <f>IFERROR(__xludf.DUMMYFUNCTION("""COMPUTED_VALUE"""),"38.987747")</f>
        <v>38.987747</v>
      </c>
      <c r="H1477" s="1" t="str">
        <f>IFERROR(__xludf.DUMMYFUNCTION("""COMPUTED_VALUE"""),"-77.410866")</f>
        <v>-77.410866</v>
      </c>
      <c r="I1477" s="1" t="str">
        <f>IFERROR(__xludf.DUMMYFUNCTION("""COMPUTED_VALUE"""),"Operating")</f>
        <v>Operating</v>
      </c>
      <c r="J1477" s="1" t="str">
        <f>IFERROR(__xludf.DUMMYFUNCTION("""COMPUTED_VALUE"""),"High")</f>
        <v>High</v>
      </c>
      <c r="K1477" s="1" t="str">
        <f>IFERROR(__xludf.DUMMYFUNCTION("""COMPUTED_VALUE"""),"")</f>
        <v/>
      </c>
      <c r="L1477" s="1" t="str">
        <f>IFERROR(__xludf.DUMMYFUNCTION("""COMPUTED_VALUE"""),"CPUS STERLING LP")</f>
        <v>CPUS STERLING LP</v>
      </c>
      <c r="M1477" s="1" t="str">
        <f>IFERROR(__xludf.DUMMYFUNCTION("""COMPUTED_VALUE"""),"")</f>
        <v/>
      </c>
      <c r="N1477" s="1" t="str">
        <f>IFERROR(__xludf.DUMMYFUNCTION("""COMPUTED_VALUE"""),"")</f>
        <v/>
      </c>
      <c r="O1477" s="1" t="str">
        <f>IFERROR(__xludf.DUMMYFUNCTION("""COMPUTED_VALUE"""),"Unknown")</f>
        <v>Unknown</v>
      </c>
      <c r="P1477" s="1" t="str">
        <f>IFERROR(__xludf.DUMMYFUNCTION("""COMPUTED_VALUE"""),"")</f>
        <v/>
      </c>
      <c r="Q1477" s="1" t="str">
        <f>IFERROR(__xludf.DUMMYFUNCTION("""COMPUTED_VALUE"""),"")</f>
        <v/>
      </c>
      <c r="R1477" s="1" t="str">
        <f>IFERROR(__xludf.DUMMYFUNCTION("""COMPUTED_VALUE"""),"")</f>
        <v/>
      </c>
      <c r="S1477" s="1" t="str">
        <f>IFERROR(__xludf.DUMMYFUNCTION("""COMPUTED_VALUE"""),"")</f>
        <v/>
      </c>
      <c r="T1477" s="1" t="str">
        <f>IFERROR(__xludf.DUMMYFUNCTION("""COMPUTED_VALUE"""),"")</f>
        <v/>
      </c>
      <c r="U1477" s="1" t="str">
        <f>IFERROR(__xludf.DUMMYFUNCTION("""COMPUTED_VALUE"""),"")</f>
        <v/>
      </c>
      <c r="V1477" s="1" t="str">
        <f>IFERROR(__xludf.DUMMYFUNCTION("""COMPUTED_VALUE"""),"441,780")</f>
        <v>441,780</v>
      </c>
      <c r="W1477" s="1" t="str">
        <f>IFERROR(__xludf.DUMMYFUNCTION("""COMPUTED_VALUE"""),"33")</f>
        <v>33</v>
      </c>
      <c r="X1477" s="1" t="str">
        <f>IFERROR(__xludf.DUMMYFUNCTION("""COMPUTED_VALUE"""),"")</f>
        <v/>
      </c>
      <c r="Y1477" s="1" t="str">
        <f>IFERROR(__xludf.DUMMYFUNCTION("""COMPUTED_VALUE"""),"")</f>
        <v/>
      </c>
      <c r="Z1477" s="1" t="str">
        <f>IFERROR(__xludf.DUMMYFUNCTION("""COMPUTED_VALUE"""),"Unknown")</f>
        <v>Unknown</v>
      </c>
      <c r="AA1477" s="1" t="str">
        <f>IFERROR(__xludf.DUMMYFUNCTION("""COMPUTED_VALUE"""),"")</f>
        <v/>
      </c>
      <c r="AB1477" s="1" t="str">
        <f>IFERROR(__xludf.DUMMYFUNCTION("""COMPUTED_VALUE"""),"")</f>
        <v/>
      </c>
      <c r="AC1477" s="1" t="str">
        <f>IFERROR(__xludf.DUMMYFUNCTION("""COMPUTED_VALUE"""),"")</f>
        <v/>
      </c>
      <c r="AD1477" s="1" t="str">
        <f>IFERROR(__xludf.DUMMYFUNCTION("""COMPUTED_VALUE"""),"")</f>
        <v/>
      </c>
      <c r="AE1477" s="1" t="str">
        <f>IFERROR(__xludf.DUMMYFUNCTION("""COMPUTED_VALUE"""),"")</f>
        <v/>
      </c>
      <c r="AF1477" s="1" t="str">
        <f>IFERROR(__xludf.DUMMYFUNCTION("""COMPUTED_VALUE"""),"")</f>
        <v/>
      </c>
      <c r="AG1477" s="1" t="str">
        <f>IFERROR(__xludf.DUMMYFUNCTION("""COMPUTED_VALUE"""),"Shown as ""Storage Warehouse""")</f>
        <v>Shown as "Storage Warehouse"</v>
      </c>
      <c r="AH1477" s="1" t="str">
        <f>IFERROR(__xludf.DUMMYFUNCTION("""COMPUTED_VALUE"""),"PEC")</f>
        <v>PEC</v>
      </c>
      <c r="AI1477" s="2" t="str">
        <f>IFERROR(__xludf.DUMMYFUNCTION("""COMPUTED_VALUE"""),"https://reparcelasmt.loudoun.gov/pt/datalets/datalet.aspx?mode=profileall&amp;UseSearch=no&amp;pin=033201325000&amp;jur=107&amp;taxyr=2024&amp;LMparent=20")</f>
        <v>https://reparcelasmt.loudoun.gov/pt/datalets/datalet.aspx?mode=profileall&amp;UseSearch=no&amp;pin=033201325000&amp;jur=107&amp;taxyr=2024&amp;LMparent=20</v>
      </c>
      <c r="AJ1477" s="1" t="str">
        <f>IFERROR(__xludf.DUMMYFUNCTION("""COMPUTED_VALUE"""),"")</f>
        <v/>
      </c>
      <c r="AK1477" s="1" t="str">
        <f>IFERROR(__xludf.DUMMYFUNCTION("""COMPUTED_VALUE"""),"")</f>
        <v/>
      </c>
      <c r="AL1477" s="1" t="str">
        <f>IFERROR(__xludf.DUMMYFUNCTION("""COMPUTED_VALUE"""),"")</f>
        <v/>
      </c>
      <c r="AM1477" s="1" t="str">
        <f>IFERROR(__xludf.DUMMYFUNCTION("""COMPUTED_VALUE"""),"")</f>
        <v/>
      </c>
      <c r="AN1477" s="1" t="str">
        <f>IFERROR(__xludf.DUMMYFUNCTION("""COMPUTED_VALUE"""),"")</f>
        <v/>
      </c>
      <c r="AO1477" s="1" t="str">
        <f>IFERROR(__xludf.DUMMYFUNCTION("""COMPUTED_VALUE"""),"")</f>
        <v/>
      </c>
      <c r="AP1477" s="1" t="str">
        <f>IFERROR(__xludf.DUMMYFUNCTION("""COMPUTED_VALUE"""),"")</f>
        <v/>
      </c>
      <c r="AQ1477" s="1" t="str">
        <f>IFERROR(__xludf.DUMMYFUNCTION("""COMPUTED_VALUE"""),"04/10/2024")</f>
        <v>04/10/2024</v>
      </c>
      <c r="AR1477" s="1" t="str">
        <f>IFERROR(__xludf.DUMMYFUNCTION("""COMPUTED_VALUE"""),"10/17/2025")</f>
        <v>10/17/2025</v>
      </c>
    </row>
    <row r="1478">
      <c r="A1478" s="1" t="str">
        <f>IFERROR(__xludf.DUMMYFUNCTION("""COMPUTED_VALUE"""),"CYXTERA COLOCATION")</f>
        <v>CYXTERA COLOCATION</v>
      </c>
      <c r="B1478" s="1" t="str">
        <f>IFERROR(__xludf.DUMMYFUNCTION("""COMPUTED_VALUE"""),"21110 RIDGETOP CIR")</f>
        <v>21110 RIDGETOP CIR</v>
      </c>
      <c r="C1478" s="1" t="str">
        <f>IFERROR(__xludf.DUMMYFUNCTION("""COMPUTED_VALUE"""),"Sterling")</f>
        <v>Sterling</v>
      </c>
      <c r="D1478" s="1" t="str">
        <f>IFERROR(__xludf.DUMMYFUNCTION("""COMPUTED_VALUE"""),"VA")</f>
        <v>VA</v>
      </c>
      <c r="E1478" s="1" t="str">
        <f>IFERROR(__xludf.DUMMYFUNCTION("""COMPUTED_VALUE"""),"20166")</f>
        <v>20166</v>
      </c>
      <c r="F1478" s="1" t="str">
        <f>IFERROR(__xludf.DUMMYFUNCTION("""COMPUTED_VALUE"""),"Loudoun")</f>
        <v>Loudoun</v>
      </c>
      <c r="G1478" s="1" t="str">
        <f>IFERROR(__xludf.DUMMYFUNCTION("""COMPUTED_VALUE"""),"39.0248")</f>
        <v>39.0248</v>
      </c>
      <c r="H1478" s="1" t="str">
        <f>IFERROR(__xludf.DUMMYFUNCTION("""COMPUTED_VALUE"""),"-77.41234")</f>
        <v>-77.41234</v>
      </c>
      <c r="I1478" s="1" t="str">
        <f>IFERROR(__xludf.DUMMYFUNCTION("""COMPUTED_VALUE"""),"Operating")</f>
        <v>Operating</v>
      </c>
      <c r="J1478" s="1" t="str">
        <f>IFERROR(__xludf.DUMMYFUNCTION("""COMPUTED_VALUE"""),"High")</f>
        <v>High</v>
      </c>
      <c r="K1478" s="1" t="str">
        <f>IFERROR(__xludf.DUMMYFUNCTION("""COMPUTED_VALUE"""),"")</f>
        <v/>
      </c>
      <c r="L1478" s="1" t="str">
        <f>IFERROR(__xludf.DUMMYFUNCTION("""COMPUTED_VALUE"""),"MEDINA DC 2 ASSETS LLC")</f>
        <v>MEDINA DC 2 ASSETS LLC</v>
      </c>
      <c r="M1478" s="1" t="str">
        <f>IFERROR(__xludf.DUMMYFUNCTION("""COMPUTED_VALUE"""),"")</f>
        <v/>
      </c>
      <c r="N1478" s="1" t="str">
        <f>IFERROR(__xludf.DUMMYFUNCTION("""COMPUTED_VALUE"""),"")</f>
        <v/>
      </c>
      <c r="O1478" s="1" t="str">
        <f>IFERROR(__xludf.DUMMYFUNCTION("""COMPUTED_VALUE"""),"Unknown")</f>
        <v>Unknown</v>
      </c>
      <c r="P1478" s="1" t="str">
        <f>IFERROR(__xludf.DUMMYFUNCTION("""COMPUTED_VALUE"""),"")</f>
        <v/>
      </c>
      <c r="Q1478" s="1" t="str">
        <f>IFERROR(__xludf.DUMMYFUNCTION("""COMPUTED_VALUE"""),"")</f>
        <v/>
      </c>
      <c r="R1478" s="1" t="str">
        <f>IFERROR(__xludf.DUMMYFUNCTION("""COMPUTED_VALUE"""),"")</f>
        <v/>
      </c>
      <c r="S1478" s="1" t="str">
        <f>IFERROR(__xludf.DUMMYFUNCTION("""COMPUTED_VALUE"""),"")</f>
        <v/>
      </c>
      <c r="T1478" s="1" t="str">
        <f>IFERROR(__xludf.DUMMYFUNCTION("""COMPUTED_VALUE"""),"")</f>
        <v/>
      </c>
      <c r="U1478" s="1" t="str">
        <f>IFERROR(__xludf.DUMMYFUNCTION("""COMPUTED_VALUE"""),"")</f>
        <v/>
      </c>
      <c r="V1478" s="1" t="str">
        <f>IFERROR(__xludf.DUMMYFUNCTION("""COMPUTED_VALUE"""),"135,500")</f>
        <v>135,500</v>
      </c>
      <c r="W1478" s="1" t="str">
        <f>IFERROR(__xludf.DUMMYFUNCTION("""COMPUTED_VALUE"""),"8")</f>
        <v>8</v>
      </c>
      <c r="X1478" s="1" t="str">
        <f>IFERROR(__xludf.DUMMYFUNCTION("""COMPUTED_VALUE"""),"")</f>
        <v/>
      </c>
      <c r="Y1478" s="1" t="str">
        <f>IFERROR(__xludf.DUMMYFUNCTION("""COMPUTED_VALUE"""),"")</f>
        <v/>
      </c>
      <c r="Z1478" s="1" t="str">
        <f>IFERROR(__xludf.DUMMYFUNCTION("""COMPUTED_VALUE"""),"Unknown")</f>
        <v>Unknown</v>
      </c>
      <c r="AA1478" s="1" t="str">
        <f>IFERROR(__xludf.DUMMYFUNCTION("""COMPUTED_VALUE"""),"")</f>
        <v/>
      </c>
      <c r="AB1478" s="1" t="str">
        <f>IFERROR(__xludf.DUMMYFUNCTION("""COMPUTED_VALUE"""),"")</f>
        <v/>
      </c>
      <c r="AC1478" s="1" t="str">
        <f>IFERROR(__xludf.DUMMYFUNCTION("""COMPUTED_VALUE"""),"")</f>
        <v/>
      </c>
      <c r="AD1478" s="1" t="str">
        <f>IFERROR(__xludf.DUMMYFUNCTION("""COMPUTED_VALUE"""),"")</f>
        <v/>
      </c>
      <c r="AE1478" s="1" t="str">
        <f>IFERROR(__xludf.DUMMYFUNCTION("""COMPUTED_VALUE"""),"")</f>
        <v/>
      </c>
      <c r="AF1478" s="1" t="str">
        <f>IFERROR(__xludf.DUMMYFUNCTION("""COMPUTED_VALUE"""),"")</f>
        <v/>
      </c>
      <c r="AG1478" s="1" t="str">
        <f>IFERROR(__xludf.DUMMYFUNCTION("""COMPUTED_VALUE"""),"Shown as ""Storage Warehouse""")</f>
        <v>Shown as "Storage Warehouse"</v>
      </c>
      <c r="AH1478" s="1" t="str">
        <f>IFERROR(__xludf.DUMMYFUNCTION("""COMPUTED_VALUE"""),"PEC")</f>
        <v>PEC</v>
      </c>
      <c r="AI1478" s="2" t="str">
        <f>IFERROR(__xludf.DUMMYFUNCTION("""COMPUTED_VALUE"""),"https://cloudandcolocation.com/datacenters/cyxtera-sterling-data-center-iad1-c/")</f>
        <v>https://cloudandcolocation.com/datacenters/cyxtera-sterling-data-center-iad1-c/</v>
      </c>
      <c r="AJ1478" s="2" t="str">
        <f>IFERROR(__xludf.DUMMYFUNCTION("""COMPUTED_VALUE"""),"https://reparcelasmt.loudoun.gov/pt/datalets/datalet.aspx?mode=profileall&amp;UseSearch=no&amp;pin=030399036000&amp;jur=107&amp;taxyr=2024&amp;LMparent=20")</f>
        <v>https://reparcelasmt.loudoun.gov/pt/datalets/datalet.aspx?mode=profileall&amp;UseSearch=no&amp;pin=030399036000&amp;jur=107&amp;taxyr=2024&amp;LMparent=20</v>
      </c>
      <c r="AK1478" s="1" t="str">
        <f>IFERROR(__xludf.DUMMYFUNCTION("""COMPUTED_VALUE"""),"")</f>
        <v/>
      </c>
      <c r="AL1478" s="1" t="str">
        <f>IFERROR(__xludf.DUMMYFUNCTION("""COMPUTED_VALUE"""),"")</f>
        <v/>
      </c>
      <c r="AM1478" s="1" t="str">
        <f>IFERROR(__xludf.DUMMYFUNCTION("""COMPUTED_VALUE"""),"")</f>
        <v/>
      </c>
      <c r="AN1478" s="1" t="str">
        <f>IFERROR(__xludf.DUMMYFUNCTION("""COMPUTED_VALUE"""),"")</f>
        <v/>
      </c>
      <c r="AO1478" s="1" t="str">
        <f>IFERROR(__xludf.DUMMYFUNCTION("""COMPUTED_VALUE"""),"")</f>
        <v/>
      </c>
      <c r="AP1478" s="1" t="str">
        <f>IFERROR(__xludf.DUMMYFUNCTION("""COMPUTED_VALUE"""),"")</f>
        <v/>
      </c>
      <c r="AQ1478" s="1" t="str">
        <f>IFERROR(__xludf.DUMMYFUNCTION("""COMPUTED_VALUE"""),"04/10/2024")</f>
        <v>04/10/2024</v>
      </c>
      <c r="AR1478" s="1" t="str">
        <f>IFERROR(__xludf.DUMMYFUNCTION("""COMPUTED_VALUE"""),"10/17/2025")</f>
        <v>10/17/2025</v>
      </c>
    </row>
    <row r="1479">
      <c r="A1479" s="1" t="str">
        <f>IFERROR(__xludf.DUMMYFUNCTION("""COMPUTED_VALUE"""),"CYXTERA DC2 COLOCATION")</f>
        <v>CYXTERA DC2 COLOCATION</v>
      </c>
      <c r="B1479" s="1" t="str">
        <f>IFERROR(__xludf.DUMMYFUNCTION("""COMPUTED_VALUE"""),"45901 NOKES BLVD")</f>
        <v>45901 NOKES BLVD</v>
      </c>
      <c r="C1479" s="1" t="str">
        <f>IFERROR(__xludf.DUMMYFUNCTION("""COMPUTED_VALUE"""),"Sterling")</f>
        <v>Sterling</v>
      </c>
      <c r="D1479" s="1" t="str">
        <f>IFERROR(__xludf.DUMMYFUNCTION("""COMPUTED_VALUE"""),"VA")</f>
        <v>VA</v>
      </c>
      <c r="E1479" s="1" t="str">
        <f>IFERROR(__xludf.DUMMYFUNCTION("""COMPUTED_VALUE"""),"20166")</f>
        <v>20166</v>
      </c>
      <c r="F1479" s="1" t="str">
        <f>IFERROR(__xludf.DUMMYFUNCTION("""COMPUTED_VALUE"""),"Loudoun")</f>
        <v>Loudoun</v>
      </c>
      <c r="G1479" s="1" t="str">
        <f>IFERROR(__xludf.DUMMYFUNCTION("""COMPUTED_VALUE"""),"39.023247")</f>
        <v>39.023247</v>
      </c>
      <c r="H1479" s="1" t="str">
        <f>IFERROR(__xludf.DUMMYFUNCTION("""COMPUTED_VALUE"""),"-77.413185")</f>
        <v>-77.413185</v>
      </c>
      <c r="I1479" s="1" t="str">
        <f>IFERROR(__xludf.DUMMYFUNCTION("""COMPUTED_VALUE"""),"Operating")</f>
        <v>Operating</v>
      </c>
      <c r="J1479" s="1" t="str">
        <f>IFERROR(__xludf.DUMMYFUNCTION("""COMPUTED_VALUE"""),"High")</f>
        <v>High</v>
      </c>
      <c r="K1479" s="1" t="str">
        <f>IFERROR(__xludf.DUMMYFUNCTION("""COMPUTED_VALUE"""),"")</f>
        <v/>
      </c>
      <c r="L1479" s="1" t="str">
        <f>IFERROR(__xludf.DUMMYFUNCTION("""COMPUTED_VALUE"""),"MEDINA DC 2 ASSETS LLC")</f>
        <v>MEDINA DC 2 ASSETS LLC</v>
      </c>
      <c r="M1479" s="1" t="str">
        <f>IFERROR(__xludf.DUMMYFUNCTION("""COMPUTED_VALUE"""),"")</f>
        <v/>
      </c>
      <c r="N1479" s="1" t="str">
        <f>IFERROR(__xludf.DUMMYFUNCTION("""COMPUTED_VALUE"""),"")</f>
        <v/>
      </c>
      <c r="O1479" s="1" t="str">
        <f>IFERROR(__xludf.DUMMYFUNCTION("""COMPUTED_VALUE"""),"Unknown")</f>
        <v>Unknown</v>
      </c>
      <c r="P1479" s="1" t="str">
        <f>IFERROR(__xludf.DUMMYFUNCTION("""COMPUTED_VALUE"""),"")</f>
        <v/>
      </c>
      <c r="Q1479" s="1" t="str">
        <f>IFERROR(__xludf.DUMMYFUNCTION("""COMPUTED_VALUE"""),"")</f>
        <v/>
      </c>
      <c r="R1479" s="1" t="str">
        <f>IFERROR(__xludf.DUMMYFUNCTION("""COMPUTED_VALUE"""),"")</f>
        <v/>
      </c>
      <c r="S1479" s="1" t="str">
        <f>IFERROR(__xludf.DUMMYFUNCTION("""COMPUTED_VALUE"""),"")</f>
        <v/>
      </c>
      <c r="T1479" s="1" t="str">
        <f>IFERROR(__xludf.DUMMYFUNCTION("""COMPUTED_VALUE"""),"")</f>
        <v/>
      </c>
      <c r="U1479" s="1" t="str">
        <f>IFERROR(__xludf.DUMMYFUNCTION("""COMPUTED_VALUE"""),"")</f>
        <v/>
      </c>
      <c r="V1479" s="1" t="str">
        <f>IFERROR(__xludf.DUMMYFUNCTION("""COMPUTED_VALUE"""),"89,072")</f>
        <v>89,072</v>
      </c>
      <c r="W1479" s="1" t="str">
        <f>IFERROR(__xludf.DUMMYFUNCTION("""COMPUTED_VALUE"""),"6")</f>
        <v>6</v>
      </c>
      <c r="X1479" s="1" t="str">
        <f>IFERROR(__xludf.DUMMYFUNCTION("""COMPUTED_VALUE"""),"")</f>
        <v/>
      </c>
      <c r="Y1479" s="1" t="str">
        <f>IFERROR(__xludf.DUMMYFUNCTION("""COMPUTED_VALUE"""),"")</f>
        <v/>
      </c>
      <c r="Z1479" s="1" t="str">
        <f>IFERROR(__xludf.DUMMYFUNCTION("""COMPUTED_VALUE"""),"Unknown")</f>
        <v>Unknown</v>
      </c>
      <c r="AA1479" s="1" t="str">
        <f>IFERROR(__xludf.DUMMYFUNCTION("""COMPUTED_VALUE"""),"")</f>
        <v/>
      </c>
      <c r="AB1479" s="1" t="str">
        <f>IFERROR(__xludf.DUMMYFUNCTION("""COMPUTED_VALUE"""),"")</f>
        <v/>
      </c>
      <c r="AC1479" s="1" t="str">
        <f>IFERROR(__xludf.DUMMYFUNCTION("""COMPUTED_VALUE"""),"")</f>
        <v/>
      </c>
      <c r="AD1479" s="1" t="str">
        <f>IFERROR(__xludf.DUMMYFUNCTION("""COMPUTED_VALUE"""),"")</f>
        <v/>
      </c>
      <c r="AE1479" s="1" t="str">
        <f>IFERROR(__xludf.DUMMYFUNCTION("""COMPUTED_VALUE"""),"")</f>
        <v/>
      </c>
      <c r="AF1479" s="1" t="str">
        <f>IFERROR(__xludf.DUMMYFUNCTION("""COMPUTED_VALUE"""),"")</f>
        <v/>
      </c>
      <c r="AG1479" s="1" t="str">
        <f>IFERROR(__xludf.DUMMYFUNCTION("""COMPUTED_VALUE"""),"Shown as ""Storage Warehouse""")</f>
        <v>Shown as "Storage Warehouse"</v>
      </c>
      <c r="AH1479" s="1" t="str">
        <f>IFERROR(__xludf.DUMMYFUNCTION("""COMPUTED_VALUE"""),"PEC")</f>
        <v>PEC</v>
      </c>
      <c r="AI1479" s="2" t="str">
        <f>IFERROR(__xludf.DUMMYFUNCTION("""COMPUTED_VALUE"""),"https://cloudandcolocation.com/datacenters/cyxtera-sterling-data-center-iad1-a/")</f>
        <v>https://cloudandcolocation.com/datacenters/cyxtera-sterling-data-center-iad1-a/</v>
      </c>
      <c r="AJ1479" s="2" t="str">
        <f>IFERROR(__xludf.DUMMYFUNCTION("""COMPUTED_VALUE"""),"https://reparcelasmt.loudoun.gov/pt/datalets/datalet.aspx?mode=profileall&amp;UseSearch=no&amp;pin=030297084000&amp;jur=107&amp;taxyr=2024&amp;LMparent=20")</f>
        <v>https://reparcelasmt.loudoun.gov/pt/datalets/datalet.aspx?mode=profileall&amp;UseSearch=no&amp;pin=030297084000&amp;jur=107&amp;taxyr=2024&amp;LMparent=20</v>
      </c>
      <c r="AK1479" s="1" t="str">
        <f>IFERROR(__xludf.DUMMYFUNCTION("""COMPUTED_VALUE"""),"")</f>
        <v/>
      </c>
      <c r="AL1479" s="1" t="str">
        <f>IFERROR(__xludf.DUMMYFUNCTION("""COMPUTED_VALUE"""),"")</f>
        <v/>
      </c>
      <c r="AM1479" s="1" t="str">
        <f>IFERROR(__xludf.DUMMYFUNCTION("""COMPUTED_VALUE"""),"")</f>
        <v/>
      </c>
      <c r="AN1479" s="1" t="str">
        <f>IFERROR(__xludf.DUMMYFUNCTION("""COMPUTED_VALUE"""),"")</f>
        <v/>
      </c>
      <c r="AO1479" s="1" t="str">
        <f>IFERROR(__xludf.DUMMYFUNCTION("""COMPUTED_VALUE"""),"")</f>
        <v/>
      </c>
      <c r="AP1479" s="1" t="str">
        <f>IFERROR(__xludf.DUMMYFUNCTION("""COMPUTED_VALUE"""),"")</f>
        <v/>
      </c>
      <c r="AQ1479" s="1" t="str">
        <f>IFERROR(__xludf.DUMMYFUNCTION("""COMPUTED_VALUE"""),"04/10/2024")</f>
        <v>04/10/2024</v>
      </c>
      <c r="AR1479" s="1" t="str">
        <f>IFERROR(__xludf.DUMMYFUNCTION("""COMPUTED_VALUE"""),"10/17/2025")</f>
        <v>10/17/2025</v>
      </c>
    </row>
    <row r="1480">
      <c r="A1480" s="1" t="str">
        <f>IFERROR(__xludf.DUMMYFUNCTION("""COMPUTED_VALUE"""),"DATA CENTER BUILDING C")</f>
        <v>DATA CENTER BUILDING C</v>
      </c>
      <c r="B1480" s="1" t="str">
        <f>IFERROR(__xludf.DUMMYFUNCTION("""COMPUTED_VALUE"""),"22631 DULLES SUMMIT CT")</f>
        <v>22631 DULLES SUMMIT CT</v>
      </c>
      <c r="C1480" s="1" t="str">
        <f>IFERROR(__xludf.DUMMYFUNCTION("""COMPUTED_VALUE"""),"Sterling")</f>
        <v>Sterling</v>
      </c>
      <c r="D1480" s="1" t="str">
        <f>IFERROR(__xludf.DUMMYFUNCTION("""COMPUTED_VALUE"""),"VA")</f>
        <v>VA</v>
      </c>
      <c r="E1480" s="1" t="str">
        <f>IFERROR(__xludf.DUMMYFUNCTION("""COMPUTED_VALUE"""),"20166")</f>
        <v>20166</v>
      </c>
      <c r="F1480" s="1" t="str">
        <f>IFERROR(__xludf.DUMMYFUNCTION("""COMPUTED_VALUE"""),"Loudoun")</f>
        <v>Loudoun</v>
      </c>
      <c r="G1480" s="1" t="str">
        <f>IFERROR(__xludf.DUMMYFUNCTION("""COMPUTED_VALUE"""),"38.99172")</f>
        <v>38.99172</v>
      </c>
      <c r="H1480" s="1" t="str">
        <f>IFERROR(__xludf.DUMMYFUNCTION("""COMPUTED_VALUE"""),"-77.448555")</f>
        <v>-77.448555</v>
      </c>
      <c r="I1480" s="1" t="str">
        <f>IFERROR(__xludf.DUMMYFUNCTION("""COMPUTED_VALUE"""),"Operating")</f>
        <v>Operating</v>
      </c>
      <c r="J1480" s="1" t="str">
        <f>IFERROR(__xludf.DUMMYFUNCTION("""COMPUTED_VALUE"""),"High")</f>
        <v>High</v>
      </c>
      <c r="K1480" s="1" t="str">
        <f>IFERROR(__xludf.DUMMYFUNCTION("""COMPUTED_VALUE"""),"")</f>
        <v/>
      </c>
      <c r="L1480" s="1" t="str">
        <f>IFERROR(__xludf.DUMMYFUNCTION("""COMPUTED_VALUE"""),"DCT DULLES PHASE II LLC")</f>
        <v>DCT DULLES PHASE II LLC</v>
      </c>
      <c r="M1480" s="1" t="str">
        <f>IFERROR(__xludf.DUMMYFUNCTION("""COMPUTED_VALUE"""),"")</f>
        <v/>
      </c>
      <c r="N1480" s="1" t="str">
        <f>IFERROR(__xludf.DUMMYFUNCTION("""COMPUTED_VALUE"""),"")</f>
        <v/>
      </c>
      <c r="O1480" s="1" t="str">
        <f>IFERROR(__xludf.DUMMYFUNCTION("""COMPUTED_VALUE"""),"Unknown")</f>
        <v>Unknown</v>
      </c>
      <c r="P1480" s="1" t="str">
        <f>IFERROR(__xludf.DUMMYFUNCTION("""COMPUTED_VALUE"""),"")</f>
        <v/>
      </c>
      <c r="Q1480" s="1" t="str">
        <f>IFERROR(__xludf.DUMMYFUNCTION("""COMPUTED_VALUE"""),"")</f>
        <v/>
      </c>
      <c r="R1480" s="1" t="str">
        <f>IFERROR(__xludf.DUMMYFUNCTION("""COMPUTED_VALUE"""),"")</f>
        <v/>
      </c>
      <c r="S1480" s="1" t="str">
        <f>IFERROR(__xludf.DUMMYFUNCTION("""COMPUTED_VALUE"""),"")</f>
        <v/>
      </c>
      <c r="T1480" s="1" t="str">
        <f>IFERROR(__xludf.DUMMYFUNCTION("""COMPUTED_VALUE"""),"")</f>
        <v/>
      </c>
      <c r="U1480" s="1" t="str">
        <f>IFERROR(__xludf.DUMMYFUNCTION("""COMPUTED_VALUE"""),"")</f>
        <v/>
      </c>
      <c r="V1480" s="1" t="str">
        <f>IFERROR(__xludf.DUMMYFUNCTION("""COMPUTED_VALUE"""),"103,000")</f>
        <v>103,000</v>
      </c>
      <c r="W1480" s="1" t="str">
        <f>IFERROR(__xludf.DUMMYFUNCTION("""COMPUTED_VALUE"""),"7")</f>
        <v>7</v>
      </c>
      <c r="X1480" s="1" t="str">
        <f>IFERROR(__xludf.DUMMYFUNCTION("""COMPUTED_VALUE"""),"")</f>
        <v/>
      </c>
      <c r="Y1480" s="1" t="str">
        <f>IFERROR(__xludf.DUMMYFUNCTION("""COMPUTED_VALUE"""),"")</f>
        <v/>
      </c>
      <c r="Z1480" s="1" t="str">
        <f>IFERROR(__xludf.DUMMYFUNCTION("""COMPUTED_VALUE"""),"Unknown")</f>
        <v>Unknown</v>
      </c>
      <c r="AA1480" s="1" t="str">
        <f>IFERROR(__xludf.DUMMYFUNCTION("""COMPUTED_VALUE"""),"")</f>
        <v/>
      </c>
      <c r="AB1480" s="1" t="str">
        <f>IFERROR(__xludf.DUMMYFUNCTION("""COMPUTED_VALUE"""),"")</f>
        <v/>
      </c>
      <c r="AC1480" s="1" t="str">
        <f>IFERROR(__xludf.DUMMYFUNCTION("""COMPUTED_VALUE"""),"")</f>
        <v/>
      </c>
      <c r="AD1480" s="1" t="str">
        <f>IFERROR(__xludf.DUMMYFUNCTION("""COMPUTED_VALUE"""),"")</f>
        <v/>
      </c>
      <c r="AE1480" s="1" t="str">
        <f>IFERROR(__xludf.DUMMYFUNCTION("""COMPUTED_VALUE"""),"")</f>
        <v/>
      </c>
      <c r="AF1480" s="1" t="str">
        <f>IFERROR(__xludf.DUMMYFUNCTION("""COMPUTED_VALUE"""),"")</f>
        <v/>
      </c>
      <c r="AG1480" s="1" t="str">
        <f>IFERROR(__xludf.DUMMYFUNCTION("""COMPUTED_VALUE"""),"Shown as ""Storage Warehouse""")</f>
        <v>Shown as "Storage Warehouse"</v>
      </c>
      <c r="AH1480" s="1" t="str">
        <f>IFERROR(__xludf.DUMMYFUNCTION("""COMPUTED_VALUE"""),"PEC")</f>
        <v>PEC</v>
      </c>
      <c r="AI1480" s="2" t="str">
        <f>IFERROR(__xludf.DUMMYFUNCTION("""COMPUTED_VALUE"""),"https://reparcelasmt.loudoun.gov/pt/datalets/datalet.aspx?mode=commercial&amp;UseSearch=no&amp;pin=045358110000&amp;jur=107&amp;taxyr=2024&amp;LMparent=20")</f>
        <v>https://reparcelasmt.loudoun.gov/pt/datalets/datalet.aspx?mode=commercial&amp;UseSearch=no&amp;pin=045358110000&amp;jur=107&amp;taxyr=2024&amp;LMparent=20</v>
      </c>
      <c r="AJ1480" s="1" t="str">
        <f>IFERROR(__xludf.DUMMYFUNCTION("""COMPUTED_VALUE"""),"")</f>
        <v/>
      </c>
      <c r="AK1480" s="1" t="str">
        <f>IFERROR(__xludf.DUMMYFUNCTION("""COMPUTED_VALUE"""),"")</f>
        <v/>
      </c>
      <c r="AL1480" s="1" t="str">
        <f>IFERROR(__xludf.DUMMYFUNCTION("""COMPUTED_VALUE"""),"")</f>
        <v/>
      </c>
      <c r="AM1480" s="1" t="str">
        <f>IFERROR(__xludf.DUMMYFUNCTION("""COMPUTED_VALUE"""),"")</f>
        <v/>
      </c>
      <c r="AN1480" s="1" t="str">
        <f>IFERROR(__xludf.DUMMYFUNCTION("""COMPUTED_VALUE"""),"")</f>
        <v/>
      </c>
      <c r="AO1480" s="1" t="str">
        <f>IFERROR(__xludf.DUMMYFUNCTION("""COMPUTED_VALUE"""),"")</f>
        <v/>
      </c>
      <c r="AP1480" s="1" t="str">
        <f>IFERROR(__xludf.DUMMYFUNCTION("""COMPUTED_VALUE"""),"")</f>
        <v/>
      </c>
      <c r="AQ1480" s="1" t="str">
        <f>IFERROR(__xludf.DUMMYFUNCTION("""COMPUTED_VALUE"""),"04/10/2024")</f>
        <v>04/10/2024</v>
      </c>
      <c r="AR1480" s="1" t="str">
        <f>IFERROR(__xludf.DUMMYFUNCTION("""COMPUTED_VALUE"""),"10/17/2025")</f>
        <v>10/17/2025</v>
      </c>
    </row>
    <row r="1481">
      <c r="A1481" s="1" t="str">
        <f>IFERROR(__xludf.DUMMYFUNCTION("""COMPUTED_VALUE"""),"DC 21/IAD 98")</f>
        <v>DC 21/IAD 98</v>
      </c>
      <c r="B1481" s="1" t="str">
        <f>IFERROR(__xludf.DUMMYFUNCTION("""COMPUTED_VALUE"""),"45305 W SEVERN WAY")</f>
        <v>45305 W SEVERN WAY</v>
      </c>
      <c r="C1481" s="1" t="str">
        <f>IFERROR(__xludf.DUMMYFUNCTION("""COMPUTED_VALUE"""),"Sterling")</f>
        <v>Sterling</v>
      </c>
      <c r="D1481" s="1" t="str">
        <f>IFERROR(__xludf.DUMMYFUNCTION("""COMPUTED_VALUE"""),"VA")</f>
        <v>VA</v>
      </c>
      <c r="E1481" s="1" t="str">
        <f>IFERROR(__xludf.DUMMYFUNCTION("""COMPUTED_VALUE"""),"20166")</f>
        <v>20166</v>
      </c>
      <c r="F1481" s="1" t="str">
        <f>IFERROR(__xludf.DUMMYFUNCTION("""COMPUTED_VALUE"""),"Loudoun")</f>
        <v>Loudoun</v>
      </c>
      <c r="G1481" s="1" t="str">
        <f>IFERROR(__xludf.DUMMYFUNCTION("""COMPUTED_VALUE"""),"39.01946")</f>
        <v>39.01946</v>
      </c>
      <c r="H1481" s="1" t="str">
        <f>IFERROR(__xludf.DUMMYFUNCTION("""COMPUTED_VALUE"""),"-77.434006")</f>
        <v>-77.434006</v>
      </c>
      <c r="I1481" s="1" t="str">
        <f>IFERROR(__xludf.DUMMYFUNCTION("""COMPUTED_VALUE"""),"Operating")</f>
        <v>Operating</v>
      </c>
      <c r="J1481" s="1" t="str">
        <f>IFERROR(__xludf.DUMMYFUNCTION("""COMPUTED_VALUE"""),"High")</f>
        <v>High</v>
      </c>
      <c r="K1481" s="1" t="str">
        <f>IFERROR(__xludf.DUMMYFUNCTION("""COMPUTED_VALUE"""),"")</f>
        <v/>
      </c>
      <c r="L1481" s="1" t="str">
        <f>IFERROR(__xludf.DUMMYFUNCTION("""COMPUTED_VALUE"""),"BCORE COPT DC-21 LLC")</f>
        <v>BCORE COPT DC-21 LLC</v>
      </c>
      <c r="M1481" s="1" t="str">
        <f>IFERROR(__xludf.DUMMYFUNCTION("""COMPUTED_VALUE"""),"")</f>
        <v/>
      </c>
      <c r="N1481" s="1" t="str">
        <f>IFERROR(__xludf.DUMMYFUNCTION("""COMPUTED_VALUE"""),"")</f>
        <v/>
      </c>
      <c r="O1481" s="1" t="str">
        <f>IFERROR(__xludf.DUMMYFUNCTION("""COMPUTED_VALUE"""),"Unknown")</f>
        <v>Unknown</v>
      </c>
      <c r="P1481" s="1" t="str">
        <f>IFERROR(__xludf.DUMMYFUNCTION("""COMPUTED_VALUE"""),"")</f>
        <v/>
      </c>
      <c r="Q1481" s="1" t="str">
        <f>IFERROR(__xludf.DUMMYFUNCTION("""COMPUTED_VALUE"""),"")</f>
        <v/>
      </c>
      <c r="R1481" s="1" t="str">
        <f>IFERROR(__xludf.DUMMYFUNCTION("""COMPUTED_VALUE"""),"")</f>
        <v/>
      </c>
      <c r="S1481" s="1" t="str">
        <f>IFERROR(__xludf.DUMMYFUNCTION("""COMPUTED_VALUE"""),"")</f>
        <v/>
      </c>
      <c r="T1481" s="1" t="str">
        <f>IFERROR(__xludf.DUMMYFUNCTION("""COMPUTED_VALUE"""),"")</f>
        <v/>
      </c>
      <c r="U1481" s="1" t="str">
        <f>IFERROR(__xludf.DUMMYFUNCTION("""COMPUTED_VALUE"""),"")</f>
        <v/>
      </c>
      <c r="V1481" s="1" t="str">
        <f>IFERROR(__xludf.DUMMYFUNCTION("""COMPUTED_VALUE"""),"296,380")</f>
        <v>296,380</v>
      </c>
      <c r="W1481" s="1" t="str">
        <f>IFERROR(__xludf.DUMMYFUNCTION("""COMPUTED_VALUE"""),"24")</f>
        <v>24</v>
      </c>
      <c r="X1481" s="1" t="str">
        <f>IFERROR(__xludf.DUMMYFUNCTION("""COMPUTED_VALUE"""),"")</f>
        <v/>
      </c>
      <c r="Y1481" s="1" t="str">
        <f>IFERROR(__xludf.DUMMYFUNCTION("""COMPUTED_VALUE"""),"")</f>
        <v/>
      </c>
      <c r="Z1481" s="1" t="str">
        <f>IFERROR(__xludf.DUMMYFUNCTION("""COMPUTED_VALUE"""),"Unknown")</f>
        <v>Unknown</v>
      </c>
      <c r="AA1481" s="1" t="str">
        <f>IFERROR(__xludf.DUMMYFUNCTION("""COMPUTED_VALUE"""),"")</f>
        <v/>
      </c>
      <c r="AB1481" s="1" t="str">
        <f>IFERROR(__xludf.DUMMYFUNCTION("""COMPUTED_VALUE"""),"")</f>
        <v/>
      </c>
      <c r="AC1481" s="1" t="str">
        <f>IFERROR(__xludf.DUMMYFUNCTION("""COMPUTED_VALUE"""),"")</f>
        <v/>
      </c>
      <c r="AD1481" s="1" t="str">
        <f>IFERROR(__xludf.DUMMYFUNCTION("""COMPUTED_VALUE"""),"")</f>
        <v/>
      </c>
      <c r="AE1481" s="1" t="str">
        <f>IFERROR(__xludf.DUMMYFUNCTION("""COMPUTED_VALUE"""),"")</f>
        <v/>
      </c>
      <c r="AF1481" s="1" t="str">
        <f>IFERROR(__xludf.DUMMYFUNCTION("""COMPUTED_VALUE"""),"")</f>
        <v/>
      </c>
      <c r="AG1481" s="1" t="str">
        <f>IFERROR(__xludf.DUMMYFUNCTION("""COMPUTED_VALUE"""),"Shown as ""Storage Warehouse""")</f>
        <v>Shown as "Storage Warehouse"</v>
      </c>
      <c r="AH1481" s="1" t="str">
        <f>IFERROR(__xludf.DUMMYFUNCTION("""COMPUTED_VALUE"""),"PEC")</f>
        <v>PEC</v>
      </c>
      <c r="AI1481" s="2" t="str">
        <f>IFERROR(__xludf.DUMMYFUNCTION("""COMPUTED_VALUE"""),"https://reparcelasmt.loudoun.gov/pt/datalets/datalet.aspx?mode=profileall&amp;UseSearch=no&amp;pin=042197707000&amp;jur=107&amp;taxyr=2024&amp;LMparent=20")</f>
        <v>https://reparcelasmt.loudoun.gov/pt/datalets/datalet.aspx?mode=profileall&amp;UseSearch=no&amp;pin=042197707000&amp;jur=107&amp;taxyr=2024&amp;LMparent=20</v>
      </c>
      <c r="AJ1481" s="1" t="str">
        <f>IFERROR(__xludf.DUMMYFUNCTION("""COMPUTED_VALUE"""),"")</f>
        <v/>
      </c>
      <c r="AK1481" s="1" t="str">
        <f>IFERROR(__xludf.DUMMYFUNCTION("""COMPUTED_VALUE"""),"")</f>
        <v/>
      </c>
      <c r="AL1481" s="1" t="str">
        <f>IFERROR(__xludf.DUMMYFUNCTION("""COMPUTED_VALUE"""),"")</f>
        <v/>
      </c>
      <c r="AM1481" s="1" t="str">
        <f>IFERROR(__xludf.DUMMYFUNCTION("""COMPUTED_VALUE"""),"")</f>
        <v/>
      </c>
      <c r="AN1481" s="1" t="str">
        <f>IFERROR(__xludf.DUMMYFUNCTION("""COMPUTED_VALUE"""),"")</f>
        <v/>
      </c>
      <c r="AO1481" s="1" t="str">
        <f>IFERROR(__xludf.DUMMYFUNCTION("""COMPUTED_VALUE"""),"")</f>
        <v/>
      </c>
      <c r="AP1481" s="1" t="str">
        <f>IFERROR(__xludf.DUMMYFUNCTION("""COMPUTED_VALUE"""),"")</f>
        <v/>
      </c>
      <c r="AQ1481" s="1" t="str">
        <f>IFERROR(__xludf.DUMMYFUNCTION("""COMPUTED_VALUE"""),"04/10/2024")</f>
        <v>04/10/2024</v>
      </c>
      <c r="AR1481" s="1" t="str">
        <f>IFERROR(__xludf.DUMMYFUNCTION("""COMPUTED_VALUE"""),"10/17/2025")</f>
        <v>10/17/2025</v>
      </c>
    </row>
    <row r="1482">
      <c r="A1482" s="1" t="str">
        <f>IFERROR(__xludf.DUMMYFUNCTION("""COMPUTED_VALUE"""),"DCT DULLES DOWNS Land Bay A")</f>
        <v>DCT DULLES DOWNS Land Bay A</v>
      </c>
      <c r="B1482" s="1" t="str">
        <f>IFERROR(__xludf.DUMMYFUNCTION("""COMPUTED_VALUE"""),"45111 LOUDOUN DOWNS LN")</f>
        <v>45111 LOUDOUN DOWNS LN</v>
      </c>
      <c r="C1482" s="1" t="str">
        <f>IFERROR(__xludf.DUMMYFUNCTION("""COMPUTED_VALUE"""),"Sterling")</f>
        <v>Sterling</v>
      </c>
      <c r="D1482" s="1" t="str">
        <f>IFERROR(__xludf.DUMMYFUNCTION("""COMPUTED_VALUE"""),"VA")</f>
        <v>VA</v>
      </c>
      <c r="E1482" s="1" t="str">
        <f>IFERROR(__xludf.DUMMYFUNCTION("""COMPUTED_VALUE"""),"20166")</f>
        <v>20166</v>
      </c>
      <c r="F1482" s="1" t="str">
        <f>IFERROR(__xludf.DUMMYFUNCTION("""COMPUTED_VALUE"""),"Loudoun")</f>
        <v>Loudoun</v>
      </c>
      <c r="G1482" s="1" t="str">
        <f>IFERROR(__xludf.DUMMYFUNCTION("""COMPUTED_VALUE"""),"38.991177")</f>
        <v>38.991177</v>
      </c>
      <c r="H1482" s="1" t="str">
        <f>IFERROR(__xludf.DUMMYFUNCTION("""COMPUTED_VALUE"""),"-77.44137")</f>
        <v>-77.44137</v>
      </c>
      <c r="I1482" s="1" t="str">
        <f>IFERROR(__xludf.DUMMYFUNCTION("""COMPUTED_VALUE"""),"Operating")</f>
        <v>Operating</v>
      </c>
      <c r="J1482" s="1" t="str">
        <f>IFERROR(__xludf.DUMMYFUNCTION("""COMPUTED_VALUE"""),"High")</f>
        <v>High</v>
      </c>
      <c r="K1482" s="1" t="str">
        <f>IFERROR(__xludf.DUMMYFUNCTION("""COMPUTED_VALUE"""),"")</f>
        <v/>
      </c>
      <c r="L1482" s="1" t="str">
        <f>IFERROR(__xludf.DUMMYFUNCTION("""COMPUTED_VALUE"""),"DCT DULLES DOWNS LLC")</f>
        <v>DCT DULLES DOWNS LLC</v>
      </c>
      <c r="M1482" s="1" t="str">
        <f>IFERROR(__xludf.DUMMYFUNCTION("""COMPUTED_VALUE"""),"")</f>
        <v/>
      </c>
      <c r="N1482" s="1" t="str">
        <f>IFERROR(__xludf.DUMMYFUNCTION("""COMPUTED_VALUE"""),"")</f>
        <v/>
      </c>
      <c r="O1482" s="1" t="str">
        <f>IFERROR(__xludf.DUMMYFUNCTION("""COMPUTED_VALUE"""),"Unknown")</f>
        <v>Unknown</v>
      </c>
      <c r="P1482" s="1" t="str">
        <f>IFERROR(__xludf.DUMMYFUNCTION("""COMPUTED_VALUE"""),"")</f>
        <v/>
      </c>
      <c r="Q1482" s="1" t="str">
        <f>IFERROR(__xludf.DUMMYFUNCTION("""COMPUTED_VALUE"""),"")</f>
        <v/>
      </c>
      <c r="R1482" s="1" t="str">
        <f>IFERROR(__xludf.DUMMYFUNCTION("""COMPUTED_VALUE"""),"")</f>
        <v/>
      </c>
      <c r="S1482" s="1" t="str">
        <f>IFERROR(__xludf.DUMMYFUNCTION("""COMPUTED_VALUE"""),"")</f>
        <v/>
      </c>
      <c r="T1482" s="1" t="str">
        <f>IFERROR(__xludf.DUMMYFUNCTION("""COMPUTED_VALUE"""),"")</f>
        <v/>
      </c>
      <c r="U1482" s="1" t="str">
        <f>IFERROR(__xludf.DUMMYFUNCTION("""COMPUTED_VALUE"""),"")</f>
        <v/>
      </c>
      <c r="V1482" s="1" t="str">
        <f>IFERROR(__xludf.DUMMYFUNCTION("""COMPUTED_VALUE"""),"287,460")</f>
        <v>287,460</v>
      </c>
      <c r="W1482" s="1" t="str">
        <f>IFERROR(__xludf.DUMMYFUNCTION("""COMPUTED_VALUE"""),"23")</f>
        <v>23</v>
      </c>
      <c r="X1482" s="1" t="str">
        <f>IFERROR(__xludf.DUMMYFUNCTION("""COMPUTED_VALUE"""),"")</f>
        <v/>
      </c>
      <c r="Y1482" s="1" t="str">
        <f>IFERROR(__xludf.DUMMYFUNCTION("""COMPUTED_VALUE"""),"")</f>
        <v/>
      </c>
      <c r="Z1482" s="1" t="str">
        <f>IFERROR(__xludf.DUMMYFUNCTION("""COMPUTED_VALUE"""),"Unknown")</f>
        <v>Unknown</v>
      </c>
      <c r="AA1482" s="1" t="str">
        <f>IFERROR(__xludf.DUMMYFUNCTION("""COMPUTED_VALUE"""),"")</f>
        <v/>
      </c>
      <c r="AB1482" s="1" t="str">
        <f>IFERROR(__xludf.DUMMYFUNCTION("""COMPUTED_VALUE"""),"")</f>
        <v/>
      </c>
      <c r="AC1482" s="1" t="str">
        <f>IFERROR(__xludf.DUMMYFUNCTION("""COMPUTED_VALUE"""),"")</f>
        <v/>
      </c>
      <c r="AD1482" s="1" t="str">
        <f>IFERROR(__xludf.DUMMYFUNCTION("""COMPUTED_VALUE"""),"")</f>
        <v/>
      </c>
      <c r="AE1482" s="1" t="str">
        <f>IFERROR(__xludf.DUMMYFUNCTION("""COMPUTED_VALUE"""),"")</f>
        <v/>
      </c>
      <c r="AF1482" s="1" t="str">
        <f>IFERROR(__xludf.DUMMYFUNCTION("""COMPUTED_VALUE"""),"")</f>
        <v/>
      </c>
      <c r="AG1482" s="1" t="str">
        <f>IFERROR(__xludf.DUMMYFUNCTION("""COMPUTED_VALUE"""),"Data center built in 2016. Proposed redevelopment of an existing data center that would add 896,837 sq feet (total of 1,184,297 sq feet) to the site")</f>
        <v>Data center built in 2016. Proposed redevelopment of an existing data center that would add 896,837 sq feet (total of 1,184,297 sq feet) to the site</v>
      </c>
      <c r="AH1482" s="1" t="str">
        <f>IFERROR(__xludf.DUMMYFUNCTION("""COMPUTED_VALUE"""),"PEC")</f>
        <v>PEC</v>
      </c>
      <c r="AI1482" s="2" t="str">
        <f>IFERROR(__xludf.DUMMYFUNCTION("""COMPUTED_VALUE"""),"https://loudouncountyvaeg.tylerhost.net/prod/selfservice#/plan/dd507a64-937f-48d0-9d28-0357c26a6a7e?tab=attachments")</f>
        <v>https://loudouncountyvaeg.tylerhost.net/prod/selfservice#/plan/dd507a64-937f-48d0-9d28-0357c26a6a7e?tab=attachments</v>
      </c>
      <c r="AJ1482" s="2" t="str">
        <f>IFERROR(__xludf.DUMMYFUNCTION("""COMPUTED_VALUE"""),"https://reparcelasmt.loudoun.gov/pt/Datalets/Datalet.aspx?UseSearch=no&amp;mode=profileall&amp;pin=045282657000&amp;jur=107&amp;taxyr=2025")</f>
        <v>https://reparcelasmt.loudoun.gov/pt/Datalets/Datalet.aspx?UseSearch=no&amp;mode=profileall&amp;pin=045282657000&amp;jur=107&amp;taxyr=2025</v>
      </c>
      <c r="AK1482" s="1" t="str">
        <f>IFERROR(__xludf.DUMMYFUNCTION("""COMPUTED_VALUE"""),"")</f>
        <v/>
      </c>
      <c r="AL1482" s="1" t="str">
        <f>IFERROR(__xludf.DUMMYFUNCTION("""COMPUTED_VALUE"""),"")</f>
        <v/>
      </c>
      <c r="AM1482" s="1" t="str">
        <f>IFERROR(__xludf.DUMMYFUNCTION("""COMPUTED_VALUE"""),"")</f>
        <v/>
      </c>
      <c r="AN1482" s="1" t="str">
        <f>IFERROR(__xludf.DUMMYFUNCTION("""COMPUTED_VALUE"""),"")</f>
        <v/>
      </c>
      <c r="AO1482" s="1" t="str">
        <f>IFERROR(__xludf.DUMMYFUNCTION("""COMPUTED_VALUE"""),"")</f>
        <v/>
      </c>
      <c r="AP1482" s="1" t="str">
        <f>IFERROR(__xludf.DUMMYFUNCTION("""COMPUTED_VALUE"""),"")</f>
        <v/>
      </c>
      <c r="AQ1482" s="1" t="str">
        <f>IFERROR(__xludf.DUMMYFUNCTION("""COMPUTED_VALUE"""),"08/08/2025")</f>
        <v>08/08/2025</v>
      </c>
      <c r="AR1482" s="1" t="str">
        <f>IFERROR(__xludf.DUMMYFUNCTION("""COMPUTED_VALUE"""),"10/17/2025")</f>
        <v>10/17/2025</v>
      </c>
    </row>
    <row r="1483">
      <c r="A1483" s="1" t="str">
        <f>IFERROR(__xludf.DUMMYFUNCTION("""COMPUTED_VALUE"""),"DCT DULLES DOWNS Land Bay B")</f>
        <v>DCT DULLES DOWNS Land Bay B</v>
      </c>
      <c r="B1483" s="1" t="str">
        <f>IFERROR(__xludf.DUMMYFUNCTION("""COMPUTED_VALUE"""),"22685 RELOCATION DR")</f>
        <v>22685 RELOCATION DR</v>
      </c>
      <c r="C1483" s="1" t="str">
        <f>IFERROR(__xludf.DUMMYFUNCTION("""COMPUTED_VALUE"""),"Sterling")</f>
        <v>Sterling</v>
      </c>
      <c r="D1483" s="1" t="str">
        <f>IFERROR(__xludf.DUMMYFUNCTION("""COMPUTED_VALUE"""),"VA")</f>
        <v>VA</v>
      </c>
      <c r="E1483" s="1" t="str">
        <f>IFERROR(__xludf.DUMMYFUNCTION("""COMPUTED_VALUE"""),"20166")</f>
        <v>20166</v>
      </c>
      <c r="F1483" s="1" t="str">
        <f>IFERROR(__xludf.DUMMYFUNCTION("""COMPUTED_VALUE"""),"Loudoun")</f>
        <v>Loudoun</v>
      </c>
      <c r="G1483" s="1" t="str">
        <f>IFERROR(__xludf.DUMMYFUNCTION("""COMPUTED_VALUE"""),"38.98938")</f>
        <v>38.98938</v>
      </c>
      <c r="H1483" s="1" t="str">
        <f>IFERROR(__xludf.DUMMYFUNCTION("""COMPUTED_VALUE"""),"-77.43785")</f>
        <v>-77.43785</v>
      </c>
      <c r="I1483" s="1" t="str">
        <f>IFERROR(__xludf.DUMMYFUNCTION("""COMPUTED_VALUE"""),"Proposed")</f>
        <v>Proposed</v>
      </c>
      <c r="J1483" s="1" t="str">
        <f>IFERROR(__xludf.DUMMYFUNCTION("""COMPUTED_VALUE"""),"High")</f>
        <v>High</v>
      </c>
      <c r="K1483" s="1" t="str">
        <f>IFERROR(__xludf.DUMMYFUNCTION("""COMPUTED_VALUE"""),"")</f>
        <v/>
      </c>
      <c r="L1483" s="1" t="str">
        <f>IFERROR(__xludf.DUMMYFUNCTION("""COMPUTED_VALUE"""),"DCT DULLES DOWNS LLC")</f>
        <v>DCT DULLES DOWNS LLC</v>
      </c>
      <c r="M1483" s="1" t="str">
        <f>IFERROR(__xludf.DUMMYFUNCTION("""COMPUTED_VALUE"""),"")</f>
        <v/>
      </c>
      <c r="N1483" s="1" t="str">
        <f>IFERROR(__xludf.DUMMYFUNCTION("""COMPUTED_VALUE"""),"")</f>
        <v/>
      </c>
      <c r="O1483" s="1" t="str">
        <f>IFERROR(__xludf.DUMMYFUNCTION("""COMPUTED_VALUE"""),"Unknown")</f>
        <v>Unknown</v>
      </c>
      <c r="P1483" s="1" t="str">
        <f>IFERROR(__xludf.DUMMYFUNCTION("""COMPUTED_VALUE"""),"")</f>
        <v/>
      </c>
      <c r="Q1483" s="1" t="str">
        <f>IFERROR(__xludf.DUMMYFUNCTION("""COMPUTED_VALUE"""),"")</f>
        <v/>
      </c>
      <c r="R1483" s="1" t="str">
        <f>IFERROR(__xludf.DUMMYFUNCTION("""COMPUTED_VALUE"""),"")</f>
        <v/>
      </c>
      <c r="S1483" s="1" t="str">
        <f>IFERROR(__xludf.DUMMYFUNCTION("""COMPUTED_VALUE"""),"")</f>
        <v/>
      </c>
      <c r="T1483" s="1" t="str">
        <f>IFERROR(__xludf.DUMMYFUNCTION("""COMPUTED_VALUE"""),"")</f>
        <v/>
      </c>
      <c r="U1483" s="1" t="str">
        <f>IFERROR(__xludf.DUMMYFUNCTION("""COMPUTED_VALUE"""),"")</f>
        <v/>
      </c>
      <c r="V1483" s="1" t="str">
        <f>IFERROR(__xludf.DUMMYFUNCTION("""COMPUTED_VALUE"""),"670,953")</f>
        <v>670,953</v>
      </c>
      <c r="W1483" s="1" t="str">
        <f>IFERROR(__xludf.DUMMYFUNCTION("""COMPUTED_VALUE"""),"")</f>
        <v/>
      </c>
      <c r="X1483" s="1" t="str">
        <f>IFERROR(__xludf.DUMMYFUNCTION("""COMPUTED_VALUE"""),"")</f>
        <v/>
      </c>
      <c r="Y1483" s="1" t="str">
        <f>IFERROR(__xludf.DUMMYFUNCTION("""COMPUTED_VALUE"""),"")</f>
        <v/>
      </c>
      <c r="Z1483" s="1" t="str">
        <f>IFERROR(__xludf.DUMMYFUNCTION("""COMPUTED_VALUE"""),"Unknown")</f>
        <v>Unknown</v>
      </c>
      <c r="AA1483" s="1" t="str">
        <f>IFERROR(__xludf.DUMMYFUNCTION("""COMPUTED_VALUE"""),"")</f>
        <v/>
      </c>
      <c r="AB1483" s="1" t="str">
        <f>IFERROR(__xludf.DUMMYFUNCTION("""COMPUTED_VALUE"""),"")</f>
        <v/>
      </c>
      <c r="AC1483" s="1" t="str">
        <f>IFERROR(__xludf.DUMMYFUNCTION("""COMPUTED_VALUE"""),"")</f>
        <v/>
      </c>
      <c r="AD1483" s="1" t="str">
        <f>IFERROR(__xludf.DUMMYFUNCTION("""COMPUTED_VALUE"""),"")</f>
        <v/>
      </c>
      <c r="AE1483" s="1" t="str">
        <f>IFERROR(__xludf.DUMMYFUNCTION("""COMPUTED_VALUE"""),"")</f>
        <v/>
      </c>
      <c r="AF1483" s="1" t="str">
        <f>IFERROR(__xludf.DUMMYFUNCTION("""COMPUTED_VALUE"""),"")</f>
        <v/>
      </c>
      <c r="AG1483" s="1" t="str">
        <f>IFERROR(__xludf.DUMMYFUNCTION("""COMPUTED_VALUE"""),"Proposed redevelopment of an existing data center that would add 670,953 sq feet (total of 814,516 sq feet) to the site")</f>
        <v>Proposed redevelopment of an existing data center that would add 670,953 sq feet (total of 814,516 sq feet) to the site</v>
      </c>
      <c r="AH1483" s="1" t="str">
        <f>IFERROR(__xludf.DUMMYFUNCTION("""COMPUTED_VALUE"""),"PEC")</f>
        <v>PEC</v>
      </c>
      <c r="AI1483" s="2" t="str">
        <f>IFERROR(__xludf.DUMMYFUNCTION("""COMPUTED_VALUE"""),"https://loudouncountyvaeg.tylerhost.net/prod/selfservice#/plan/dd507a64-937f-48d0-9d28-0357c26a6a7e?tab=attachments")</f>
        <v>https://loudouncountyvaeg.tylerhost.net/prod/selfservice#/plan/dd507a64-937f-48d0-9d28-0357c26a6a7e?tab=attachments</v>
      </c>
      <c r="AJ1483" s="2" t="str">
        <f>IFERROR(__xludf.DUMMYFUNCTION("""COMPUTED_VALUE"""),"https://reparcelasmt.loudoun.gov/pt/Datalets/Datalet.aspx?UseSearch=no&amp;mode=profileall&amp;pin=045391908000&amp;jur=107&amp;taxyr=2025")</f>
        <v>https://reparcelasmt.loudoun.gov/pt/Datalets/Datalet.aspx?UseSearch=no&amp;mode=profileall&amp;pin=045391908000&amp;jur=107&amp;taxyr=2025</v>
      </c>
      <c r="AK1483" s="1" t="str">
        <f>IFERROR(__xludf.DUMMYFUNCTION("""COMPUTED_VALUE"""),"")</f>
        <v/>
      </c>
      <c r="AL1483" s="1" t="str">
        <f>IFERROR(__xludf.DUMMYFUNCTION("""COMPUTED_VALUE"""),"")</f>
        <v/>
      </c>
      <c r="AM1483" s="1" t="str">
        <f>IFERROR(__xludf.DUMMYFUNCTION("""COMPUTED_VALUE"""),"")</f>
        <v/>
      </c>
      <c r="AN1483" s="1" t="str">
        <f>IFERROR(__xludf.DUMMYFUNCTION("""COMPUTED_VALUE"""),"")</f>
        <v/>
      </c>
      <c r="AO1483" s="1" t="str">
        <f>IFERROR(__xludf.DUMMYFUNCTION("""COMPUTED_VALUE"""),"")</f>
        <v/>
      </c>
      <c r="AP1483" s="1" t="str">
        <f>IFERROR(__xludf.DUMMYFUNCTION("""COMPUTED_VALUE"""),"")</f>
        <v/>
      </c>
      <c r="AQ1483" s="1" t="str">
        <f>IFERROR(__xludf.DUMMYFUNCTION("""COMPUTED_VALUE"""),"08/08/2025")</f>
        <v>08/08/2025</v>
      </c>
      <c r="AR1483" s="1" t="str">
        <f>IFERROR(__xludf.DUMMYFUNCTION("""COMPUTED_VALUE"""),"10/17/2025")</f>
        <v>10/17/2025</v>
      </c>
    </row>
    <row r="1484">
      <c r="A1484" s="1" t="str">
        <f>IFERROR(__xludf.DUMMYFUNCTION("""COMPUTED_VALUE"""),"DCT DULLES DOWNS Land Bay B")</f>
        <v>DCT DULLES DOWNS Land Bay B</v>
      </c>
      <c r="B1484" s="1" t="str">
        <f>IFERROR(__xludf.DUMMYFUNCTION("""COMPUTED_VALUE"""),"45220 PROLOGIS PLZ")</f>
        <v>45220 PROLOGIS PLZ</v>
      </c>
      <c r="C1484" s="1" t="str">
        <f>IFERROR(__xludf.DUMMYFUNCTION("""COMPUTED_VALUE"""),"Sterling")</f>
        <v>Sterling</v>
      </c>
      <c r="D1484" s="1" t="str">
        <f>IFERROR(__xludf.DUMMYFUNCTION("""COMPUTED_VALUE"""),"VA")</f>
        <v>VA</v>
      </c>
      <c r="E1484" s="1" t="str">
        <f>IFERROR(__xludf.DUMMYFUNCTION("""COMPUTED_VALUE"""),"20166")</f>
        <v>20166</v>
      </c>
      <c r="F1484" s="1" t="str">
        <f>IFERROR(__xludf.DUMMYFUNCTION("""COMPUTED_VALUE"""),"Loudoun")</f>
        <v>Loudoun</v>
      </c>
      <c r="G1484" s="1" t="str">
        <f>IFERROR(__xludf.DUMMYFUNCTION("""COMPUTED_VALUE"""),"38.990135")</f>
        <v>38.990135</v>
      </c>
      <c r="H1484" s="1" t="str">
        <f>IFERROR(__xludf.DUMMYFUNCTION("""COMPUTED_VALUE"""),"-77.437294")</f>
        <v>-77.437294</v>
      </c>
      <c r="I1484" s="1" t="str">
        <f>IFERROR(__xludf.DUMMYFUNCTION("""COMPUTED_VALUE"""),"Operating")</f>
        <v>Operating</v>
      </c>
      <c r="J1484" s="1" t="str">
        <f>IFERROR(__xludf.DUMMYFUNCTION("""COMPUTED_VALUE"""),"High")</f>
        <v>High</v>
      </c>
      <c r="K1484" s="1" t="str">
        <f>IFERROR(__xludf.DUMMYFUNCTION("""COMPUTED_VALUE"""),"")</f>
        <v/>
      </c>
      <c r="L1484" s="1" t="str">
        <f>IFERROR(__xludf.DUMMYFUNCTION("""COMPUTED_VALUE"""),"DCT DULLES DOWNS LLC")</f>
        <v>DCT DULLES DOWNS LLC</v>
      </c>
      <c r="M1484" s="1" t="str">
        <f>IFERROR(__xludf.DUMMYFUNCTION("""COMPUTED_VALUE"""),"")</f>
        <v/>
      </c>
      <c r="N1484" s="1" t="str">
        <f>IFERROR(__xludf.DUMMYFUNCTION("""COMPUTED_VALUE"""),"")</f>
        <v/>
      </c>
      <c r="O1484" s="1" t="str">
        <f>IFERROR(__xludf.DUMMYFUNCTION("""COMPUTED_VALUE"""),"Unknown")</f>
        <v>Unknown</v>
      </c>
      <c r="P1484" s="1" t="str">
        <f>IFERROR(__xludf.DUMMYFUNCTION("""COMPUTED_VALUE"""),"")</f>
        <v/>
      </c>
      <c r="Q1484" s="1" t="str">
        <f>IFERROR(__xludf.DUMMYFUNCTION("""COMPUTED_VALUE"""),"")</f>
        <v/>
      </c>
      <c r="R1484" s="1" t="str">
        <f>IFERROR(__xludf.DUMMYFUNCTION("""COMPUTED_VALUE"""),"")</f>
        <v/>
      </c>
      <c r="S1484" s="1" t="str">
        <f>IFERROR(__xludf.DUMMYFUNCTION("""COMPUTED_VALUE"""),"")</f>
        <v/>
      </c>
      <c r="T1484" s="1" t="str">
        <f>IFERROR(__xludf.DUMMYFUNCTION("""COMPUTED_VALUE"""),"")</f>
        <v/>
      </c>
      <c r="U1484" s="1" t="str">
        <f>IFERROR(__xludf.DUMMYFUNCTION("""COMPUTED_VALUE"""),"")</f>
        <v/>
      </c>
      <c r="V1484" s="1" t="str">
        <f>IFERROR(__xludf.DUMMYFUNCTION("""COMPUTED_VALUE"""),"143,563")</f>
        <v>143,563</v>
      </c>
      <c r="W1484" s="1" t="str">
        <f>IFERROR(__xludf.DUMMYFUNCTION("""COMPUTED_VALUE"""),"19")</f>
        <v>19</v>
      </c>
      <c r="X1484" s="1" t="str">
        <f>IFERROR(__xludf.DUMMYFUNCTION("""COMPUTED_VALUE"""),"")</f>
        <v/>
      </c>
      <c r="Y1484" s="1" t="str">
        <f>IFERROR(__xludf.DUMMYFUNCTION("""COMPUTED_VALUE"""),"")</f>
        <v/>
      </c>
      <c r="Z1484" s="1" t="str">
        <f>IFERROR(__xludf.DUMMYFUNCTION("""COMPUTED_VALUE"""),"Unknown")</f>
        <v>Unknown</v>
      </c>
      <c r="AA1484" s="1" t="str">
        <f>IFERROR(__xludf.DUMMYFUNCTION("""COMPUTED_VALUE"""),"")</f>
        <v/>
      </c>
      <c r="AB1484" s="1" t="str">
        <f>IFERROR(__xludf.DUMMYFUNCTION("""COMPUTED_VALUE"""),"")</f>
        <v/>
      </c>
      <c r="AC1484" s="1" t="str">
        <f>IFERROR(__xludf.DUMMYFUNCTION("""COMPUTED_VALUE"""),"")</f>
        <v/>
      </c>
      <c r="AD1484" s="1" t="str">
        <f>IFERROR(__xludf.DUMMYFUNCTION("""COMPUTED_VALUE"""),"")</f>
        <v/>
      </c>
      <c r="AE1484" s="1" t="str">
        <f>IFERROR(__xludf.DUMMYFUNCTION("""COMPUTED_VALUE"""),"")</f>
        <v/>
      </c>
      <c r="AF1484" s="1" t="str">
        <f>IFERROR(__xludf.DUMMYFUNCTION("""COMPUTED_VALUE"""),"")</f>
        <v/>
      </c>
      <c r="AG1484" s="1" t="str">
        <f>IFERROR(__xludf.DUMMYFUNCTION("""COMPUTED_VALUE"""),"Data centers built between 2012 and 2014")</f>
        <v>Data centers built between 2012 and 2014</v>
      </c>
      <c r="AH1484" s="1" t="str">
        <f>IFERROR(__xludf.DUMMYFUNCTION("""COMPUTED_VALUE"""),"PEC")</f>
        <v>PEC</v>
      </c>
      <c r="AI1484" s="2" t="str">
        <f>IFERROR(__xludf.DUMMYFUNCTION("""COMPUTED_VALUE"""),"https://reparcelasmt.loudoun.gov/pt/Datalets/Datalet.aspx?UseSearch=no&amp;mode=profileall&amp;pin=045391908000&amp;jur=107&amp;taxyr=2025")</f>
        <v>https://reparcelasmt.loudoun.gov/pt/Datalets/Datalet.aspx?UseSearch=no&amp;mode=profileall&amp;pin=045391908000&amp;jur=107&amp;taxyr=2025</v>
      </c>
      <c r="AJ1484" s="1" t="str">
        <f>IFERROR(__xludf.DUMMYFUNCTION("""COMPUTED_VALUE"""),"")</f>
        <v/>
      </c>
      <c r="AK1484" s="1" t="str">
        <f>IFERROR(__xludf.DUMMYFUNCTION("""COMPUTED_VALUE"""),"")</f>
        <v/>
      </c>
      <c r="AL1484" s="1" t="str">
        <f>IFERROR(__xludf.DUMMYFUNCTION("""COMPUTED_VALUE"""),"")</f>
        <v/>
      </c>
      <c r="AM1484" s="1" t="str">
        <f>IFERROR(__xludf.DUMMYFUNCTION("""COMPUTED_VALUE"""),"")</f>
        <v/>
      </c>
      <c r="AN1484" s="1" t="str">
        <f>IFERROR(__xludf.DUMMYFUNCTION("""COMPUTED_VALUE"""),"")</f>
        <v/>
      </c>
      <c r="AO1484" s="1" t="str">
        <f>IFERROR(__xludf.DUMMYFUNCTION("""COMPUTED_VALUE"""),"")</f>
        <v/>
      </c>
      <c r="AP1484" s="1" t="str">
        <f>IFERROR(__xludf.DUMMYFUNCTION("""COMPUTED_VALUE"""),"")</f>
        <v/>
      </c>
      <c r="AQ1484" s="1" t="str">
        <f>IFERROR(__xludf.DUMMYFUNCTION("""COMPUTED_VALUE"""),"08/08/2025")</f>
        <v>08/08/2025</v>
      </c>
      <c r="AR1484" s="1" t="str">
        <f>IFERROR(__xludf.DUMMYFUNCTION("""COMPUTED_VALUE"""),"10/17/2025")</f>
        <v>10/17/2025</v>
      </c>
    </row>
    <row r="1485">
      <c r="A1485" s="1" t="str">
        <f>IFERROR(__xludf.DUMMYFUNCTION("""COMPUTED_VALUE"""),"DCT DULLES PHASE II")</f>
        <v>DCT DULLES PHASE II</v>
      </c>
      <c r="B1485" s="1" t="str">
        <f>IFERROR(__xludf.DUMMYFUNCTION("""COMPUTED_VALUE"""),"22651 DULLES SUMMIT CT")</f>
        <v>22651 DULLES SUMMIT CT</v>
      </c>
      <c r="C1485" s="1" t="str">
        <f>IFERROR(__xludf.DUMMYFUNCTION("""COMPUTED_VALUE"""),"Sterling")</f>
        <v>Sterling</v>
      </c>
      <c r="D1485" s="1" t="str">
        <f>IFERROR(__xludf.DUMMYFUNCTION("""COMPUTED_VALUE"""),"VA")</f>
        <v>VA</v>
      </c>
      <c r="E1485" s="1" t="str">
        <f>IFERROR(__xludf.DUMMYFUNCTION("""COMPUTED_VALUE"""),"20166")</f>
        <v>20166</v>
      </c>
      <c r="F1485" s="1" t="str">
        <f>IFERROR(__xludf.DUMMYFUNCTION("""COMPUTED_VALUE"""),"Loudoun")</f>
        <v>Loudoun</v>
      </c>
      <c r="G1485" s="1" t="str">
        <f>IFERROR(__xludf.DUMMYFUNCTION("""COMPUTED_VALUE"""),"38.988132")</f>
        <v>38.988132</v>
      </c>
      <c r="H1485" s="1" t="str">
        <f>IFERROR(__xludf.DUMMYFUNCTION("""COMPUTED_VALUE"""),"-77.450516")</f>
        <v>-77.450516</v>
      </c>
      <c r="I1485" s="1" t="str">
        <f>IFERROR(__xludf.DUMMYFUNCTION("""COMPUTED_VALUE"""),"Operating")</f>
        <v>Operating</v>
      </c>
      <c r="J1485" s="1" t="str">
        <f>IFERROR(__xludf.DUMMYFUNCTION("""COMPUTED_VALUE"""),"High")</f>
        <v>High</v>
      </c>
      <c r="K1485" s="1" t="str">
        <f>IFERROR(__xludf.DUMMYFUNCTION("""COMPUTED_VALUE"""),"")</f>
        <v/>
      </c>
      <c r="L1485" s="1" t="str">
        <f>IFERROR(__xludf.DUMMYFUNCTION("""COMPUTED_VALUE"""),"DCT DULLES PHASE II LLC")</f>
        <v>DCT DULLES PHASE II LLC</v>
      </c>
      <c r="M1485" s="1" t="str">
        <f>IFERROR(__xludf.DUMMYFUNCTION("""COMPUTED_VALUE"""),"")</f>
        <v/>
      </c>
      <c r="N1485" s="1" t="str">
        <f>IFERROR(__xludf.DUMMYFUNCTION("""COMPUTED_VALUE"""),"")</f>
        <v/>
      </c>
      <c r="O1485" s="1" t="str">
        <f>IFERROR(__xludf.DUMMYFUNCTION("""COMPUTED_VALUE"""),"Unknown")</f>
        <v>Unknown</v>
      </c>
      <c r="P1485" s="1" t="str">
        <f>IFERROR(__xludf.DUMMYFUNCTION("""COMPUTED_VALUE"""),"")</f>
        <v/>
      </c>
      <c r="Q1485" s="1" t="str">
        <f>IFERROR(__xludf.DUMMYFUNCTION("""COMPUTED_VALUE"""),"")</f>
        <v/>
      </c>
      <c r="R1485" s="1" t="str">
        <f>IFERROR(__xludf.DUMMYFUNCTION("""COMPUTED_VALUE"""),"")</f>
        <v/>
      </c>
      <c r="S1485" s="1" t="str">
        <f>IFERROR(__xludf.DUMMYFUNCTION("""COMPUTED_VALUE"""),"")</f>
        <v/>
      </c>
      <c r="T1485" s="1" t="str">
        <f>IFERROR(__xludf.DUMMYFUNCTION("""COMPUTED_VALUE"""),"")</f>
        <v/>
      </c>
      <c r="U1485" s="1" t="str">
        <f>IFERROR(__xludf.DUMMYFUNCTION("""COMPUTED_VALUE"""),"")</f>
        <v/>
      </c>
      <c r="V1485" s="1" t="str">
        <f>IFERROR(__xludf.DUMMYFUNCTION("""COMPUTED_VALUE"""),"75,800")</f>
        <v>75,800</v>
      </c>
      <c r="W1485" s="1" t="str">
        <f>IFERROR(__xludf.DUMMYFUNCTION("""COMPUTED_VALUE"""),"6")</f>
        <v>6</v>
      </c>
      <c r="X1485" s="1" t="str">
        <f>IFERROR(__xludf.DUMMYFUNCTION("""COMPUTED_VALUE"""),"")</f>
        <v/>
      </c>
      <c r="Y1485" s="1" t="str">
        <f>IFERROR(__xludf.DUMMYFUNCTION("""COMPUTED_VALUE"""),"")</f>
        <v/>
      </c>
      <c r="Z1485" s="1" t="str">
        <f>IFERROR(__xludf.DUMMYFUNCTION("""COMPUTED_VALUE"""),"Unknown")</f>
        <v>Unknown</v>
      </c>
      <c r="AA1485" s="1" t="str">
        <f>IFERROR(__xludf.DUMMYFUNCTION("""COMPUTED_VALUE"""),"")</f>
        <v/>
      </c>
      <c r="AB1485" s="1" t="str">
        <f>IFERROR(__xludf.DUMMYFUNCTION("""COMPUTED_VALUE"""),"")</f>
        <v/>
      </c>
      <c r="AC1485" s="1" t="str">
        <f>IFERROR(__xludf.DUMMYFUNCTION("""COMPUTED_VALUE"""),"")</f>
        <v/>
      </c>
      <c r="AD1485" s="1" t="str">
        <f>IFERROR(__xludf.DUMMYFUNCTION("""COMPUTED_VALUE"""),"")</f>
        <v/>
      </c>
      <c r="AE1485" s="1" t="str">
        <f>IFERROR(__xludf.DUMMYFUNCTION("""COMPUTED_VALUE"""),"")</f>
        <v/>
      </c>
      <c r="AF1485" s="1" t="str">
        <f>IFERROR(__xludf.DUMMYFUNCTION("""COMPUTED_VALUE"""),"")</f>
        <v/>
      </c>
      <c r="AG1485" s="1" t="str">
        <f>IFERROR(__xludf.DUMMYFUNCTION("""COMPUTED_VALUE"""),"Shown as ""Storage Warehouse""")</f>
        <v>Shown as "Storage Warehouse"</v>
      </c>
      <c r="AH1485" s="1" t="str">
        <f>IFERROR(__xludf.DUMMYFUNCTION("""COMPUTED_VALUE"""),"PEC")</f>
        <v>PEC</v>
      </c>
      <c r="AI1485" s="2" t="str">
        <f>IFERROR(__xludf.DUMMYFUNCTION("""COMPUTED_VALUE"""),"https://reparcelasmt.loudoun.gov/pt/datalets/datalet.aspx?mode=profileall&amp;UseSearch=no&amp;pin=045254455000&amp;jur=107&amp;taxyr=2024&amp;LMparent=20")</f>
        <v>https://reparcelasmt.loudoun.gov/pt/datalets/datalet.aspx?mode=profileall&amp;UseSearch=no&amp;pin=045254455000&amp;jur=107&amp;taxyr=2024&amp;LMparent=20</v>
      </c>
      <c r="AJ1485" s="1" t="str">
        <f>IFERROR(__xludf.DUMMYFUNCTION("""COMPUTED_VALUE"""),"")</f>
        <v/>
      </c>
      <c r="AK1485" s="1" t="str">
        <f>IFERROR(__xludf.DUMMYFUNCTION("""COMPUTED_VALUE"""),"")</f>
        <v/>
      </c>
      <c r="AL1485" s="1" t="str">
        <f>IFERROR(__xludf.DUMMYFUNCTION("""COMPUTED_VALUE"""),"")</f>
        <v/>
      </c>
      <c r="AM1485" s="1" t="str">
        <f>IFERROR(__xludf.DUMMYFUNCTION("""COMPUTED_VALUE"""),"")</f>
        <v/>
      </c>
      <c r="AN1485" s="1" t="str">
        <f>IFERROR(__xludf.DUMMYFUNCTION("""COMPUTED_VALUE"""),"")</f>
        <v/>
      </c>
      <c r="AO1485" s="1" t="str">
        <f>IFERROR(__xludf.DUMMYFUNCTION("""COMPUTED_VALUE"""),"")</f>
        <v/>
      </c>
      <c r="AP1485" s="1" t="str">
        <f>IFERROR(__xludf.DUMMYFUNCTION("""COMPUTED_VALUE"""),"")</f>
        <v/>
      </c>
      <c r="AQ1485" s="1" t="str">
        <f>IFERROR(__xludf.DUMMYFUNCTION("""COMPUTED_VALUE"""),"08/08/2025")</f>
        <v>08/08/2025</v>
      </c>
      <c r="AR1485" s="1" t="str">
        <f>IFERROR(__xludf.DUMMYFUNCTION("""COMPUTED_VALUE"""),"10/17/2025")</f>
        <v>10/17/2025</v>
      </c>
    </row>
    <row r="1486">
      <c r="A1486" s="1" t="str">
        <f>IFERROR(__xludf.DUMMYFUNCTION("""COMPUTED_VALUE"""),"DIGITAL STERLING PREMIER")</f>
        <v>DIGITAL STERLING PREMIER</v>
      </c>
      <c r="B1486" s="1" t="str">
        <f>IFERROR(__xludf.DUMMYFUNCTION("""COMPUTED_VALUE"""),"22574 PACIFIC BLVD")</f>
        <v>22574 PACIFIC BLVD</v>
      </c>
      <c r="C1486" s="1" t="str">
        <f>IFERROR(__xludf.DUMMYFUNCTION("""COMPUTED_VALUE"""),"Sterling")</f>
        <v>Sterling</v>
      </c>
      <c r="D1486" s="1" t="str">
        <f>IFERROR(__xludf.DUMMYFUNCTION("""COMPUTED_VALUE"""),"VA")</f>
        <v>VA</v>
      </c>
      <c r="E1486" s="1" t="str">
        <f>IFERROR(__xludf.DUMMYFUNCTION("""COMPUTED_VALUE"""),"20166")</f>
        <v>20166</v>
      </c>
      <c r="F1486" s="1" t="str">
        <f>IFERROR(__xludf.DUMMYFUNCTION("""COMPUTED_VALUE"""),"Loudoun")</f>
        <v>Loudoun</v>
      </c>
      <c r="G1486" s="1" t="str">
        <f>IFERROR(__xludf.DUMMYFUNCTION("""COMPUTED_VALUE"""),"38.99004")</f>
        <v>38.99004</v>
      </c>
      <c r="H1486" s="1" t="str">
        <f>IFERROR(__xludf.DUMMYFUNCTION("""COMPUTED_VALUE"""),"-77.43468")</f>
        <v>-77.43468</v>
      </c>
      <c r="I1486" s="1" t="str">
        <f>IFERROR(__xludf.DUMMYFUNCTION("""COMPUTED_VALUE"""),"Operating")</f>
        <v>Operating</v>
      </c>
      <c r="J1486" s="1" t="str">
        <f>IFERROR(__xludf.DUMMYFUNCTION("""COMPUTED_VALUE"""),"High")</f>
        <v>High</v>
      </c>
      <c r="K1486" s="1" t="str">
        <f>IFERROR(__xludf.DUMMYFUNCTION("""COMPUTED_VALUE"""),"")</f>
        <v/>
      </c>
      <c r="L1486" s="1" t="str">
        <f>IFERROR(__xludf.DUMMYFUNCTION("""COMPUTED_VALUE"""),"DIGITAL STERLING PREMIER LLC")</f>
        <v>DIGITAL STERLING PREMIER LLC</v>
      </c>
      <c r="M1486" s="1" t="str">
        <f>IFERROR(__xludf.DUMMYFUNCTION("""COMPUTED_VALUE"""),"")</f>
        <v/>
      </c>
      <c r="N1486" s="1" t="str">
        <f>IFERROR(__xludf.DUMMYFUNCTION("""COMPUTED_VALUE"""),"")</f>
        <v/>
      </c>
      <c r="O1486" s="1" t="str">
        <f>IFERROR(__xludf.DUMMYFUNCTION("""COMPUTED_VALUE"""),"Unknown")</f>
        <v>Unknown</v>
      </c>
      <c r="P1486" s="1" t="str">
        <f>IFERROR(__xludf.DUMMYFUNCTION("""COMPUTED_VALUE"""),"")</f>
        <v/>
      </c>
      <c r="Q1486" s="1" t="str">
        <f>IFERROR(__xludf.DUMMYFUNCTION("""COMPUTED_VALUE"""),"")</f>
        <v/>
      </c>
      <c r="R1486" s="1" t="str">
        <f>IFERROR(__xludf.DUMMYFUNCTION("""COMPUTED_VALUE"""),"")</f>
        <v/>
      </c>
      <c r="S1486" s="1" t="str">
        <f>IFERROR(__xludf.DUMMYFUNCTION("""COMPUTED_VALUE"""),"")</f>
        <v/>
      </c>
      <c r="T1486" s="1" t="str">
        <f>IFERROR(__xludf.DUMMYFUNCTION("""COMPUTED_VALUE"""),"")</f>
        <v/>
      </c>
      <c r="U1486" s="1" t="str">
        <f>IFERROR(__xludf.DUMMYFUNCTION("""COMPUTED_VALUE"""),"")</f>
        <v/>
      </c>
      <c r="V1486" s="1" t="str">
        <f>IFERROR(__xludf.DUMMYFUNCTION("""COMPUTED_VALUE"""),"258,252")</f>
        <v>258,252</v>
      </c>
      <c r="W1486" s="1" t="str">
        <f>IFERROR(__xludf.DUMMYFUNCTION("""COMPUTED_VALUE"""),"14")</f>
        <v>14</v>
      </c>
      <c r="X1486" s="1" t="str">
        <f>IFERROR(__xludf.DUMMYFUNCTION("""COMPUTED_VALUE"""),"")</f>
        <v/>
      </c>
      <c r="Y1486" s="1" t="str">
        <f>IFERROR(__xludf.DUMMYFUNCTION("""COMPUTED_VALUE"""),"")</f>
        <v/>
      </c>
      <c r="Z1486" s="1" t="str">
        <f>IFERROR(__xludf.DUMMYFUNCTION("""COMPUTED_VALUE"""),"Unknown")</f>
        <v>Unknown</v>
      </c>
      <c r="AA1486" s="1" t="str">
        <f>IFERROR(__xludf.DUMMYFUNCTION("""COMPUTED_VALUE"""),"")</f>
        <v/>
      </c>
      <c r="AB1486" s="1" t="str">
        <f>IFERROR(__xludf.DUMMYFUNCTION("""COMPUTED_VALUE"""),"")</f>
        <v/>
      </c>
      <c r="AC1486" s="1" t="str">
        <f>IFERROR(__xludf.DUMMYFUNCTION("""COMPUTED_VALUE"""),"")</f>
        <v/>
      </c>
      <c r="AD1486" s="1" t="str">
        <f>IFERROR(__xludf.DUMMYFUNCTION("""COMPUTED_VALUE"""),"")</f>
        <v/>
      </c>
      <c r="AE1486" s="1" t="str">
        <f>IFERROR(__xludf.DUMMYFUNCTION("""COMPUTED_VALUE"""),"")</f>
        <v/>
      </c>
      <c r="AF1486" s="1" t="str">
        <f>IFERROR(__xludf.DUMMYFUNCTION("""COMPUTED_VALUE"""),"")</f>
        <v/>
      </c>
      <c r="AG1486" s="1" t="str">
        <f>IFERROR(__xludf.DUMMYFUNCTION("""COMPUTED_VALUE"""),"Shown as ""Storage Warehouse""")</f>
        <v>Shown as "Storage Warehouse"</v>
      </c>
      <c r="AH1486" s="1" t="str">
        <f>IFERROR(__xludf.DUMMYFUNCTION("""COMPUTED_VALUE"""),"PEC")</f>
        <v>PEC</v>
      </c>
      <c r="AI1486" s="2" t="str">
        <f>IFERROR(__xludf.DUMMYFUNCTION("""COMPUTED_VALUE"""),"https://reparcelasmt.loudoun.gov/pt/Datalets/Datalet.aspx?sIndex=0&amp;idx=1")</f>
        <v>https://reparcelasmt.loudoun.gov/pt/Datalets/Datalet.aspx?sIndex=0&amp;idx=1</v>
      </c>
      <c r="AJ1486" s="1" t="str">
        <f>IFERROR(__xludf.DUMMYFUNCTION("""COMPUTED_VALUE"""),"")</f>
        <v/>
      </c>
      <c r="AK1486" s="1" t="str">
        <f>IFERROR(__xludf.DUMMYFUNCTION("""COMPUTED_VALUE"""),"")</f>
        <v/>
      </c>
      <c r="AL1486" s="1" t="str">
        <f>IFERROR(__xludf.DUMMYFUNCTION("""COMPUTED_VALUE"""),"")</f>
        <v/>
      </c>
      <c r="AM1486" s="1" t="str">
        <f>IFERROR(__xludf.DUMMYFUNCTION("""COMPUTED_VALUE"""),"")</f>
        <v/>
      </c>
      <c r="AN1486" s="1" t="str">
        <f>IFERROR(__xludf.DUMMYFUNCTION("""COMPUTED_VALUE"""),"")</f>
        <v/>
      </c>
      <c r="AO1486" s="1" t="str">
        <f>IFERROR(__xludf.DUMMYFUNCTION("""COMPUTED_VALUE"""),"")</f>
        <v/>
      </c>
      <c r="AP1486" s="1" t="str">
        <f>IFERROR(__xludf.DUMMYFUNCTION("""COMPUTED_VALUE"""),"")</f>
        <v/>
      </c>
      <c r="AQ1486" s="1" t="str">
        <f>IFERROR(__xludf.DUMMYFUNCTION("""COMPUTED_VALUE"""),"04/10/2024")</f>
        <v>04/10/2024</v>
      </c>
      <c r="AR1486" s="1" t="str">
        <f>IFERROR(__xludf.DUMMYFUNCTION("""COMPUTED_VALUE"""),"10/17/2025")</f>
        <v>10/17/2025</v>
      </c>
    </row>
    <row r="1487">
      <c r="A1487" s="1" t="str">
        <f>IFERROR(__xludf.DUMMYFUNCTION("""COMPUTED_VALUE"""),"Dulles 2000 Redevelopment")</f>
        <v>Dulles 2000 Redevelopment</v>
      </c>
      <c r="B1487" s="1" t="str">
        <f>IFERROR(__xludf.DUMMYFUNCTION("""COMPUTED_VALUE"""),"")</f>
        <v/>
      </c>
      <c r="C1487" s="1" t="str">
        <f>IFERROR(__xludf.DUMMYFUNCTION("""COMPUTED_VALUE"""),"Sterling")</f>
        <v>Sterling</v>
      </c>
      <c r="D1487" s="1" t="str">
        <f>IFERROR(__xludf.DUMMYFUNCTION("""COMPUTED_VALUE"""),"VA")</f>
        <v>VA</v>
      </c>
      <c r="E1487" s="1" t="str">
        <f>IFERROR(__xludf.DUMMYFUNCTION("""COMPUTED_VALUE"""),"20166")</f>
        <v>20166</v>
      </c>
      <c r="F1487" s="1" t="str">
        <f>IFERROR(__xludf.DUMMYFUNCTION("""COMPUTED_VALUE"""),"Loudoun")</f>
        <v>Loudoun</v>
      </c>
      <c r="G1487" s="1" t="str">
        <f>IFERROR(__xludf.DUMMYFUNCTION("""COMPUTED_VALUE"""),"38.975124")</f>
        <v>38.975124</v>
      </c>
      <c r="H1487" s="1" t="str">
        <f>IFERROR(__xludf.DUMMYFUNCTION("""COMPUTED_VALUE"""),"-77.42687")</f>
        <v>-77.42687</v>
      </c>
      <c r="I1487" s="1" t="str">
        <f>IFERROR(__xludf.DUMMYFUNCTION("""COMPUTED_VALUE"""),"Proposed")</f>
        <v>Proposed</v>
      </c>
      <c r="J1487" s="1" t="str">
        <f>IFERROR(__xludf.DUMMYFUNCTION("""COMPUTED_VALUE"""),"Medium")</f>
        <v>Medium</v>
      </c>
      <c r="K1487" s="1" t="str">
        <f>IFERROR(__xludf.DUMMYFUNCTION("""COMPUTED_VALUE"""),"")</f>
        <v/>
      </c>
      <c r="L1487" s="1" t="str">
        <f>IFERROR(__xludf.DUMMYFUNCTION("""COMPUTED_VALUE"""),"BCG JV Sterling LLC; Phil Tager")</f>
        <v>BCG JV Sterling LLC; Phil Tager</v>
      </c>
      <c r="M1487" s="1" t="str">
        <f>IFERROR(__xludf.DUMMYFUNCTION("""COMPUTED_VALUE"""),"")</f>
        <v/>
      </c>
      <c r="N1487" s="1" t="str">
        <f>IFERROR(__xludf.DUMMYFUNCTION("""COMPUTED_VALUE"""),"")</f>
        <v/>
      </c>
      <c r="O1487" s="1" t="str">
        <f>IFERROR(__xludf.DUMMYFUNCTION("""COMPUTED_VALUE"""),"Unknown")</f>
        <v>Unknown</v>
      </c>
      <c r="P1487" s="1" t="str">
        <f>IFERROR(__xludf.DUMMYFUNCTION("""COMPUTED_VALUE"""),"")</f>
        <v/>
      </c>
      <c r="Q1487" s="1" t="str">
        <f>IFERROR(__xludf.DUMMYFUNCTION("""COMPUTED_VALUE"""),"")</f>
        <v/>
      </c>
      <c r="R1487" s="1" t="str">
        <f>IFERROR(__xludf.DUMMYFUNCTION("""COMPUTED_VALUE"""),"")</f>
        <v/>
      </c>
      <c r="S1487" s="1" t="str">
        <f>IFERROR(__xludf.DUMMYFUNCTION("""COMPUTED_VALUE"""),"")</f>
        <v/>
      </c>
      <c r="T1487" s="1" t="str">
        <f>IFERROR(__xludf.DUMMYFUNCTION("""COMPUTED_VALUE"""),"")</f>
        <v/>
      </c>
      <c r="U1487" s="1" t="str">
        <f>IFERROR(__xludf.DUMMYFUNCTION("""COMPUTED_VALUE"""),"")</f>
        <v/>
      </c>
      <c r="V1487" s="1" t="str">
        <f>IFERROR(__xludf.DUMMYFUNCTION("""COMPUTED_VALUE"""),"530,550")</f>
        <v>530,550</v>
      </c>
      <c r="W1487" s="1" t="str">
        <f>IFERROR(__xludf.DUMMYFUNCTION("""COMPUTED_VALUE"""),"15")</f>
        <v>15</v>
      </c>
      <c r="X1487" s="1" t="str">
        <f>IFERROR(__xludf.DUMMYFUNCTION("""COMPUTED_VALUE"""),"")</f>
        <v/>
      </c>
      <c r="Y1487" s="1" t="str">
        <f>IFERROR(__xludf.DUMMYFUNCTION("""COMPUTED_VALUE"""),"")</f>
        <v/>
      </c>
      <c r="Z1487" s="1" t="str">
        <f>IFERROR(__xludf.DUMMYFUNCTION("""COMPUTED_VALUE"""),"Unknown")</f>
        <v>Unknown</v>
      </c>
      <c r="AA1487" s="1" t="str">
        <f>IFERROR(__xludf.DUMMYFUNCTION("""COMPUTED_VALUE"""),"")</f>
        <v/>
      </c>
      <c r="AB1487" s="1" t="str">
        <f>IFERROR(__xludf.DUMMYFUNCTION("""COMPUTED_VALUE"""),"")</f>
        <v/>
      </c>
      <c r="AC1487" s="1" t="str">
        <f>IFERROR(__xludf.DUMMYFUNCTION("""COMPUTED_VALUE"""),"")</f>
        <v/>
      </c>
      <c r="AD1487" s="1" t="str">
        <f>IFERROR(__xludf.DUMMYFUNCTION("""COMPUTED_VALUE"""),"")</f>
        <v/>
      </c>
      <c r="AE1487" s="1" t="str">
        <f>IFERROR(__xludf.DUMMYFUNCTION("""COMPUTED_VALUE"""),"")</f>
        <v/>
      </c>
      <c r="AF1487" s="1" t="str">
        <f>IFERROR(__xludf.DUMMYFUNCTION("""COMPUTED_VALUE"""),"")</f>
        <v/>
      </c>
      <c r="AG1487" s="1" t="str">
        <f>IFERROR(__xludf.DUMMYFUNCTION("""COMPUTED_VALUE"""),"Rezoning does not cover the entire area included in the two parcels")</f>
        <v>Rezoning does not cover the entire area included in the two parcels</v>
      </c>
      <c r="AH1487" s="1" t="str">
        <f>IFERROR(__xludf.DUMMYFUNCTION("""COMPUTED_VALUE"""),"PEC")</f>
        <v>PEC</v>
      </c>
      <c r="AI1487" s="2" t="str">
        <f>IFERROR(__xludf.DUMMYFUNCTION("""COMPUTED_VALUE"""),"https://loudouncountyvaeg.tylerhost.net/prod/selfservice#/plan/06089816-10BD-4D2E-8A91-826D008AA2C4?tab=attachments")</f>
        <v>https://loudouncountyvaeg.tylerhost.net/prod/selfservice#/plan/06089816-10BD-4D2E-8A91-826D008AA2C4?tab=attachments</v>
      </c>
      <c r="AJ1487" s="2" t="str">
        <f>IFERROR(__xludf.DUMMYFUNCTION("""COMPUTED_VALUE"""),"https://reparcelasmt.loudoun.gov/pt/datalets/datalet.aspx?mode=profileall&amp;UseSearch=no&amp;pin=035457494000&amp;jur=107&amp;taxyr=2024&amp;LMparent=20")</f>
        <v>https://reparcelasmt.loudoun.gov/pt/datalets/datalet.aspx?mode=profileall&amp;UseSearch=no&amp;pin=035457494000&amp;jur=107&amp;taxyr=2024&amp;LMparent=20</v>
      </c>
      <c r="AK1487" s="1" t="str">
        <f>IFERROR(__xludf.DUMMYFUNCTION("""COMPUTED_VALUE"""),"")</f>
        <v/>
      </c>
      <c r="AL1487" s="1" t="str">
        <f>IFERROR(__xludf.DUMMYFUNCTION("""COMPUTED_VALUE"""),"")</f>
        <v/>
      </c>
      <c r="AM1487" s="1" t="str">
        <f>IFERROR(__xludf.DUMMYFUNCTION("""COMPUTED_VALUE"""),"")</f>
        <v/>
      </c>
      <c r="AN1487" s="1" t="str">
        <f>IFERROR(__xludf.DUMMYFUNCTION("""COMPUTED_VALUE"""),"")</f>
        <v/>
      </c>
      <c r="AO1487" s="1" t="str">
        <f>IFERROR(__xludf.DUMMYFUNCTION("""COMPUTED_VALUE"""),"")</f>
        <v/>
      </c>
      <c r="AP1487" s="1" t="str">
        <f>IFERROR(__xludf.DUMMYFUNCTION("""COMPUTED_VALUE"""),"")</f>
        <v/>
      </c>
      <c r="AQ1487" s="1" t="str">
        <f>IFERROR(__xludf.DUMMYFUNCTION("""COMPUTED_VALUE"""),"04/10/2024")</f>
        <v>04/10/2024</v>
      </c>
      <c r="AR1487" s="1" t="str">
        <f>IFERROR(__xludf.DUMMYFUNCTION("""COMPUTED_VALUE"""),"10/17/2025")</f>
        <v>10/17/2025</v>
      </c>
    </row>
    <row r="1488">
      <c r="A1488" s="1" t="str">
        <f>IFERROR(__xludf.DUMMYFUNCTION("""COMPUTED_VALUE"""),"Dulles 28 Technology Park")</f>
        <v>Dulles 28 Technology Park</v>
      </c>
      <c r="B1488" s="1" t="str">
        <f>IFERROR(__xludf.DUMMYFUNCTION("""COMPUTED_VALUE"""),"45870 MEMPHIS PLZ")</f>
        <v>45870 MEMPHIS PLZ</v>
      </c>
      <c r="C1488" s="1" t="str">
        <f>IFERROR(__xludf.DUMMYFUNCTION("""COMPUTED_VALUE"""),"Sterling")</f>
        <v>Sterling</v>
      </c>
      <c r="D1488" s="1" t="str">
        <f>IFERROR(__xludf.DUMMYFUNCTION("""COMPUTED_VALUE"""),"VA")</f>
        <v>VA</v>
      </c>
      <c r="E1488" s="1" t="str">
        <f>IFERROR(__xludf.DUMMYFUNCTION("""COMPUTED_VALUE"""),"20166")</f>
        <v>20166</v>
      </c>
      <c r="F1488" s="1" t="str">
        <f>IFERROR(__xludf.DUMMYFUNCTION("""COMPUTED_VALUE"""),"Loudoun")</f>
        <v>Loudoun</v>
      </c>
      <c r="G1488" s="1" t="str">
        <f>IFERROR(__xludf.DUMMYFUNCTION("""COMPUTED_VALUE"""),"39.0084")</f>
        <v>39.0084</v>
      </c>
      <c r="H1488" s="1" t="str">
        <f>IFERROR(__xludf.DUMMYFUNCTION("""COMPUTED_VALUE"""),"-77.44291")</f>
        <v>-77.44291</v>
      </c>
      <c r="I1488" s="1" t="str">
        <f>IFERROR(__xludf.DUMMYFUNCTION("""COMPUTED_VALUE"""),"Proposed")</f>
        <v>Proposed</v>
      </c>
      <c r="J1488" s="1" t="str">
        <f>IFERROR(__xludf.DUMMYFUNCTION("""COMPUTED_VALUE"""),"High")</f>
        <v>High</v>
      </c>
      <c r="K1488" s="1" t="str">
        <f>IFERROR(__xludf.DUMMYFUNCTION("""COMPUTED_VALUE"""),"")</f>
        <v/>
      </c>
      <c r="L1488" s="1" t="str">
        <f>IFERROR(__xludf.DUMMYFUNCTION("""COMPUTED_VALUE"""),"BlackChamber Group")</f>
        <v>BlackChamber Group</v>
      </c>
      <c r="M1488" s="1" t="str">
        <f>IFERROR(__xludf.DUMMYFUNCTION("""COMPUTED_VALUE"""),"")</f>
        <v/>
      </c>
      <c r="N1488" s="1" t="str">
        <f>IFERROR(__xludf.DUMMYFUNCTION("""COMPUTED_VALUE"""),"")</f>
        <v/>
      </c>
      <c r="O1488" s="1" t="str">
        <f>IFERROR(__xludf.DUMMYFUNCTION("""COMPUTED_VALUE"""),"Unknown")</f>
        <v>Unknown</v>
      </c>
      <c r="P1488" s="1" t="str">
        <f>IFERROR(__xludf.DUMMYFUNCTION("""COMPUTED_VALUE"""),"")</f>
        <v/>
      </c>
      <c r="Q1488" s="1" t="str">
        <f>IFERROR(__xludf.DUMMYFUNCTION("""COMPUTED_VALUE"""),"")</f>
        <v/>
      </c>
      <c r="R1488" s="1" t="str">
        <f>IFERROR(__xludf.DUMMYFUNCTION("""COMPUTED_VALUE"""),"")</f>
        <v/>
      </c>
      <c r="S1488" s="1" t="str">
        <f>IFERROR(__xludf.DUMMYFUNCTION("""COMPUTED_VALUE"""),"")</f>
        <v/>
      </c>
      <c r="T1488" s="1" t="str">
        <f>IFERROR(__xludf.DUMMYFUNCTION("""COMPUTED_VALUE"""),"")</f>
        <v/>
      </c>
      <c r="U1488" s="1" t="str">
        <f>IFERROR(__xludf.DUMMYFUNCTION("""COMPUTED_VALUE"""),"")</f>
        <v/>
      </c>
      <c r="V1488" s="1" t="str">
        <f>IFERROR(__xludf.DUMMYFUNCTION("""COMPUTED_VALUE"""),"685,000")</f>
        <v>685,000</v>
      </c>
      <c r="W1488" s="1" t="str">
        <f>IFERROR(__xludf.DUMMYFUNCTION("""COMPUTED_VALUE"""),"26")</f>
        <v>26</v>
      </c>
      <c r="X1488" s="1" t="str">
        <f>IFERROR(__xludf.DUMMYFUNCTION("""COMPUTED_VALUE"""),"")</f>
        <v/>
      </c>
      <c r="Y1488" s="1" t="str">
        <f>IFERROR(__xludf.DUMMYFUNCTION("""COMPUTED_VALUE"""),"")</f>
        <v/>
      </c>
      <c r="Z1488" s="1" t="str">
        <f>IFERROR(__xludf.DUMMYFUNCTION("""COMPUTED_VALUE"""),"Unknown")</f>
        <v>Unknown</v>
      </c>
      <c r="AA1488" s="1" t="str">
        <f>IFERROR(__xludf.DUMMYFUNCTION("""COMPUTED_VALUE"""),"")</f>
        <v/>
      </c>
      <c r="AB1488" s="1" t="str">
        <f>IFERROR(__xludf.DUMMYFUNCTION("""COMPUTED_VALUE"""),"")</f>
        <v/>
      </c>
      <c r="AC1488" s="1" t="str">
        <f>IFERROR(__xludf.DUMMYFUNCTION("""COMPUTED_VALUE"""),"")</f>
        <v/>
      </c>
      <c r="AD1488" s="1" t="str">
        <f>IFERROR(__xludf.DUMMYFUNCTION("""COMPUTED_VALUE"""),"")</f>
        <v/>
      </c>
      <c r="AE1488" s="1" t="str">
        <f>IFERROR(__xludf.DUMMYFUNCTION("""COMPUTED_VALUE"""),"")</f>
        <v/>
      </c>
      <c r="AF1488" s="1" t="str">
        <f>IFERROR(__xludf.DUMMYFUNCTION("""COMPUTED_VALUE"""),"")</f>
        <v/>
      </c>
      <c r="AG1488" s="1" t="str">
        <f>IFERROR(__xludf.DUMMYFUNCTION("""COMPUTED_VALUE"""),"Project covers more than one parcel, the acreage represents the combined acreage")</f>
        <v>Project covers more than one parcel, the acreage represents the combined acreage</v>
      </c>
      <c r="AH1488" s="1" t="str">
        <f>IFERROR(__xludf.DUMMYFUNCTION("""COMPUTED_VALUE"""),"PEC")</f>
        <v>PEC</v>
      </c>
      <c r="AI1488" s="2" t="str">
        <f>IFERROR(__xludf.DUMMYFUNCTION("""COMPUTED_VALUE"""),"https://www.datacenterdynamics.com/en/news/zoning-change-approved-in-sterling-virginia-paving-way-for-685000-sq-ft-data-center-development/")</f>
        <v>https://www.datacenterdynamics.com/en/news/zoning-change-approved-in-sterling-virginia-paving-way-for-685000-sq-ft-data-center-development/</v>
      </c>
      <c r="AJ1488" s="2" t="str">
        <f>IFERROR(__xludf.DUMMYFUNCTION("""COMPUTED_VALUE"""),"https://reparcelasmt.loudoun.gov/pt/datalets/datalet.aspx?mode=profileall&amp;UseSearch=no&amp;pin=043171795000&amp;jur=107&amp;taxyr=2025&amp;LMparent=20")</f>
        <v>https://reparcelasmt.loudoun.gov/pt/datalets/datalet.aspx?mode=profileall&amp;UseSearch=no&amp;pin=043171795000&amp;jur=107&amp;taxyr=2025&amp;LMparent=20</v>
      </c>
      <c r="AK1488" s="1" t="str">
        <f>IFERROR(__xludf.DUMMYFUNCTION("""COMPUTED_VALUE"""),"")</f>
        <v/>
      </c>
      <c r="AL1488" s="1" t="str">
        <f>IFERROR(__xludf.DUMMYFUNCTION("""COMPUTED_VALUE"""),"")</f>
        <v/>
      </c>
      <c r="AM1488" s="1" t="str">
        <f>IFERROR(__xludf.DUMMYFUNCTION("""COMPUTED_VALUE"""),"")</f>
        <v/>
      </c>
      <c r="AN1488" s="1" t="str">
        <f>IFERROR(__xludf.DUMMYFUNCTION("""COMPUTED_VALUE"""),"")</f>
        <v/>
      </c>
      <c r="AO1488" s="1" t="str">
        <f>IFERROR(__xludf.DUMMYFUNCTION("""COMPUTED_VALUE"""),"")</f>
        <v/>
      </c>
      <c r="AP1488" s="1" t="str">
        <f>IFERROR(__xludf.DUMMYFUNCTION("""COMPUTED_VALUE"""),"")</f>
        <v/>
      </c>
      <c r="AQ1488" s="1" t="str">
        <f>IFERROR(__xludf.DUMMYFUNCTION("""COMPUTED_VALUE"""),"08/06/2025")</f>
        <v>08/06/2025</v>
      </c>
      <c r="AR1488" s="1" t="str">
        <f>IFERROR(__xludf.DUMMYFUNCTION("""COMPUTED_VALUE"""),"10/17/2025")</f>
        <v>10/17/2025</v>
      </c>
    </row>
    <row r="1489">
      <c r="A1489" s="1" t="str">
        <f>IFERROR(__xludf.DUMMYFUNCTION("""COMPUTED_VALUE"""),"Dulles Commerce")</f>
        <v>Dulles Commerce</v>
      </c>
      <c r="B1489" s="1" t="str">
        <f>IFERROR(__xludf.DUMMYFUNCTION("""COMPUTED_VALUE"""),"23700 PEBBLE RUN PL")</f>
        <v>23700 PEBBLE RUN PL</v>
      </c>
      <c r="C1489" s="1" t="str">
        <f>IFERROR(__xludf.DUMMYFUNCTION("""COMPUTED_VALUE"""),"Sterling")</f>
        <v>Sterling</v>
      </c>
      <c r="D1489" s="1" t="str">
        <f>IFERROR(__xludf.DUMMYFUNCTION("""COMPUTED_VALUE"""),"VA")</f>
        <v>VA</v>
      </c>
      <c r="E1489" s="1" t="str">
        <f>IFERROR(__xludf.DUMMYFUNCTION("""COMPUTED_VALUE"""),"20166")</f>
        <v>20166</v>
      </c>
      <c r="F1489" s="1" t="str">
        <f>IFERROR(__xludf.DUMMYFUNCTION("""COMPUTED_VALUE"""),"Loudoun")</f>
        <v>Loudoun</v>
      </c>
      <c r="G1489" s="1" t="str">
        <f>IFERROR(__xludf.DUMMYFUNCTION("""COMPUTED_VALUE"""),"38.961967")</f>
        <v>38.961967</v>
      </c>
      <c r="H1489" s="1" t="str">
        <f>IFERROR(__xludf.DUMMYFUNCTION("""COMPUTED_VALUE"""),"-77.49829")</f>
        <v>-77.49829</v>
      </c>
      <c r="I1489" s="1" t="str">
        <f>IFERROR(__xludf.DUMMYFUNCTION("""COMPUTED_VALUE"""),"Expanding")</f>
        <v>Expanding</v>
      </c>
      <c r="J1489" s="1" t="str">
        <f>IFERROR(__xludf.DUMMYFUNCTION("""COMPUTED_VALUE"""),"High")</f>
        <v>High</v>
      </c>
      <c r="K1489" s="1" t="str">
        <f>IFERROR(__xludf.DUMMYFUNCTION("""COMPUTED_VALUE"""),"")</f>
        <v/>
      </c>
      <c r="L1489" s="1" t="str">
        <f>IFERROR(__xludf.DUMMYFUNCTION("""COMPUTED_VALUE"""),"PROLOGIS-EXCHANGE 43461 OLD OX ROAD LLC")</f>
        <v>PROLOGIS-EXCHANGE 43461 OLD OX ROAD LLC</v>
      </c>
      <c r="M1489" s="1" t="str">
        <f>IFERROR(__xludf.DUMMYFUNCTION("""COMPUTED_VALUE"""),"")</f>
        <v/>
      </c>
      <c r="N1489" s="1" t="str">
        <f>IFERROR(__xludf.DUMMYFUNCTION("""COMPUTED_VALUE"""),"")</f>
        <v/>
      </c>
      <c r="O1489" s="1" t="str">
        <f>IFERROR(__xludf.DUMMYFUNCTION("""COMPUTED_VALUE"""),"Unknown")</f>
        <v>Unknown</v>
      </c>
      <c r="P1489" s="1" t="str">
        <f>IFERROR(__xludf.DUMMYFUNCTION("""COMPUTED_VALUE"""),"")</f>
        <v/>
      </c>
      <c r="Q1489" s="1" t="str">
        <f>IFERROR(__xludf.DUMMYFUNCTION("""COMPUTED_VALUE"""),"")</f>
        <v/>
      </c>
      <c r="R1489" s="1" t="str">
        <f>IFERROR(__xludf.DUMMYFUNCTION("""COMPUTED_VALUE"""),"")</f>
        <v/>
      </c>
      <c r="S1489" s="1" t="str">
        <f>IFERROR(__xludf.DUMMYFUNCTION("""COMPUTED_VALUE"""),"")</f>
        <v/>
      </c>
      <c r="T1489" s="1" t="str">
        <f>IFERROR(__xludf.DUMMYFUNCTION("""COMPUTED_VALUE"""),"")</f>
        <v/>
      </c>
      <c r="U1489" s="1" t="str">
        <f>IFERROR(__xludf.DUMMYFUNCTION("""COMPUTED_VALUE"""),"")</f>
        <v/>
      </c>
      <c r="V1489" s="1" t="str">
        <f>IFERROR(__xludf.DUMMYFUNCTION("""COMPUTED_VALUE"""),"441,175")</f>
        <v>441,175</v>
      </c>
      <c r="W1489" s="1" t="str">
        <f>IFERROR(__xludf.DUMMYFUNCTION("""COMPUTED_VALUE"""),"17")</f>
        <v>17</v>
      </c>
      <c r="X1489" s="1" t="str">
        <f>IFERROR(__xludf.DUMMYFUNCTION("""COMPUTED_VALUE"""),"")</f>
        <v/>
      </c>
      <c r="Y1489" s="1" t="str">
        <f>IFERROR(__xludf.DUMMYFUNCTION("""COMPUTED_VALUE"""),"")</f>
        <v/>
      </c>
      <c r="Z1489" s="1" t="str">
        <f>IFERROR(__xludf.DUMMYFUNCTION("""COMPUTED_VALUE"""),"Unknown")</f>
        <v>Unknown</v>
      </c>
      <c r="AA1489" s="1" t="str">
        <f>IFERROR(__xludf.DUMMYFUNCTION("""COMPUTED_VALUE"""),"")</f>
        <v/>
      </c>
      <c r="AB1489" s="1" t="str">
        <f>IFERROR(__xludf.DUMMYFUNCTION("""COMPUTED_VALUE"""),"")</f>
        <v/>
      </c>
      <c r="AC1489" s="1" t="str">
        <f>IFERROR(__xludf.DUMMYFUNCTION("""COMPUTED_VALUE"""),"")</f>
        <v/>
      </c>
      <c r="AD1489" s="1" t="str">
        <f>IFERROR(__xludf.DUMMYFUNCTION("""COMPUTED_VALUE"""),"")</f>
        <v/>
      </c>
      <c r="AE1489" s="1" t="str">
        <f>IFERROR(__xludf.DUMMYFUNCTION("""COMPUTED_VALUE"""),"")</f>
        <v/>
      </c>
      <c r="AF1489" s="1" t="str">
        <f>IFERROR(__xludf.DUMMYFUNCTION("""COMPUTED_VALUE"""),"")</f>
        <v/>
      </c>
      <c r="AG1489" s="1" t="str">
        <f>IFERROR(__xludf.DUMMYFUNCTION("""COMPUTED_VALUE"""),"")</f>
        <v/>
      </c>
      <c r="AH1489" s="1" t="str">
        <f>IFERROR(__xludf.DUMMYFUNCTION("""COMPUTED_VALUE"""),"PEC")</f>
        <v>PEC</v>
      </c>
      <c r="AI1489" s="2" t="str">
        <f>IFERROR(__xludf.DUMMYFUNCTION("""COMPUTED_VALUE"""),"https://loudouncountyvaeg.tylerhost.net/prod/selfservice#/plan/f6c352b4-2c45-42eb-8aa1-1f4aa98da3b9?tab=attachments")</f>
        <v>https://loudouncountyvaeg.tylerhost.net/prod/selfservice#/plan/f6c352b4-2c45-42eb-8aa1-1f4aa98da3b9?tab=attachments</v>
      </c>
      <c r="AJ1489" s="2" t="str">
        <f>IFERROR(__xludf.DUMMYFUNCTION("""COMPUTED_VALUE"""),"https://reparcelasmt.loudoun.gov/pt/Datalets/Datalet.aspx?UseSearch=no&amp;mode=profileall&amp;pin=124398485000&amp;jur=107&amp;taxyr=2025")</f>
        <v>https://reparcelasmt.loudoun.gov/pt/Datalets/Datalet.aspx?UseSearch=no&amp;mode=profileall&amp;pin=124398485000&amp;jur=107&amp;taxyr=2025</v>
      </c>
      <c r="AK1489" s="1" t="str">
        <f>IFERROR(__xludf.DUMMYFUNCTION("""COMPUTED_VALUE"""),"")</f>
        <v/>
      </c>
      <c r="AL1489" s="1" t="str">
        <f>IFERROR(__xludf.DUMMYFUNCTION("""COMPUTED_VALUE"""),"")</f>
        <v/>
      </c>
      <c r="AM1489" s="1" t="str">
        <f>IFERROR(__xludf.DUMMYFUNCTION("""COMPUTED_VALUE"""),"")</f>
        <v/>
      </c>
      <c r="AN1489" s="1" t="str">
        <f>IFERROR(__xludf.DUMMYFUNCTION("""COMPUTED_VALUE"""),"")</f>
        <v/>
      </c>
      <c r="AO1489" s="1" t="str">
        <f>IFERROR(__xludf.DUMMYFUNCTION("""COMPUTED_VALUE"""),"")</f>
        <v/>
      </c>
      <c r="AP1489" s="1" t="str">
        <f>IFERROR(__xludf.DUMMYFUNCTION("""COMPUTED_VALUE"""),"")</f>
        <v/>
      </c>
      <c r="AQ1489" s="1" t="str">
        <f>IFERROR(__xludf.DUMMYFUNCTION("""COMPUTED_VALUE"""),"08/06/2025")</f>
        <v>08/06/2025</v>
      </c>
      <c r="AR1489" s="1" t="str">
        <f>IFERROR(__xludf.DUMMYFUNCTION("""COMPUTED_VALUE"""),"02/10/2026")</f>
        <v>02/10/2026</v>
      </c>
    </row>
    <row r="1490">
      <c r="A1490" s="1" t="str">
        <f>IFERROR(__xludf.DUMMYFUNCTION("""COMPUTED_VALUE"""),"DULLES NCP LLC")</f>
        <v>DULLES NCP LLC</v>
      </c>
      <c r="B1490" s="1" t="str">
        <f>IFERROR(__xludf.DUMMYFUNCTION("""COMPUTED_VALUE"""),"22916 INTERNATIONAL DR")</f>
        <v>22916 INTERNATIONAL DR</v>
      </c>
      <c r="C1490" s="1" t="str">
        <f>IFERROR(__xludf.DUMMYFUNCTION("""COMPUTED_VALUE"""),"Sterling")</f>
        <v>Sterling</v>
      </c>
      <c r="D1490" s="1" t="str">
        <f>IFERROR(__xludf.DUMMYFUNCTION("""COMPUTED_VALUE"""),"VA")</f>
        <v>VA</v>
      </c>
      <c r="E1490" s="1" t="str">
        <f>IFERROR(__xludf.DUMMYFUNCTION("""COMPUTED_VALUE"""),"20166")</f>
        <v>20166</v>
      </c>
      <c r="F1490" s="1" t="str">
        <f>IFERROR(__xludf.DUMMYFUNCTION("""COMPUTED_VALUE"""),"Loudoun")</f>
        <v>Loudoun</v>
      </c>
      <c r="G1490" s="1" t="str">
        <f>IFERROR(__xludf.DUMMYFUNCTION("""COMPUTED_VALUE"""),"38.9824")</f>
        <v>38.9824</v>
      </c>
      <c r="H1490" s="1" t="str">
        <f>IFERROR(__xludf.DUMMYFUNCTION("""COMPUTED_VALUE"""),"-77.42485")</f>
        <v>-77.42485</v>
      </c>
      <c r="I1490" s="1" t="str">
        <f>IFERROR(__xludf.DUMMYFUNCTION("""COMPUTED_VALUE"""),"Operating")</f>
        <v>Operating</v>
      </c>
      <c r="J1490" s="1" t="str">
        <f>IFERROR(__xludf.DUMMYFUNCTION("""COMPUTED_VALUE"""),"High")</f>
        <v>High</v>
      </c>
      <c r="K1490" s="1" t="str">
        <f>IFERROR(__xludf.DUMMYFUNCTION("""COMPUTED_VALUE"""),"")</f>
        <v/>
      </c>
      <c r="L1490" s="1" t="str">
        <f>IFERROR(__xludf.DUMMYFUNCTION("""COMPUTED_VALUE"""),"DULLES NCP LLC")</f>
        <v>DULLES NCP LLC</v>
      </c>
      <c r="M1490" s="1" t="str">
        <f>IFERROR(__xludf.DUMMYFUNCTION("""COMPUTED_VALUE"""),"")</f>
        <v/>
      </c>
      <c r="N1490" s="1" t="str">
        <f>IFERROR(__xludf.DUMMYFUNCTION("""COMPUTED_VALUE"""),"")</f>
        <v/>
      </c>
      <c r="O1490" s="1" t="str">
        <f>IFERROR(__xludf.DUMMYFUNCTION("""COMPUTED_VALUE"""),"Unknown")</f>
        <v>Unknown</v>
      </c>
      <c r="P1490" s="1" t="str">
        <f>IFERROR(__xludf.DUMMYFUNCTION("""COMPUTED_VALUE"""),"")</f>
        <v/>
      </c>
      <c r="Q1490" s="1" t="str">
        <f>IFERROR(__xludf.DUMMYFUNCTION("""COMPUTED_VALUE"""),"")</f>
        <v/>
      </c>
      <c r="R1490" s="1" t="str">
        <f>IFERROR(__xludf.DUMMYFUNCTION("""COMPUTED_VALUE"""),"")</f>
        <v/>
      </c>
      <c r="S1490" s="1" t="str">
        <f>IFERROR(__xludf.DUMMYFUNCTION("""COMPUTED_VALUE"""),"")</f>
        <v/>
      </c>
      <c r="T1490" s="1" t="str">
        <f>IFERROR(__xludf.DUMMYFUNCTION("""COMPUTED_VALUE"""),"")</f>
        <v/>
      </c>
      <c r="U1490" s="1" t="str">
        <f>IFERROR(__xludf.DUMMYFUNCTION("""COMPUTED_VALUE"""),"")</f>
        <v/>
      </c>
      <c r="V1490" s="1" t="str">
        <f>IFERROR(__xludf.DUMMYFUNCTION("""COMPUTED_VALUE"""),"203,200")</f>
        <v>203,200</v>
      </c>
      <c r="W1490" s="1" t="str">
        <f>IFERROR(__xludf.DUMMYFUNCTION("""COMPUTED_VALUE"""),"13")</f>
        <v>13</v>
      </c>
      <c r="X1490" s="1" t="str">
        <f>IFERROR(__xludf.DUMMYFUNCTION("""COMPUTED_VALUE"""),"")</f>
        <v/>
      </c>
      <c r="Y1490" s="1" t="str">
        <f>IFERROR(__xludf.DUMMYFUNCTION("""COMPUTED_VALUE"""),"")</f>
        <v/>
      </c>
      <c r="Z1490" s="1" t="str">
        <f>IFERROR(__xludf.DUMMYFUNCTION("""COMPUTED_VALUE"""),"Unknown")</f>
        <v>Unknown</v>
      </c>
      <c r="AA1490" s="1" t="str">
        <f>IFERROR(__xludf.DUMMYFUNCTION("""COMPUTED_VALUE"""),"")</f>
        <v/>
      </c>
      <c r="AB1490" s="1" t="str">
        <f>IFERROR(__xludf.DUMMYFUNCTION("""COMPUTED_VALUE"""),"")</f>
        <v/>
      </c>
      <c r="AC1490" s="1" t="str">
        <f>IFERROR(__xludf.DUMMYFUNCTION("""COMPUTED_VALUE"""),"")</f>
        <v/>
      </c>
      <c r="AD1490" s="1" t="str">
        <f>IFERROR(__xludf.DUMMYFUNCTION("""COMPUTED_VALUE"""),"")</f>
        <v/>
      </c>
      <c r="AE1490" s="1" t="str">
        <f>IFERROR(__xludf.DUMMYFUNCTION("""COMPUTED_VALUE"""),"")</f>
        <v/>
      </c>
      <c r="AF1490" s="1" t="str">
        <f>IFERROR(__xludf.DUMMYFUNCTION("""COMPUTED_VALUE"""),"")</f>
        <v/>
      </c>
      <c r="AG1490" s="1" t="str">
        <f>IFERROR(__xludf.DUMMYFUNCTION("""COMPUTED_VALUE"""),"Shown as ""Storage Warehouse""")</f>
        <v>Shown as "Storage Warehouse"</v>
      </c>
      <c r="AH1490" s="1" t="str">
        <f>IFERROR(__xludf.DUMMYFUNCTION("""COMPUTED_VALUE"""),"PEC")</f>
        <v>PEC</v>
      </c>
      <c r="AI1490" s="2" t="str">
        <f>IFERROR(__xludf.DUMMYFUNCTION("""COMPUTED_VALUE"""),"https://reparcelasmt.loudoun.gov/pt/Datalets/Datalet.aspx?UseSearch=no&amp;mode=profileall&amp;pin=034365461000&amp;jur=107&amp;taxyr=2024")</f>
        <v>https://reparcelasmt.loudoun.gov/pt/Datalets/Datalet.aspx?UseSearch=no&amp;mode=profileall&amp;pin=034365461000&amp;jur=107&amp;taxyr=2024</v>
      </c>
      <c r="AJ1490" s="1" t="str">
        <f>IFERROR(__xludf.DUMMYFUNCTION("""COMPUTED_VALUE"""),"")</f>
        <v/>
      </c>
      <c r="AK1490" s="1" t="str">
        <f>IFERROR(__xludf.DUMMYFUNCTION("""COMPUTED_VALUE"""),"")</f>
        <v/>
      </c>
      <c r="AL1490" s="1" t="str">
        <f>IFERROR(__xludf.DUMMYFUNCTION("""COMPUTED_VALUE"""),"")</f>
        <v/>
      </c>
      <c r="AM1490" s="1" t="str">
        <f>IFERROR(__xludf.DUMMYFUNCTION("""COMPUTED_VALUE"""),"")</f>
        <v/>
      </c>
      <c r="AN1490" s="1" t="str">
        <f>IFERROR(__xludf.DUMMYFUNCTION("""COMPUTED_VALUE"""),"")</f>
        <v/>
      </c>
      <c r="AO1490" s="1" t="str">
        <f>IFERROR(__xludf.DUMMYFUNCTION("""COMPUTED_VALUE"""),"")</f>
        <v/>
      </c>
      <c r="AP1490" s="1" t="str">
        <f>IFERROR(__xludf.DUMMYFUNCTION("""COMPUTED_VALUE"""),"")</f>
        <v/>
      </c>
      <c r="AQ1490" s="1" t="str">
        <f>IFERROR(__xludf.DUMMYFUNCTION("""COMPUTED_VALUE"""),"04/10/2024")</f>
        <v>04/10/2024</v>
      </c>
      <c r="AR1490" s="1" t="str">
        <f>IFERROR(__xludf.DUMMYFUNCTION("""COMPUTED_VALUE"""),"10/17/2025")</f>
        <v>10/17/2025</v>
      </c>
    </row>
    <row r="1491">
      <c r="A1491" s="1" t="str">
        <f>IFERROR(__xludf.DUMMYFUNCTION("""COMPUTED_VALUE"""),"DULLES NORTH CORPORATE PARK 8")</f>
        <v>DULLES NORTH CORPORATE PARK 8</v>
      </c>
      <c r="B1491" s="1" t="str">
        <f>IFERROR(__xludf.DUMMYFUNCTION("""COMPUTED_VALUE"""),"")</f>
        <v/>
      </c>
      <c r="C1491" s="1" t="str">
        <f>IFERROR(__xludf.DUMMYFUNCTION("""COMPUTED_VALUE"""),"Sterling")</f>
        <v>Sterling</v>
      </c>
      <c r="D1491" s="1" t="str">
        <f>IFERROR(__xludf.DUMMYFUNCTION("""COMPUTED_VALUE"""),"VA")</f>
        <v>VA</v>
      </c>
      <c r="E1491" s="1" t="str">
        <f>IFERROR(__xludf.DUMMYFUNCTION("""COMPUTED_VALUE"""),"20166")</f>
        <v>20166</v>
      </c>
      <c r="F1491" s="1" t="str">
        <f>IFERROR(__xludf.DUMMYFUNCTION("""COMPUTED_VALUE"""),"Loudoun")</f>
        <v>Loudoun</v>
      </c>
      <c r="G1491" s="1" t="str">
        <f>IFERROR(__xludf.DUMMYFUNCTION("""COMPUTED_VALUE"""),"38.995342")</f>
        <v>38.995342</v>
      </c>
      <c r="H1491" s="1" t="str">
        <f>IFERROR(__xludf.DUMMYFUNCTION("""COMPUTED_VALUE"""),"-77.432556")</f>
        <v>-77.432556</v>
      </c>
      <c r="I1491" s="1" t="str">
        <f>IFERROR(__xludf.DUMMYFUNCTION("""COMPUTED_VALUE"""),"Proposed")</f>
        <v>Proposed</v>
      </c>
      <c r="J1491" s="1" t="str">
        <f>IFERROR(__xludf.DUMMYFUNCTION("""COMPUTED_VALUE"""),"Medium")</f>
        <v>Medium</v>
      </c>
      <c r="K1491" s="1" t="str">
        <f>IFERROR(__xludf.DUMMYFUNCTION("""COMPUTED_VALUE"""),"")</f>
        <v/>
      </c>
      <c r="L1491" s="1" t="str">
        <f>IFERROR(__xludf.DUMMYFUNCTION("""COMPUTED_VALUE"""),"John Collich/BF SAUL REAL ESTATE INVESTMENT")</f>
        <v>John Collich/BF SAUL REAL ESTATE INVESTMENT</v>
      </c>
      <c r="M1491" s="1" t="str">
        <f>IFERROR(__xludf.DUMMYFUNCTION("""COMPUTED_VALUE"""),"")</f>
        <v/>
      </c>
      <c r="N1491" s="1" t="str">
        <f>IFERROR(__xludf.DUMMYFUNCTION("""COMPUTED_VALUE"""),"")</f>
        <v/>
      </c>
      <c r="O1491" s="1" t="str">
        <f>IFERROR(__xludf.DUMMYFUNCTION("""COMPUTED_VALUE"""),"Unknown")</f>
        <v>Unknown</v>
      </c>
      <c r="P1491" s="1" t="str">
        <f>IFERROR(__xludf.DUMMYFUNCTION("""COMPUTED_VALUE"""),"")</f>
        <v/>
      </c>
      <c r="Q1491" s="1" t="str">
        <f>IFERROR(__xludf.DUMMYFUNCTION("""COMPUTED_VALUE"""),"")</f>
        <v/>
      </c>
      <c r="R1491" s="1" t="str">
        <f>IFERROR(__xludf.DUMMYFUNCTION("""COMPUTED_VALUE"""),"")</f>
        <v/>
      </c>
      <c r="S1491" s="1" t="str">
        <f>IFERROR(__xludf.DUMMYFUNCTION("""COMPUTED_VALUE"""),"")</f>
        <v/>
      </c>
      <c r="T1491" s="1" t="str">
        <f>IFERROR(__xludf.DUMMYFUNCTION("""COMPUTED_VALUE"""),"")</f>
        <v/>
      </c>
      <c r="U1491" s="1" t="str">
        <f>IFERROR(__xludf.DUMMYFUNCTION("""COMPUTED_VALUE"""),"")</f>
        <v/>
      </c>
      <c r="V1491" s="1" t="str">
        <f>IFERROR(__xludf.DUMMYFUNCTION("""COMPUTED_VALUE"""),"262,000")</f>
        <v>262,000</v>
      </c>
      <c r="W1491" s="1" t="str">
        <f>IFERROR(__xludf.DUMMYFUNCTION("""COMPUTED_VALUE"""),"10")</f>
        <v>10</v>
      </c>
      <c r="X1491" s="1" t="str">
        <f>IFERROR(__xludf.DUMMYFUNCTION("""COMPUTED_VALUE"""),"")</f>
        <v/>
      </c>
      <c r="Y1491" s="1" t="str">
        <f>IFERROR(__xludf.DUMMYFUNCTION("""COMPUTED_VALUE"""),"")</f>
        <v/>
      </c>
      <c r="Z1491" s="1" t="str">
        <f>IFERROR(__xludf.DUMMYFUNCTION("""COMPUTED_VALUE"""),"Unknown")</f>
        <v>Unknown</v>
      </c>
      <c r="AA1491" s="1" t="str">
        <f>IFERROR(__xludf.DUMMYFUNCTION("""COMPUTED_VALUE"""),"")</f>
        <v/>
      </c>
      <c r="AB1491" s="1" t="str">
        <f>IFERROR(__xludf.DUMMYFUNCTION("""COMPUTED_VALUE"""),"")</f>
        <v/>
      </c>
      <c r="AC1491" s="1" t="str">
        <f>IFERROR(__xludf.DUMMYFUNCTION("""COMPUTED_VALUE"""),"")</f>
        <v/>
      </c>
      <c r="AD1491" s="1" t="str">
        <f>IFERROR(__xludf.DUMMYFUNCTION("""COMPUTED_VALUE"""),"")</f>
        <v/>
      </c>
      <c r="AE1491" s="1" t="str">
        <f>IFERROR(__xludf.DUMMYFUNCTION("""COMPUTED_VALUE"""),"")</f>
        <v/>
      </c>
      <c r="AF1491" s="1" t="str">
        <f>IFERROR(__xludf.DUMMYFUNCTION("""COMPUTED_VALUE"""),"")</f>
        <v/>
      </c>
      <c r="AG1491" s="1" t="str">
        <f>IFERROR(__xludf.DUMMYFUNCTION("""COMPUTED_VALUE"""),"")</f>
        <v/>
      </c>
      <c r="AH1491" s="1" t="str">
        <f>IFERROR(__xludf.DUMMYFUNCTION("""COMPUTED_VALUE"""),"PEC")</f>
        <v>PEC</v>
      </c>
      <c r="AI1491" s="2" t="str">
        <f>IFERROR(__xludf.DUMMYFUNCTION("""COMPUTED_VALUE"""),"https://www.bizjournals.com/washington/news/2023/01/30/saul-centers-dulles-north-corporate-park.html")</f>
        <v>https://www.bizjournals.com/washington/news/2023/01/30/saul-centers-dulles-north-corporate-park.html</v>
      </c>
      <c r="AJ1491" s="2" t="str">
        <f>IFERROR(__xludf.DUMMYFUNCTION("""COMPUTED_VALUE"""),"https://reparcelasmt.loudoun.gov/pt/Datalets/Datalet.aspx?UseSearch=no&amp;mode=profileall&amp;pin=045402669000&amp;jur=107&amp;taxyr=2024")</f>
        <v>https://reparcelasmt.loudoun.gov/pt/Datalets/Datalet.aspx?UseSearch=no&amp;mode=profileall&amp;pin=045402669000&amp;jur=107&amp;taxyr=2024</v>
      </c>
      <c r="AK1491" s="1" t="str">
        <f>IFERROR(__xludf.DUMMYFUNCTION("""COMPUTED_VALUE"""),"")</f>
        <v/>
      </c>
      <c r="AL1491" s="1" t="str">
        <f>IFERROR(__xludf.DUMMYFUNCTION("""COMPUTED_VALUE"""),"")</f>
        <v/>
      </c>
      <c r="AM1491" s="1" t="str">
        <f>IFERROR(__xludf.DUMMYFUNCTION("""COMPUTED_VALUE"""),"")</f>
        <v/>
      </c>
      <c r="AN1491" s="1" t="str">
        <f>IFERROR(__xludf.DUMMYFUNCTION("""COMPUTED_VALUE"""),"")</f>
        <v/>
      </c>
      <c r="AO1491" s="1" t="str">
        <f>IFERROR(__xludf.DUMMYFUNCTION("""COMPUTED_VALUE"""),"")</f>
        <v/>
      </c>
      <c r="AP1491" s="1" t="str">
        <f>IFERROR(__xludf.DUMMYFUNCTION("""COMPUTED_VALUE"""),"")</f>
        <v/>
      </c>
      <c r="AQ1491" s="1" t="str">
        <f>IFERROR(__xludf.DUMMYFUNCTION("""COMPUTED_VALUE"""),"04/10/2024")</f>
        <v>04/10/2024</v>
      </c>
      <c r="AR1491" s="1" t="str">
        <f>IFERROR(__xludf.DUMMYFUNCTION("""COMPUTED_VALUE"""),"10/17/2025")</f>
        <v>10/17/2025</v>
      </c>
    </row>
    <row r="1492">
      <c r="A1492" s="1" t="str">
        <f>IFERROR(__xludf.DUMMYFUNCTION("""COMPUTED_VALUE"""),"Dulles Trade Center West")</f>
        <v>Dulles Trade Center West</v>
      </c>
      <c r="B1492" s="1" t="str">
        <f>IFERROR(__xludf.DUMMYFUNCTION("""COMPUTED_VALUE"""),"42670 TRADE WEST DR")</f>
        <v>42670 TRADE WEST DR</v>
      </c>
      <c r="C1492" s="1" t="str">
        <f>IFERROR(__xludf.DUMMYFUNCTION("""COMPUTED_VALUE"""),"Sterling")</f>
        <v>Sterling</v>
      </c>
      <c r="D1492" s="1" t="str">
        <f>IFERROR(__xludf.DUMMYFUNCTION("""COMPUTED_VALUE"""),"VA")</f>
        <v>VA</v>
      </c>
      <c r="E1492" s="1" t="str">
        <f>IFERROR(__xludf.DUMMYFUNCTION("""COMPUTED_VALUE"""),"20166")</f>
        <v>20166</v>
      </c>
      <c r="F1492" s="1" t="str">
        <f>IFERROR(__xludf.DUMMYFUNCTION("""COMPUTED_VALUE"""),"Loudoun")</f>
        <v>Loudoun</v>
      </c>
      <c r="G1492" s="1" t="str">
        <f>IFERROR(__xludf.DUMMYFUNCTION("""COMPUTED_VALUE"""),"38.95402")</f>
        <v>38.95402</v>
      </c>
      <c r="H1492" s="1" t="str">
        <f>IFERROR(__xludf.DUMMYFUNCTION("""COMPUTED_VALUE"""),"-77.52864")</f>
        <v>-77.52864</v>
      </c>
      <c r="I1492" s="1" t="str">
        <f>IFERROR(__xludf.DUMMYFUNCTION("""COMPUTED_VALUE"""),"Proposed")</f>
        <v>Proposed</v>
      </c>
      <c r="J1492" s="1" t="str">
        <f>IFERROR(__xludf.DUMMYFUNCTION("""COMPUTED_VALUE"""),"High")</f>
        <v>High</v>
      </c>
      <c r="K1492" s="1" t="str">
        <f>IFERROR(__xludf.DUMMYFUNCTION("""COMPUTED_VALUE"""),"")</f>
        <v/>
      </c>
      <c r="L1492" s="1" t="str">
        <f>IFERROR(__xludf.DUMMYFUNCTION("""COMPUTED_VALUE"""),"10 Trade West Drive LLC/Charles S Kuhn Manager")</f>
        <v>10 Trade West Drive LLC/Charles S Kuhn Manager</v>
      </c>
      <c r="M1492" s="1" t="str">
        <f>IFERROR(__xludf.DUMMYFUNCTION("""COMPUTED_VALUE"""),"")</f>
        <v/>
      </c>
      <c r="N1492" s="1" t="str">
        <f>IFERROR(__xludf.DUMMYFUNCTION("""COMPUTED_VALUE"""),"")</f>
        <v/>
      </c>
      <c r="O1492" s="1" t="str">
        <f>IFERROR(__xludf.DUMMYFUNCTION("""COMPUTED_VALUE"""),"Unknown")</f>
        <v>Unknown</v>
      </c>
      <c r="P1492" s="1" t="str">
        <f>IFERROR(__xludf.DUMMYFUNCTION("""COMPUTED_VALUE"""),"")</f>
        <v/>
      </c>
      <c r="Q1492" s="1" t="str">
        <f>IFERROR(__xludf.DUMMYFUNCTION("""COMPUTED_VALUE"""),"")</f>
        <v/>
      </c>
      <c r="R1492" s="1" t="str">
        <f>IFERROR(__xludf.DUMMYFUNCTION("""COMPUTED_VALUE"""),"")</f>
        <v/>
      </c>
      <c r="S1492" s="1" t="str">
        <f>IFERROR(__xludf.DUMMYFUNCTION("""COMPUTED_VALUE"""),"")</f>
        <v/>
      </c>
      <c r="T1492" s="1" t="str">
        <f>IFERROR(__xludf.DUMMYFUNCTION("""COMPUTED_VALUE"""),"")</f>
        <v/>
      </c>
      <c r="U1492" s="1" t="str">
        <f>IFERROR(__xludf.DUMMYFUNCTION("""COMPUTED_VALUE"""),"")</f>
        <v/>
      </c>
      <c r="V1492" s="1" t="str">
        <f>IFERROR(__xludf.DUMMYFUNCTION("""COMPUTED_VALUE"""),"386,800")</f>
        <v>386,800</v>
      </c>
      <c r="W1492" s="1" t="str">
        <f>IFERROR(__xludf.DUMMYFUNCTION("""COMPUTED_VALUE"""),"15")</f>
        <v>15</v>
      </c>
      <c r="X1492" s="1" t="str">
        <f>IFERROR(__xludf.DUMMYFUNCTION("""COMPUTED_VALUE"""),"")</f>
        <v/>
      </c>
      <c r="Y1492" s="1" t="str">
        <f>IFERROR(__xludf.DUMMYFUNCTION("""COMPUTED_VALUE"""),"")</f>
        <v/>
      </c>
      <c r="Z1492" s="1" t="str">
        <f>IFERROR(__xludf.DUMMYFUNCTION("""COMPUTED_VALUE"""),"Unknown")</f>
        <v>Unknown</v>
      </c>
      <c r="AA1492" s="1" t="str">
        <f>IFERROR(__xludf.DUMMYFUNCTION("""COMPUTED_VALUE"""),"")</f>
        <v/>
      </c>
      <c r="AB1492" s="1" t="str">
        <f>IFERROR(__xludf.DUMMYFUNCTION("""COMPUTED_VALUE"""),"")</f>
        <v/>
      </c>
      <c r="AC1492" s="1" t="str">
        <f>IFERROR(__xludf.DUMMYFUNCTION("""COMPUTED_VALUE"""),"")</f>
        <v/>
      </c>
      <c r="AD1492" s="1" t="str">
        <f>IFERROR(__xludf.DUMMYFUNCTION("""COMPUTED_VALUE"""),"")</f>
        <v/>
      </c>
      <c r="AE1492" s="1" t="str">
        <f>IFERROR(__xludf.DUMMYFUNCTION("""COMPUTED_VALUE"""),"")</f>
        <v/>
      </c>
      <c r="AF1492" s="1" t="str">
        <f>IFERROR(__xludf.DUMMYFUNCTION("""COMPUTED_VALUE"""),"")</f>
        <v/>
      </c>
      <c r="AG1492" s="1" t="str">
        <f>IFERROR(__xludf.DUMMYFUNCTION("""COMPUTED_VALUE"""),"")</f>
        <v/>
      </c>
      <c r="AH1492" s="1" t="str">
        <f>IFERROR(__xludf.DUMMYFUNCTION("""COMPUTED_VALUE"""),"PEC")</f>
        <v>PEC</v>
      </c>
      <c r="AI1492" s="2" t="str">
        <f>IFERROR(__xludf.DUMMYFUNCTION("""COMPUTED_VALUE"""),"https://loudouncountyvaeg.tylerhost.net/prod/selfservice#/plan/1623A063-96C6-448D-91CC-B7B3E9DA7B8B?tab=attachments")</f>
        <v>https://loudouncountyvaeg.tylerhost.net/prod/selfservice#/plan/1623A063-96C6-448D-91CC-B7B3E9DA7B8B?tab=attachments</v>
      </c>
      <c r="AJ1492" s="2" t="str">
        <f>IFERROR(__xludf.DUMMYFUNCTION("""COMPUTED_VALUE"""),"https://reparcelasmt.loudoun.gov/pt/Datalets/Datalet.aspx?UseSearch=no&amp;mode=profileall&amp;pin=161170879000&amp;jur=107&amp;taxyr=2024")</f>
        <v>https://reparcelasmt.loudoun.gov/pt/Datalets/Datalet.aspx?UseSearch=no&amp;mode=profileall&amp;pin=161170879000&amp;jur=107&amp;taxyr=2024</v>
      </c>
      <c r="AK1492" s="1" t="str">
        <f>IFERROR(__xludf.DUMMYFUNCTION("""COMPUTED_VALUE"""),"")</f>
        <v/>
      </c>
      <c r="AL1492" s="1" t="str">
        <f>IFERROR(__xludf.DUMMYFUNCTION("""COMPUTED_VALUE"""),"")</f>
        <v/>
      </c>
      <c r="AM1492" s="1" t="str">
        <f>IFERROR(__xludf.DUMMYFUNCTION("""COMPUTED_VALUE"""),"")</f>
        <v/>
      </c>
      <c r="AN1492" s="1" t="str">
        <f>IFERROR(__xludf.DUMMYFUNCTION("""COMPUTED_VALUE"""),"")</f>
        <v/>
      </c>
      <c r="AO1492" s="1" t="str">
        <f>IFERROR(__xludf.DUMMYFUNCTION("""COMPUTED_VALUE"""),"")</f>
        <v/>
      </c>
      <c r="AP1492" s="1" t="str">
        <f>IFERROR(__xludf.DUMMYFUNCTION("""COMPUTED_VALUE"""),"")</f>
        <v/>
      </c>
      <c r="AQ1492" s="1" t="str">
        <f>IFERROR(__xludf.DUMMYFUNCTION("""COMPUTED_VALUE"""),"04/10/2024")</f>
        <v>04/10/2024</v>
      </c>
      <c r="AR1492" s="1" t="str">
        <f>IFERROR(__xludf.DUMMYFUNCTION("""COMPUTED_VALUE"""),"10/17/2025")</f>
        <v>10/17/2025</v>
      </c>
    </row>
    <row r="1493">
      <c r="A1493" s="1" t="str">
        <f>IFERROR(__xludf.DUMMYFUNCTION("""COMPUTED_VALUE"""),"FR SUMMIT AWS")</f>
        <v>FR SUMMIT AWS</v>
      </c>
      <c r="B1493" s="1" t="str">
        <f>IFERROR(__xludf.DUMMYFUNCTION("""COMPUTED_VALUE"""),"22630 DULLES SUMMIT CT")</f>
        <v>22630 DULLES SUMMIT CT</v>
      </c>
      <c r="C1493" s="1" t="str">
        <f>IFERROR(__xludf.DUMMYFUNCTION("""COMPUTED_VALUE"""),"Sterling")</f>
        <v>Sterling</v>
      </c>
      <c r="D1493" s="1" t="str">
        <f>IFERROR(__xludf.DUMMYFUNCTION("""COMPUTED_VALUE"""),"VA")</f>
        <v>VA</v>
      </c>
      <c r="E1493" s="1" t="str">
        <f>IFERROR(__xludf.DUMMYFUNCTION("""COMPUTED_VALUE"""),"20166")</f>
        <v>20166</v>
      </c>
      <c r="F1493" s="1" t="str">
        <f>IFERROR(__xludf.DUMMYFUNCTION("""COMPUTED_VALUE"""),"Loudoun")</f>
        <v>Loudoun</v>
      </c>
      <c r="G1493" s="1" t="str">
        <f>IFERROR(__xludf.DUMMYFUNCTION("""COMPUTED_VALUE"""),"38.98871")</f>
        <v>38.98871</v>
      </c>
      <c r="H1493" s="1" t="str">
        <f>IFERROR(__xludf.DUMMYFUNCTION("""COMPUTED_VALUE"""),"-77.44765")</f>
        <v>-77.44765</v>
      </c>
      <c r="I1493" s="1" t="str">
        <f>IFERROR(__xludf.DUMMYFUNCTION("""COMPUTED_VALUE"""),"Operating")</f>
        <v>Operating</v>
      </c>
      <c r="J1493" s="1" t="str">
        <f>IFERROR(__xludf.DUMMYFUNCTION("""COMPUTED_VALUE"""),"High")</f>
        <v>High</v>
      </c>
      <c r="K1493" s="1" t="str">
        <f>IFERROR(__xludf.DUMMYFUNCTION("""COMPUTED_VALUE"""),"")</f>
        <v/>
      </c>
      <c r="L1493" s="1" t="str">
        <f>IFERROR(__xludf.DUMMYFUNCTION("""COMPUTED_VALUE"""),"FR SUMMIT LLC")</f>
        <v>FR SUMMIT LLC</v>
      </c>
      <c r="M1493" s="1" t="str">
        <f>IFERROR(__xludf.DUMMYFUNCTION("""COMPUTED_VALUE"""),"")</f>
        <v/>
      </c>
      <c r="N1493" s="1" t="str">
        <f>IFERROR(__xludf.DUMMYFUNCTION("""COMPUTED_VALUE"""),"")</f>
        <v/>
      </c>
      <c r="O1493" s="1" t="str">
        <f>IFERROR(__xludf.DUMMYFUNCTION("""COMPUTED_VALUE"""),"Unknown")</f>
        <v>Unknown</v>
      </c>
      <c r="P1493" s="1" t="str">
        <f>IFERROR(__xludf.DUMMYFUNCTION("""COMPUTED_VALUE"""),"")</f>
        <v/>
      </c>
      <c r="Q1493" s="1" t="str">
        <f>IFERROR(__xludf.DUMMYFUNCTION("""COMPUTED_VALUE"""),"")</f>
        <v/>
      </c>
      <c r="R1493" s="1" t="str">
        <f>IFERROR(__xludf.DUMMYFUNCTION("""COMPUTED_VALUE"""),"")</f>
        <v/>
      </c>
      <c r="S1493" s="1" t="str">
        <f>IFERROR(__xludf.DUMMYFUNCTION("""COMPUTED_VALUE"""),"")</f>
        <v/>
      </c>
      <c r="T1493" s="1" t="str">
        <f>IFERROR(__xludf.DUMMYFUNCTION("""COMPUTED_VALUE"""),"")</f>
        <v/>
      </c>
      <c r="U1493" s="1" t="str">
        <f>IFERROR(__xludf.DUMMYFUNCTION("""COMPUTED_VALUE"""),"")</f>
        <v/>
      </c>
      <c r="V1493" s="1" t="str">
        <f>IFERROR(__xludf.DUMMYFUNCTION("""COMPUTED_VALUE"""),"149,200")</f>
        <v>149,200</v>
      </c>
      <c r="W1493" s="1" t="str">
        <f>IFERROR(__xludf.DUMMYFUNCTION("""COMPUTED_VALUE"""),"10")</f>
        <v>10</v>
      </c>
      <c r="X1493" s="1" t="str">
        <f>IFERROR(__xludf.DUMMYFUNCTION("""COMPUTED_VALUE"""),"")</f>
        <v/>
      </c>
      <c r="Y1493" s="1" t="str">
        <f>IFERROR(__xludf.DUMMYFUNCTION("""COMPUTED_VALUE"""),"")</f>
        <v/>
      </c>
      <c r="Z1493" s="1" t="str">
        <f>IFERROR(__xludf.DUMMYFUNCTION("""COMPUTED_VALUE"""),"Unknown")</f>
        <v>Unknown</v>
      </c>
      <c r="AA1493" s="1" t="str">
        <f>IFERROR(__xludf.DUMMYFUNCTION("""COMPUTED_VALUE"""),"")</f>
        <v/>
      </c>
      <c r="AB1493" s="1" t="str">
        <f>IFERROR(__xludf.DUMMYFUNCTION("""COMPUTED_VALUE"""),"")</f>
        <v/>
      </c>
      <c r="AC1493" s="1" t="str">
        <f>IFERROR(__xludf.DUMMYFUNCTION("""COMPUTED_VALUE"""),"")</f>
        <v/>
      </c>
      <c r="AD1493" s="1" t="str">
        <f>IFERROR(__xludf.DUMMYFUNCTION("""COMPUTED_VALUE"""),"")</f>
        <v/>
      </c>
      <c r="AE1493" s="1" t="str">
        <f>IFERROR(__xludf.DUMMYFUNCTION("""COMPUTED_VALUE"""),"")</f>
        <v/>
      </c>
      <c r="AF1493" s="1" t="str">
        <f>IFERROR(__xludf.DUMMYFUNCTION("""COMPUTED_VALUE"""),"")</f>
        <v/>
      </c>
      <c r="AG1493" s="1" t="str">
        <f>IFERROR(__xludf.DUMMYFUNCTION("""COMPUTED_VALUE"""),"Shown as ""Storage Warehouse""")</f>
        <v>Shown as "Storage Warehouse"</v>
      </c>
      <c r="AH1493" s="1" t="str">
        <f>IFERROR(__xludf.DUMMYFUNCTION("""COMPUTED_VALUE"""),"PEC")</f>
        <v>PEC</v>
      </c>
      <c r="AI1493" s="2" t="str">
        <f>IFERROR(__xludf.DUMMYFUNCTION("""COMPUTED_VALUE"""),"https://reparcelasmt.loudoun.gov/pt/datalets/datalet.aspx?mode=profileall&amp;UseSearch=no&amp;pin=045159083000&amp;jur=107&amp;taxyr=2024&amp;LMparent=20")</f>
        <v>https://reparcelasmt.loudoun.gov/pt/datalets/datalet.aspx?mode=profileall&amp;UseSearch=no&amp;pin=045159083000&amp;jur=107&amp;taxyr=2024&amp;LMparent=20</v>
      </c>
      <c r="AJ1493" s="1" t="str">
        <f>IFERROR(__xludf.DUMMYFUNCTION("""COMPUTED_VALUE"""),"")</f>
        <v/>
      </c>
      <c r="AK1493" s="1" t="str">
        <f>IFERROR(__xludf.DUMMYFUNCTION("""COMPUTED_VALUE"""),"")</f>
        <v/>
      </c>
      <c r="AL1493" s="1" t="str">
        <f>IFERROR(__xludf.DUMMYFUNCTION("""COMPUTED_VALUE"""),"")</f>
        <v/>
      </c>
      <c r="AM1493" s="1" t="str">
        <f>IFERROR(__xludf.DUMMYFUNCTION("""COMPUTED_VALUE"""),"")</f>
        <v/>
      </c>
      <c r="AN1493" s="1" t="str">
        <f>IFERROR(__xludf.DUMMYFUNCTION("""COMPUTED_VALUE"""),"")</f>
        <v/>
      </c>
      <c r="AO1493" s="1" t="str">
        <f>IFERROR(__xludf.DUMMYFUNCTION("""COMPUTED_VALUE"""),"")</f>
        <v/>
      </c>
      <c r="AP1493" s="1" t="str">
        <f>IFERROR(__xludf.DUMMYFUNCTION("""COMPUTED_VALUE"""),"")</f>
        <v/>
      </c>
      <c r="AQ1493" s="1" t="str">
        <f>IFERROR(__xludf.DUMMYFUNCTION("""COMPUTED_VALUE"""),"04/10/2024")</f>
        <v>04/10/2024</v>
      </c>
      <c r="AR1493" s="1" t="str">
        <f>IFERROR(__xludf.DUMMYFUNCTION("""COMPUTED_VALUE"""),"10/17/2025")</f>
        <v>10/17/2025</v>
      </c>
    </row>
    <row r="1494">
      <c r="A1494" s="1" t="str">
        <f>IFERROR(__xludf.DUMMYFUNCTION("""COMPUTED_VALUE"""),"GI TC 45360 SEVERN WAY LLC")</f>
        <v>GI TC 45360 SEVERN WAY LLC</v>
      </c>
      <c r="B1494" s="1" t="str">
        <f>IFERROR(__xludf.DUMMYFUNCTION("""COMPUTED_VALUE"""),"45360 W SEVERN WAY")</f>
        <v>45360 W SEVERN WAY</v>
      </c>
      <c r="C1494" s="1" t="str">
        <f>IFERROR(__xludf.DUMMYFUNCTION("""COMPUTED_VALUE"""),"Sterling")</f>
        <v>Sterling</v>
      </c>
      <c r="D1494" s="1" t="str">
        <f>IFERROR(__xludf.DUMMYFUNCTION("""COMPUTED_VALUE"""),"VA")</f>
        <v>VA</v>
      </c>
      <c r="E1494" s="1" t="str">
        <f>IFERROR(__xludf.DUMMYFUNCTION("""COMPUTED_VALUE"""),"20166")</f>
        <v>20166</v>
      </c>
      <c r="F1494" s="1" t="str">
        <f>IFERROR(__xludf.DUMMYFUNCTION("""COMPUTED_VALUE"""),"Loudoun")</f>
        <v>Loudoun</v>
      </c>
      <c r="G1494" s="1" t="str">
        <f>IFERROR(__xludf.DUMMYFUNCTION("""COMPUTED_VALUE"""),"39.021675")</f>
        <v>39.021675</v>
      </c>
      <c r="H1494" s="1" t="str">
        <f>IFERROR(__xludf.DUMMYFUNCTION("""COMPUTED_VALUE"""),"-77.432915")</f>
        <v>-77.432915</v>
      </c>
      <c r="I1494" s="1" t="str">
        <f>IFERROR(__xludf.DUMMYFUNCTION("""COMPUTED_VALUE"""),"Operating")</f>
        <v>Operating</v>
      </c>
      <c r="J1494" s="1" t="str">
        <f>IFERROR(__xludf.DUMMYFUNCTION("""COMPUTED_VALUE"""),"High")</f>
        <v>High</v>
      </c>
      <c r="K1494" s="1" t="str">
        <f>IFERROR(__xludf.DUMMYFUNCTION("""COMPUTED_VALUE"""),"")</f>
        <v/>
      </c>
      <c r="L1494" s="1" t="str">
        <f>IFERROR(__xludf.DUMMYFUNCTION("""COMPUTED_VALUE"""),"GI TC 45360 SEVERN WAY LLC")</f>
        <v>GI TC 45360 SEVERN WAY LLC</v>
      </c>
      <c r="M1494" s="1" t="str">
        <f>IFERROR(__xludf.DUMMYFUNCTION("""COMPUTED_VALUE"""),"")</f>
        <v/>
      </c>
      <c r="N1494" s="1" t="str">
        <f>IFERROR(__xludf.DUMMYFUNCTION("""COMPUTED_VALUE"""),"")</f>
        <v/>
      </c>
      <c r="O1494" s="1" t="str">
        <f>IFERROR(__xludf.DUMMYFUNCTION("""COMPUTED_VALUE"""),"Unknown")</f>
        <v>Unknown</v>
      </c>
      <c r="P1494" s="1" t="str">
        <f>IFERROR(__xludf.DUMMYFUNCTION("""COMPUTED_VALUE"""),"")</f>
        <v/>
      </c>
      <c r="Q1494" s="1" t="str">
        <f>IFERROR(__xludf.DUMMYFUNCTION("""COMPUTED_VALUE"""),"")</f>
        <v/>
      </c>
      <c r="R1494" s="1" t="str">
        <f>IFERROR(__xludf.DUMMYFUNCTION("""COMPUTED_VALUE"""),"")</f>
        <v/>
      </c>
      <c r="S1494" s="1" t="str">
        <f>IFERROR(__xludf.DUMMYFUNCTION("""COMPUTED_VALUE"""),"")</f>
        <v/>
      </c>
      <c r="T1494" s="1" t="str">
        <f>IFERROR(__xludf.DUMMYFUNCTION("""COMPUTED_VALUE"""),"")</f>
        <v/>
      </c>
      <c r="U1494" s="1" t="str">
        <f>IFERROR(__xludf.DUMMYFUNCTION("""COMPUTED_VALUE"""),"")</f>
        <v/>
      </c>
      <c r="V1494" s="1" t="str">
        <f>IFERROR(__xludf.DUMMYFUNCTION("""COMPUTED_VALUE"""),"126,900")</f>
        <v>126,900</v>
      </c>
      <c r="W1494" s="1" t="str">
        <f>IFERROR(__xludf.DUMMYFUNCTION("""COMPUTED_VALUE"""),"8")</f>
        <v>8</v>
      </c>
      <c r="X1494" s="1" t="str">
        <f>IFERROR(__xludf.DUMMYFUNCTION("""COMPUTED_VALUE"""),"")</f>
        <v/>
      </c>
      <c r="Y1494" s="1" t="str">
        <f>IFERROR(__xludf.DUMMYFUNCTION("""COMPUTED_VALUE"""),"")</f>
        <v/>
      </c>
      <c r="Z1494" s="1" t="str">
        <f>IFERROR(__xludf.DUMMYFUNCTION("""COMPUTED_VALUE"""),"Unknown")</f>
        <v>Unknown</v>
      </c>
      <c r="AA1494" s="1" t="str">
        <f>IFERROR(__xludf.DUMMYFUNCTION("""COMPUTED_VALUE"""),"")</f>
        <v/>
      </c>
      <c r="AB1494" s="1" t="str">
        <f>IFERROR(__xludf.DUMMYFUNCTION("""COMPUTED_VALUE"""),"")</f>
        <v/>
      </c>
      <c r="AC1494" s="1" t="str">
        <f>IFERROR(__xludf.DUMMYFUNCTION("""COMPUTED_VALUE"""),"")</f>
        <v/>
      </c>
      <c r="AD1494" s="1" t="str">
        <f>IFERROR(__xludf.DUMMYFUNCTION("""COMPUTED_VALUE"""),"")</f>
        <v/>
      </c>
      <c r="AE1494" s="1" t="str">
        <f>IFERROR(__xludf.DUMMYFUNCTION("""COMPUTED_VALUE"""),"")</f>
        <v/>
      </c>
      <c r="AF1494" s="1" t="str">
        <f>IFERROR(__xludf.DUMMYFUNCTION("""COMPUTED_VALUE"""),"")</f>
        <v/>
      </c>
      <c r="AG1494" s="1" t="str">
        <f>IFERROR(__xludf.DUMMYFUNCTION("""COMPUTED_VALUE"""),"Shown as ""Storage Warehouse""")</f>
        <v>Shown as "Storage Warehouse"</v>
      </c>
      <c r="AH1494" s="1" t="str">
        <f>IFERROR(__xludf.DUMMYFUNCTION("""COMPUTED_VALUE"""),"PEC")</f>
        <v>PEC</v>
      </c>
      <c r="AI1494" s="2" t="str">
        <f>IFERROR(__xludf.DUMMYFUNCTION("""COMPUTED_VALUE"""),"https://reparcelasmt.loudoun.gov/pt/datalets/datalet.aspx?mode=profileall&amp;UseSearch=no&amp;pin=042200988000&amp;jur=107&amp;taxyr=2024&amp;LMparent=20")</f>
        <v>https://reparcelasmt.loudoun.gov/pt/datalets/datalet.aspx?mode=profileall&amp;UseSearch=no&amp;pin=042200988000&amp;jur=107&amp;taxyr=2024&amp;LMparent=20</v>
      </c>
      <c r="AJ1494" s="1" t="str">
        <f>IFERROR(__xludf.DUMMYFUNCTION("""COMPUTED_VALUE"""),"")</f>
        <v/>
      </c>
      <c r="AK1494" s="1" t="str">
        <f>IFERROR(__xludf.DUMMYFUNCTION("""COMPUTED_VALUE"""),"")</f>
        <v/>
      </c>
      <c r="AL1494" s="1" t="str">
        <f>IFERROR(__xludf.DUMMYFUNCTION("""COMPUTED_VALUE"""),"")</f>
        <v/>
      </c>
      <c r="AM1494" s="1" t="str">
        <f>IFERROR(__xludf.DUMMYFUNCTION("""COMPUTED_VALUE"""),"")</f>
        <v/>
      </c>
      <c r="AN1494" s="1" t="str">
        <f>IFERROR(__xludf.DUMMYFUNCTION("""COMPUTED_VALUE"""),"")</f>
        <v/>
      </c>
      <c r="AO1494" s="1" t="str">
        <f>IFERROR(__xludf.DUMMYFUNCTION("""COMPUTED_VALUE"""),"")</f>
        <v/>
      </c>
      <c r="AP1494" s="1" t="str">
        <f>IFERROR(__xludf.DUMMYFUNCTION("""COMPUTED_VALUE"""),"")</f>
        <v/>
      </c>
      <c r="AQ1494" s="1" t="str">
        <f>IFERROR(__xludf.DUMMYFUNCTION("""COMPUTED_VALUE"""),"04/10/2024")</f>
        <v>04/10/2024</v>
      </c>
      <c r="AR1494" s="1" t="str">
        <f>IFERROR(__xludf.DUMMYFUNCTION("""COMPUTED_VALUE"""),"10/17/2025")</f>
        <v>10/17/2025</v>
      </c>
    </row>
    <row r="1495">
      <c r="A1495" s="1" t="str">
        <f>IFERROR(__xludf.DUMMYFUNCTION("""COMPUTED_VALUE"""),"HORSESHOE DRIVE")</f>
        <v>HORSESHOE DRIVE</v>
      </c>
      <c r="B1495" s="1" t="str">
        <f>IFERROR(__xludf.DUMMYFUNCTION("""COMPUTED_VALUE"""),"45925 HORSESHOE DR")</f>
        <v>45925 HORSESHOE DR</v>
      </c>
      <c r="C1495" s="1" t="str">
        <f>IFERROR(__xludf.DUMMYFUNCTION("""COMPUTED_VALUE"""),"Sterling")</f>
        <v>Sterling</v>
      </c>
      <c r="D1495" s="1" t="str">
        <f>IFERROR(__xludf.DUMMYFUNCTION("""COMPUTED_VALUE"""),"VA")</f>
        <v>VA</v>
      </c>
      <c r="E1495" s="1" t="str">
        <f>IFERROR(__xludf.DUMMYFUNCTION("""COMPUTED_VALUE"""),"20166")</f>
        <v>20166</v>
      </c>
      <c r="F1495" s="1" t="str">
        <f>IFERROR(__xludf.DUMMYFUNCTION("""COMPUTED_VALUE"""),"Loudoun")</f>
        <v>Loudoun</v>
      </c>
      <c r="G1495" s="1" t="str">
        <f>IFERROR(__xludf.DUMMYFUNCTION("""COMPUTED_VALUE"""),"39.026024")</f>
        <v>39.026024</v>
      </c>
      <c r="H1495" s="1" t="str">
        <f>IFERROR(__xludf.DUMMYFUNCTION("""COMPUTED_VALUE"""),"-77.411606")</f>
        <v>-77.411606</v>
      </c>
      <c r="I1495" s="1" t="str">
        <f>IFERROR(__xludf.DUMMYFUNCTION("""COMPUTED_VALUE"""),"Proposed")</f>
        <v>Proposed</v>
      </c>
      <c r="J1495" s="1" t="str">
        <f>IFERROR(__xludf.DUMMYFUNCTION("""COMPUTED_VALUE"""),"High")</f>
        <v>High</v>
      </c>
      <c r="K1495" s="1" t="str">
        <f>IFERROR(__xludf.DUMMYFUNCTION("""COMPUTED_VALUE"""),"")</f>
        <v/>
      </c>
      <c r="L1495" s="1" t="str">
        <f>IFERROR(__xludf.DUMMYFUNCTION("""COMPUTED_VALUE"""),"")</f>
        <v/>
      </c>
      <c r="M1495" s="1" t="str">
        <f>IFERROR(__xludf.DUMMYFUNCTION("""COMPUTED_VALUE"""),"")</f>
        <v/>
      </c>
      <c r="N1495" s="1" t="str">
        <f>IFERROR(__xludf.DUMMYFUNCTION("""COMPUTED_VALUE"""),"")</f>
        <v/>
      </c>
      <c r="O1495" s="1" t="str">
        <f>IFERROR(__xludf.DUMMYFUNCTION("""COMPUTED_VALUE"""),"Unknown")</f>
        <v>Unknown</v>
      </c>
      <c r="P1495" s="1" t="str">
        <f>IFERROR(__xludf.DUMMYFUNCTION("""COMPUTED_VALUE"""),"")</f>
        <v/>
      </c>
      <c r="Q1495" s="1" t="str">
        <f>IFERROR(__xludf.DUMMYFUNCTION("""COMPUTED_VALUE"""),"")</f>
        <v/>
      </c>
      <c r="R1495" s="1" t="str">
        <f>IFERROR(__xludf.DUMMYFUNCTION("""COMPUTED_VALUE"""),"")</f>
        <v/>
      </c>
      <c r="S1495" s="1" t="str">
        <f>IFERROR(__xludf.DUMMYFUNCTION("""COMPUTED_VALUE"""),"")</f>
        <v/>
      </c>
      <c r="T1495" s="1" t="str">
        <f>IFERROR(__xludf.DUMMYFUNCTION("""COMPUTED_VALUE"""),"")</f>
        <v/>
      </c>
      <c r="U1495" s="1" t="str">
        <f>IFERROR(__xludf.DUMMYFUNCTION("""COMPUTED_VALUE"""),"")</f>
        <v/>
      </c>
      <c r="V1495" s="1" t="str">
        <f>IFERROR(__xludf.DUMMYFUNCTION("""COMPUTED_VALUE"""),"481,220")</f>
        <v>481,220</v>
      </c>
      <c r="W1495" s="1" t="str">
        <f>IFERROR(__xludf.DUMMYFUNCTION("""COMPUTED_VALUE"""),"11")</f>
        <v>11</v>
      </c>
      <c r="X1495" s="1" t="str">
        <f>IFERROR(__xludf.DUMMYFUNCTION("""COMPUTED_VALUE"""),"")</f>
        <v/>
      </c>
      <c r="Y1495" s="1" t="str">
        <f>IFERROR(__xludf.DUMMYFUNCTION("""COMPUTED_VALUE"""),"")</f>
        <v/>
      </c>
      <c r="Z1495" s="1" t="str">
        <f>IFERROR(__xludf.DUMMYFUNCTION("""COMPUTED_VALUE"""),"Unknown")</f>
        <v>Unknown</v>
      </c>
      <c r="AA1495" s="1" t="str">
        <f>IFERROR(__xludf.DUMMYFUNCTION("""COMPUTED_VALUE"""),"")</f>
        <v/>
      </c>
      <c r="AB1495" s="1" t="str">
        <f>IFERROR(__xludf.DUMMYFUNCTION("""COMPUTED_VALUE"""),"")</f>
        <v/>
      </c>
      <c r="AC1495" s="1" t="str">
        <f>IFERROR(__xludf.DUMMYFUNCTION("""COMPUTED_VALUE"""),"")</f>
        <v/>
      </c>
      <c r="AD1495" s="1" t="str">
        <f>IFERROR(__xludf.DUMMYFUNCTION("""COMPUTED_VALUE"""),"")</f>
        <v/>
      </c>
      <c r="AE1495" s="1" t="str">
        <f>IFERROR(__xludf.DUMMYFUNCTION("""COMPUTED_VALUE"""),"")</f>
        <v/>
      </c>
      <c r="AF1495" s="1" t="str">
        <f>IFERROR(__xludf.DUMMYFUNCTION("""COMPUTED_VALUE"""),"")</f>
        <v/>
      </c>
      <c r="AG1495" s="1" t="str">
        <f>IFERROR(__xludf.DUMMYFUNCTION("""COMPUTED_VALUE"""),"")</f>
        <v/>
      </c>
      <c r="AH1495" s="1" t="str">
        <f>IFERROR(__xludf.DUMMYFUNCTION("""COMPUTED_VALUE"""),"PEC")</f>
        <v>PEC</v>
      </c>
      <c r="AI1495" s="2" t="str">
        <f>IFERROR(__xludf.DUMMYFUNCTION("""COMPUTED_VALUE"""),"https://loudouncountyvaeg.tylerhost.net/prod/selfservice#/plan/8628ddc2-6e18-48aa-af54-fec33b62c2c2?tab=attachments")</f>
        <v>https://loudouncountyvaeg.tylerhost.net/prod/selfservice#/plan/8628ddc2-6e18-48aa-af54-fec33b62c2c2?tab=attachments</v>
      </c>
      <c r="AJ1495" s="2" t="str">
        <f>IFERROR(__xludf.DUMMYFUNCTION("""COMPUTED_VALUE"""),"https://reparcelasmt.loudoun.gov/pt/Datalets/Datalet.aspx?UseSearch=no&amp;mode=profileall&amp;pin=030300991000&amp;jur=107&amp;taxyr=2025")</f>
        <v>https://reparcelasmt.loudoun.gov/pt/Datalets/Datalet.aspx?UseSearch=no&amp;mode=profileall&amp;pin=030300991000&amp;jur=107&amp;taxyr=2025</v>
      </c>
      <c r="AK1495" s="1" t="str">
        <f>IFERROR(__xludf.DUMMYFUNCTION("""COMPUTED_VALUE"""),"")</f>
        <v/>
      </c>
      <c r="AL1495" s="1" t="str">
        <f>IFERROR(__xludf.DUMMYFUNCTION("""COMPUTED_VALUE"""),"")</f>
        <v/>
      </c>
      <c r="AM1495" s="1" t="str">
        <f>IFERROR(__xludf.DUMMYFUNCTION("""COMPUTED_VALUE"""),"")</f>
        <v/>
      </c>
      <c r="AN1495" s="1" t="str">
        <f>IFERROR(__xludf.DUMMYFUNCTION("""COMPUTED_VALUE"""),"")</f>
        <v/>
      </c>
      <c r="AO1495" s="1" t="str">
        <f>IFERROR(__xludf.DUMMYFUNCTION("""COMPUTED_VALUE"""),"")</f>
        <v/>
      </c>
      <c r="AP1495" s="1" t="str">
        <f>IFERROR(__xludf.DUMMYFUNCTION("""COMPUTED_VALUE"""),"")</f>
        <v/>
      </c>
      <c r="AQ1495" s="1" t="str">
        <f>IFERROR(__xludf.DUMMYFUNCTION("""COMPUTED_VALUE"""),"08/10/2025")</f>
        <v>08/10/2025</v>
      </c>
      <c r="AR1495" s="1" t="str">
        <f>IFERROR(__xludf.DUMMYFUNCTION("""COMPUTED_VALUE"""),"10/17/2025")</f>
        <v>10/17/2025</v>
      </c>
    </row>
    <row r="1496">
      <c r="A1496" s="1" t="str">
        <f>IFERROR(__xludf.DUMMYFUNCTION("""COMPUTED_VALUE"""),"IAD03")</f>
        <v>IAD03</v>
      </c>
      <c r="B1496" s="1" t="str">
        <f>IFERROR(__xludf.DUMMYFUNCTION("""COMPUTED_VALUE"""),"22580 RELOCATION DR")</f>
        <v>22580 RELOCATION DR</v>
      </c>
      <c r="C1496" s="1" t="str">
        <f>IFERROR(__xludf.DUMMYFUNCTION("""COMPUTED_VALUE"""),"Sterling")</f>
        <v>Sterling</v>
      </c>
      <c r="D1496" s="1" t="str">
        <f>IFERROR(__xludf.DUMMYFUNCTION("""COMPUTED_VALUE"""),"VA")</f>
        <v>VA</v>
      </c>
      <c r="E1496" s="1" t="str">
        <f>IFERROR(__xludf.DUMMYFUNCTION("""COMPUTED_VALUE"""),"20166")</f>
        <v>20166</v>
      </c>
      <c r="F1496" s="1" t="str">
        <f>IFERROR(__xludf.DUMMYFUNCTION("""COMPUTED_VALUE"""),"Loudoun")</f>
        <v>Loudoun</v>
      </c>
      <c r="G1496" s="1" t="str">
        <f>IFERROR(__xludf.DUMMYFUNCTION("""COMPUTED_VALUE"""),"38.993076")</f>
        <v>38.993076</v>
      </c>
      <c r="H1496" s="1" t="str">
        <f>IFERROR(__xludf.DUMMYFUNCTION("""COMPUTED_VALUE"""),"-77.43411")</f>
        <v>-77.43411</v>
      </c>
      <c r="I1496" s="1" t="str">
        <f>IFERROR(__xludf.DUMMYFUNCTION("""COMPUTED_VALUE"""),"Operating")</f>
        <v>Operating</v>
      </c>
      <c r="J1496" s="1" t="str">
        <f>IFERROR(__xludf.DUMMYFUNCTION("""COMPUTED_VALUE"""),"High")</f>
        <v>High</v>
      </c>
      <c r="K1496" s="1" t="str">
        <f>IFERROR(__xludf.DUMMYFUNCTION("""COMPUTED_VALUE"""),"")</f>
        <v/>
      </c>
      <c r="L1496" s="1" t="str">
        <f>IFERROR(__xludf.DUMMYFUNCTION("""COMPUTED_VALUE"""),"Aligned Data Centers")</f>
        <v>Aligned Data Centers</v>
      </c>
      <c r="M1496" s="1" t="str">
        <f>IFERROR(__xludf.DUMMYFUNCTION("""COMPUTED_VALUE"""),"")</f>
        <v/>
      </c>
      <c r="N1496" s="1" t="str">
        <f>IFERROR(__xludf.DUMMYFUNCTION("""COMPUTED_VALUE"""),"")</f>
        <v/>
      </c>
      <c r="O1496" s="1" t="str">
        <f>IFERROR(__xludf.DUMMYFUNCTION("""COMPUTED_VALUE"""),"Unknown")</f>
        <v>Unknown</v>
      </c>
      <c r="P1496" s="1" t="str">
        <f>IFERROR(__xludf.DUMMYFUNCTION("""COMPUTED_VALUE"""),"")</f>
        <v/>
      </c>
      <c r="Q1496" s="1" t="str">
        <f>IFERROR(__xludf.DUMMYFUNCTION("""COMPUTED_VALUE"""),"")</f>
        <v/>
      </c>
      <c r="R1496" s="1" t="str">
        <f>IFERROR(__xludf.DUMMYFUNCTION("""COMPUTED_VALUE"""),"")</f>
        <v/>
      </c>
      <c r="S1496" s="1" t="str">
        <f>IFERROR(__xludf.DUMMYFUNCTION("""COMPUTED_VALUE"""),"")</f>
        <v/>
      </c>
      <c r="T1496" s="1" t="str">
        <f>IFERROR(__xludf.DUMMYFUNCTION("""COMPUTED_VALUE"""),"")</f>
        <v/>
      </c>
      <c r="U1496" s="1" t="str">
        <f>IFERROR(__xludf.DUMMYFUNCTION("""COMPUTED_VALUE"""),"")</f>
        <v/>
      </c>
      <c r="V1496" s="1" t="str">
        <f>IFERROR(__xludf.DUMMYFUNCTION("""COMPUTED_VALUE"""),"180,355")</f>
        <v>180,355</v>
      </c>
      <c r="W1496" s="1" t="str">
        <f>IFERROR(__xludf.DUMMYFUNCTION("""COMPUTED_VALUE"""),"13")</f>
        <v>13</v>
      </c>
      <c r="X1496" s="1" t="str">
        <f>IFERROR(__xludf.DUMMYFUNCTION("""COMPUTED_VALUE"""),"")</f>
        <v/>
      </c>
      <c r="Y1496" s="1" t="str">
        <f>IFERROR(__xludf.DUMMYFUNCTION("""COMPUTED_VALUE"""),"")</f>
        <v/>
      </c>
      <c r="Z1496" s="1" t="str">
        <f>IFERROR(__xludf.DUMMYFUNCTION("""COMPUTED_VALUE"""),"Unknown")</f>
        <v>Unknown</v>
      </c>
      <c r="AA1496" s="1" t="str">
        <f>IFERROR(__xludf.DUMMYFUNCTION("""COMPUTED_VALUE"""),"")</f>
        <v/>
      </c>
      <c r="AB1496" s="1" t="str">
        <f>IFERROR(__xludf.DUMMYFUNCTION("""COMPUTED_VALUE"""),"")</f>
        <v/>
      </c>
      <c r="AC1496" s="1" t="str">
        <f>IFERROR(__xludf.DUMMYFUNCTION("""COMPUTED_VALUE"""),"")</f>
        <v/>
      </c>
      <c r="AD1496" s="1" t="str">
        <f>IFERROR(__xludf.DUMMYFUNCTION("""COMPUTED_VALUE"""),"")</f>
        <v/>
      </c>
      <c r="AE1496" s="1" t="str">
        <f>IFERROR(__xludf.DUMMYFUNCTION("""COMPUTED_VALUE"""),"")</f>
        <v/>
      </c>
      <c r="AF1496" s="1" t="str">
        <f>IFERROR(__xludf.DUMMYFUNCTION("""COMPUTED_VALUE"""),"")</f>
        <v/>
      </c>
      <c r="AG1496" s="1" t="str">
        <f>IFERROR(__xludf.DUMMYFUNCTION("""COMPUTED_VALUE"""),"Square footage less than anticipated")</f>
        <v>Square footage less than anticipated</v>
      </c>
      <c r="AH1496" s="1" t="str">
        <f>IFERROR(__xludf.DUMMYFUNCTION("""COMPUTED_VALUE"""),"PEC")</f>
        <v>PEC</v>
      </c>
      <c r="AI1496" s="2" t="str">
        <f>IFERROR(__xludf.DUMMYFUNCTION("""COMPUTED_VALUE"""),"https://datacenterhawk.com/marketplace/providers/aligned-data-centers/22715-relocation-drive/iad03")</f>
        <v>https://datacenterhawk.com/marketplace/providers/aligned-data-centers/22715-relocation-drive/iad03</v>
      </c>
      <c r="AJ1496" s="2" t="str">
        <f>IFERROR(__xludf.DUMMYFUNCTION("""COMPUTED_VALUE"""),"https://reparcelasmt.loudoun.gov/pt/datalets/datalet.aspx?mode=land_summary&amp;UseSearch=no&amp;pin=045399350000&amp;jur=107&amp;taxyr=2025&amp;LMparent=20")</f>
        <v>https://reparcelasmt.loudoun.gov/pt/datalets/datalet.aspx?mode=land_summary&amp;UseSearch=no&amp;pin=045399350000&amp;jur=107&amp;taxyr=2025&amp;LMparent=20</v>
      </c>
      <c r="AK1496" s="1" t="str">
        <f>IFERROR(__xludf.DUMMYFUNCTION("""COMPUTED_VALUE"""),"")</f>
        <v/>
      </c>
      <c r="AL1496" s="1" t="str">
        <f>IFERROR(__xludf.DUMMYFUNCTION("""COMPUTED_VALUE"""),"")</f>
        <v/>
      </c>
      <c r="AM1496" s="1" t="str">
        <f>IFERROR(__xludf.DUMMYFUNCTION("""COMPUTED_VALUE"""),"")</f>
        <v/>
      </c>
      <c r="AN1496" s="1" t="str">
        <f>IFERROR(__xludf.DUMMYFUNCTION("""COMPUTED_VALUE"""),"")</f>
        <v/>
      </c>
      <c r="AO1496" s="1" t="str">
        <f>IFERROR(__xludf.DUMMYFUNCTION("""COMPUTED_VALUE"""),"")</f>
        <v/>
      </c>
      <c r="AP1496" s="1" t="str">
        <f>IFERROR(__xludf.DUMMYFUNCTION("""COMPUTED_VALUE"""),"")</f>
        <v/>
      </c>
      <c r="AQ1496" s="1" t="str">
        <f>IFERROR(__xludf.DUMMYFUNCTION("""COMPUTED_VALUE"""),"08/06/2025")</f>
        <v>08/06/2025</v>
      </c>
      <c r="AR1496" s="1" t="str">
        <f>IFERROR(__xludf.DUMMYFUNCTION("""COMPUTED_VALUE"""),"10/17/2025")</f>
        <v>10/17/2025</v>
      </c>
    </row>
    <row r="1497">
      <c r="A1497" s="1" t="str">
        <f>IFERROR(__xludf.DUMMYFUNCTION("""COMPUTED_VALUE"""),"IAD214")</f>
        <v>IAD214</v>
      </c>
      <c r="B1497" s="1" t="str">
        <f>IFERROR(__xludf.DUMMYFUNCTION("""COMPUTED_VALUE"""),"22760 PACIFIC BLV")</f>
        <v>22760 PACIFIC BLV</v>
      </c>
      <c r="C1497" s="1" t="str">
        <f>IFERROR(__xludf.DUMMYFUNCTION("""COMPUTED_VALUE"""),"Sterling")</f>
        <v>Sterling</v>
      </c>
      <c r="D1497" s="1" t="str">
        <f>IFERROR(__xludf.DUMMYFUNCTION("""COMPUTED_VALUE"""),"VA")</f>
        <v>VA</v>
      </c>
      <c r="E1497" s="1" t="str">
        <f>IFERROR(__xludf.DUMMYFUNCTION("""COMPUTED_VALUE"""),"20166")</f>
        <v>20166</v>
      </c>
      <c r="F1497" s="1" t="str">
        <f>IFERROR(__xludf.DUMMYFUNCTION("""COMPUTED_VALUE"""),"Loudoun")</f>
        <v>Loudoun</v>
      </c>
      <c r="G1497" s="1" t="str">
        <f>IFERROR(__xludf.DUMMYFUNCTION("""COMPUTED_VALUE"""),"38.986732")</f>
        <v>38.986732</v>
      </c>
      <c r="H1497" s="1" t="str">
        <f>IFERROR(__xludf.DUMMYFUNCTION("""COMPUTED_VALUE"""),"-77.43558")</f>
        <v>-77.43558</v>
      </c>
      <c r="I1497" s="1" t="str">
        <f>IFERROR(__xludf.DUMMYFUNCTION("""COMPUTED_VALUE"""),"Operating")</f>
        <v>Operating</v>
      </c>
      <c r="J1497" s="1" t="str">
        <f>IFERROR(__xludf.DUMMYFUNCTION("""COMPUTED_VALUE"""),"High")</f>
        <v>High</v>
      </c>
      <c r="K1497" s="1" t="str">
        <f>IFERROR(__xludf.DUMMYFUNCTION("""COMPUTED_VALUE"""),"")</f>
        <v/>
      </c>
      <c r="L1497" s="1" t="str">
        <f>IFERROR(__xludf.DUMMYFUNCTION("""COMPUTED_VALUE"""),"")</f>
        <v/>
      </c>
      <c r="M1497" s="1" t="str">
        <f>IFERROR(__xludf.DUMMYFUNCTION("""COMPUTED_VALUE"""),"")</f>
        <v/>
      </c>
      <c r="N1497" s="1" t="str">
        <f>IFERROR(__xludf.DUMMYFUNCTION("""COMPUTED_VALUE"""),"")</f>
        <v/>
      </c>
      <c r="O1497" s="1" t="str">
        <f>IFERROR(__xludf.DUMMYFUNCTION("""COMPUTED_VALUE"""),"Unknown")</f>
        <v>Unknown</v>
      </c>
      <c r="P1497" s="1" t="str">
        <f>IFERROR(__xludf.DUMMYFUNCTION("""COMPUTED_VALUE"""),"")</f>
        <v/>
      </c>
      <c r="Q1497" s="1" t="str">
        <f>IFERROR(__xludf.DUMMYFUNCTION("""COMPUTED_VALUE"""),"")</f>
        <v/>
      </c>
      <c r="R1497" s="1" t="str">
        <f>IFERROR(__xludf.DUMMYFUNCTION("""COMPUTED_VALUE"""),"")</f>
        <v/>
      </c>
      <c r="S1497" s="1" t="str">
        <f>IFERROR(__xludf.DUMMYFUNCTION("""COMPUTED_VALUE"""),"")</f>
        <v/>
      </c>
      <c r="T1497" s="1" t="str">
        <f>IFERROR(__xludf.DUMMYFUNCTION("""COMPUTED_VALUE"""),"")</f>
        <v/>
      </c>
      <c r="U1497" s="1" t="str">
        <f>IFERROR(__xludf.DUMMYFUNCTION("""COMPUTED_VALUE"""),"")</f>
        <v/>
      </c>
      <c r="V1497" s="1" t="str">
        <f>IFERROR(__xludf.DUMMYFUNCTION("""COMPUTED_VALUE"""),"226,456")</f>
        <v>226,456</v>
      </c>
      <c r="W1497" s="1" t="str">
        <f>IFERROR(__xludf.DUMMYFUNCTION("""COMPUTED_VALUE"""),"17")</f>
        <v>17</v>
      </c>
      <c r="X1497" s="1" t="str">
        <f>IFERROR(__xludf.DUMMYFUNCTION("""COMPUTED_VALUE"""),"")</f>
        <v/>
      </c>
      <c r="Y1497" s="1" t="str">
        <f>IFERROR(__xludf.DUMMYFUNCTION("""COMPUTED_VALUE"""),"")</f>
        <v/>
      </c>
      <c r="Z1497" s="1" t="str">
        <f>IFERROR(__xludf.DUMMYFUNCTION("""COMPUTED_VALUE"""),"Unknown")</f>
        <v>Unknown</v>
      </c>
      <c r="AA1497" s="1" t="str">
        <f>IFERROR(__xludf.DUMMYFUNCTION("""COMPUTED_VALUE"""),"")</f>
        <v/>
      </c>
      <c r="AB1497" s="1" t="str">
        <f>IFERROR(__xludf.DUMMYFUNCTION("""COMPUTED_VALUE"""),"")</f>
        <v/>
      </c>
      <c r="AC1497" s="1" t="str">
        <f>IFERROR(__xludf.DUMMYFUNCTION("""COMPUTED_VALUE"""),"")</f>
        <v/>
      </c>
      <c r="AD1497" s="1" t="str">
        <f>IFERROR(__xludf.DUMMYFUNCTION("""COMPUTED_VALUE"""),"")</f>
        <v/>
      </c>
      <c r="AE1497" s="1" t="str">
        <f>IFERROR(__xludf.DUMMYFUNCTION("""COMPUTED_VALUE"""),"")</f>
        <v/>
      </c>
      <c r="AF1497" s="1" t="str">
        <f>IFERROR(__xludf.DUMMYFUNCTION("""COMPUTED_VALUE"""),"")</f>
        <v/>
      </c>
      <c r="AG1497" s="1" t="str">
        <f>IFERROR(__xludf.DUMMYFUNCTION("""COMPUTED_VALUE"""),"")</f>
        <v/>
      </c>
      <c r="AH1497" s="1" t="str">
        <f>IFERROR(__xludf.DUMMYFUNCTION("""COMPUTED_VALUE"""),"PEC")</f>
        <v>PEC</v>
      </c>
      <c r="AI1497" s="2" t="str">
        <f>IFERROR(__xludf.DUMMYFUNCTION("""COMPUTED_VALUE"""),"https://reparcelasmt.loudoun.gov/pt/datalets/datalet.aspx?mode=commercial&amp;UseSearch=no&amp;pin=045195615000&amp;jur=107&amp;taxyr=2025&amp;LMparent=20")</f>
        <v>https://reparcelasmt.loudoun.gov/pt/datalets/datalet.aspx?mode=commercial&amp;UseSearch=no&amp;pin=045195615000&amp;jur=107&amp;taxyr=2025&amp;LMparent=20</v>
      </c>
      <c r="AJ1497" s="1" t="str">
        <f>IFERROR(__xludf.DUMMYFUNCTION("""COMPUTED_VALUE"""),"")</f>
        <v/>
      </c>
      <c r="AK1497" s="1" t="str">
        <f>IFERROR(__xludf.DUMMYFUNCTION("""COMPUTED_VALUE"""),"")</f>
        <v/>
      </c>
      <c r="AL1497" s="1" t="str">
        <f>IFERROR(__xludf.DUMMYFUNCTION("""COMPUTED_VALUE"""),"")</f>
        <v/>
      </c>
      <c r="AM1497" s="1" t="str">
        <f>IFERROR(__xludf.DUMMYFUNCTION("""COMPUTED_VALUE"""),"")</f>
        <v/>
      </c>
      <c r="AN1497" s="1" t="str">
        <f>IFERROR(__xludf.DUMMYFUNCTION("""COMPUTED_VALUE"""),"")</f>
        <v/>
      </c>
      <c r="AO1497" s="1" t="str">
        <f>IFERROR(__xludf.DUMMYFUNCTION("""COMPUTED_VALUE"""),"")</f>
        <v/>
      </c>
      <c r="AP1497" s="1" t="str">
        <f>IFERROR(__xludf.DUMMYFUNCTION("""COMPUTED_VALUE"""),"")</f>
        <v/>
      </c>
      <c r="AQ1497" s="1" t="str">
        <f>IFERROR(__xludf.DUMMYFUNCTION("""COMPUTED_VALUE"""),"08/07/2025")</f>
        <v>08/07/2025</v>
      </c>
      <c r="AR1497" s="1" t="str">
        <f>IFERROR(__xludf.DUMMYFUNCTION("""COMPUTED_VALUE"""),"10/17/2025")</f>
        <v>10/17/2025</v>
      </c>
    </row>
    <row r="1498">
      <c r="A1498" s="1" t="str">
        <f>IFERROR(__xludf.DUMMYFUNCTION("""COMPUTED_VALUE"""),"IAD2 Evoque Cyxtera")</f>
        <v>IAD2 Evoque Cyxtera</v>
      </c>
      <c r="B1498" s="1" t="str">
        <f>IFERROR(__xludf.DUMMYFUNCTION("""COMPUTED_VALUE"""),"22810 INTERNATIONAL DR")</f>
        <v>22810 INTERNATIONAL DR</v>
      </c>
      <c r="C1498" s="1" t="str">
        <f>IFERROR(__xludf.DUMMYFUNCTION("""COMPUTED_VALUE"""),"Sterling")</f>
        <v>Sterling</v>
      </c>
      <c r="D1498" s="1" t="str">
        <f>IFERROR(__xludf.DUMMYFUNCTION("""COMPUTED_VALUE"""),"VA")</f>
        <v>VA</v>
      </c>
      <c r="E1498" s="1" t="str">
        <f>IFERROR(__xludf.DUMMYFUNCTION("""COMPUTED_VALUE"""),"20166")</f>
        <v>20166</v>
      </c>
      <c r="F1498" s="1" t="str">
        <f>IFERROR(__xludf.DUMMYFUNCTION("""COMPUTED_VALUE"""),"Loudoun")</f>
        <v>Loudoun</v>
      </c>
      <c r="G1498" s="1" t="str">
        <f>IFERROR(__xludf.DUMMYFUNCTION("""COMPUTED_VALUE"""),"38.984196")</f>
        <v>38.984196</v>
      </c>
      <c r="H1498" s="1" t="str">
        <f>IFERROR(__xludf.DUMMYFUNCTION("""COMPUTED_VALUE"""),"-77.42402")</f>
        <v>-77.42402</v>
      </c>
      <c r="I1498" s="1" t="str">
        <f>IFERROR(__xludf.DUMMYFUNCTION("""COMPUTED_VALUE"""),"Operating")</f>
        <v>Operating</v>
      </c>
      <c r="J1498" s="1" t="str">
        <f>IFERROR(__xludf.DUMMYFUNCTION("""COMPUTED_VALUE"""),"High")</f>
        <v>High</v>
      </c>
      <c r="K1498" s="1" t="str">
        <f>IFERROR(__xludf.DUMMYFUNCTION("""COMPUTED_VALUE"""),"")</f>
        <v/>
      </c>
      <c r="L1498" s="1" t="str">
        <f>IFERROR(__xludf.DUMMYFUNCTION("""COMPUTED_VALUE"""),"22810-22860 INTERNATIONAL DRIVE LLC")</f>
        <v>22810-22860 INTERNATIONAL DRIVE LLC</v>
      </c>
      <c r="M1498" s="1" t="str">
        <f>IFERROR(__xludf.DUMMYFUNCTION("""COMPUTED_VALUE"""),"")</f>
        <v/>
      </c>
      <c r="N1498" s="1" t="str">
        <f>IFERROR(__xludf.DUMMYFUNCTION("""COMPUTED_VALUE"""),"")</f>
        <v/>
      </c>
      <c r="O1498" s="1" t="str">
        <f>IFERROR(__xludf.DUMMYFUNCTION("""COMPUTED_VALUE"""),"Unknown")</f>
        <v>Unknown</v>
      </c>
      <c r="P1498" s="1" t="str">
        <f>IFERROR(__xludf.DUMMYFUNCTION("""COMPUTED_VALUE"""),"")</f>
        <v/>
      </c>
      <c r="Q1498" s="1" t="str">
        <f>IFERROR(__xludf.DUMMYFUNCTION("""COMPUTED_VALUE"""),"")</f>
        <v/>
      </c>
      <c r="R1498" s="1" t="str">
        <f>IFERROR(__xludf.DUMMYFUNCTION("""COMPUTED_VALUE"""),"")</f>
        <v/>
      </c>
      <c r="S1498" s="1" t="str">
        <f>IFERROR(__xludf.DUMMYFUNCTION("""COMPUTED_VALUE"""),"")</f>
        <v/>
      </c>
      <c r="T1498" s="1" t="str">
        <f>IFERROR(__xludf.DUMMYFUNCTION("""COMPUTED_VALUE"""),"")</f>
        <v/>
      </c>
      <c r="U1498" s="1" t="str">
        <f>IFERROR(__xludf.DUMMYFUNCTION("""COMPUTED_VALUE"""),"")</f>
        <v/>
      </c>
      <c r="V1498" s="1" t="str">
        <f>IFERROR(__xludf.DUMMYFUNCTION("""COMPUTED_VALUE"""),"118,541")</f>
        <v>118,541</v>
      </c>
      <c r="W1498" s="1" t="str">
        <f>IFERROR(__xludf.DUMMYFUNCTION("""COMPUTED_VALUE"""),"12")</f>
        <v>12</v>
      </c>
      <c r="X1498" s="1" t="str">
        <f>IFERROR(__xludf.DUMMYFUNCTION("""COMPUTED_VALUE"""),"")</f>
        <v/>
      </c>
      <c r="Y1498" s="1" t="str">
        <f>IFERROR(__xludf.DUMMYFUNCTION("""COMPUTED_VALUE"""),"")</f>
        <v/>
      </c>
      <c r="Z1498" s="1" t="str">
        <f>IFERROR(__xludf.DUMMYFUNCTION("""COMPUTED_VALUE"""),"Unknown")</f>
        <v>Unknown</v>
      </c>
      <c r="AA1498" s="1" t="str">
        <f>IFERROR(__xludf.DUMMYFUNCTION("""COMPUTED_VALUE"""),"")</f>
        <v/>
      </c>
      <c r="AB1498" s="1" t="str">
        <f>IFERROR(__xludf.DUMMYFUNCTION("""COMPUTED_VALUE"""),"")</f>
        <v/>
      </c>
      <c r="AC1498" s="1" t="str">
        <f>IFERROR(__xludf.DUMMYFUNCTION("""COMPUTED_VALUE"""),"")</f>
        <v/>
      </c>
      <c r="AD1498" s="1" t="str">
        <f>IFERROR(__xludf.DUMMYFUNCTION("""COMPUTED_VALUE"""),"")</f>
        <v/>
      </c>
      <c r="AE1498" s="1" t="str">
        <f>IFERROR(__xludf.DUMMYFUNCTION("""COMPUTED_VALUE"""),"")</f>
        <v/>
      </c>
      <c r="AF1498" s="1" t="str">
        <f>IFERROR(__xludf.DUMMYFUNCTION("""COMPUTED_VALUE"""),"")</f>
        <v/>
      </c>
      <c r="AG1498" s="1" t="str">
        <f>IFERROR(__xludf.DUMMYFUNCTION("""COMPUTED_VALUE"""),"Shown as ""Storage Warehouse""")</f>
        <v>Shown as "Storage Warehouse"</v>
      </c>
      <c r="AH1498" s="1" t="str">
        <f>IFERROR(__xludf.DUMMYFUNCTION("""COMPUTED_VALUE"""),"PEC")</f>
        <v>PEC</v>
      </c>
      <c r="AI1498" s="2" t="str">
        <f>IFERROR(__xludf.DUMMYFUNCTION("""COMPUTED_VALUE"""),"https://cloudandcolocation.com/datacenters/cyxtera-sterling-data-center-iad2-a/")</f>
        <v>https://cloudandcolocation.com/datacenters/cyxtera-sterling-data-center-iad2-a/</v>
      </c>
      <c r="AJ1498" s="2" t="str">
        <f>IFERROR(__xludf.DUMMYFUNCTION("""COMPUTED_VALUE"""),"https://reparcelasmt.loudoun.gov/pt/datalets/datalet.aspx?mode=profileall&amp;UseSearch=no&amp;pin=034468458000&amp;jur=107&amp;taxyr=2024&amp;LMparent=20")</f>
        <v>https://reparcelasmt.loudoun.gov/pt/datalets/datalet.aspx?mode=profileall&amp;UseSearch=no&amp;pin=034468458000&amp;jur=107&amp;taxyr=2024&amp;LMparent=20</v>
      </c>
      <c r="AK1498" s="1" t="str">
        <f>IFERROR(__xludf.DUMMYFUNCTION("""COMPUTED_VALUE"""),"")</f>
        <v/>
      </c>
      <c r="AL1498" s="1" t="str">
        <f>IFERROR(__xludf.DUMMYFUNCTION("""COMPUTED_VALUE"""),"")</f>
        <v/>
      </c>
      <c r="AM1498" s="1" t="str">
        <f>IFERROR(__xludf.DUMMYFUNCTION("""COMPUTED_VALUE"""),"")</f>
        <v/>
      </c>
      <c r="AN1498" s="1" t="str">
        <f>IFERROR(__xludf.DUMMYFUNCTION("""COMPUTED_VALUE"""),"")</f>
        <v/>
      </c>
      <c r="AO1498" s="1" t="str">
        <f>IFERROR(__xludf.DUMMYFUNCTION("""COMPUTED_VALUE"""),"")</f>
        <v/>
      </c>
      <c r="AP1498" s="1" t="str">
        <f>IFERROR(__xludf.DUMMYFUNCTION("""COMPUTED_VALUE"""),"")</f>
        <v/>
      </c>
      <c r="AQ1498" s="1" t="str">
        <f>IFERROR(__xludf.DUMMYFUNCTION("""COMPUTED_VALUE"""),"04/10/2024")</f>
        <v>04/10/2024</v>
      </c>
      <c r="AR1498" s="1" t="str">
        <f>IFERROR(__xludf.DUMMYFUNCTION("""COMPUTED_VALUE"""),"10/17/2025")</f>
        <v>10/17/2025</v>
      </c>
    </row>
    <row r="1499">
      <c r="A1499" s="1" t="str">
        <f>IFERROR(__xludf.DUMMYFUNCTION("""COMPUTED_VALUE"""),"IAD3 Evoque Cyxtera")</f>
        <v>IAD3 Evoque Cyxtera</v>
      </c>
      <c r="B1499" s="1" t="str">
        <f>IFERROR(__xludf.DUMMYFUNCTION("""COMPUTED_VALUE"""),"22995 WILDER CT")</f>
        <v>22995 WILDER CT</v>
      </c>
      <c r="C1499" s="1" t="str">
        <f>IFERROR(__xludf.DUMMYFUNCTION("""COMPUTED_VALUE"""),"Sterling")</f>
        <v>Sterling</v>
      </c>
      <c r="D1499" s="1" t="str">
        <f>IFERROR(__xludf.DUMMYFUNCTION("""COMPUTED_VALUE"""),"VA")</f>
        <v>VA</v>
      </c>
      <c r="E1499" s="1" t="str">
        <f>IFERROR(__xludf.DUMMYFUNCTION("""COMPUTED_VALUE"""),"20166")</f>
        <v>20166</v>
      </c>
      <c r="F1499" s="1" t="str">
        <f>IFERROR(__xludf.DUMMYFUNCTION("""COMPUTED_VALUE"""),"Loudoun")</f>
        <v>Loudoun</v>
      </c>
      <c r="G1499" s="1" t="str">
        <f>IFERROR(__xludf.DUMMYFUNCTION("""COMPUTED_VALUE"""),"38.98106")</f>
        <v>38.98106</v>
      </c>
      <c r="H1499" s="1" t="str">
        <f>IFERROR(__xludf.DUMMYFUNCTION("""COMPUTED_VALUE"""),"-77.444336")</f>
        <v>-77.444336</v>
      </c>
      <c r="I1499" s="1" t="str">
        <f>IFERROR(__xludf.DUMMYFUNCTION("""COMPUTED_VALUE"""),"Operating")</f>
        <v>Operating</v>
      </c>
      <c r="J1499" s="1" t="str">
        <f>IFERROR(__xludf.DUMMYFUNCTION("""COMPUTED_VALUE"""),"High")</f>
        <v>High</v>
      </c>
      <c r="K1499" s="1" t="str">
        <f>IFERROR(__xludf.DUMMYFUNCTION("""COMPUTED_VALUE"""),"")</f>
        <v/>
      </c>
      <c r="L1499" s="1" t="str">
        <f>IFERROR(__xludf.DUMMYFUNCTION("""COMPUTED_VALUE"""),"22995 WILDER COURT LLC")</f>
        <v>22995 WILDER COURT LLC</v>
      </c>
      <c r="M1499" s="1" t="str">
        <f>IFERROR(__xludf.DUMMYFUNCTION("""COMPUTED_VALUE"""),"")</f>
        <v/>
      </c>
      <c r="N1499" s="1" t="str">
        <f>IFERROR(__xludf.DUMMYFUNCTION("""COMPUTED_VALUE"""),"")</f>
        <v/>
      </c>
      <c r="O1499" s="1" t="str">
        <f>IFERROR(__xludf.DUMMYFUNCTION("""COMPUTED_VALUE"""),"Unknown")</f>
        <v>Unknown</v>
      </c>
      <c r="P1499" s="1" t="str">
        <f>IFERROR(__xludf.DUMMYFUNCTION("""COMPUTED_VALUE"""),"")</f>
        <v/>
      </c>
      <c r="Q1499" s="1" t="str">
        <f>IFERROR(__xludf.DUMMYFUNCTION("""COMPUTED_VALUE"""),"")</f>
        <v/>
      </c>
      <c r="R1499" s="1" t="str">
        <f>IFERROR(__xludf.DUMMYFUNCTION("""COMPUTED_VALUE"""),"")</f>
        <v/>
      </c>
      <c r="S1499" s="1" t="str">
        <f>IFERROR(__xludf.DUMMYFUNCTION("""COMPUTED_VALUE"""),"")</f>
        <v/>
      </c>
      <c r="T1499" s="1" t="str">
        <f>IFERROR(__xludf.DUMMYFUNCTION("""COMPUTED_VALUE"""),"")</f>
        <v/>
      </c>
      <c r="U1499" s="1" t="str">
        <f>IFERROR(__xludf.DUMMYFUNCTION("""COMPUTED_VALUE"""),"")</f>
        <v/>
      </c>
      <c r="V1499" s="1" t="str">
        <f>IFERROR(__xludf.DUMMYFUNCTION("""COMPUTED_VALUE"""),"130,400")</f>
        <v>130,400</v>
      </c>
      <c r="W1499" s="1" t="str">
        <f>IFERROR(__xludf.DUMMYFUNCTION("""COMPUTED_VALUE"""),"12")</f>
        <v>12</v>
      </c>
      <c r="X1499" s="1" t="str">
        <f>IFERROR(__xludf.DUMMYFUNCTION("""COMPUTED_VALUE"""),"")</f>
        <v/>
      </c>
      <c r="Y1499" s="1" t="str">
        <f>IFERROR(__xludf.DUMMYFUNCTION("""COMPUTED_VALUE"""),"")</f>
        <v/>
      </c>
      <c r="Z1499" s="1" t="str">
        <f>IFERROR(__xludf.DUMMYFUNCTION("""COMPUTED_VALUE"""),"Unknown")</f>
        <v>Unknown</v>
      </c>
      <c r="AA1499" s="1" t="str">
        <f>IFERROR(__xludf.DUMMYFUNCTION("""COMPUTED_VALUE"""),"")</f>
        <v/>
      </c>
      <c r="AB1499" s="1" t="str">
        <f>IFERROR(__xludf.DUMMYFUNCTION("""COMPUTED_VALUE"""),"")</f>
        <v/>
      </c>
      <c r="AC1499" s="1" t="str">
        <f>IFERROR(__xludf.DUMMYFUNCTION("""COMPUTED_VALUE"""),"")</f>
        <v/>
      </c>
      <c r="AD1499" s="1" t="str">
        <f>IFERROR(__xludf.DUMMYFUNCTION("""COMPUTED_VALUE"""),"")</f>
        <v/>
      </c>
      <c r="AE1499" s="1" t="str">
        <f>IFERROR(__xludf.DUMMYFUNCTION("""COMPUTED_VALUE"""),"")</f>
        <v/>
      </c>
      <c r="AF1499" s="1" t="str">
        <f>IFERROR(__xludf.DUMMYFUNCTION("""COMPUTED_VALUE"""),"")</f>
        <v/>
      </c>
      <c r="AG1499" s="1" t="str">
        <f>IFERROR(__xludf.DUMMYFUNCTION("""COMPUTED_VALUE"""),"Shown as ""Storage Warehouse""")</f>
        <v>Shown as "Storage Warehouse"</v>
      </c>
      <c r="AH1499" s="1" t="str">
        <f>IFERROR(__xludf.DUMMYFUNCTION("""COMPUTED_VALUE"""),"PEC")</f>
        <v>PEC</v>
      </c>
      <c r="AI1499" s="2" t="str">
        <f>IFERROR(__xludf.DUMMYFUNCTION("""COMPUTED_VALUE"""),"https://reparcelasmt.loudoun.gov/pt/datalets/datalet.aspx?mode=profileall&amp;UseSearch=no&amp;pin=046368231000&amp;jur=107&amp;taxyr=2024&amp;LMparent=20")</f>
        <v>https://reparcelasmt.loudoun.gov/pt/datalets/datalet.aspx?mode=profileall&amp;UseSearch=no&amp;pin=046368231000&amp;jur=107&amp;taxyr=2024&amp;LMparent=20</v>
      </c>
      <c r="AJ1499" s="1" t="str">
        <f>IFERROR(__xludf.DUMMYFUNCTION("""COMPUTED_VALUE"""),"")</f>
        <v/>
      </c>
      <c r="AK1499" s="1" t="str">
        <f>IFERROR(__xludf.DUMMYFUNCTION("""COMPUTED_VALUE"""),"")</f>
        <v/>
      </c>
      <c r="AL1499" s="1" t="str">
        <f>IFERROR(__xludf.DUMMYFUNCTION("""COMPUTED_VALUE"""),"")</f>
        <v/>
      </c>
      <c r="AM1499" s="1" t="str">
        <f>IFERROR(__xludf.DUMMYFUNCTION("""COMPUTED_VALUE"""),"")</f>
        <v/>
      </c>
      <c r="AN1499" s="1" t="str">
        <f>IFERROR(__xludf.DUMMYFUNCTION("""COMPUTED_VALUE"""),"")</f>
        <v/>
      </c>
      <c r="AO1499" s="1" t="str">
        <f>IFERROR(__xludf.DUMMYFUNCTION("""COMPUTED_VALUE"""),"")</f>
        <v/>
      </c>
      <c r="AP1499" s="1" t="str">
        <f>IFERROR(__xludf.DUMMYFUNCTION("""COMPUTED_VALUE"""),"")</f>
        <v/>
      </c>
      <c r="AQ1499" s="1" t="str">
        <f>IFERROR(__xludf.DUMMYFUNCTION("""COMPUTED_VALUE"""),"04/10/2024")</f>
        <v>04/10/2024</v>
      </c>
      <c r="AR1499" s="1" t="str">
        <f>IFERROR(__xludf.DUMMYFUNCTION("""COMPUTED_VALUE"""),"10/17/2025")</f>
        <v>10/17/2025</v>
      </c>
    </row>
    <row r="1500">
      <c r="A1500" s="1" t="str">
        <f>IFERROR(__xludf.DUMMYFUNCTION("""COMPUTED_VALUE"""),"IAD57 Data Center")</f>
        <v>IAD57 Data Center</v>
      </c>
      <c r="B1500" s="1" t="str">
        <f>IFERROR(__xludf.DUMMYFUNCTION("""COMPUTED_VALUE"""),"22755 Relocation Dr")</f>
        <v>22755 Relocation Dr</v>
      </c>
      <c r="C1500" s="1" t="str">
        <f>IFERROR(__xludf.DUMMYFUNCTION("""COMPUTED_VALUE"""),"Sterling")</f>
        <v>Sterling</v>
      </c>
      <c r="D1500" s="1" t="str">
        <f>IFERROR(__xludf.DUMMYFUNCTION("""COMPUTED_VALUE"""),"VA")</f>
        <v>VA</v>
      </c>
      <c r="E1500" s="1" t="str">
        <f>IFERROR(__xludf.DUMMYFUNCTION("""COMPUTED_VALUE"""),"20166")</f>
        <v>20166</v>
      </c>
      <c r="F1500" s="1" t="str">
        <f>IFERROR(__xludf.DUMMYFUNCTION("""COMPUTED_VALUE"""),"Loudoun")</f>
        <v>Loudoun</v>
      </c>
      <c r="G1500" s="1" t="str">
        <f>IFERROR(__xludf.DUMMYFUNCTION("""COMPUTED_VALUE"""),"38.98704")</f>
        <v>38.98704</v>
      </c>
      <c r="H1500" s="1" t="str">
        <f>IFERROR(__xludf.DUMMYFUNCTION("""COMPUTED_VALUE"""),"-77.4426")</f>
        <v>-77.4426</v>
      </c>
      <c r="I1500" s="1" t="str">
        <f>IFERROR(__xludf.DUMMYFUNCTION("""COMPUTED_VALUE"""),"Operating")</f>
        <v>Operating</v>
      </c>
      <c r="J1500" s="1" t="str">
        <f>IFERROR(__xludf.DUMMYFUNCTION("""COMPUTED_VALUE"""),"High")</f>
        <v>High</v>
      </c>
      <c r="K1500" s="1" t="str">
        <f>IFERROR(__xludf.DUMMYFUNCTION("""COMPUTED_VALUE"""),"")</f>
        <v/>
      </c>
      <c r="L1500" s="1" t="str">
        <f>IFERROR(__xludf.DUMMYFUNCTION("""COMPUTED_VALUE"""),"")</f>
        <v/>
      </c>
      <c r="M1500" s="1" t="str">
        <f>IFERROR(__xludf.DUMMYFUNCTION("""COMPUTED_VALUE"""),"")</f>
        <v/>
      </c>
      <c r="N1500" s="1" t="str">
        <f>IFERROR(__xludf.DUMMYFUNCTION("""COMPUTED_VALUE"""),"")</f>
        <v/>
      </c>
      <c r="O1500" s="1" t="str">
        <f>IFERROR(__xludf.DUMMYFUNCTION("""COMPUTED_VALUE"""),"Unknown")</f>
        <v>Unknown</v>
      </c>
      <c r="P1500" s="1" t="str">
        <f>IFERROR(__xludf.DUMMYFUNCTION("""COMPUTED_VALUE"""),"")</f>
        <v/>
      </c>
      <c r="Q1500" s="1" t="str">
        <f>IFERROR(__xludf.DUMMYFUNCTION("""COMPUTED_VALUE"""),"")</f>
        <v/>
      </c>
      <c r="R1500" s="1" t="str">
        <f>IFERROR(__xludf.DUMMYFUNCTION("""COMPUTED_VALUE"""),"")</f>
        <v/>
      </c>
      <c r="S1500" s="1" t="str">
        <f>IFERROR(__xludf.DUMMYFUNCTION("""COMPUTED_VALUE"""),"")</f>
        <v/>
      </c>
      <c r="T1500" s="1" t="str">
        <f>IFERROR(__xludf.DUMMYFUNCTION("""COMPUTED_VALUE"""),"")</f>
        <v/>
      </c>
      <c r="U1500" s="1" t="str">
        <f>IFERROR(__xludf.DUMMYFUNCTION("""COMPUTED_VALUE"""),"")</f>
        <v/>
      </c>
      <c r="V1500" s="1" t="str">
        <f>IFERROR(__xludf.DUMMYFUNCTION("""COMPUTED_VALUE"""),"")</f>
        <v/>
      </c>
      <c r="W1500" s="1" t="str">
        <f>IFERROR(__xludf.DUMMYFUNCTION("""COMPUTED_VALUE"""),"")</f>
        <v/>
      </c>
      <c r="X1500" s="1" t="str">
        <f>IFERROR(__xludf.DUMMYFUNCTION("""COMPUTED_VALUE"""),"")</f>
        <v/>
      </c>
      <c r="Y1500" s="1" t="str">
        <f>IFERROR(__xludf.DUMMYFUNCTION("""COMPUTED_VALUE"""),"")</f>
        <v/>
      </c>
      <c r="Z1500" s="1" t="str">
        <f>IFERROR(__xludf.DUMMYFUNCTION("""COMPUTED_VALUE"""),"Unknown")</f>
        <v>Unknown</v>
      </c>
      <c r="AA1500" s="1" t="str">
        <f>IFERROR(__xludf.DUMMYFUNCTION("""COMPUTED_VALUE"""),"")</f>
        <v/>
      </c>
      <c r="AB1500" s="1" t="str">
        <f>IFERROR(__xludf.DUMMYFUNCTION("""COMPUTED_VALUE"""),"")</f>
        <v/>
      </c>
      <c r="AC1500" s="1" t="str">
        <f>IFERROR(__xludf.DUMMYFUNCTION("""COMPUTED_VALUE"""),"")</f>
        <v/>
      </c>
      <c r="AD1500" s="1" t="str">
        <f>IFERROR(__xludf.DUMMYFUNCTION("""COMPUTED_VALUE"""),"")</f>
        <v/>
      </c>
      <c r="AE1500" s="1" t="str">
        <f>IFERROR(__xludf.DUMMYFUNCTION("""COMPUTED_VALUE"""),"")</f>
        <v/>
      </c>
      <c r="AF1500" s="1" t="str">
        <f>IFERROR(__xludf.DUMMYFUNCTION("""COMPUTED_VALUE"""),"")</f>
        <v/>
      </c>
      <c r="AG1500" s="1" t="str">
        <f>IFERROR(__xludf.DUMMYFUNCTION("""COMPUTED_VALUE"""),"")</f>
        <v/>
      </c>
      <c r="AH1500" s="1" t="str">
        <f>IFERROR(__xludf.DUMMYFUNCTION("""COMPUTED_VALUE"""),"Media Monitoring")</f>
        <v>Media Monitoring</v>
      </c>
      <c r="AI1500" s="2" t="str">
        <f>IFERROR(__xludf.DUMMYFUNCTION("""COMPUTED_VALUE"""),"https://www.datacenterdynamics.com/en/news/aligned-files-to-extend-second-sterling-campus-in-virginia/")</f>
        <v>https://www.datacenterdynamics.com/en/news/aligned-files-to-extend-second-sterling-campus-in-virginia/</v>
      </c>
      <c r="AJ1500" s="1" t="str">
        <f>IFERROR(__xludf.DUMMYFUNCTION("""COMPUTED_VALUE"""),"")</f>
        <v/>
      </c>
      <c r="AK1500" s="1" t="str">
        <f>IFERROR(__xludf.DUMMYFUNCTION("""COMPUTED_VALUE"""),"")</f>
        <v/>
      </c>
      <c r="AL1500" s="1" t="str">
        <f>IFERROR(__xludf.DUMMYFUNCTION("""COMPUTED_VALUE"""),"")</f>
        <v/>
      </c>
      <c r="AM1500" s="1" t="str">
        <f>IFERROR(__xludf.DUMMYFUNCTION("""COMPUTED_VALUE"""),"")</f>
        <v/>
      </c>
      <c r="AN1500" s="1" t="str">
        <f>IFERROR(__xludf.DUMMYFUNCTION("""COMPUTED_VALUE"""),"")</f>
        <v/>
      </c>
      <c r="AO1500" s="1" t="str">
        <f>IFERROR(__xludf.DUMMYFUNCTION("""COMPUTED_VALUE"""),"")</f>
        <v/>
      </c>
      <c r="AP1500" s="1" t="str">
        <f>IFERROR(__xludf.DUMMYFUNCTION("""COMPUTED_VALUE"""),"")</f>
        <v/>
      </c>
      <c r="AQ1500" s="1" t="str">
        <f>IFERROR(__xludf.DUMMYFUNCTION("""COMPUTED_VALUE"""),"06/19/2025")</f>
        <v>06/19/2025</v>
      </c>
      <c r="AR1500" s="1" t="str">
        <f>IFERROR(__xludf.DUMMYFUNCTION("""COMPUTED_VALUE"""),"06/19/2025")</f>
        <v>06/19/2025</v>
      </c>
    </row>
    <row r="1501">
      <c r="A1501" s="1" t="str">
        <f>IFERROR(__xludf.DUMMYFUNCTION("""COMPUTED_VALUE"""),"IAD76")</f>
        <v>IAD76</v>
      </c>
      <c r="B1501" s="1" t="str">
        <f>IFERROR(__xludf.DUMMYFUNCTION("""COMPUTED_VALUE"""),"22520 RANDOLPH DR")</f>
        <v>22520 RANDOLPH DR</v>
      </c>
      <c r="C1501" s="1" t="str">
        <f>IFERROR(__xludf.DUMMYFUNCTION("""COMPUTED_VALUE"""),"Sterling")</f>
        <v>Sterling</v>
      </c>
      <c r="D1501" s="1" t="str">
        <f>IFERROR(__xludf.DUMMYFUNCTION("""COMPUTED_VALUE"""),"VA")</f>
        <v>VA</v>
      </c>
      <c r="E1501" s="1" t="str">
        <f>IFERROR(__xludf.DUMMYFUNCTION("""COMPUTED_VALUE"""),"20166")</f>
        <v>20166</v>
      </c>
      <c r="F1501" s="1" t="str">
        <f>IFERROR(__xludf.DUMMYFUNCTION("""COMPUTED_VALUE"""),"Loudoun")</f>
        <v>Loudoun</v>
      </c>
      <c r="G1501" s="1" t="str">
        <f>IFERROR(__xludf.DUMMYFUNCTION("""COMPUTED_VALUE"""),"38.994057")</f>
        <v>38.994057</v>
      </c>
      <c r="H1501" s="1" t="str">
        <f>IFERROR(__xludf.DUMMYFUNCTION("""COMPUTED_VALUE"""),"-77.45023")</f>
        <v>-77.45023</v>
      </c>
      <c r="I1501" s="1" t="str">
        <f>IFERROR(__xludf.DUMMYFUNCTION("""COMPUTED_VALUE"""),"Operating")</f>
        <v>Operating</v>
      </c>
      <c r="J1501" s="1" t="str">
        <f>IFERROR(__xludf.DUMMYFUNCTION("""COMPUTED_VALUE"""),"High")</f>
        <v>High</v>
      </c>
      <c r="K1501" s="1" t="str">
        <f>IFERROR(__xludf.DUMMYFUNCTION("""COMPUTED_VALUE"""),"")</f>
        <v/>
      </c>
      <c r="L1501" s="1" t="str">
        <f>IFERROR(__xludf.DUMMYFUNCTION("""COMPUTED_VALUE"""),"FR RANDOLPH DRIVE LLC")</f>
        <v>FR RANDOLPH DRIVE LLC</v>
      </c>
      <c r="M1501" s="1" t="str">
        <f>IFERROR(__xludf.DUMMYFUNCTION("""COMPUTED_VALUE"""),"")</f>
        <v/>
      </c>
      <c r="N1501" s="1" t="str">
        <f>IFERROR(__xludf.DUMMYFUNCTION("""COMPUTED_VALUE"""),"")</f>
        <v/>
      </c>
      <c r="O1501" s="1" t="str">
        <f>IFERROR(__xludf.DUMMYFUNCTION("""COMPUTED_VALUE"""),"Unknown")</f>
        <v>Unknown</v>
      </c>
      <c r="P1501" s="1" t="str">
        <f>IFERROR(__xludf.DUMMYFUNCTION("""COMPUTED_VALUE"""),"")</f>
        <v/>
      </c>
      <c r="Q1501" s="1" t="str">
        <f>IFERROR(__xludf.DUMMYFUNCTION("""COMPUTED_VALUE"""),"")</f>
        <v/>
      </c>
      <c r="R1501" s="1" t="str">
        <f>IFERROR(__xludf.DUMMYFUNCTION("""COMPUTED_VALUE"""),"")</f>
        <v/>
      </c>
      <c r="S1501" s="1" t="str">
        <f>IFERROR(__xludf.DUMMYFUNCTION("""COMPUTED_VALUE"""),"")</f>
        <v/>
      </c>
      <c r="T1501" s="1" t="str">
        <f>IFERROR(__xludf.DUMMYFUNCTION("""COMPUTED_VALUE"""),"")</f>
        <v/>
      </c>
      <c r="U1501" s="1" t="str">
        <f>IFERROR(__xludf.DUMMYFUNCTION("""COMPUTED_VALUE"""),"")</f>
        <v/>
      </c>
      <c r="V1501" s="1" t="str">
        <f>IFERROR(__xludf.DUMMYFUNCTION("""COMPUTED_VALUE"""),"138,900")</f>
        <v>138,900</v>
      </c>
      <c r="W1501" s="1" t="str">
        <f>IFERROR(__xludf.DUMMYFUNCTION("""COMPUTED_VALUE"""),"14")</f>
        <v>14</v>
      </c>
      <c r="X1501" s="1" t="str">
        <f>IFERROR(__xludf.DUMMYFUNCTION("""COMPUTED_VALUE"""),"")</f>
        <v/>
      </c>
      <c r="Y1501" s="1" t="str">
        <f>IFERROR(__xludf.DUMMYFUNCTION("""COMPUTED_VALUE"""),"")</f>
        <v/>
      </c>
      <c r="Z1501" s="1" t="str">
        <f>IFERROR(__xludf.DUMMYFUNCTION("""COMPUTED_VALUE"""),"Unknown")</f>
        <v>Unknown</v>
      </c>
      <c r="AA1501" s="1" t="str">
        <f>IFERROR(__xludf.DUMMYFUNCTION("""COMPUTED_VALUE"""),"")</f>
        <v/>
      </c>
      <c r="AB1501" s="1" t="str">
        <f>IFERROR(__xludf.DUMMYFUNCTION("""COMPUTED_VALUE"""),"")</f>
        <v/>
      </c>
      <c r="AC1501" s="1" t="str">
        <f>IFERROR(__xludf.DUMMYFUNCTION("""COMPUTED_VALUE"""),"")</f>
        <v/>
      </c>
      <c r="AD1501" s="1" t="str">
        <f>IFERROR(__xludf.DUMMYFUNCTION("""COMPUTED_VALUE"""),"")</f>
        <v/>
      </c>
      <c r="AE1501" s="1" t="str">
        <f>IFERROR(__xludf.DUMMYFUNCTION("""COMPUTED_VALUE"""),"")</f>
        <v/>
      </c>
      <c r="AF1501" s="1" t="str">
        <f>IFERROR(__xludf.DUMMYFUNCTION("""COMPUTED_VALUE"""),"")</f>
        <v/>
      </c>
      <c r="AG1501" s="1" t="str">
        <f>IFERROR(__xludf.DUMMYFUNCTION("""COMPUTED_VALUE"""),"Shown as ""Storage Warehouse""")</f>
        <v>Shown as "Storage Warehouse"</v>
      </c>
      <c r="AH1501" s="1" t="str">
        <f>IFERROR(__xludf.DUMMYFUNCTION("""COMPUTED_VALUE"""),"PEC")</f>
        <v>PEC</v>
      </c>
      <c r="AI1501" s="2" t="str">
        <f>IFERROR(__xludf.DUMMYFUNCTION("""COMPUTED_VALUE"""),"https://reparcelasmt.loudoun.gov/pt/datalets/datalet.aspx?mode=profileall&amp;UseSearch=no&amp;pin=045352692000&amp;jur=107&amp;taxyr=2024&amp;LMparent=20")</f>
        <v>https://reparcelasmt.loudoun.gov/pt/datalets/datalet.aspx?mode=profileall&amp;UseSearch=no&amp;pin=045352692000&amp;jur=107&amp;taxyr=2024&amp;LMparent=20</v>
      </c>
      <c r="AJ1501" s="1" t="str">
        <f>IFERROR(__xludf.DUMMYFUNCTION("""COMPUTED_VALUE"""),"")</f>
        <v/>
      </c>
      <c r="AK1501" s="1" t="str">
        <f>IFERROR(__xludf.DUMMYFUNCTION("""COMPUTED_VALUE"""),"")</f>
        <v/>
      </c>
      <c r="AL1501" s="1" t="str">
        <f>IFERROR(__xludf.DUMMYFUNCTION("""COMPUTED_VALUE"""),"")</f>
        <v/>
      </c>
      <c r="AM1501" s="1" t="str">
        <f>IFERROR(__xludf.DUMMYFUNCTION("""COMPUTED_VALUE"""),"")</f>
        <v/>
      </c>
      <c r="AN1501" s="1" t="str">
        <f>IFERROR(__xludf.DUMMYFUNCTION("""COMPUTED_VALUE"""),"")</f>
        <v/>
      </c>
      <c r="AO1501" s="1" t="str">
        <f>IFERROR(__xludf.DUMMYFUNCTION("""COMPUTED_VALUE"""),"")</f>
        <v/>
      </c>
      <c r="AP1501" s="1" t="str">
        <f>IFERROR(__xludf.DUMMYFUNCTION("""COMPUTED_VALUE"""),"")</f>
        <v/>
      </c>
      <c r="AQ1501" s="1" t="str">
        <f>IFERROR(__xludf.DUMMYFUNCTION("""COMPUTED_VALUE"""),"04/10/2024")</f>
        <v>04/10/2024</v>
      </c>
      <c r="AR1501" s="1" t="str">
        <f>IFERROR(__xludf.DUMMYFUNCTION("""COMPUTED_VALUE"""),"10/17/2025")</f>
        <v>10/17/2025</v>
      </c>
    </row>
    <row r="1502">
      <c r="A1502" s="1" t="str">
        <f>IFERROR(__xludf.DUMMYFUNCTION("""COMPUTED_VALUE"""),"JK TECHNOLOGY PARK #3")</f>
        <v>JK TECHNOLOGY PARK #3</v>
      </c>
      <c r="B1502" s="1" t="str">
        <f>IFERROR(__xludf.DUMMYFUNCTION("""COMPUTED_VALUE"""),"24393 STONE SPRINGS BLVD")</f>
        <v>24393 STONE SPRINGS BLVD</v>
      </c>
      <c r="C1502" s="1" t="str">
        <f>IFERROR(__xludf.DUMMYFUNCTION("""COMPUTED_VALUE"""),"Sterling")</f>
        <v>Sterling</v>
      </c>
      <c r="D1502" s="1" t="str">
        <f>IFERROR(__xludf.DUMMYFUNCTION("""COMPUTED_VALUE"""),"VA")</f>
        <v>VA</v>
      </c>
      <c r="E1502" s="1" t="str">
        <f>IFERROR(__xludf.DUMMYFUNCTION("""COMPUTED_VALUE"""),"20166")</f>
        <v>20166</v>
      </c>
      <c r="F1502" s="1" t="str">
        <f>IFERROR(__xludf.DUMMYFUNCTION("""COMPUTED_VALUE"""),"Loudoun")</f>
        <v>Loudoun</v>
      </c>
      <c r="G1502" s="1" t="str">
        <f>IFERROR(__xludf.DUMMYFUNCTION("""COMPUTED_VALUE"""),"38.945557")</f>
        <v>38.945557</v>
      </c>
      <c r="H1502" s="1" t="str">
        <f>IFERROR(__xludf.DUMMYFUNCTION("""COMPUTED_VALUE"""),"-77.54126")</f>
        <v>-77.54126</v>
      </c>
      <c r="I1502" s="1" t="str">
        <f>IFERROR(__xludf.DUMMYFUNCTION("""COMPUTED_VALUE"""),"Proposed")</f>
        <v>Proposed</v>
      </c>
      <c r="J1502" s="1" t="str">
        <f>IFERROR(__xludf.DUMMYFUNCTION("""COMPUTED_VALUE"""),"High")</f>
        <v>High</v>
      </c>
      <c r="K1502" s="1" t="str">
        <f>IFERROR(__xludf.DUMMYFUNCTION("""COMPUTED_VALUE"""),"")</f>
        <v/>
      </c>
      <c r="L1502" s="1" t="str">
        <f>IFERROR(__xludf.DUMMYFUNCTION("""COMPUTED_VALUE"""),"")</f>
        <v/>
      </c>
      <c r="M1502" s="1" t="str">
        <f>IFERROR(__xludf.DUMMYFUNCTION("""COMPUTED_VALUE"""),"")</f>
        <v/>
      </c>
      <c r="N1502" s="1" t="str">
        <f>IFERROR(__xludf.DUMMYFUNCTION("""COMPUTED_VALUE"""),"")</f>
        <v/>
      </c>
      <c r="O1502" s="1" t="str">
        <f>IFERROR(__xludf.DUMMYFUNCTION("""COMPUTED_VALUE"""),"Unknown")</f>
        <v>Unknown</v>
      </c>
      <c r="P1502" s="1" t="str">
        <f>IFERROR(__xludf.DUMMYFUNCTION("""COMPUTED_VALUE"""),"")</f>
        <v/>
      </c>
      <c r="Q1502" s="1" t="str">
        <f>IFERROR(__xludf.DUMMYFUNCTION("""COMPUTED_VALUE"""),"")</f>
        <v/>
      </c>
      <c r="R1502" s="1" t="str">
        <f>IFERROR(__xludf.DUMMYFUNCTION("""COMPUTED_VALUE"""),"")</f>
        <v/>
      </c>
      <c r="S1502" s="1" t="str">
        <f>IFERROR(__xludf.DUMMYFUNCTION("""COMPUTED_VALUE"""),"")</f>
        <v/>
      </c>
      <c r="T1502" s="1" t="str">
        <f>IFERROR(__xludf.DUMMYFUNCTION("""COMPUTED_VALUE"""),"")</f>
        <v/>
      </c>
      <c r="U1502" s="1" t="str">
        <f>IFERROR(__xludf.DUMMYFUNCTION("""COMPUTED_VALUE"""),"")</f>
        <v/>
      </c>
      <c r="V1502" s="1" t="str">
        <f>IFERROR(__xludf.DUMMYFUNCTION("""COMPUTED_VALUE"""),"184,080")</f>
        <v>184,080</v>
      </c>
      <c r="W1502" s="1" t="str">
        <f>IFERROR(__xludf.DUMMYFUNCTION("""COMPUTED_VALUE"""),"21")</f>
        <v>21</v>
      </c>
      <c r="X1502" s="1" t="str">
        <f>IFERROR(__xludf.DUMMYFUNCTION("""COMPUTED_VALUE"""),"")</f>
        <v/>
      </c>
      <c r="Y1502" s="1" t="str">
        <f>IFERROR(__xludf.DUMMYFUNCTION("""COMPUTED_VALUE"""),"")</f>
        <v/>
      </c>
      <c r="Z1502" s="1" t="str">
        <f>IFERROR(__xludf.DUMMYFUNCTION("""COMPUTED_VALUE"""),"Unknown")</f>
        <v>Unknown</v>
      </c>
      <c r="AA1502" s="1" t="str">
        <f>IFERROR(__xludf.DUMMYFUNCTION("""COMPUTED_VALUE"""),"")</f>
        <v/>
      </c>
      <c r="AB1502" s="1" t="str">
        <f>IFERROR(__xludf.DUMMYFUNCTION("""COMPUTED_VALUE"""),"")</f>
        <v/>
      </c>
      <c r="AC1502" s="1" t="str">
        <f>IFERROR(__xludf.DUMMYFUNCTION("""COMPUTED_VALUE"""),"")</f>
        <v/>
      </c>
      <c r="AD1502" s="1" t="str">
        <f>IFERROR(__xludf.DUMMYFUNCTION("""COMPUTED_VALUE"""),"")</f>
        <v/>
      </c>
      <c r="AE1502" s="1" t="str">
        <f>IFERROR(__xludf.DUMMYFUNCTION("""COMPUTED_VALUE"""),"")</f>
        <v/>
      </c>
      <c r="AF1502" s="1" t="str">
        <f>IFERROR(__xludf.DUMMYFUNCTION("""COMPUTED_VALUE"""),"")</f>
        <v/>
      </c>
      <c r="AG1502" s="1" t="str">
        <f>IFERROR(__xludf.DUMMYFUNCTION("""COMPUTED_VALUE"""),"")</f>
        <v/>
      </c>
      <c r="AH1502" s="1" t="str">
        <f>IFERROR(__xludf.DUMMYFUNCTION("""COMPUTED_VALUE"""),"PEC")</f>
        <v>PEC</v>
      </c>
      <c r="AI1502" s="2" t="str">
        <f>IFERROR(__xludf.DUMMYFUNCTION("""COMPUTED_VALUE"""),"https://loudouncountyvaeg.tylerhost.net/prod/selfservice#/plan/c87c4b0c-a3aa-4261-9954-8cc95f06f912?tab=locations")</f>
        <v>https://loudouncountyvaeg.tylerhost.net/prod/selfservice#/plan/c87c4b0c-a3aa-4261-9954-8cc95f06f912?tab=locations</v>
      </c>
      <c r="AJ1502" s="2" t="str">
        <f>IFERROR(__xludf.DUMMYFUNCTION("""COMPUTED_VALUE"""),"https://reparcelasmt.loudoun.gov/pt/datalets/datalet.aspx?mode=profileall&amp;UseSearch=no&amp;pin=203295737000&amp;jur=107&amp;taxyr=2025&amp;LMparent=20")</f>
        <v>https://reparcelasmt.loudoun.gov/pt/datalets/datalet.aspx?mode=profileall&amp;UseSearch=no&amp;pin=203295737000&amp;jur=107&amp;taxyr=2025&amp;LMparent=20</v>
      </c>
      <c r="AK1502" s="1" t="str">
        <f>IFERROR(__xludf.DUMMYFUNCTION("""COMPUTED_VALUE"""),"")</f>
        <v/>
      </c>
      <c r="AL1502" s="1" t="str">
        <f>IFERROR(__xludf.DUMMYFUNCTION("""COMPUTED_VALUE"""),"")</f>
        <v/>
      </c>
      <c r="AM1502" s="1" t="str">
        <f>IFERROR(__xludf.DUMMYFUNCTION("""COMPUTED_VALUE"""),"")</f>
        <v/>
      </c>
      <c r="AN1502" s="1" t="str">
        <f>IFERROR(__xludf.DUMMYFUNCTION("""COMPUTED_VALUE"""),"")</f>
        <v/>
      </c>
      <c r="AO1502" s="1" t="str">
        <f>IFERROR(__xludf.DUMMYFUNCTION("""COMPUTED_VALUE"""),"")</f>
        <v/>
      </c>
      <c r="AP1502" s="1" t="str">
        <f>IFERROR(__xludf.DUMMYFUNCTION("""COMPUTED_VALUE"""),"")</f>
        <v/>
      </c>
      <c r="AQ1502" s="1" t="str">
        <f>IFERROR(__xludf.DUMMYFUNCTION("""COMPUTED_VALUE"""),"08/06/2025")</f>
        <v>08/06/2025</v>
      </c>
      <c r="AR1502" s="1" t="str">
        <f>IFERROR(__xludf.DUMMYFUNCTION("""COMPUTED_VALUE"""),"10/17/2025")</f>
        <v>10/17/2025</v>
      </c>
    </row>
    <row r="1503">
      <c r="A1503" s="1" t="str">
        <f>IFERROR(__xludf.DUMMYFUNCTION("""COMPUTED_VALUE"""),"Loudoun Commerce Center")</f>
        <v>Loudoun Commerce Center</v>
      </c>
      <c r="B1503" s="1" t="str">
        <f>IFERROR(__xludf.DUMMYFUNCTION("""COMPUTED_VALUE"""),"45975 Nokes Blvd")</f>
        <v>45975 Nokes Blvd</v>
      </c>
      <c r="C1503" s="1" t="str">
        <f>IFERROR(__xludf.DUMMYFUNCTION("""COMPUTED_VALUE"""),"Sterling")</f>
        <v>Sterling</v>
      </c>
      <c r="D1503" s="1" t="str">
        <f>IFERROR(__xludf.DUMMYFUNCTION("""COMPUTED_VALUE"""),"VA")</f>
        <v>VA</v>
      </c>
      <c r="E1503" s="1" t="str">
        <f>IFERROR(__xludf.DUMMYFUNCTION("""COMPUTED_VALUE"""),"20166")</f>
        <v>20166</v>
      </c>
      <c r="F1503" s="1" t="str">
        <f>IFERROR(__xludf.DUMMYFUNCTION("""COMPUTED_VALUE"""),"Loudoun")</f>
        <v>Loudoun</v>
      </c>
      <c r="G1503" s="1" t="str">
        <f>IFERROR(__xludf.DUMMYFUNCTION("""COMPUTED_VALUE"""),"39.0224")</f>
        <v>39.0224</v>
      </c>
      <c r="H1503" s="1" t="str">
        <f>IFERROR(__xludf.DUMMYFUNCTION("""COMPUTED_VALUE"""),"-77.41007")</f>
        <v>-77.41007</v>
      </c>
      <c r="I1503" s="1" t="str">
        <f>IFERROR(__xludf.DUMMYFUNCTION("""COMPUTED_VALUE"""),"Proposed")</f>
        <v>Proposed</v>
      </c>
      <c r="J1503" s="1" t="str">
        <f>IFERROR(__xludf.DUMMYFUNCTION("""COMPUTED_VALUE"""),"High")</f>
        <v>High</v>
      </c>
      <c r="K1503" s="1" t="str">
        <f>IFERROR(__xludf.DUMMYFUNCTION("""COMPUTED_VALUE"""),"")</f>
        <v/>
      </c>
      <c r="L1503" s="1" t="str">
        <f>IFERROR(__xludf.DUMMYFUNCTION("""COMPUTED_VALUE"""),"Amazon")</f>
        <v>Amazon</v>
      </c>
      <c r="M1503" s="1" t="str">
        <f>IFERROR(__xludf.DUMMYFUNCTION("""COMPUTED_VALUE"""),"")</f>
        <v/>
      </c>
      <c r="N1503" s="1" t="str">
        <f>IFERROR(__xludf.DUMMYFUNCTION("""COMPUTED_VALUE"""),"")</f>
        <v/>
      </c>
      <c r="O1503" s="1" t="str">
        <f>IFERROR(__xludf.DUMMYFUNCTION("""COMPUTED_VALUE"""),"Unknown")</f>
        <v>Unknown</v>
      </c>
      <c r="P1503" s="1" t="str">
        <f>IFERROR(__xludf.DUMMYFUNCTION("""COMPUTED_VALUE"""),"")</f>
        <v/>
      </c>
      <c r="Q1503" s="1" t="str">
        <f>IFERROR(__xludf.DUMMYFUNCTION("""COMPUTED_VALUE"""),"")</f>
        <v/>
      </c>
      <c r="R1503" s="1" t="str">
        <f>IFERROR(__xludf.DUMMYFUNCTION("""COMPUTED_VALUE"""),"")</f>
        <v/>
      </c>
      <c r="S1503" s="1" t="str">
        <f>IFERROR(__xludf.DUMMYFUNCTION("""COMPUTED_VALUE"""),"")</f>
        <v/>
      </c>
      <c r="T1503" s="1" t="str">
        <f>IFERROR(__xludf.DUMMYFUNCTION("""COMPUTED_VALUE"""),"")</f>
        <v/>
      </c>
      <c r="U1503" s="1" t="str">
        <f>IFERROR(__xludf.DUMMYFUNCTION("""COMPUTED_VALUE"""),"")</f>
        <v/>
      </c>
      <c r="V1503" s="1" t="str">
        <f>IFERROR(__xludf.DUMMYFUNCTION("""COMPUTED_VALUE"""),"311,670")</f>
        <v>311,670</v>
      </c>
      <c r="W1503" s="1" t="str">
        <f>IFERROR(__xludf.DUMMYFUNCTION("""COMPUTED_VALUE"""),"14")</f>
        <v>14</v>
      </c>
      <c r="X1503" s="1" t="str">
        <f>IFERROR(__xludf.DUMMYFUNCTION("""COMPUTED_VALUE"""),"")</f>
        <v/>
      </c>
      <c r="Y1503" s="1" t="str">
        <f>IFERROR(__xludf.DUMMYFUNCTION("""COMPUTED_VALUE"""),"")</f>
        <v/>
      </c>
      <c r="Z1503" s="1" t="str">
        <f>IFERROR(__xludf.DUMMYFUNCTION("""COMPUTED_VALUE"""),"Unknown")</f>
        <v>Unknown</v>
      </c>
      <c r="AA1503" s="1" t="str">
        <f>IFERROR(__xludf.DUMMYFUNCTION("""COMPUTED_VALUE"""),"")</f>
        <v/>
      </c>
      <c r="AB1503" s="1" t="str">
        <f>IFERROR(__xludf.DUMMYFUNCTION("""COMPUTED_VALUE"""),"")</f>
        <v/>
      </c>
      <c r="AC1503" s="1" t="str">
        <f>IFERROR(__xludf.DUMMYFUNCTION("""COMPUTED_VALUE"""),"")</f>
        <v/>
      </c>
      <c r="AD1503" s="1" t="str">
        <f>IFERROR(__xludf.DUMMYFUNCTION("""COMPUTED_VALUE"""),"")</f>
        <v/>
      </c>
      <c r="AE1503" s="1" t="str">
        <f>IFERROR(__xludf.DUMMYFUNCTION("""COMPUTED_VALUE"""),"")</f>
        <v/>
      </c>
      <c r="AF1503" s="1" t="str">
        <f>IFERROR(__xludf.DUMMYFUNCTION("""COMPUTED_VALUE"""),"")</f>
        <v/>
      </c>
      <c r="AG1503" s="1" t="str">
        <f>IFERROR(__xludf.DUMMYFUNCTION("""COMPUTED_VALUE"""),"Project covers more than one parcel, the acreage represents the combined acreage")</f>
        <v>Project covers more than one parcel, the acreage represents the combined acreage</v>
      </c>
      <c r="AH1503" s="1" t="str">
        <f>IFERROR(__xludf.DUMMYFUNCTION("""COMPUTED_VALUE"""),"PEC")</f>
        <v>PEC</v>
      </c>
      <c r="AI1503" s="2" t="str">
        <f>IFERROR(__xludf.DUMMYFUNCTION("""COMPUTED_VALUE"""),"https://www.datacenterdynamics.com/en/news/amazon-to-demolish-nine-office-buildings-in-sterling-virginia-and-build-four-data-centers/")</f>
        <v>https://www.datacenterdynamics.com/en/news/amazon-to-demolish-nine-office-buildings-in-sterling-virginia-and-build-four-data-centers/</v>
      </c>
      <c r="AJ1503" s="2" t="str">
        <f>IFERROR(__xludf.DUMMYFUNCTION("""COMPUTED_VALUE"""),"https://reparcelasmt.loudoun.gov/pt/Datalets/Datalet.aspx?UseSearch=no&amp;mode=profileall&amp;pin=030208833000&amp;jur=107&amp;taxyr=2024")</f>
        <v>https://reparcelasmt.loudoun.gov/pt/Datalets/Datalet.aspx?UseSearch=no&amp;mode=profileall&amp;pin=030208833000&amp;jur=107&amp;taxyr=2024</v>
      </c>
      <c r="AK1503" s="1" t="str">
        <f>IFERROR(__xludf.DUMMYFUNCTION("""COMPUTED_VALUE"""),"")</f>
        <v/>
      </c>
      <c r="AL1503" s="1" t="str">
        <f>IFERROR(__xludf.DUMMYFUNCTION("""COMPUTED_VALUE"""),"")</f>
        <v/>
      </c>
      <c r="AM1503" s="1" t="str">
        <f>IFERROR(__xludf.DUMMYFUNCTION("""COMPUTED_VALUE"""),"")</f>
        <v/>
      </c>
      <c r="AN1503" s="1" t="str">
        <f>IFERROR(__xludf.DUMMYFUNCTION("""COMPUTED_VALUE"""),"")</f>
        <v/>
      </c>
      <c r="AO1503" s="1" t="str">
        <f>IFERROR(__xludf.DUMMYFUNCTION("""COMPUTED_VALUE"""),"")</f>
        <v/>
      </c>
      <c r="AP1503" s="1" t="str">
        <f>IFERROR(__xludf.DUMMYFUNCTION("""COMPUTED_VALUE"""),"")</f>
        <v/>
      </c>
      <c r="AQ1503" s="1" t="str">
        <f>IFERROR(__xludf.DUMMYFUNCTION("""COMPUTED_VALUE"""),"04/10/2024")</f>
        <v>04/10/2024</v>
      </c>
      <c r="AR1503" s="1" t="str">
        <f>IFERROR(__xludf.DUMMYFUNCTION("""COMPUTED_VALUE"""),"10/17/2025")</f>
        <v>10/17/2025</v>
      </c>
    </row>
    <row r="1504">
      <c r="A1504" s="1" t="str">
        <f>IFERROR(__xludf.DUMMYFUNCTION("""COMPUTED_VALUE"""),"Manekin Plaza")</f>
        <v>Manekin Plaza</v>
      </c>
      <c r="B1504" s="1" t="str">
        <f>IFERROR(__xludf.DUMMYFUNCTION("""COMPUTED_VALUE"""),"46000 MANEKIN PLZ")</f>
        <v>46000 MANEKIN PLZ</v>
      </c>
      <c r="C1504" s="1" t="str">
        <f>IFERROR(__xludf.DUMMYFUNCTION("""COMPUTED_VALUE"""),"Sterling")</f>
        <v>Sterling</v>
      </c>
      <c r="D1504" s="1" t="str">
        <f>IFERROR(__xludf.DUMMYFUNCTION("""COMPUTED_VALUE"""),"VA")</f>
        <v>VA</v>
      </c>
      <c r="E1504" s="1" t="str">
        <f>IFERROR(__xludf.DUMMYFUNCTION("""COMPUTED_VALUE"""),"20166")</f>
        <v>20166</v>
      </c>
      <c r="F1504" s="1" t="str">
        <f>IFERROR(__xludf.DUMMYFUNCTION("""COMPUTED_VALUE"""),"Loudoun")</f>
        <v>Loudoun</v>
      </c>
      <c r="G1504" s="1" t="str">
        <f>IFERROR(__xludf.DUMMYFUNCTION("""COMPUTED_VALUE"""),"39.023773")</f>
        <v>39.023773</v>
      </c>
      <c r="H1504" s="1" t="str">
        <f>IFERROR(__xludf.DUMMYFUNCTION("""COMPUTED_VALUE"""),"-77.40789")</f>
        <v>-77.40789</v>
      </c>
      <c r="I1504" s="1" t="str">
        <f>IFERROR(__xludf.DUMMYFUNCTION("""COMPUTED_VALUE"""),"Proposed")</f>
        <v>Proposed</v>
      </c>
      <c r="J1504" s="1" t="str">
        <f>IFERROR(__xludf.DUMMYFUNCTION("""COMPUTED_VALUE"""),"High")</f>
        <v>High</v>
      </c>
      <c r="K1504" s="1" t="str">
        <f>IFERROR(__xludf.DUMMYFUNCTION("""COMPUTED_VALUE"""),"")</f>
        <v/>
      </c>
      <c r="L1504" s="1" t="str">
        <f>IFERROR(__xludf.DUMMYFUNCTION("""COMPUTED_VALUE"""),"Amazon")</f>
        <v>Amazon</v>
      </c>
      <c r="M1504" s="1" t="str">
        <f>IFERROR(__xludf.DUMMYFUNCTION("""COMPUTED_VALUE"""),"")</f>
        <v/>
      </c>
      <c r="N1504" s="1" t="str">
        <f>IFERROR(__xludf.DUMMYFUNCTION("""COMPUTED_VALUE"""),"")</f>
        <v/>
      </c>
      <c r="O1504" s="1" t="str">
        <f>IFERROR(__xludf.DUMMYFUNCTION("""COMPUTED_VALUE"""),"Unknown")</f>
        <v>Unknown</v>
      </c>
      <c r="P1504" s="1" t="str">
        <f>IFERROR(__xludf.DUMMYFUNCTION("""COMPUTED_VALUE"""),"")</f>
        <v/>
      </c>
      <c r="Q1504" s="1" t="str">
        <f>IFERROR(__xludf.DUMMYFUNCTION("""COMPUTED_VALUE"""),"")</f>
        <v/>
      </c>
      <c r="R1504" s="1" t="str">
        <f>IFERROR(__xludf.DUMMYFUNCTION("""COMPUTED_VALUE"""),"")</f>
        <v/>
      </c>
      <c r="S1504" s="1" t="str">
        <f>IFERROR(__xludf.DUMMYFUNCTION("""COMPUTED_VALUE"""),"")</f>
        <v/>
      </c>
      <c r="T1504" s="1" t="str">
        <f>IFERROR(__xludf.DUMMYFUNCTION("""COMPUTED_VALUE"""),"")</f>
        <v/>
      </c>
      <c r="U1504" s="1" t="str">
        <f>IFERROR(__xludf.DUMMYFUNCTION("""COMPUTED_VALUE"""),"")</f>
        <v/>
      </c>
      <c r="V1504" s="1" t="str">
        <f>IFERROR(__xludf.DUMMYFUNCTION("""COMPUTED_VALUE"""),"313,000")</f>
        <v>313,000</v>
      </c>
      <c r="W1504" s="1" t="str">
        <f>IFERROR(__xludf.DUMMYFUNCTION("""COMPUTED_VALUE"""),"7")</f>
        <v>7</v>
      </c>
      <c r="X1504" s="1" t="str">
        <f>IFERROR(__xludf.DUMMYFUNCTION("""COMPUTED_VALUE"""),"")</f>
        <v/>
      </c>
      <c r="Y1504" s="1" t="str">
        <f>IFERROR(__xludf.DUMMYFUNCTION("""COMPUTED_VALUE"""),"")</f>
        <v/>
      </c>
      <c r="Z1504" s="1" t="str">
        <f>IFERROR(__xludf.DUMMYFUNCTION("""COMPUTED_VALUE"""),"Unknown")</f>
        <v>Unknown</v>
      </c>
      <c r="AA1504" s="1" t="str">
        <f>IFERROR(__xludf.DUMMYFUNCTION("""COMPUTED_VALUE"""),"")</f>
        <v/>
      </c>
      <c r="AB1504" s="1" t="str">
        <f>IFERROR(__xludf.DUMMYFUNCTION("""COMPUTED_VALUE"""),"")</f>
        <v/>
      </c>
      <c r="AC1504" s="1" t="str">
        <f>IFERROR(__xludf.DUMMYFUNCTION("""COMPUTED_VALUE"""),"")</f>
        <v/>
      </c>
      <c r="AD1504" s="1" t="str">
        <f>IFERROR(__xludf.DUMMYFUNCTION("""COMPUTED_VALUE"""),"")</f>
        <v/>
      </c>
      <c r="AE1504" s="1" t="str">
        <f>IFERROR(__xludf.DUMMYFUNCTION("""COMPUTED_VALUE"""),"")</f>
        <v/>
      </c>
      <c r="AF1504" s="1" t="str">
        <f>IFERROR(__xludf.DUMMYFUNCTION("""COMPUTED_VALUE"""),"")</f>
        <v/>
      </c>
      <c r="AG1504" s="1" t="str">
        <f>IFERROR(__xludf.DUMMYFUNCTION("""COMPUTED_VALUE"""),"Project covers more than one parcel, the acreage represents the combined acreage")</f>
        <v>Project covers more than one parcel, the acreage represents the combined acreage</v>
      </c>
      <c r="AH1504" s="1" t="str">
        <f>IFERROR(__xludf.DUMMYFUNCTION("""COMPUTED_VALUE"""),"PEC")</f>
        <v>PEC</v>
      </c>
      <c r="AI1504" s="2" t="str">
        <f>IFERROR(__xludf.DUMMYFUNCTION("""COMPUTED_VALUE"""),"https://www.datacenterdynamics.com/en/news/amazon-to-demolish-nine-office-buildings-in-sterling-virginia-and-build-four-data-centers/")</f>
        <v>https://www.datacenterdynamics.com/en/news/amazon-to-demolish-nine-office-buildings-in-sterling-virginia-and-build-four-data-centers/</v>
      </c>
      <c r="AJ1504" s="2" t="str">
        <f>IFERROR(__xludf.DUMMYFUNCTION("""COMPUTED_VALUE"""),"https://reparcelasmt.loudoun.gov/pt/Datalets/Datalet.aspx?UseSearch=no&amp;mode=profileall&amp;pin=030309421000&amp;jur=107&amp;taxyr=2024")</f>
        <v>https://reparcelasmt.loudoun.gov/pt/Datalets/Datalet.aspx?UseSearch=no&amp;mode=profileall&amp;pin=030309421000&amp;jur=107&amp;taxyr=2024</v>
      </c>
      <c r="AK1504" s="1" t="str">
        <f>IFERROR(__xludf.DUMMYFUNCTION("""COMPUTED_VALUE"""),"")</f>
        <v/>
      </c>
      <c r="AL1504" s="1" t="str">
        <f>IFERROR(__xludf.DUMMYFUNCTION("""COMPUTED_VALUE"""),"")</f>
        <v/>
      </c>
      <c r="AM1504" s="1" t="str">
        <f>IFERROR(__xludf.DUMMYFUNCTION("""COMPUTED_VALUE"""),"")</f>
        <v/>
      </c>
      <c r="AN1504" s="1" t="str">
        <f>IFERROR(__xludf.DUMMYFUNCTION("""COMPUTED_VALUE"""),"")</f>
        <v/>
      </c>
      <c r="AO1504" s="1" t="str">
        <f>IFERROR(__xludf.DUMMYFUNCTION("""COMPUTED_VALUE"""),"")</f>
        <v/>
      </c>
      <c r="AP1504" s="1" t="str">
        <f>IFERROR(__xludf.DUMMYFUNCTION("""COMPUTED_VALUE"""),"")</f>
        <v/>
      </c>
      <c r="AQ1504" s="1" t="str">
        <f>IFERROR(__xludf.DUMMYFUNCTION("""COMPUTED_VALUE"""),"04/10/2024")</f>
        <v>04/10/2024</v>
      </c>
      <c r="AR1504" s="1" t="str">
        <f>IFERROR(__xludf.DUMMYFUNCTION("""COMPUTED_VALUE"""),"10/17/2025")</f>
        <v>10/17/2025</v>
      </c>
    </row>
    <row r="1505">
      <c r="A1505" s="1" t="str">
        <f>IFERROR(__xludf.DUMMYFUNCTION("""COMPUTED_VALUE"""),"MARIES TECH PARK LLC")</f>
        <v>MARIES TECH PARK LLC</v>
      </c>
      <c r="B1505" s="1" t="str">
        <f>IFERROR(__xludf.DUMMYFUNCTION("""COMPUTED_VALUE"""),"45761 MARIES RD")</f>
        <v>45761 MARIES RD</v>
      </c>
      <c r="C1505" s="1" t="str">
        <f>IFERROR(__xludf.DUMMYFUNCTION("""COMPUTED_VALUE"""),"Sterling")</f>
        <v>Sterling</v>
      </c>
      <c r="D1505" s="1" t="str">
        <f>IFERROR(__xludf.DUMMYFUNCTION("""COMPUTED_VALUE"""),"VA")</f>
        <v>VA</v>
      </c>
      <c r="E1505" s="1" t="str">
        <f>IFERROR(__xludf.DUMMYFUNCTION("""COMPUTED_VALUE"""),"20166")</f>
        <v>20166</v>
      </c>
      <c r="F1505" s="1" t="str">
        <f>IFERROR(__xludf.DUMMYFUNCTION("""COMPUTED_VALUE"""),"Loudoun")</f>
        <v>Loudoun</v>
      </c>
      <c r="G1505" s="1" t="str">
        <f>IFERROR(__xludf.DUMMYFUNCTION("""COMPUTED_VALUE"""),"39.024")</f>
        <v>39.024</v>
      </c>
      <c r="H1505" s="1" t="str">
        <f>IFERROR(__xludf.DUMMYFUNCTION("""COMPUTED_VALUE"""),"-77.4195")</f>
        <v>-77.4195</v>
      </c>
      <c r="I1505" s="1" t="str">
        <f>IFERROR(__xludf.DUMMYFUNCTION("""COMPUTED_VALUE"""),"Operating")</f>
        <v>Operating</v>
      </c>
      <c r="J1505" s="1" t="str">
        <f>IFERROR(__xludf.DUMMYFUNCTION("""COMPUTED_VALUE"""),"High")</f>
        <v>High</v>
      </c>
      <c r="K1505" s="1" t="str">
        <f>IFERROR(__xludf.DUMMYFUNCTION("""COMPUTED_VALUE"""),"")</f>
        <v/>
      </c>
      <c r="L1505" s="1" t="str">
        <f>IFERROR(__xludf.DUMMYFUNCTION("""COMPUTED_VALUE"""),"Amazon")</f>
        <v>Amazon</v>
      </c>
      <c r="M1505" s="1" t="str">
        <f>IFERROR(__xludf.DUMMYFUNCTION("""COMPUTED_VALUE"""),"")</f>
        <v/>
      </c>
      <c r="N1505" s="1" t="str">
        <f>IFERROR(__xludf.DUMMYFUNCTION("""COMPUTED_VALUE"""),"")</f>
        <v/>
      </c>
      <c r="O1505" s="1" t="str">
        <f>IFERROR(__xludf.DUMMYFUNCTION("""COMPUTED_VALUE"""),"Unknown")</f>
        <v>Unknown</v>
      </c>
      <c r="P1505" s="1" t="str">
        <f>IFERROR(__xludf.DUMMYFUNCTION("""COMPUTED_VALUE"""),"")</f>
        <v/>
      </c>
      <c r="Q1505" s="1" t="str">
        <f>IFERROR(__xludf.DUMMYFUNCTION("""COMPUTED_VALUE"""),"")</f>
        <v/>
      </c>
      <c r="R1505" s="1" t="str">
        <f>IFERROR(__xludf.DUMMYFUNCTION("""COMPUTED_VALUE"""),"")</f>
        <v/>
      </c>
      <c r="S1505" s="1" t="str">
        <f>IFERROR(__xludf.DUMMYFUNCTION("""COMPUTED_VALUE"""),"")</f>
        <v/>
      </c>
      <c r="T1505" s="1" t="str">
        <f>IFERROR(__xludf.DUMMYFUNCTION("""COMPUTED_VALUE"""),"")</f>
        <v/>
      </c>
      <c r="U1505" s="1" t="str">
        <f>IFERROR(__xludf.DUMMYFUNCTION("""COMPUTED_VALUE"""),"")</f>
        <v/>
      </c>
      <c r="V1505" s="1" t="str">
        <f>IFERROR(__xludf.DUMMYFUNCTION("""COMPUTED_VALUE"""),"426,710")</f>
        <v>426,710</v>
      </c>
      <c r="W1505" s="1" t="str">
        <f>IFERROR(__xludf.DUMMYFUNCTION("""COMPUTED_VALUE"""),"20")</f>
        <v>20</v>
      </c>
      <c r="X1505" s="1" t="str">
        <f>IFERROR(__xludf.DUMMYFUNCTION("""COMPUTED_VALUE"""),"")</f>
        <v/>
      </c>
      <c r="Y1505" s="1" t="str">
        <f>IFERROR(__xludf.DUMMYFUNCTION("""COMPUTED_VALUE"""),"")</f>
        <v/>
      </c>
      <c r="Z1505" s="1" t="str">
        <f>IFERROR(__xludf.DUMMYFUNCTION("""COMPUTED_VALUE"""),"Unknown")</f>
        <v>Unknown</v>
      </c>
      <c r="AA1505" s="1" t="str">
        <f>IFERROR(__xludf.DUMMYFUNCTION("""COMPUTED_VALUE"""),"")</f>
        <v/>
      </c>
      <c r="AB1505" s="1" t="str">
        <f>IFERROR(__xludf.DUMMYFUNCTION("""COMPUTED_VALUE"""),"")</f>
        <v/>
      </c>
      <c r="AC1505" s="1" t="str">
        <f>IFERROR(__xludf.DUMMYFUNCTION("""COMPUTED_VALUE"""),"")</f>
        <v/>
      </c>
      <c r="AD1505" s="1" t="str">
        <f>IFERROR(__xludf.DUMMYFUNCTION("""COMPUTED_VALUE"""),"")</f>
        <v/>
      </c>
      <c r="AE1505" s="1" t="str">
        <f>IFERROR(__xludf.DUMMYFUNCTION("""COMPUTED_VALUE"""),"")</f>
        <v/>
      </c>
      <c r="AF1505" s="1" t="str">
        <f>IFERROR(__xludf.DUMMYFUNCTION("""COMPUTED_VALUE"""),"")</f>
        <v/>
      </c>
      <c r="AG1505" s="1" t="str">
        <f>IFERROR(__xludf.DUMMYFUNCTION("""COMPUTED_VALUE"""),"Shown as ""Storage Warehouse""")</f>
        <v>Shown as "Storage Warehouse"</v>
      </c>
      <c r="AH1505" s="1" t="str">
        <f>IFERROR(__xludf.DUMMYFUNCTION("""COMPUTED_VALUE"""),"PEC")</f>
        <v>PEC</v>
      </c>
      <c r="AI1505" s="2" t="str">
        <f>IFERROR(__xludf.DUMMYFUNCTION("""COMPUTED_VALUE"""),"https://reparcelasmt.loudoun.gov/pt/Datalets/Datalet.aspx?UseSearch=no&amp;mode=profileall&amp;pin=030382006000&amp;jur=107&amp;taxyr=2024")</f>
        <v>https://reparcelasmt.loudoun.gov/pt/Datalets/Datalet.aspx?UseSearch=no&amp;mode=profileall&amp;pin=030382006000&amp;jur=107&amp;taxyr=2024</v>
      </c>
      <c r="AJ1505" s="1" t="str">
        <f>IFERROR(__xludf.DUMMYFUNCTION("""COMPUTED_VALUE"""),"")</f>
        <v/>
      </c>
      <c r="AK1505" s="1" t="str">
        <f>IFERROR(__xludf.DUMMYFUNCTION("""COMPUTED_VALUE"""),"")</f>
        <v/>
      </c>
      <c r="AL1505" s="1" t="str">
        <f>IFERROR(__xludf.DUMMYFUNCTION("""COMPUTED_VALUE"""),"")</f>
        <v/>
      </c>
      <c r="AM1505" s="1" t="str">
        <f>IFERROR(__xludf.DUMMYFUNCTION("""COMPUTED_VALUE"""),"")</f>
        <v/>
      </c>
      <c r="AN1505" s="1" t="str">
        <f>IFERROR(__xludf.DUMMYFUNCTION("""COMPUTED_VALUE"""),"")</f>
        <v/>
      </c>
      <c r="AO1505" s="1" t="str">
        <f>IFERROR(__xludf.DUMMYFUNCTION("""COMPUTED_VALUE"""),"")</f>
        <v/>
      </c>
      <c r="AP1505" s="1" t="str">
        <f>IFERROR(__xludf.DUMMYFUNCTION("""COMPUTED_VALUE"""),"")</f>
        <v/>
      </c>
      <c r="AQ1505" s="1" t="str">
        <f>IFERROR(__xludf.DUMMYFUNCTION("""COMPUTED_VALUE"""),"04/10/2024")</f>
        <v>04/10/2024</v>
      </c>
      <c r="AR1505" s="1" t="str">
        <f>IFERROR(__xludf.DUMMYFUNCTION("""COMPUTED_VALUE"""),"10/17/2025")</f>
        <v>10/17/2025</v>
      </c>
    </row>
    <row r="1506">
      <c r="A1506" s="1" t="str">
        <f>IFERROR(__xludf.DUMMYFUNCTION("""COMPUTED_VALUE"""),"MECP1 ASHBURN 1 LLC")</f>
        <v>MECP1 ASHBURN 1 LLC</v>
      </c>
      <c r="B1506" s="1" t="str">
        <f>IFERROR(__xludf.DUMMYFUNCTION("""COMPUTED_VALUE"""),"21215 ATLANTIC BLVD")</f>
        <v>21215 ATLANTIC BLVD</v>
      </c>
      <c r="C1506" s="1" t="str">
        <f>IFERROR(__xludf.DUMMYFUNCTION("""COMPUTED_VALUE"""),"Sterling")</f>
        <v>Sterling</v>
      </c>
      <c r="D1506" s="1" t="str">
        <f>IFERROR(__xludf.DUMMYFUNCTION("""COMPUTED_VALUE"""),"VA")</f>
        <v>VA</v>
      </c>
      <c r="E1506" s="1" t="str">
        <f>IFERROR(__xludf.DUMMYFUNCTION("""COMPUTED_VALUE"""),"20166")</f>
        <v>20166</v>
      </c>
      <c r="F1506" s="1" t="str">
        <f>IFERROR(__xludf.DUMMYFUNCTION("""COMPUTED_VALUE"""),"Loudoun")</f>
        <v>Loudoun</v>
      </c>
      <c r="G1506" s="1" t="str">
        <f>IFERROR(__xludf.DUMMYFUNCTION("""COMPUTED_VALUE"""),"39.028484")</f>
        <v>39.028484</v>
      </c>
      <c r="H1506" s="1" t="str">
        <f>IFERROR(__xludf.DUMMYFUNCTION("""COMPUTED_VALUE"""),"-77.42769")</f>
        <v>-77.42769</v>
      </c>
      <c r="I1506" s="1" t="str">
        <f>IFERROR(__xludf.DUMMYFUNCTION("""COMPUTED_VALUE"""),"Operating")</f>
        <v>Operating</v>
      </c>
      <c r="J1506" s="1" t="str">
        <f>IFERROR(__xludf.DUMMYFUNCTION("""COMPUTED_VALUE"""),"High")</f>
        <v>High</v>
      </c>
      <c r="K1506" s="1" t="str">
        <f>IFERROR(__xludf.DUMMYFUNCTION("""COMPUTED_VALUE"""),"")</f>
        <v/>
      </c>
      <c r="L1506" s="1" t="str">
        <f>IFERROR(__xludf.DUMMYFUNCTION("""COMPUTED_VALUE"""),"")</f>
        <v/>
      </c>
      <c r="M1506" s="1" t="str">
        <f>IFERROR(__xludf.DUMMYFUNCTION("""COMPUTED_VALUE"""),"")</f>
        <v/>
      </c>
      <c r="N1506" s="1" t="str">
        <f>IFERROR(__xludf.DUMMYFUNCTION("""COMPUTED_VALUE"""),"")</f>
        <v/>
      </c>
      <c r="O1506" s="1" t="str">
        <f>IFERROR(__xludf.DUMMYFUNCTION("""COMPUTED_VALUE"""),"Unknown")</f>
        <v>Unknown</v>
      </c>
      <c r="P1506" s="1" t="str">
        <f>IFERROR(__xludf.DUMMYFUNCTION("""COMPUTED_VALUE"""),"")</f>
        <v/>
      </c>
      <c r="Q1506" s="1" t="str">
        <f>IFERROR(__xludf.DUMMYFUNCTION("""COMPUTED_VALUE"""),"")</f>
        <v/>
      </c>
      <c r="R1506" s="1" t="str">
        <f>IFERROR(__xludf.DUMMYFUNCTION("""COMPUTED_VALUE"""),"")</f>
        <v/>
      </c>
      <c r="S1506" s="1" t="str">
        <f>IFERROR(__xludf.DUMMYFUNCTION("""COMPUTED_VALUE"""),"")</f>
        <v/>
      </c>
      <c r="T1506" s="1" t="str">
        <f>IFERROR(__xludf.DUMMYFUNCTION("""COMPUTED_VALUE"""),"")</f>
        <v/>
      </c>
      <c r="U1506" s="1" t="str">
        <f>IFERROR(__xludf.DUMMYFUNCTION("""COMPUTED_VALUE"""),"")</f>
        <v/>
      </c>
      <c r="V1506" s="1" t="str">
        <f>IFERROR(__xludf.DUMMYFUNCTION("""COMPUTED_VALUE"""),"258,716")</f>
        <v>258,716</v>
      </c>
      <c r="W1506" s="1" t="str">
        <f>IFERROR(__xludf.DUMMYFUNCTION("""COMPUTED_VALUE"""),"6")</f>
        <v>6</v>
      </c>
      <c r="X1506" s="1" t="str">
        <f>IFERROR(__xludf.DUMMYFUNCTION("""COMPUTED_VALUE"""),"")</f>
        <v/>
      </c>
      <c r="Y1506" s="1" t="str">
        <f>IFERROR(__xludf.DUMMYFUNCTION("""COMPUTED_VALUE"""),"")</f>
        <v/>
      </c>
      <c r="Z1506" s="1" t="str">
        <f>IFERROR(__xludf.DUMMYFUNCTION("""COMPUTED_VALUE"""),"Unknown")</f>
        <v>Unknown</v>
      </c>
      <c r="AA1506" s="1" t="str">
        <f>IFERROR(__xludf.DUMMYFUNCTION("""COMPUTED_VALUE"""),"")</f>
        <v/>
      </c>
      <c r="AB1506" s="1" t="str">
        <f>IFERROR(__xludf.DUMMYFUNCTION("""COMPUTED_VALUE"""),"")</f>
        <v/>
      </c>
      <c r="AC1506" s="1" t="str">
        <f>IFERROR(__xludf.DUMMYFUNCTION("""COMPUTED_VALUE"""),"")</f>
        <v/>
      </c>
      <c r="AD1506" s="1" t="str">
        <f>IFERROR(__xludf.DUMMYFUNCTION("""COMPUTED_VALUE"""),"")</f>
        <v/>
      </c>
      <c r="AE1506" s="1" t="str">
        <f>IFERROR(__xludf.DUMMYFUNCTION("""COMPUTED_VALUE"""),"")</f>
        <v/>
      </c>
      <c r="AF1506" s="1" t="str">
        <f>IFERROR(__xludf.DUMMYFUNCTION("""COMPUTED_VALUE"""),"")</f>
        <v/>
      </c>
      <c r="AG1506" s="1" t="str">
        <f>IFERROR(__xludf.DUMMYFUNCTION("""COMPUTED_VALUE"""),"Shown as ""Storage Warehouse""")</f>
        <v>Shown as "Storage Warehouse"</v>
      </c>
      <c r="AH1506" s="1" t="str">
        <f>IFERROR(__xludf.DUMMYFUNCTION("""COMPUTED_VALUE"""),"PEC")</f>
        <v>PEC</v>
      </c>
      <c r="AI1506" s="2" t="str">
        <f>IFERROR(__xludf.DUMMYFUNCTION("""COMPUTED_VALUE"""),"https://reparcelasmt.loudoun.gov/pt/datalets/datalet.aspx?mode=commercial&amp;UseSearch=no&amp;pin=030455548000&amp;jur=107&amp;taxyr=2024&amp;LMparent=20")</f>
        <v>https://reparcelasmt.loudoun.gov/pt/datalets/datalet.aspx?mode=commercial&amp;UseSearch=no&amp;pin=030455548000&amp;jur=107&amp;taxyr=2024&amp;LMparent=20</v>
      </c>
      <c r="AJ1506" s="2" t="str">
        <f>IFERROR(__xludf.DUMMYFUNCTION("""COMPUTED_VALUE"""),"https://reparcelasmt.loudoun.gov/pt/datalets/datalet.aspx?mode=commercial&amp;UseSearch=no&amp;pin=030455548000&amp;jur=107&amp;taxyr=2024&amp;LMparent=20")</f>
        <v>https://reparcelasmt.loudoun.gov/pt/datalets/datalet.aspx?mode=commercial&amp;UseSearch=no&amp;pin=030455548000&amp;jur=107&amp;taxyr=2024&amp;LMparent=20</v>
      </c>
      <c r="AK1506" s="1" t="str">
        <f>IFERROR(__xludf.DUMMYFUNCTION("""COMPUTED_VALUE"""),"")</f>
        <v/>
      </c>
      <c r="AL1506" s="1" t="str">
        <f>IFERROR(__xludf.DUMMYFUNCTION("""COMPUTED_VALUE"""),"")</f>
        <v/>
      </c>
      <c r="AM1506" s="1" t="str">
        <f>IFERROR(__xludf.DUMMYFUNCTION("""COMPUTED_VALUE"""),"")</f>
        <v/>
      </c>
      <c r="AN1506" s="1" t="str">
        <f>IFERROR(__xludf.DUMMYFUNCTION("""COMPUTED_VALUE"""),"")</f>
        <v/>
      </c>
      <c r="AO1506" s="1" t="str">
        <f>IFERROR(__xludf.DUMMYFUNCTION("""COMPUTED_VALUE"""),"")</f>
        <v/>
      </c>
      <c r="AP1506" s="1" t="str">
        <f>IFERROR(__xludf.DUMMYFUNCTION("""COMPUTED_VALUE"""),"")</f>
        <v/>
      </c>
      <c r="AQ1506" s="1" t="str">
        <f>IFERROR(__xludf.DUMMYFUNCTION("""COMPUTED_VALUE"""),"08/07/2024")</f>
        <v>08/07/2024</v>
      </c>
      <c r="AR1506" s="1" t="str">
        <f>IFERROR(__xludf.DUMMYFUNCTION("""COMPUTED_VALUE"""),"10/17/2025")</f>
        <v>10/17/2025</v>
      </c>
    </row>
    <row r="1507">
      <c r="A1507" s="1" t="str">
        <f>IFERROR(__xludf.DUMMYFUNCTION("""COMPUTED_VALUE"""),"MECP 1 ASHBURN 2 LLC")</f>
        <v>MECP 1 ASHBURN 2 LLC</v>
      </c>
      <c r="B1507" s="1" t="str">
        <f>IFERROR(__xludf.DUMMYFUNCTION("""COMPUTED_VALUE"""),"45831 MARIES RD")</f>
        <v>45831 MARIES RD</v>
      </c>
      <c r="C1507" s="1" t="str">
        <f>IFERROR(__xludf.DUMMYFUNCTION("""COMPUTED_VALUE"""),"Sterling")</f>
        <v>Sterling</v>
      </c>
      <c r="D1507" s="1" t="str">
        <f>IFERROR(__xludf.DUMMYFUNCTION("""COMPUTED_VALUE"""),"VA")</f>
        <v>VA</v>
      </c>
      <c r="E1507" s="1" t="str">
        <f>IFERROR(__xludf.DUMMYFUNCTION("""COMPUTED_VALUE"""),"20166")</f>
        <v>20166</v>
      </c>
      <c r="F1507" s="1" t="str">
        <f>IFERROR(__xludf.DUMMYFUNCTION("""COMPUTED_VALUE"""),"Loudoun")</f>
        <v>Loudoun</v>
      </c>
      <c r="G1507" s="1" t="str">
        <f>IFERROR(__xludf.DUMMYFUNCTION("""COMPUTED_VALUE"""),"39.02199")</f>
        <v>39.02199</v>
      </c>
      <c r="H1507" s="1" t="str">
        <f>IFERROR(__xludf.DUMMYFUNCTION("""COMPUTED_VALUE"""),"-77.415115")</f>
        <v>-77.415115</v>
      </c>
      <c r="I1507" s="1" t="str">
        <f>IFERROR(__xludf.DUMMYFUNCTION("""COMPUTED_VALUE"""),"Proposed")</f>
        <v>Proposed</v>
      </c>
      <c r="J1507" s="1" t="str">
        <f>IFERROR(__xludf.DUMMYFUNCTION("""COMPUTED_VALUE"""),"High")</f>
        <v>High</v>
      </c>
      <c r="K1507" s="1" t="str">
        <f>IFERROR(__xludf.DUMMYFUNCTION("""COMPUTED_VALUE"""),"")</f>
        <v/>
      </c>
      <c r="L1507" s="1" t="str">
        <f>IFERROR(__xludf.DUMMYFUNCTION("""COMPUTED_VALUE"""),"EdgeCore Digital/Partners Group")</f>
        <v>EdgeCore Digital/Partners Group</v>
      </c>
      <c r="M1507" s="1" t="str">
        <f>IFERROR(__xludf.DUMMYFUNCTION("""COMPUTED_VALUE"""),"")</f>
        <v/>
      </c>
      <c r="N1507" s="1" t="str">
        <f>IFERROR(__xludf.DUMMYFUNCTION("""COMPUTED_VALUE"""),"")</f>
        <v/>
      </c>
      <c r="O1507" s="1" t="str">
        <f>IFERROR(__xludf.DUMMYFUNCTION("""COMPUTED_VALUE"""),"Unknown")</f>
        <v>Unknown</v>
      </c>
      <c r="P1507" s="1" t="str">
        <f>IFERROR(__xludf.DUMMYFUNCTION("""COMPUTED_VALUE"""),"")</f>
        <v/>
      </c>
      <c r="Q1507" s="1" t="str">
        <f>IFERROR(__xludf.DUMMYFUNCTION("""COMPUTED_VALUE"""),"")</f>
        <v/>
      </c>
      <c r="R1507" s="1" t="str">
        <f>IFERROR(__xludf.DUMMYFUNCTION("""COMPUTED_VALUE"""),"")</f>
        <v/>
      </c>
      <c r="S1507" s="1" t="str">
        <f>IFERROR(__xludf.DUMMYFUNCTION("""COMPUTED_VALUE"""),"")</f>
        <v/>
      </c>
      <c r="T1507" s="1" t="str">
        <f>IFERROR(__xludf.DUMMYFUNCTION("""COMPUTED_VALUE"""),"")</f>
        <v/>
      </c>
      <c r="U1507" s="1" t="str">
        <f>IFERROR(__xludf.DUMMYFUNCTION("""COMPUTED_VALUE"""),"")</f>
        <v/>
      </c>
      <c r="V1507" s="1" t="str">
        <f>IFERROR(__xludf.DUMMYFUNCTION("""COMPUTED_VALUE"""),"348,000")</f>
        <v>348,000</v>
      </c>
      <c r="W1507" s="1" t="str">
        <f>IFERROR(__xludf.DUMMYFUNCTION("""COMPUTED_VALUE"""),"10")</f>
        <v>10</v>
      </c>
      <c r="X1507" s="1" t="str">
        <f>IFERROR(__xludf.DUMMYFUNCTION("""COMPUTED_VALUE"""),"")</f>
        <v/>
      </c>
      <c r="Y1507" s="1" t="str">
        <f>IFERROR(__xludf.DUMMYFUNCTION("""COMPUTED_VALUE"""),"")</f>
        <v/>
      </c>
      <c r="Z1507" s="1" t="str">
        <f>IFERROR(__xludf.DUMMYFUNCTION("""COMPUTED_VALUE"""),"Unknown")</f>
        <v>Unknown</v>
      </c>
      <c r="AA1507" s="1" t="str">
        <f>IFERROR(__xludf.DUMMYFUNCTION("""COMPUTED_VALUE"""),"")</f>
        <v/>
      </c>
      <c r="AB1507" s="1" t="str">
        <f>IFERROR(__xludf.DUMMYFUNCTION("""COMPUTED_VALUE"""),"")</f>
        <v/>
      </c>
      <c r="AC1507" s="1" t="str">
        <f>IFERROR(__xludf.DUMMYFUNCTION("""COMPUTED_VALUE"""),"")</f>
        <v/>
      </c>
      <c r="AD1507" s="1" t="str">
        <f>IFERROR(__xludf.DUMMYFUNCTION("""COMPUTED_VALUE"""),"")</f>
        <v/>
      </c>
      <c r="AE1507" s="1" t="str">
        <f>IFERROR(__xludf.DUMMYFUNCTION("""COMPUTED_VALUE"""),"")</f>
        <v/>
      </c>
      <c r="AF1507" s="1" t="str">
        <f>IFERROR(__xludf.DUMMYFUNCTION("""COMPUTED_VALUE"""),"")</f>
        <v/>
      </c>
      <c r="AG1507" s="1" t="str">
        <f>IFERROR(__xludf.DUMMYFUNCTION("""COMPUTED_VALUE"""),"")</f>
        <v/>
      </c>
      <c r="AH1507" s="1" t="str">
        <f>IFERROR(__xludf.DUMMYFUNCTION("""COMPUTED_VALUE"""),"PEC")</f>
        <v>PEC</v>
      </c>
      <c r="AI1507" s="2" t="str">
        <f>IFERROR(__xludf.DUMMYFUNCTION("""COMPUTED_VALUE"""),"https://www.datacenterdynamics.com/en/news/edgecore-buys-land-in-virginia-plans-36mw-data-center/")</f>
        <v>https://www.datacenterdynamics.com/en/news/edgecore-buys-land-in-virginia-plans-36mw-data-center/</v>
      </c>
      <c r="AJ1507" s="2" t="str">
        <f>IFERROR(__xludf.DUMMYFUNCTION("""COMPUTED_VALUE"""),"https://reparcelasmt.loudoun.gov/pt/datalets/datalet.aspx?mode=profileall&amp;UseSearch=no&amp;pin=030292034000&amp;jur=107&amp;taxyr=2024&amp;LMparent=20")</f>
        <v>https://reparcelasmt.loudoun.gov/pt/datalets/datalet.aspx?mode=profileall&amp;UseSearch=no&amp;pin=030292034000&amp;jur=107&amp;taxyr=2024&amp;LMparent=20</v>
      </c>
      <c r="AK1507" s="1" t="str">
        <f>IFERROR(__xludf.DUMMYFUNCTION("""COMPUTED_VALUE"""),"")</f>
        <v/>
      </c>
      <c r="AL1507" s="1" t="str">
        <f>IFERROR(__xludf.DUMMYFUNCTION("""COMPUTED_VALUE"""),"")</f>
        <v/>
      </c>
      <c r="AM1507" s="1" t="str">
        <f>IFERROR(__xludf.DUMMYFUNCTION("""COMPUTED_VALUE"""),"")</f>
        <v/>
      </c>
      <c r="AN1507" s="1" t="str">
        <f>IFERROR(__xludf.DUMMYFUNCTION("""COMPUTED_VALUE"""),"")</f>
        <v/>
      </c>
      <c r="AO1507" s="1" t="str">
        <f>IFERROR(__xludf.DUMMYFUNCTION("""COMPUTED_VALUE"""),"")</f>
        <v/>
      </c>
      <c r="AP1507" s="1" t="str">
        <f>IFERROR(__xludf.DUMMYFUNCTION("""COMPUTED_VALUE"""),"")</f>
        <v/>
      </c>
      <c r="AQ1507" s="1" t="str">
        <f>IFERROR(__xludf.DUMMYFUNCTION("""COMPUTED_VALUE"""),"08/01/2025")</f>
        <v>08/01/2025</v>
      </c>
      <c r="AR1507" s="1" t="str">
        <f>IFERROR(__xludf.DUMMYFUNCTION("""COMPUTED_VALUE"""),"10/17/2025")</f>
        <v>10/17/2025</v>
      </c>
    </row>
    <row r="1508">
      <c r="A1508" s="1" t="str">
        <f>IFERROR(__xludf.DUMMYFUNCTION("""COMPUTED_VALUE"""),"MECP2 ASHBURN 2 LLC")</f>
        <v>MECP2 ASHBURN 2 LLC</v>
      </c>
      <c r="B1508" s="1" t="str">
        <f>IFERROR(__xludf.DUMMYFUNCTION("""COMPUTED_VALUE"""),"21205 ATLANTIC BLVD")</f>
        <v>21205 ATLANTIC BLVD</v>
      </c>
      <c r="C1508" s="1" t="str">
        <f>IFERROR(__xludf.DUMMYFUNCTION("""COMPUTED_VALUE"""),"Sterling")</f>
        <v>Sterling</v>
      </c>
      <c r="D1508" s="1" t="str">
        <f>IFERROR(__xludf.DUMMYFUNCTION("""COMPUTED_VALUE"""),"VA")</f>
        <v>VA</v>
      </c>
      <c r="E1508" s="1" t="str">
        <f>IFERROR(__xludf.DUMMYFUNCTION("""COMPUTED_VALUE"""),"20166")</f>
        <v>20166</v>
      </c>
      <c r="F1508" s="1" t="str">
        <f>IFERROR(__xludf.DUMMYFUNCTION("""COMPUTED_VALUE"""),"Loudoun")</f>
        <v>Loudoun</v>
      </c>
      <c r="G1508" s="1" t="str">
        <f>IFERROR(__xludf.DUMMYFUNCTION("""COMPUTED_VALUE"""),"39.03041")</f>
        <v>39.03041</v>
      </c>
      <c r="H1508" s="1" t="str">
        <f>IFERROR(__xludf.DUMMYFUNCTION("""COMPUTED_VALUE"""),"-77.429016")</f>
        <v>-77.429016</v>
      </c>
      <c r="I1508" s="1" t="str">
        <f>IFERROR(__xludf.DUMMYFUNCTION("""COMPUTED_VALUE"""),"Operating")</f>
        <v>Operating</v>
      </c>
      <c r="J1508" s="1" t="str">
        <f>IFERROR(__xludf.DUMMYFUNCTION("""COMPUTED_VALUE"""),"High")</f>
        <v>High</v>
      </c>
      <c r="K1508" s="1" t="str">
        <f>IFERROR(__xludf.DUMMYFUNCTION("""COMPUTED_VALUE"""),"")</f>
        <v/>
      </c>
      <c r="L1508" s="1" t="str">
        <f>IFERROR(__xludf.DUMMYFUNCTION("""COMPUTED_VALUE"""),"")</f>
        <v/>
      </c>
      <c r="M1508" s="1" t="str">
        <f>IFERROR(__xludf.DUMMYFUNCTION("""COMPUTED_VALUE"""),"")</f>
        <v/>
      </c>
      <c r="N1508" s="1" t="str">
        <f>IFERROR(__xludf.DUMMYFUNCTION("""COMPUTED_VALUE"""),"")</f>
        <v/>
      </c>
      <c r="O1508" s="1" t="str">
        <f>IFERROR(__xludf.DUMMYFUNCTION("""COMPUTED_VALUE"""),"Unknown")</f>
        <v>Unknown</v>
      </c>
      <c r="P1508" s="1" t="str">
        <f>IFERROR(__xludf.DUMMYFUNCTION("""COMPUTED_VALUE"""),"")</f>
        <v/>
      </c>
      <c r="Q1508" s="1" t="str">
        <f>IFERROR(__xludf.DUMMYFUNCTION("""COMPUTED_VALUE"""),"")</f>
        <v/>
      </c>
      <c r="R1508" s="1" t="str">
        <f>IFERROR(__xludf.DUMMYFUNCTION("""COMPUTED_VALUE"""),"")</f>
        <v/>
      </c>
      <c r="S1508" s="1" t="str">
        <f>IFERROR(__xludf.DUMMYFUNCTION("""COMPUTED_VALUE"""),"")</f>
        <v/>
      </c>
      <c r="T1508" s="1" t="str">
        <f>IFERROR(__xludf.DUMMYFUNCTION("""COMPUTED_VALUE"""),"")</f>
        <v/>
      </c>
      <c r="U1508" s="1" t="str">
        <f>IFERROR(__xludf.DUMMYFUNCTION("""COMPUTED_VALUE"""),"")</f>
        <v/>
      </c>
      <c r="V1508" s="1" t="str">
        <f>IFERROR(__xludf.DUMMYFUNCTION("""COMPUTED_VALUE"""),"258,716")</f>
        <v>258,716</v>
      </c>
      <c r="W1508" s="1" t="str">
        <f>IFERROR(__xludf.DUMMYFUNCTION("""COMPUTED_VALUE"""),"6")</f>
        <v>6</v>
      </c>
      <c r="X1508" s="1" t="str">
        <f>IFERROR(__xludf.DUMMYFUNCTION("""COMPUTED_VALUE"""),"")</f>
        <v/>
      </c>
      <c r="Y1508" s="1" t="str">
        <f>IFERROR(__xludf.DUMMYFUNCTION("""COMPUTED_VALUE"""),"")</f>
        <v/>
      </c>
      <c r="Z1508" s="1" t="str">
        <f>IFERROR(__xludf.DUMMYFUNCTION("""COMPUTED_VALUE"""),"Unknown")</f>
        <v>Unknown</v>
      </c>
      <c r="AA1508" s="1" t="str">
        <f>IFERROR(__xludf.DUMMYFUNCTION("""COMPUTED_VALUE"""),"")</f>
        <v/>
      </c>
      <c r="AB1508" s="1" t="str">
        <f>IFERROR(__xludf.DUMMYFUNCTION("""COMPUTED_VALUE"""),"")</f>
        <v/>
      </c>
      <c r="AC1508" s="1" t="str">
        <f>IFERROR(__xludf.DUMMYFUNCTION("""COMPUTED_VALUE"""),"")</f>
        <v/>
      </c>
      <c r="AD1508" s="1" t="str">
        <f>IFERROR(__xludf.DUMMYFUNCTION("""COMPUTED_VALUE"""),"")</f>
        <v/>
      </c>
      <c r="AE1508" s="1" t="str">
        <f>IFERROR(__xludf.DUMMYFUNCTION("""COMPUTED_VALUE"""),"")</f>
        <v/>
      </c>
      <c r="AF1508" s="1" t="str">
        <f>IFERROR(__xludf.DUMMYFUNCTION("""COMPUTED_VALUE"""),"")</f>
        <v/>
      </c>
      <c r="AG1508" s="1" t="str">
        <f>IFERROR(__xludf.DUMMYFUNCTION("""COMPUTED_VALUE"""),"Shown as ""Storage Warehouse""")</f>
        <v>Shown as "Storage Warehouse"</v>
      </c>
      <c r="AH1508" s="1" t="str">
        <f>IFERROR(__xludf.DUMMYFUNCTION("""COMPUTED_VALUE"""),"PEC")</f>
        <v>PEC</v>
      </c>
      <c r="AI1508" s="2" t="str">
        <f>IFERROR(__xludf.DUMMYFUNCTION("""COMPUTED_VALUE"""),"https://reparcelasmt.loudoun.gov/pt/datalets/datalet.aspx?mode=land_summary&amp;UseSearch=no&amp;pin=029151508000&amp;jur=107&amp;taxyr=2024&amp;LMparent=20")</f>
        <v>https://reparcelasmt.loudoun.gov/pt/datalets/datalet.aspx?mode=land_summary&amp;UseSearch=no&amp;pin=029151508000&amp;jur=107&amp;taxyr=2024&amp;LMparent=20</v>
      </c>
      <c r="AJ1508" s="2" t="str">
        <f>IFERROR(__xludf.DUMMYFUNCTION("""COMPUTED_VALUE"""),"https://reparcelasmt.loudoun.gov/pt/datalets/datalet.aspx?mode=land_summary&amp;UseSearch=no&amp;pin=029151508000&amp;jur=107&amp;taxyr=2024&amp;LMparent=20")</f>
        <v>https://reparcelasmt.loudoun.gov/pt/datalets/datalet.aspx?mode=land_summary&amp;UseSearch=no&amp;pin=029151508000&amp;jur=107&amp;taxyr=2024&amp;LMparent=20</v>
      </c>
      <c r="AK1508" s="1" t="str">
        <f>IFERROR(__xludf.DUMMYFUNCTION("""COMPUTED_VALUE"""),"")</f>
        <v/>
      </c>
      <c r="AL1508" s="1" t="str">
        <f>IFERROR(__xludf.DUMMYFUNCTION("""COMPUTED_VALUE"""),"")</f>
        <v/>
      </c>
      <c r="AM1508" s="1" t="str">
        <f>IFERROR(__xludf.DUMMYFUNCTION("""COMPUTED_VALUE"""),"")</f>
        <v/>
      </c>
      <c r="AN1508" s="1" t="str">
        <f>IFERROR(__xludf.DUMMYFUNCTION("""COMPUTED_VALUE"""),"")</f>
        <v/>
      </c>
      <c r="AO1508" s="1" t="str">
        <f>IFERROR(__xludf.DUMMYFUNCTION("""COMPUTED_VALUE"""),"")</f>
        <v/>
      </c>
      <c r="AP1508" s="1" t="str">
        <f>IFERROR(__xludf.DUMMYFUNCTION("""COMPUTED_VALUE"""),"")</f>
        <v/>
      </c>
      <c r="AQ1508" s="1" t="str">
        <f>IFERROR(__xludf.DUMMYFUNCTION("""COMPUTED_VALUE"""),"08/07/2024")</f>
        <v>08/07/2024</v>
      </c>
      <c r="AR1508" s="1" t="str">
        <f>IFERROR(__xludf.DUMMYFUNCTION("""COMPUTED_VALUE"""),"10/17/2025")</f>
        <v>10/17/2025</v>
      </c>
    </row>
    <row r="1509">
      <c r="A1509" s="1" t="str">
        <f>IFERROR(__xludf.DUMMYFUNCTION("""COMPUTED_VALUE"""),"MECP3 ASHBURN 3 LLC")</f>
        <v>MECP3 ASHBURN 3 LLC</v>
      </c>
      <c r="B1509" s="1" t="str">
        <f>IFERROR(__xludf.DUMMYFUNCTION("""COMPUTED_VALUE"""),"21195 ATLANTIC BLVD")</f>
        <v>21195 ATLANTIC BLVD</v>
      </c>
      <c r="C1509" s="1" t="str">
        <f>IFERROR(__xludf.DUMMYFUNCTION("""COMPUTED_VALUE"""),"Sterling")</f>
        <v>Sterling</v>
      </c>
      <c r="D1509" s="1" t="str">
        <f>IFERROR(__xludf.DUMMYFUNCTION("""COMPUTED_VALUE"""),"VA")</f>
        <v>VA</v>
      </c>
      <c r="E1509" s="1" t="str">
        <f>IFERROR(__xludf.DUMMYFUNCTION("""COMPUTED_VALUE"""),"20166")</f>
        <v>20166</v>
      </c>
      <c r="F1509" s="1" t="str">
        <f>IFERROR(__xludf.DUMMYFUNCTION("""COMPUTED_VALUE"""),"Loudoun")</f>
        <v>Loudoun</v>
      </c>
      <c r="G1509" s="1" t="str">
        <f>IFERROR(__xludf.DUMMYFUNCTION("""COMPUTED_VALUE"""),"39.03235")</f>
        <v>39.03235</v>
      </c>
      <c r="H1509" s="1" t="str">
        <f>IFERROR(__xludf.DUMMYFUNCTION("""COMPUTED_VALUE"""),"-77.42991")</f>
        <v>-77.42991</v>
      </c>
      <c r="I1509" s="1" t="str">
        <f>IFERROR(__xludf.DUMMYFUNCTION("""COMPUTED_VALUE"""),"Operating")</f>
        <v>Operating</v>
      </c>
      <c r="J1509" s="1" t="str">
        <f>IFERROR(__xludf.DUMMYFUNCTION("""COMPUTED_VALUE"""),"High")</f>
        <v>High</v>
      </c>
      <c r="K1509" s="1" t="str">
        <f>IFERROR(__xludf.DUMMYFUNCTION("""COMPUTED_VALUE"""),"")</f>
        <v/>
      </c>
      <c r="L1509" s="1" t="str">
        <f>IFERROR(__xludf.DUMMYFUNCTION("""COMPUTED_VALUE"""),"")</f>
        <v/>
      </c>
      <c r="M1509" s="1" t="str">
        <f>IFERROR(__xludf.DUMMYFUNCTION("""COMPUTED_VALUE"""),"")</f>
        <v/>
      </c>
      <c r="N1509" s="1" t="str">
        <f>IFERROR(__xludf.DUMMYFUNCTION("""COMPUTED_VALUE"""),"")</f>
        <v/>
      </c>
      <c r="O1509" s="1" t="str">
        <f>IFERROR(__xludf.DUMMYFUNCTION("""COMPUTED_VALUE"""),"Unknown")</f>
        <v>Unknown</v>
      </c>
      <c r="P1509" s="1" t="str">
        <f>IFERROR(__xludf.DUMMYFUNCTION("""COMPUTED_VALUE"""),"")</f>
        <v/>
      </c>
      <c r="Q1509" s="1" t="str">
        <f>IFERROR(__xludf.DUMMYFUNCTION("""COMPUTED_VALUE"""),"")</f>
        <v/>
      </c>
      <c r="R1509" s="1" t="str">
        <f>IFERROR(__xludf.DUMMYFUNCTION("""COMPUTED_VALUE"""),"")</f>
        <v/>
      </c>
      <c r="S1509" s="1" t="str">
        <f>IFERROR(__xludf.DUMMYFUNCTION("""COMPUTED_VALUE"""),"")</f>
        <v/>
      </c>
      <c r="T1509" s="1" t="str">
        <f>IFERROR(__xludf.DUMMYFUNCTION("""COMPUTED_VALUE"""),"")</f>
        <v/>
      </c>
      <c r="U1509" s="1" t="str">
        <f>IFERROR(__xludf.DUMMYFUNCTION("""COMPUTED_VALUE"""),"")</f>
        <v/>
      </c>
      <c r="V1509" s="1" t="str">
        <f>IFERROR(__xludf.DUMMYFUNCTION("""COMPUTED_VALUE"""),"258,716")</f>
        <v>258,716</v>
      </c>
      <c r="W1509" s="1" t="str">
        <f>IFERROR(__xludf.DUMMYFUNCTION("""COMPUTED_VALUE"""),"6")</f>
        <v>6</v>
      </c>
      <c r="X1509" s="1" t="str">
        <f>IFERROR(__xludf.DUMMYFUNCTION("""COMPUTED_VALUE"""),"")</f>
        <v/>
      </c>
      <c r="Y1509" s="1" t="str">
        <f>IFERROR(__xludf.DUMMYFUNCTION("""COMPUTED_VALUE"""),"")</f>
        <v/>
      </c>
      <c r="Z1509" s="1" t="str">
        <f>IFERROR(__xludf.DUMMYFUNCTION("""COMPUTED_VALUE"""),"Unknown")</f>
        <v>Unknown</v>
      </c>
      <c r="AA1509" s="1" t="str">
        <f>IFERROR(__xludf.DUMMYFUNCTION("""COMPUTED_VALUE"""),"")</f>
        <v/>
      </c>
      <c r="AB1509" s="1" t="str">
        <f>IFERROR(__xludf.DUMMYFUNCTION("""COMPUTED_VALUE"""),"")</f>
        <v/>
      </c>
      <c r="AC1509" s="1" t="str">
        <f>IFERROR(__xludf.DUMMYFUNCTION("""COMPUTED_VALUE"""),"")</f>
        <v/>
      </c>
      <c r="AD1509" s="1" t="str">
        <f>IFERROR(__xludf.DUMMYFUNCTION("""COMPUTED_VALUE"""),"")</f>
        <v/>
      </c>
      <c r="AE1509" s="1" t="str">
        <f>IFERROR(__xludf.DUMMYFUNCTION("""COMPUTED_VALUE"""),"")</f>
        <v/>
      </c>
      <c r="AF1509" s="1" t="str">
        <f>IFERROR(__xludf.DUMMYFUNCTION("""COMPUTED_VALUE"""),"")</f>
        <v/>
      </c>
      <c r="AG1509" s="1" t="str">
        <f>IFERROR(__xludf.DUMMYFUNCTION("""COMPUTED_VALUE"""),"Shown as ""Storage Warehouse""")</f>
        <v>Shown as "Storage Warehouse"</v>
      </c>
      <c r="AH1509" s="1" t="str">
        <f>IFERROR(__xludf.DUMMYFUNCTION("""COMPUTED_VALUE"""),"PEC")</f>
        <v>PEC</v>
      </c>
      <c r="AI1509" s="2" t="str">
        <f>IFERROR(__xludf.DUMMYFUNCTION("""COMPUTED_VALUE"""),"https://reparcelasmt.loudoun.gov/pt/datalets/datalet.aspx?mode=commercial&amp;UseSearch=no&amp;pin=041108666000&amp;jur=107&amp;taxyr=2024&amp;LMparent=20")</f>
        <v>https://reparcelasmt.loudoun.gov/pt/datalets/datalet.aspx?mode=commercial&amp;UseSearch=no&amp;pin=041108666000&amp;jur=107&amp;taxyr=2024&amp;LMparent=20</v>
      </c>
      <c r="AJ1509" s="2" t="str">
        <f>IFERROR(__xludf.DUMMYFUNCTION("""COMPUTED_VALUE"""),"https://reparcelasmt.loudoun.gov/pt/datalets/datalet.aspx?mode=commercial&amp;UseSearch=no&amp;pin=041108666000&amp;jur=107&amp;taxyr=2024&amp;LMparent=20")</f>
        <v>https://reparcelasmt.loudoun.gov/pt/datalets/datalet.aspx?mode=commercial&amp;UseSearch=no&amp;pin=041108666000&amp;jur=107&amp;taxyr=2024&amp;LMparent=20</v>
      </c>
      <c r="AK1509" s="1" t="str">
        <f>IFERROR(__xludf.DUMMYFUNCTION("""COMPUTED_VALUE"""),"")</f>
        <v/>
      </c>
      <c r="AL1509" s="1" t="str">
        <f>IFERROR(__xludf.DUMMYFUNCTION("""COMPUTED_VALUE"""),"")</f>
        <v/>
      </c>
      <c r="AM1509" s="1" t="str">
        <f>IFERROR(__xludf.DUMMYFUNCTION("""COMPUTED_VALUE"""),"")</f>
        <v/>
      </c>
      <c r="AN1509" s="1" t="str">
        <f>IFERROR(__xludf.DUMMYFUNCTION("""COMPUTED_VALUE"""),"")</f>
        <v/>
      </c>
      <c r="AO1509" s="1" t="str">
        <f>IFERROR(__xludf.DUMMYFUNCTION("""COMPUTED_VALUE"""),"")</f>
        <v/>
      </c>
      <c r="AP1509" s="1" t="str">
        <f>IFERROR(__xludf.DUMMYFUNCTION("""COMPUTED_VALUE"""),"")</f>
        <v/>
      </c>
      <c r="AQ1509" s="1" t="str">
        <f>IFERROR(__xludf.DUMMYFUNCTION("""COMPUTED_VALUE"""),"08/06/2025")</f>
        <v>08/06/2025</v>
      </c>
      <c r="AR1509" s="1" t="str">
        <f>IFERROR(__xludf.DUMMYFUNCTION("""COMPUTED_VALUE"""),"10/17/2025")</f>
        <v>10/17/2025</v>
      </c>
    </row>
    <row r="1510">
      <c r="A1510" s="1" t="str">
        <f>IFERROR(__xludf.DUMMYFUNCTION("""COMPUTED_VALUE"""),"ME-DC Pacific")</f>
        <v>ME-DC Pacific</v>
      </c>
      <c r="B1510" s="1" t="str">
        <f>IFERROR(__xludf.DUMMYFUNCTION("""COMPUTED_VALUE"""),"22255 PACIFIC BLVD")</f>
        <v>22255 PACIFIC BLVD</v>
      </c>
      <c r="C1510" s="1" t="str">
        <f>IFERROR(__xludf.DUMMYFUNCTION("""COMPUTED_VALUE"""),"Sterling")</f>
        <v>Sterling</v>
      </c>
      <c r="D1510" s="1" t="str">
        <f>IFERROR(__xludf.DUMMYFUNCTION("""COMPUTED_VALUE"""),"VA")</f>
        <v>VA</v>
      </c>
      <c r="E1510" s="1" t="str">
        <f>IFERROR(__xludf.DUMMYFUNCTION("""COMPUTED_VALUE"""),"20166")</f>
        <v>20166</v>
      </c>
      <c r="F1510" s="1" t="str">
        <f>IFERROR(__xludf.DUMMYFUNCTION("""COMPUTED_VALUE"""),"Loudoun")</f>
        <v>Loudoun</v>
      </c>
      <c r="G1510" s="1" t="str">
        <f>IFERROR(__xludf.DUMMYFUNCTION("""COMPUTED_VALUE"""),"38.999855")</f>
        <v>38.999855</v>
      </c>
      <c r="H1510" s="1" t="str">
        <f>IFERROR(__xludf.DUMMYFUNCTION("""COMPUTED_VALUE"""),"-77.445175")</f>
        <v>-77.445175</v>
      </c>
      <c r="I1510" s="1" t="str">
        <f>IFERROR(__xludf.DUMMYFUNCTION("""COMPUTED_VALUE"""),"Proposed")</f>
        <v>Proposed</v>
      </c>
      <c r="J1510" s="1" t="str">
        <f>IFERROR(__xludf.DUMMYFUNCTION("""COMPUTED_VALUE"""),"High")</f>
        <v>High</v>
      </c>
      <c r="K1510" s="1" t="str">
        <f>IFERROR(__xludf.DUMMYFUNCTION("""COMPUTED_VALUE"""),"")</f>
        <v/>
      </c>
      <c r="L1510" s="1" t="str">
        <f>IFERROR(__xludf.DUMMYFUNCTION("""COMPUTED_VALUE"""),"")</f>
        <v/>
      </c>
      <c r="M1510" s="1" t="str">
        <f>IFERROR(__xludf.DUMMYFUNCTION("""COMPUTED_VALUE"""),"")</f>
        <v/>
      </c>
      <c r="N1510" s="1" t="str">
        <f>IFERROR(__xludf.DUMMYFUNCTION("""COMPUTED_VALUE"""),"")</f>
        <v/>
      </c>
      <c r="O1510" s="1" t="str">
        <f>IFERROR(__xludf.DUMMYFUNCTION("""COMPUTED_VALUE"""),"Unknown")</f>
        <v>Unknown</v>
      </c>
      <c r="P1510" s="1" t="str">
        <f>IFERROR(__xludf.DUMMYFUNCTION("""COMPUTED_VALUE"""),"")</f>
        <v/>
      </c>
      <c r="Q1510" s="1" t="str">
        <f>IFERROR(__xludf.DUMMYFUNCTION("""COMPUTED_VALUE"""),"")</f>
        <v/>
      </c>
      <c r="R1510" s="1" t="str">
        <f>IFERROR(__xludf.DUMMYFUNCTION("""COMPUTED_VALUE"""),"")</f>
        <v/>
      </c>
      <c r="S1510" s="1" t="str">
        <f>IFERROR(__xludf.DUMMYFUNCTION("""COMPUTED_VALUE"""),"")</f>
        <v/>
      </c>
      <c r="T1510" s="1" t="str">
        <f>IFERROR(__xludf.DUMMYFUNCTION("""COMPUTED_VALUE"""),"")</f>
        <v/>
      </c>
      <c r="U1510" s="1" t="str">
        <f>IFERROR(__xludf.DUMMYFUNCTION("""COMPUTED_VALUE"""),"")</f>
        <v/>
      </c>
      <c r="V1510" s="1" t="str">
        <f>IFERROR(__xludf.DUMMYFUNCTION("""COMPUTED_VALUE"""),"589,400")</f>
        <v>589,400</v>
      </c>
      <c r="W1510" s="1" t="str">
        <f>IFERROR(__xludf.DUMMYFUNCTION("""COMPUTED_VALUE"""),"33")</f>
        <v>33</v>
      </c>
      <c r="X1510" s="1" t="str">
        <f>IFERROR(__xludf.DUMMYFUNCTION("""COMPUTED_VALUE"""),"")</f>
        <v/>
      </c>
      <c r="Y1510" s="1" t="str">
        <f>IFERROR(__xludf.DUMMYFUNCTION("""COMPUTED_VALUE"""),"")</f>
        <v/>
      </c>
      <c r="Z1510" s="1" t="str">
        <f>IFERROR(__xludf.DUMMYFUNCTION("""COMPUTED_VALUE"""),"Unknown")</f>
        <v>Unknown</v>
      </c>
      <c r="AA1510" s="1" t="str">
        <f>IFERROR(__xludf.DUMMYFUNCTION("""COMPUTED_VALUE"""),"")</f>
        <v/>
      </c>
      <c r="AB1510" s="1" t="str">
        <f>IFERROR(__xludf.DUMMYFUNCTION("""COMPUTED_VALUE"""),"")</f>
        <v/>
      </c>
      <c r="AC1510" s="1" t="str">
        <f>IFERROR(__xludf.DUMMYFUNCTION("""COMPUTED_VALUE"""),"")</f>
        <v/>
      </c>
      <c r="AD1510" s="1" t="str">
        <f>IFERROR(__xludf.DUMMYFUNCTION("""COMPUTED_VALUE"""),"")</f>
        <v/>
      </c>
      <c r="AE1510" s="1" t="str">
        <f>IFERROR(__xludf.DUMMYFUNCTION("""COMPUTED_VALUE"""),"")</f>
        <v/>
      </c>
      <c r="AF1510" s="1" t="str">
        <f>IFERROR(__xludf.DUMMYFUNCTION("""COMPUTED_VALUE"""),"")</f>
        <v/>
      </c>
      <c r="AG1510" s="1" t="str">
        <f>IFERROR(__xludf.DUMMYFUNCTION("""COMPUTED_VALUE"""),"Project covers more than one parcel, the acreage represents the combined acreage")</f>
        <v>Project covers more than one parcel, the acreage represents the combined acreage</v>
      </c>
      <c r="AH1510" s="1" t="str">
        <f>IFERROR(__xludf.DUMMYFUNCTION("""COMPUTED_VALUE"""),"PEC")</f>
        <v>PEC</v>
      </c>
      <c r="AI1510" s="2" t="str">
        <f>IFERROR(__xludf.DUMMYFUNCTION("""COMPUTED_VALUE"""),"https://loudouncountyvaeg.tylerhost.net/prod/selfservice#/plan/ec1e84d1-de53-45a8-917e-34be6c131039?tab=attachments")</f>
        <v>https://loudouncountyvaeg.tylerhost.net/prod/selfservice#/plan/ec1e84d1-de53-45a8-917e-34be6c131039?tab=attachments</v>
      </c>
      <c r="AJ1510" s="2" t="str">
        <f>IFERROR(__xludf.DUMMYFUNCTION("""COMPUTED_VALUE"""),"https://reparcelasmt.loudoun.gov/pt/Datalets/Datalet.aspx?UseSearch=no&amp;mode=profileall&amp;pin=044267923000&amp;jur=107&amp;taxyr=2025")</f>
        <v>https://reparcelasmt.loudoun.gov/pt/Datalets/Datalet.aspx?UseSearch=no&amp;mode=profileall&amp;pin=044267923000&amp;jur=107&amp;taxyr=2025</v>
      </c>
      <c r="AK1510" s="1" t="str">
        <f>IFERROR(__xludf.DUMMYFUNCTION("""COMPUTED_VALUE"""),"")</f>
        <v/>
      </c>
      <c r="AL1510" s="1" t="str">
        <f>IFERROR(__xludf.DUMMYFUNCTION("""COMPUTED_VALUE"""),"")</f>
        <v/>
      </c>
      <c r="AM1510" s="1" t="str">
        <f>IFERROR(__xludf.DUMMYFUNCTION("""COMPUTED_VALUE"""),"")</f>
        <v/>
      </c>
      <c r="AN1510" s="1" t="str">
        <f>IFERROR(__xludf.DUMMYFUNCTION("""COMPUTED_VALUE"""),"")</f>
        <v/>
      </c>
      <c r="AO1510" s="1" t="str">
        <f>IFERROR(__xludf.DUMMYFUNCTION("""COMPUTED_VALUE"""),"")</f>
        <v/>
      </c>
      <c r="AP1510" s="1" t="str">
        <f>IFERROR(__xludf.DUMMYFUNCTION("""COMPUTED_VALUE"""),"")</f>
        <v/>
      </c>
      <c r="AQ1510" s="1" t="str">
        <f>IFERROR(__xludf.DUMMYFUNCTION("""COMPUTED_VALUE"""),"08/08/2025")</f>
        <v>08/08/2025</v>
      </c>
      <c r="AR1510" s="1" t="str">
        <f>IFERROR(__xludf.DUMMYFUNCTION("""COMPUTED_VALUE"""),"10/17/2025")</f>
        <v>10/17/2025</v>
      </c>
    </row>
    <row r="1511">
      <c r="A1511" s="1" t="str">
        <f>IFERROR(__xludf.DUMMYFUNCTION("""COMPUTED_VALUE"""),"NV-4 CYRUSONE LLC")</f>
        <v>NV-4 CYRUSONE LLC</v>
      </c>
      <c r="B1511" s="1" t="str">
        <f>IFERROR(__xludf.DUMMYFUNCTION("""COMPUTED_VALUE"""),"22811 INTERNATIONAL DR")</f>
        <v>22811 INTERNATIONAL DR</v>
      </c>
      <c r="C1511" s="1" t="str">
        <f>IFERROR(__xludf.DUMMYFUNCTION("""COMPUTED_VALUE"""),"Sterling")</f>
        <v>Sterling</v>
      </c>
      <c r="D1511" s="1" t="str">
        <f>IFERROR(__xludf.DUMMYFUNCTION("""COMPUTED_VALUE"""),"VA")</f>
        <v>VA</v>
      </c>
      <c r="E1511" s="1" t="str">
        <f>IFERROR(__xludf.DUMMYFUNCTION("""COMPUTED_VALUE"""),"20166")</f>
        <v>20166</v>
      </c>
      <c r="F1511" s="1" t="str">
        <f>IFERROR(__xludf.DUMMYFUNCTION("""COMPUTED_VALUE"""),"Loudoun")</f>
        <v>Loudoun</v>
      </c>
      <c r="G1511" s="1" t="str">
        <f>IFERROR(__xludf.DUMMYFUNCTION("""COMPUTED_VALUE"""),"38.984684")</f>
        <v>38.984684</v>
      </c>
      <c r="H1511" s="1" t="str">
        <f>IFERROR(__xludf.DUMMYFUNCTION("""COMPUTED_VALUE"""),"-77.42581")</f>
        <v>-77.42581</v>
      </c>
      <c r="I1511" s="1" t="str">
        <f>IFERROR(__xludf.DUMMYFUNCTION("""COMPUTED_VALUE"""),"Operating")</f>
        <v>Operating</v>
      </c>
      <c r="J1511" s="1" t="str">
        <f>IFERROR(__xludf.DUMMYFUNCTION("""COMPUTED_VALUE"""),"High")</f>
        <v>High</v>
      </c>
      <c r="K1511" s="1" t="str">
        <f>IFERROR(__xludf.DUMMYFUNCTION("""COMPUTED_VALUE"""),"")</f>
        <v/>
      </c>
      <c r="L1511" s="1" t="str">
        <f>IFERROR(__xludf.DUMMYFUNCTION("""COMPUTED_VALUE"""),"C1 NORTHERN VIRGINIA - STERLING IV LLC")</f>
        <v>C1 NORTHERN VIRGINIA - STERLING IV LLC</v>
      </c>
      <c r="M1511" s="1" t="str">
        <f>IFERROR(__xludf.DUMMYFUNCTION("""COMPUTED_VALUE"""),"")</f>
        <v/>
      </c>
      <c r="N1511" s="1" t="str">
        <f>IFERROR(__xludf.DUMMYFUNCTION("""COMPUTED_VALUE"""),"13")</f>
        <v>13</v>
      </c>
      <c r="O1511" s="1" t="str">
        <f>IFERROR(__xludf.DUMMYFUNCTION("""COMPUTED_VALUE"""),"Medium (11-50 MW)")</f>
        <v>Medium (11-50 MW)</v>
      </c>
      <c r="P1511" s="1" t="str">
        <f>IFERROR(__xludf.DUMMYFUNCTION("""COMPUTED_VALUE"""),"")</f>
        <v/>
      </c>
      <c r="Q1511" s="1" t="str">
        <f>IFERROR(__xludf.DUMMYFUNCTION("""COMPUTED_VALUE"""),"")</f>
        <v/>
      </c>
      <c r="R1511" s="1" t="str">
        <f>IFERROR(__xludf.DUMMYFUNCTION("""COMPUTED_VALUE"""),"")</f>
        <v/>
      </c>
      <c r="S1511" s="1" t="str">
        <f>IFERROR(__xludf.DUMMYFUNCTION("""COMPUTED_VALUE"""),"")</f>
        <v/>
      </c>
      <c r="T1511" s="1" t="str">
        <f>IFERROR(__xludf.DUMMYFUNCTION("""COMPUTED_VALUE"""),"")</f>
        <v/>
      </c>
      <c r="U1511" s="1" t="str">
        <f>IFERROR(__xludf.DUMMYFUNCTION("""COMPUTED_VALUE"""),"")</f>
        <v/>
      </c>
      <c r="V1511" s="1" t="str">
        <f>IFERROR(__xludf.DUMMYFUNCTION("""COMPUTED_VALUE"""),"128,500")</f>
        <v>128,500</v>
      </c>
      <c r="W1511" s="1" t="str">
        <f>IFERROR(__xludf.DUMMYFUNCTION("""COMPUTED_VALUE"""),"10")</f>
        <v>10</v>
      </c>
      <c r="X1511" s="1" t="str">
        <f>IFERROR(__xludf.DUMMYFUNCTION("""COMPUTED_VALUE"""),"")</f>
        <v/>
      </c>
      <c r="Y1511" s="1" t="str">
        <f>IFERROR(__xludf.DUMMYFUNCTION("""COMPUTED_VALUE"""),"")</f>
        <v/>
      </c>
      <c r="Z1511" s="1" t="str">
        <f>IFERROR(__xludf.DUMMYFUNCTION("""COMPUTED_VALUE"""),"Unknown")</f>
        <v>Unknown</v>
      </c>
      <c r="AA1511" s="1" t="str">
        <f>IFERROR(__xludf.DUMMYFUNCTION("""COMPUTED_VALUE"""),"")</f>
        <v/>
      </c>
      <c r="AB1511" s="1" t="str">
        <f>IFERROR(__xludf.DUMMYFUNCTION("""COMPUTED_VALUE"""),"")</f>
        <v/>
      </c>
      <c r="AC1511" s="1" t="str">
        <f>IFERROR(__xludf.DUMMYFUNCTION("""COMPUTED_VALUE"""),"")</f>
        <v/>
      </c>
      <c r="AD1511" s="1" t="str">
        <f>IFERROR(__xludf.DUMMYFUNCTION("""COMPUTED_VALUE"""),"")</f>
        <v/>
      </c>
      <c r="AE1511" s="1" t="str">
        <f>IFERROR(__xludf.DUMMYFUNCTION("""COMPUTED_VALUE"""),"")</f>
        <v/>
      </c>
      <c r="AF1511" s="1" t="str">
        <f>IFERROR(__xludf.DUMMYFUNCTION("""COMPUTED_VALUE"""),"")</f>
        <v/>
      </c>
      <c r="AG1511" s="1" t="str">
        <f>IFERROR(__xludf.DUMMYFUNCTION("""COMPUTED_VALUE"""),"Computer Center")</f>
        <v>Computer Center</v>
      </c>
      <c r="AH1511" s="1" t="str">
        <f>IFERROR(__xludf.DUMMYFUNCTION("""COMPUTED_VALUE"""),"PEC")</f>
        <v>PEC</v>
      </c>
      <c r="AI1511" s="2" t="str">
        <f>IFERROR(__xludf.DUMMYFUNCTION("""COMPUTED_VALUE"""),"https://reparcelasmt.loudoun.gov/pt/datalets/datalet.aspx?mode=profileall&amp;UseSearch=no&amp;pin=034462865000&amp;jur=107&amp;taxyr=2024&amp;LMparent=20")</f>
        <v>https://reparcelasmt.loudoun.gov/pt/datalets/datalet.aspx?mode=profileall&amp;UseSearch=no&amp;pin=034462865000&amp;jur=107&amp;taxyr=2024&amp;LMparent=20</v>
      </c>
      <c r="AJ1511" s="1" t="str">
        <f>IFERROR(__xludf.DUMMYFUNCTION("""COMPUTED_VALUE"""),"")</f>
        <v/>
      </c>
      <c r="AK1511" s="1" t="str">
        <f>IFERROR(__xludf.DUMMYFUNCTION("""COMPUTED_VALUE"""),"")</f>
        <v/>
      </c>
      <c r="AL1511" s="1" t="str">
        <f>IFERROR(__xludf.DUMMYFUNCTION("""COMPUTED_VALUE"""),"")</f>
        <v/>
      </c>
      <c r="AM1511" s="1" t="str">
        <f>IFERROR(__xludf.DUMMYFUNCTION("""COMPUTED_VALUE"""),"")</f>
        <v/>
      </c>
      <c r="AN1511" s="1" t="str">
        <f>IFERROR(__xludf.DUMMYFUNCTION("""COMPUTED_VALUE"""),"")</f>
        <v/>
      </c>
      <c r="AO1511" s="1" t="str">
        <f>IFERROR(__xludf.DUMMYFUNCTION("""COMPUTED_VALUE"""),"")</f>
        <v/>
      </c>
      <c r="AP1511" s="1" t="str">
        <f>IFERROR(__xludf.DUMMYFUNCTION("""COMPUTED_VALUE"""),"")</f>
        <v/>
      </c>
      <c r="AQ1511" s="1" t="str">
        <f>IFERROR(__xludf.DUMMYFUNCTION("""COMPUTED_VALUE"""),"04/10/2024")</f>
        <v>04/10/2024</v>
      </c>
      <c r="AR1511" s="1" t="str">
        <f>IFERROR(__xludf.DUMMYFUNCTION("""COMPUTED_VALUE"""),"10/17/2025")</f>
        <v>10/17/2025</v>
      </c>
    </row>
    <row r="1512">
      <c r="A1512" s="1" t="str">
        <f>IFERROR(__xludf.DUMMYFUNCTION("""COMPUTED_VALUE"""),"NV-8 CYRUSONE")</f>
        <v>NV-8 CYRUSONE</v>
      </c>
      <c r="B1512" s="1" t="str">
        <f>IFERROR(__xludf.DUMMYFUNCTION("""COMPUTED_VALUE"""),"45905 MARIES RD")</f>
        <v>45905 MARIES RD</v>
      </c>
      <c r="C1512" s="1" t="str">
        <f>IFERROR(__xludf.DUMMYFUNCTION("""COMPUTED_VALUE"""),"Sterling")</f>
        <v>Sterling</v>
      </c>
      <c r="D1512" s="1" t="str">
        <f>IFERROR(__xludf.DUMMYFUNCTION("""COMPUTED_VALUE"""),"VA")</f>
        <v>VA</v>
      </c>
      <c r="E1512" s="1" t="str">
        <f>IFERROR(__xludf.DUMMYFUNCTION("""COMPUTED_VALUE"""),"20166")</f>
        <v>20166</v>
      </c>
      <c r="F1512" s="1" t="str">
        <f>IFERROR(__xludf.DUMMYFUNCTION("""COMPUTED_VALUE"""),"Loudoun")</f>
        <v>Loudoun</v>
      </c>
      <c r="G1512" s="1" t="str">
        <f>IFERROR(__xludf.DUMMYFUNCTION("""COMPUTED_VALUE"""),"39.021248")</f>
        <v>39.021248</v>
      </c>
      <c r="H1512" s="1" t="str">
        <f>IFERROR(__xludf.DUMMYFUNCTION("""COMPUTED_VALUE"""),"-77.41337")</f>
        <v>-77.41337</v>
      </c>
      <c r="I1512" s="1" t="str">
        <f>IFERROR(__xludf.DUMMYFUNCTION("""COMPUTED_VALUE"""),"Operating")</f>
        <v>Operating</v>
      </c>
      <c r="J1512" s="1" t="str">
        <f>IFERROR(__xludf.DUMMYFUNCTION("""COMPUTED_VALUE"""),"High")</f>
        <v>High</v>
      </c>
      <c r="K1512" s="1" t="str">
        <f>IFERROR(__xludf.DUMMYFUNCTION("""COMPUTED_VALUE"""),"")</f>
        <v/>
      </c>
      <c r="L1512" s="1" t="str">
        <f>IFERROR(__xludf.DUMMYFUNCTION("""COMPUTED_VALUE"""),"C1 NORTHERN VIRGINIA - STERLING VIII LLC")</f>
        <v>C1 NORTHERN VIRGINIA - STERLING VIII LLC</v>
      </c>
      <c r="M1512" s="1" t="str">
        <f>IFERROR(__xludf.DUMMYFUNCTION("""COMPUTED_VALUE"""),"")</f>
        <v/>
      </c>
      <c r="N1512" s="1" t="str">
        <f>IFERROR(__xludf.DUMMYFUNCTION("""COMPUTED_VALUE"""),"")</f>
        <v/>
      </c>
      <c r="O1512" s="1" t="str">
        <f>IFERROR(__xludf.DUMMYFUNCTION("""COMPUTED_VALUE"""),"Unknown")</f>
        <v>Unknown</v>
      </c>
      <c r="P1512" s="1" t="str">
        <f>IFERROR(__xludf.DUMMYFUNCTION("""COMPUTED_VALUE"""),"")</f>
        <v/>
      </c>
      <c r="Q1512" s="1" t="str">
        <f>IFERROR(__xludf.DUMMYFUNCTION("""COMPUTED_VALUE"""),"")</f>
        <v/>
      </c>
      <c r="R1512" s="1" t="str">
        <f>IFERROR(__xludf.DUMMYFUNCTION("""COMPUTED_VALUE"""),"")</f>
        <v/>
      </c>
      <c r="S1512" s="1" t="str">
        <f>IFERROR(__xludf.DUMMYFUNCTION("""COMPUTED_VALUE"""),"")</f>
        <v/>
      </c>
      <c r="T1512" s="1" t="str">
        <f>IFERROR(__xludf.DUMMYFUNCTION("""COMPUTED_VALUE"""),"")</f>
        <v/>
      </c>
      <c r="U1512" s="1" t="str">
        <f>IFERROR(__xludf.DUMMYFUNCTION("""COMPUTED_VALUE"""),"")</f>
        <v/>
      </c>
      <c r="V1512" s="1" t="str">
        <f>IFERROR(__xludf.DUMMYFUNCTION("""COMPUTED_VALUE"""),"154,100")</f>
        <v>154,100</v>
      </c>
      <c r="W1512" s="1" t="str">
        <f>IFERROR(__xludf.DUMMYFUNCTION("""COMPUTED_VALUE"""),"10")</f>
        <v>10</v>
      </c>
      <c r="X1512" s="1" t="str">
        <f>IFERROR(__xludf.DUMMYFUNCTION("""COMPUTED_VALUE"""),"")</f>
        <v/>
      </c>
      <c r="Y1512" s="1" t="str">
        <f>IFERROR(__xludf.DUMMYFUNCTION("""COMPUTED_VALUE"""),"")</f>
        <v/>
      </c>
      <c r="Z1512" s="1" t="str">
        <f>IFERROR(__xludf.DUMMYFUNCTION("""COMPUTED_VALUE"""),"Unknown")</f>
        <v>Unknown</v>
      </c>
      <c r="AA1512" s="1" t="str">
        <f>IFERROR(__xludf.DUMMYFUNCTION("""COMPUTED_VALUE"""),"")</f>
        <v/>
      </c>
      <c r="AB1512" s="1" t="str">
        <f>IFERROR(__xludf.DUMMYFUNCTION("""COMPUTED_VALUE"""),"")</f>
        <v/>
      </c>
      <c r="AC1512" s="1" t="str">
        <f>IFERROR(__xludf.DUMMYFUNCTION("""COMPUTED_VALUE"""),"")</f>
        <v/>
      </c>
      <c r="AD1512" s="1" t="str">
        <f>IFERROR(__xludf.DUMMYFUNCTION("""COMPUTED_VALUE"""),"")</f>
        <v/>
      </c>
      <c r="AE1512" s="1" t="str">
        <f>IFERROR(__xludf.DUMMYFUNCTION("""COMPUTED_VALUE"""),"")</f>
        <v/>
      </c>
      <c r="AF1512" s="1" t="str">
        <f>IFERROR(__xludf.DUMMYFUNCTION("""COMPUTED_VALUE"""),"")</f>
        <v/>
      </c>
      <c r="AG1512" s="1" t="str">
        <f>IFERROR(__xludf.DUMMYFUNCTION("""COMPUTED_VALUE"""),"Computer Center")</f>
        <v>Computer Center</v>
      </c>
      <c r="AH1512" s="1" t="str">
        <f>IFERROR(__xludf.DUMMYFUNCTION("""COMPUTED_VALUE"""),"PEC")</f>
        <v>PEC</v>
      </c>
      <c r="AI1512" s="2" t="str">
        <f>IFERROR(__xludf.DUMMYFUNCTION("""COMPUTED_VALUE"""),"https://reparcelasmt.loudoun.gov/pt/Datalets/Datalet.aspx?UseSearch=no&amp;mode=profileall&amp;pin=030296913000&amp;jur=107&amp;taxyr=2024")</f>
        <v>https://reparcelasmt.loudoun.gov/pt/Datalets/Datalet.aspx?UseSearch=no&amp;mode=profileall&amp;pin=030296913000&amp;jur=107&amp;taxyr=2024</v>
      </c>
      <c r="AJ1512" s="1" t="str">
        <f>IFERROR(__xludf.DUMMYFUNCTION("""COMPUTED_VALUE"""),"")</f>
        <v/>
      </c>
      <c r="AK1512" s="1" t="str">
        <f>IFERROR(__xludf.DUMMYFUNCTION("""COMPUTED_VALUE"""),"")</f>
        <v/>
      </c>
      <c r="AL1512" s="1" t="str">
        <f>IFERROR(__xludf.DUMMYFUNCTION("""COMPUTED_VALUE"""),"")</f>
        <v/>
      </c>
      <c r="AM1512" s="1" t="str">
        <f>IFERROR(__xludf.DUMMYFUNCTION("""COMPUTED_VALUE"""),"")</f>
        <v/>
      </c>
      <c r="AN1512" s="1" t="str">
        <f>IFERROR(__xludf.DUMMYFUNCTION("""COMPUTED_VALUE"""),"")</f>
        <v/>
      </c>
      <c r="AO1512" s="1" t="str">
        <f>IFERROR(__xludf.DUMMYFUNCTION("""COMPUTED_VALUE"""),"")</f>
        <v/>
      </c>
      <c r="AP1512" s="1" t="str">
        <f>IFERROR(__xludf.DUMMYFUNCTION("""COMPUTED_VALUE"""),"")</f>
        <v/>
      </c>
      <c r="AQ1512" s="1" t="str">
        <f>IFERROR(__xludf.DUMMYFUNCTION("""COMPUTED_VALUE"""),"04/10/2024")</f>
        <v>04/10/2024</v>
      </c>
      <c r="AR1512" s="1" t="str">
        <f>IFERROR(__xludf.DUMMYFUNCTION("""COMPUTED_VALUE"""),"10/17/2025")</f>
        <v>10/17/2025</v>
      </c>
    </row>
    <row r="1513">
      <c r="A1513" s="1" t="str">
        <f>IFERROR(__xludf.DUMMYFUNCTION("""COMPUTED_VALUE"""),"NV-9 CYRUSONE")</f>
        <v>NV-9 CYRUSONE</v>
      </c>
      <c r="B1513" s="1" t="str">
        <f>IFERROR(__xludf.DUMMYFUNCTION("""COMPUTED_VALUE"""),"43290 OLD OX RD")</f>
        <v>43290 OLD OX RD</v>
      </c>
      <c r="C1513" s="1" t="str">
        <f>IFERROR(__xludf.DUMMYFUNCTION("""COMPUTED_VALUE"""),"Sterling")</f>
        <v>Sterling</v>
      </c>
      <c r="D1513" s="1" t="str">
        <f>IFERROR(__xludf.DUMMYFUNCTION("""COMPUTED_VALUE"""),"VA")</f>
        <v>VA</v>
      </c>
      <c r="E1513" s="1" t="str">
        <f>IFERROR(__xludf.DUMMYFUNCTION("""COMPUTED_VALUE"""),"20166")</f>
        <v>20166</v>
      </c>
      <c r="F1513" s="1" t="str">
        <f>IFERROR(__xludf.DUMMYFUNCTION("""COMPUTED_VALUE"""),"Loudoun")</f>
        <v>Loudoun</v>
      </c>
      <c r="G1513" s="1" t="str">
        <f>IFERROR(__xludf.DUMMYFUNCTION("""COMPUTED_VALUE"""),"38.958664")</f>
        <v>38.958664</v>
      </c>
      <c r="H1513" s="1" t="str">
        <f>IFERROR(__xludf.DUMMYFUNCTION("""COMPUTED_VALUE"""),"-77.50507")</f>
        <v>-77.50507</v>
      </c>
      <c r="I1513" s="1" t="str">
        <f>IFERROR(__xludf.DUMMYFUNCTION("""COMPUTED_VALUE"""),"Expanding")</f>
        <v>Expanding</v>
      </c>
      <c r="J1513" s="1" t="str">
        <f>IFERROR(__xludf.DUMMYFUNCTION("""COMPUTED_VALUE"""),"High")</f>
        <v>High</v>
      </c>
      <c r="K1513" s="1" t="str">
        <f>IFERROR(__xludf.DUMMYFUNCTION("""COMPUTED_VALUE"""),"")</f>
        <v/>
      </c>
      <c r="L1513" s="1" t="str">
        <f>IFERROR(__xludf.DUMMYFUNCTION("""COMPUTED_VALUE"""),"C1 NORTHERN VIRGINIA - STERLING IX LLC")</f>
        <v>C1 NORTHERN VIRGINIA - STERLING IX LLC</v>
      </c>
      <c r="M1513" s="1" t="str">
        <f>IFERROR(__xludf.DUMMYFUNCTION("""COMPUTED_VALUE"""),"")</f>
        <v/>
      </c>
      <c r="N1513" s="1" t="str">
        <f>IFERROR(__xludf.DUMMYFUNCTION("""COMPUTED_VALUE"""),"135")</f>
        <v>135</v>
      </c>
      <c r="O1513" s="1" t="str">
        <f>IFERROR(__xludf.DUMMYFUNCTION("""COMPUTED_VALUE"""),"Hyperscale (100-999 MW)")</f>
        <v>Hyperscale (100-999 MW)</v>
      </c>
      <c r="P1513" s="1" t="str">
        <f>IFERROR(__xludf.DUMMYFUNCTION("""COMPUTED_VALUE"""),"")</f>
        <v/>
      </c>
      <c r="Q1513" s="1" t="str">
        <f>IFERROR(__xludf.DUMMYFUNCTION("""COMPUTED_VALUE"""),"")</f>
        <v/>
      </c>
      <c r="R1513" s="1" t="str">
        <f>IFERROR(__xludf.DUMMYFUNCTION("""COMPUTED_VALUE"""),"")</f>
        <v/>
      </c>
      <c r="S1513" s="1" t="str">
        <f>IFERROR(__xludf.DUMMYFUNCTION("""COMPUTED_VALUE"""),"")</f>
        <v/>
      </c>
      <c r="T1513" s="1" t="str">
        <f>IFERROR(__xludf.DUMMYFUNCTION("""COMPUTED_VALUE"""),"")</f>
        <v/>
      </c>
      <c r="U1513" s="1" t="str">
        <f>IFERROR(__xludf.DUMMYFUNCTION("""COMPUTED_VALUE"""),"")</f>
        <v/>
      </c>
      <c r="V1513" s="1" t="str">
        <f>IFERROR(__xludf.DUMMYFUNCTION("""COMPUTED_VALUE"""),"525,482")</f>
        <v>525,482</v>
      </c>
      <c r="W1513" s="1" t="str">
        <f>IFERROR(__xludf.DUMMYFUNCTION("""COMPUTED_VALUE"""),"40")</f>
        <v>40</v>
      </c>
      <c r="X1513" s="1" t="str">
        <f>IFERROR(__xludf.DUMMYFUNCTION("""COMPUTED_VALUE"""),"")</f>
        <v/>
      </c>
      <c r="Y1513" s="1" t="str">
        <f>IFERROR(__xludf.DUMMYFUNCTION("""COMPUTED_VALUE"""),"")</f>
        <v/>
      </c>
      <c r="Z1513" s="1" t="str">
        <f>IFERROR(__xludf.DUMMYFUNCTION("""COMPUTED_VALUE"""),"Unknown")</f>
        <v>Unknown</v>
      </c>
      <c r="AA1513" s="1" t="str">
        <f>IFERROR(__xludf.DUMMYFUNCTION("""COMPUTED_VALUE"""),"")</f>
        <v/>
      </c>
      <c r="AB1513" s="1" t="str">
        <f>IFERROR(__xludf.DUMMYFUNCTION("""COMPUTED_VALUE"""),"")</f>
        <v/>
      </c>
      <c r="AC1513" s="1" t="str">
        <f>IFERROR(__xludf.DUMMYFUNCTION("""COMPUTED_VALUE"""),"")</f>
        <v/>
      </c>
      <c r="AD1513" s="1" t="str">
        <f>IFERROR(__xludf.DUMMYFUNCTION("""COMPUTED_VALUE"""),"")</f>
        <v/>
      </c>
      <c r="AE1513" s="1" t="str">
        <f>IFERROR(__xludf.DUMMYFUNCTION("""COMPUTED_VALUE"""),"")</f>
        <v/>
      </c>
      <c r="AF1513" s="1" t="str">
        <f>IFERROR(__xludf.DUMMYFUNCTION("""COMPUTED_VALUE"""),"")</f>
        <v/>
      </c>
      <c r="AG1513" s="1" t="str">
        <f>IFERROR(__xludf.DUMMYFUNCTION("""COMPUTED_VALUE"""),"Building 1, Building 2 158,696 sq ft expansion proposed")</f>
        <v>Building 1, Building 2 158,696 sq ft expansion proposed</v>
      </c>
      <c r="AH1513" s="1" t="str">
        <f>IFERROR(__xludf.DUMMYFUNCTION("""COMPUTED_VALUE"""),"PEC")</f>
        <v>PEC</v>
      </c>
      <c r="AI1513" s="2" t="str">
        <f>IFERROR(__xludf.DUMMYFUNCTION("""COMPUTED_VALUE"""),"https://loudouncountyvaeg.tylerhost.net/prod/selfservice#/plan/E6B940CA-E483-458E-A83C-1C54477A8FA5?tab=attachments")</f>
        <v>https://loudouncountyvaeg.tylerhost.net/prod/selfservice#/plan/E6B940CA-E483-458E-A83C-1C54477A8FA5?tab=attachments</v>
      </c>
      <c r="AJ1513" s="2" t="str">
        <f>IFERROR(__xludf.DUMMYFUNCTION("""COMPUTED_VALUE"""),"https://reparcelasmt.loudoun.gov/pt/datalets/datalet.aspx?mode=profileall&amp;UseSearch=no&amp;pin=124369522000&amp;jur=107&amp;taxyr=2024&amp;LMparent=20")</f>
        <v>https://reparcelasmt.loudoun.gov/pt/datalets/datalet.aspx?mode=profileall&amp;UseSearch=no&amp;pin=124369522000&amp;jur=107&amp;taxyr=2024&amp;LMparent=20</v>
      </c>
      <c r="AK1513" s="1" t="str">
        <f>IFERROR(__xludf.DUMMYFUNCTION("""COMPUTED_VALUE"""),"")</f>
        <v/>
      </c>
      <c r="AL1513" s="1" t="str">
        <f>IFERROR(__xludf.DUMMYFUNCTION("""COMPUTED_VALUE"""),"")</f>
        <v/>
      </c>
      <c r="AM1513" s="1" t="str">
        <f>IFERROR(__xludf.DUMMYFUNCTION("""COMPUTED_VALUE"""),"")</f>
        <v/>
      </c>
      <c r="AN1513" s="1" t="str">
        <f>IFERROR(__xludf.DUMMYFUNCTION("""COMPUTED_VALUE"""),"")</f>
        <v/>
      </c>
      <c r="AO1513" s="1" t="str">
        <f>IFERROR(__xludf.DUMMYFUNCTION("""COMPUTED_VALUE"""),"")</f>
        <v/>
      </c>
      <c r="AP1513" s="1" t="str">
        <f>IFERROR(__xludf.DUMMYFUNCTION("""COMPUTED_VALUE"""),"")</f>
        <v/>
      </c>
      <c r="AQ1513" s="1" t="str">
        <f>IFERROR(__xludf.DUMMYFUNCTION("""COMPUTED_VALUE"""),"08/06/2025")</f>
        <v>08/06/2025</v>
      </c>
      <c r="AR1513" s="1" t="str">
        <f>IFERROR(__xludf.DUMMYFUNCTION("""COMPUTED_VALUE"""),"02/10/2026")</f>
        <v>02/10/2026</v>
      </c>
    </row>
    <row r="1514">
      <c r="A1514" s="1" t="str">
        <f>IFERROR(__xludf.DUMMYFUNCTION("""COMPUTED_VALUE"""),"NVA01 STACK INFRASTRUCTURE")</f>
        <v>NVA01 STACK INFRASTRUCTURE</v>
      </c>
      <c r="B1514" s="1" t="str">
        <f>IFERROR(__xludf.DUMMYFUNCTION("""COMPUTED_VALUE"""),"22080 PACIFIC BLVD")</f>
        <v>22080 PACIFIC BLVD</v>
      </c>
      <c r="C1514" s="1" t="str">
        <f>IFERROR(__xludf.DUMMYFUNCTION("""COMPUTED_VALUE"""),"Sterling")</f>
        <v>Sterling</v>
      </c>
      <c r="D1514" s="1" t="str">
        <f>IFERROR(__xludf.DUMMYFUNCTION("""COMPUTED_VALUE"""),"VA")</f>
        <v>VA</v>
      </c>
      <c r="E1514" s="1" t="str">
        <f>IFERROR(__xludf.DUMMYFUNCTION("""COMPUTED_VALUE"""),"20166")</f>
        <v>20166</v>
      </c>
      <c r="F1514" s="1" t="str">
        <f>IFERROR(__xludf.DUMMYFUNCTION("""COMPUTED_VALUE"""),"Loudoun")</f>
        <v>Loudoun</v>
      </c>
      <c r="G1514" s="1" t="str">
        <f>IFERROR(__xludf.DUMMYFUNCTION("""COMPUTED_VALUE"""),"39.004543")</f>
        <v>39.004543</v>
      </c>
      <c r="H1514" s="1" t="str">
        <f>IFERROR(__xludf.DUMMYFUNCTION("""COMPUTED_VALUE"""),"-77.44198")</f>
        <v>-77.44198</v>
      </c>
      <c r="I1514" s="1" t="str">
        <f>IFERROR(__xludf.DUMMYFUNCTION("""COMPUTED_VALUE"""),"Operating")</f>
        <v>Operating</v>
      </c>
      <c r="J1514" s="1" t="str">
        <f>IFERROR(__xludf.DUMMYFUNCTION("""COMPUTED_VALUE"""),"High")</f>
        <v>High</v>
      </c>
      <c r="K1514" s="1" t="str">
        <f>IFERROR(__xludf.DUMMYFUNCTION("""COMPUTED_VALUE"""),"")</f>
        <v/>
      </c>
      <c r="L1514" s="1" t="str">
        <f>IFERROR(__xludf.DUMMYFUNCTION("""COMPUTED_VALUE"""),"SI NVA01, LLC")</f>
        <v>SI NVA01, LLC</v>
      </c>
      <c r="M1514" s="1" t="str">
        <f>IFERROR(__xludf.DUMMYFUNCTION("""COMPUTED_VALUE"""),"")</f>
        <v/>
      </c>
      <c r="N1514" s="1" t="str">
        <f>IFERROR(__xludf.DUMMYFUNCTION("""COMPUTED_VALUE"""),"")</f>
        <v/>
      </c>
      <c r="O1514" s="1" t="str">
        <f>IFERROR(__xludf.DUMMYFUNCTION("""COMPUTED_VALUE"""),"Unknown")</f>
        <v>Unknown</v>
      </c>
      <c r="P1514" s="1" t="str">
        <f>IFERROR(__xludf.DUMMYFUNCTION("""COMPUTED_VALUE"""),"")</f>
        <v/>
      </c>
      <c r="Q1514" s="1" t="str">
        <f>IFERROR(__xludf.DUMMYFUNCTION("""COMPUTED_VALUE"""),"")</f>
        <v/>
      </c>
      <c r="R1514" s="1" t="str">
        <f>IFERROR(__xludf.DUMMYFUNCTION("""COMPUTED_VALUE"""),"")</f>
        <v/>
      </c>
      <c r="S1514" s="1" t="str">
        <f>IFERROR(__xludf.DUMMYFUNCTION("""COMPUTED_VALUE"""),"")</f>
        <v/>
      </c>
      <c r="T1514" s="1" t="str">
        <f>IFERROR(__xludf.DUMMYFUNCTION("""COMPUTED_VALUE"""),"")</f>
        <v/>
      </c>
      <c r="U1514" s="1" t="str">
        <f>IFERROR(__xludf.DUMMYFUNCTION("""COMPUTED_VALUE"""),"")</f>
        <v/>
      </c>
      <c r="V1514" s="1" t="str">
        <f>IFERROR(__xludf.DUMMYFUNCTION("""COMPUTED_VALUE"""),"180,000")</f>
        <v>180,000</v>
      </c>
      <c r="W1514" s="1" t="str">
        <f>IFERROR(__xludf.DUMMYFUNCTION("""COMPUTED_VALUE"""),"16")</f>
        <v>16</v>
      </c>
      <c r="X1514" s="1" t="str">
        <f>IFERROR(__xludf.DUMMYFUNCTION("""COMPUTED_VALUE"""),"")</f>
        <v/>
      </c>
      <c r="Y1514" s="1" t="str">
        <f>IFERROR(__xludf.DUMMYFUNCTION("""COMPUTED_VALUE"""),"")</f>
        <v/>
      </c>
      <c r="Z1514" s="1" t="str">
        <f>IFERROR(__xludf.DUMMYFUNCTION("""COMPUTED_VALUE"""),"Unknown")</f>
        <v>Unknown</v>
      </c>
      <c r="AA1514" s="1" t="str">
        <f>IFERROR(__xludf.DUMMYFUNCTION("""COMPUTED_VALUE"""),"")</f>
        <v/>
      </c>
      <c r="AB1514" s="1" t="str">
        <f>IFERROR(__xludf.DUMMYFUNCTION("""COMPUTED_VALUE"""),"")</f>
        <v/>
      </c>
      <c r="AC1514" s="1" t="str">
        <f>IFERROR(__xludf.DUMMYFUNCTION("""COMPUTED_VALUE"""),"")</f>
        <v/>
      </c>
      <c r="AD1514" s="1" t="str">
        <f>IFERROR(__xludf.DUMMYFUNCTION("""COMPUTED_VALUE"""),"")</f>
        <v/>
      </c>
      <c r="AE1514" s="1" t="str">
        <f>IFERROR(__xludf.DUMMYFUNCTION("""COMPUTED_VALUE"""),"")</f>
        <v/>
      </c>
      <c r="AF1514" s="1" t="str">
        <f>IFERROR(__xludf.DUMMYFUNCTION("""COMPUTED_VALUE"""),"")</f>
        <v/>
      </c>
      <c r="AG1514" s="1" t="str">
        <f>IFERROR(__xludf.DUMMYFUNCTION("""COMPUTED_VALUE"""),"Computer Center")</f>
        <v>Computer Center</v>
      </c>
      <c r="AH1514" s="1" t="str">
        <f>IFERROR(__xludf.DUMMYFUNCTION("""COMPUTED_VALUE"""),"PEC")</f>
        <v>PEC</v>
      </c>
      <c r="AI1514" s="2" t="str">
        <f>IFERROR(__xludf.DUMMYFUNCTION("""COMPUTED_VALUE"""),"https://reparcelasmt.loudoun.gov/pt/datalets/datalet.aspx?mode=profileall&amp;UseSearch=no&amp;pin=044261032000&amp;jur=107&amp;taxyr=2024&amp;LMparent=20")</f>
        <v>https://reparcelasmt.loudoun.gov/pt/datalets/datalet.aspx?mode=profileall&amp;UseSearch=no&amp;pin=044261032000&amp;jur=107&amp;taxyr=2024&amp;LMparent=20</v>
      </c>
      <c r="AJ1514" s="1" t="str">
        <f>IFERROR(__xludf.DUMMYFUNCTION("""COMPUTED_VALUE"""),"")</f>
        <v/>
      </c>
      <c r="AK1514" s="1" t="str">
        <f>IFERROR(__xludf.DUMMYFUNCTION("""COMPUTED_VALUE"""),"")</f>
        <v/>
      </c>
      <c r="AL1514" s="1" t="str">
        <f>IFERROR(__xludf.DUMMYFUNCTION("""COMPUTED_VALUE"""),"")</f>
        <v/>
      </c>
      <c r="AM1514" s="1" t="str">
        <f>IFERROR(__xludf.DUMMYFUNCTION("""COMPUTED_VALUE"""),"")</f>
        <v/>
      </c>
      <c r="AN1514" s="1" t="str">
        <f>IFERROR(__xludf.DUMMYFUNCTION("""COMPUTED_VALUE"""),"")</f>
        <v/>
      </c>
      <c r="AO1514" s="1" t="str">
        <f>IFERROR(__xludf.DUMMYFUNCTION("""COMPUTED_VALUE"""),"")</f>
        <v/>
      </c>
      <c r="AP1514" s="1" t="str">
        <f>IFERROR(__xludf.DUMMYFUNCTION("""COMPUTED_VALUE"""),"")</f>
        <v/>
      </c>
      <c r="AQ1514" s="1" t="str">
        <f>IFERROR(__xludf.DUMMYFUNCTION("""COMPUTED_VALUE"""),"04/10/2024")</f>
        <v>04/10/2024</v>
      </c>
      <c r="AR1514" s="1" t="str">
        <f>IFERROR(__xludf.DUMMYFUNCTION("""COMPUTED_VALUE"""),"10/17/2025")</f>
        <v>10/17/2025</v>
      </c>
    </row>
    <row r="1515">
      <c r="A1515" s="1" t="str">
        <f>IFERROR(__xludf.DUMMYFUNCTION("""COMPUTED_VALUE"""),"Paragon Park Lot 3B")</f>
        <v>Paragon Park Lot 3B</v>
      </c>
      <c r="B1515" s="1" t="str">
        <f>IFERROR(__xludf.DUMMYFUNCTION("""COMPUTED_VALUE"""),"Intersection of Pacific Blvd and Charles View Dr")</f>
        <v>Intersection of Pacific Blvd and Charles View Dr</v>
      </c>
      <c r="C1515" s="1" t="str">
        <f>IFERROR(__xludf.DUMMYFUNCTION("""COMPUTED_VALUE"""),"Sterling")</f>
        <v>Sterling</v>
      </c>
      <c r="D1515" s="1" t="str">
        <f>IFERROR(__xludf.DUMMYFUNCTION("""COMPUTED_VALUE"""),"VA")</f>
        <v>VA</v>
      </c>
      <c r="E1515" s="1" t="str">
        <f>IFERROR(__xludf.DUMMYFUNCTION("""COMPUTED_VALUE"""),"20166")</f>
        <v>20166</v>
      </c>
      <c r="F1515" s="1" t="str">
        <f>IFERROR(__xludf.DUMMYFUNCTION("""COMPUTED_VALUE"""),"Loudoun")</f>
        <v>Loudoun</v>
      </c>
      <c r="G1515" s="1" t="str">
        <f>IFERROR(__xludf.DUMMYFUNCTION("""COMPUTED_VALUE"""),"39.01517")</f>
        <v>39.01517</v>
      </c>
      <c r="H1515" s="1" t="str">
        <f>IFERROR(__xludf.DUMMYFUNCTION("""COMPUTED_VALUE"""),"-77.43475")</f>
        <v>-77.43475</v>
      </c>
      <c r="I1515" s="1" t="str">
        <f>IFERROR(__xludf.DUMMYFUNCTION("""COMPUTED_VALUE"""),"Proposed")</f>
        <v>Proposed</v>
      </c>
      <c r="J1515" s="1" t="str">
        <f>IFERROR(__xludf.DUMMYFUNCTION("""COMPUTED_VALUE"""),"Medium")</f>
        <v>Medium</v>
      </c>
      <c r="K1515" s="1" t="str">
        <f>IFERROR(__xludf.DUMMYFUNCTION("""COMPUTED_VALUE"""),"")</f>
        <v/>
      </c>
      <c r="L1515" s="1" t="str">
        <f>IFERROR(__xludf.DUMMYFUNCTION("""COMPUTED_VALUE"""),"BlackChamber Group")</f>
        <v>BlackChamber Group</v>
      </c>
      <c r="M1515" s="1" t="str">
        <f>IFERROR(__xludf.DUMMYFUNCTION("""COMPUTED_VALUE"""),"")</f>
        <v/>
      </c>
      <c r="N1515" s="1" t="str">
        <f>IFERROR(__xludf.DUMMYFUNCTION("""COMPUTED_VALUE"""),"")</f>
        <v/>
      </c>
      <c r="O1515" s="1" t="str">
        <f>IFERROR(__xludf.DUMMYFUNCTION("""COMPUTED_VALUE"""),"Unknown")</f>
        <v>Unknown</v>
      </c>
      <c r="P1515" s="1" t="str">
        <f>IFERROR(__xludf.DUMMYFUNCTION("""COMPUTED_VALUE"""),"")</f>
        <v/>
      </c>
      <c r="Q1515" s="1" t="str">
        <f>IFERROR(__xludf.DUMMYFUNCTION("""COMPUTED_VALUE"""),"")</f>
        <v/>
      </c>
      <c r="R1515" s="1" t="str">
        <f>IFERROR(__xludf.DUMMYFUNCTION("""COMPUTED_VALUE"""),"")</f>
        <v/>
      </c>
      <c r="S1515" s="1" t="str">
        <f>IFERROR(__xludf.DUMMYFUNCTION("""COMPUTED_VALUE"""),"")</f>
        <v/>
      </c>
      <c r="T1515" s="1" t="str">
        <f>IFERROR(__xludf.DUMMYFUNCTION("""COMPUTED_VALUE"""),"")</f>
        <v/>
      </c>
      <c r="U1515" s="1" t="str">
        <f>IFERROR(__xludf.DUMMYFUNCTION("""COMPUTED_VALUE"""),"")</f>
        <v/>
      </c>
      <c r="V1515" s="1" t="str">
        <f>IFERROR(__xludf.DUMMYFUNCTION("""COMPUTED_VALUE"""),"405,611")</f>
        <v>405,611</v>
      </c>
      <c r="W1515" s="1" t="str">
        <f>IFERROR(__xludf.DUMMYFUNCTION("""COMPUTED_VALUE"""),"50")</f>
        <v>50</v>
      </c>
      <c r="X1515" s="1" t="str">
        <f>IFERROR(__xludf.DUMMYFUNCTION("""COMPUTED_VALUE"""),"")</f>
        <v/>
      </c>
      <c r="Y1515" s="1" t="str">
        <f>IFERROR(__xludf.DUMMYFUNCTION("""COMPUTED_VALUE"""),"")</f>
        <v/>
      </c>
      <c r="Z1515" s="1" t="str">
        <f>IFERROR(__xludf.DUMMYFUNCTION("""COMPUTED_VALUE"""),"Unknown")</f>
        <v>Unknown</v>
      </c>
      <c r="AA1515" s="1" t="str">
        <f>IFERROR(__xludf.DUMMYFUNCTION("""COMPUTED_VALUE"""),"")</f>
        <v/>
      </c>
      <c r="AB1515" s="1" t="str">
        <f>IFERROR(__xludf.DUMMYFUNCTION("""COMPUTED_VALUE"""),"")</f>
        <v/>
      </c>
      <c r="AC1515" s="1" t="str">
        <f>IFERROR(__xludf.DUMMYFUNCTION("""COMPUTED_VALUE"""),"")</f>
        <v/>
      </c>
      <c r="AD1515" s="1" t="str">
        <f>IFERROR(__xludf.DUMMYFUNCTION("""COMPUTED_VALUE"""),"")</f>
        <v/>
      </c>
      <c r="AE1515" s="1" t="str">
        <f>IFERROR(__xludf.DUMMYFUNCTION("""COMPUTED_VALUE"""),"")</f>
        <v/>
      </c>
      <c r="AF1515" s="1" t="str">
        <f>IFERROR(__xludf.DUMMYFUNCTION("""COMPUTED_VALUE"""),"")</f>
        <v/>
      </c>
      <c r="AG1515" s="1" t="str">
        <f>IFERROR(__xludf.DUMMYFUNCTION("""COMPUTED_VALUE"""),"")</f>
        <v/>
      </c>
      <c r="AH1515" s="1" t="str">
        <f>IFERROR(__xludf.DUMMYFUNCTION("""COMPUTED_VALUE"""),"PEC")</f>
        <v>PEC</v>
      </c>
      <c r="AI1515" s="2" t="str">
        <f>IFERROR(__xludf.DUMMYFUNCTION("""COMPUTED_VALUE"""),"https://loudouncountyvaeg.tylerhost.net/prod/selfservice#/plan/D175A1D3-E983-41D9-B593-3D5C69B1B3E4?tab=attachments")</f>
        <v>https://loudouncountyvaeg.tylerhost.net/prod/selfservice#/plan/D175A1D3-E983-41D9-B593-3D5C69B1B3E4?tab=attachments</v>
      </c>
      <c r="AJ1515" s="2" t="str">
        <f>IFERROR(__xludf.DUMMYFUNCTION("""COMPUTED_VALUE"""),"https://reparcelasmt.loudoun.gov/pt/Datalets/Datalet.aspx?UseSearch=no&amp;mode=profileall&amp;pin=043395471000&amp;jur=107&amp;taxyr=2024")</f>
        <v>https://reparcelasmt.loudoun.gov/pt/Datalets/Datalet.aspx?UseSearch=no&amp;mode=profileall&amp;pin=043395471000&amp;jur=107&amp;taxyr=2024</v>
      </c>
      <c r="AK1515" s="1" t="str">
        <f>IFERROR(__xludf.DUMMYFUNCTION("""COMPUTED_VALUE"""),"")</f>
        <v/>
      </c>
      <c r="AL1515" s="1" t="str">
        <f>IFERROR(__xludf.DUMMYFUNCTION("""COMPUTED_VALUE"""),"")</f>
        <v/>
      </c>
      <c r="AM1515" s="1" t="str">
        <f>IFERROR(__xludf.DUMMYFUNCTION("""COMPUTED_VALUE"""),"")</f>
        <v/>
      </c>
      <c r="AN1515" s="1" t="str">
        <f>IFERROR(__xludf.DUMMYFUNCTION("""COMPUTED_VALUE"""),"")</f>
        <v/>
      </c>
      <c r="AO1515" s="1" t="str">
        <f>IFERROR(__xludf.DUMMYFUNCTION("""COMPUTED_VALUE"""),"")</f>
        <v/>
      </c>
      <c r="AP1515" s="1" t="str">
        <f>IFERROR(__xludf.DUMMYFUNCTION("""COMPUTED_VALUE"""),"")</f>
        <v/>
      </c>
      <c r="AQ1515" s="1" t="str">
        <f>IFERROR(__xludf.DUMMYFUNCTION("""COMPUTED_VALUE"""),"08/06/2025")</f>
        <v>08/06/2025</v>
      </c>
      <c r="AR1515" s="1" t="str">
        <f>IFERROR(__xludf.DUMMYFUNCTION("""COMPUTED_VALUE"""),"10/17/2025")</f>
        <v>10/17/2025</v>
      </c>
    </row>
    <row r="1516">
      <c r="A1516" s="1" t="str">
        <f>IFERROR(__xludf.DUMMYFUNCTION("""COMPUTED_VALUE"""),"PROLOGIS-EXCHANGE 43461 OLD OX ROAD")</f>
        <v>PROLOGIS-EXCHANGE 43461 OLD OX ROAD</v>
      </c>
      <c r="B1516" s="1" t="str">
        <f>IFERROR(__xludf.DUMMYFUNCTION("""COMPUTED_VALUE"""),"23965 CARTERS SCHOOL RD")</f>
        <v>23965 CARTERS SCHOOL RD</v>
      </c>
      <c r="C1516" s="1" t="str">
        <f>IFERROR(__xludf.DUMMYFUNCTION("""COMPUTED_VALUE"""),"Sterling")</f>
        <v>Sterling</v>
      </c>
      <c r="D1516" s="1" t="str">
        <f>IFERROR(__xludf.DUMMYFUNCTION("""COMPUTED_VALUE"""),"VA")</f>
        <v>VA</v>
      </c>
      <c r="E1516" s="1" t="str">
        <f>IFERROR(__xludf.DUMMYFUNCTION("""COMPUTED_VALUE"""),"20166")</f>
        <v>20166</v>
      </c>
      <c r="F1516" s="1" t="str">
        <f>IFERROR(__xludf.DUMMYFUNCTION("""COMPUTED_VALUE"""),"Loudoun")</f>
        <v>Loudoun</v>
      </c>
      <c r="G1516" s="1" t="str">
        <f>IFERROR(__xludf.DUMMYFUNCTION("""COMPUTED_VALUE"""),"38.95321")</f>
        <v>38.95321</v>
      </c>
      <c r="H1516" s="1" t="str">
        <f>IFERROR(__xludf.DUMMYFUNCTION("""COMPUTED_VALUE"""),"-77.49552")</f>
        <v>-77.49552</v>
      </c>
      <c r="I1516" s="1" t="str">
        <f>IFERROR(__xludf.DUMMYFUNCTION("""COMPUTED_VALUE"""),"Expanding")</f>
        <v>Expanding</v>
      </c>
      <c r="J1516" s="1" t="str">
        <f>IFERROR(__xludf.DUMMYFUNCTION("""COMPUTED_VALUE"""),"High")</f>
        <v>High</v>
      </c>
      <c r="K1516" s="1" t="str">
        <f>IFERROR(__xludf.DUMMYFUNCTION("""COMPUTED_VALUE"""),"")</f>
        <v/>
      </c>
      <c r="L1516" s="1" t="str">
        <f>IFERROR(__xludf.DUMMYFUNCTION("""COMPUTED_VALUE"""),"")</f>
        <v/>
      </c>
      <c r="M1516" s="1" t="str">
        <f>IFERROR(__xludf.DUMMYFUNCTION("""COMPUTED_VALUE"""),"")</f>
        <v/>
      </c>
      <c r="N1516" s="1" t="str">
        <f>IFERROR(__xludf.DUMMYFUNCTION("""COMPUTED_VALUE"""),"")</f>
        <v/>
      </c>
      <c r="O1516" s="1" t="str">
        <f>IFERROR(__xludf.DUMMYFUNCTION("""COMPUTED_VALUE"""),"Unknown")</f>
        <v>Unknown</v>
      </c>
      <c r="P1516" s="1" t="str">
        <f>IFERROR(__xludf.DUMMYFUNCTION("""COMPUTED_VALUE"""),"")</f>
        <v/>
      </c>
      <c r="Q1516" s="1" t="str">
        <f>IFERROR(__xludf.DUMMYFUNCTION("""COMPUTED_VALUE"""),"")</f>
        <v/>
      </c>
      <c r="R1516" s="1" t="str">
        <f>IFERROR(__xludf.DUMMYFUNCTION("""COMPUTED_VALUE"""),"")</f>
        <v/>
      </c>
      <c r="S1516" s="1" t="str">
        <f>IFERROR(__xludf.DUMMYFUNCTION("""COMPUTED_VALUE"""),"")</f>
        <v/>
      </c>
      <c r="T1516" s="1" t="str">
        <f>IFERROR(__xludf.DUMMYFUNCTION("""COMPUTED_VALUE"""),"")</f>
        <v/>
      </c>
      <c r="U1516" s="1" t="str">
        <f>IFERROR(__xludf.DUMMYFUNCTION("""COMPUTED_VALUE"""),"")</f>
        <v/>
      </c>
      <c r="V1516" s="1" t="str">
        <f>IFERROR(__xludf.DUMMYFUNCTION("""COMPUTED_VALUE"""),"2,023,449")</f>
        <v>2,023,449</v>
      </c>
      <c r="W1516" s="1" t="str">
        <f>IFERROR(__xludf.DUMMYFUNCTION("""COMPUTED_VALUE"""),"40")</f>
        <v>40</v>
      </c>
      <c r="X1516" s="1" t="str">
        <f>IFERROR(__xludf.DUMMYFUNCTION("""COMPUTED_VALUE"""),"")</f>
        <v/>
      </c>
      <c r="Y1516" s="1" t="str">
        <f>IFERROR(__xludf.DUMMYFUNCTION("""COMPUTED_VALUE"""),"")</f>
        <v/>
      </c>
      <c r="Z1516" s="1" t="str">
        <f>IFERROR(__xludf.DUMMYFUNCTION("""COMPUTED_VALUE"""),"Unknown")</f>
        <v>Unknown</v>
      </c>
      <c r="AA1516" s="1" t="str">
        <f>IFERROR(__xludf.DUMMYFUNCTION("""COMPUTED_VALUE"""),"")</f>
        <v/>
      </c>
      <c r="AB1516" s="1" t="str">
        <f>IFERROR(__xludf.DUMMYFUNCTION("""COMPUTED_VALUE"""),"")</f>
        <v/>
      </c>
      <c r="AC1516" s="1" t="str">
        <f>IFERROR(__xludf.DUMMYFUNCTION("""COMPUTED_VALUE"""),"")</f>
        <v/>
      </c>
      <c r="AD1516" s="1" t="str">
        <f>IFERROR(__xludf.DUMMYFUNCTION("""COMPUTED_VALUE"""),"")</f>
        <v/>
      </c>
      <c r="AE1516" s="1" t="str">
        <f>IFERROR(__xludf.DUMMYFUNCTION("""COMPUTED_VALUE"""),"")</f>
        <v/>
      </c>
      <c r="AF1516" s="1" t="str">
        <f>IFERROR(__xludf.DUMMYFUNCTION("""COMPUTED_VALUE"""),"")</f>
        <v/>
      </c>
      <c r="AG1516" s="1" t="str">
        <f>IFERROR(__xludf.DUMMYFUNCTION("""COMPUTED_VALUE"""),"")</f>
        <v/>
      </c>
      <c r="AH1516" s="1" t="str">
        <f>IFERROR(__xludf.DUMMYFUNCTION("""COMPUTED_VALUE"""),"PEC")</f>
        <v>PEC</v>
      </c>
      <c r="AI1516" s="2" t="str">
        <f>IFERROR(__xludf.DUMMYFUNCTION("""COMPUTED_VALUE"""),"https://loudouncountyvaeg.tylerhost.net/prod/selfservice#/plan/f6c352b4-2c45-42eb-8aa1-1f4aa98da3b9?tab=attachments")</f>
        <v>https://loudouncountyvaeg.tylerhost.net/prod/selfservice#/plan/f6c352b4-2c45-42eb-8aa1-1f4aa98da3b9?tab=attachments</v>
      </c>
      <c r="AJ1516" s="2" t="str">
        <f>IFERROR(__xludf.DUMMYFUNCTION("""COMPUTED_VALUE"""),"https://reparcelasmt.loudoun.gov/pt/Datalets/Datalet.aspx?UseSearch=no&amp;mode=profileall&amp;pin=124105978000&amp;jur=107&amp;taxyr=2025")</f>
        <v>https://reparcelasmt.loudoun.gov/pt/Datalets/Datalet.aspx?UseSearch=no&amp;mode=profileall&amp;pin=124105978000&amp;jur=107&amp;taxyr=2025</v>
      </c>
      <c r="AK1516" s="1" t="str">
        <f>IFERROR(__xludf.DUMMYFUNCTION("""COMPUTED_VALUE"""),"")</f>
        <v/>
      </c>
      <c r="AL1516" s="1" t="str">
        <f>IFERROR(__xludf.DUMMYFUNCTION("""COMPUTED_VALUE"""),"")</f>
        <v/>
      </c>
      <c r="AM1516" s="1" t="str">
        <f>IFERROR(__xludf.DUMMYFUNCTION("""COMPUTED_VALUE"""),"")</f>
        <v/>
      </c>
      <c r="AN1516" s="1" t="str">
        <f>IFERROR(__xludf.DUMMYFUNCTION("""COMPUTED_VALUE"""),"")</f>
        <v/>
      </c>
      <c r="AO1516" s="1" t="str">
        <f>IFERROR(__xludf.DUMMYFUNCTION("""COMPUTED_VALUE"""),"")</f>
        <v/>
      </c>
      <c r="AP1516" s="1" t="str">
        <f>IFERROR(__xludf.DUMMYFUNCTION("""COMPUTED_VALUE"""),"")</f>
        <v/>
      </c>
      <c r="AQ1516" s="1" t="str">
        <f>IFERROR(__xludf.DUMMYFUNCTION("""COMPUTED_VALUE"""),"08/06/2025")</f>
        <v>08/06/2025</v>
      </c>
      <c r="AR1516" s="1" t="str">
        <f>IFERROR(__xludf.DUMMYFUNCTION("""COMPUTED_VALUE"""),"02/10/2026")</f>
        <v>02/10/2026</v>
      </c>
    </row>
    <row r="1517">
      <c r="A1517" s="1" t="str">
        <f>IFERROR(__xludf.DUMMYFUNCTION("""COMPUTED_VALUE"""),"PROLOGIS-EXCHANGE 43461 OLD OX ROAD")</f>
        <v>PROLOGIS-EXCHANGE 43461 OLD OX ROAD</v>
      </c>
      <c r="B1517" s="1" t="str">
        <f>IFERROR(__xludf.DUMMYFUNCTION("""COMPUTED_VALUE"""),"23845 ERINS RUN DR")</f>
        <v>23845 ERINS RUN DR</v>
      </c>
      <c r="C1517" s="1" t="str">
        <f>IFERROR(__xludf.DUMMYFUNCTION("""COMPUTED_VALUE"""),"Sterling")</f>
        <v>Sterling</v>
      </c>
      <c r="D1517" s="1" t="str">
        <f>IFERROR(__xludf.DUMMYFUNCTION("""COMPUTED_VALUE"""),"VA")</f>
        <v>VA</v>
      </c>
      <c r="E1517" s="1" t="str">
        <f>IFERROR(__xludf.DUMMYFUNCTION("""COMPUTED_VALUE"""),"20166")</f>
        <v>20166</v>
      </c>
      <c r="F1517" s="1" t="str">
        <f>IFERROR(__xludf.DUMMYFUNCTION("""COMPUTED_VALUE"""),"Loudoun")</f>
        <v>Loudoun</v>
      </c>
      <c r="G1517" s="1" t="str">
        <f>IFERROR(__xludf.DUMMYFUNCTION("""COMPUTED_VALUE"""),"38.95745")</f>
        <v>38.95745</v>
      </c>
      <c r="H1517" s="1" t="str">
        <f>IFERROR(__xludf.DUMMYFUNCTION("""COMPUTED_VALUE"""),"-77.49768")</f>
        <v>-77.49768</v>
      </c>
      <c r="I1517" s="1" t="str">
        <f>IFERROR(__xludf.DUMMYFUNCTION("""COMPUTED_VALUE"""),"Expanding")</f>
        <v>Expanding</v>
      </c>
      <c r="J1517" s="1" t="str">
        <f>IFERROR(__xludf.DUMMYFUNCTION("""COMPUTED_VALUE"""),"High")</f>
        <v>High</v>
      </c>
      <c r="K1517" s="1" t="str">
        <f>IFERROR(__xludf.DUMMYFUNCTION("""COMPUTED_VALUE"""),"")</f>
        <v/>
      </c>
      <c r="L1517" s="1" t="str">
        <f>IFERROR(__xludf.DUMMYFUNCTION("""COMPUTED_VALUE"""),"PROLOGIS-EXCHANGE 43461 OLD OX ROAD LLC")</f>
        <v>PROLOGIS-EXCHANGE 43461 OLD OX ROAD LLC</v>
      </c>
      <c r="M1517" s="1" t="str">
        <f>IFERROR(__xludf.DUMMYFUNCTION("""COMPUTED_VALUE"""),"")</f>
        <v/>
      </c>
      <c r="N1517" s="1" t="str">
        <f>IFERROR(__xludf.DUMMYFUNCTION("""COMPUTED_VALUE"""),"")</f>
        <v/>
      </c>
      <c r="O1517" s="1" t="str">
        <f>IFERROR(__xludf.DUMMYFUNCTION("""COMPUTED_VALUE"""),"Unknown")</f>
        <v>Unknown</v>
      </c>
      <c r="P1517" s="1" t="str">
        <f>IFERROR(__xludf.DUMMYFUNCTION("""COMPUTED_VALUE"""),"")</f>
        <v/>
      </c>
      <c r="Q1517" s="1" t="str">
        <f>IFERROR(__xludf.DUMMYFUNCTION("""COMPUTED_VALUE"""),"")</f>
        <v/>
      </c>
      <c r="R1517" s="1" t="str">
        <f>IFERROR(__xludf.DUMMYFUNCTION("""COMPUTED_VALUE"""),"")</f>
        <v/>
      </c>
      <c r="S1517" s="1" t="str">
        <f>IFERROR(__xludf.DUMMYFUNCTION("""COMPUTED_VALUE"""),"")</f>
        <v/>
      </c>
      <c r="T1517" s="1" t="str">
        <f>IFERROR(__xludf.DUMMYFUNCTION("""COMPUTED_VALUE"""),"")</f>
        <v/>
      </c>
      <c r="U1517" s="1" t="str">
        <f>IFERROR(__xludf.DUMMYFUNCTION("""COMPUTED_VALUE"""),"")</f>
        <v/>
      </c>
      <c r="V1517" s="1" t="str">
        <f>IFERROR(__xludf.DUMMYFUNCTION("""COMPUTED_VALUE"""),"474,570")</f>
        <v>474,570</v>
      </c>
      <c r="W1517" s="1" t="str">
        <f>IFERROR(__xludf.DUMMYFUNCTION("""COMPUTED_VALUE"""),"38")</f>
        <v>38</v>
      </c>
      <c r="X1517" s="1" t="str">
        <f>IFERROR(__xludf.DUMMYFUNCTION("""COMPUTED_VALUE"""),"")</f>
        <v/>
      </c>
      <c r="Y1517" s="1" t="str">
        <f>IFERROR(__xludf.DUMMYFUNCTION("""COMPUTED_VALUE"""),"")</f>
        <v/>
      </c>
      <c r="Z1517" s="1" t="str">
        <f>IFERROR(__xludf.DUMMYFUNCTION("""COMPUTED_VALUE"""),"Unknown")</f>
        <v>Unknown</v>
      </c>
      <c r="AA1517" s="1" t="str">
        <f>IFERROR(__xludf.DUMMYFUNCTION("""COMPUTED_VALUE"""),"")</f>
        <v/>
      </c>
      <c r="AB1517" s="1" t="str">
        <f>IFERROR(__xludf.DUMMYFUNCTION("""COMPUTED_VALUE"""),"")</f>
        <v/>
      </c>
      <c r="AC1517" s="1" t="str">
        <f>IFERROR(__xludf.DUMMYFUNCTION("""COMPUTED_VALUE"""),"")</f>
        <v/>
      </c>
      <c r="AD1517" s="1" t="str">
        <f>IFERROR(__xludf.DUMMYFUNCTION("""COMPUTED_VALUE"""),"")</f>
        <v/>
      </c>
      <c r="AE1517" s="1" t="str">
        <f>IFERROR(__xludf.DUMMYFUNCTION("""COMPUTED_VALUE"""),"")</f>
        <v/>
      </c>
      <c r="AF1517" s="1" t="str">
        <f>IFERROR(__xludf.DUMMYFUNCTION("""COMPUTED_VALUE"""),"")</f>
        <v/>
      </c>
      <c r="AG1517" s="1" t="str">
        <f>IFERROR(__xludf.DUMMYFUNCTION("""COMPUTED_VALUE"""),"Shown as ""Storage Warehouse""")</f>
        <v>Shown as "Storage Warehouse"</v>
      </c>
      <c r="AH1517" s="1" t="str">
        <f>IFERROR(__xludf.DUMMYFUNCTION("""COMPUTED_VALUE"""),"PEC")</f>
        <v>PEC</v>
      </c>
      <c r="AI1517" s="2" t="str">
        <f>IFERROR(__xludf.DUMMYFUNCTION("""COMPUTED_VALUE"""),"https://reparcelasmt.loudoun.gov/pt/Datalets/Datalet.aspx?UseSearch=no&amp;mode=profileall&amp;pin=124299328000&amp;jur=107&amp;taxyr=2024")</f>
        <v>https://reparcelasmt.loudoun.gov/pt/Datalets/Datalet.aspx?UseSearch=no&amp;mode=profileall&amp;pin=124299328000&amp;jur=107&amp;taxyr=2024</v>
      </c>
      <c r="AJ1517" s="1" t="str">
        <f>IFERROR(__xludf.DUMMYFUNCTION("""COMPUTED_VALUE"""),"")</f>
        <v/>
      </c>
      <c r="AK1517" s="1" t="str">
        <f>IFERROR(__xludf.DUMMYFUNCTION("""COMPUTED_VALUE"""),"")</f>
        <v/>
      </c>
      <c r="AL1517" s="1" t="str">
        <f>IFERROR(__xludf.DUMMYFUNCTION("""COMPUTED_VALUE"""),"")</f>
        <v/>
      </c>
      <c r="AM1517" s="1" t="str">
        <f>IFERROR(__xludf.DUMMYFUNCTION("""COMPUTED_VALUE"""),"")</f>
        <v/>
      </c>
      <c r="AN1517" s="1" t="str">
        <f>IFERROR(__xludf.DUMMYFUNCTION("""COMPUTED_VALUE"""),"")</f>
        <v/>
      </c>
      <c r="AO1517" s="1" t="str">
        <f>IFERROR(__xludf.DUMMYFUNCTION("""COMPUTED_VALUE"""),"")</f>
        <v/>
      </c>
      <c r="AP1517" s="1" t="str">
        <f>IFERROR(__xludf.DUMMYFUNCTION("""COMPUTED_VALUE"""),"")</f>
        <v/>
      </c>
      <c r="AQ1517" s="1" t="str">
        <f>IFERROR(__xludf.DUMMYFUNCTION("""COMPUTED_VALUE"""),"08/06/2025")</f>
        <v>08/06/2025</v>
      </c>
      <c r="AR1517" s="1" t="str">
        <f>IFERROR(__xludf.DUMMYFUNCTION("""COMPUTED_VALUE"""),"02/10/2026")</f>
        <v>02/10/2026</v>
      </c>
    </row>
    <row r="1518">
      <c r="A1518" s="1" t="str">
        <f>IFERROR(__xludf.DUMMYFUNCTION("""COMPUTED_VALUE"""),"Prologis NOVA 1")</f>
        <v>Prologis NOVA 1</v>
      </c>
      <c r="B1518" s="1" t="str">
        <f>IFERROR(__xludf.DUMMYFUNCTION("""COMPUTED_VALUE"""),"22675 DULLES SUMMIT CT")</f>
        <v>22675 DULLES SUMMIT CT</v>
      </c>
      <c r="C1518" s="1" t="str">
        <f>IFERROR(__xludf.DUMMYFUNCTION("""COMPUTED_VALUE"""),"Sterling")</f>
        <v>Sterling</v>
      </c>
      <c r="D1518" s="1" t="str">
        <f>IFERROR(__xludf.DUMMYFUNCTION("""COMPUTED_VALUE"""),"VA")</f>
        <v>VA</v>
      </c>
      <c r="E1518" s="1" t="str">
        <f>IFERROR(__xludf.DUMMYFUNCTION("""COMPUTED_VALUE"""),"20166")</f>
        <v>20166</v>
      </c>
      <c r="F1518" s="1" t="str">
        <f>IFERROR(__xludf.DUMMYFUNCTION("""COMPUTED_VALUE"""),"Loudoun")</f>
        <v>Loudoun</v>
      </c>
      <c r="G1518" s="1" t="str">
        <f>IFERROR(__xludf.DUMMYFUNCTION("""COMPUTED_VALUE"""),"38.98944")</f>
        <v>38.98944</v>
      </c>
      <c r="H1518" s="1" t="str">
        <f>IFERROR(__xludf.DUMMYFUNCTION("""COMPUTED_VALUE"""),"-77.44955")</f>
        <v>-77.44955</v>
      </c>
      <c r="I1518" s="1" t="str">
        <f>IFERROR(__xludf.DUMMYFUNCTION("""COMPUTED_VALUE"""),"Expanding")</f>
        <v>Expanding</v>
      </c>
      <c r="J1518" s="1" t="str">
        <f>IFERROR(__xludf.DUMMYFUNCTION("""COMPUTED_VALUE"""),"High")</f>
        <v>High</v>
      </c>
      <c r="K1518" s="1" t="str">
        <f>IFERROR(__xludf.DUMMYFUNCTION("""COMPUTED_VALUE"""),"")</f>
        <v/>
      </c>
      <c r="L1518" s="1" t="str">
        <f>IFERROR(__xludf.DUMMYFUNCTION("""COMPUTED_VALUE"""),"Prologis")</f>
        <v>Prologis</v>
      </c>
      <c r="M1518" s="1" t="str">
        <f>IFERROR(__xludf.DUMMYFUNCTION("""COMPUTED_VALUE"""),"")</f>
        <v/>
      </c>
      <c r="N1518" s="1" t="str">
        <f>IFERROR(__xludf.DUMMYFUNCTION("""COMPUTED_VALUE"""),"")</f>
        <v/>
      </c>
      <c r="O1518" s="1" t="str">
        <f>IFERROR(__xludf.DUMMYFUNCTION("""COMPUTED_VALUE"""),"Unknown")</f>
        <v>Unknown</v>
      </c>
      <c r="P1518" s="1" t="str">
        <f>IFERROR(__xludf.DUMMYFUNCTION("""COMPUTED_VALUE"""),"")</f>
        <v/>
      </c>
      <c r="Q1518" s="1" t="str">
        <f>IFERROR(__xludf.DUMMYFUNCTION("""COMPUTED_VALUE"""),"")</f>
        <v/>
      </c>
      <c r="R1518" s="1" t="str">
        <f>IFERROR(__xludf.DUMMYFUNCTION("""COMPUTED_VALUE"""),"")</f>
        <v/>
      </c>
      <c r="S1518" s="1" t="str">
        <f>IFERROR(__xludf.DUMMYFUNCTION("""COMPUTED_VALUE"""),"")</f>
        <v/>
      </c>
      <c r="T1518" s="1" t="str">
        <f>IFERROR(__xludf.DUMMYFUNCTION("""COMPUTED_VALUE"""),"")</f>
        <v/>
      </c>
      <c r="U1518" s="1" t="str">
        <f>IFERROR(__xludf.DUMMYFUNCTION("""COMPUTED_VALUE"""),"")</f>
        <v/>
      </c>
      <c r="V1518" s="1" t="str">
        <f>IFERROR(__xludf.DUMMYFUNCTION("""COMPUTED_VALUE"""),"500,000")</f>
        <v>500,000</v>
      </c>
      <c r="W1518" s="1" t="str">
        <f>IFERROR(__xludf.DUMMYFUNCTION("""COMPUTED_VALUE"""),"20")</f>
        <v>20</v>
      </c>
      <c r="X1518" s="1" t="str">
        <f>IFERROR(__xludf.DUMMYFUNCTION("""COMPUTED_VALUE"""),"")</f>
        <v/>
      </c>
      <c r="Y1518" s="1" t="str">
        <f>IFERROR(__xludf.DUMMYFUNCTION("""COMPUTED_VALUE"""),"")</f>
        <v/>
      </c>
      <c r="Z1518" s="1" t="str">
        <f>IFERROR(__xludf.DUMMYFUNCTION("""COMPUTED_VALUE"""),"Unknown")</f>
        <v>Unknown</v>
      </c>
      <c r="AA1518" s="1" t="str">
        <f>IFERROR(__xludf.DUMMYFUNCTION("""COMPUTED_VALUE"""),"")</f>
        <v/>
      </c>
      <c r="AB1518" s="1" t="str">
        <f>IFERROR(__xludf.DUMMYFUNCTION("""COMPUTED_VALUE"""),"")</f>
        <v/>
      </c>
      <c r="AC1518" s="1" t="str">
        <f>IFERROR(__xludf.DUMMYFUNCTION("""COMPUTED_VALUE"""),"")</f>
        <v/>
      </c>
      <c r="AD1518" s="1" t="str">
        <f>IFERROR(__xludf.DUMMYFUNCTION("""COMPUTED_VALUE"""),"")</f>
        <v/>
      </c>
      <c r="AE1518" s="1" t="str">
        <f>IFERROR(__xludf.DUMMYFUNCTION("""COMPUTED_VALUE"""),"")</f>
        <v/>
      </c>
      <c r="AF1518" s="1" t="str">
        <f>IFERROR(__xludf.DUMMYFUNCTION("""COMPUTED_VALUE"""),"")</f>
        <v/>
      </c>
      <c r="AG1518" s="1" t="str">
        <f>IFERROR(__xludf.DUMMYFUNCTION("""COMPUTED_VALUE"""),"Building A and redevelopment")</f>
        <v>Building A and redevelopment</v>
      </c>
      <c r="AH1518" s="1" t="str">
        <f>IFERROR(__xludf.DUMMYFUNCTION("""COMPUTED_VALUE"""),"PEC")</f>
        <v>PEC</v>
      </c>
      <c r="AI1518" s="2" t="str">
        <f>IFERROR(__xludf.DUMMYFUNCTION("""COMPUTED_VALUE"""),"https://dgtlinfra.com/prologis-skybox-data-center-northern-virginia/")</f>
        <v>https://dgtlinfra.com/prologis-skybox-data-center-northern-virginia/</v>
      </c>
      <c r="AJ1518" s="2" t="str">
        <f>IFERROR(__xludf.DUMMYFUNCTION("""COMPUTED_VALUE"""),"https://reparcelasmt.loudoun.gov/pt/datalets/datalet.aspx?mode=profileall&amp;UseSearch=no&amp;pin=045252512000&amp;jur=107&amp;taxyr=2024&amp;LMparent=20")</f>
        <v>https://reparcelasmt.loudoun.gov/pt/datalets/datalet.aspx?mode=profileall&amp;UseSearch=no&amp;pin=045252512000&amp;jur=107&amp;taxyr=2024&amp;LMparent=20</v>
      </c>
      <c r="AK1518" s="1" t="str">
        <f>IFERROR(__xludf.DUMMYFUNCTION("""COMPUTED_VALUE"""),"")</f>
        <v/>
      </c>
      <c r="AL1518" s="1" t="str">
        <f>IFERROR(__xludf.DUMMYFUNCTION("""COMPUTED_VALUE"""),"")</f>
        <v/>
      </c>
      <c r="AM1518" s="1" t="str">
        <f>IFERROR(__xludf.DUMMYFUNCTION("""COMPUTED_VALUE"""),"")</f>
        <v/>
      </c>
      <c r="AN1518" s="1" t="str">
        <f>IFERROR(__xludf.DUMMYFUNCTION("""COMPUTED_VALUE"""),"")</f>
        <v/>
      </c>
      <c r="AO1518" s="1" t="str">
        <f>IFERROR(__xludf.DUMMYFUNCTION("""COMPUTED_VALUE"""),"")</f>
        <v/>
      </c>
      <c r="AP1518" s="1" t="str">
        <f>IFERROR(__xludf.DUMMYFUNCTION("""COMPUTED_VALUE"""),"")</f>
        <v/>
      </c>
      <c r="AQ1518" s="1" t="str">
        <f>IFERROR(__xludf.DUMMYFUNCTION("""COMPUTED_VALUE"""),"04/10/2024")</f>
        <v>04/10/2024</v>
      </c>
      <c r="AR1518" s="1" t="str">
        <f>IFERROR(__xludf.DUMMYFUNCTION("""COMPUTED_VALUE"""),"02/10/2026")</f>
        <v>02/10/2026</v>
      </c>
    </row>
    <row r="1519">
      <c r="A1519" s="1" t="str">
        <f>IFERROR(__xludf.DUMMYFUNCTION("""COMPUTED_VALUE"""),"PROLOGIS PARK GATEWAY II")</f>
        <v>PROLOGIS PARK GATEWAY II</v>
      </c>
      <c r="B1519" s="1" t="str">
        <f>IFERROR(__xludf.DUMMYFUNCTION("""COMPUTED_VALUE"""),"45180 GLOBAL PLZ")</f>
        <v>45180 GLOBAL PLZ</v>
      </c>
      <c r="C1519" s="1" t="str">
        <f>IFERROR(__xludf.DUMMYFUNCTION("""COMPUTED_VALUE"""),"Sterling")</f>
        <v>Sterling</v>
      </c>
      <c r="D1519" s="1" t="str">
        <f>IFERROR(__xludf.DUMMYFUNCTION("""COMPUTED_VALUE"""),"VA")</f>
        <v>VA</v>
      </c>
      <c r="E1519" s="1" t="str">
        <f>IFERROR(__xludf.DUMMYFUNCTION("""COMPUTED_VALUE"""),"20166")</f>
        <v>20166</v>
      </c>
      <c r="F1519" s="1" t="str">
        <f>IFERROR(__xludf.DUMMYFUNCTION("""COMPUTED_VALUE"""),"Loudoun")</f>
        <v>Loudoun</v>
      </c>
      <c r="G1519" s="1" t="str">
        <f>IFERROR(__xludf.DUMMYFUNCTION("""COMPUTED_VALUE"""),"38.98795")</f>
        <v>38.98795</v>
      </c>
      <c r="H1519" s="1" t="str">
        <f>IFERROR(__xludf.DUMMYFUNCTION("""COMPUTED_VALUE"""),"-77.43817")</f>
        <v>-77.43817</v>
      </c>
      <c r="I1519" s="1" t="str">
        <f>IFERROR(__xludf.DUMMYFUNCTION("""COMPUTED_VALUE"""),"Proposed")</f>
        <v>Proposed</v>
      </c>
      <c r="J1519" s="1" t="str">
        <f>IFERROR(__xludf.DUMMYFUNCTION("""COMPUTED_VALUE"""),"High")</f>
        <v>High</v>
      </c>
      <c r="K1519" s="1" t="str">
        <f>IFERROR(__xludf.DUMMYFUNCTION("""COMPUTED_VALUE"""),"")</f>
        <v/>
      </c>
      <c r="L1519" s="1" t="str">
        <f>IFERROR(__xludf.DUMMYFUNCTION("""COMPUTED_VALUE"""),"Prologis")</f>
        <v>Prologis</v>
      </c>
      <c r="M1519" s="1" t="str">
        <f>IFERROR(__xludf.DUMMYFUNCTION("""COMPUTED_VALUE"""),"")</f>
        <v/>
      </c>
      <c r="N1519" s="1" t="str">
        <f>IFERROR(__xludf.DUMMYFUNCTION("""COMPUTED_VALUE"""),"")</f>
        <v/>
      </c>
      <c r="O1519" s="1" t="str">
        <f>IFERROR(__xludf.DUMMYFUNCTION("""COMPUTED_VALUE"""),"Unknown")</f>
        <v>Unknown</v>
      </c>
      <c r="P1519" s="1" t="str">
        <f>IFERROR(__xludf.DUMMYFUNCTION("""COMPUTED_VALUE"""),"")</f>
        <v/>
      </c>
      <c r="Q1519" s="1" t="str">
        <f>IFERROR(__xludf.DUMMYFUNCTION("""COMPUTED_VALUE"""),"")</f>
        <v/>
      </c>
      <c r="R1519" s="1" t="str">
        <f>IFERROR(__xludf.DUMMYFUNCTION("""COMPUTED_VALUE"""),"")</f>
        <v/>
      </c>
      <c r="S1519" s="1" t="str">
        <f>IFERROR(__xludf.DUMMYFUNCTION("""COMPUTED_VALUE"""),"")</f>
        <v/>
      </c>
      <c r="T1519" s="1" t="str">
        <f>IFERROR(__xludf.DUMMYFUNCTION("""COMPUTED_VALUE"""),"")</f>
        <v/>
      </c>
      <c r="U1519" s="1" t="str">
        <f>IFERROR(__xludf.DUMMYFUNCTION("""COMPUTED_VALUE"""),"")</f>
        <v/>
      </c>
      <c r="V1519" s="1" t="str">
        <f>IFERROR(__xludf.DUMMYFUNCTION("""COMPUTED_VALUE"""),"294,000")</f>
        <v>294,000</v>
      </c>
      <c r="W1519" s="1" t="str">
        <f>IFERROR(__xludf.DUMMYFUNCTION("""COMPUTED_VALUE"""),"11")</f>
        <v>11</v>
      </c>
      <c r="X1519" s="1" t="str">
        <f>IFERROR(__xludf.DUMMYFUNCTION("""COMPUTED_VALUE"""),"")</f>
        <v/>
      </c>
      <c r="Y1519" s="1" t="str">
        <f>IFERROR(__xludf.DUMMYFUNCTION("""COMPUTED_VALUE"""),"")</f>
        <v/>
      </c>
      <c r="Z1519" s="1" t="str">
        <f>IFERROR(__xludf.DUMMYFUNCTION("""COMPUTED_VALUE"""),"Unknown")</f>
        <v>Unknown</v>
      </c>
      <c r="AA1519" s="1" t="str">
        <f>IFERROR(__xludf.DUMMYFUNCTION("""COMPUTED_VALUE"""),"")</f>
        <v/>
      </c>
      <c r="AB1519" s="1" t="str">
        <f>IFERROR(__xludf.DUMMYFUNCTION("""COMPUTED_VALUE"""),"")</f>
        <v/>
      </c>
      <c r="AC1519" s="1" t="str">
        <f>IFERROR(__xludf.DUMMYFUNCTION("""COMPUTED_VALUE"""),"")</f>
        <v/>
      </c>
      <c r="AD1519" s="1" t="str">
        <f>IFERROR(__xludf.DUMMYFUNCTION("""COMPUTED_VALUE"""),"")</f>
        <v/>
      </c>
      <c r="AE1519" s="1" t="str">
        <f>IFERROR(__xludf.DUMMYFUNCTION("""COMPUTED_VALUE"""),"")</f>
        <v/>
      </c>
      <c r="AF1519" s="1" t="str">
        <f>IFERROR(__xludf.DUMMYFUNCTION("""COMPUTED_VALUE"""),"")</f>
        <v/>
      </c>
      <c r="AG1519" s="1" t="str">
        <f>IFERROR(__xludf.DUMMYFUNCTION("""COMPUTED_VALUE"""),"Flex, Industrial")</f>
        <v>Flex, Industrial</v>
      </c>
      <c r="AH1519" s="1" t="str">
        <f>IFERROR(__xludf.DUMMYFUNCTION("""COMPUTED_VALUE"""),"PEC")</f>
        <v>PEC</v>
      </c>
      <c r="AI1519" s="2" t="str">
        <f>IFERROR(__xludf.DUMMYFUNCTION("""COMPUTED_VALUE"""),"https://www.datacenterdynamics.com/en/news/prologis-seeks-rezoning-of-land-sterling-virginia-possibly-for-data-centers/")</f>
        <v>https://www.datacenterdynamics.com/en/news/prologis-seeks-rezoning-of-land-sterling-virginia-possibly-for-data-centers/</v>
      </c>
      <c r="AJ1519" s="2" t="str">
        <f>IFERROR(__xludf.DUMMYFUNCTION("""COMPUTED_VALUE"""),"https://reparcelasmt.loudoun.gov/pt/datalets/datalet.aspx?mode=profileall&amp;UseSearch=no&amp;pin=045185843002&amp;jur=107&amp;taxyr=2024&amp;LMparent=20")</f>
        <v>https://reparcelasmt.loudoun.gov/pt/datalets/datalet.aspx?mode=profileall&amp;UseSearch=no&amp;pin=045185843002&amp;jur=107&amp;taxyr=2024&amp;LMparent=20</v>
      </c>
      <c r="AK1519" s="1" t="str">
        <f>IFERROR(__xludf.DUMMYFUNCTION("""COMPUTED_VALUE"""),"")</f>
        <v/>
      </c>
      <c r="AL1519" s="1" t="str">
        <f>IFERROR(__xludf.DUMMYFUNCTION("""COMPUTED_VALUE"""),"")</f>
        <v/>
      </c>
      <c r="AM1519" s="1" t="str">
        <f>IFERROR(__xludf.DUMMYFUNCTION("""COMPUTED_VALUE"""),"")</f>
        <v/>
      </c>
      <c r="AN1519" s="1" t="str">
        <f>IFERROR(__xludf.DUMMYFUNCTION("""COMPUTED_VALUE"""),"")</f>
        <v/>
      </c>
      <c r="AO1519" s="1" t="str">
        <f>IFERROR(__xludf.DUMMYFUNCTION("""COMPUTED_VALUE"""),"")</f>
        <v/>
      </c>
      <c r="AP1519" s="1" t="str">
        <f>IFERROR(__xludf.DUMMYFUNCTION("""COMPUTED_VALUE"""),"")</f>
        <v/>
      </c>
      <c r="AQ1519" s="1" t="str">
        <f>IFERROR(__xludf.DUMMYFUNCTION("""COMPUTED_VALUE"""),"04/10/2024")</f>
        <v>04/10/2024</v>
      </c>
      <c r="AR1519" s="1" t="str">
        <f>IFERROR(__xludf.DUMMYFUNCTION("""COMPUTED_VALUE"""),"10/17/2025")</f>
        <v>10/17/2025</v>
      </c>
    </row>
    <row r="1520">
      <c r="A1520" s="1" t="str">
        <f>IFERROR(__xludf.DUMMYFUNCTION("""COMPUTED_VALUE"""),"QTS Ashburn-Moran")</f>
        <v>QTS Ashburn-Moran</v>
      </c>
      <c r="B1520" s="1" t="str">
        <f>IFERROR(__xludf.DUMMYFUNCTION("""COMPUTED_VALUE"""),"1506 MORAN RD")</f>
        <v>1506 MORAN RD</v>
      </c>
      <c r="C1520" s="1" t="str">
        <f>IFERROR(__xludf.DUMMYFUNCTION("""COMPUTED_VALUE"""),"Sterling")</f>
        <v>Sterling</v>
      </c>
      <c r="D1520" s="1" t="str">
        <f>IFERROR(__xludf.DUMMYFUNCTION("""COMPUTED_VALUE"""),"VA")</f>
        <v>VA</v>
      </c>
      <c r="E1520" s="1" t="str">
        <f>IFERROR(__xludf.DUMMYFUNCTION("""COMPUTED_VALUE"""),"20166")</f>
        <v>20166</v>
      </c>
      <c r="F1520" s="1" t="str">
        <f>IFERROR(__xludf.DUMMYFUNCTION("""COMPUTED_VALUE"""),"Loudoun")</f>
        <v>Loudoun</v>
      </c>
      <c r="G1520" s="1" t="str">
        <f>IFERROR(__xludf.DUMMYFUNCTION("""COMPUTED_VALUE"""),"38.99446")</f>
        <v>38.99446</v>
      </c>
      <c r="H1520" s="1" t="str">
        <f>IFERROR(__xludf.DUMMYFUNCTION("""COMPUTED_VALUE"""),"-77.44814")</f>
        <v>-77.44814</v>
      </c>
      <c r="I1520" s="1" t="str">
        <f>IFERROR(__xludf.DUMMYFUNCTION("""COMPUTED_VALUE"""),"Operating")</f>
        <v>Operating</v>
      </c>
      <c r="J1520" s="1" t="str">
        <f>IFERROR(__xludf.DUMMYFUNCTION("""COMPUTED_VALUE"""),"High")</f>
        <v>High</v>
      </c>
      <c r="K1520" s="1" t="str">
        <f>IFERROR(__xludf.DUMMYFUNCTION("""COMPUTED_VALUE"""),"")</f>
        <v/>
      </c>
      <c r="L1520" s="1" t="str">
        <f>IFERROR(__xludf.DUMMYFUNCTION("""COMPUTED_VALUE"""),"QTS DULLES LLC")</f>
        <v>QTS DULLES LLC</v>
      </c>
      <c r="M1520" s="1" t="str">
        <f>IFERROR(__xludf.DUMMYFUNCTION("""COMPUTED_VALUE"""),"")</f>
        <v/>
      </c>
      <c r="N1520" s="1" t="str">
        <f>IFERROR(__xludf.DUMMYFUNCTION("""COMPUTED_VALUE"""),"")</f>
        <v/>
      </c>
      <c r="O1520" s="1" t="str">
        <f>IFERROR(__xludf.DUMMYFUNCTION("""COMPUTED_VALUE"""),"Unknown")</f>
        <v>Unknown</v>
      </c>
      <c r="P1520" s="1" t="str">
        <f>IFERROR(__xludf.DUMMYFUNCTION("""COMPUTED_VALUE"""),"")</f>
        <v/>
      </c>
      <c r="Q1520" s="1" t="str">
        <f>IFERROR(__xludf.DUMMYFUNCTION("""COMPUTED_VALUE"""),"")</f>
        <v/>
      </c>
      <c r="R1520" s="1" t="str">
        <f>IFERROR(__xludf.DUMMYFUNCTION("""COMPUTED_VALUE"""),"")</f>
        <v/>
      </c>
      <c r="S1520" s="1" t="str">
        <f>IFERROR(__xludf.DUMMYFUNCTION("""COMPUTED_VALUE"""),"")</f>
        <v/>
      </c>
      <c r="T1520" s="1" t="str">
        <f>IFERROR(__xludf.DUMMYFUNCTION("""COMPUTED_VALUE"""),"")</f>
        <v/>
      </c>
      <c r="U1520" s="1" t="str">
        <f>IFERROR(__xludf.DUMMYFUNCTION("""COMPUTED_VALUE"""),"")</f>
        <v/>
      </c>
      <c r="V1520" s="1" t="str">
        <f>IFERROR(__xludf.DUMMYFUNCTION("""COMPUTED_VALUE"""),"65,058")</f>
        <v>65,058</v>
      </c>
      <c r="W1520" s="1" t="str">
        <f>IFERROR(__xludf.DUMMYFUNCTION("""COMPUTED_VALUE"""),"3")</f>
        <v>3</v>
      </c>
      <c r="X1520" s="1" t="str">
        <f>IFERROR(__xludf.DUMMYFUNCTION("""COMPUTED_VALUE"""),"")</f>
        <v/>
      </c>
      <c r="Y1520" s="1" t="str">
        <f>IFERROR(__xludf.DUMMYFUNCTION("""COMPUTED_VALUE"""),"")</f>
        <v/>
      </c>
      <c r="Z1520" s="1" t="str">
        <f>IFERROR(__xludf.DUMMYFUNCTION("""COMPUTED_VALUE"""),"Unknown")</f>
        <v>Unknown</v>
      </c>
      <c r="AA1520" s="1" t="str">
        <f>IFERROR(__xludf.DUMMYFUNCTION("""COMPUTED_VALUE"""),"")</f>
        <v/>
      </c>
      <c r="AB1520" s="1" t="str">
        <f>IFERROR(__xludf.DUMMYFUNCTION("""COMPUTED_VALUE"""),"")</f>
        <v/>
      </c>
      <c r="AC1520" s="1" t="str">
        <f>IFERROR(__xludf.DUMMYFUNCTION("""COMPUTED_VALUE"""),"")</f>
        <v/>
      </c>
      <c r="AD1520" s="1" t="str">
        <f>IFERROR(__xludf.DUMMYFUNCTION("""COMPUTED_VALUE"""),"")</f>
        <v/>
      </c>
      <c r="AE1520" s="1" t="str">
        <f>IFERROR(__xludf.DUMMYFUNCTION("""COMPUTED_VALUE"""),"")</f>
        <v/>
      </c>
      <c r="AF1520" s="1" t="str">
        <f>IFERROR(__xludf.DUMMYFUNCTION("""COMPUTED_VALUE"""),"")</f>
        <v/>
      </c>
      <c r="AG1520" s="1" t="str">
        <f>IFERROR(__xludf.DUMMYFUNCTION("""COMPUTED_VALUE"""),"Computer Center")</f>
        <v>Computer Center</v>
      </c>
      <c r="AH1520" s="1" t="str">
        <f>IFERROR(__xludf.DUMMYFUNCTION("""COMPUTED_VALUE"""),"PEC")</f>
        <v>PEC</v>
      </c>
      <c r="AI1520" s="2" t="str">
        <f>IFERROR(__xludf.DUMMYFUNCTION("""COMPUTED_VALUE"""),"https://reparcelasmt.loudoun.gov/pt/datalets/datalet.aspx?mode=profileall&amp;UseSearch=no&amp;pin=045458114000&amp;jur=107&amp;taxyr=2024&amp;LMparent=20")</f>
        <v>https://reparcelasmt.loudoun.gov/pt/datalets/datalet.aspx?mode=profileall&amp;UseSearch=no&amp;pin=045458114000&amp;jur=107&amp;taxyr=2024&amp;LMparent=20</v>
      </c>
      <c r="AJ1520" s="1" t="str">
        <f>IFERROR(__xludf.DUMMYFUNCTION("""COMPUTED_VALUE"""),"")</f>
        <v/>
      </c>
      <c r="AK1520" s="1" t="str">
        <f>IFERROR(__xludf.DUMMYFUNCTION("""COMPUTED_VALUE"""),"")</f>
        <v/>
      </c>
      <c r="AL1520" s="1" t="str">
        <f>IFERROR(__xludf.DUMMYFUNCTION("""COMPUTED_VALUE"""),"")</f>
        <v/>
      </c>
      <c r="AM1520" s="1" t="str">
        <f>IFERROR(__xludf.DUMMYFUNCTION("""COMPUTED_VALUE"""),"")</f>
        <v/>
      </c>
      <c r="AN1520" s="1" t="str">
        <f>IFERROR(__xludf.DUMMYFUNCTION("""COMPUTED_VALUE"""),"")</f>
        <v/>
      </c>
      <c r="AO1520" s="1" t="str">
        <f>IFERROR(__xludf.DUMMYFUNCTION("""COMPUTED_VALUE"""),"")</f>
        <v/>
      </c>
      <c r="AP1520" s="1" t="str">
        <f>IFERROR(__xludf.DUMMYFUNCTION("""COMPUTED_VALUE"""),"")</f>
        <v/>
      </c>
      <c r="AQ1520" s="1" t="str">
        <f>IFERROR(__xludf.DUMMYFUNCTION("""COMPUTED_VALUE"""),"04/10/2024")</f>
        <v>04/10/2024</v>
      </c>
      <c r="AR1520" s="1" t="str">
        <f>IFERROR(__xludf.DUMMYFUNCTION("""COMPUTED_VALUE"""),"10/17/2025")</f>
        <v>10/17/2025</v>
      </c>
    </row>
    <row r="1521">
      <c r="A1521" s="1" t="str">
        <f>IFERROR(__xludf.DUMMYFUNCTION("""COMPUTED_VALUE"""),"QTS BRODERICK ACQUISITION CO LLC")</f>
        <v>QTS BRODERICK ACQUISITION CO LLC</v>
      </c>
      <c r="B1521" s="1" t="str">
        <f>IFERROR(__xludf.DUMMYFUNCTION("""COMPUTED_VALUE"""),"22271 BRODERICK DR")</f>
        <v>22271 BRODERICK DR</v>
      </c>
      <c r="C1521" s="1" t="str">
        <f>IFERROR(__xludf.DUMMYFUNCTION("""COMPUTED_VALUE"""),"Sterling")</f>
        <v>Sterling</v>
      </c>
      <c r="D1521" s="1" t="str">
        <f>IFERROR(__xludf.DUMMYFUNCTION("""COMPUTED_VALUE"""),"VA")</f>
        <v>VA</v>
      </c>
      <c r="E1521" s="1" t="str">
        <f>IFERROR(__xludf.DUMMYFUNCTION("""COMPUTED_VALUE"""),"20166")</f>
        <v>20166</v>
      </c>
      <c r="F1521" s="1" t="str">
        <f>IFERROR(__xludf.DUMMYFUNCTION("""COMPUTED_VALUE"""),"Loudoun")</f>
        <v>Loudoun</v>
      </c>
      <c r="G1521" s="1" t="str">
        <f>IFERROR(__xludf.DUMMYFUNCTION("""COMPUTED_VALUE"""),"38.999104")</f>
        <v>38.999104</v>
      </c>
      <c r="H1521" s="1" t="str">
        <f>IFERROR(__xludf.DUMMYFUNCTION("""COMPUTED_VALUE"""),"-77.44982")</f>
        <v>-77.44982</v>
      </c>
      <c r="I1521" s="1" t="str">
        <f>IFERROR(__xludf.DUMMYFUNCTION("""COMPUTED_VALUE"""),"Operating")</f>
        <v>Operating</v>
      </c>
      <c r="J1521" s="1" t="str">
        <f>IFERROR(__xludf.DUMMYFUNCTION("""COMPUTED_VALUE"""),"High")</f>
        <v>High</v>
      </c>
      <c r="K1521" s="1" t="str">
        <f>IFERROR(__xludf.DUMMYFUNCTION("""COMPUTED_VALUE"""),"")</f>
        <v/>
      </c>
      <c r="L1521" s="1" t="str">
        <f>IFERROR(__xludf.DUMMYFUNCTION("""COMPUTED_VALUE"""),"QTS INVESTMENT PROPERTIES ASHBURN LLC")</f>
        <v>QTS INVESTMENT PROPERTIES ASHBURN LLC</v>
      </c>
      <c r="M1521" s="1" t="str">
        <f>IFERROR(__xludf.DUMMYFUNCTION("""COMPUTED_VALUE"""),"")</f>
        <v/>
      </c>
      <c r="N1521" s="1" t="str">
        <f>IFERROR(__xludf.DUMMYFUNCTION("""COMPUTED_VALUE"""),"")</f>
        <v/>
      </c>
      <c r="O1521" s="1" t="str">
        <f>IFERROR(__xludf.DUMMYFUNCTION("""COMPUTED_VALUE"""),"Unknown")</f>
        <v>Unknown</v>
      </c>
      <c r="P1521" s="1" t="str">
        <f>IFERROR(__xludf.DUMMYFUNCTION("""COMPUTED_VALUE"""),"")</f>
        <v/>
      </c>
      <c r="Q1521" s="1" t="str">
        <f>IFERROR(__xludf.DUMMYFUNCTION("""COMPUTED_VALUE"""),"")</f>
        <v/>
      </c>
      <c r="R1521" s="1" t="str">
        <f>IFERROR(__xludf.DUMMYFUNCTION("""COMPUTED_VALUE"""),"")</f>
        <v/>
      </c>
      <c r="S1521" s="1" t="str">
        <f>IFERROR(__xludf.DUMMYFUNCTION("""COMPUTED_VALUE"""),"")</f>
        <v/>
      </c>
      <c r="T1521" s="1" t="str">
        <f>IFERROR(__xludf.DUMMYFUNCTION("""COMPUTED_VALUE"""),"")</f>
        <v/>
      </c>
      <c r="U1521" s="1" t="str">
        <f>IFERROR(__xludf.DUMMYFUNCTION("""COMPUTED_VALUE"""),"")</f>
        <v/>
      </c>
      <c r="V1521" s="1" t="str">
        <f>IFERROR(__xludf.DUMMYFUNCTION("""COMPUTED_VALUE"""),"427,300")</f>
        <v>427,300</v>
      </c>
      <c r="W1521" s="1" t="str">
        <f>IFERROR(__xludf.DUMMYFUNCTION("""COMPUTED_VALUE"""),"16")</f>
        <v>16</v>
      </c>
      <c r="X1521" s="1" t="str">
        <f>IFERROR(__xludf.DUMMYFUNCTION("""COMPUTED_VALUE"""),"")</f>
        <v/>
      </c>
      <c r="Y1521" s="1" t="str">
        <f>IFERROR(__xludf.DUMMYFUNCTION("""COMPUTED_VALUE"""),"")</f>
        <v/>
      </c>
      <c r="Z1521" s="1" t="str">
        <f>IFERROR(__xludf.DUMMYFUNCTION("""COMPUTED_VALUE"""),"Unknown")</f>
        <v>Unknown</v>
      </c>
      <c r="AA1521" s="1" t="str">
        <f>IFERROR(__xludf.DUMMYFUNCTION("""COMPUTED_VALUE"""),"")</f>
        <v/>
      </c>
      <c r="AB1521" s="1" t="str">
        <f>IFERROR(__xludf.DUMMYFUNCTION("""COMPUTED_VALUE"""),"")</f>
        <v/>
      </c>
      <c r="AC1521" s="1" t="str">
        <f>IFERROR(__xludf.DUMMYFUNCTION("""COMPUTED_VALUE"""),"")</f>
        <v/>
      </c>
      <c r="AD1521" s="1" t="str">
        <f>IFERROR(__xludf.DUMMYFUNCTION("""COMPUTED_VALUE"""),"")</f>
        <v/>
      </c>
      <c r="AE1521" s="1" t="str">
        <f>IFERROR(__xludf.DUMMYFUNCTION("""COMPUTED_VALUE"""),"")</f>
        <v/>
      </c>
      <c r="AF1521" s="1" t="str">
        <f>IFERROR(__xludf.DUMMYFUNCTION("""COMPUTED_VALUE"""),"")</f>
        <v/>
      </c>
      <c r="AG1521" s="1" t="str">
        <f>IFERROR(__xludf.DUMMYFUNCTION("""COMPUTED_VALUE"""),"Computer Center")</f>
        <v>Computer Center</v>
      </c>
      <c r="AH1521" s="1" t="str">
        <f>IFERROR(__xludf.DUMMYFUNCTION("""COMPUTED_VALUE"""),"PEC")</f>
        <v>PEC</v>
      </c>
      <c r="AI1521" s="2" t="str">
        <f>IFERROR(__xludf.DUMMYFUNCTION("""COMPUTED_VALUE"""),"https://reparcelasmt.loudoun.gov/pt/datalets/datalet.aspx?mode=profileall&amp;UseSearch=no&amp;pin=044152877000&amp;jur=107&amp;taxyr=2024&amp;LMparent=20")</f>
        <v>https://reparcelasmt.loudoun.gov/pt/datalets/datalet.aspx?mode=profileall&amp;UseSearch=no&amp;pin=044152877000&amp;jur=107&amp;taxyr=2024&amp;LMparent=20</v>
      </c>
      <c r="AJ1521" s="1" t="str">
        <f>IFERROR(__xludf.DUMMYFUNCTION("""COMPUTED_VALUE"""),"")</f>
        <v/>
      </c>
      <c r="AK1521" s="1" t="str">
        <f>IFERROR(__xludf.DUMMYFUNCTION("""COMPUTED_VALUE"""),"")</f>
        <v/>
      </c>
      <c r="AL1521" s="1" t="str">
        <f>IFERROR(__xludf.DUMMYFUNCTION("""COMPUTED_VALUE"""),"")</f>
        <v/>
      </c>
      <c r="AM1521" s="1" t="str">
        <f>IFERROR(__xludf.DUMMYFUNCTION("""COMPUTED_VALUE"""),"")</f>
        <v/>
      </c>
      <c r="AN1521" s="1" t="str">
        <f>IFERROR(__xludf.DUMMYFUNCTION("""COMPUTED_VALUE"""),"")</f>
        <v/>
      </c>
      <c r="AO1521" s="1" t="str">
        <f>IFERROR(__xludf.DUMMYFUNCTION("""COMPUTED_VALUE"""),"")</f>
        <v/>
      </c>
      <c r="AP1521" s="1" t="str">
        <f>IFERROR(__xludf.DUMMYFUNCTION("""COMPUTED_VALUE"""),"")</f>
        <v/>
      </c>
      <c r="AQ1521" s="1" t="str">
        <f>IFERROR(__xludf.DUMMYFUNCTION("""COMPUTED_VALUE"""),"04/10/2024")</f>
        <v>04/10/2024</v>
      </c>
      <c r="AR1521" s="1" t="str">
        <f>IFERROR(__xludf.DUMMYFUNCTION("""COMPUTED_VALUE"""),"10/17/2025")</f>
        <v>10/17/2025</v>
      </c>
    </row>
    <row r="1522">
      <c r="A1522" s="1" t="str">
        <f>IFERROR(__xludf.DUMMYFUNCTION("""COMPUTED_VALUE"""),"QTS Lockridge ASH2 Quality Tech Lane DC1")</f>
        <v>QTS Lockridge ASH2 Quality Tech Lane DC1</v>
      </c>
      <c r="B1522" s="1" t="str">
        <f>IFERROR(__xludf.DUMMYFUNCTION("""COMPUTED_VALUE"""),"44675 QUALITY TECH LN")</f>
        <v>44675 QUALITY TECH LN</v>
      </c>
      <c r="C1522" s="1" t="str">
        <f>IFERROR(__xludf.DUMMYFUNCTION("""COMPUTED_VALUE"""),"Sterling")</f>
        <v>Sterling</v>
      </c>
      <c r="D1522" s="1" t="str">
        <f>IFERROR(__xludf.DUMMYFUNCTION("""COMPUTED_VALUE"""),"VA")</f>
        <v>VA</v>
      </c>
      <c r="E1522" s="1" t="str">
        <f>IFERROR(__xludf.DUMMYFUNCTION("""COMPUTED_VALUE"""),"20166")</f>
        <v>20166</v>
      </c>
      <c r="F1522" s="1" t="str">
        <f>IFERROR(__xludf.DUMMYFUNCTION("""COMPUTED_VALUE"""),"Loudoun")</f>
        <v>Loudoun</v>
      </c>
      <c r="G1522" s="1" t="str">
        <f>IFERROR(__xludf.DUMMYFUNCTION("""COMPUTED_VALUE"""),"38.995537")</f>
        <v>38.995537</v>
      </c>
      <c r="H1522" s="1" t="str">
        <f>IFERROR(__xludf.DUMMYFUNCTION("""COMPUTED_VALUE"""),"-77.455315")</f>
        <v>-77.455315</v>
      </c>
      <c r="I1522" s="1" t="str">
        <f>IFERROR(__xludf.DUMMYFUNCTION("""COMPUTED_VALUE"""),"Operating")</f>
        <v>Operating</v>
      </c>
      <c r="J1522" s="1" t="str">
        <f>IFERROR(__xludf.DUMMYFUNCTION("""COMPUTED_VALUE"""),"High")</f>
        <v>High</v>
      </c>
      <c r="K1522" s="1" t="str">
        <f>IFERROR(__xludf.DUMMYFUNCTION("""COMPUTED_VALUE"""),"")</f>
        <v/>
      </c>
      <c r="L1522" s="1" t="str">
        <f>IFERROR(__xludf.DUMMYFUNCTION("""COMPUTED_VALUE"""),"ASHBURN ACQUISITION CO II LLC")</f>
        <v>ASHBURN ACQUISITION CO II LLC</v>
      </c>
      <c r="M1522" s="1" t="str">
        <f>IFERROR(__xludf.DUMMYFUNCTION("""COMPUTED_VALUE"""),"")</f>
        <v/>
      </c>
      <c r="N1522" s="1" t="str">
        <f>IFERROR(__xludf.DUMMYFUNCTION("""COMPUTED_VALUE"""),"")</f>
        <v/>
      </c>
      <c r="O1522" s="1" t="str">
        <f>IFERROR(__xludf.DUMMYFUNCTION("""COMPUTED_VALUE"""),"Unknown")</f>
        <v>Unknown</v>
      </c>
      <c r="P1522" s="1" t="str">
        <f>IFERROR(__xludf.DUMMYFUNCTION("""COMPUTED_VALUE"""),"")</f>
        <v/>
      </c>
      <c r="Q1522" s="1" t="str">
        <f>IFERROR(__xludf.DUMMYFUNCTION("""COMPUTED_VALUE"""),"")</f>
        <v/>
      </c>
      <c r="R1522" s="1" t="str">
        <f>IFERROR(__xludf.DUMMYFUNCTION("""COMPUTED_VALUE"""),"")</f>
        <v/>
      </c>
      <c r="S1522" s="1" t="str">
        <f>IFERROR(__xludf.DUMMYFUNCTION("""COMPUTED_VALUE"""),"")</f>
        <v/>
      </c>
      <c r="T1522" s="1" t="str">
        <f>IFERROR(__xludf.DUMMYFUNCTION("""COMPUTED_VALUE"""),"")</f>
        <v/>
      </c>
      <c r="U1522" s="1" t="str">
        <f>IFERROR(__xludf.DUMMYFUNCTION("""COMPUTED_VALUE"""),"")</f>
        <v/>
      </c>
      <c r="V1522" s="1" t="str">
        <f>IFERROR(__xludf.DUMMYFUNCTION("""COMPUTED_VALUE"""),"308,630")</f>
        <v>308,630</v>
      </c>
      <c r="W1522" s="1" t="str">
        <f>IFERROR(__xludf.DUMMYFUNCTION("""COMPUTED_VALUE"""),"14")</f>
        <v>14</v>
      </c>
      <c r="X1522" s="1" t="str">
        <f>IFERROR(__xludf.DUMMYFUNCTION("""COMPUTED_VALUE"""),"")</f>
        <v/>
      </c>
      <c r="Y1522" s="1" t="str">
        <f>IFERROR(__xludf.DUMMYFUNCTION("""COMPUTED_VALUE"""),"")</f>
        <v/>
      </c>
      <c r="Z1522" s="1" t="str">
        <f>IFERROR(__xludf.DUMMYFUNCTION("""COMPUTED_VALUE"""),"Unknown")</f>
        <v>Unknown</v>
      </c>
      <c r="AA1522" s="1" t="str">
        <f>IFERROR(__xludf.DUMMYFUNCTION("""COMPUTED_VALUE"""),"")</f>
        <v/>
      </c>
      <c r="AB1522" s="1" t="str">
        <f>IFERROR(__xludf.DUMMYFUNCTION("""COMPUTED_VALUE"""),"")</f>
        <v/>
      </c>
      <c r="AC1522" s="1" t="str">
        <f>IFERROR(__xludf.DUMMYFUNCTION("""COMPUTED_VALUE"""),"")</f>
        <v/>
      </c>
      <c r="AD1522" s="1" t="str">
        <f>IFERROR(__xludf.DUMMYFUNCTION("""COMPUTED_VALUE"""),"")</f>
        <v/>
      </c>
      <c r="AE1522" s="1" t="str">
        <f>IFERROR(__xludf.DUMMYFUNCTION("""COMPUTED_VALUE"""),"")</f>
        <v/>
      </c>
      <c r="AF1522" s="1" t="str">
        <f>IFERROR(__xludf.DUMMYFUNCTION("""COMPUTED_VALUE"""),"")</f>
        <v/>
      </c>
      <c r="AG1522" s="1" t="str">
        <f>IFERROR(__xludf.DUMMYFUNCTION("""COMPUTED_VALUE"""),"Computer Center")</f>
        <v>Computer Center</v>
      </c>
      <c r="AH1522" s="1" t="str">
        <f>IFERROR(__xludf.DUMMYFUNCTION("""COMPUTED_VALUE"""),"PEC")</f>
        <v>PEC</v>
      </c>
      <c r="AI1522" s="2" t="str">
        <f>IFERROR(__xludf.DUMMYFUNCTION("""COMPUTED_VALUE"""),"https://reparcelasmt.loudoun.gov/pt/datalets/datalet.aspx?mode=profileall&amp;UseSearch=no&amp;pin=063498140000&amp;jur=107&amp;taxyr=2024&amp;LMparent=20")</f>
        <v>https://reparcelasmt.loudoun.gov/pt/datalets/datalet.aspx?mode=profileall&amp;UseSearch=no&amp;pin=063498140000&amp;jur=107&amp;taxyr=2024&amp;LMparent=20</v>
      </c>
      <c r="AJ1522" s="1" t="str">
        <f>IFERROR(__xludf.DUMMYFUNCTION("""COMPUTED_VALUE"""),"")</f>
        <v/>
      </c>
      <c r="AK1522" s="1" t="str">
        <f>IFERROR(__xludf.DUMMYFUNCTION("""COMPUTED_VALUE"""),"")</f>
        <v/>
      </c>
      <c r="AL1522" s="1" t="str">
        <f>IFERROR(__xludf.DUMMYFUNCTION("""COMPUTED_VALUE"""),"")</f>
        <v/>
      </c>
      <c r="AM1522" s="1" t="str">
        <f>IFERROR(__xludf.DUMMYFUNCTION("""COMPUTED_VALUE"""),"")</f>
        <v/>
      </c>
      <c r="AN1522" s="1" t="str">
        <f>IFERROR(__xludf.DUMMYFUNCTION("""COMPUTED_VALUE"""),"")</f>
        <v/>
      </c>
      <c r="AO1522" s="1" t="str">
        <f>IFERROR(__xludf.DUMMYFUNCTION("""COMPUTED_VALUE"""),"")</f>
        <v/>
      </c>
      <c r="AP1522" s="1" t="str">
        <f>IFERROR(__xludf.DUMMYFUNCTION("""COMPUTED_VALUE"""),"")</f>
        <v/>
      </c>
      <c r="AQ1522" s="1" t="str">
        <f>IFERROR(__xludf.DUMMYFUNCTION("""COMPUTED_VALUE"""),"04/10/2024")</f>
        <v>04/10/2024</v>
      </c>
      <c r="AR1522" s="1" t="str">
        <f>IFERROR(__xludf.DUMMYFUNCTION("""COMPUTED_VALUE"""),"10/17/2025")</f>
        <v>10/17/2025</v>
      </c>
    </row>
    <row r="1523">
      <c r="A1523" s="1" t="str">
        <f>IFERROR(__xludf.DUMMYFUNCTION("""COMPUTED_VALUE"""),"QTS Lockridge ASH2 Quality Tech Lane DC2")</f>
        <v>QTS Lockridge ASH2 Quality Tech Lane DC2</v>
      </c>
      <c r="B1523" s="1" t="str">
        <f>IFERROR(__xludf.DUMMYFUNCTION("""COMPUTED_VALUE"""),"44655 QUALITY TECH LN")</f>
        <v>44655 QUALITY TECH LN</v>
      </c>
      <c r="C1523" s="1" t="str">
        <f>IFERROR(__xludf.DUMMYFUNCTION("""COMPUTED_VALUE"""),"Sterling")</f>
        <v>Sterling</v>
      </c>
      <c r="D1523" s="1" t="str">
        <f>IFERROR(__xludf.DUMMYFUNCTION("""COMPUTED_VALUE"""),"VA")</f>
        <v>VA</v>
      </c>
      <c r="E1523" s="1" t="str">
        <f>IFERROR(__xludf.DUMMYFUNCTION("""COMPUTED_VALUE"""),"20166")</f>
        <v>20166</v>
      </c>
      <c r="F1523" s="1" t="str">
        <f>IFERROR(__xludf.DUMMYFUNCTION("""COMPUTED_VALUE"""),"Loudoun")</f>
        <v>Loudoun</v>
      </c>
      <c r="G1523" s="1" t="str">
        <f>IFERROR(__xludf.DUMMYFUNCTION("""COMPUTED_VALUE"""),"38.995434")</f>
        <v>38.995434</v>
      </c>
      <c r="H1523" s="1" t="str">
        <f>IFERROR(__xludf.DUMMYFUNCTION("""COMPUTED_VALUE"""),"-77.456924")</f>
        <v>-77.456924</v>
      </c>
      <c r="I1523" s="1" t="str">
        <f>IFERROR(__xludf.DUMMYFUNCTION("""COMPUTED_VALUE"""),"Operating")</f>
        <v>Operating</v>
      </c>
      <c r="J1523" s="1" t="str">
        <f>IFERROR(__xludf.DUMMYFUNCTION("""COMPUTED_VALUE"""),"High")</f>
        <v>High</v>
      </c>
      <c r="K1523" s="1" t="str">
        <f>IFERROR(__xludf.DUMMYFUNCTION("""COMPUTED_VALUE"""),"")</f>
        <v/>
      </c>
      <c r="L1523" s="1" t="str">
        <f>IFERROR(__xludf.DUMMYFUNCTION("""COMPUTED_VALUE"""),"QTS Data Centers")</f>
        <v>QTS Data Centers</v>
      </c>
      <c r="M1523" s="1" t="str">
        <f>IFERROR(__xludf.DUMMYFUNCTION("""COMPUTED_VALUE"""),"")</f>
        <v/>
      </c>
      <c r="N1523" s="1" t="str">
        <f>IFERROR(__xludf.DUMMYFUNCTION("""COMPUTED_VALUE"""),"")</f>
        <v/>
      </c>
      <c r="O1523" s="1" t="str">
        <f>IFERROR(__xludf.DUMMYFUNCTION("""COMPUTED_VALUE"""),"Unknown")</f>
        <v>Unknown</v>
      </c>
      <c r="P1523" s="1" t="str">
        <f>IFERROR(__xludf.DUMMYFUNCTION("""COMPUTED_VALUE"""),"")</f>
        <v/>
      </c>
      <c r="Q1523" s="1" t="str">
        <f>IFERROR(__xludf.DUMMYFUNCTION("""COMPUTED_VALUE"""),"")</f>
        <v/>
      </c>
      <c r="R1523" s="1" t="str">
        <f>IFERROR(__xludf.DUMMYFUNCTION("""COMPUTED_VALUE"""),"")</f>
        <v/>
      </c>
      <c r="S1523" s="1" t="str">
        <f>IFERROR(__xludf.DUMMYFUNCTION("""COMPUTED_VALUE"""),"")</f>
        <v/>
      </c>
      <c r="T1523" s="1" t="str">
        <f>IFERROR(__xludf.DUMMYFUNCTION("""COMPUTED_VALUE"""),"")</f>
        <v/>
      </c>
      <c r="U1523" s="1" t="str">
        <f>IFERROR(__xludf.DUMMYFUNCTION("""COMPUTED_VALUE"""),"")</f>
        <v/>
      </c>
      <c r="V1523" s="1" t="str">
        <f>IFERROR(__xludf.DUMMYFUNCTION("""COMPUTED_VALUE"""),"252,473")</f>
        <v>252,473</v>
      </c>
      <c r="W1523" s="1" t="str">
        <f>IFERROR(__xludf.DUMMYFUNCTION("""COMPUTED_VALUE"""),"9")</f>
        <v>9</v>
      </c>
      <c r="X1523" s="1" t="str">
        <f>IFERROR(__xludf.DUMMYFUNCTION("""COMPUTED_VALUE"""),"")</f>
        <v/>
      </c>
      <c r="Y1523" s="1" t="str">
        <f>IFERROR(__xludf.DUMMYFUNCTION("""COMPUTED_VALUE"""),"")</f>
        <v/>
      </c>
      <c r="Z1523" s="1" t="str">
        <f>IFERROR(__xludf.DUMMYFUNCTION("""COMPUTED_VALUE"""),"Unknown")</f>
        <v>Unknown</v>
      </c>
      <c r="AA1523" s="1" t="str">
        <f>IFERROR(__xludf.DUMMYFUNCTION("""COMPUTED_VALUE"""),"")</f>
        <v/>
      </c>
      <c r="AB1523" s="1" t="str">
        <f>IFERROR(__xludf.DUMMYFUNCTION("""COMPUTED_VALUE"""),"")</f>
        <v/>
      </c>
      <c r="AC1523" s="1" t="str">
        <f>IFERROR(__xludf.DUMMYFUNCTION("""COMPUTED_VALUE"""),"")</f>
        <v/>
      </c>
      <c r="AD1523" s="1" t="str">
        <f>IFERROR(__xludf.DUMMYFUNCTION("""COMPUTED_VALUE"""),"")</f>
        <v/>
      </c>
      <c r="AE1523" s="1" t="str">
        <f>IFERROR(__xludf.DUMMYFUNCTION("""COMPUTED_VALUE"""),"")</f>
        <v/>
      </c>
      <c r="AF1523" s="1" t="str">
        <f>IFERROR(__xludf.DUMMYFUNCTION("""COMPUTED_VALUE"""),"")</f>
        <v/>
      </c>
      <c r="AG1523" s="1" t="str">
        <f>IFERROR(__xludf.DUMMYFUNCTION("""COMPUTED_VALUE"""),"Computer Center")</f>
        <v>Computer Center</v>
      </c>
      <c r="AH1523" s="1" t="str">
        <f>IFERROR(__xludf.DUMMYFUNCTION("""COMPUTED_VALUE"""),"PEC")</f>
        <v>PEC</v>
      </c>
      <c r="AI1523" s="2" t="str">
        <f>IFERROR(__xludf.DUMMYFUNCTION("""COMPUTED_VALUE"""),"https://reparcelasmt.loudoun.gov/pt/datalets/datalet.aspx?mode=profileall&amp;UseSearch=no&amp;pin=063494014000&amp;jur=107&amp;taxyr=2024&amp;LMparent=20")</f>
        <v>https://reparcelasmt.loudoun.gov/pt/datalets/datalet.aspx?mode=profileall&amp;UseSearch=no&amp;pin=063494014000&amp;jur=107&amp;taxyr=2024&amp;LMparent=20</v>
      </c>
      <c r="AJ1523" s="1" t="str">
        <f>IFERROR(__xludf.DUMMYFUNCTION("""COMPUTED_VALUE"""),"")</f>
        <v/>
      </c>
      <c r="AK1523" s="1" t="str">
        <f>IFERROR(__xludf.DUMMYFUNCTION("""COMPUTED_VALUE"""),"")</f>
        <v/>
      </c>
      <c r="AL1523" s="1" t="str">
        <f>IFERROR(__xludf.DUMMYFUNCTION("""COMPUTED_VALUE"""),"")</f>
        <v/>
      </c>
      <c r="AM1523" s="1" t="str">
        <f>IFERROR(__xludf.DUMMYFUNCTION("""COMPUTED_VALUE"""),"")</f>
        <v/>
      </c>
      <c r="AN1523" s="1" t="str">
        <f>IFERROR(__xludf.DUMMYFUNCTION("""COMPUTED_VALUE"""),"")</f>
        <v/>
      </c>
      <c r="AO1523" s="1" t="str">
        <f>IFERROR(__xludf.DUMMYFUNCTION("""COMPUTED_VALUE"""),"")</f>
        <v/>
      </c>
      <c r="AP1523" s="1" t="str">
        <f>IFERROR(__xludf.DUMMYFUNCTION("""COMPUTED_VALUE"""),"")</f>
        <v/>
      </c>
      <c r="AQ1523" s="1" t="str">
        <f>IFERROR(__xludf.DUMMYFUNCTION("""COMPUTED_VALUE"""),"04/10/2024")</f>
        <v>04/10/2024</v>
      </c>
      <c r="AR1523" s="1" t="str">
        <f>IFERROR(__xludf.DUMMYFUNCTION("""COMPUTED_VALUE"""),"10/17/2025")</f>
        <v>10/17/2025</v>
      </c>
    </row>
    <row r="1524">
      <c r="A1524" s="1" t="str">
        <f>IFERROR(__xludf.DUMMYFUNCTION("""COMPUTED_VALUE"""),"RIDGETOP CENTER")</f>
        <v>RIDGETOP CENTER</v>
      </c>
      <c r="B1524" s="1" t="str">
        <f>IFERROR(__xludf.DUMMYFUNCTION("""COMPUTED_VALUE"""),"21670 RIDGETOP CIR")</f>
        <v>21670 RIDGETOP CIR</v>
      </c>
      <c r="C1524" s="1" t="str">
        <f>IFERROR(__xludf.DUMMYFUNCTION("""COMPUTED_VALUE"""),"Sterling")</f>
        <v>Sterling</v>
      </c>
      <c r="D1524" s="1" t="str">
        <f>IFERROR(__xludf.DUMMYFUNCTION("""COMPUTED_VALUE"""),"VA")</f>
        <v>VA</v>
      </c>
      <c r="E1524" s="1" t="str">
        <f>IFERROR(__xludf.DUMMYFUNCTION("""COMPUTED_VALUE"""),"20166")</f>
        <v>20166</v>
      </c>
      <c r="F1524" s="1" t="str">
        <f>IFERROR(__xludf.DUMMYFUNCTION("""COMPUTED_VALUE"""),"Loudoun")</f>
        <v>Loudoun</v>
      </c>
      <c r="G1524" s="1" t="str">
        <f>IFERROR(__xludf.DUMMYFUNCTION("""COMPUTED_VALUE"""),"39.024727")</f>
        <v>39.024727</v>
      </c>
      <c r="H1524" s="1" t="str">
        <f>IFERROR(__xludf.DUMMYFUNCTION("""COMPUTED_VALUE"""),"-77.409904")</f>
        <v>-77.409904</v>
      </c>
      <c r="I1524" s="1" t="str">
        <f>IFERROR(__xludf.DUMMYFUNCTION("""COMPUTED_VALUE"""),"Proposed")</f>
        <v>Proposed</v>
      </c>
      <c r="J1524" s="1" t="str">
        <f>IFERROR(__xludf.DUMMYFUNCTION("""COMPUTED_VALUE"""),"High")</f>
        <v>High</v>
      </c>
      <c r="K1524" s="1" t="str">
        <f>IFERROR(__xludf.DUMMYFUNCTION("""COMPUTED_VALUE"""),"")</f>
        <v/>
      </c>
      <c r="L1524" s="1" t="str">
        <f>IFERROR(__xludf.DUMMYFUNCTION("""COMPUTED_VALUE"""),"")</f>
        <v/>
      </c>
      <c r="M1524" s="1" t="str">
        <f>IFERROR(__xludf.DUMMYFUNCTION("""COMPUTED_VALUE"""),"")</f>
        <v/>
      </c>
      <c r="N1524" s="1" t="str">
        <f>IFERROR(__xludf.DUMMYFUNCTION("""COMPUTED_VALUE"""),"")</f>
        <v/>
      </c>
      <c r="O1524" s="1" t="str">
        <f>IFERROR(__xludf.DUMMYFUNCTION("""COMPUTED_VALUE"""),"Unknown")</f>
        <v>Unknown</v>
      </c>
      <c r="P1524" s="1" t="str">
        <f>IFERROR(__xludf.DUMMYFUNCTION("""COMPUTED_VALUE"""),"")</f>
        <v/>
      </c>
      <c r="Q1524" s="1" t="str">
        <f>IFERROR(__xludf.DUMMYFUNCTION("""COMPUTED_VALUE"""),"")</f>
        <v/>
      </c>
      <c r="R1524" s="1" t="str">
        <f>IFERROR(__xludf.DUMMYFUNCTION("""COMPUTED_VALUE"""),"")</f>
        <v/>
      </c>
      <c r="S1524" s="1" t="str">
        <f>IFERROR(__xludf.DUMMYFUNCTION("""COMPUTED_VALUE"""),"")</f>
        <v/>
      </c>
      <c r="T1524" s="1" t="str">
        <f>IFERROR(__xludf.DUMMYFUNCTION("""COMPUTED_VALUE"""),"")</f>
        <v/>
      </c>
      <c r="U1524" s="1" t="str">
        <f>IFERROR(__xludf.DUMMYFUNCTION("""COMPUTED_VALUE"""),"")</f>
        <v/>
      </c>
      <c r="V1524" s="1" t="str">
        <f>IFERROR(__xludf.DUMMYFUNCTION("""COMPUTED_VALUE"""),"268,339")</f>
        <v>268,339</v>
      </c>
      <c r="W1524" s="1" t="str">
        <f>IFERROR(__xludf.DUMMYFUNCTION("""COMPUTED_VALUE"""),"12")</f>
        <v>12</v>
      </c>
      <c r="X1524" s="1" t="str">
        <f>IFERROR(__xludf.DUMMYFUNCTION("""COMPUTED_VALUE"""),"")</f>
        <v/>
      </c>
      <c r="Y1524" s="1" t="str">
        <f>IFERROR(__xludf.DUMMYFUNCTION("""COMPUTED_VALUE"""),"")</f>
        <v/>
      </c>
      <c r="Z1524" s="1" t="str">
        <f>IFERROR(__xludf.DUMMYFUNCTION("""COMPUTED_VALUE"""),"Unknown")</f>
        <v>Unknown</v>
      </c>
      <c r="AA1524" s="1" t="str">
        <f>IFERROR(__xludf.DUMMYFUNCTION("""COMPUTED_VALUE"""),"")</f>
        <v/>
      </c>
      <c r="AB1524" s="1" t="str">
        <f>IFERROR(__xludf.DUMMYFUNCTION("""COMPUTED_VALUE"""),"")</f>
        <v/>
      </c>
      <c r="AC1524" s="1" t="str">
        <f>IFERROR(__xludf.DUMMYFUNCTION("""COMPUTED_VALUE"""),"")</f>
        <v/>
      </c>
      <c r="AD1524" s="1" t="str">
        <f>IFERROR(__xludf.DUMMYFUNCTION("""COMPUTED_VALUE"""),"")</f>
        <v/>
      </c>
      <c r="AE1524" s="1" t="str">
        <f>IFERROR(__xludf.DUMMYFUNCTION("""COMPUTED_VALUE"""),"")</f>
        <v/>
      </c>
      <c r="AF1524" s="1" t="str">
        <f>IFERROR(__xludf.DUMMYFUNCTION("""COMPUTED_VALUE"""),"")</f>
        <v/>
      </c>
      <c r="AG1524" s="1" t="str">
        <f>IFERROR(__xludf.DUMMYFUNCTION("""COMPUTED_VALUE"""),"")</f>
        <v/>
      </c>
      <c r="AH1524" s="1" t="str">
        <f>IFERROR(__xludf.DUMMYFUNCTION("""COMPUTED_VALUE"""),"PEC")</f>
        <v>PEC</v>
      </c>
      <c r="AI1524" s="2" t="str">
        <f>IFERROR(__xludf.DUMMYFUNCTION("""COMPUTED_VALUE"""),"https://loudouncountyvaeg.tylerhost.net/prod/selfservice#/plan/4A8DECD0-B1EF-4677-B44F-A8C04C863B62?tab=locations")</f>
        <v>https://loudouncountyvaeg.tylerhost.net/prod/selfservice#/plan/4A8DECD0-B1EF-4677-B44F-A8C04C863B62?tab=locations</v>
      </c>
      <c r="AJ1524" s="2" t="str">
        <f>IFERROR(__xludf.DUMMYFUNCTION("""COMPUTED_VALUE"""),"https://reparcelasmt.loudoun.gov/pt/datalets/datalet.aspx?mode=land_summary&amp;UseSearch=no&amp;pin=030306633000&amp;jur=107&amp;taxyr=2025&amp;LMparent=20")</f>
        <v>https://reparcelasmt.loudoun.gov/pt/datalets/datalet.aspx?mode=land_summary&amp;UseSearch=no&amp;pin=030306633000&amp;jur=107&amp;taxyr=2025&amp;LMparent=20</v>
      </c>
      <c r="AK1524" s="1" t="str">
        <f>IFERROR(__xludf.DUMMYFUNCTION("""COMPUTED_VALUE"""),"")</f>
        <v/>
      </c>
      <c r="AL1524" s="1" t="str">
        <f>IFERROR(__xludf.DUMMYFUNCTION("""COMPUTED_VALUE"""),"")</f>
        <v/>
      </c>
      <c r="AM1524" s="1" t="str">
        <f>IFERROR(__xludf.DUMMYFUNCTION("""COMPUTED_VALUE"""),"")</f>
        <v/>
      </c>
      <c r="AN1524" s="1" t="str">
        <f>IFERROR(__xludf.DUMMYFUNCTION("""COMPUTED_VALUE"""),"")</f>
        <v/>
      </c>
      <c r="AO1524" s="1" t="str">
        <f>IFERROR(__xludf.DUMMYFUNCTION("""COMPUTED_VALUE"""),"")</f>
        <v/>
      </c>
      <c r="AP1524" s="1" t="str">
        <f>IFERROR(__xludf.DUMMYFUNCTION("""COMPUTED_VALUE"""),"")</f>
        <v/>
      </c>
      <c r="AQ1524" s="1" t="str">
        <f>IFERROR(__xludf.DUMMYFUNCTION("""COMPUTED_VALUE"""),"08/10/2025")</f>
        <v>08/10/2025</v>
      </c>
      <c r="AR1524" s="1" t="str">
        <f>IFERROR(__xludf.DUMMYFUNCTION("""COMPUTED_VALUE"""),"10/17/2025")</f>
        <v>10/17/2025</v>
      </c>
    </row>
    <row r="1525">
      <c r="A1525" s="1" t="str">
        <f>IFERROR(__xludf.DUMMYFUNCTION("""COMPUTED_VALUE"""),"SHAW ROAD BUSINESS PARK")</f>
        <v>SHAW ROAD BUSINESS PARK</v>
      </c>
      <c r="B1525" s="1" t="str">
        <f>IFERROR(__xludf.DUMMYFUNCTION("""COMPUTED_VALUE"""),"22930 SHAW RD")</f>
        <v>22930 SHAW RD</v>
      </c>
      <c r="C1525" s="1" t="str">
        <f>IFERROR(__xludf.DUMMYFUNCTION("""COMPUTED_VALUE"""),"Sterling")</f>
        <v>Sterling</v>
      </c>
      <c r="D1525" s="1" t="str">
        <f>IFERROR(__xludf.DUMMYFUNCTION("""COMPUTED_VALUE"""),"VA")</f>
        <v>VA</v>
      </c>
      <c r="E1525" s="1" t="str">
        <f>IFERROR(__xludf.DUMMYFUNCTION("""COMPUTED_VALUE"""),"20166")</f>
        <v>20166</v>
      </c>
      <c r="F1525" s="1" t="str">
        <f>IFERROR(__xludf.DUMMYFUNCTION("""COMPUTED_VALUE"""),"Loudoun")</f>
        <v>Loudoun</v>
      </c>
      <c r="G1525" s="1" t="str">
        <f>IFERROR(__xludf.DUMMYFUNCTION("""COMPUTED_VALUE"""),"38.98132")</f>
        <v>38.98132</v>
      </c>
      <c r="H1525" s="1" t="str">
        <f>IFERROR(__xludf.DUMMYFUNCTION("""COMPUTED_VALUE"""),"-77.42225")</f>
        <v>-77.42225</v>
      </c>
      <c r="I1525" s="1" t="str">
        <f>IFERROR(__xludf.DUMMYFUNCTION("""COMPUTED_VALUE"""),"Proposed")</f>
        <v>Proposed</v>
      </c>
      <c r="J1525" s="1" t="str">
        <f>IFERROR(__xludf.DUMMYFUNCTION("""COMPUTED_VALUE"""),"High")</f>
        <v>High</v>
      </c>
      <c r="K1525" s="1" t="str">
        <f>IFERROR(__xludf.DUMMYFUNCTION("""COMPUTED_VALUE"""),"")</f>
        <v/>
      </c>
      <c r="L1525" s="1" t="str">
        <f>IFERROR(__xludf.DUMMYFUNCTION("""COMPUTED_VALUE"""),"")</f>
        <v/>
      </c>
      <c r="M1525" s="1" t="str">
        <f>IFERROR(__xludf.DUMMYFUNCTION("""COMPUTED_VALUE"""),"")</f>
        <v/>
      </c>
      <c r="N1525" s="1" t="str">
        <f>IFERROR(__xludf.DUMMYFUNCTION("""COMPUTED_VALUE"""),"")</f>
        <v/>
      </c>
      <c r="O1525" s="1" t="str">
        <f>IFERROR(__xludf.DUMMYFUNCTION("""COMPUTED_VALUE"""),"Unknown")</f>
        <v>Unknown</v>
      </c>
      <c r="P1525" s="1" t="str">
        <f>IFERROR(__xludf.DUMMYFUNCTION("""COMPUTED_VALUE"""),"")</f>
        <v/>
      </c>
      <c r="Q1525" s="1" t="str">
        <f>IFERROR(__xludf.DUMMYFUNCTION("""COMPUTED_VALUE"""),"")</f>
        <v/>
      </c>
      <c r="R1525" s="1" t="str">
        <f>IFERROR(__xludf.DUMMYFUNCTION("""COMPUTED_VALUE"""),"")</f>
        <v/>
      </c>
      <c r="S1525" s="1" t="str">
        <f>IFERROR(__xludf.DUMMYFUNCTION("""COMPUTED_VALUE"""),"")</f>
        <v/>
      </c>
      <c r="T1525" s="1" t="str">
        <f>IFERROR(__xludf.DUMMYFUNCTION("""COMPUTED_VALUE"""),"")</f>
        <v/>
      </c>
      <c r="U1525" s="1" t="str">
        <f>IFERROR(__xludf.DUMMYFUNCTION("""COMPUTED_VALUE"""),"")</f>
        <v/>
      </c>
      <c r="V1525" s="1" t="str">
        <f>IFERROR(__xludf.DUMMYFUNCTION("""COMPUTED_VALUE"""),"")</f>
        <v/>
      </c>
      <c r="W1525" s="1" t="str">
        <f>IFERROR(__xludf.DUMMYFUNCTION("""COMPUTED_VALUE"""),"10")</f>
        <v>10</v>
      </c>
      <c r="X1525" s="1" t="str">
        <f>IFERROR(__xludf.DUMMYFUNCTION("""COMPUTED_VALUE"""),"")</f>
        <v/>
      </c>
      <c r="Y1525" s="1" t="str">
        <f>IFERROR(__xludf.DUMMYFUNCTION("""COMPUTED_VALUE"""),"")</f>
        <v/>
      </c>
      <c r="Z1525" s="1" t="str">
        <f>IFERROR(__xludf.DUMMYFUNCTION("""COMPUTED_VALUE"""),"Unknown")</f>
        <v>Unknown</v>
      </c>
      <c r="AA1525" s="1" t="str">
        <f>IFERROR(__xludf.DUMMYFUNCTION("""COMPUTED_VALUE"""),"")</f>
        <v/>
      </c>
      <c r="AB1525" s="1" t="str">
        <f>IFERROR(__xludf.DUMMYFUNCTION("""COMPUTED_VALUE"""),"")</f>
        <v/>
      </c>
      <c r="AC1525" s="1" t="str">
        <f>IFERROR(__xludf.DUMMYFUNCTION("""COMPUTED_VALUE"""),"")</f>
        <v/>
      </c>
      <c r="AD1525" s="1" t="str">
        <f>IFERROR(__xludf.DUMMYFUNCTION("""COMPUTED_VALUE"""),"")</f>
        <v/>
      </c>
      <c r="AE1525" s="1" t="str">
        <f>IFERROR(__xludf.DUMMYFUNCTION("""COMPUTED_VALUE"""),"")</f>
        <v/>
      </c>
      <c r="AF1525" s="1" t="str">
        <f>IFERROR(__xludf.DUMMYFUNCTION("""COMPUTED_VALUE"""),"")</f>
        <v/>
      </c>
      <c r="AG1525" s="1" t="str">
        <f>IFERROR(__xludf.DUMMYFUNCTION("""COMPUTED_VALUE"""),"Currently flex warehouse")</f>
        <v>Currently flex warehouse</v>
      </c>
      <c r="AH1525" s="1" t="str">
        <f>IFERROR(__xludf.DUMMYFUNCTION("""COMPUTED_VALUE"""),"PEC")</f>
        <v>PEC</v>
      </c>
      <c r="AI1525" s="2" t="str">
        <f>IFERROR(__xludf.DUMMYFUNCTION("""COMPUTED_VALUE"""),"https://loudouncountyvaeg.tylerhost.net/prod/selfservice#/plan/61643009-52F9-4C98-9F52-3FB4D2263170?tab=attachments")</f>
        <v>https://loudouncountyvaeg.tylerhost.net/prod/selfservice#/plan/61643009-52F9-4C98-9F52-3FB4D2263170?tab=attachments</v>
      </c>
      <c r="AJ1525" s="2" t="str">
        <f>IFERROR(__xludf.DUMMYFUNCTION("""COMPUTED_VALUE"""),"https://reparcelasmt.loudoun.gov/pt/Datalets/Datalet.aspx?UseSearch=no&amp;mode=profileall&amp;pin=034372453000&amp;jur=107&amp;taxyr=2025")</f>
        <v>https://reparcelasmt.loudoun.gov/pt/Datalets/Datalet.aspx?UseSearch=no&amp;mode=profileall&amp;pin=034372453000&amp;jur=107&amp;taxyr=2025</v>
      </c>
      <c r="AK1525" s="1" t="str">
        <f>IFERROR(__xludf.DUMMYFUNCTION("""COMPUTED_VALUE"""),"")</f>
        <v/>
      </c>
      <c r="AL1525" s="1" t="str">
        <f>IFERROR(__xludf.DUMMYFUNCTION("""COMPUTED_VALUE"""),"")</f>
        <v/>
      </c>
      <c r="AM1525" s="1" t="str">
        <f>IFERROR(__xludf.DUMMYFUNCTION("""COMPUTED_VALUE"""),"")</f>
        <v/>
      </c>
      <c r="AN1525" s="1" t="str">
        <f>IFERROR(__xludf.DUMMYFUNCTION("""COMPUTED_VALUE"""),"")</f>
        <v/>
      </c>
      <c r="AO1525" s="1" t="str">
        <f>IFERROR(__xludf.DUMMYFUNCTION("""COMPUTED_VALUE"""),"")</f>
        <v/>
      </c>
      <c r="AP1525" s="1" t="str">
        <f>IFERROR(__xludf.DUMMYFUNCTION("""COMPUTED_VALUE"""),"")</f>
        <v/>
      </c>
      <c r="AQ1525" s="1" t="str">
        <f>IFERROR(__xludf.DUMMYFUNCTION("""COMPUTED_VALUE"""),"08/06/2025")</f>
        <v>08/06/2025</v>
      </c>
      <c r="AR1525" s="1" t="str">
        <f>IFERROR(__xludf.DUMMYFUNCTION("""COMPUTED_VALUE"""),"10/17/2025")</f>
        <v>10/17/2025</v>
      </c>
    </row>
    <row r="1526">
      <c r="A1526" s="1" t="str">
        <f>IFERROR(__xludf.DUMMYFUNCTION("""COMPUTED_VALUE"""),"Sterling Data Center")</f>
        <v>Sterling Data Center</v>
      </c>
      <c r="B1526" s="1" t="str">
        <f>IFERROR(__xludf.DUMMYFUNCTION("""COMPUTED_VALUE"""),"45110 Loudoun Downs Lane")</f>
        <v>45110 Loudoun Downs Lane</v>
      </c>
      <c r="C1526" s="1" t="str">
        <f>IFERROR(__xludf.DUMMYFUNCTION("""COMPUTED_VALUE"""),"Sterling")</f>
        <v>Sterling</v>
      </c>
      <c r="D1526" s="1" t="str">
        <f>IFERROR(__xludf.DUMMYFUNCTION("""COMPUTED_VALUE"""),"VA")</f>
        <v>VA</v>
      </c>
      <c r="E1526" s="1" t="str">
        <f>IFERROR(__xludf.DUMMYFUNCTION("""COMPUTED_VALUE"""),"20166")</f>
        <v>20166</v>
      </c>
      <c r="F1526" s="1" t="str">
        <f>IFERROR(__xludf.DUMMYFUNCTION("""COMPUTED_VALUE"""),"Loudoun")</f>
        <v>Loudoun</v>
      </c>
      <c r="G1526" s="1" t="str">
        <f>IFERROR(__xludf.DUMMYFUNCTION("""COMPUTED_VALUE"""),"38.99129")</f>
        <v>38.99129</v>
      </c>
      <c r="H1526" s="1" t="str">
        <f>IFERROR(__xludf.DUMMYFUNCTION("""COMPUTED_VALUE"""),"-77.4414")</f>
        <v>-77.4414</v>
      </c>
      <c r="I1526" s="1" t="str">
        <f>IFERROR(__xludf.DUMMYFUNCTION("""COMPUTED_VALUE"""),"Operating")</f>
        <v>Operating</v>
      </c>
      <c r="J1526" s="1" t="str">
        <f>IFERROR(__xludf.DUMMYFUNCTION("""COMPUTED_VALUE"""),"High")</f>
        <v>High</v>
      </c>
      <c r="K1526" s="1" t="str">
        <f>IFERROR(__xludf.DUMMYFUNCTION("""COMPUTED_VALUE"""),"")</f>
        <v/>
      </c>
      <c r="L1526" s="1" t="str">
        <f>IFERROR(__xludf.DUMMYFUNCTION("""COMPUTED_VALUE"""),"")</f>
        <v/>
      </c>
      <c r="M1526" s="1" t="str">
        <f>IFERROR(__xludf.DUMMYFUNCTION("""COMPUTED_VALUE"""),"")</f>
        <v/>
      </c>
      <c r="N1526" s="1" t="str">
        <f>IFERROR(__xludf.DUMMYFUNCTION("""COMPUTED_VALUE"""),"")</f>
        <v/>
      </c>
      <c r="O1526" s="1" t="str">
        <f>IFERROR(__xludf.DUMMYFUNCTION("""COMPUTED_VALUE"""),"Unknown")</f>
        <v>Unknown</v>
      </c>
      <c r="P1526" s="1" t="str">
        <f>IFERROR(__xludf.DUMMYFUNCTION("""COMPUTED_VALUE"""),"")</f>
        <v/>
      </c>
      <c r="Q1526" s="1" t="str">
        <f>IFERROR(__xludf.DUMMYFUNCTION("""COMPUTED_VALUE"""),"")</f>
        <v/>
      </c>
      <c r="R1526" s="1" t="str">
        <f>IFERROR(__xludf.DUMMYFUNCTION("""COMPUTED_VALUE"""),"")</f>
        <v/>
      </c>
      <c r="S1526" s="1" t="str">
        <f>IFERROR(__xludf.DUMMYFUNCTION("""COMPUTED_VALUE"""),"")</f>
        <v/>
      </c>
      <c r="T1526" s="1" t="str">
        <f>IFERROR(__xludf.DUMMYFUNCTION("""COMPUTED_VALUE"""),"")</f>
        <v/>
      </c>
      <c r="U1526" s="1" t="str">
        <f>IFERROR(__xludf.DUMMYFUNCTION("""COMPUTED_VALUE"""),"")</f>
        <v/>
      </c>
      <c r="V1526" s="1" t="str">
        <f>IFERROR(__xludf.DUMMYFUNCTION("""COMPUTED_VALUE"""),"")</f>
        <v/>
      </c>
      <c r="W1526" s="1" t="str">
        <f>IFERROR(__xludf.DUMMYFUNCTION("""COMPUTED_VALUE"""),"")</f>
        <v/>
      </c>
      <c r="X1526" s="1" t="str">
        <f>IFERROR(__xludf.DUMMYFUNCTION("""COMPUTED_VALUE"""),"")</f>
        <v/>
      </c>
      <c r="Y1526" s="1" t="str">
        <f>IFERROR(__xludf.DUMMYFUNCTION("""COMPUTED_VALUE"""),"")</f>
        <v/>
      </c>
      <c r="Z1526" s="1" t="str">
        <f>IFERROR(__xludf.DUMMYFUNCTION("""COMPUTED_VALUE"""),"Unknown")</f>
        <v>Unknown</v>
      </c>
      <c r="AA1526" s="1" t="str">
        <f>IFERROR(__xludf.DUMMYFUNCTION("""COMPUTED_VALUE"""),"")</f>
        <v/>
      </c>
      <c r="AB1526" s="1" t="str">
        <f>IFERROR(__xludf.DUMMYFUNCTION("""COMPUTED_VALUE"""),"")</f>
        <v/>
      </c>
      <c r="AC1526" s="1" t="str">
        <f>IFERROR(__xludf.DUMMYFUNCTION("""COMPUTED_VALUE"""),"")</f>
        <v/>
      </c>
      <c r="AD1526" s="1" t="str">
        <f>IFERROR(__xludf.DUMMYFUNCTION("""COMPUTED_VALUE"""),"")</f>
        <v/>
      </c>
      <c r="AE1526" s="1" t="str">
        <f>IFERROR(__xludf.DUMMYFUNCTION("""COMPUTED_VALUE"""),"")</f>
        <v/>
      </c>
      <c r="AF1526" s="1" t="str">
        <f>IFERROR(__xludf.DUMMYFUNCTION("""COMPUTED_VALUE"""),"")</f>
        <v/>
      </c>
      <c r="AG1526" s="1" t="str">
        <f>IFERROR(__xludf.DUMMYFUNCTION("""COMPUTED_VALUE"""),"")</f>
        <v/>
      </c>
      <c r="AH1526" s="1" t="str">
        <f>IFERROR(__xludf.DUMMYFUNCTION("""COMPUTED_VALUE"""),"Media Monitoring")</f>
        <v>Media Monitoring</v>
      </c>
      <c r="AI1526" s="2" t="str">
        <f>IFERROR(__xludf.DUMMYFUNCTION("""COMPUTED_VALUE"""),"https://www.datacenterdynamics.com/en/news/aligned-files-to-extend-second-sterling-campus-in-virginia/")</f>
        <v>https://www.datacenterdynamics.com/en/news/aligned-files-to-extend-second-sterling-campus-in-virginia/</v>
      </c>
      <c r="AJ1526" s="1" t="str">
        <f>IFERROR(__xludf.DUMMYFUNCTION("""COMPUTED_VALUE"""),"")</f>
        <v/>
      </c>
      <c r="AK1526" s="1" t="str">
        <f>IFERROR(__xludf.DUMMYFUNCTION("""COMPUTED_VALUE"""),"")</f>
        <v/>
      </c>
      <c r="AL1526" s="1" t="str">
        <f>IFERROR(__xludf.DUMMYFUNCTION("""COMPUTED_VALUE"""),"")</f>
        <v/>
      </c>
      <c r="AM1526" s="1" t="str">
        <f>IFERROR(__xludf.DUMMYFUNCTION("""COMPUTED_VALUE"""),"")</f>
        <v/>
      </c>
      <c r="AN1526" s="1" t="str">
        <f>IFERROR(__xludf.DUMMYFUNCTION("""COMPUTED_VALUE"""),"")</f>
        <v/>
      </c>
      <c r="AO1526" s="1" t="str">
        <f>IFERROR(__xludf.DUMMYFUNCTION("""COMPUTED_VALUE"""),"")</f>
        <v/>
      </c>
      <c r="AP1526" s="1" t="str">
        <f>IFERROR(__xludf.DUMMYFUNCTION("""COMPUTED_VALUE"""),"")</f>
        <v/>
      </c>
      <c r="AQ1526" s="1" t="str">
        <f>IFERROR(__xludf.DUMMYFUNCTION("""COMPUTED_VALUE"""),"06/19/2025")</f>
        <v>06/19/2025</v>
      </c>
      <c r="AR1526" s="1" t="str">
        <f>IFERROR(__xludf.DUMMYFUNCTION("""COMPUTED_VALUE"""),"06/19/2025")</f>
        <v>06/19/2025</v>
      </c>
    </row>
    <row r="1527">
      <c r="A1527" s="1" t="str">
        <f>IFERROR(__xludf.DUMMYFUNCTION("""COMPUTED_VALUE"""),"STERLING VI, V")</f>
        <v>STERLING VI, V</v>
      </c>
      <c r="B1527" s="1" t="str">
        <f>IFERROR(__xludf.DUMMYFUNCTION("""COMPUTED_VALUE"""),"21340 PACIFIC BLVD")</f>
        <v>21340 PACIFIC BLVD</v>
      </c>
      <c r="C1527" s="1" t="str">
        <f>IFERROR(__xludf.DUMMYFUNCTION("""COMPUTED_VALUE"""),"Sterling")</f>
        <v>Sterling</v>
      </c>
      <c r="D1527" s="1" t="str">
        <f>IFERROR(__xludf.DUMMYFUNCTION("""COMPUTED_VALUE"""),"VA")</f>
        <v>VA</v>
      </c>
      <c r="E1527" s="1" t="str">
        <f>IFERROR(__xludf.DUMMYFUNCTION("""COMPUTED_VALUE"""),"20166")</f>
        <v>20166</v>
      </c>
      <c r="F1527" s="1" t="str">
        <f>IFERROR(__xludf.DUMMYFUNCTION("""COMPUTED_VALUE"""),"Loudoun")</f>
        <v>Loudoun</v>
      </c>
      <c r="G1527" s="1" t="str">
        <f>IFERROR(__xludf.DUMMYFUNCTION("""COMPUTED_VALUE"""),"39.02435")</f>
        <v>39.02435</v>
      </c>
      <c r="H1527" s="1" t="str">
        <f>IFERROR(__xludf.DUMMYFUNCTION("""COMPUTED_VALUE"""),"-77.434105")</f>
        <v>-77.434105</v>
      </c>
      <c r="I1527" s="1" t="str">
        <f>IFERROR(__xludf.DUMMYFUNCTION("""COMPUTED_VALUE"""),"Operating")</f>
        <v>Operating</v>
      </c>
      <c r="J1527" s="1" t="str">
        <f>IFERROR(__xludf.DUMMYFUNCTION("""COMPUTED_VALUE"""),"High")</f>
        <v>High</v>
      </c>
      <c r="K1527" s="1" t="str">
        <f>IFERROR(__xludf.DUMMYFUNCTION("""COMPUTED_VALUE"""),"")</f>
        <v/>
      </c>
      <c r="L1527" s="1" t="str">
        <f>IFERROR(__xludf.DUMMYFUNCTION("""COMPUTED_VALUE"""),"")</f>
        <v/>
      </c>
      <c r="M1527" s="1" t="str">
        <f>IFERROR(__xludf.DUMMYFUNCTION("""COMPUTED_VALUE"""),"")</f>
        <v/>
      </c>
      <c r="N1527" s="1" t="str">
        <f>IFERROR(__xludf.DUMMYFUNCTION("""COMPUTED_VALUE"""),"")</f>
        <v/>
      </c>
      <c r="O1527" s="1" t="str">
        <f>IFERROR(__xludf.DUMMYFUNCTION("""COMPUTED_VALUE"""),"Unknown")</f>
        <v>Unknown</v>
      </c>
      <c r="P1527" s="1" t="str">
        <f>IFERROR(__xludf.DUMMYFUNCTION("""COMPUTED_VALUE"""),"")</f>
        <v/>
      </c>
      <c r="Q1527" s="1" t="str">
        <f>IFERROR(__xludf.DUMMYFUNCTION("""COMPUTED_VALUE"""),"")</f>
        <v/>
      </c>
      <c r="R1527" s="1" t="str">
        <f>IFERROR(__xludf.DUMMYFUNCTION("""COMPUTED_VALUE"""),"")</f>
        <v/>
      </c>
      <c r="S1527" s="1" t="str">
        <f>IFERROR(__xludf.DUMMYFUNCTION("""COMPUTED_VALUE"""),"")</f>
        <v/>
      </c>
      <c r="T1527" s="1" t="str">
        <f>IFERROR(__xludf.DUMMYFUNCTION("""COMPUTED_VALUE"""),"")</f>
        <v/>
      </c>
      <c r="U1527" s="1" t="str">
        <f>IFERROR(__xludf.DUMMYFUNCTION("""COMPUTED_VALUE"""),"")</f>
        <v/>
      </c>
      <c r="V1527" s="1" t="str">
        <f>IFERROR(__xludf.DUMMYFUNCTION("""COMPUTED_VALUE"""),"1,178,308")</f>
        <v>1,178,308</v>
      </c>
      <c r="W1527" s="1" t="str">
        <f>IFERROR(__xludf.DUMMYFUNCTION("""COMPUTED_VALUE"""),"27")</f>
        <v>27</v>
      </c>
      <c r="X1527" s="1" t="str">
        <f>IFERROR(__xludf.DUMMYFUNCTION("""COMPUTED_VALUE"""),"")</f>
        <v/>
      </c>
      <c r="Y1527" s="1" t="str">
        <f>IFERROR(__xludf.DUMMYFUNCTION("""COMPUTED_VALUE"""),"")</f>
        <v/>
      </c>
      <c r="Z1527" s="1" t="str">
        <f>IFERROR(__xludf.DUMMYFUNCTION("""COMPUTED_VALUE"""),"Unknown")</f>
        <v>Unknown</v>
      </c>
      <c r="AA1527" s="1" t="str">
        <f>IFERROR(__xludf.DUMMYFUNCTION("""COMPUTED_VALUE"""),"")</f>
        <v/>
      </c>
      <c r="AB1527" s="1" t="str">
        <f>IFERROR(__xludf.DUMMYFUNCTION("""COMPUTED_VALUE"""),"")</f>
        <v/>
      </c>
      <c r="AC1527" s="1" t="str">
        <f>IFERROR(__xludf.DUMMYFUNCTION("""COMPUTED_VALUE"""),"")</f>
        <v/>
      </c>
      <c r="AD1527" s="1" t="str">
        <f>IFERROR(__xludf.DUMMYFUNCTION("""COMPUTED_VALUE"""),"")</f>
        <v/>
      </c>
      <c r="AE1527" s="1" t="str">
        <f>IFERROR(__xludf.DUMMYFUNCTION("""COMPUTED_VALUE"""),"")</f>
        <v/>
      </c>
      <c r="AF1527" s="1" t="str">
        <f>IFERROR(__xludf.DUMMYFUNCTION("""COMPUTED_VALUE"""),"")</f>
        <v/>
      </c>
      <c r="AG1527" s="1" t="str">
        <f>IFERROR(__xludf.DUMMYFUNCTION("""COMPUTED_VALUE"""),"Project covers more than one parcel, the acreage represents the combined acreage")</f>
        <v>Project covers more than one parcel, the acreage represents the combined acreage</v>
      </c>
      <c r="AH1527" s="1" t="str">
        <f>IFERROR(__xludf.DUMMYFUNCTION("""COMPUTED_VALUE"""),"PEC")</f>
        <v>PEC</v>
      </c>
      <c r="AI1527" s="2" t="str">
        <f>IFERROR(__xludf.DUMMYFUNCTION("""COMPUTED_VALUE"""),"https://reparcelasmt.loudoun.gov/pt/datalets/datalet.aspx?mode=commercial&amp;UseSearch=no&amp;pin=042394385003&amp;jur=107&amp;taxyr=2025&amp;LMparent=20")</f>
        <v>https://reparcelasmt.loudoun.gov/pt/datalets/datalet.aspx?mode=commercial&amp;UseSearch=no&amp;pin=042394385003&amp;jur=107&amp;taxyr=2025&amp;LMparent=20</v>
      </c>
      <c r="AJ1527" s="1" t="str">
        <f>IFERROR(__xludf.DUMMYFUNCTION("""COMPUTED_VALUE"""),"")</f>
        <v/>
      </c>
      <c r="AK1527" s="1" t="str">
        <f>IFERROR(__xludf.DUMMYFUNCTION("""COMPUTED_VALUE"""),"")</f>
        <v/>
      </c>
      <c r="AL1527" s="1" t="str">
        <f>IFERROR(__xludf.DUMMYFUNCTION("""COMPUTED_VALUE"""),"")</f>
        <v/>
      </c>
      <c r="AM1527" s="1" t="str">
        <f>IFERROR(__xludf.DUMMYFUNCTION("""COMPUTED_VALUE"""),"")</f>
        <v/>
      </c>
      <c r="AN1527" s="1" t="str">
        <f>IFERROR(__xludf.DUMMYFUNCTION("""COMPUTED_VALUE"""),"")</f>
        <v/>
      </c>
      <c r="AO1527" s="1" t="str">
        <f>IFERROR(__xludf.DUMMYFUNCTION("""COMPUTED_VALUE"""),"")</f>
        <v/>
      </c>
      <c r="AP1527" s="1" t="str">
        <f>IFERROR(__xludf.DUMMYFUNCTION("""COMPUTED_VALUE"""),"")</f>
        <v/>
      </c>
      <c r="AQ1527" s="1" t="str">
        <f>IFERROR(__xludf.DUMMYFUNCTION("""COMPUTED_VALUE"""),"08/10/2025")</f>
        <v>08/10/2025</v>
      </c>
      <c r="AR1527" s="1" t="str">
        <f>IFERROR(__xludf.DUMMYFUNCTION("""COMPUTED_VALUE"""),"10/17/2025")</f>
        <v>10/17/2025</v>
      </c>
    </row>
    <row r="1528">
      <c r="A1528" s="1" t="str">
        <f>IFERROR(__xludf.DUMMYFUNCTION("""COMPUTED_VALUE"""),"Thayer Road")</f>
        <v>Thayer Road</v>
      </c>
      <c r="B1528" s="1" t="str">
        <f>IFERROR(__xludf.DUMMYFUNCTION("""COMPUTED_VALUE"""),"45564 THAYER RD")</f>
        <v>45564 THAYER RD</v>
      </c>
      <c r="C1528" s="1" t="str">
        <f>IFERROR(__xludf.DUMMYFUNCTION("""COMPUTED_VALUE"""),"Sterling")</f>
        <v>Sterling</v>
      </c>
      <c r="D1528" s="1" t="str">
        <f>IFERROR(__xludf.DUMMYFUNCTION("""COMPUTED_VALUE"""),"VA")</f>
        <v>VA</v>
      </c>
      <c r="E1528" s="1" t="str">
        <f>IFERROR(__xludf.DUMMYFUNCTION("""COMPUTED_VALUE"""),"20166")</f>
        <v>20166</v>
      </c>
      <c r="F1528" s="1" t="str">
        <f>IFERROR(__xludf.DUMMYFUNCTION("""COMPUTED_VALUE"""),"Loudoun")</f>
        <v>Loudoun</v>
      </c>
      <c r="G1528" s="1" t="str">
        <f>IFERROR(__xludf.DUMMYFUNCTION("""COMPUTED_VALUE"""),"39.026966")</f>
        <v>39.026966</v>
      </c>
      <c r="H1528" s="1" t="str">
        <f>IFERROR(__xludf.DUMMYFUNCTION("""COMPUTED_VALUE"""),"-77.42448")</f>
        <v>-77.42448</v>
      </c>
      <c r="I1528" s="1" t="str">
        <f>IFERROR(__xludf.DUMMYFUNCTION("""COMPUTED_VALUE"""),"Proposed")</f>
        <v>Proposed</v>
      </c>
      <c r="J1528" s="1" t="str">
        <f>IFERROR(__xludf.DUMMYFUNCTION("""COMPUTED_VALUE"""),"High")</f>
        <v>High</v>
      </c>
      <c r="K1528" s="1" t="str">
        <f>IFERROR(__xludf.DUMMYFUNCTION("""COMPUTED_VALUE"""),"")</f>
        <v/>
      </c>
      <c r="L1528" s="1" t="str">
        <f>IFERROR(__xludf.DUMMYFUNCTION("""COMPUTED_VALUE"""),"")</f>
        <v/>
      </c>
      <c r="M1528" s="1" t="str">
        <f>IFERROR(__xludf.DUMMYFUNCTION("""COMPUTED_VALUE"""),"")</f>
        <v/>
      </c>
      <c r="N1528" s="1" t="str">
        <f>IFERROR(__xludf.DUMMYFUNCTION("""COMPUTED_VALUE"""),"")</f>
        <v/>
      </c>
      <c r="O1528" s="1" t="str">
        <f>IFERROR(__xludf.DUMMYFUNCTION("""COMPUTED_VALUE"""),"Unknown")</f>
        <v>Unknown</v>
      </c>
      <c r="P1528" s="1" t="str">
        <f>IFERROR(__xludf.DUMMYFUNCTION("""COMPUTED_VALUE"""),"")</f>
        <v/>
      </c>
      <c r="Q1528" s="1" t="str">
        <f>IFERROR(__xludf.DUMMYFUNCTION("""COMPUTED_VALUE"""),"")</f>
        <v/>
      </c>
      <c r="R1528" s="1" t="str">
        <f>IFERROR(__xludf.DUMMYFUNCTION("""COMPUTED_VALUE"""),"")</f>
        <v/>
      </c>
      <c r="S1528" s="1" t="str">
        <f>IFERROR(__xludf.DUMMYFUNCTION("""COMPUTED_VALUE"""),"")</f>
        <v/>
      </c>
      <c r="T1528" s="1" t="str">
        <f>IFERROR(__xludf.DUMMYFUNCTION("""COMPUTED_VALUE"""),"")</f>
        <v/>
      </c>
      <c r="U1528" s="1" t="str">
        <f>IFERROR(__xludf.DUMMYFUNCTION("""COMPUTED_VALUE"""),"")</f>
        <v/>
      </c>
      <c r="V1528" s="1" t="str">
        <f>IFERROR(__xludf.DUMMYFUNCTION("""COMPUTED_VALUE"""),"305,593")</f>
        <v>305,593</v>
      </c>
      <c r="W1528" s="1" t="str">
        <f>IFERROR(__xludf.DUMMYFUNCTION("""COMPUTED_VALUE"""),"10")</f>
        <v>10</v>
      </c>
      <c r="X1528" s="1" t="str">
        <f>IFERROR(__xludf.DUMMYFUNCTION("""COMPUTED_VALUE"""),"")</f>
        <v/>
      </c>
      <c r="Y1528" s="1" t="str">
        <f>IFERROR(__xludf.DUMMYFUNCTION("""COMPUTED_VALUE"""),"")</f>
        <v/>
      </c>
      <c r="Z1528" s="1" t="str">
        <f>IFERROR(__xludf.DUMMYFUNCTION("""COMPUTED_VALUE"""),"Unknown")</f>
        <v>Unknown</v>
      </c>
      <c r="AA1528" s="1" t="str">
        <f>IFERROR(__xludf.DUMMYFUNCTION("""COMPUTED_VALUE"""),"")</f>
        <v/>
      </c>
      <c r="AB1528" s="1" t="str">
        <f>IFERROR(__xludf.DUMMYFUNCTION("""COMPUTED_VALUE"""),"")</f>
        <v/>
      </c>
      <c r="AC1528" s="1" t="str">
        <f>IFERROR(__xludf.DUMMYFUNCTION("""COMPUTED_VALUE"""),"")</f>
        <v/>
      </c>
      <c r="AD1528" s="1" t="str">
        <f>IFERROR(__xludf.DUMMYFUNCTION("""COMPUTED_VALUE"""),"")</f>
        <v/>
      </c>
      <c r="AE1528" s="1" t="str">
        <f>IFERROR(__xludf.DUMMYFUNCTION("""COMPUTED_VALUE"""),"")</f>
        <v/>
      </c>
      <c r="AF1528" s="1" t="str">
        <f>IFERROR(__xludf.DUMMYFUNCTION("""COMPUTED_VALUE"""),"")</f>
        <v/>
      </c>
      <c r="AG1528" s="1" t="str">
        <f>IFERROR(__xludf.DUMMYFUNCTION("""COMPUTED_VALUE"""),"")</f>
        <v/>
      </c>
      <c r="AH1528" s="1" t="str">
        <f>IFERROR(__xludf.DUMMYFUNCTION("""COMPUTED_VALUE"""),"PEC")</f>
        <v>PEC</v>
      </c>
      <c r="AI1528" s="2" t="str">
        <f>IFERROR(__xludf.DUMMYFUNCTION("""COMPUTED_VALUE"""),"https://loudouncountyvaeg.tylerhost.net/prod/selfservice#/plan/93bd1580-f8d3-4bb1-845e-4b6d0c970645?tab=locations")</f>
        <v>https://loudouncountyvaeg.tylerhost.net/prod/selfservice#/plan/93bd1580-f8d3-4bb1-845e-4b6d0c970645?tab=locations</v>
      </c>
      <c r="AJ1528" s="2" t="str">
        <f>IFERROR(__xludf.DUMMYFUNCTION("""COMPUTED_VALUE"""),"https://reparcelasmt.loudoun.gov/pt/datalets/datalet.aspx?mode=land_summary&amp;UseSearch=no&amp;pin=030465708000&amp;jur=107&amp;taxyr=2025&amp;LMparent=20")</f>
        <v>https://reparcelasmt.loudoun.gov/pt/datalets/datalet.aspx?mode=land_summary&amp;UseSearch=no&amp;pin=030465708000&amp;jur=107&amp;taxyr=2025&amp;LMparent=20</v>
      </c>
      <c r="AK1528" s="2" t="str">
        <f>IFERROR(__xludf.DUMMYFUNCTION("""COMPUTED_VALUE"""),"https://www.datacenterdynamics.com/en/news/ta-realty-buys-data-center-zoned-land-in-sterling-virginia/")</f>
        <v>https://www.datacenterdynamics.com/en/news/ta-realty-buys-data-center-zoned-land-in-sterling-virginia/</v>
      </c>
      <c r="AL1528" s="1" t="str">
        <f>IFERROR(__xludf.DUMMYFUNCTION("""COMPUTED_VALUE"""),"")</f>
        <v/>
      </c>
      <c r="AM1528" s="1" t="str">
        <f>IFERROR(__xludf.DUMMYFUNCTION("""COMPUTED_VALUE"""),"")</f>
        <v/>
      </c>
      <c r="AN1528" s="1" t="str">
        <f>IFERROR(__xludf.DUMMYFUNCTION("""COMPUTED_VALUE"""),"")</f>
        <v/>
      </c>
      <c r="AO1528" s="1" t="str">
        <f>IFERROR(__xludf.DUMMYFUNCTION("""COMPUTED_VALUE"""),"")</f>
        <v/>
      </c>
      <c r="AP1528" s="1" t="str">
        <f>IFERROR(__xludf.DUMMYFUNCTION("""COMPUTED_VALUE"""),"")</f>
        <v/>
      </c>
      <c r="AQ1528" s="1" t="str">
        <f>IFERROR(__xludf.DUMMYFUNCTION("""COMPUTED_VALUE"""),"08/10/2025")</f>
        <v>08/10/2025</v>
      </c>
      <c r="AR1528" s="1" t="str">
        <f>IFERROR(__xludf.DUMMYFUNCTION("""COMPUTED_VALUE"""),"07/14/2026")</f>
        <v>07/14/2026</v>
      </c>
    </row>
    <row r="1529">
      <c r="A1529" s="1" t="str">
        <f>IFERROR(__xludf.DUMMYFUNCTION("""COMPUTED_VALUE"""),"VANTAGE DATA CENTERS VA11")</f>
        <v>VANTAGE DATA CENTERS VA11</v>
      </c>
      <c r="B1529" s="1" t="str">
        <f>IFERROR(__xludf.DUMMYFUNCTION("""COMPUTED_VALUE"""),"45200 VANTAGE DATA PLZ")</f>
        <v>45200 VANTAGE DATA PLZ</v>
      </c>
      <c r="C1529" s="1" t="str">
        <f>IFERROR(__xludf.DUMMYFUNCTION("""COMPUTED_VALUE"""),"Sterling")</f>
        <v>Sterling</v>
      </c>
      <c r="D1529" s="1" t="str">
        <f>IFERROR(__xludf.DUMMYFUNCTION("""COMPUTED_VALUE"""),"VA")</f>
        <v>VA</v>
      </c>
      <c r="E1529" s="1" t="str">
        <f>IFERROR(__xludf.DUMMYFUNCTION("""COMPUTED_VALUE"""),"20166")</f>
        <v>20166</v>
      </c>
      <c r="F1529" s="1" t="str">
        <f>IFERROR(__xludf.DUMMYFUNCTION("""COMPUTED_VALUE"""),"Loudoun")</f>
        <v>Loudoun</v>
      </c>
      <c r="G1529" s="1" t="str">
        <f>IFERROR(__xludf.DUMMYFUNCTION("""COMPUTED_VALUE"""),"39.002132")</f>
        <v>39.002132</v>
      </c>
      <c r="H1529" s="1" t="str">
        <f>IFERROR(__xludf.DUMMYFUNCTION("""COMPUTED_VALUE"""),"-77.43738")</f>
        <v>-77.43738</v>
      </c>
      <c r="I1529" s="1" t="str">
        <f>IFERROR(__xludf.DUMMYFUNCTION("""COMPUTED_VALUE"""),"Operating")</f>
        <v>Operating</v>
      </c>
      <c r="J1529" s="1" t="str">
        <f>IFERROR(__xludf.DUMMYFUNCTION("""COMPUTED_VALUE"""),"High")</f>
        <v>High</v>
      </c>
      <c r="K1529" s="1" t="str">
        <f>IFERROR(__xludf.DUMMYFUNCTION("""COMPUTED_VALUE"""),"")</f>
        <v/>
      </c>
      <c r="L1529" s="1" t="str">
        <f>IFERROR(__xludf.DUMMYFUNCTION("""COMPUTED_VALUE"""),"VANTAGE DATA CENTERS VA11 LLC")</f>
        <v>VANTAGE DATA CENTERS VA11 LLC</v>
      </c>
      <c r="M1529" s="1" t="str">
        <f>IFERROR(__xludf.DUMMYFUNCTION("""COMPUTED_VALUE"""),"")</f>
        <v/>
      </c>
      <c r="N1529" s="1" t="str">
        <f>IFERROR(__xludf.DUMMYFUNCTION("""COMPUTED_VALUE"""),"")</f>
        <v/>
      </c>
      <c r="O1529" s="1" t="str">
        <f>IFERROR(__xludf.DUMMYFUNCTION("""COMPUTED_VALUE"""),"Unknown")</f>
        <v>Unknown</v>
      </c>
      <c r="P1529" s="1" t="str">
        <f>IFERROR(__xludf.DUMMYFUNCTION("""COMPUTED_VALUE"""),"")</f>
        <v/>
      </c>
      <c r="Q1529" s="1" t="str">
        <f>IFERROR(__xludf.DUMMYFUNCTION("""COMPUTED_VALUE"""),"")</f>
        <v/>
      </c>
      <c r="R1529" s="1" t="str">
        <f>IFERROR(__xludf.DUMMYFUNCTION("""COMPUTED_VALUE"""),"")</f>
        <v/>
      </c>
      <c r="S1529" s="1" t="str">
        <f>IFERROR(__xludf.DUMMYFUNCTION("""COMPUTED_VALUE"""),"")</f>
        <v/>
      </c>
      <c r="T1529" s="1" t="str">
        <f>IFERROR(__xludf.DUMMYFUNCTION("""COMPUTED_VALUE"""),"")</f>
        <v/>
      </c>
      <c r="U1529" s="1" t="str">
        <f>IFERROR(__xludf.DUMMYFUNCTION("""COMPUTED_VALUE"""),"")</f>
        <v/>
      </c>
      <c r="V1529" s="1" t="str">
        <f>IFERROR(__xludf.DUMMYFUNCTION("""COMPUTED_VALUE"""),"253,352")</f>
        <v>253,352</v>
      </c>
      <c r="W1529" s="1" t="str">
        <f>IFERROR(__xludf.DUMMYFUNCTION("""COMPUTED_VALUE"""),"18")</f>
        <v>18</v>
      </c>
      <c r="X1529" s="1" t="str">
        <f>IFERROR(__xludf.DUMMYFUNCTION("""COMPUTED_VALUE"""),"")</f>
        <v/>
      </c>
      <c r="Y1529" s="1" t="str">
        <f>IFERROR(__xludf.DUMMYFUNCTION("""COMPUTED_VALUE"""),"")</f>
        <v/>
      </c>
      <c r="Z1529" s="1" t="str">
        <f>IFERROR(__xludf.DUMMYFUNCTION("""COMPUTED_VALUE"""),"Unknown")</f>
        <v>Unknown</v>
      </c>
      <c r="AA1529" s="1" t="str">
        <f>IFERROR(__xludf.DUMMYFUNCTION("""COMPUTED_VALUE"""),"")</f>
        <v/>
      </c>
      <c r="AB1529" s="1" t="str">
        <f>IFERROR(__xludf.DUMMYFUNCTION("""COMPUTED_VALUE"""),"")</f>
        <v/>
      </c>
      <c r="AC1529" s="1" t="str">
        <f>IFERROR(__xludf.DUMMYFUNCTION("""COMPUTED_VALUE"""),"")</f>
        <v/>
      </c>
      <c r="AD1529" s="1" t="str">
        <f>IFERROR(__xludf.DUMMYFUNCTION("""COMPUTED_VALUE"""),"")</f>
        <v/>
      </c>
      <c r="AE1529" s="1" t="str">
        <f>IFERROR(__xludf.DUMMYFUNCTION("""COMPUTED_VALUE"""),"")</f>
        <v/>
      </c>
      <c r="AF1529" s="1" t="str">
        <f>IFERROR(__xludf.DUMMYFUNCTION("""COMPUTED_VALUE"""),"")</f>
        <v/>
      </c>
      <c r="AG1529" s="1" t="str">
        <f>IFERROR(__xludf.DUMMYFUNCTION("""COMPUTED_VALUE"""),"Computer Center")</f>
        <v>Computer Center</v>
      </c>
      <c r="AH1529" s="1" t="str">
        <f>IFERROR(__xludf.DUMMYFUNCTION("""COMPUTED_VALUE"""),"PEC")</f>
        <v>PEC</v>
      </c>
      <c r="AI1529" s="2" t="str">
        <f>IFERROR(__xludf.DUMMYFUNCTION("""COMPUTED_VALUE"""),"https://datacenterhawk.com/marketplace/providers/vantage-data-centers/45200-vantage-data-plaza/va11")</f>
        <v>https://datacenterhawk.com/marketplace/providers/vantage-data-centers/45200-vantage-data-plaza/va11</v>
      </c>
      <c r="AJ1529" s="2" t="str">
        <f>IFERROR(__xludf.DUMMYFUNCTION("""COMPUTED_VALUE"""),"https://reparcelasmt.loudoun.gov/pt/datalets/datalet.aspx?mode=profileall&amp;UseSearch=no&amp;pin=044288975001&amp;jur=107&amp;taxyr=2024&amp;LMparent=20")</f>
        <v>https://reparcelasmt.loudoun.gov/pt/datalets/datalet.aspx?mode=profileall&amp;UseSearch=no&amp;pin=044288975001&amp;jur=107&amp;taxyr=2024&amp;LMparent=20</v>
      </c>
      <c r="AK1529" s="1" t="str">
        <f>IFERROR(__xludf.DUMMYFUNCTION("""COMPUTED_VALUE"""),"")</f>
        <v/>
      </c>
      <c r="AL1529" s="1" t="str">
        <f>IFERROR(__xludf.DUMMYFUNCTION("""COMPUTED_VALUE"""),"")</f>
        <v/>
      </c>
      <c r="AM1529" s="1" t="str">
        <f>IFERROR(__xludf.DUMMYFUNCTION("""COMPUTED_VALUE"""),"")</f>
        <v/>
      </c>
      <c r="AN1529" s="1" t="str">
        <f>IFERROR(__xludf.DUMMYFUNCTION("""COMPUTED_VALUE"""),"")</f>
        <v/>
      </c>
      <c r="AO1529" s="1" t="str">
        <f>IFERROR(__xludf.DUMMYFUNCTION("""COMPUTED_VALUE"""),"")</f>
        <v/>
      </c>
      <c r="AP1529" s="1" t="str">
        <f>IFERROR(__xludf.DUMMYFUNCTION("""COMPUTED_VALUE"""),"")</f>
        <v/>
      </c>
      <c r="AQ1529" s="1" t="str">
        <f>IFERROR(__xludf.DUMMYFUNCTION("""COMPUTED_VALUE"""),"04/10/2024")</f>
        <v>04/10/2024</v>
      </c>
      <c r="AR1529" s="1" t="str">
        <f>IFERROR(__xludf.DUMMYFUNCTION("""COMPUTED_VALUE"""),"10/17/2025")</f>
        <v>10/17/2025</v>
      </c>
    </row>
    <row r="1530">
      <c r="A1530" s="1" t="str">
        <f>IFERROR(__xludf.DUMMYFUNCTION("""COMPUTED_VALUE"""),"VANTAGE DATA CENTERS VA12")</f>
        <v>VANTAGE DATA CENTERS VA12</v>
      </c>
      <c r="B1530" s="1" t="str">
        <f>IFERROR(__xludf.DUMMYFUNCTION("""COMPUTED_VALUE"""),"45194 VANTAGE DATA PLZ")</f>
        <v>45194 VANTAGE DATA PLZ</v>
      </c>
      <c r="C1530" s="1" t="str">
        <f>IFERROR(__xludf.DUMMYFUNCTION("""COMPUTED_VALUE"""),"Sterling")</f>
        <v>Sterling</v>
      </c>
      <c r="D1530" s="1" t="str">
        <f>IFERROR(__xludf.DUMMYFUNCTION("""COMPUTED_VALUE"""),"VA")</f>
        <v>VA</v>
      </c>
      <c r="E1530" s="1" t="str">
        <f>IFERROR(__xludf.DUMMYFUNCTION("""COMPUTED_VALUE"""),"20166")</f>
        <v>20166</v>
      </c>
      <c r="F1530" s="1" t="str">
        <f>IFERROR(__xludf.DUMMYFUNCTION("""COMPUTED_VALUE"""),"Loudoun")</f>
        <v>Loudoun</v>
      </c>
      <c r="G1530" s="1" t="str">
        <f>IFERROR(__xludf.DUMMYFUNCTION("""COMPUTED_VALUE"""),"39.003056")</f>
        <v>39.003056</v>
      </c>
      <c r="H1530" s="1" t="str">
        <f>IFERROR(__xludf.DUMMYFUNCTION("""COMPUTED_VALUE"""),"-77.4401")</f>
        <v>-77.4401</v>
      </c>
      <c r="I1530" s="1" t="str">
        <f>IFERROR(__xludf.DUMMYFUNCTION("""COMPUTED_VALUE"""),"Operating")</f>
        <v>Operating</v>
      </c>
      <c r="J1530" s="1" t="str">
        <f>IFERROR(__xludf.DUMMYFUNCTION("""COMPUTED_VALUE"""),"High")</f>
        <v>High</v>
      </c>
      <c r="K1530" s="1" t="str">
        <f>IFERROR(__xludf.DUMMYFUNCTION("""COMPUTED_VALUE"""),"")</f>
        <v/>
      </c>
      <c r="L1530" s="1" t="str">
        <f>IFERROR(__xludf.DUMMYFUNCTION("""COMPUTED_VALUE"""),"VANTAGE DATA CENTERS VA12 LLC")</f>
        <v>VANTAGE DATA CENTERS VA12 LLC</v>
      </c>
      <c r="M1530" s="1" t="str">
        <f>IFERROR(__xludf.DUMMYFUNCTION("""COMPUTED_VALUE"""),"")</f>
        <v/>
      </c>
      <c r="N1530" s="1" t="str">
        <f>IFERROR(__xludf.DUMMYFUNCTION("""COMPUTED_VALUE"""),"")</f>
        <v/>
      </c>
      <c r="O1530" s="1" t="str">
        <f>IFERROR(__xludf.DUMMYFUNCTION("""COMPUTED_VALUE"""),"Unknown")</f>
        <v>Unknown</v>
      </c>
      <c r="P1530" s="1" t="str">
        <f>IFERROR(__xludf.DUMMYFUNCTION("""COMPUTED_VALUE"""),"")</f>
        <v/>
      </c>
      <c r="Q1530" s="1" t="str">
        <f>IFERROR(__xludf.DUMMYFUNCTION("""COMPUTED_VALUE"""),"")</f>
        <v/>
      </c>
      <c r="R1530" s="1" t="str">
        <f>IFERROR(__xludf.DUMMYFUNCTION("""COMPUTED_VALUE"""),"")</f>
        <v/>
      </c>
      <c r="S1530" s="1" t="str">
        <f>IFERROR(__xludf.DUMMYFUNCTION("""COMPUTED_VALUE"""),"")</f>
        <v/>
      </c>
      <c r="T1530" s="1" t="str">
        <f>IFERROR(__xludf.DUMMYFUNCTION("""COMPUTED_VALUE"""),"")</f>
        <v/>
      </c>
      <c r="U1530" s="1" t="str">
        <f>IFERROR(__xludf.DUMMYFUNCTION("""COMPUTED_VALUE"""),"")</f>
        <v/>
      </c>
      <c r="V1530" s="1" t="str">
        <f>IFERROR(__xludf.DUMMYFUNCTION("""COMPUTED_VALUE"""),"228,606")</f>
        <v>228,606</v>
      </c>
      <c r="W1530" s="1" t="str">
        <f>IFERROR(__xludf.DUMMYFUNCTION("""COMPUTED_VALUE"""),"19")</f>
        <v>19</v>
      </c>
      <c r="X1530" s="1" t="str">
        <f>IFERROR(__xludf.DUMMYFUNCTION("""COMPUTED_VALUE"""),"")</f>
        <v/>
      </c>
      <c r="Y1530" s="1" t="str">
        <f>IFERROR(__xludf.DUMMYFUNCTION("""COMPUTED_VALUE"""),"")</f>
        <v/>
      </c>
      <c r="Z1530" s="1" t="str">
        <f>IFERROR(__xludf.DUMMYFUNCTION("""COMPUTED_VALUE"""),"Unknown")</f>
        <v>Unknown</v>
      </c>
      <c r="AA1530" s="1" t="str">
        <f>IFERROR(__xludf.DUMMYFUNCTION("""COMPUTED_VALUE"""),"")</f>
        <v/>
      </c>
      <c r="AB1530" s="1" t="str">
        <f>IFERROR(__xludf.DUMMYFUNCTION("""COMPUTED_VALUE"""),"")</f>
        <v/>
      </c>
      <c r="AC1530" s="1" t="str">
        <f>IFERROR(__xludf.DUMMYFUNCTION("""COMPUTED_VALUE"""),"")</f>
        <v/>
      </c>
      <c r="AD1530" s="1" t="str">
        <f>IFERROR(__xludf.DUMMYFUNCTION("""COMPUTED_VALUE"""),"")</f>
        <v/>
      </c>
      <c r="AE1530" s="1" t="str">
        <f>IFERROR(__xludf.DUMMYFUNCTION("""COMPUTED_VALUE"""),"")</f>
        <v/>
      </c>
      <c r="AF1530" s="1" t="str">
        <f>IFERROR(__xludf.DUMMYFUNCTION("""COMPUTED_VALUE"""),"")</f>
        <v/>
      </c>
      <c r="AG1530" s="1" t="str">
        <f>IFERROR(__xludf.DUMMYFUNCTION("""COMPUTED_VALUE"""),"Computer Center")</f>
        <v>Computer Center</v>
      </c>
      <c r="AH1530" s="1" t="str">
        <f>IFERROR(__xludf.DUMMYFUNCTION("""COMPUTED_VALUE"""),"PEC")</f>
        <v>PEC</v>
      </c>
      <c r="AI1530" s="2" t="str">
        <f>IFERROR(__xludf.DUMMYFUNCTION("""COMPUTED_VALUE"""),"https://reparcelasmt.loudoun.gov/pt/datalets/datalet.aspx?mode=profileall&amp;UseSearch=no&amp;pin=044288975002&amp;jur=107&amp;taxyr=2024&amp;LMparent=20")</f>
        <v>https://reparcelasmt.loudoun.gov/pt/datalets/datalet.aspx?mode=profileall&amp;UseSearch=no&amp;pin=044288975002&amp;jur=107&amp;taxyr=2024&amp;LMparent=20</v>
      </c>
      <c r="AJ1530" s="1" t="str">
        <f>IFERROR(__xludf.DUMMYFUNCTION("""COMPUTED_VALUE"""),"")</f>
        <v/>
      </c>
      <c r="AK1530" s="1" t="str">
        <f>IFERROR(__xludf.DUMMYFUNCTION("""COMPUTED_VALUE"""),"")</f>
        <v/>
      </c>
      <c r="AL1530" s="1" t="str">
        <f>IFERROR(__xludf.DUMMYFUNCTION("""COMPUTED_VALUE"""),"")</f>
        <v/>
      </c>
      <c r="AM1530" s="1" t="str">
        <f>IFERROR(__xludf.DUMMYFUNCTION("""COMPUTED_VALUE"""),"")</f>
        <v/>
      </c>
      <c r="AN1530" s="1" t="str">
        <f>IFERROR(__xludf.DUMMYFUNCTION("""COMPUTED_VALUE"""),"")</f>
        <v/>
      </c>
      <c r="AO1530" s="1" t="str">
        <f>IFERROR(__xludf.DUMMYFUNCTION("""COMPUTED_VALUE"""),"")</f>
        <v/>
      </c>
      <c r="AP1530" s="1" t="str">
        <f>IFERROR(__xludf.DUMMYFUNCTION("""COMPUTED_VALUE"""),"")</f>
        <v/>
      </c>
      <c r="AQ1530" s="1" t="str">
        <f>IFERROR(__xludf.DUMMYFUNCTION("""COMPUTED_VALUE"""),"04/10/2024")</f>
        <v>04/10/2024</v>
      </c>
      <c r="AR1530" s="1" t="str">
        <f>IFERROR(__xludf.DUMMYFUNCTION("""COMPUTED_VALUE"""),"10/17/2025")</f>
        <v>10/17/2025</v>
      </c>
    </row>
    <row r="1531">
      <c r="A1531" s="1" t="str">
        <f>IFERROR(__xludf.DUMMYFUNCTION("""COMPUTED_VALUE"""),"Vantage V2 Campus 22318 Glenn Drive")</f>
        <v>Vantage V2 Campus 22318 Glenn Drive</v>
      </c>
      <c r="B1531" s="1" t="str">
        <f>IFERROR(__xludf.DUMMYFUNCTION("""COMPUTED_VALUE"""),"22435 GLENN DR")</f>
        <v>22435 GLENN DR</v>
      </c>
      <c r="C1531" s="1" t="str">
        <f>IFERROR(__xludf.DUMMYFUNCTION("""COMPUTED_VALUE"""),"Sterling")</f>
        <v>Sterling</v>
      </c>
      <c r="D1531" s="1" t="str">
        <f>IFERROR(__xludf.DUMMYFUNCTION("""COMPUTED_VALUE"""),"VA")</f>
        <v>VA</v>
      </c>
      <c r="E1531" s="1" t="str">
        <f>IFERROR(__xludf.DUMMYFUNCTION("""COMPUTED_VALUE"""),"20164")</f>
        <v>20164</v>
      </c>
      <c r="F1531" s="1" t="str">
        <f>IFERROR(__xludf.DUMMYFUNCTION("""COMPUTED_VALUE"""),"Loudoun")</f>
        <v>Loudoun</v>
      </c>
      <c r="G1531" s="1" t="str">
        <f>IFERROR(__xludf.DUMMYFUNCTION("""COMPUTED_VALUE"""),"38.997974")</f>
        <v>38.997974</v>
      </c>
      <c r="H1531" s="1" t="str">
        <f>IFERROR(__xludf.DUMMYFUNCTION("""COMPUTED_VALUE"""),"-77.43019")</f>
        <v>-77.43019</v>
      </c>
      <c r="I1531" s="1" t="str">
        <f>IFERROR(__xludf.DUMMYFUNCTION("""COMPUTED_VALUE"""),"Operating")</f>
        <v>Operating</v>
      </c>
      <c r="J1531" s="1" t="str">
        <f>IFERROR(__xludf.DUMMYFUNCTION("""COMPUTED_VALUE"""),"High")</f>
        <v>High</v>
      </c>
      <c r="K1531" s="1" t="str">
        <f>IFERROR(__xludf.DUMMYFUNCTION("""COMPUTED_VALUE"""),"")</f>
        <v/>
      </c>
      <c r="L1531" s="1" t="str">
        <f>IFERROR(__xludf.DUMMYFUNCTION("""COMPUTED_VALUE"""),"VANTAGE DATA CENTERS VA2 LLC")</f>
        <v>VANTAGE DATA CENTERS VA2 LLC</v>
      </c>
      <c r="M1531" s="1" t="str">
        <f>IFERROR(__xludf.DUMMYFUNCTION("""COMPUTED_VALUE"""),"")</f>
        <v/>
      </c>
      <c r="N1531" s="1" t="str">
        <f>IFERROR(__xludf.DUMMYFUNCTION("""COMPUTED_VALUE"""),"")</f>
        <v/>
      </c>
      <c r="O1531" s="1" t="str">
        <f>IFERROR(__xludf.DUMMYFUNCTION("""COMPUTED_VALUE"""),"Unknown")</f>
        <v>Unknown</v>
      </c>
      <c r="P1531" s="1" t="str">
        <f>IFERROR(__xludf.DUMMYFUNCTION("""COMPUTED_VALUE"""),"")</f>
        <v/>
      </c>
      <c r="Q1531" s="1" t="str">
        <f>IFERROR(__xludf.DUMMYFUNCTION("""COMPUTED_VALUE"""),"")</f>
        <v/>
      </c>
      <c r="R1531" s="1" t="str">
        <f>IFERROR(__xludf.DUMMYFUNCTION("""COMPUTED_VALUE"""),"")</f>
        <v/>
      </c>
      <c r="S1531" s="1" t="str">
        <f>IFERROR(__xludf.DUMMYFUNCTION("""COMPUTED_VALUE"""),"")</f>
        <v/>
      </c>
      <c r="T1531" s="1" t="str">
        <f>IFERROR(__xludf.DUMMYFUNCTION("""COMPUTED_VALUE"""),"")</f>
        <v/>
      </c>
      <c r="U1531" s="1" t="str">
        <f>IFERROR(__xludf.DUMMYFUNCTION("""COMPUTED_VALUE"""),"")</f>
        <v/>
      </c>
      <c r="V1531" s="1" t="str">
        <f>IFERROR(__xludf.DUMMYFUNCTION("""COMPUTED_VALUE"""),"565,680")</f>
        <v>565,680</v>
      </c>
      <c r="W1531" s="1" t="str">
        <f>IFERROR(__xludf.DUMMYFUNCTION("""COMPUTED_VALUE"""),"18")</f>
        <v>18</v>
      </c>
      <c r="X1531" s="1" t="str">
        <f>IFERROR(__xludf.DUMMYFUNCTION("""COMPUTED_VALUE"""),"")</f>
        <v/>
      </c>
      <c r="Y1531" s="1" t="str">
        <f>IFERROR(__xludf.DUMMYFUNCTION("""COMPUTED_VALUE"""),"")</f>
        <v/>
      </c>
      <c r="Z1531" s="1" t="str">
        <f>IFERROR(__xludf.DUMMYFUNCTION("""COMPUTED_VALUE"""),"Unknown")</f>
        <v>Unknown</v>
      </c>
      <c r="AA1531" s="1" t="str">
        <f>IFERROR(__xludf.DUMMYFUNCTION("""COMPUTED_VALUE"""),"")</f>
        <v/>
      </c>
      <c r="AB1531" s="1" t="str">
        <f>IFERROR(__xludf.DUMMYFUNCTION("""COMPUTED_VALUE"""),"")</f>
        <v/>
      </c>
      <c r="AC1531" s="1" t="str">
        <f>IFERROR(__xludf.DUMMYFUNCTION("""COMPUTED_VALUE"""),"")</f>
        <v/>
      </c>
      <c r="AD1531" s="1" t="str">
        <f>IFERROR(__xludf.DUMMYFUNCTION("""COMPUTED_VALUE"""),"")</f>
        <v/>
      </c>
      <c r="AE1531" s="1" t="str">
        <f>IFERROR(__xludf.DUMMYFUNCTION("""COMPUTED_VALUE"""),"")</f>
        <v/>
      </c>
      <c r="AF1531" s="1" t="str">
        <f>IFERROR(__xludf.DUMMYFUNCTION("""COMPUTED_VALUE"""),"")</f>
        <v/>
      </c>
      <c r="AG1531" s="1" t="str">
        <f>IFERROR(__xludf.DUMMYFUNCTION("""COMPUTED_VALUE"""),"Has natural gas turbines and may produce onsite power")</f>
        <v>Has natural gas turbines and may produce onsite power</v>
      </c>
      <c r="AH1531" s="1" t="str">
        <f>IFERROR(__xludf.DUMMYFUNCTION("""COMPUTED_VALUE"""),"PEC")</f>
        <v>PEC</v>
      </c>
      <c r="AI1531" s="2" t="str">
        <f>IFERROR(__xludf.DUMMYFUNCTION("""COMPUTED_VALUE"""),"https://www.datacenterdynamics.com/en/news/vantage-files-to-develop-second-virginia-campus-in-sterling/")</f>
        <v>https://www.datacenterdynamics.com/en/news/vantage-files-to-develop-second-virginia-campus-in-sterling/</v>
      </c>
      <c r="AJ1531" s="2" t="str">
        <f>IFERROR(__xludf.DUMMYFUNCTION("""COMPUTED_VALUE"""),"https://reparcelasmt.loudoun.gov/pt/Datalets/Datalet.aspx?UseSearch=no&amp;mode=profileall&amp;pin=032155119000&amp;jur=107&amp;taxyr=2024")</f>
        <v>https://reparcelasmt.loudoun.gov/pt/Datalets/Datalet.aspx?UseSearch=no&amp;mode=profileall&amp;pin=032155119000&amp;jur=107&amp;taxyr=2024</v>
      </c>
      <c r="AK1531" s="1" t="str">
        <f>IFERROR(__xludf.DUMMYFUNCTION("""COMPUTED_VALUE"""),"")</f>
        <v/>
      </c>
      <c r="AL1531" s="1" t="str">
        <f>IFERROR(__xludf.DUMMYFUNCTION("""COMPUTED_VALUE"""),"")</f>
        <v/>
      </c>
      <c r="AM1531" s="1" t="str">
        <f>IFERROR(__xludf.DUMMYFUNCTION("""COMPUTED_VALUE"""),"")</f>
        <v/>
      </c>
      <c r="AN1531" s="1" t="str">
        <f>IFERROR(__xludf.DUMMYFUNCTION("""COMPUTED_VALUE"""),"")</f>
        <v/>
      </c>
      <c r="AO1531" s="1" t="str">
        <f>IFERROR(__xludf.DUMMYFUNCTION("""COMPUTED_VALUE"""),"")</f>
        <v/>
      </c>
      <c r="AP1531" s="1" t="str">
        <f>IFERROR(__xludf.DUMMYFUNCTION("""COMPUTED_VALUE"""),"")</f>
        <v/>
      </c>
      <c r="AQ1531" s="1" t="str">
        <f>IFERROR(__xludf.DUMMYFUNCTION("""COMPUTED_VALUE"""),"08/01/2025")</f>
        <v>08/01/2025</v>
      </c>
      <c r="AR1531" s="1" t="str">
        <f>IFERROR(__xludf.DUMMYFUNCTION("""COMPUTED_VALUE"""),"10/17/2025")</f>
        <v>10/17/2025</v>
      </c>
    </row>
    <row r="1532">
      <c r="A1532" s="1" t="str">
        <f>IFERROR(__xludf.DUMMYFUNCTION("""COMPUTED_VALUE"""),"VERISIGN INC")</f>
        <v>VERISIGN INC</v>
      </c>
      <c r="B1532" s="1" t="str">
        <f>IFERROR(__xludf.DUMMYFUNCTION("""COMPUTED_VALUE"""),"22340 DRESDEN ST")</f>
        <v>22340 DRESDEN ST</v>
      </c>
      <c r="C1532" s="1" t="str">
        <f>IFERROR(__xludf.DUMMYFUNCTION("""COMPUTED_VALUE"""),"Sterling")</f>
        <v>Sterling</v>
      </c>
      <c r="D1532" s="1" t="str">
        <f>IFERROR(__xludf.DUMMYFUNCTION("""COMPUTED_VALUE"""),"VA")</f>
        <v>VA</v>
      </c>
      <c r="E1532" s="1" t="str">
        <f>IFERROR(__xludf.DUMMYFUNCTION("""COMPUTED_VALUE"""),"20166")</f>
        <v>20166</v>
      </c>
      <c r="F1532" s="1" t="str">
        <f>IFERROR(__xludf.DUMMYFUNCTION("""COMPUTED_VALUE"""),"Loudoun")</f>
        <v>Loudoun</v>
      </c>
      <c r="G1532" s="1" t="str">
        <f>IFERROR(__xludf.DUMMYFUNCTION("""COMPUTED_VALUE"""),"38.997738")</f>
        <v>38.997738</v>
      </c>
      <c r="H1532" s="1" t="str">
        <f>IFERROR(__xludf.DUMMYFUNCTION("""COMPUTED_VALUE"""),"-77.44368")</f>
        <v>-77.44368</v>
      </c>
      <c r="I1532" s="1" t="str">
        <f>IFERROR(__xludf.DUMMYFUNCTION("""COMPUTED_VALUE"""),"Operating")</f>
        <v>Operating</v>
      </c>
      <c r="J1532" s="1" t="str">
        <f>IFERROR(__xludf.DUMMYFUNCTION("""COMPUTED_VALUE"""),"High")</f>
        <v>High</v>
      </c>
      <c r="K1532" s="1" t="str">
        <f>IFERROR(__xludf.DUMMYFUNCTION("""COMPUTED_VALUE"""),"")</f>
        <v/>
      </c>
      <c r="L1532" s="1" t="str">
        <f>IFERROR(__xludf.DUMMYFUNCTION("""COMPUTED_VALUE"""),"VERISIGN INC")</f>
        <v>VERISIGN INC</v>
      </c>
      <c r="M1532" s="1" t="str">
        <f>IFERROR(__xludf.DUMMYFUNCTION("""COMPUTED_VALUE"""),"")</f>
        <v/>
      </c>
      <c r="N1532" s="1" t="str">
        <f>IFERROR(__xludf.DUMMYFUNCTION("""COMPUTED_VALUE"""),"")</f>
        <v/>
      </c>
      <c r="O1532" s="1" t="str">
        <f>IFERROR(__xludf.DUMMYFUNCTION("""COMPUTED_VALUE"""),"Unknown")</f>
        <v>Unknown</v>
      </c>
      <c r="P1532" s="1" t="str">
        <f>IFERROR(__xludf.DUMMYFUNCTION("""COMPUTED_VALUE"""),"")</f>
        <v/>
      </c>
      <c r="Q1532" s="1" t="str">
        <f>IFERROR(__xludf.DUMMYFUNCTION("""COMPUTED_VALUE"""),"")</f>
        <v/>
      </c>
      <c r="R1532" s="1" t="str">
        <f>IFERROR(__xludf.DUMMYFUNCTION("""COMPUTED_VALUE"""),"")</f>
        <v/>
      </c>
      <c r="S1532" s="1" t="str">
        <f>IFERROR(__xludf.DUMMYFUNCTION("""COMPUTED_VALUE"""),"")</f>
        <v/>
      </c>
      <c r="T1532" s="1" t="str">
        <f>IFERROR(__xludf.DUMMYFUNCTION("""COMPUTED_VALUE"""),"")</f>
        <v/>
      </c>
      <c r="U1532" s="1" t="str">
        <f>IFERROR(__xludf.DUMMYFUNCTION("""COMPUTED_VALUE"""),"")</f>
        <v/>
      </c>
      <c r="V1532" s="1" t="str">
        <f>IFERROR(__xludf.DUMMYFUNCTION("""COMPUTED_VALUE"""),"64,300")</f>
        <v>64,300</v>
      </c>
      <c r="W1532" s="1" t="str">
        <f>IFERROR(__xludf.DUMMYFUNCTION("""COMPUTED_VALUE"""),"14")</f>
        <v>14</v>
      </c>
      <c r="X1532" s="1" t="str">
        <f>IFERROR(__xludf.DUMMYFUNCTION("""COMPUTED_VALUE"""),"")</f>
        <v/>
      </c>
      <c r="Y1532" s="1" t="str">
        <f>IFERROR(__xludf.DUMMYFUNCTION("""COMPUTED_VALUE"""),"")</f>
        <v/>
      </c>
      <c r="Z1532" s="1" t="str">
        <f>IFERROR(__xludf.DUMMYFUNCTION("""COMPUTED_VALUE"""),"Unknown")</f>
        <v>Unknown</v>
      </c>
      <c r="AA1532" s="1" t="str">
        <f>IFERROR(__xludf.DUMMYFUNCTION("""COMPUTED_VALUE"""),"")</f>
        <v/>
      </c>
      <c r="AB1532" s="1" t="str">
        <f>IFERROR(__xludf.DUMMYFUNCTION("""COMPUTED_VALUE"""),"")</f>
        <v/>
      </c>
      <c r="AC1532" s="1" t="str">
        <f>IFERROR(__xludf.DUMMYFUNCTION("""COMPUTED_VALUE"""),"")</f>
        <v/>
      </c>
      <c r="AD1532" s="1" t="str">
        <f>IFERROR(__xludf.DUMMYFUNCTION("""COMPUTED_VALUE"""),"")</f>
        <v/>
      </c>
      <c r="AE1532" s="1" t="str">
        <f>IFERROR(__xludf.DUMMYFUNCTION("""COMPUTED_VALUE"""),"")</f>
        <v/>
      </c>
      <c r="AF1532" s="1" t="str">
        <f>IFERROR(__xludf.DUMMYFUNCTION("""COMPUTED_VALUE"""),"")</f>
        <v/>
      </c>
      <c r="AG1532" s="1" t="str">
        <f>IFERROR(__xludf.DUMMYFUNCTION("""COMPUTED_VALUE"""),"Computer Center")</f>
        <v>Computer Center</v>
      </c>
      <c r="AH1532" s="1" t="str">
        <f>IFERROR(__xludf.DUMMYFUNCTION("""COMPUTED_VALUE"""),"PEC")</f>
        <v>PEC</v>
      </c>
      <c r="AI1532" s="2" t="str">
        <f>IFERROR(__xludf.DUMMYFUNCTION("""COMPUTED_VALUE"""),"https://reparcelasmt.loudoun.gov/pt/datalets/datalet.aspx?mode=profileall&amp;UseSearch=no&amp;pin=044174648000&amp;jur=107&amp;taxyr=2024&amp;LMparent=20")</f>
        <v>https://reparcelasmt.loudoun.gov/pt/datalets/datalet.aspx?mode=profileall&amp;UseSearch=no&amp;pin=044174648000&amp;jur=107&amp;taxyr=2024&amp;LMparent=20</v>
      </c>
      <c r="AJ1532" s="1" t="str">
        <f>IFERROR(__xludf.DUMMYFUNCTION("""COMPUTED_VALUE"""),"")</f>
        <v/>
      </c>
      <c r="AK1532" s="1" t="str">
        <f>IFERROR(__xludf.DUMMYFUNCTION("""COMPUTED_VALUE"""),"")</f>
        <v/>
      </c>
      <c r="AL1532" s="1" t="str">
        <f>IFERROR(__xludf.DUMMYFUNCTION("""COMPUTED_VALUE"""),"")</f>
        <v/>
      </c>
      <c r="AM1532" s="1" t="str">
        <f>IFERROR(__xludf.DUMMYFUNCTION("""COMPUTED_VALUE"""),"")</f>
        <v/>
      </c>
      <c r="AN1532" s="1" t="str">
        <f>IFERROR(__xludf.DUMMYFUNCTION("""COMPUTED_VALUE"""),"")</f>
        <v/>
      </c>
      <c r="AO1532" s="1" t="str">
        <f>IFERROR(__xludf.DUMMYFUNCTION("""COMPUTED_VALUE"""),"")</f>
        <v/>
      </c>
      <c r="AP1532" s="1" t="str">
        <f>IFERROR(__xludf.DUMMYFUNCTION("""COMPUTED_VALUE"""),"")</f>
        <v/>
      </c>
      <c r="AQ1532" s="1" t="str">
        <f>IFERROR(__xludf.DUMMYFUNCTION("""COMPUTED_VALUE"""),"04/10/2024")</f>
        <v>04/10/2024</v>
      </c>
      <c r="AR1532" s="1" t="str">
        <f>IFERROR(__xludf.DUMMYFUNCTION("""COMPUTED_VALUE"""),"10/17/2025")</f>
        <v>10/17/2025</v>
      </c>
    </row>
    <row r="1533">
      <c r="A1533" s="1" t="str">
        <f>IFERROR(__xludf.DUMMYFUNCTION("""COMPUTED_VALUE"""),"Western Lands")</f>
        <v>Western Lands</v>
      </c>
      <c r="B1533" s="1" t="str">
        <f>IFERROR(__xludf.DUMMYFUNCTION("""COMPUTED_VALUE"""),"43616 CAPACITY DR")</f>
        <v>43616 CAPACITY DR</v>
      </c>
      <c r="C1533" s="1" t="str">
        <f>IFERROR(__xludf.DUMMYFUNCTION("""COMPUTED_VALUE"""),"Sterling")</f>
        <v>Sterling</v>
      </c>
      <c r="D1533" s="1" t="str">
        <f>IFERROR(__xludf.DUMMYFUNCTION("""COMPUTED_VALUE"""),"VA")</f>
        <v>VA</v>
      </c>
      <c r="E1533" s="1" t="str">
        <f>IFERROR(__xludf.DUMMYFUNCTION("""COMPUTED_VALUE"""),"20166")</f>
        <v>20166</v>
      </c>
      <c r="F1533" s="1" t="str">
        <f>IFERROR(__xludf.DUMMYFUNCTION("""COMPUTED_VALUE"""),"Loudoun")</f>
        <v>Loudoun</v>
      </c>
      <c r="G1533" s="1" t="str">
        <f>IFERROR(__xludf.DUMMYFUNCTION("""COMPUTED_VALUE"""),"38.954502")</f>
        <v>38.954502</v>
      </c>
      <c r="H1533" s="1" t="str">
        <f>IFERROR(__xludf.DUMMYFUNCTION("""COMPUTED_VALUE"""),"-77.48892")</f>
        <v>-77.48892</v>
      </c>
      <c r="I1533" s="1" t="str">
        <f>IFERROR(__xludf.DUMMYFUNCTION("""COMPUTED_VALUE"""),"Proposed")</f>
        <v>Proposed</v>
      </c>
      <c r="J1533" s="1" t="str">
        <f>IFERROR(__xludf.DUMMYFUNCTION("""COMPUTED_VALUE"""),"High")</f>
        <v>High</v>
      </c>
      <c r="K1533" s="1" t="str">
        <f>IFERROR(__xludf.DUMMYFUNCTION("""COMPUTED_VALUE"""),"")</f>
        <v/>
      </c>
      <c r="L1533" s="1" t="str">
        <f>IFERROR(__xludf.DUMMYFUNCTION("""COMPUTED_VALUE"""),"Digital Realty")</f>
        <v>Digital Realty</v>
      </c>
      <c r="M1533" s="1" t="str">
        <f>IFERROR(__xludf.DUMMYFUNCTION("""COMPUTED_VALUE"""),"")</f>
        <v/>
      </c>
      <c r="N1533" s="1" t="str">
        <f>IFERROR(__xludf.DUMMYFUNCTION("""COMPUTED_VALUE"""),"")</f>
        <v/>
      </c>
      <c r="O1533" s="1" t="str">
        <f>IFERROR(__xludf.DUMMYFUNCTION("""COMPUTED_VALUE"""),"Unknown")</f>
        <v>Unknown</v>
      </c>
      <c r="P1533" s="1" t="str">
        <f>IFERROR(__xludf.DUMMYFUNCTION("""COMPUTED_VALUE"""),"")</f>
        <v/>
      </c>
      <c r="Q1533" s="1" t="str">
        <f>IFERROR(__xludf.DUMMYFUNCTION("""COMPUTED_VALUE"""),"")</f>
        <v/>
      </c>
      <c r="R1533" s="1" t="str">
        <f>IFERROR(__xludf.DUMMYFUNCTION("""COMPUTED_VALUE"""),"")</f>
        <v/>
      </c>
      <c r="S1533" s="1" t="str">
        <f>IFERROR(__xludf.DUMMYFUNCTION("""COMPUTED_VALUE"""),"")</f>
        <v/>
      </c>
      <c r="T1533" s="1" t="str">
        <f>IFERROR(__xludf.DUMMYFUNCTION("""COMPUTED_VALUE"""),"")</f>
        <v/>
      </c>
      <c r="U1533" s="1" t="str">
        <f>IFERROR(__xludf.DUMMYFUNCTION("""COMPUTED_VALUE"""),"")</f>
        <v/>
      </c>
      <c r="V1533" s="1" t="str">
        <f>IFERROR(__xludf.DUMMYFUNCTION("""COMPUTED_VALUE"""),"10,916,000")</f>
        <v>10,916,000</v>
      </c>
      <c r="W1533" s="1" t="str">
        <f>IFERROR(__xludf.DUMMYFUNCTION("""COMPUTED_VALUE"""),"221")</f>
        <v>221</v>
      </c>
      <c r="X1533" s="1" t="str">
        <f>IFERROR(__xludf.DUMMYFUNCTION("""COMPUTED_VALUE"""),"")</f>
        <v/>
      </c>
      <c r="Y1533" s="1" t="str">
        <f>IFERROR(__xludf.DUMMYFUNCTION("""COMPUTED_VALUE"""),"")</f>
        <v/>
      </c>
      <c r="Z1533" s="1" t="str">
        <f>IFERROR(__xludf.DUMMYFUNCTION("""COMPUTED_VALUE"""),"Unknown")</f>
        <v>Unknown</v>
      </c>
      <c r="AA1533" s="1" t="str">
        <f>IFERROR(__xludf.DUMMYFUNCTION("""COMPUTED_VALUE"""),"")</f>
        <v/>
      </c>
      <c r="AB1533" s="1" t="str">
        <f>IFERROR(__xludf.DUMMYFUNCTION("""COMPUTED_VALUE"""),"")</f>
        <v/>
      </c>
      <c r="AC1533" s="1" t="str">
        <f>IFERROR(__xludf.DUMMYFUNCTION("""COMPUTED_VALUE"""),"")</f>
        <v/>
      </c>
      <c r="AD1533" s="1" t="str">
        <f>IFERROR(__xludf.DUMMYFUNCTION("""COMPUTED_VALUE"""),"")</f>
        <v/>
      </c>
      <c r="AE1533" s="1" t="str">
        <f>IFERROR(__xludf.DUMMYFUNCTION("""COMPUTED_VALUE"""),"")</f>
        <v/>
      </c>
      <c r="AF1533" s="1" t="str">
        <f>IFERROR(__xludf.DUMMYFUNCTION("""COMPUTED_VALUE"""),"")</f>
        <v/>
      </c>
      <c r="AG1533" s="1" t="str">
        <f>IFERROR(__xludf.DUMMYFUNCTION("""COMPUTED_VALUE"""),"Project covers more than one parcel, the acreage represents the combined acreage. PEC-LDN-0109 completed footage (phase 1 and 2) has been subtracted from 11.7 million square feet")</f>
        <v>Project covers more than one parcel, the acreage represents the combined acreage. PEC-LDN-0109 completed footage (phase 1 and 2) has been subtracted from 11.7 million square feet</v>
      </c>
      <c r="AH1533" s="1" t="str">
        <f>IFERROR(__xludf.DUMMYFUNCTION("""COMPUTED_VALUE"""),"PEC")</f>
        <v>PEC</v>
      </c>
      <c r="AI1533" s="2" t="str">
        <f>IFERROR(__xludf.DUMMYFUNCTION("""COMPUTED_VALUE"""),"https://www.bizjournals.com/washington/news/2024/02/27/sterling-digital-realty-trust-western-lands-dulles.html")</f>
        <v>https://www.bizjournals.com/washington/news/2024/02/27/sterling-digital-realty-trust-western-lands-dulles.html</v>
      </c>
      <c r="AJ1533" s="2" t="str">
        <f>IFERROR(__xludf.DUMMYFUNCTION("""COMPUTED_VALUE"""),"https://reparcelasmt.loudoun.gov/pt/datalets/datalet.aspx?mode=profileall&amp;UseSearch=no&amp;pin=093185459000&amp;jur=107&amp;taxyr=2024&amp;LMparent=20")</f>
        <v>https://reparcelasmt.loudoun.gov/pt/datalets/datalet.aspx?mode=profileall&amp;UseSearch=no&amp;pin=093185459000&amp;jur=107&amp;taxyr=2024&amp;LMparent=20</v>
      </c>
      <c r="AK1533" s="1" t="str">
        <f>IFERROR(__xludf.DUMMYFUNCTION("""COMPUTED_VALUE"""),"")</f>
        <v/>
      </c>
      <c r="AL1533" s="1" t="str">
        <f>IFERROR(__xludf.DUMMYFUNCTION("""COMPUTED_VALUE"""),"")</f>
        <v/>
      </c>
      <c r="AM1533" s="1" t="str">
        <f>IFERROR(__xludf.DUMMYFUNCTION("""COMPUTED_VALUE"""),"")</f>
        <v/>
      </c>
      <c r="AN1533" s="1" t="str">
        <f>IFERROR(__xludf.DUMMYFUNCTION("""COMPUTED_VALUE"""),"")</f>
        <v/>
      </c>
      <c r="AO1533" s="1" t="str">
        <f>IFERROR(__xludf.DUMMYFUNCTION("""COMPUTED_VALUE"""),"")</f>
        <v/>
      </c>
      <c r="AP1533" s="1" t="str">
        <f>IFERROR(__xludf.DUMMYFUNCTION("""COMPUTED_VALUE"""),"")</f>
        <v/>
      </c>
      <c r="AQ1533" s="1" t="str">
        <f>IFERROR(__xludf.DUMMYFUNCTION("""COMPUTED_VALUE"""),"08/06/2025")</f>
        <v>08/06/2025</v>
      </c>
      <c r="AR1533" s="1" t="str">
        <f>IFERROR(__xludf.DUMMYFUNCTION("""COMPUTED_VALUE"""),"10/17/2025")</f>
        <v>10/17/2025</v>
      </c>
    </row>
    <row r="1534">
      <c r="A1534" s="1" t="str">
        <f>IFERROR(__xludf.DUMMYFUNCTION("""COMPUTED_VALUE"""),"108 CARPENTER DRIVE")</f>
        <v>108 CARPENTER DRIVE</v>
      </c>
      <c r="B1534" s="1" t="str">
        <f>IFERROR(__xludf.DUMMYFUNCTION("""COMPUTED_VALUE"""),"108 CARPENTER DR")</f>
        <v>108 CARPENTER DR</v>
      </c>
      <c r="C1534" s="1" t="str">
        <f>IFERROR(__xludf.DUMMYFUNCTION("""COMPUTED_VALUE"""),"STERLING")</f>
        <v>STERLING</v>
      </c>
      <c r="D1534" s="1" t="str">
        <f>IFERROR(__xludf.DUMMYFUNCTION("""COMPUTED_VALUE"""),"VA")</f>
        <v>VA</v>
      </c>
      <c r="E1534" s="1" t="str">
        <f>IFERROR(__xludf.DUMMYFUNCTION("""COMPUTED_VALUE"""),"20164")</f>
        <v>20164</v>
      </c>
      <c r="F1534" s="1" t="str">
        <f>IFERROR(__xludf.DUMMYFUNCTION("""COMPUTED_VALUE"""),"Loudoun")</f>
        <v>Loudoun</v>
      </c>
      <c r="G1534" s="1" t="str">
        <f>IFERROR(__xludf.DUMMYFUNCTION("""COMPUTED_VALUE"""),"38.99123")</f>
        <v>38.99123</v>
      </c>
      <c r="H1534" s="1" t="str">
        <f>IFERROR(__xludf.DUMMYFUNCTION("""COMPUTED_VALUE"""),"-77.42243")</f>
        <v>-77.42243</v>
      </c>
      <c r="I1534" s="1" t="str">
        <f>IFERROR(__xludf.DUMMYFUNCTION("""COMPUTED_VALUE"""),"Proposed")</f>
        <v>Proposed</v>
      </c>
      <c r="J1534" s="1" t="str">
        <f>IFERROR(__xludf.DUMMYFUNCTION("""COMPUTED_VALUE"""),"High")</f>
        <v>High</v>
      </c>
      <c r="K1534" s="1" t="str">
        <f>IFERROR(__xludf.DUMMYFUNCTION("""COMPUTED_VALUE"""),"")</f>
        <v/>
      </c>
      <c r="L1534" s="1" t="str">
        <f>IFERROR(__xludf.DUMMYFUNCTION("""COMPUTED_VALUE"""),"")</f>
        <v/>
      </c>
      <c r="M1534" s="1" t="str">
        <f>IFERROR(__xludf.DUMMYFUNCTION("""COMPUTED_VALUE"""),"")</f>
        <v/>
      </c>
      <c r="N1534" s="1" t="str">
        <f>IFERROR(__xludf.DUMMYFUNCTION("""COMPUTED_VALUE"""),"")</f>
        <v/>
      </c>
      <c r="O1534" s="1" t="str">
        <f>IFERROR(__xludf.DUMMYFUNCTION("""COMPUTED_VALUE"""),"Unknown")</f>
        <v>Unknown</v>
      </c>
      <c r="P1534" s="1" t="str">
        <f>IFERROR(__xludf.DUMMYFUNCTION("""COMPUTED_VALUE"""),"")</f>
        <v/>
      </c>
      <c r="Q1534" s="1" t="str">
        <f>IFERROR(__xludf.DUMMYFUNCTION("""COMPUTED_VALUE"""),"")</f>
        <v/>
      </c>
      <c r="R1534" s="1" t="str">
        <f>IFERROR(__xludf.DUMMYFUNCTION("""COMPUTED_VALUE"""),"")</f>
        <v/>
      </c>
      <c r="S1534" s="1" t="str">
        <f>IFERROR(__xludf.DUMMYFUNCTION("""COMPUTED_VALUE"""),"")</f>
        <v/>
      </c>
      <c r="T1534" s="1" t="str">
        <f>IFERROR(__xludf.DUMMYFUNCTION("""COMPUTED_VALUE"""),"")</f>
        <v/>
      </c>
      <c r="U1534" s="1" t="str">
        <f>IFERROR(__xludf.DUMMYFUNCTION("""COMPUTED_VALUE"""),"")</f>
        <v/>
      </c>
      <c r="V1534" s="1" t="str">
        <f>IFERROR(__xludf.DUMMYFUNCTION("""COMPUTED_VALUE"""),"52,744")</f>
        <v>52,744</v>
      </c>
      <c r="W1534" s="1" t="str">
        <f>IFERROR(__xludf.DUMMYFUNCTION("""COMPUTED_VALUE"""),"3")</f>
        <v>3</v>
      </c>
      <c r="X1534" s="1" t="str">
        <f>IFERROR(__xludf.DUMMYFUNCTION("""COMPUTED_VALUE"""),"")</f>
        <v/>
      </c>
      <c r="Y1534" s="1" t="str">
        <f>IFERROR(__xludf.DUMMYFUNCTION("""COMPUTED_VALUE"""),"")</f>
        <v/>
      </c>
      <c r="Z1534" s="1" t="str">
        <f>IFERROR(__xludf.DUMMYFUNCTION("""COMPUTED_VALUE"""),"Unknown")</f>
        <v>Unknown</v>
      </c>
      <c r="AA1534" s="1" t="str">
        <f>IFERROR(__xludf.DUMMYFUNCTION("""COMPUTED_VALUE"""),"")</f>
        <v/>
      </c>
      <c r="AB1534" s="1" t="str">
        <f>IFERROR(__xludf.DUMMYFUNCTION("""COMPUTED_VALUE"""),"")</f>
        <v/>
      </c>
      <c r="AC1534" s="1" t="str">
        <f>IFERROR(__xludf.DUMMYFUNCTION("""COMPUTED_VALUE"""),"")</f>
        <v/>
      </c>
      <c r="AD1534" s="1" t="str">
        <f>IFERROR(__xludf.DUMMYFUNCTION("""COMPUTED_VALUE"""),"")</f>
        <v/>
      </c>
      <c r="AE1534" s="1" t="str">
        <f>IFERROR(__xludf.DUMMYFUNCTION("""COMPUTED_VALUE"""),"")</f>
        <v/>
      </c>
      <c r="AF1534" s="1" t="str">
        <f>IFERROR(__xludf.DUMMYFUNCTION("""COMPUTED_VALUE"""),"")</f>
        <v/>
      </c>
      <c r="AG1534" s="1" t="str">
        <f>IFERROR(__xludf.DUMMYFUNCTION("""COMPUTED_VALUE"""),"")</f>
        <v/>
      </c>
      <c r="AH1534" s="1" t="str">
        <f>IFERROR(__xludf.DUMMYFUNCTION("""COMPUTED_VALUE"""),"PEC")</f>
        <v>PEC</v>
      </c>
      <c r="AI1534" s="2" t="str">
        <f>IFERROR(__xludf.DUMMYFUNCTION("""COMPUTED_VALUE"""),"https://loudouncountyvaeg.tylerhost.net/prod/selfservice#/plan/c649938c-a42c-43c1-af23-ac3e7ece8a37?tab=locations")</f>
        <v>https://loudouncountyvaeg.tylerhost.net/prod/selfservice#/plan/c649938c-a42c-43c1-af23-ac3e7ece8a37?tab=locations</v>
      </c>
      <c r="AJ1534" s="2" t="str">
        <f>IFERROR(__xludf.DUMMYFUNCTION("""COMPUTED_VALUE"""),"https://reparcelasmt.loudoun.gov/pt/Datalets/Datalet.aspx?UseSearch=no&amp;mode=profileall&amp;pin=033385671000&amp;jur=107&amp;taxyr=2025")</f>
        <v>https://reparcelasmt.loudoun.gov/pt/Datalets/Datalet.aspx?UseSearch=no&amp;mode=profileall&amp;pin=033385671000&amp;jur=107&amp;taxyr=2025</v>
      </c>
      <c r="AK1534" s="1" t="str">
        <f>IFERROR(__xludf.DUMMYFUNCTION("""COMPUTED_VALUE"""),"")</f>
        <v/>
      </c>
      <c r="AL1534" s="1" t="str">
        <f>IFERROR(__xludf.DUMMYFUNCTION("""COMPUTED_VALUE"""),"")</f>
        <v/>
      </c>
      <c r="AM1534" s="1" t="str">
        <f>IFERROR(__xludf.DUMMYFUNCTION("""COMPUTED_VALUE"""),"")</f>
        <v/>
      </c>
      <c r="AN1534" s="1" t="str">
        <f>IFERROR(__xludf.DUMMYFUNCTION("""COMPUTED_VALUE"""),"")</f>
        <v/>
      </c>
      <c r="AO1534" s="1" t="str">
        <f>IFERROR(__xludf.DUMMYFUNCTION("""COMPUTED_VALUE"""),"")</f>
        <v/>
      </c>
      <c r="AP1534" s="1" t="str">
        <f>IFERROR(__xludf.DUMMYFUNCTION("""COMPUTED_VALUE"""),"")</f>
        <v/>
      </c>
      <c r="AQ1534" s="1" t="str">
        <f>IFERROR(__xludf.DUMMYFUNCTION("""COMPUTED_VALUE"""),"08/07/2025")</f>
        <v>08/07/2025</v>
      </c>
      <c r="AR1534" s="1" t="str">
        <f>IFERROR(__xludf.DUMMYFUNCTION("""COMPUTED_VALUE"""),"10/17/2025")</f>
        <v>10/17/2025</v>
      </c>
    </row>
    <row r="1535">
      <c r="A1535" s="1" t="str">
        <f>IFERROR(__xludf.DUMMYFUNCTION("""COMPUTED_VALUE"""),"ARCOLA")</f>
        <v>ARCOLA</v>
      </c>
      <c r="B1535" s="1" t="str">
        <f>IFERROR(__xludf.DUMMYFUNCTION("""COMPUTED_VALUE"""),"")</f>
        <v/>
      </c>
      <c r="C1535" s="1" t="str">
        <f>IFERROR(__xludf.DUMMYFUNCTION("""COMPUTED_VALUE"""),"STERLING")</f>
        <v>STERLING</v>
      </c>
      <c r="D1535" s="1" t="str">
        <f>IFERROR(__xludf.DUMMYFUNCTION("""COMPUTED_VALUE"""),"VA")</f>
        <v>VA</v>
      </c>
      <c r="E1535" s="1" t="str">
        <f>IFERROR(__xludf.DUMMYFUNCTION("""COMPUTED_VALUE"""),"20166")</f>
        <v>20166</v>
      </c>
      <c r="F1535" s="1" t="str">
        <f>IFERROR(__xludf.DUMMYFUNCTION("""COMPUTED_VALUE"""),"Loudoun")</f>
        <v>Loudoun</v>
      </c>
      <c r="G1535" s="1" t="str">
        <f>IFERROR(__xludf.DUMMYFUNCTION("""COMPUTED_VALUE"""),"38.94413")</f>
        <v>38.94413</v>
      </c>
      <c r="H1535" s="1" t="str">
        <f>IFERROR(__xludf.DUMMYFUNCTION("""COMPUTED_VALUE"""),"-77.5357")</f>
        <v>-77.5357</v>
      </c>
      <c r="I1535" s="1" t="str">
        <f>IFERROR(__xludf.DUMMYFUNCTION("""COMPUTED_VALUE"""),"Proposed")</f>
        <v>Proposed</v>
      </c>
      <c r="J1535" s="1" t="str">
        <f>IFERROR(__xludf.DUMMYFUNCTION("""COMPUTED_VALUE"""),"Medium")</f>
        <v>Medium</v>
      </c>
      <c r="K1535" s="1" t="str">
        <f>IFERROR(__xludf.DUMMYFUNCTION("""COMPUTED_VALUE"""),"")</f>
        <v/>
      </c>
      <c r="L1535" s="1" t="str">
        <f>IFERROR(__xludf.DUMMYFUNCTION("""COMPUTED_VALUE"""),"PowerHouse Data Centers")</f>
        <v>PowerHouse Data Centers</v>
      </c>
      <c r="M1535" s="1" t="str">
        <f>IFERROR(__xludf.DUMMYFUNCTION("""COMPUTED_VALUE"""),"")</f>
        <v/>
      </c>
      <c r="N1535" s="1" t="str">
        <f>IFERROR(__xludf.DUMMYFUNCTION("""COMPUTED_VALUE"""),"")</f>
        <v/>
      </c>
      <c r="O1535" s="1" t="str">
        <f>IFERROR(__xludf.DUMMYFUNCTION("""COMPUTED_VALUE"""),"Unknown")</f>
        <v>Unknown</v>
      </c>
      <c r="P1535" s="1" t="str">
        <f>IFERROR(__xludf.DUMMYFUNCTION("""COMPUTED_VALUE"""),"")</f>
        <v/>
      </c>
      <c r="Q1535" s="1" t="str">
        <f>IFERROR(__xludf.DUMMYFUNCTION("""COMPUTED_VALUE"""),"")</f>
        <v/>
      </c>
      <c r="R1535" s="1" t="str">
        <f>IFERROR(__xludf.DUMMYFUNCTION("""COMPUTED_VALUE"""),"")</f>
        <v/>
      </c>
      <c r="S1535" s="1" t="str">
        <f>IFERROR(__xludf.DUMMYFUNCTION("""COMPUTED_VALUE"""),"")</f>
        <v/>
      </c>
      <c r="T1535" s="1" t="str">
        <f>IFERROR(__xludf.DUMMYFUNCTION("""COMPUTED_VALUE"""),"")</f>
        <v/>
      </c>
      <c r="U1535" s="1" t="str">
        <f>IFERROR(__xludf.DUMMYFUNCTION("""COMPUTED_VALUE"""),"")</f>
        <v/>
      </c>
      <c r="V1535" s="1" t="str">
        <f>IFERROR(__xludf.DUMMYFUNCTION("""COMPUTED_VALUE"""),"614,300")</f>
        <v>614,300</v>
      </c>
      <c r="W1535" s="1" t="str">
        <f>IFERROR(__xludf.DUMMYFUNCTION("""COMPUTED_VALUE"""),"30")</f>
        <v>30</v>
      </c>
      <c r="X1535" s="1" t="str">
        <f>IFERROR(__xludf.DUMMYFUNCTION("""COMPUTED_VALUE"""),"")</f>
        <v/>
      </c>
      <c r="Y1535" s="1" t="str">
        <f>IFERROR(__xludf.DUMMYFUNCTION("""COMPUTED_VALUE"""),"")</f>
        <v/>
      </c>
      <c r="Z1535" s="1" t="str">
        <f>IFERROR(__xludf.DUMMYFUNCTION("""COMPUTED_VALUE"""),"Unknown")</f>
        <v>Unknown</v>
      </c>
      <c r="AA1535" s="1" t="str">
        <f>IFERROR(__xludf.DUMMYFUNCTION("""COMPUTED_VALUE"""),"")</f>
        <v/>
      </c>
      <c r="AB1535" s="1" t="str">
        <f>IFERROR(__xludf.DUMMYFUNCTION("""COMPUTED_VALUE"""),"")</f>
        <v/>
      </c>
      <c r="AC1535" s="1" t="str">
        <f>IFERROR(__xludf.DUMMYFUNCTION("""COMPUTED_VALUE"""),"")</f>
        <v/>
      </c>
      <c r="AD1535" s="1" t="str">
        <f>IFERROR(__xludf.DUMMYFUNCTION("""COMPUTED_VALUE"""),"")</f>
        <v/>
      </c>
      <c r="AE1535" s="1" t="str">
        <f>IFERROR(__xludf.DUMMYFUNCTION("""COMPUTED_VALUE"""),"")</f>
        <v/>
      </c>
      <c r="AF1535" s="1" t="str">
        <f>IFERROR(__xludf.DUMMYFUNCTION("""COMPUTED_VALUE"""),"")</f>
        <v/>
      </c>
      <c r="AG1535" s="1" t="str">
        <f>IFERROR(__xludf.DUMMYFUNCTION("""COMPUTED_VALUE"""),"Project covers more than one parcel, the acreage represents the combined acreage")</f>
        <v>Project covers more than one parcel, the acreage represents the combined acreage</v>
      </c>
      <c r="AH1535" s="1" t="str">
        <f>IFERROR(__xludf.DUMMYFUNCTION("""COMPUTED_VALUE"""),"PEC")</f>
        <v>PEC</v>
      </c>
      <c r="AI1535" s="2" t="str">
        <f>IFERROR(__xludf.DUMMYFUNCTION("""COMPUTED_VALUE"""),"https://loudouncountyvaeg.tylerhost.net/prod/selfservice#/plan/5A916D29-F069-42AE-A0B4-5181165CB8A7")</f>
        <v>https://loudouncountyvaeg.tylerhost.net/prod/selfservice#/plan/5A916D29-F069-42AE-A0B4-5181165CB8A7</v>
      </c>
      <c r="AJ1535" s="2" t="str">
        <f>IFERROR(__xludf.DUMMYFUNCTION("""COMPUTED_VALUE"""),"https://reparcelasmt.loudoun.gov/pt/Datalets/Datalet.aspx?UseSearch=no&amp;mode=profileall&amp;pin=162151929000&amp;jur=107&amp;taxyr=2024")</f>
        <v>https://reparcelasmt.loudoun.gov/pt/Datalets/Datalet.aspx?UseSearch=no&amp;mode=profileall&amp;pin=162151929000&amp;jur=107&amp;taxyr=2024</v>
      </c>
      <c r="AK1535" s="1" t="str">
        <f>IFERROR(__xludf.DUMMYFUNCTION("""COMPUTED_VALUE"""),"")</f>
        <v/>
      </c>
      <c r="AL1535" s="1" t="str">
        <f>IFERROR(__xludf.DUMMYFUNCTION("""COMPUTED_VALUE"""),"")</f>
        <v/>
      </c>
      <c r="AM1535" s="1" t="str">
        <f>IFERROR(__xludf.DUMMYFUNCTION("""COMPUTED_VALUE"""),"")</f>
        <v/>
      </c>
      <c r="AN1535" s="1" t="str">
        <f>IFERROR(__xludf.DUMMYFUNCTION("""COMPUTED_VALUE"""),"")</f>
        <v/>
      </c>
      <c r="AO1535" s="1" t="str">
        <f>IFERROR(__xludf.DUMMYFUNCTION("""COMPUTED_VALUE"""),"")</f>
        <v/>
      </c>
      <c r="AP1535" s="1" t="str">
        <f>IFERROR(__xludf.DUMMYFUNCTION("""COMPUTED_VALUE"""),"")</f>
        <v/>
      </c>
      <c r="AQ1535" s="1" t="str">
        <f>IFERROR(__xludf.DUMMYFUNCTION("""COMPUTED_VALUE"""),"04/10/2024")</f>
        <v>04/10/2024</v>
      </c>
      <c r="AR1535" s="1" t="str">
        <f>IFERROR(__xludf.DUMMYFUNCTION("""COMPUTED_VALUE"""),"10/17/2025")</f>
        <v>10/17/2025</v>
      </c>
    </row>
    <row r="1536">
      <c r="A1536" s="1" t="str">
        <f>IFERROR(__xludf.DUMMYFUNCTION("""COMPUTED_VALUE"""),"Arcola Pacific Campus")</f>
        <v>Arcola Pacific Campus</v>
      </c>
      <c r="B1536" s="1" t="str">
        <f>IFERROR(__xludf.DUMMYFUNCTION("""COMPUTED_VALUE"""),"22020 BRODERICK DR")</f>
        <v>22020 BRODERICK DR</v>
      </c>
      <c r="C1536" s="1" t="str">
        <f>IFERROR(__xludf.DUMMYFUNCTION("""COMPUTED_VALUE"""),"STERLING")</f>
        <v>STERLING</v>
      </c>
      <c r="D1536" s="1" t="str">
        <f>IFERROR(__xludf.DUMMYFUNCTION("""COMPUTED_VALUE"""),"VA")</f>
        <v>VA</v>
      </c>
      <c r="E1536" s="1" t="str">
        <f>IFERROR(__xludf.DUMMYFUNCTION("""COMPUTED_VALUE"""),"20166")</f>
        <v>20166</v>
      </c>
      <c r="F1536" s="1" t="str">
        <f>IFERROR(__xludf.DUMMYFUNCTION("""COMPUTED_VALUE"""),"Loudoun")</f>
        <v>Loudoun</v>
      </c>
      <c r="G1536" s="1" t="str">
        <f>IFERROR(__xludf.DUMMYFUNCTION("""COMPUTED_VALUE"""),"39.004864")</f>
        <v>39.004864</v>
      </c>
      <c r="H1536" s="1" t="str">
        <f>IFERROR(__xludf.DUMMYFUNCTION("""COMPUTED_VALUE"""),"-77.44699")</f>
        <v>-77.44699</v>
      </c>
      <c r="I1536" s="1" t="str">
        <f>IFERROR(__xludf.DUMMYFUNCTION("""COMPUTED_VALUE"""),"Proposed")</f>
        <v>Proposed</v>
      </c>
      <c r="J1536" s="1" t="str">
        <f>IFERROR(__xludf.DUMMYFUNCTION("""COMPUTED_VALUE"""),"High")</f>
        <v>High</v>
      </c>
      <c r="K1536" s="1" t="str">
        <f>IFERROR(__xludf.DUMMYFUNCTION("""COMPUTED_VALUE"""),"")</f>
        <v/>
      </c>
      <c r="L1536" s="1" t="str">
        <f>IFERROR(__xludf.DUMMYFUNCTION("""COMPUTED_VALUE"""),"PowerHouse Data Centers")</f>
        <v>PowerHouse Data Centers</v>
      </c>
      <c r="M1536" s="1" t="str">
        <f>IFERROR(__xludf.DUMMYFUNCTION("""COMPUTED_VALUE"""),"")</f>
        <v/>
      </c>
      <c r="N1536" s="1" t="str">
        <f>IFERROR(__xludf.DUMMYFUNCTION("""COMPUTED_VALUE"""),"")</f>
        <v/>
      </c>
      <c r="O1536" s="1" t="str">
        <f>IFERROR(__xludf.DUMMYFUNCTION("""COMPUTED_VALUE"""),"Unknown")</f>
        <v>Unknown</v>
      </c>
      <c r="P1536" s="1" t="str">
        <f>IFERROR(__xludf.DUMMYFUNCTION("""COMPUTED_VALUE"""),"")</f>
        <v/>
      </c>
      <c r="Q1536" s="1" t="str">
        <f>IFERROR(__xludf.DUMMYFUNCTION("""COMPUTED_VALUE"""),"")</f>
        <v/>
      </c>
      <c r="R1536" s="1" t="str">
        <f>IFERROR(__xludf.DUMMYFUNCTION("""COMPUTED_VALUE"""),"")</f>
        <v/>
      </c>
      <c r="S1536" s="1" t="str">
        <f>IFERROR(__xludf.DUMMYFUNCTION("""COMPUTED_VALUE"""),"")</f>
        <v/>
      </c>
      <c r="T1536" s="1" t="str">
        <f>IFERROR(__xludf.DUMMYFUNCTION("""COMPUTED_VALUE"""),"")</f>
        <v/>
      </c>
      <c r="U1536" s="1" t="str">
        <f>IFERROR(__xludf.DUMMYFUNCTION("""COMPUTED_VALUE"""),"")</f>
        <v/>
      </c>
      <c r="V1536" s="1" t="str">
        <f>IFERROR(__xludf.DUMMYFUNCTION("""COMPUTED_VALUE"""),"1,100,000")</f>
        <v>1,100,000</v>
      </c>
      <c r="W1536" s="1" t="str">
        <f>IFERROR(__xludf.DUMMYFUNCTION("""COMPUTED_VALUE"""),"43")</f>
        <v>43</v>
      </c>
      <c r="X1536" s="1" t="str">
        <f>IFERROR(__xludf.DUMMYFUNCTION("""COMPUTED_VALUE"""),"")</f>
        <v/>
      </c>
      <c r="Y1536" s="1" t="str">
        <f>IFERROR(__xludf.DUMMYFUNCTION("""COMPUTED_VALUE"""),"")</f>
        <v/>
      </c>
      <c r="Z1536" s="1" t="str">
        <f>IFERROR(__xludf.DUMMYFUNCTION("""COMPUTED_VALUE"""),"Unknown")</f>
        <v>Unknown</v>
      </c>
      <c r="AA1536" s="1" t="str">
        <f>IFERROR(__xludf.DUMMYFUNCTION("""COMPUTED_VALUE"""),"")</f>
        <v/>
      </c>
      <c r="AB1536" s="1" t="str">
        <f>IFERROR(__xludf.DUMMYFUNCTION("""COMPUTED_VALUE"""),"")</f>
        <v/>
      </c>
      <c r="AC1536" s="1" t="str">
        <f>IFERROR(__xludf.DUMMYFUNCTION("""COMPUTED_VALUE"""),"")</f>
        <v/>
      </c>
      <c r="AD1536" s="1" t="str">
        <f>IFERROR(__xludf.DUMMYFUNCTION("""COMPUTED_VALUE"""),"")</f>
        <v/>
      </c>
      <c r="AE1536" s="1" t="str">
        <f>IFERROR(__xludf.DUMMYFUNCTION("""COMPUTED_VALUE"""),"")</f>
        <v/>
      </c>
      <c r="AF1536" s="1" t="str">
        <f>IFERROR(__xludf.DUMMYFUNCTION("""COMPUTED_VALUE"""),"")</f>
        <v/>
      </c>
      <c r="AG1536" s="1" t="str">
        <f>IFERROR(__xludf.DUMMYFUNCTION("""COMPUTED_VALUE"""),"")</f>
        <v/>
      </c>
      <c r="AH1536" s="1" t="str">
        <f>IFERROR(__xludf.DUMMYFUNCTION("""COMPUTED_VALUE"""),"PEC")</f>
        <v>PEC</v>
      </c>
      <c r="AI1536" s="2" t="str">
        <f>IFERROR(__xludf.DUMMYFUNCTION("""COMPUTED_VALUE"""),"https://www.datacenterdynamics.com/en/news/arep-launches-powerhouse-data-centers-plans-21-million-sq-ft-338mw-across-virginias-loudoun-county/")</f>
        <v>https://www.datacenterdynamics.com/en/news/arep-launches-powerhouse-data-centers-plans-21-million-sq-ft-338mw-across-virginias-loudoun-county/</v>
      </c>
      <c r="AJ1536" s="2" t="str">
        <f>IFERROR(__xludf.DUMMYFUNCTION("""COMPUTED_VALUE"""),"https://reparcelasmt.loudoun.gov/pt/Datalets/Datalet.aspx?UseSearch=no&amp;mode=profileall&amp;pin=044461959000&amp;jur=107&amp;taxyr=2024")</f>
        <v>https://reparcelasmt.loudoun.gov/pt/Datalets/Datalet.aspx?UseSearch=no&amp;mode=profileall&amp;pin=044461959000&amp;jur=107&amp;taxyr=2024</v>
      </c>
      <c r="AK1536" s="1" t="str">
        <f>IFERROR(__xludf.DUMMYFUNCTION("""COMPUTED_VALUE"""),"")</f>
        <v/>
      </c>
      <c r="AL1536" s="1" t="str">
        <f>IFERROR(__xludf.DUMMYFUNCTION("""COMPUTED_VALUE"""),"")</f>
        <v/>
      </c>
      <c r="AM1536" s="1" t="str">
        <f>IFERROR(__xludf.DUMMYFUNCTION("""COMPUTED_VALUE"""),"")</f>
        <v/>
      </c>
      <c r="AN1536" s="1" t="str">
        <f>IFERROR(__xludf.DUMMYFUNCTION("""COMPUTED_VALUE"""),"")</f>
        <v/>
      </c>
      <c r="AO1536" s="1" t="str">
        <f>IFERROR(__xludf.DUMMYFUNCTION("""COMPUTED_VALUE"""),"")</f>
        <v/>
      </c>
      <c r="AP1536" s="1" t="str">
        <f>IFERROR(__xludf.DUMMYFUNCTION("""COMPUTED_VALUE"""),"")</f>
        <v/>
      </c>
      <c r="AQ1536" s="1" t="str">
        <f>IFERROR(__xludf.DUMMYFUNCTION("""COMPUTED_VALUE"""),"04/10/2024")</f>
        <v>04/10/2024</v>
      </c>
      <c r="AR1536" s="1" t="str">
        <f>IFERROR(__xludf.DUMMYFUNCTION("""COMPUTED_VALUE"""),"10/17/2025")</f>
        <v>10/17/2025</v>
      </c>
    </row>
    <row r="1537">
      <c r="A1537" s="1" t="str">
        <f>IFERROR(__xludf.DUMMYFUNCTION("""COMPUTED_VALUE"""),"DULLES DISTRIBUTION Landbay A")</f>
        <v>DULLES DISTRIBUTION Landbay A</v>
      </c>
      <c r="B1537" s="1" t="str">
        <f>IFERROR(__xludf.DUMMYFUNCTION("""COMPUTED_VALUE"""),"45055 UNDERWOOD LN")</f>
        <v>45055 UNDERWOOD LN</v>
      </c>
      <c r="C1537" s="1" t="str">
        <f>IFERROR(__xludf.DUMMYFUNCTION("""COMPUTED_VALUE"""),"STERLING")</f>
        <v>STERLING</v>
      </c>
      <c r="D1537" s="1" t="str">
        <f>IFERROR(__xludf.DUMMYFUNCTION("""COMPUTED_VALUE"""),"VA")</f>
        <v>VA</v>
      </c>
      <c r="E1537" s="1" t="str">
        <f>IFERROR(__xludf.DUMMYFUNCTION("""COMPUTED_VALUE"""),"20166")</f>
        <v>20166</v>
      </c>
      <c r="F1537" s="1" t="str">
        <f>IFERROR(__xludf.DUMMYFUNCTION("""COMPUTED_VALUE"""),"Loudoun")</f>
        <v>Loudoun</v>
      </c>
      <c r="G1537" s="1" t="str">
        <f>IFERROR(__xludf.DUMMYFUNCTION("""COMPUTED_VALUE"""),"38.980274")</f>
        <v>38.980274</v>
      </c>
      <c r="H1537" s="1" t="str">
        <f>IFERROR(__xludf.DUMMYFUNCTION("""COMPUTED_VALUE"""),"-77.441475")</f>
        <v>-77.441475</v>
      </c>
      <c r="I1537" s="1" t="str">
        <f>IFERROR(__xludf.DUMMYFUNCTION("""COMPUTED_VALUE"""),"Proposed")</f>
        <v>Proposed</v>
      </c>
      <c r="J1537" s="1" t="str">
        <f>IFERROR(__xludf.DUMMYFUNCTION("""COMPUTED_VALUE"""),"High")</f>
        <v>High</v>
      </c>
      <c r="K1537" s="1" t="str">
        <f>IFERROR(__xludf.DUMMYFUNCTION("""COMPUTED_VALUE"""),"")</f>
        <v/>
      </c>
      <c r="L1537" s="1" t="str">
        <f>IFERROR(__xludf.DUMMYFUNCTION("""COMPUTED_VALUE"""),"")</f>
        <v/>
      </c>
      <c r="M1537" s="1" t="str">
        <f>IFERROR(__xludf.DUMMYFUNCTION("""COMPUTED_VALUE"""),"")</f>
        <v/>
      </c>
      <c r="N1537" s="1" t="str">
        <f>IFERROR(__xludf.DUMMYFUNCTION("""COMPUTED_VALUE"""),"")</f>
        <v/>
      </c>
      <c r="O1537" s="1" t="str">
        <f>IFERROR(__xludf.DUMMYFUNCTION("""COMPUTED_VALUE"""),"Unknown")</f>
        <v>Unknown</v>
      </c>
      <c r="P1537" s="1" t="str">
        <f>IFERROR(__xludf.DUMMYFUNCTION("""COMPUTED_VALUE"""),"")</f>
        <v/>
      </c>
      <c r="Q1537" s="1" t="str">
        <f>IFERROR(__xludf.DUMMYFUNCTION("""COMPUTED_VALUE"""),"")</f>
        <v/>
      </c>
      <c r="R1537" s="1" t="str">
        <f>IFERROR(__xludf.DUMMYFUNCTION("""COMPUTED_VALUE"""),"")</f>
        <v/>
      </c>
      <c r="S1537" s="1" t="str">
        <f>IFERROR(__xludf.DUMMYFUNCTION("""COMPUTED_VALUE"""),"")</f>
        <v/>
      </c>
      <c r="T1537" s="1" t="str">
        <f>IFERROR(__xludf.DUMMYFUNCTION("""COMPUTED_VALUE"""),"")</f>
        <v/>
      </c>
      <c r="U1537" s="1" t="str">
        <f>IFERROR(__xludf.DUMMYFUNCTION("""COMPUTED_VALUE"""),"")</f>
        <v/>
      </c>
      <c r="V1537" s="1" t="str">
        <f>IFERROR(__xludf.DUMMYFUNCTION("""COMPUTED_VALUE"""),"305,000")</f>
        <v>305,000</v>
      </c>
      <c r="W1537" s="1" t="str">
        <f>IFERROR(__xludf.DUMMYFUNCTION("""COMPUTED_VALUE"""),"16")</f>
        <v>16</v>
      </c>
      <c r="X1537" s="1" t="str">
        <f>IFERROR(__xludf.DUMMYFUNCTION("""COMPUTED_VALUE"""),"")</f>
        <v/>
      </c>
      <c r="Y1537" s="1" t="str">
        <f>IFERROR(__xludf.DUMMYFUNCTION("""COMPUTED_VALUE"""),"")</f>
        <v/>
      </c>
      <c r="Z1537" s="1" t="str">
        <f>IFERROR(__xludf.DUMMYFUNCTION("""COMPUTED_VALUE"""),"Unknown")</f>
        <v>Unknown</v>
      </c>
      <c r="AA1537" s="1" t="str">
        <f>IFERROR(__xludf.DUMMYFUNCTION("""COMPUTED_VALUE"""),"")</f>
        <v/>
      </c>
      <c r="AB1537" s="1" t="str">
        <f>IFERROR(__xludf.DUMMYFUNCTION("""COMPUTED_VALUE"""),"")</f>
        <v/>
      </c>
      <c r="AC1537" s="1" t="str">
        <f>IFERROR(__xludf.DUMMYFUNCTION("""COMPUTED_VALUE"""),"")</f>
        <v/>
      </c>
      <c r="AD1537" s="1" t="str">
        <f>IFERROR(__xludf.DUMMYFUNCTION("""COMPUTED_VALUE"""),"")</f>
        <v/>
      </c>
      <c r="AE1537" s="1" t="str">
        <f>IFERROR(__xludf.DUMMYFUNCTION("""COMPUTED_VALUE"""),"")</f>
        <v/>
      </c>
      <c r="AF1537" s="1" t="str">
        <f>IFERROR(__xludf.DUMMYFUNCTION("""COMPUTED_VALUE"""),"")</f>
        <v/>
      </c>
      <c r="AG1537" s="1" t="str">
        <f>IFERROR(__xludf.DUMMYFUNCTION("""COMPUTED_VALUE"""),"Includes Landbay C, 4 acre substation site")</f>
        <v>Includes Landbay C, 4 acre substation site</v>
      </c>
      <c r="AH1537" s="1" t="str">
        <f>IFERROR(__xludf.DUMMYFUNCTION("""COMPUTED_VALUE"""),"PEC")</f>
        <v>PEC</v>
      </c>
      <c r="AI1537" s="2" t="str">
        <f>IFERROR(__xludf.DUMMYFUNCTION("""COMPUTED_VALUE"""),"https://loudouncountyvaeg.tylerhost.net/prod/selfservice#/plan/5a05cbbe-77b4-40ec-a02a-df67cd82d9dc?tab=locations")</f>
        <v>https://loudouncountyvaeg.tylerhost.net/prod/selfservice#/plan/5a05cbbe-77b4-40ec-a02a-df67cd82d9dc?tab=locations</v>
      </c>
      <c r="AJ1537" s="2" t="str">
        <f>IFERROR(__xludf.DUMMYFUNCTION("""COMPUTED_VALUE"""),"https://reparcelasmt.loudoun.gov/pt/Datalets/Datalet.aspx?UseSearch=no&amp;mode=profileall&amp;pin=046278993000&amp;jur=107&amp;taxyr=2025")</f>
        <v>https://reparcelasmt.loudoun.gov/pt/Datalets/Datalet.aspx?UseSearch=no&amp;mode=profileall&amp;pin=046278993000&amp;jur=107&amp;taxyr=2025</v>
      </c>
      <c r="AK1537" s="1" t="str">
        <f>IFERROR(__xludf.DUMMYFUNCTION("""COMPUTED_VALUE"""),"")</f>
        <v/>
      </c>
      <c r="AL1537" s="1" t="str">
        <f>IFERROR(__xludf.DUMMYFUNCTION("""COMPUTED_VALUE"""),"")</f>
        <v/>
      </c>
      <c r="AM1537" s="1" t="str">
        <f>IFERROR(__xludf.DUMMYFUNCTION("""COMPUTED_VALUE"""),"")</f>
        <v/>
      </c>
      <c r="AN1537" s="1" t="str">
        <f>IFERROR(__xludf.DUMMYFUNCTION("""COMPUTED_VALUE"""),"")</f>
        <v/>
      </c>
      <c r="AO1537" s="1" t="str">
        <f>IFERROR(__xludf.DUMMYFUNCTION("""COMPUTED_VALUE"""),"")</f>
        <v/>
      </c>
      <c r="AP1537" s="1" t="str">
        <f>IFERROR(__xludf.DUMMYFUNCTION("""COMPUTED_VALUE"""),"")</f>
        <v/>
      </c>
      <c r="AQ1537" s="1" t="str">
        <f>IFERROR(__xludf.DUMMYFUNCTION("""COMPUTED_VALUE"""),"08/08/2025")</f>
        <v>08/08/2025</v>
      </c>
      <c r="AR1537" s="1" t="str">
        <f>IFERROR(__xludf.DUMMYFUNCTION("""COMPUTED_VALUE"""),"10/17/2025")</f>
        <v>10/17/2025</v>
      </c>
    </row>
    <row r="1538">
      <c r="A1538" s="1" t="str">
        <f>IFERROR(__xludf.DUMMYFUNCTION("""COMPUTED_VALUE"""),"DULLES DISTRIBUTION Landbay B")</f>
        <v>DULLES DISTRIBUTION Landbay B</v>
      </c>
      <c r="B1538" s="1" t="str">
        <f>IFERROR(__xludf.DUMMYFUNCTION("""COMPUTED_VALUE"""),"45085 OLD OX RD")</f>
        <v>45085 OLD OX RD</v>
      </c>
      <c r="C1538" s="1" t="str">
        <f>IFERROR(__xludf.DUMMYFUNCTION("""COMPUTED_VALUE"""),"STERLING")</f>
        <v>STERLING</v>
      </c>
      <c r="D1538" s="1" t="str">
        <f>IFERROR(__xludf.DUMMYFUNCTION("""COMPUTED_VALUE"""),"VA")</f>
        <v>VA</v>
      </c>
      <c r="E1538" s="1" t="str">
        <f>IFERROR(__xludf.DUMMYFUNCTION("""COMPUTED_VALUE"""),"20166")</f>
        <v>20166</v>
      </c>
      <c r="F1538" s="1" t="str">
        <f>IFERROR(__xludf.DUMMYFUNCTION("""COMPUTED_VALUE"""),"Loudoun")</f>
        <v>Loudoun</v>
      </c>
      <c r="G1538" s="1" t="str">
        <f>IFERROR(__xludf.DUMMYFUNCTION("""COMPUTED_VALUE"""),"38.978138")</f>
        <v>38.978138</v>
      </c>
      <c r="H1538" s="1" t="str">
        <f>IFERROR(__xludf.DUMMYFUNCTION("""COMPUTED_VALUE"""),"-77.4419")</f>
        <v>-77.4419</v>
      </c>
      <c r="I1538" s="1" t="str">
        <f>IFERROR(__xludf.DUMMYFUNCTION("""COMPUTED_VALUE"""),"Proposed")</f>
        <v>Proposed</v>
      </c>
      <c r="J1538" s="1" t="str">
        <f>IFERROR(__xludf.DUMMYFUNCTION("""COMPUTED_VALUE"""),"High")</f>
        <v>High</v>
      </c>
      <c r="K1538" s="1" t="str">
        <f>IFERROR(__xludf.DUMMYFUNCTION("""COMPUTED_VALUE"""),"")</f>
        <v/>
      </c>
      <c r="L1538" s="1" t="str">
        <f>IFERROR(__xludf.DUMMYFUNCTION("""COMPUTED_VALUE"""),"")</f>
        <v/>
      </c>
      <c r="M1538" s="1" t="str">
        <f>IFERROR(__xludf.DUMMYFUNCTION("""COMPUTED_VALUE"""),"")</f>
        <v/>
      </c>
      <c r="N1538" s="1" t="str">
        <f>IFERROR(__xludf.DUMMYFUNCTION("""COMPUTED_VALUE"""),"")</f>
        <v/>
      </c>
      <c r="O1538" s="1" t="str">
        <f>IFERROR(__xludf.DUMMYFUNCTION("""COMPUTED_VALUE"""),"Unknown")</f>
        <v>Unknown</v>
      </c>
      <c r="P1538" s="1" t="str">
        <f>IFERROR(__xludf.DUMMYFUNCTION("""COMPUTED_VALUE"""),"")</f>
        <v/>
      </c>
      <c r="Q1538" s="1" t="str">
        <f>IFERROR(__xludf.DUMMYFUNCTION("""COMPUTED_VALUE"""),"")</f>
        <v/>
      </c>
      <c r="R1538" s="1" t="str">
        <f>IFERROR(__xludf.DUMMYFUNCTION("""COMPUTED_VALUE"""),"")</f>
        <v/>
      </c>
      <c r="S1538" s="1" t="str">
        <f>IFERROR(__xludf.DUMMYFUNCTION("""COMPUTED_VALUE"""),"")</f>
        <v/>
      </c>
      <c r="T1538" s="1" t="str">
        <f>IFERROR(__xludf.DUMMYFUNCTION("""COMPUTED_VALUE"""),"")</f>
        <v/>
      </c>
      <c r="U1538" s="1" t="str">
        <f>IFERROR(__xludf.DUMMYFUNCTION("""COMPUTED_VALUE"""),"")</f>
        <v/>
      </c>
      <c r="V1538" s="1" t="str">
        <f>IFERROR(__xludf.DUMMYFUNCTION("""COMPUTED_VALUE"""),"660,000")</f>
        <v>660,000</v>
      </c>
      <c r="W1538" s="1" t="str">
        <f>IFERROR(__xludf.DUMMYFUNCTION("""COMPUTED_VALUE"""),"16")</f>
        <v>16</v>
      </c>
      <c r="X1538" s="1" t="str">
        <f>IFERROR(__xludf.DUMMYFUNCTION("""COMPUTED_VALUE"""),"")</f>
        <v/>
      </c>
      <c r="Y1538" s="1" t="str">
        <f>IFERROR(__xludf.DUMMYFUNCTION("""COMPUTED_VALUE"""),"")</f>
        <v/>
      </c>
      <c r="Z1538" s="1" t="str">
        <f>IFERROR(__xludf.DUMMYFUNCTION("""COMPUTED_VALUE"""),"Unknown")</f>
        <v>Unknown</v>
      </c>
      <c r="AA1538" s="1" t="str">
        <f>IFERROR(__xludf.DUMMYFUNCTION("""COMPUTED_VALUE"""),"")</f>
        <v/>
      </c>
      <c r="AB1538" s="1" t="str">
        <f>IFERROR(__xludf.DUMMYFUNCTION("""COMPUTED_VALUE"""),"")</f>
        <v/>
      </c>
      <c r="AC1538" s="1" t="str">
        <f>IFERROR(__xludf.DUMMYFUNCTION("""COMPUTED_VALUE"""),"")</f>
        <v/>
      </c>
      <c r="AD1538" s="1" t="str">
        <f>IFERROR(__xludf.DUMMYFUNCTION("""COMPUTED_VALUE"""),"")</f>
        <v/>
      </c>
      <c r="AE1538" s="1" t="str">
        <f>IFERROR(__xludf.DUMMYFUNCTION("""COMPUTED_VALUE"""),"")</f>
        <v/>
      </c>
      <c r="AF1538" s="1" t="str">
        <f>IFERROR(__xludf.DUMMYFUNCTION("""COMPUTED_VALUE"""),"")</f>
        <v/>
      </c>
      <c r="AG1538" s="1" t="str">
        <f>IFERROR(__xludf.DUMMYFUNCTION("""COMPUTED_VALUE"""),"")</f>
        <v/>
      </c>
      <c r="AH1538" s="1" t="str">
        <f>IFERROR(__xludf.DUMMYFUNCTION("""COMPUTED_VALUE"""),"PEC")</f>
        <v>PEC</v>
      </c>
      <c r="AI1538" s="2" t="str">
        <f>IFERROR(__xludf.DUMMYFUNCTION("""COMPUTED_VALUE"""),"https://loudouncountyvaeg.tylerhost.net/prod/selfservice#/plan/5a05cbbe-77b4-40ec-a02a-df67cd82d9dc?tab=locations")</f>
        <v>https://loudouncountyvaeg.tylerhost.net/prod/selfservice#/plan/5a05cbbe-77b4-40ec-a02a-df67cd82d9dc?tab=locations</v>
      </c>
      <c r="AJ1538" s="2" t="str">
        <f>IFERROR(__xludf.DUMMYFUNCTION("""COMPUTED_VALUE"""),"https://reparcelasmt.loudoun.gov/pt/datalets/datalet.aspx?mode=commercial&amp;UseSearch=no&amp;pin=046275921000&amp;jur=107&amp;taxyr=2025&amp;LMparent=20")</f>
        <v>https://reparcelasmt.loudoun.gov/pt/datalets/datalet.aspx?mode=commercial&amp;UseSearch=no&amp;pin=046275921000&amp;jur=107&amp;taxyr=2025&amp;LMparent=20</v>
      </c>
      <c r="AK1538" s="1" t="str">
        <f>IFERROR(__xludf.DUMMYFUNCTION("""COMPUTED_VALUE"""),"")</f>
        <v/>
      </c>
      <c r="AL1538" s="1" t="str">
        <f>IFERROR(__xludf.DUMMYFUNCTION("""COMPUTED_VALUE"""),"")</f>
        <v/>
      </c>
      <c r="AM1538" s="1" t="str">
        <f>IFERROR(__xludf.DUMMYFUNCTION("""COMPUTED_VALUE"""),"")</f>
        <v/>
      </c>
      <c r="AN1538" s="1" t="str">
        <f>IFERROR(__xludf.DUMMYFUNCTION("""COMPUTED_VALUE"""),"")</f>
        <v/>
      </c>
      <c r="AO1538" s="1" t="str">
        <f>IFERROR(__xludf.DUMMYFUNCTION("""COMPUTED_VALUE"""),"")</f>
        <v/>
      </c>
      <c r="AP1538" s="1" t="str">
        <f>IFERROR(__xludf.DUMMYFUNCTION("""COMPUTED_VALUE"""),"")</f>
        <v/>
      </c>
      <c r="AQ1538" s="1" t="str">
        <f>IFERROR(__xludf.DUMMYFUNCTION("""COMPUTED_VALUE"""),"08/08/2025")</f>
        <v>08/08/2025</v>
      </c>
      <c r="AR1538" s="1" t="str">
        <f>IFERROR(__xludf.DUMMYFUNCTION("""COMPUTED_VALUE"""),"10/17/2025")</f>
        <v>10/17/2025</v>
      </c>
    </row>
    <row r="1539">
      <c r="A1539" s="1" t="str">
        <f>IFERROR(__xludf.DUMMYFUNCTION("""COMPUTED_VALUE"""),"Dulles Electric Data Centers")</f>
        <v>Dulles Electric Data Centers</v>
      </c>
      <c r="B1539" s="1" t="str">
        <f>IFERROR(__xludf.DUMMYFUNCTION("""COMPUTED_VALUE"""),"22570 SHAW RD 100")</f>
        <v>22570 SHAW RD 100</v>
      </c>
      <c r="C1539" s="1" t="str">
        <f>IFERROR(__xludf.DUMMYFUNCTION("""COMPUTED_VALUE"""),"STERLING")</f>
        <v>STERLING</v>
      </c>
      <c r="D1539" s="1" t="str">
        <f>IFERROR(__xludf.DUMMYFUNCTION("""COMPUTED_VALUE"""),"VA")</f>
        <v>VA</v>
      </c>
      <c r="E1539" s="1" t="str">
        <f>IFERROR(__xludf.DUMMYFUNCTION("""COMPUTED_VALUE"""),"20166")</f>
        <v>20166</v>
      </c>
      <c r="F1539" s="1" t="str">
        <f>IFERROR(__xludf.DUMMYFUNCTION("""COMPUTED_VALUE"""),"Loudoun")</f>
        <v>Loudoun</v>
      </c>
      <c r="G1539" s="1" t="str">
        <f>IFERROR(__xludf.DUMMYFUNCTION("""COMPUTED_VALUE"""),"38.99133")</f>
        <v>38.99133</v>
      </c>
      <c r="H1539" s="1" t="str">
        <f>IFERROR(__xludf.DUMMYFUNCTION("""COMPUTED_VALUE"""),"-77.42659")</f>
        <v>-77.42659</v>
      </c>
      <c r="I1539" s="1" t="str">
        <f>IFERROR(__xludf.DUMMYFUNCTION("""COMPUTED_VALUE"""),"Proposed")</f>
        <v>Proposed</v>
      </c>
      <c r="J1539" s="1" t="str">
        <f>IFERROR(__xludf.DUMMYFUNCTION("""COMPUTED_VALUE"""),"High")</f>
        <v>High</v>
      </c>
      <c r="K1539" s="1" t="str">
        <f>IFERROR(__xludf.DUMMYFUNCTION("""COMPUTED_VALUE"""),"")</f>
        <v/>
      </c>
      <c r="L1539" s="1" t="str">
        <f>IFERROR(__xludf.DUMMYFUNCTION("""COMPUTED_VALUE"""),"")</f>
        <v/>
      </c>
      <c r="M1539" s="1" t="str">
        <f>IFERROR(__xludf.DUMMYFUNCTION("""COMPUTED_VALUE"""),"")</f>
        <v/>
      </c>
      <c r="N1539" s="1" t="str">
        <f>IFERROR(__xludf.DUMMYFUNCTION("""COMPUTED_VALUE"""),"")</f>
        <v/>
      </c>
      <c r="O1539" s="1" t="str">
        <f>IFERROR(__xludf.DUMMYFUNCTION("""COMPUTED_VALUE"""),"Unknown")</f>
        <v>Unknown</v>
      </c>
      <c r="P1539" s="1" t="str">
        <f>IFERROR(__xludf.DUMMYFUNCTION("""COMPUTED_VALUE"""),"")</f>
        <v/>
      </c>
      <c r="Q1539" s="1" t="str">
        <f>IFERROR(__xludf.DUMMYFUNCTION("""COMPUTED_VALUE"""),"")</f>
        <v/>
      </c>
      <c r="R1539" s="1" t="str">
        <f>IFERROR(__xludf.DUMMYFUNCTION("""COMPUTED_VALUE"""),"")</f>
        <v/>
      </c>
      <c r="S1539" s="1" t="str">
        <f>IFERROR(__xludf.DUMMYFUNCTION("""COMPUTED_VALUE"""),"")</f>
        <v/>
      </c>
      <c r="T1539" s="1" t="str">
        <f>IFERROR(__xludf.DUMMYFUNCTION("""COMPUTED_VALUE"""),"")</f>
        <v/>
      </c>
      <c r="U1539" s="1" t="str">
        <f>IFERROR(__xludf.DUMMYFUNCTION("""COMPUTED_VALUE"""),"")</f>
        <v/>
      </c>
      <c r="V1539" s="1" t="str">
        <f>IFERROR(__xludf.DUMMYFUNCTION("""COMPUTED_VALUE"""),"371,732")</f>
        <v>371,732</v>
      </c>
      <c r="W1539" s="1" t="str">
        <f>IFERROR(__xludf.DUMMYFUNCTION("""COMPUTED_VALUE"""),"17")</f>
        <v>17</v>
      </c>
      <c r="X1539" s="1" t="str">
        <f>IFERROR(__xludf.DUMMYFUNCTION("""COMPUTED_VALUE"""),"")</f>
        <v/>
      </c>
      <c r="Y1539" s="1" t="str">
        <f>IFERROR(__xludf.DUMMYFUNCTION("""COMPUTED_VALUE"""),"")</f>
        <v/>
      </c>
      <c r="Z1539" s="1" t="str">
        <f>IFERROR(__xludf.DUMMYFUNCTION("""COMPUTED_VALUE"""),"Unknown")</f>
        <v>Unknown</v>
      </c>
      <c r="AA1539" s="1" t="str">
        <f>IFERROR(__xludf.DUMMYFUNCTION("""COMPUTED_VALUE"""),"")</f>
        <v/>
      </c>
      <c r="AB1539" s="1" t="str">
        <f>IFERROR(__xludf.DUMMYFUNCTION("""COMPUTED_VALUE"""),"")</f>
        <v/>
      </c>
      <c r="AC1539" s="1" t="str">
        <f>IFERROR(__xludf.DUMMYFUNCTION("""COMPUTED_VALUE"""),"")</f>
        <v/>
      </c>
      <c r="AD1539" s="1" t="str">
        <f>IFERROR(__xludf.DUMMYFUNCTION("""COMPUTED_VALUE"""),"")</f>
        <v/>
      </c>
      <c r="AE1539" s="1" t="str">
        <f>IFERROR(__xludf.DUMMYFUNCTION("""COMPUTED_VALUE"""),"")</f>
        <v/>
      </c>
      <c r="AF1539" s="1" t="str">
        <f>IFERROR(__xludf.DUMMYFUNCTION("""COMPUTED_VALUE"""),"")</f>
        <v/>
      </c>
      <c r="AG1539" s="1" t="str">
        <f>IFERROR(__xludf.DUMMYFUNCTION("""COMPUTED_VALUE"""),"Project covers more than one parcel, the acreage represents the combined acreage")</f>
        <v>Project covers more than one parcel, the acreage represents the combined acreage</v>
      </c>
      <c r="AH1539" s="1" t="str">
        <f>IFERROR(__xludf.DUMMYFUNCTION("""COMPUTED_VALUE"""),"PEC")</f>
        <v>PEC</v>
      </c>
      <c r="AI1539" s="2" t="str">
        <f>IFERROR(__xludf.DUMMYFUNCTION("""COMPUTED_VALUE"""),"https://loudouncountyvaeg.tylerhost.net/prod/selfservice#/plan/4cd42209-0022-4472-aa5c-9cc46413da23?tab=locations")</f>
        <v>https://loudouncountyvaeg.tylerhost.net/prod/selfservice#/plan/4cd42209-0022-4472-aa5c-9cc46413da23?tab=locations</v>
      </c>
      <c r="AJ1539" s="2" t="str">
        <f>IFERROR(__xludf.DUMMYFUNCTION("""COMPUTED_VALUE"""),"https://reparcelasmt.loudoun.gov/pt/Datalets/Datalet.aspx?UseSearch=no&amp;mode=profileall&amp;pin=033258399000&amp;jur=107&amp;taxyr=2025")</f>
        <v>https://reparcelasmt.loudoun.gov/pt/Datalets/Datalet.aspx?UseSearch=no&amp;mode=profileall&amp;pin=033258399000&amp;jur=107&amp;taxyr=2025</v>
      </c>
      <c r="AK1539" s="1" t="str">
        <f>IFERROR(__xludf.DUMMYFUNCTION("""COMPUTED_VALUE"""),"")</f>
        <v/>
      </c>
      <c r="AL1539" s="1" t="str">
        <f>IFERROR(__xludf.DUMMYFUNCTION("""COMPUTED_VALUE"""),"")</f>
        <v/>
      </c>
      <c r="AM1539" s="1" t="str">
        <f>IFERROR(__xludf.DUMMYFUNCTION("""COMPUTED_VALUE"""),"")</f>
        <v/>
      </c>
      <c r="AN1539" s="1" t="str">
        <f>IFERROR(__xludf.DUMMYFUNCTION("""COMPUTED_VALUE"""),"")</f>
        <v/>
      </c>
      <c r="AO1539" s="1" t="str">
        <f>IFERROR(__xludf.DUMMYFUNCTION("""COMPUTED_VALUE"""),"")</f>
        <v/>
      </c>
      <c r="AP1539" s="1" t="str">
        <f>IFERROR(__xludf.DUMMYFUNCTION("""COMPUTED_VALUE"""),"")</f>
        <v/>
      </c>
      <c r="AQ1539" s="1" t="str">
        <f>IFERROR(__xludf.DUMMYFUNCTION("""COMPUTED_VALUE"""),"08/07/2025")</f>
        <v>08/07/2025</v>
      </c>
      <c r="AR1539" s="1" t="str">
        <f>IFERROR(__xludf.DUMMYFUNCTION("""COMPUTED_VALUE"""),"10/17/2025")</f>
        <v>10/17/2025</v>
      </c>
    </row>
    <row r="1540">
      <c r="A1540" s="1" t="str">
        <f>IFERROR(__xludf.DUMMYFUNCTION("""COMPUTED_VALUE"""),"GLENN DRIVE NORTH &amp; SOUTH")</f>
        <v>GLENN DRIVE NORTH &amp; SOUTH</v>
      </c>
      <c r="B1540" s="1" t="str">
        <f>IFERROR(__xludf.DUMMYFUNCTION("""COMPUTED_VALUE"""),"22815 GLENN DR 101")</f>
        <v>22815 GLENN DR 101</v>
      </c>
      <c r="C1540" s="1" t="str">
        <f>IFERROR(__xludf.DUMMYFUNCTION("""COMPUTED_VALUE"""),"STERLING")</f>
        <v>STERLING</v>
      </c>
      <c r="D1540" s="1" t="str">
        <f>IFERROR(__xludf.DUMMYFUNCTION("""COMPUTED_VALUE"""),"VA")</f>
        <v>VA</v>
      </c>
      <c r="E1540" s="1" t="str">
        <f>IFERROR(__xludf.DUMMYFUNCTION("""COMPUTED_VALUE"""),"20164")</f>
        <v>20164</v>
      </c>
      <c r="F1540" s="1" t="str">
        <f>IFERROR(__xludf.DUMMYFUNCTION("""COMPUTED_VALUE"""),"Loudoun")</f>
        <v>Loudoun</v>
      </c>
      <c r="G1540" s="1" t="str">
        <f>IFERROR(__xludf.DUMMYFUNCTION("""COMPUTED_VALUE"""),"38.988274")</f>
        <v>38.988274</v>
      </c>
      <c r="H1540" s="1" t="str">
        <f>IFERROR(__xludf.DUMMYFUNCTION("""COMPUTED_VALUE"""),"-77.416306")</f>
        <v>-77.416306</v>
      </c>
      <c r="I1540" s="1" t="str">
        <f>IFERROR(__xludf.DUMMYFUNCTION("""COMPUTED_VALUE"""),"Proposed")</f>
        <v>Proposed</v>
      </c>
      <c r="J1540" s="1" t="str">
        <f>IFERROR(__xludf.DUMMYFUNCTION("""COMPUTED_VALUE"""),"High")</f>
        <v>High</v>
      </c>
      <c r="K1540" s="1" t="str">
        <f>IFERROR(__xludf.DUMMYFUNCTION("""COMPUTED_VALUE"""),"")</f>
        <v/>
      </c>
      <c r="L1540" s="1" t="str">
        <f>IFERROR(__xludf.DUMMYFUNCTION("""COMPUTED_VALUE"""),"")</f>
        <v/>
      </c>
      <c r="M1540" s="1" t="str">
        <f>IFERROR(__xludf.DUMMYFUNCTION("""COMPUTED_VALUE"""),"")</f>
        <v/>
      </c>
      <c r="N1540" s="1" t="str">
        <f>IFERROR(__xludf.DUMMYFUNCTION("""COMPUTED_VALUE"""),"")</f>
        <v/>
      </c>
      <c r="O1540" s="1" t="str">
        <f>IFERROR(__xludf.DUMMYFUNCTION("""COMPUTED_VALUE"""),"Unknown")</f>
        <v>Unknown</v>
      </c>
      <c r="P1540" s="1" t="str">
        <f>IFERROR(__xludf.DUMMYFUNCTION("""COMPUTED_VALUE"""),"")</f>
        <v/>
      </c>
      <c r="Q1540" s="1" t="str">
        <f>IFERROR(__xludf.DUMMYFUNCTION("""COMPUTED_VALUE"""),"")</f>
        <v/>
      </c>
      <c r="R1540" s="1" t="str">
        <f>IFERROR(__xludf.DUMMYFUNCTION("""COMPUTED_VALUE"""),"")</f>
        <v/>
      </c>
      <c r="S1540" s="1" t="str">
        <f>IFERROR(__xludf.DUMMYFUNCTION("""COMPUTED_VALUE"""),"")</f>
        <v/>
      </c>
      <c r="T1540" s="1" t="str">
        <f>IFERROR(__xludf.DUMMYFUNCTION("""COMPUTED_VALUE"""),"")</f>
        <v/>
      </c>
      <c r="U1540" s="1" t="str">
        <f>IFERROR(__xludf.DUMMYFUNCTION("""COMPUTED_VALUE"""),"")</f>
        <v/>
      </c>
      <c r="V1540" s="1" t="str">
        <f>IFERROR(__xludf.DUMMYFUNCTION("""COMPUTED_VALUE"""),"1,668,261")</f>
        <v>1,668,261</v>
      </c>
      <c r="W1540" s="1" t="str">
        <f>IFERROR(__xludf.DUMMYFUNCTION("""COMPUTED_VALUE"""),"42")</f>
        <v>42</v>
      </c>
      <c r="X1540" s="1" t="str">
        <f>IFERROR(__xludf.DUMMYFUNCTION("""COMPUTED_VALUE"""),"")</f>
        <v/>
      </c>
      <c r="Y1540" s="1" t="str">
        <f>IFERROR(__xludf.DUMMYFUNCTION("""COMPUTED_VALUE"""),"")</f>
        <v/>
      </c>
      <c r="Z1540" s="1" t="str">
        <f>IFERROR(__xludf.DUMMYFUNCTION("""COMPUTED_VALUE"""),"Unknown")</f>
        <v>Unknown</v>
      </c>
      <c r="AA1540" s="1" t="str">
        <f>IFERROR(__xludf.DUMMYFUNCTION("""COMPUTED_VALUE"""),"")</f>
        <v/>
      </c>
      <c r="AB1540" s="1" t="str">
        <f>IFERROR(__xludf.DUMMYFUNCTION("""COMPUTED_VALUE"""),"")</f>
        <v/>
      </c>
      <c r="AC1540" s="1" t="str">
        <f>IFERROR(__xludf.DUMMYFUNCTION("""COMPUTED_VALUE"""),"")</f>
        <v/>
      </c>
      <c r="AD1540" s="1" t="str">
        <f>IFERROR(__xludf.DUMMYFUNCTION("""COMPUTED_VALUE"""),"")</f>
        <v/>
      </c>
      <c r="AE1540" s="1" t="str">
        <f>IFERROR(__xludf.DUMMYFUNCTION("""COMPUTED_VALUE"""),"")</f>
        <v/>
      </c>
      <c r="AF1540" s="1" t="str">
        <f>IFERROR(__xludf.DUMMYFUNCTION("""COMPUTED_VALUE"""),"")</f>
        <v/>
      </c>
      <c r="AG1540" s="1" t="str">
        <f>IFERROR(__xludf.DUMMYFUNCTION("""COMPUTED_VALUE"""),"Project covers more than one parcel, the acreage represents the combined acreage")</f>
        <v>Project covers more than one parcel, the acreage represents the combined acreage</v>
      </c>
      <c r="AH1540" s="1" t="str">
        <f>IFERROR(__xludf.DUMMYFUNCTION("""COMPUTED_VALUE"""),"PEC")</f>
        <v>PEC</v>
      </c>
      <c r="AI1540" s="2" t="str">
        <f>IFERROR(__xludf.DUMMYFUNCTION("""COMPUTED_VALUE"""),"https://loudouncountyvaeg.tylerhost.net/prod/selfservice#/plan/0c62c1ce-2e62-4e22-9dd0-a540956ff321?tab=locations")</f>
        <v>https://loudouncountyvaeg.tylerhost.net/prod/selfservice#/plan/0c62c1ce-2e62-4e22-9dd0-a540956ff321?tab=locations</v>
      </c>
      <c r="AJ1540" s="2" t="str">
        <f>IFERROR(__xludf.DUMMYFUNCTION("""COMPUTED_VALUE"""),"https://reparcelasmt.loudoun.gov/pt/Datalets/Datalet.aspx?UseSearch=no&amp;mode=profileall&amp;pin=033292608000&amp;jur=107&amp;taxyr=2025")</f>
        <v>https://reparcelasmt.loudoun.gov/pt/Datalets/Datalet.aspx?UseSearch=no&amp;mode=profileall&amp;pin=033292608000&amp;jur=107&amp;taxyr=2025</v>
      </c>
      <c r="AK1540" s="1" t="str">
        <f>IFERROR(__xludf.DUMMYFUNCTION("""COMPUTED_VALUE"""),"")</f>
        <v/>
      </c>
      <c r="AL1540" s="1" t="str">
        <f>IFERROR(__xludf.DUMMYFUNCTION("""COMPUTED_VALUE"""),"")</f>
        <v/>
      </c>
      <c r="AM1540" s="1" t="str">
        <f>IFERROR(__xludf.DUMMYFUNCTION("""COMPUTED_VALUE"""),"")</f>
        <v/>
      </c>
      <c r="AN1540" s="1" t="str">
        <f>IFERROR(__xludf.DUMMYFUNCTION("""COMPUTED_VALUE"""),"")</f>
        <v/>
      </c>
      <c r="AO1540" s="1" t="str">
        <f>IFERROR(__xludf.DUMMYFUNCTION("""COMPUTED_VALUE"""),"")</f>
        <v/>
      </c>
      <c r="AP1540" s="1" t="str">
        <f>IFERROR(__xludf.DUMMYFUNCTION("""COMPUTED_VALUE"""),"")</f>
        <v/>
      </c>
      <c r="AQ1540" s="1" t="str">
        <f>IFERROR(__xludf.DUMMYFUNCTION("""COMPUTED_VALUE"""),"08/07/2025")</f>
        <v>08/07/2025</v>
      </c>
      <c r="AR1540" s="1" t="str">
        <f>IFERROR(__xludf.DUMMYFUNCTION("""COMPUTED_VALUE"""),"10/17/2025")</f>
        <v>10/17/2025</v>
      </c>
    </row>
    <row r="1541">
      <c r="A1541" s="1" t="str">
        <f>IFERROR(__xludf.DUMMYFUNCTION("""COMPUTED_VALUE"""),"MERCURE BUSINESS PARK LOT 22")</f>
        <v>MERCURE BUSINESS PARK LOT 22</v>
      </c>
      <c r="B1541" s="1" t="str">
        <f>IFERROR(__xludf.DUMMYFUNCTION("""COMPUTED_VALUE"""),"44211 MERCURE CIR")</f>
        <v>44211 MERCURE CIR</v>
      </c>
      <c r="C1541" s="1" t="str">
        <f>IFERROR(__xludf.DUMMYFUNCTION("""COMPUTED_VALUE"""),"STERLING")</f>
        <v>STERLING</v>
      </c>
      <c r="D1541" s="1" t="str">
        <f>IFERROR(__xludf.DUMMYFUNCTION("""COMPUTED_VALUE"""),"VA")</f>
        <v>VA</v>
      </c>
      <c r="E1541" s="1" t="str">
        <f>IFERROR(__xludf.DUMMYFUNCTION("""COMPUTED_VALUE"""),"20166")</f>
        <v>20166</v>
      </c>
      <c r="F1541" s="1" t="str">
        <f>IFERROR(__xludf.DUMMYFUNCTION("""COMPUTED_VALUE"""),"Loudoun")</f>
        <v>Loudoun</v>
      </c>
      <c r="G1541" s="1" t="str">
        <f>IFERROR(__xludf.DUMMYFUNCTION("""COMPUTED_VALUE"""),"38.98593")</f>
        <v>38.98593</v>
      </c>
      <c r="H1541" s="1" t="str">
        <f>IFERROR(__xludf.DUMMYFUNCTION("""COMPUTED_VALUE"""),"-77.478325")</f>
        <v>-77.478325</v>
      </c>
      <c r="I1541" s="1" t="str">
        <f>IFERROR(__xludf.DUMMYFUNCTION("""COMPUTED_VALUE"""),"Proposed")</f>
        <v>Proposed</v>
      </c>
      <c r="J1541" s="1" t="str">
        <f>IFERROR(__xludf.DUMMYFUNCTION("""COMPUTED_VALUE"""),"High")</f>
        <v>High</v>
      </c>
      <c r="K1541" s="1" t="str">
        <f>IFERROR(__xludf.DUMMYFUNCTION("""COMPUTED_VALUE"""),"")</f>
        <v/>
      </c>
      <c r="L1541" s="1" t="str">
        <f>IFERROR(__xludf.DUMMYFUNCTION("""COMPUTED_VALUE"""),"")</f>
        <v/>
      </c>
      <c r="M1541" s="1" t="str">
        <f>IFERROR(__xludf.DUMMYFUNCTION("""COMPUTED_VALUE"""),"")</f>
        <v/>
      </c>
      <c r="N1541" s="1" t="str">
        <f>IFERROR(__xludf.DUMMYFUNCTION("""COMPUTED_VALUE"""),"")</f>
        <v/>
      </c>
      <c r="O1541" s="1" t="str">
        <f>IFERROR(__xludf.DUMMYFUNCTION("""COMPUTED_VALUE"""),"Unknown")</f>
        <v>Unknown</v>
      </c>
      <c r="P1541" s="1" t="str">
        <f>IFERROR(__xludf.DUMMYFUNCTION("""COMPUTED_VALUE"""),"")</f>
        <v/>
      </c>
      <c r="Q1541" s="1" t="str">
        <f>IFERROR(__xludf.DUMMYFUNCTION("""COMPUTED_VALUE"""),"")</f>
        <v/>
      </c>
      <c r="R1541" s="1" t="str">
        <f>IFERROR(__xludf.DUMMYFUNCTION("""COMPUTED_VALUE"""),"")</f>
        <v/>
      </c>
      <c r="S1541" s="1" t="str">
        <f>IFERROR(__xludf.DUMMYFUNCTION("""COMPUTED_VALUE"""),"")</f>
        <v/>
      </c>
      <c r="T1541" s="1" t="str">
        <f>IFERROR(__xludf.DUMMYFUNCTION("""COMPUTED_VALUE"""),"")</f>
        <v/>
      </c>
      <c r="U1541" s="1" t="str">
        <f>IFERROR(__xludf.DUMMYFUNCTION("""COMPUTED_VALUE"""),"")</f>
        <v/>
      </c>
      <c r="V1541" s="1" t="str">
        <f>IFERROR(__xludf.DUMMYFUNCTION("""COMPUTED_VALUE"""),"95,658")</f>
        <v>95,658</v>
      </c>
      <c r="W1541" s="1" t="str">
        <f>IFERROR(__xludf.DUMMYFUNCTION("""COMPUTED_VALUE"""),"5")</f>
        <v>5</v>
      </c>
      <c r="X1541" s="1" t="str">
        <f>IFERROR(__xludf.DUMMYFUNCTION("""COMPUTED_VALUE"""),"")</f>
        <v/>
      </c>
      <c r="Y1541" s="1" t="str">
        <f>IFERROR(__xludf.DUMMYFUNCTION("""COMPUTED_VALUE"""),"")</f>
        <v/>
      </c>
      <c r="Z1541" s="1" t="str">
        <f>IFERROR(__xludf.DUMMYFUNCTION("""COMPUTED_VALUE"""),"Unknown")</f>
        <v>Unknown</v>
      </c>
      <c r="AA1541" s="1" t="str">
        <f>IFERROR(__xludf.DUMMYFUNCTION("""COMPUTED_VALUE"""),"")</f>
        <v/>
      </c>
      <c r="AB1541" s="1" t="str">
        <f>IFERROR(__xludf.DUMMYFUNCTION("""COMPUTED_VALUE"""),"")</f>
        <v/>
      </c>
      <c r="AC1541" s="1" t="str">
        <f>IFERROR(__xludf.DUMMYFUNCTION("""COMPUTED_VALUE"""),"")</f>
        <v/>
      </c>
      <c r="AD1541" s="1" t="str">
        <f>IFERROR(__xludf.DUMMYFUNCTION("""COMPUTED_VALUE"""),"")</f>
        <v/>
      </c>
      <c r="AE1541" s="1" t="str">
        <f>IFERROR(__xludf.DUMMYFUNCTION("""COMPUTED_VALUE"""),"")</f>
        <v/>
      </c>
      <c r="AF1541" s="1" t="str">
        <f>IFERROR(__xludf.DUMMYFUNCTION("""COMPUTED_VALUE"""),"")</f>
        <v/>
      </c>
      <c r="AG1541" s="1" t="str">
        <f>IFERROR(__xludf.DUMMYFUNCTION("""COMPUTED_VALUE"""),"Currently flex warehouse. Current building completed in 2022")</f>
        <v>Currently flex warehouse. Current building completed in 2022</v>
      </c>
      <c r="AH1541" s="1" t="str">
        <f>IFERROR(__xludf.DUMMYFUNCTION("""COMPUTED_VALUE"""),"PEC")</f>
        <v>PEC</v>
      </c>
      <c r="AI1541" s="2" t="str">
        <f>IFERROR(__xludf.DUMMYFUNCTION("""COMPUTED_VALUE"""),"https://loudouncountyvaeg.tylerhost.net/prod/selfservice#/plan/a037a799-691c-42c4-a3fa-dd41c9dfa911?tab=attachments")</f>
        <v>https://loudouncountyvaeg.tylerhost.net/prod/selfservice#/plan/a037a799-691c-42c4-a3fa-dd41c9dfa911?tab=attachments</v>
      </c>
      <c r="AJ1541" s="2" t="str">
        <f>IFERROR(__xludf.DUMMYFUNCTION("""COMPUTED_VALUE"""),"https://reparcelasmt.loudoun.gov/pt/Datalets/Datalet.aspx?UseSearch=no&amp;mode=profileall&amp;pin=091493983000&amp;jur=107&amp;taxyr=2025")</f>
        <v>https://reparcelasmt.loudoun.gov/pt/Datalets/Datalet.aspx?UseSearch=no&amp;mode=profileall&amp;pin=091493983000&amp;jur=107&amp;taxyr=2025</v>
      </c>
      <c r="AK1541" s="1" t="str">
        <f>IFERROR(__xludf.DUMMYFUNCTION("""COMPUTED_VALUE"""),"")</f>
        <v/>
      </c>
      <c r="AL1541" s="1" t="str">
        <f>IFERROR(__xludf.DUMMYFUNCTION("""COMPUTED_VALUE"""),"")</f>
        <v/>
      </c>
      <c r="AM1541" s="1" t="str">
        <f>IFERROR(__xludf.DUMMYFUNCTION("""COMPUTED_VALUE"""),"")</f>
        <v/>
      </c>
      <c r="AN1541" s="1" t="str">
        <f>IFERROR(__xludf.DUMMYFUNCTION("""COMPUTED_VALUE"""),"")</f>
        <v/>
      </c>
      <c r="AO1541" s="1" t="str">
        <f>IFERROR(__xludf.DUMMYFUNCTION("""COMPUTED_VALUE"""),"")</f>
        <v/>
      </c>
      <c r="AP1541" s="1" t="str">
        <f>IFERROR(__xludf.DUMMYFUNCTION("""COMPUTED_VALUE"""),"")</f>
        <v/>
      </c>
      <c r="AQ1541" s="1" t="str">
        <f>IFERROR(__xludf.DUMMYFUNCTION("""COMPUTED_VALUE"""),"08/06/2025")</f>
        <v>08/06/2025</v>
      </c>
      <c r="AR1541" s="1" t="str">
        <f>IFERROR(__xludf.DUMMYFUNCTION("""COMPUTED_VALUE"""),"10/17/2025")</f>
        <v>10/17/2025</v>
      </c>
    </row>
    <row r="1542">
      <c r="A1542" s="1" t="str">
        <f>IFERROR(__xludf.DUMMYFUNCTION("""COMPUTED_VALUE"""),"MERCURE BUSINESS PARK LOT 4A1B")</f>
        <v>MERCURE BUSINESS PARK LOT 4A1B</v>
      </c>
      <c r="B1542" s="1" t="str">
        <f>IFERROR(__xludf.DUMMYFUNCTION("""COMPUTED_VALUE"""),"44122 MERCURE CIR")</f>
        <v>44122 MERCURE CIR</v>
      </c>
      <c r="C1542" s="1" t="str">
        <f>IFERROR(__xludf.DUMMYFUNCTION("""COMPUTED_VALUE"""),"STERLING")</f>
        <v>STERLING</v>
      </c>
      <c r="D1542" s="1" t="str">
        <f>IFERROR(__xludf.DUMMYFUNCTION("""COMPUTED_VALUE"""),"VA")</f>
        <v>VA</v>
      </c>
      <c r="E1542" s="1" t="str">
        <f>IFERROR(__xludf.DUMMYFUNCTION("""COMPUTED_VALUE"""),"20166")</f>
        <v>20166</v>
      </c>
      <c r="F1542" s="1" t="str">
        <f>IFERROR(__xludf.DUMMYFUNCTION("""COMPUTED_VALUE"""),"Loudoun")</f>
        <v>Loudoun</v>
      </c>
      <c r="G1542" s="1" t="str">
        <f>IFERROR(__xludf.DUMMYFUNCTION("""COMPUTED_VALUE"""),"38.98479")</f>
        <v>38.98479</v>
      </c>
      <c r="H1542" s="1" t="str">
        <f>IFERROR(__xludf.DUMMYFUNCTION("""COMPUTED_VALUE"""),"-77.48216")</f>
        <v>-77.48216</v>
      </c>
      <c r="I1542" s="1" t="str">
        <f>IFERROR(__xludf.DUMMYFUNCTION("""COMPUTED_VALUE"""),"Proposed")</f>
        <v>Proposed</v>
      </c>
      <c r="J1542" s="1" t="str">
        <f>IFERROR(__xludf.DUMMYFUNCTION("""COMPUTED_VALUE"""),"High")</f>
        <v>High</v>
      </c>
      <c r="K1542" s="1" t="str">
        <f>IFERROR(__xludf.DUMMYFUNCTION("""COMPUTED_VALUE"""),"")</f>
        <v/>
      </c>
      <c r="L1542" s="1" t="str">
        <f>IFERROR(__xludf.DUMMYFUNCTION("""COMPUTED_VALUE"""),"")</f>
        <v/>
      </c>
      <c r="M1542" s="1" t="str">
        <f>IFERROR(__xludf.DUMMYFUNCTION("""COMPUTED_VALUE"""),"")</f>
        <v/>
      </c>
      <c r="N1542" s="1" t="str">
        <f>IFERROR(__xludf.DUMMYFUNCTION("""COMPUTED_VALUE"""),"")</f>
        <v/>
      </c>
      <c r="O1542" s="1" t="str">
        <f>IFERROR(__xludf.DUMMYFUNCTION("""COMPUTED_VALUE"""),"Unknown")</f>
        <v>Unknown</v>
      </c>
      <c r="P1542" s="1" t="str">
        <f>IFERROR(__xludf.DUMMYFUNCTION("""COMPUTED_VALUE"""),"")</f>
        <v/>
      </c>
      <c r="Q1542" s="1" t="str">
        <f>IFERROR(__xludf.DUMMYFUNCTION("""COMPUTED_VALUE"""),"")</f>
        <v/>
      </c>
      <c r="R1542" s="1" t="str">
        <f>IFERROR(__xludf.DUMMYFUNCTION("""COMPUTED_VALUE"""),"")</f>
        <v/>
      </c>
      <c r="S1542" s="1" t="str">
        <f>IFERROR(__xludf.DUMMYFUNCTION("""COMPUTED_VALUE"""),"")</f>
        <v/>
      </c>
      <c r="T1542" s="1" t="str">
        <f>IFERROR(__xludf.DUMMYFUNCTION("""COMPUTED_VALUE"""),"")</f>
        <v/>
      </c>
      <c r="U1542" s="1" t="str">
        <f>IFERROR(__xludf.DUMMYFUNCTION("""COMPUTED_VALUE"""),"")</f>
        <v/>
      </c>
      <c r="V1542" s="1" t="str">
        <f>IFERROR(__xludf.DUMMYFUNCTION("""COMPUTED_VALUE"""),"101,579")</f>
        <v>101,579</v>
      </c>
      <c r="W1542" s="1" t="str">
        <f>IFERROR(__xludf.DUMMYFUNCTION("""COMPUTED_VALUE"""),"6")</f>
        <v>6</v>
      </c>
      <c r="X1542" s="1" t="str">
        <f>IFERROR(__xludf.DUMMYFUNCTION("""COMPUTED_VALUE"""),"")</f>
        <v/>
      </c>
      <c r="Y1542" s="1" t="str">
        <f>IFERROR(__xludf.DUMMYFUNCTION("""COMPUTED_VALUE"""),"")</f>
        <v/>
      </c>
      <c r="Z1542" s="1" t="str">
        <f>IFERROR(__xludf.DUMMYFUNCTION("""COMPUTED_VALUE"""),"Unknown")</f>
        <v>Unknown</v>
      </c>
      <c r="AA1542" s="1" t="str">
        <f>IFERROR(__xludf.DUMMYFUNCTION("""COMPUTED_VALUE"""),"")</f>
        <v/>
      </c>
      <c r="AB1542" s="1" t="str">
        <f>IFERROR(__xludf.DUMMYFUNCTION("""COMPUTED_VALUE"""),"")</f>
        <v/>
      </c>
      <c r="AC1542" s="1" t="str">
        <f>IFERROR(__xludf.DUMMYFUNCTION("""COMPUTED_VALUE"""),"")</f>
        <v/>
      </c>
      <c r="AD1542" s="1" t="str">
        <f>IFERROR(__xludf.DUMMYFUNCTION("""COMPUTED_VALUE"""),"")</f>
        <v/>
      </c>
      <c r="AE1542" s="1" t="str">
        <f>IFERROR(__xludf.DUMMYFUNCTION("""COMPUTED_VALUE"""),"")</f>
        <v/>
      </c>
      <c r="AF1542" s="1" t="str">
        <f>IFERROR(__xludf.DUMMYFUNCTION("""COMPUTED_VALUE"""),"")</f>
        <v/>
      </c>
      <c r="AG1542" s="1" t="str">
        <f>IFERROR(__xludf.DUMMYFUNCTION("""COMPUTED_VALUE"""),"Currently flex warehouse")</f>
        <v>Currently flex warehouse</v>
      </c>
      <c r="AH1542" s="1" t="str">
        <f>IFERROR(__xludf.DUMMYFUNCTION("""COMPUTED_VALUE"""),"PEC")</f>
        <v>PEC</v>
      </c>
      <c r="AI1542" s="2" t="str">
        <f>IFERROR(__xludf.DUMMYFUNCTION("""COMPUTED_VALUE"""),"https://loudouncountyvaeg.tylerhost.net/prod/selfservice#/plan/78825fb5-186a-4f08-ad04-930ece5b609e?tab=attachments")</f>
        <v>https://loudouncountyvaeg.tylerhost.net/prod/selfservice#/plan/78825fb5-186a-4f08-ad04-930ece5b609e?tab=attachments</v>
      </c>
      <c r="AJ1542" s="2" t="str">
        <f>IFERROR(__xludf.DUMMYFUNCTION("""COMPUTED_VALUE"""),"https://reparcelasmt.loudoun.gov/pt/Datalets/Datalet.aspx?UseSearch=no&amp;mode=profileall&amp;pin=091482155000&amp;jur=107&amp;taxyr=2025")</f>
        <v>https://reparcelasmt.loudoun.gov/pt/Datalets/Datalet.aspx?UseSearch=no&amp;mode=profileall&amp;pin=091482155000&amp;jur=107&amp;taxyr=2025</v>
      </c>
      <c r="AK1542" s="1" t="str">
        <f>IFERROR(__xludf.DUMMYFUNCTION("""COMPUTED_VALUE"""),"")</f>
        <v/>
      </c>
      <c r="AL1542" s="1" t="str">
        <f>IFERROR(__xludf.DUMMYFUNCTION("""COMPUTED_VALUE"""),"")</f>
        <v/>
      </c>
      <c r="AM1542" s="1" t="str">
        <f>IFERROR(__xludf.DUMMYFUNCTION("""COMPUTED_VALUE"""),"")</f>
        <v/>
      </c>
      <c r="AN1542" s="1" t="str">
        <f>IFERROR(__xludf.DUMMYFUNCTION("""COMPUTED_VALUE"""),"")</f>
        <v/>
      </c>
      <c r="AO1542" s="1" t="str">
        <f>IFERROR(__xludf.DUMMYFUNCTION("""COMPUTED_VALUE"""),"")</f>
        <v/>
      </c>
      <c r="AP1542" s="1" t="str">
        <f>IFERROR(__xludf.DUMMYFUNCTION("""COMPUTED_VALUE"""),"")</f>
        <v/>
      </c>
      <c r="AQ1542" s="1" t="str">
        <f>IFERROR(__xludf.DUMMYFUNCTION("""COMPUTED_VALUE"""),"08/06/2025")</f>
        <v>08/06/2025</v>
      </c>
      <c r="AR1542" s="1" t="str">
        <f>IFERROR(__xludf.DUMMYFUNCTION("""COMPUTED_VALUE"""),"10/17/2025")</f>
        <v>10/17/2025</v>
      </c>
    </row>
    <row r="1543">
      <c r="A1543" s="1" t="str">
        <f>IFERROR(__xludf.DUMMYFUNCTION("""COMPUTED_VALUE"""),"MERCURE BUSINESS PARK LOTS 19 AND 20")</f>
        <v>MERCURE BUSINESS PARK LOTS 19 AND 20</v>
      </c>
      <c r="B1543" s="1" t="str">
        <f>IFERROR(__xludf.DUMMYFUNCTION("""COMPUTED_VALUE"""),"44083 MERCURE CIR")</f>
        <v>44083 MERCURE CIR</v>
      </c>
      <c r="C1543" s="1" t="str">
        <f>IFERROR(__xludf.DUMMYFUNCTION("""COMPUTED_VALUE"""),"STERLING")</f>
        <v>STERLING</v>
      </c>
      <c r="D1543" s="1" t="str">
        <f>IFERROR(__xludf.DUMMYFUNCTION("""COMPUTED_VALUE"""),"VA")</f>
        <v>VA</v>
      </c>
      <c r="E1543" s="1" t="str">
        <f>IFERROR(__xludf.DUMMYFUNCTION("""COMPUTED_VALUE"""),"20166")</f>
        <v>20166</v>
      </c>
      <c r="F1543" s="1" t="str">
        <f>IFERROR(__xludf.DUMMYFUNCTION("""COMPUTED_VALUE"""),"Loudoun")</f>
        <v>Loudoun</v>
      </c>
      <c r="G1543" s="1" t="str">
        <f>IFERROR(__xludf.DUMMYFUNCTION("""COMPUTED_VALUE"""),"38.985")</f>
        <v>38.985</v>
      </c>
      <c r="H1543" s="1" t="str">
        <f>IFERROR(__xludf.DUMMYFUNCTION("""COMPUTED_VALUE"""),"-77.47932")</f>
        <v>-77.47932</v>
      </c>
      <c r="I1543" s="1" t="str">
        <f>IFERROR(__xludf.DUMMYFUNCTION("""COMPUTED_VALUE"""),"Proposed")</f>
        <v>Proposed</v>
      </c>
      <c r="J1543" s="1" t="str">
        <f>IFERROR(__xludf.DUMMYFUNCTION("""COMPUTED_VALUE"""),"High")</f>
        <v>High</v>
      </c>
      <c r="K1543" s="1" t="str">
        <f>IFERROR(__xludf.DUMMYFUNCTION("""COMPUTED_VALUE"""),"")</f>
        <v/>
      </c>
      <c r="L1543" s="1" t="str">
        <f>IFERROR(__xludf.DUMMYFUNCTION("""COMPUTED_VALUE"""),"")</f>
        <v/>
      </c>
      <c r="M1543" s="1" t="str">
        <f>IFERROR(__xludf.DUMMYFUNCTION("""COMPUTED_VALUE"""),"")</f>
        <v/>
      </c>
      <c r="N1543" s="1" t="str">
        <f>IFERROR(__xludf.DUMMYFUNCTION("""COMPUTED_VALUE"""),"")</f>
        <v/>
      </c>
      <c r="O1543" s="1" t="str">
        <f>IFERROR(__xludf.DUMMYFUNCTION("""COMPUTED_VALUE"""),"Unknown")</f>
        <v>Unknown</v>
      </c>
      <c r="P1543" s="1" t="str">
        <f>IFERROR(__xludf.DUMMYFUNCTION("""COMPUTED_VALUE"""),"")</f>
        <v/>
      </c>
      <c r="Q1543" s="1" t="str">
        <f>IFERROR(__xludf.DUMMYFUNCTION("""COMPUTED_VALUE"""),"")</f>
        <v/>
      </c>
      <c r="R1543" s="1" t="str">
        <f>IFERROR(__xludf.DUMMYFUNCTION("""COMPUTED_VALUE"""),"")</f>
        <v/>
      </c>
      <c r="S1543" s="1" t="str">
        <f>IFERROR(__xludf.DUMMYFUNCTION("""COMPUTED_VALUE"""),"")</f>
        <v/>
      </c>
      <c r="T1543" s="1" t="str">
        <f>IFERROR(__xludf.DUMMYFUNCTION("""COMPUTED_VALUE"""),"")</f>
        <v/>
      </c>
      <c r="U1543" s="1" t="str">
        <f>IFERROR(__xludf.DUMMYFUNCTION("""COMPUTED_VALUE"""),"")</f>
        <v/>
      </c>
      <c r="V1543" s="1" t="str">
        <f>IFERROR(__xludf.DUMMYFUNCTION("""COMPUTED_VALUE"""),"178,648")</f>
        <v>178,648</v>
      </c>
      <c r="W1543" s="1" t="str">
        <f>IFERROR(__xludf.DUMMYFUNCTION("""COMPUTED_VALUE"""),"11")</f>
        <v>11</v>
      </c>
      <c r="X1543" s="1" t="str">
        <f>IFERROR(__xludf.DUMMYFUNCTION("""COMPUTED_VALUE"""),"")</f>
        <v/>
      </c>
      <c r="Y1543" s="1" t="str">
        <f>IFERROR(__xludf.DUMMYFUNCTION("""COMPUTED_VALUE"""),"")</f>
        <v/>
      </c>
      <c r="Z1543" s="1" t="str">
        <f>IFERROR(__xludf.DUMMYFUNCTION("""COMPUTED_VALUE"""),"Unknown")</f>
        <v>Unknown</v>
      </c>
      <c r="AA1543" s="1" t="str">
        <f>IFERROR(__xludf.DUMMYFUNCTION("""COMPUTED_VALUE"""),"")</f>
        <v/>
      </c>
      <c r="AB1543" s="1" t="str">
        <f>IFERROR(__xludf.DUMMYFUNCTION("""COMPUTED_VALUE"""),"")</f>
        <v/>
      </c>
      <c r="AC1543" s="1" t="str">
        <f>IFERROR(__xludf.DUMMYFUNCTION("""COMPUTED_VALUE"""),"")</f>
        <v/>
      </c>
      <c r="AD1543" s="1" t="str">
        <f>IFERROR(__xludf.DUMMYFUNCTION("""COMPUTED_VALUE"""),"")</f>
        <v/>
      </c>
      <c r="AE1543" s="1" t="str">
        <f>IFERROR(__xludf.DUMMYFUNCTION("""COMPUTED_VALUE"""),"")</f>
        <v/>
      </c>
      <c r="AF1543" s="1" t="str">
        <f>IFERROR(__xludf.DUMMYFUNCTION("""COMPUTED_VALUE"""),"")</f>
        <v/>
      </c>
      <c r="AG1543" s="1" t="str">
        <f>IFERROR(__xludf.DUMMYFUNCTION("""COMPUTED_VALUE"""),"Currently warehouses. Project covers more than one parcel, the acreage represents the combined acreage")</f>
        <v>Currently warehouses. Project covers more than one parcel, the acreage represents the combined acreage</v>
      </c>
      <c r="AH1543" s="1" t="str">
        <f>IFERROR(__xludf.DUMMYFUNCTION("""COMPUTED_VALUE"""),"PEC")</f>
        <v>PEC</v>
      </c>
      <c r="AI1543" s="2" t="str">
        <f>IFERROR(__xludf.DUMMYFUNCTION("""COMPUTED_VALUE"""),"https://loudouncountyvaeg.tylerhost.net/prod/selfservice#/plan/306dbd90-969b-4e70-ac97-be032ae24344?tab=attachments")</f>
        <v>https://loudouncountyvaeg.tylerhost.net/prod/selfservice#/plan/306dbd90-969b-4e70-ac97-be032ae24344?tab=attachments</v>
      </c>
      <c r="AJ1543" s="2" t="str">
        <f>IFERROR(__xludf.DUMMYFUNCTION("""COMPUTED_VALUE"""),"https://reparcelasmt.loudoun.gov/pt/Datalets/Datalet.aspx?UseSearch=no&amp;mode=profileall&amp;pin=091490220000&amp;jur=107&amp;taxyr=2025")</f>
        <v>https://reparcelasmt.loudoun.gov/pt/Datalets/Datalet.aspx?UseSearch=no&amp;mode=profileall&amp;pin=091490220000&amp;jur=107&amp;taxyr=2025</v>
      </c>
      <c r="AK1543" s="1" t="str">
        <f>IFERROR(__xludf.DUMMYFUNCTION("""COMPUTED_VALUE"""),"")</f>
        <v/>
      </c>
      <c r="AL1543" s="1" t="str">
        <f>IFERROR(__xludf.DUMMYFUNCTION("""COMPUTED_VALUE"""),"")</f>
        <v/>
      </c>
      <c r="AM1543" s="1" t="str">
        <f>IFERROR(__xludf.DUMMYFUNCTION("""COMPUTED_VALUE"""),"")</f>
        <v/>
      </c>
      <c r="AN1543" s="1" t="str">
        <f>IFERROR(__xludf.DUMMYFUNCTION("""COMPUTED_VALUE"""),"")</f>
        <v/>
      </c>
      <c r="AO1543" s="1" t="str">
        <f>IFERROR(__xludf.DUMMYFUNCTION("""COMPUTED_VALUE"""),"")</f>
        <v/>
      </c>
      <c r="AP1543" s="1" t="str">
        <f>IFERROR(__xludf.DUMMYFUNCTION("""COMPUTED_VALUE"""),"")</f>
        <v/>
      </c>
      <c r="AQ1543" s="1" t="str">
        <f>IFERROR(__xludf.DUMMYFUNCTION("""COMPUTED_VALUE"""),"08/06/2025")</f>
        <v>08/06/2025</v>
      </c>
      <c r="AR1543" s="1" t="str">
        <f>IFERROR(__xludf.DUMMYFUNCTION("""COMPUTED_VALUE"""),"10/17/2025")</f>
        <v>10/17/2025</v>
      </c>
    </row>
    <row r="1544">
      <c r="A1544" s="1" t="str">
        <f>IFERROR(__xludf.DUMMYFUNCTION("""COMPUTED_VALUE"""),"VA 16")</f>
        <v>VA 16</v>
      </c>
      <c r="B1544" s="1" t="str">
        <f>IFERROR(__xludf.DUMMYFUNCTION("""COMPUTED_VALUE"""),"22321 PACIFIC BLVD")</f>
        <v>22321 PACIFIC BLVD</v>
      </c>
      <c r="C1544" s="1" t="str">
        <f>IFERROR(__xludf.DUMMYFUNCTION("""COMPUTED_VALUE"""),"STERLING")</f>
        <v>STERLING</v>
      </c>
      <c r="D1544" s="1" t="str">
        <f>IFERROR(__xludf.DUMMYFUNCTION("""COMPUTED_VALUE"""),"VA")</f>
        <v>VA</v>
      </c>
      <c r="E1544" s="1" t="str">
        <f>IFERROR(__xludf.DUMMYFUNCTION("""COMPUTED_VALUE"""),"20166")</f>
        <v>20166</v>
      </c>
      <c r="F1544" s="1" t="str">
        <f>IFERROR(__xludf.DUMMYFUNCTION("""COMPUTED_VALUE"""),"Loudoun")</f>
        <v>Loudoun</v>
      </c>
      <c r="G1544" s="1" t="str">
        <f>IFERROR(__xludf.DUMMYFUNCTION("""COMPUTED_VALUE"""),"38.99909")</f>
        <v>38.99909</v>
      </c>
      <c r="H1544" s="1" t="str">
        <f>IFERROR(__xludf.DUMMYFUNCTION("""COMPUTED_VALUE"""),"-77.44114")</f>
        <v>-77.44114</v>
      </c>
      <c r="I1544" s="1" t="str">
        <f>IFERROR(__xludf.DUMMYFUNCTION("""COMPUTED_VALUE"""),"Operating")</f>
        <v>Operating</v>
      </c>
      <c r="J1544" s="1" t="str">
        <f>IFERROR(__xludf.DUMMYFUNCTION("""COMPUTED_VALUE"""),"High")</f>
        <v>High</v>
      </c>
      <c r="K1544" s="1" t="str">
        <f>IFERROR(__xludf.DUMMYFUNCTION("""COMPUTED_VALUE"""),"")</f>
        <v/>
      </c>
      <c r="L1544" s="1" t="str">
        <f>IFERROR(__xludf.DUMMYFUNCTION("""COMPUTED_VALUE"""),"")</f>
        <v/>
      </c>
      <c r="M1544" s="1" t="str">
        <f>IFERROR(__xludf.DUMMYFUNCTION("""COMPUTED_VALUE"""),"")</f>
        <v/>
      </c>
      <c r="N1544" s="1" t="str">
        <f>IFERROR(__xludf.DUMMYFUNCTION("""COMPUTED_VALUE"""),"")</f>
        <v/>
      </c>
      <c r="O1544" s="1" t="str">
        <f>IFERROR(__xludf.DUMMYFUNCTION("""COMPUTED_VALUE"""),"Unknown")</f>
        <v>Unknown</v>
      </c>
      <c r="P1544" s="1" t="str">
        <f>IFERROR(__xludf.DUMMYFUNCTION("""COMPUTED_VALUE"""),"")</f>
        <v/>
      </c>
      <c r="Q1544" s="1" t="str">
        <f>IFERROR(__xludf.DUMMYFUNCTION("""COMPUTED_VALUE"""),"")</f>
        <v/>
      </c>
      <c r="R1544" s="1" t="str">
        <f>IFERROR(__xludf.DUMMYFUNCTION("""COMPUTED_VALUE"""),"")</f>
        <v/>
      </c>
      <c r="S1544" s="1" t="str">
        <f>IFERROR(__xludf.DUMMYFUNCTION("""COMPUTED_VALUE"""),"")</f>
        <v/>
      </c>
      <c r="T1544" s="1" t="str">
        <f>IFERROR(__xludf.DUMMYFUNCTION("""COMPUTED_VALUE"""),"")</f>
        <v/>
      </c>
      <c r="U1544" s="1" t="str">
        <f>IFERROR(__xludf.DUMMYFUNCTION("""COMPUTED_VALUE"""),"")</f>
        <v/>
      </c>
      <c r="V1544" s="1" t="str">
        <f>IFERROR(__xludf.DUMMYFUNCTION("""COMPUTED_VALUE"""),"255,935")</f>
        <v>255,935</v>
      </c>
      <c r="W1544" s="1" t="str">
        <f>IFERROR(__xludf.DUMMYFUNCTION("""COMPUTED_VALUE"""),"10")</f>
        <v>10</v>
      </c>
      <c r="X1544" s="1" t="str">
        <f>IFERROR(__xludf.DUMMYFUNCTION("""COMPUTED_VALUE"""),"")</f>
        <v/>
      </c>
      <c r="Y1544" s="1" t="str">
        <f>IFERROR(__xludf.DUMMYFUNCTION("""COMPUTED_VALUE"""),"")</f>
        <v/>
      </c>
      <c r="Z1544" s="1" t="str">
        <f>IFERROR(__xludf.DUMMYFUNCTION("""COMPUTED_VALUE"""),"Unknown")</f>
        <v>Unknown</v>
      </c>
      <c r="AA1544" s="1" t="str">
        <f>IFERROR(__xludf.DUMMYFUNCTION("""COMPUTED_VALUE"""),"")</f>
        <v/>
      </c>
      <c r="AB1544" s="1" t="str">
        <f>IFERROR(__xludf.DUMMYFUNCTION("""COMPUTED_VALUE"""),"")</f>
        <v/>
      </c>
      <c r="AC1544" s="1" t="str">
        <f>IFERROR(__xludf.DUMMYFUNCTION("""COMPUTED_VALUE"""),"")</f>
        <v/>
      </c>
      <c r="AD1544" s="1" t="str">
        <f>IFERROR(__xludf.DUMMYFUNCTION("""COMPUTED_VALUE"""),"")</f>
        <v/>
      </c>
      <c r="AE1544" s="1" t="str">
        <f>IFERROR(__xludf.DUMMYFUNCTION("""COMPUTED_VALUE"""),"")</f>
        <v/>
      </c>
      <c r="AF1544" s="1" t="str">
        <f>IFERROR(__xludf.DUMMYFUNCTION("""COMPUTED_VALUE"""),"")</f>
        <v/>
      </c>
      <c r="AG1544" s="1" t="str">
        <f>IFERROR(__xludf.DUMMYFUNCTION("""COMPUTED_VALUE"""),"")</f>
        <v/>
      </c>
      <c r="AH1544" s="1" t="str">
        <f>IFERROR(__xludf.DUMMYFUNCTION("""COMPUTED_VALUE"""),"PEC")</f>
        <v>PEC</v>
      </c>
      <c r="AI1544" s="2" t="str">
        <f>IFERROR(__xludf.DUMMYFUNCTION("""COMPUTED_VALUE"""),"https://loudouncountyvaeg.tylerhost.net/prod/selfservice#/plan/16f9b8bf-7683-4adb-8ad2-f46dda6fda9f?tab=locations")</f>
        <v>https://loudouncountyvaeg.tylerhost.net/prod/selfservice#/plan/16f9b8bf-7683-4adb-8ad2-f46dda6fda9f?tab=locations</v>
      </c>
      <c r="AJ1544" s="2" t="str">
        <f>IFERROR(__xludf.DUMMYFUNCTION("""COMPUTED_VALUE"""),"https://reparcelasmt.loudoun.gov/pt/datalets/datalet.aspx?mode=profileall&amp;UseSearch=no&amp;pin=044175589000&amp;jur=107&amp;taxyr=2025&amp;LMparent=20")</f>
        <v>https://reparcelasmt.loudoun.gov/pt/datalets/datalet.aspx?mode=profileall&amp;UseSearch=no&amp;pin=044175589000&amp;jur=107&amp;taxyr=2025&amp;LMparent=20</v>
      </c>
      <c r="AK1544" s="1" t="str">
        <f>IFERROR(__xludf.DUMMYFUNCTION("""COMPUTED_VALUE"""),"")</f>
        <v/>
      </c>
      <c r="AL1544" s="1" t="str">
        <f>IFERROR(__xludf.DUMMYFUNCTION("""COMPUTED_VALUE"""),"")</f>
        <v/>
      </c>
      <c r="AM1544" s="1" t="str">
        <f>IFERROR(__xludf.DUMMYFUNCTION("""COMPUTED_VALUE"""),"")</f>
        <v/>
      </c>
      <c r="AN1544" s="1" t="str">
        <f>IFERROR(__xludf.DUMMYFUNCTION("""COMPUTED_VALUE"""),"")</f>
        <v/>
      </c>
      <c r="AO1544" s="1" t="str">
        <f>IFERROR(__xludf.DUMMYFUNCTION("""COMPUTED_VALUE"""),"")</f>
        <v/>
      </c>
      <c r="AP1544" s="1" t="str">
        <f>IFERROR(__xludf.DUMMYFUNCTION("""COMPUTED_VALUE"""),"")</f>
        <v/>
      </c>
      <c r="AQ1544" s="1" t="str">
        <f>IFERROR(__xludf.DUMMYFUNCTION("""COMPUTED_VALUE"""),"08/08/2025")</f>
        <v>08/08/2025</v>
      </c>
      <c r="AR1544" s="1" t="str">
        <f>IFERROR(__xludf.DUMMYFUNCTION("""COMPUTED_VALUE"""),"10/17/2025")</f>
        <v>10/17/2025</v>
      </c>
    </row>
    <row r="1545">
      <c r="A1545" s="1" t="str">
        <f>IFERROR(__xludf.DUMMYFUNCTION("""COMPUTED_VALUE"""),"Marvell Developments")</f>
        <v>Marvell Developments</v>
      </c>
      <c r="B1545" s="1" t="str">
        <f>IFERROR(__xludf.DUMMYFUNCTION("""COMPUTED_VALUE"""),"20420 GERMANNA HWY")</f>
        <v>20420 GERMANNA HWY</v>
      </c>
      <c r="C1545" s="1" t="str">
        <f>IFERROR(__xludf.DUMMYFUNCTION("""COMPUTED_VALUE"""),"Stevensburg")</f>
        <v>Stevensburg</v>
      </c>
      <c r="D1545" s="1" t="str">
        <f>IFERROR(__xludf.DUMMYFUNCTION("""COMPUTED_VALUE"""),"VA")</f>
        <v>VA</v>
      </c>
      <c r="E1545" s="1" t="str">
        <f>IFERROR(__xludf.DUMMYFUNCTION("""COMPUTED_VALUE"""),"22741")</f>
        <v>22741</v>
      </c>
      <c r="F1545" s="1" t="str">
        <f>IFERROR(__xludf.DUMMYFUNCTION("""COMPUTED_VALUE"""),"Culpeper")</f>
        <v>Culpeper</v>
      </c>
      <c r="G1545" s="1" t="str">
        <f>IFERROR(__xludf.DUMMYFUNCTION("""COMPUTED_VALUE"""),"38.435802")</f>
        <v>38.435802</v>
      </c>
      <c r="H1545" s="1" t="str">
        <f>IFERROR(__xludf.DUMMYFUNCTION("""COMPUTED_VALUE"""),"-77.87576")</f>
        <v>-77.87576</v>
      </c>
      <c r="I1545" s="1" t="str">
        <f>IFERROR(__xludf.DUMMYFUNCTION("""COMPUTED_VALUE"""),"Proposed")</f>
        <v>Proposed</v>
      </c>
      <c r="J1545" s="1" t="str">
        <f>IFERROR(__xludf.DUMMYFUNCTION("""COMPUTED_VALUE"""),"High")</f>
        <v>High</v>
      </c>
      <c r="K1545" s="1" t="str">
        <f>IFERROR(__xludf.DUMMYFUNCTION("""COMPUTED_VALUE"""),"")</f>
        <v/>
      </c>
      <c r="L1545" s="1" t="str">
        <f>IFERROR(__xludf.DUMMYFUNCTION("""COMPUTED_VALUE"""),"Amazon")</f>
        <v>Amazon</v>
      </c>
      <c r="M1545" s="1" t="str">
        <f>IFERROR(__xludf.DUMMYFUNCTION("""COMPUTED_VALUE"""),"")</f>
        <v/>
      </c>
      <c r="N1545" s="1" t="str">
        <f>IFERROR(__xludf.DUMMYFUNCTION("""COMPUTED_VALUE"""),"")</f>
        <v/>
      </c>
      <c r="O1545" s="1" t="str">
        <f>IFERROR(__xludf.DUMMYFUNCTION("""COMPUTED_VALUE"""),"Unknown")</f>
        <v>Unknown</v>
      </c>
      <c r="P1545" s="1" t="str">
        <f>IFERROR(__xludf.DUMMYFUNCTION("""COMPUTED_VALUE"""),"")</f>
        <v/>
      </c>
      <c r="Q1545" s="1" t="str">
        <f>IFERROR(__xludf.DUMMYFUNCTION("""COMPUTED_VALUE"""),"")</f>
        <v/>
      </c>
      <c r="R1545" s="1" t="str">
        <f>IFERROR(__xludf.DUMMYFUNCTION("""COMPUTED_VALUE"""),"")</f>
        <v/>
      </c>
      <c r="S1545" s="1" t="str">
        <f>IFERROR(__xludf.DUMMYFUNCTION("""COMPUTED_VALUE"""),"")</f>
        <v/>
      </c>
      <c r="T1545" s="1" t="str">
        <f>IFERROR(__xludf.DUMMYFUNCTION("""COMPUTED_VALUE"""),"")</f>
        <v/>
      </c>
      <c r="U1545" s="1" t="str">
        <f>IFERROR(__xludf.DUMMYFUNCTION("""COMPUTED_VALUE"""),"")</f>
        <v/>
      </c>
      <c r="V1545" s="1" t="str">
        <f>IFERROR(__xludf.DUMMYFUNCTION("""COMPUTED_VALUE"""),"445,000")</f>
        <v>445,000</v>
      </c>
      <c r="W1545" s="1" t="str">
        <f>IFERROR(__xludf.DUMMYFUNCTION("""COMPUTED_VALUE"""),"223")</f>
        <v>223</v>
      </c>
      <c r="X1545" s="1" t="str">
        <f>IFERROR(__xludf.DUMMYFUNCTION("""COMPUTED_VALUE"""),"")</f>
        <v/>
      </c>
      <c r="Y1545" s="1" t="str">
        <f>IFERROR(__xludf.DUMMYFUNCTION("""COMPUTED_VALUE"""),"")</f>
        <v/>
      </c>
      <c r="Z1545" s="1" t="str">
        <f>IFERROR(__xludf.DUMMYFUNCTION("""COMPUTED_VALUE"""),"Unknown")</f>
        <v>Unknown</v>
      </c>
      <c r="AA1545" s="1" t="str">
        <f>IFERROR(__xludf.DUMMYFUNCTION("""COMPUTED_VALUE"""),"")</f>
        <v/>
      </c>
      <c r="AB1545" s="1" t="str">
        <f>IFERROR(__xludf.DUMMYFUNCTION("""COMPUTED_VALUE"""),"")</f>
        <v/>
      </c>
      <c r="AC1545" s="1" t="str">
        <f>IFERROR(__xludf.DUMMYFUNCTION("""COMPUTED_VALUE"""),"")</f>
        <v/>
      </c>
      <c r="AD1545" s="1" t="str">
        <f>IFERROR(__xludf.DUMMYFUNCTION("""COMPUTED_VALUE"""),"")</f>
        <v/>
      </c>
      <c r="AE1545" s="1" t="str">
        <f>IFERROR(__xludf.DUMMYFUNCTION("""COMPUTED_VALUE"""),"")</f>
        <v/>
      </c>
      <c r="AF1545" s="1" t="str">
        <f>IFERROR(__xludf.DUMMYFUNCTION("""COMPUTED_VALUE"""),"")</f>
        <v/>
      </c>
      <c r="AG1545" s="1" t="str">
        <f>IFERROR(__xludf.DUMMYFUNCTION("""COMPUTED_VALUE"""),"")</f>
        <v/>
      </c>
      <c r="AH1545" s="1" t="str">
        <f>IFERROR(__xludf.DUMMYFUNCTION("""COMPUTED_VALUE"""),"PEC")</f>
        <v>PEC</v>
      </c>
      <c r="AI1545" s="2" t="str">
        <f>IFERROR(__xludf.DUMMYFUNCTION("""COMPUTED_VALUE"""),"https://go.boarddocs.com/va/tocva/Board.nsf/files/CTNP796180C4/$file/Copper%20Ridge%20Data%20Center_RZStaffReport.pdf")</f>
        <v>https://go.boarddocs.com/va/tocva/Board.nsf/files/CTNP796180C4/$file/Copper%20Ridge%20Data%20Center_RZStaffReport.pdf</v>
      </c>
      <c r="AJ1545" s="2" t="str">
        <f>IFERROR(__xludf.DUMMYFUNCTION("""COMPUTED_VALUE"""),"https://gis.vgsi.com/culpeperva/Parcel.aspx?pid=10215")</f>
        <v>https://gis.vgsi.com/culpeperva/Parcel.aspx?pid=10215</v>
      </c>
      <c r="AK1545" s="1" t="str">
        <f>IFERROR(__xludf.DUMMYFUNCTION("""COMPUTED_VALUE"""),"")</f>
        <v/>
      </c>
      <c r="AL1545" s="1" t="str">
        <f>IFERROR(__xludf.DUMMYFUNCTION("""COMPUTED_VALUE"""),"")</f>
        <v/>
      </c>
      <c r="AM1545" s="1" t="str">
        <f>IFERROR(__xludf.DUMMYFUNCTION("""COMPUTED_VALUE"""),"")</f>
        <v/>
      </c>
      <c r="AN1545" s="1" t="str">
        <f>IFERROR(__xludf.DUMMYFUNCTION("""COMPUTED_VALUE"""),"")</f>
        <v/>
      </c>
      <c r="AO1545" s="1" t="str">
        <f>IFERROR(__xludf.DUMMYFUNCTION("""COMPUTED_VALUE"""),"")</f>
        <v/>
      </c>
      <c r="AP1545" s="1" t="str">
        <f>IFERROR(__xludf.DUMMYFUNCTION("""COMPUTED_VALUE"""),"")</f>
        <v/>
      </c>
      <c r="AQ1545" s="1" t="str">
        <f>IFERROR(__xludf.DUMMYFUNCTION("""COMPUTED_VALUE"""),"04/10/2024")</f>
        <v>04/10/2024</v>
      </c>
      <c r="AR1545" s="1" t="str">
        <f>IFERROR(__xludf.DUMMYFUNCTION("""COMPUTED_VALUE"""),"10/17/2025")</f>
        <v>10/17/2025</v>
      </c>
    </row>
    <row r="1546">
      <c r="A1546" s="1" t="str">
        <f>IFERROR(__xludf.DUMMYFUNCTION("""COMPUTED_VALUE"""),"42139 REEDS FARM LN")</f>
        <v>42139 REEDS FARM LN</v>
      </c>
      <c r="B1546" s="1" t="str">
        <f>IFERROR(__xludf.DUMMYFUNCTION("""COMPUTED_VALUE"""),"42090 REEDS FARM LN")</f>
        <v>42090 REEDS FARM LN</v>
      </c>
      <c r="C1546" s="1" t="str">
        <f>IFERROR(__xludf.DUMMYFUNCTION("""COMPUTED_VALUE"""),"Stone Ridge")</f>
        <v>Stone Ridge</v>
      </c>
      <c r="D1546" s="1" t="str">
        <f>IFERROR(__xludf.DUMMYFUNCTION("""COMPUTED_VALUE"""),"VA")</f>
        <v>VA</v>
      </c>
      <c r="E1546" s="1" t="str">
        <f>IFERROR(__xludf.DUMMYFUNCTION("""COMPUTED_VALUE"""),"20105")</f>
        <v>20105</v>
      </c>
      <c r="F1546" s="1" t="str">
        <f>IFERROR(__xludf.DUMMYFUNCTION("""COMPUTED_VALUE"""),"Loudoun")</f>
        <v>Loudoun</v>
      </c>
      <c r="G1546" s="1" t="str">
        <f>IFERROR(__xludf.DUMMYFUNCTION("""COMPUTED_VALUE"""),"38.944927")</f>
        <v>38.944927</v>
      </c>
      <c r="H1546" s="1" t="str">
        <f>IFERROR(__xludf.DUMMYFUNCTION("""COMPUTED_VALUE"""),"-77.549866")</f>
        <v>-77.549866</v>
      </c>
      <c r="I1546" s="1" t="str">
        <f>IFERROR(__xludf.DUMMYFUNCTION("""COMPUTED_VALUE"""),"Proposed")</f>
        <v>Proposed</v>
      </c>
      <c r="J1546" s="1" t="str">
        <f>IFERROR(__xludf.DUMMYFUNCTION("""COMPUTED_VALUE"""),"High")</f>
        <v>High</v>
      </c>
      <c r="K1546" s="1" t="str">
        <f>IFERROR(__xludf.DUMMYFUNCTION("""COMPUTED_VALUE"""),"")</f>
        <v/>
      </c>
      <c r="L1546" s="1" t="str">
        <f>IFERROR(__xludf.DUMMYFUNCTION("""COMPUTED_VALUE"""),"Amazon")</f>
        <v>Amazon</v>
      </c>
      <c r="M1546" s="1" t="str">
        <f>IFERROR(__xludf.DUMMYFUNCTION("""COMPUTED_VALUE"""),"")</f>
        <v/>
      </c>
      <c r="N1546" s="1" t="str">
        <f>IFERROR(__xludf.DUMMYFUNCTION("""COMPUTED_VALUE"""),"")</f>
        <v/>
      </c>
      <c r="O1546" s="1" t="str">
        <f>IFERROR(__xludf.DUMMYFUNCTION("""COMPUTED_VALUE"""),"Unknown")</f>
        <v>Unknown</v>
      </c>
      <c r="P1546" s="1" t="str">
        <f>IFERROR(__xludf.DUMMYFUNCTION("""COMPUTED_VALUE"""),"")</f>
        <v/>
      </c>
      <c r="Q1546" s="1" t="str">
        <f>IFERROR(__xludf.DUMMYFUNCTION("""COMPUTED_VALUE"""),"")</f>
        <v/>
      </c>
      <c r="R1546" s="1" t="str">
        <f>IFERROR(__xludf.DUMMYFUNCTION("""COMPUTED_VALUE"""),"")</f>
        <v/>
      </c>
      <c r="S1546" s="1" t="str">
        <f>IFERROR(__xludf.DUMMYFUNCTION("""COMPUTED_VALUE"""),"")</f>
        <v/>
      </c>
      <c r="T1546" s="1" t="str">
        <f>IFERROR(__xludf.DUMMYFUNCTION("""COMPUTED_VALUE"""),"")</f>
        <v/>
      </c>
      <c r="U1546" s="1" t="str">
        <f>IFERROR(__xludf.DUMMYFUNCTION("""COMPUTED_VALUE"""),"")</f>
        <v/>
      </c>
      <c r="V1546" s="1" t="str">
        <f>IFERROR(__xludf.DUMMYFUNCTION("""COMPUTED_VALUE"""),"429,213")</f>
        <v>429,213</v>
      </c>
      <c r="W1546" s="1" t="str">
        <f>IFERROR(__xludf.DUMMYFUNCTION("""COMPUTED_VALUE"""),"90")</f>
        <v>90</v>
      </c>
      <c r="X1546" s="1" t="str">
        <f>IFERROR(__xludf.DUMMYFUNCTION("""COMPUTED_VALUE"""),"")</f>
        <v/>
      </c>
      <c r="Y1546" s="1" t="str">
        <f>IFERROR(__xludf.DUMMYFUNCTION("""COMPUTED_VALUE"""),"")</f>
        <v/>
      </c>
      <c r="Z1546" s="1" t="str">
        <f>IFERROR(__xludf.DUMMYFUNCTION("""COMPUTED_VALUE"""),"Unknown")</f>
        <v>Unknown</v>
      </c>
      <c r="AA1546" s="1" t="str">
        <f>IFERROR(__xludf.DUMMYFUNCTION("""COMPUTED_VALUE"""),"")</f>
        <v/>
      </c>
      <c r="AB1546" s="1" t="str">
        <f>IFERROR(__xludf.DUMMYFUNCTION("""COMPUTED_VALUE"""),"")</f>
        <v/>
      </c>
      <c r="AC1546" s="1" t="str">
        <f>IFERROR(__xludf.DUMMYFUNCTION("""COMPUTED_VALUE"""),"")</f>
        <v/>
      </c>
      <c r="AD1546" s="1" t="str">
        <f>IFERROR(__xludf.DUMMYFUNCTION("""COMPUTED_VALUE"""),"")</f>
        <v/>
      </c>
      <c r="AE1546" s="1" t="str">
        <f>IFERROR(__xludf.DUMMYFUNCTION("""COMPUTED_VALUE"""),"")</f>
        <v/>
      </c>
      <c r="AF1546" s="1" t="str">
        <f>IFERROR(__xludf.DUMMYFUNCTION("""COMPUTED_VALUE"""),"")</f>
        <v/>
      </c>
      <c r="AG1546" s="1" t="str">
        <f>IFERROR(__xludf.DUMMYFUNCTION("""COMPUTED_VALUE"""),"This project covers multiple parcels. The total acreage is represented here.")</f>
        <v>This project covers multiple parcels. The total acreage is represented here.</v>
      </c>
      <c r="AH1546" s="1" t="str">
        <f>IFERROR(__xludf.DUMMYFUNCTION("""COMPUTED_VALUE"""),"PEC")</f>
        <v>PEC</v>
      </c>
      <c r="AI1546" s="2" t="str">
        <f>IFERROR(__xludf.DUMMYFUNCTION("""COMPUTED_VALUE"""),"https://loudouncountyvaeg.tylerhost.net/prod/selfservice#/plan/d3a1ae33-a03c-43b5-9b3f-6918ec841049?tab=attachments")</f>
        <v>https://loudouncountyvaeg.tylerhost.net/prod/selfservice#/plan/d3a1ae33-a03c-43b5-9b3f-6918ec841049?tab=attachments</v>
      </c>
      <c r="AJ1546" s="2" t="str">
        <f>IFERROR(__xludf.DUMMYFUNCTION("""COMPUTED_VALUE"""),"https://reparcelasmt.loudoun.gov/pt/Datalets/Datalet.aspx?UseSearch=no&amp;mode=profileall&amp;pin=203172023000&amp;jur=107&amp;taxyr=2024")</f>
        <v>https://reparcelasmt.loudoun.gov/pt/Datalets/Datalet.aspx?UseSearch=no&amp;mode=profileall&amp;pin=203172023000&amp;jur=107&amp;taxyr=2024</v>
      </c>
      <c r="AK1546" s="1" t="str">
        <f>IFERROR(__xludf.DUMMYFUNCTION("""COMPUTED_VALUE"""),"")</f>
        <v/>
      </c>
      <c r="AL1546" s="1" t="str">
        <f>IFERROR(__xludf.DUMMYFUNCTION("""COMPUTED_VALUE"""),"")</f>
        <v/>
      </c>
      <c r="AM1546" s="1" t="str">
        <f>IFERROR(__xludf.DUMMYFUNCTION("""COMPUTED_VALUE"""),"")</f>
        <v/>
      </c>
      <c r="AN1546" s="1" t="str">
        <f>IFERROR(__xludf.DUMMYFUNCTION("""COMPUTED_VALUE"""),"")</f>
        <v/>
      </c>
      <c r="AO1546" s="1" t="str">
        <f>IFERROR(__xludf.DUMMYFUNCTION("""COMPUTED_VALUE"""),"")</f>
        <v/>
      </c>
      <c r="AP1546" s="1" t="str">
        <f>IFERROR(__xludf.DUMMYFUNCTION("""COMPUTED_VALUE"""),"")</f>
        <v/>
      </c>
      <c r="AQ1546" s="1" t="str">
        <f>IFERROR(__xludf.DUMMYFUNCTION("""COMPUTED_VALUE"""),"04/10/2024")</f>
        <v>04/10/2024</v>
      </c>
      <c r="AR1546" s="1" t="str">
        <f>IFERROR(__xludf.DUMMYFUNCTION("""COMPUTED_VALUE"""),"10/17/2025")</f>
        <v>10/17/2025</v>
      </c>
    </row>
    <row r="1547">
      <c r="A1547" s="1" t="str">
        <f>IFERROR(__xludf.DUMMYFUNCTION("""COMPUTED_VALUE"""),"IAD11")</f>
        <v>IAD11</v>
      </c>
      <c r="B1547" s="1" t="str">
        <f>IFERROR(__xludf.DUMMYFUNCTION("""COMPUTED_VALUE"""),"41840 GROWTH MINDSET LN")</f>
        <v>41840 GROWTH MINDSET LN</v>
      </c>
      <c r="C1547" s="1" t="str">
        <f>IFERROR(__xludf.DUMMYFUNCTION("""COMPUTED_VALUE"""),"Stone Ridge")</f>
        <v>Stone Ridge</v>
      </c>
      <c r="D1547" s="1" t="str">
        <f>IFERROR(__xludf.DUMMYFUNCTION("""COMPUTED_VALUE"""),"VA")</f>
        <v>VA</v>
      </c>
      <c r="E1547" s="1" t="str">
        <f>IFERROR(__xludf.DUMMYFUNCTION("""COMPUTED_VALUE"""),"20105")</f>
        <v>20105</v>
      </c>
      <c r="F1547" s="1" t="str">
        <f>IFERROR(__xludf.DUMMYFUNCTION("""COMPUTED_VALUE"""),"Loudoun")</f>
        <v>Loudoun</v>
      </c>
      <c r="G1547" s="1" t="str">
        <f>IFERROR(__xludf.DUMMYFUNCTION("""COMPUTED_VALUE"""),"38.948166")</f>
        <v>38.948166</v>
      </c>
      <c r="H1547" s="1" t="str">
        <f>IFERROR(__xludf.DUMMYFUNCTION("""COMPUTED_VALUE"""),"-77.55538")</f>
        <v>-77.55538</v>
      </c>
      <c r="I1547" s="1" t="str">
        <f>IFERROR(__xludf.DUMMYFUNCTION("""COMPUTED_VALUE"""),"Operating")</f>
        <v>Operating</v>
      </c>
      <c r="J1547" s="1" t="str">
        <f>IFERROR(__xludf.DUMMYFUNCTION("""COMPUTED_VALUE"""),"High")</f>
        <v>High</v>
      </c>
      <c r="K1547" s="1" t="str">
        <f>IFERROR(__xludf.DUMMYFUNCTION("""COMPUTED_VALUE"""),"")</f>
        <v/>
      </c>
      <c r="L1547" s="1" t="str">
        <f>IFERROR(__xludf.DUMMYFUNCTION("""COMPUTED_VALUE"""),"Microsoft")</f>
        <v>Microsoft</v>
      </c>
      <c r="M1547" s="1" t="str">
        <f>IFERROR(__xludf.DUMMYFUNCTION("""COMPUTED_VALUE"""),"")</f>
        <v/>
      </c>
      <c r="N1547" s="1" t="str">
        <f>IFERROR(__xludf.DUMMYFUNCTION("""COMPUTED_VALUE"""),"")</f>
        <v/>
      </c>
      <c r="O1547" s="1" t="str">
        <f>IFERROR(__xludf.DUMMYFUNCTION("""COMPUTED_VALUE"""),"Unknown")</f>
        <v>Unknown</v>
      </c>
      <c r="P1547" s="1" t="str">
        <f>IFERROR(__xludf.DUMMYFUNCTION("""COMPUTED_VALUE"""),"")</f>
        <v/>
      </c>
      <c r="Q1547" s="1" t="str">
        <f>IFERROR(__xludf.DUMMYFUNCTION("""COMPUTED_VALUE"""),"")</f>
        <v/>
      </c>
      <c r="R1547" s="1" t="str">
        <f>IFERROR(__xludf.DUMMYFUNCTION("""COMPUTED_VALUE"""),"")</f>
        <v/>
      </c>
      <c r="S1547" s="1" t="str">
        <f>IFERROR(__xludf.DUMMYFUNCTION("""COMPUTED_VALUE"""),"")</f>
        <v/>
      </c>
      <c r="T1547" s="1" t="str">
        <f>IFERROR(__xludf.DUMMYFUNCTION("""COMPUTED_VALUE"""),"")</f>
        <v/>
      </c>
      <c r="U1547" s="1" t="str">
        <f>IFERROR(__xludf.DUMMYFUNCTION("""COMPUTED_VALUE"""),"")</f>
        <v/>
      </c>
      <c r="V1547" s="1" t="str">
        <f>IFERROR(__xludf.DUMMYFUNCTION("""COMPUTED_VALUE"""),"759,405")</f>
        <v>759,405</v>
      </c>
      <c r="W1547" s="1" t="str">
        <f>IFERROR(__xludf.DUMMYFUNCTION("""COMPUTED_VALUE"""),"65")</f>
        <v>65</v>
      </c>
      <c r="X1547" s="1" t="str">
        <f>IFERROR(__xludf.DUMMYFUNCTION("""COMPUTED_VALUE"""),"")</f>
        <v/>
      </c>
      <c r="Y1547" s="1" t="str">
        <f>IFERROR(__xludf.DUMMYFUNCTION("""COMPUTED_VALUE"""),"")</f>
        <v/>
      </c>
      <c r="Z1547" s="1" t="str">
        <f>IFERROR(__xludf.DUMMYFUNCTION("""COMPUTED_VALUE"""),"Unknown")</f>
        <v>Unknown</v>
      </c>
      <c r="AA1547" s="1" t="str">
        <f>IFERROR(__xludf.DUMMYFUNCTION("""COMPUTED_VALUE"""),"")</f>
        <v/>
      </c>
      <c r="AB1547" s="1" t="str">
        <f>IFERROR(__xludf.DUMMYFUNCTION("""COMPUTED_VALUE"""),"")</f>
        <v/>
      </c>
      <c r="AC1547" s="1" t="str">
        <f>IFERROR(__xludf.DUMMYFUNCTION("""COMPUTED_VALUE"""),"")</f>
        <v/>
      </c>
      <c r="AD1547" s="1" t="str">
        <f>IFERROR(__xludf.DUMMYFUNCTION("""COMPUTED_VALUE"""),"")</f>
        <v/>
      </c>
      <c r="AE1547" s="1" t="str">
        <f>IFERROR(__xludf.DUMMYFUNCTION("""COMPUTED_VALUE"""),"")</f>
        <v/>
      </c>
      <c r="AF1547" s="1" t="str">
        <f>IFERROR(__xludf.DUMMYFUNCTION("""COMPUTED_VALUE"""),"")</f>
        <v/>
      </c>
      <c r="AG1547" s="1" t="str">
        <f>IFERROR(__xludf.DUMMYFUNCTION("""COMPUTED_VALUE"""),"Computer Center")</f>
        <v>Computer Center</v>
      </c>
      <c r="AH1547" s="1" t="str">
        <f>IFERROR(__xludf.DUMMYFUNCTION("""COMPUTED_VALUE"""),"PEC")</f>
        <v>PEC</v>
      </c>
      <c r="AI1547" s="2" t="str">
        <f>IFERROR(__xludf.DUMMYFUNCTION("""COMPUTED_VALUE"""),"https://reparcelasmt.loudoun.gov/pt/datalets/datalet.aspx?mode=profileall&amp;UseSearch=no&amp;pin=203354208000&amp;jur=107&amp;taxyr=2024&amp;LMparent=20")</f>
        <v>https://reparcelasmt.loudoun.gov/pt/datalets/datalet.aspx?mode=profileall&amp;UseSearch=no&amp;pin=203354208000&amp;jur=107&amp;taxyr=2024&amp;LMparent=20</v>
      </c>
      <c r="AJ1547" s="1" t="str">
        <f>IFERROR(__xludf.DUMMYFUNCTION("""COMPUTED_VALUE"""),"")</f>
        <v/>
      </c>
      <c r="AK1547" s="1" t="str">
        <f>IFERROR(__xludf.DUMMYFUNCTION("""COMPUTED_VALUE"""),"")</f>
        <v/>
      </c>
      <c r="AL1547" s="1" t="str">
        <f>IFERROR(__xludf.DUMMYFUNCTION("""COMPUTED_VALUE"""),"")</f>
        <v/>
      </c>
      <c r="AM1547" s="1" t="str">
        <f>IFERROR(__xludf.DUMMYFUNCTION("""COMPUTED_VALUE"""),"")</f>
        <v/>
      </c>
      <c r="AN1547" s="1" t="str">
        <f>IFERROR(__xludf.DUMMYFUNCTION("""COMPUTED_VALUE"""),"")</f>
        <v/>
      </c>
      <c r="AO1547" s="1" t="str">
        <f>IFERROR(__xludf.DUMMYFUNCTION("""COMPUTED_VALUE"""),"")</f>
        <v/>
      </c>
      <c r="AP1547" s="1" t="str">
        <f>IFERROR(__xludf.DUMMYFUNCTION("""COMPUTED_VALUE"""),"")</f>
        <v/>
      </c>
      <c r="AQ1547" s="1" t="str">
        <f>IFERROR(__xludf.DUMMYFUNCTION("""COMPUTED_VALUE"""),"04/10/2024")</f>
        <v>04/10/2024</v>
      </c>
      <c r="AR1547" s="1" t="str">
        <f>IFERROR(__xludf.DUMMYFUNCTION("""COMPUTED_VALUE"""),"10/17/2025")</f>
        <v>10/17/2025</v>
      </c>
    </row>
    <row r="1548">
      <c r="A1548" s="1" t="str">
        <f>IFERROR(__xludf.DUMMYFUNCTION("""COMPUTED_VALUE"""),"Quail Ridge C - D")</f>
        <v>Quail Ridge C - D</v>
      </c>
      <c r="B1548" s="1" t="str">
        <f>IFERROR(__xludf.DUMMYFUNCTION("""COMPUTED_VALUE"""),"24214 QUAIL RIDGE LN")</f>
        <v>24214 QUAIL RIDGE LN</v>
      </c>
      <c r="C1548" s="1" t="str">
        <f>IFERROR(__xludf.DUMMYFUNCTION("""COMPUTED_VALUE"""),"Stone Ridge")</f>
        <v>Stone Ridge</v>
      </c>
      <c r="D1548" s="1" t="str">
        <f>IFERROR(__xludf.DUMMYFUNCTION("""COMPUTED_VALUE"""),"VA")</f>
        <v>VA</v>
      </c>
      <c r="E1548" s="1" t="str">
        <f>IFERROR(__xludf.DUMMYFUNCTION("""COMPUTED_VALUE"""),"20105")</f>
        <v>20105</v>
      </c>
      <c r="F1548" s="1" t="str">
        <f>IFERROR(__xludf.DUMMYFUNCTION("""COMPUTED_VALUE"""),"Loudoun")</f>
        <v>Loudoun</v>
      </c>
      <c r="G1548" s="1" t="str">
        <f>IFERROR(__xludf.DUMMYFUNCTION("""COMPUTED_VALUE"""),"38.94839")</f>
        <v>38.94839</v>
      </c>
      <c r="H1548" s="1" t="str">
        <f>IFERROR(__xludf.DUMMYFUNCTION("""COMPUTED_VALUE"""),"-77.55884")</f>
        <v>-77.55884</v>
      </c>
      <c r="I1548" s="1" t="str">
        <f>IFERROR(__xludf.DUMMYFUNCTION("""COMPUTED_VALUE"""),"Operating")</f>
        <v>Operating</v>
      </c>
      <c r="J1548" s="1" t="str">
        <f>IFERROR(__xludf.DUMMYFUNCTION("""COMPUTED_VALUE"""),"High")</f>
        <v>High</v>
      </c>
      <c r="K1548" s="1" t="str">
        <f>IFERROR(__xludf.DUMMYFUNCTION("""COMPUTED_VALUE"""),"")</f>
        <v/>
      </c>
      <c r="L1548" s="1" t="str">
        <f>IFERROR(__xludf.DUMMYFUNCTION("""COMPUTED_VALUE"""),"")</f>
        <v/>
      </c>
      <c r="M1548" s="1" t="str">
        <f>IFERROR(__xludf.DUMMYFUNCTION("""COMPUTED_VALUE"""),"")</f>
        <v/>
      </c>
      <c r="N1548" s="1" t="str">
        <f>IFERROR(__xludf.DUMMYFUNCTION("""COMPUTED_VALUE"""),"")</f>
        <v/>
      </c>
      <c r="O1548" s="1" t="str">
        <f>IFERROR(__xludf.DUMMYFUNCTION("""COMPUTED_VALUE"""),"Unknown")</f>
        <v>Unknown</v>
      </c>
      <c r="P1548" s="1" t="str">
        <f>IFERROR(__xludf.DUMMYFUNCTION("""COMPUTED_VALUE"""),"")</f>
        <v/>
      </c>
      <c r="Q1548" s="1" t="str">
        <f>IFERROR(__xludf.DUMMYFUNCTION("""COMPUTED_VALUE"""),"")</f>
        <v/>
      </c>
      <c r="R1548" s="1" t="str">
        <f>IFERROR(__xludf.DUMMYFUNCTION("""COMPUTED_VALUE"""),"")</f>
        <v/>
      </c>
      <c r="S1548" s="1" t="str">
        <f>IFERROR(__xludf.DUMMYFUNCTION("""COMPUTED_VALUE"""),"")</f>
        <v/>
      </c>
      <c r="T1548" s="1" t="str">
        <f>IFERROR(__xludf.DUMMYFUNCTION("""COMPUTED_VALUE"""),"")</f>
        <v/>
      </c>
      <c r="U1548" s="1" t="str">
        <f>IFERROR(__xludf.DUMMYFUNCTION("""COMPUTED_VALUE"""),"")</f>
        <v/>
      </c>
      <c r="V1548" s="1" t="str">
        <f>IFERROR(__xludf.DUMMYFUNCTION("""COMPUTED_VALUE"""),"505,200")</f>
        <v>505,200</v>
      </c>
      <c r="W1548" s="1" t="str">
        <f>IFERROR(__xludf.DUMMYFUNCTION("""COMPUTED_VALUE"""),"33")</f>
        <v>33</v>
      </c>
      <c r="X1548" s="1" t="str">
        <f>IFERROR(__xludf.DUMMYFUNCTION("""COMPUTED_VALUE"""),"")</f>
        <v/>
      </c>
      <c r="Y1548" s="1" t="str">
        <f>IFERROR(__xludf.DUMMYFUNCTION("""COMPUTED_VALUE"""),"")</f>
        <v/>
      </c>
      <c r="Z1548" s="1" t="str">
        <f>IFERROR(__xludf.DUMMYFUNCTION("""COMPUTED_VALUE"""),"Unknown")</f>
        <v>Unknown</v>
      </c>
      <c r="AA1548" s="1" t="str">
        <f>IFERROR(__xludf.DUMMYFUNCTION("""COMPUTED_VALUE"""),"")</f>
        <v/>
      </c>
      <c r="AB1548" s="1" t="str">
        <f>IFERROR(__xludf.DUMMYFUNCTION("""COMPUTED_VALUE"""),"")</f>
        <v/>
      </c>
      <c r="AC1548" s="1" t="str">
        <f>IFERROR(__xludf.DUMMYFUNCTION("""COMPUTED_VALUE"""),"")</f>
        <v/>
      </c>
      <c r="AD1548" s="1" t="str">
        <f>IFERROR(__xludf.DUMMYFUNCTION("""COMPUTED_VALUE"""),"")</f>
        <v/>
      </c>
      <c r="AE1548" s="1" t="str">
        <f>IFERROR(__xludf.DUMMYFUNCTION("""COMPUTED_VALUE"""),"")</f>
        <v/>
      </c>
      <c r="AF1548" s="1" t="str">
        <f>IFERROR(__xludf.DUMMYFUNCTION("""COMPUTED_VALUE"""),"")</f>
        <v/>
      </c>
      <c r="AG1548" s="1" t="str">
        <f>IFERROR(__xludf.DUMMYFUNCTION("""COMPUTED_VALUE"""),"Computer Center")</f>
        <v>Computer Center</v>
      </c>
      <c r="AH1548" s="1" t="str">
        <f>IFERROR(__xludf.DUMMYFUNCTION("""COMPUTED_VALUE"""),"PEC")</f>
        <v>PEC</v>
      </c>
      <c r="AI1548" s="2" t="str">
        <f>IFERROR(__xludf.DUMMYFUNCTION("""COMPUTED_VALUE"""),"https://www.datacenterdynamics.com/en/news/aws-sells-land-in-manassas-to-stack-buys-land-data-centers-in-loudoun-county-from-stack-owner-ipi/")</f>
        <v>https://www.datacenterdynamics.com/en/news/aws-sells-land-in-manassas-to-stack-buys-land-data-centers-in-loudoun-county-from-stack-owner-ipi/</v>
      </c>
      <c r="AJ1548" s="2" t="str">
        <f>IFERROR(__xludf.DUMMYFUNCTION("""COMPUTED_VALUE"""),"https://reparcelasmt.loudoun.gov/pt/Datalets/Datalet.aspx?mode=commercial&amp;UseSearch=no&amp;pin=246203645000&amp;jur=107&amp;taxyr=2024&amp;card=1&amp;item=0&amp;State=2|1|1|1|1|&amp;items=4")</f>
        <v>https://reparcelasmt.loudoun.gov/pt/Datalets/Datalet.aspx?mode=commercial&amp;UseSearch=no&amp;pin=246203645000&amp;jur=107&amp;taxyr=2024&amp;card=1&amp;item=0&amp;State=2|1|1|1|1|&amp;items=4</v>
      </c>
      <c r="AK1548" s="1" t="str">
        <f>IFERROR(__xludf.DUMMYFUNCTION("""COMPUTED_VALUE"""),"")</f>
        <v/>
      </c>
      <c r="AL1548" s="1" t="str">
        <f>IFERROR(__xludf.DUMMYFUNCTION("""COMPUTED_VALUE"""),"")</f>
        <v/>
      </c>
      <c r="AM1548" s="1" t="str">
        <f>IFERROR(__xludf.DUMMYFUNCTION("""COMPUTED_VALUE"""),"")</f>
        <v/>
      </c>
      <c r="AN1548" s="1" t="str">
        <f>IFERROR(__xludf.DUMMYFUNCTION("""COMPUTED_VALUE"""),"")</f>
        <v/>
      </c>
      <c r="AO1548" s="1" t="str">
        <f>IFERROR(__xludf.DUMMYFUNCTION("""COMPUTED_VALUE"""),"")</f>
        <v/>
      </c>
      <c r="AP1548" s="1" t="str">
        <f>IFERROR(__xludf.DUMMYFUNCTION("""COMPUTED_VALUE"""),"")</f>
        <v/>
      </c>
      <c r="AQ1548" s="1" t="str">
        <f>IFERROR(__xludf.DUMMYFUNCTION("""COMPUTED_VALUE"""),"04/10/2024")</f>
        <v>04/10/2024</v>
      </c>
      <c r="AR1548" s="1" t="str">
        <f>IFERROR(__xludf.DUMMYFUNCTION("""COMPUTED_VALUE"""),"10/17/2025")</f>
        <v>10/17/2025</v>
      </c>
    </row>
    <row r="1549">
      <c r="A1549" s="1" t="str">
        <f>IFERROR(__xludf.DUMMYFUNCTION("""COMPUTED_VALUE"""),"""Project Tallmadge""")</f>
        <v>"Project Tallmadge"</v>
      </c>
      <c r="B1549" s="1" t="str">
        <f>IFERROR(__xludf.DUMMYFUNCTION("""COMPUTED_VALUE"""),"north of 671 Borden Mowery Dr")</f>
        <v>north of 671 Borden Mowery Dr</v>
      </c>
      <c r="C1549" s="1" t="str">
        <f>IFERROR(__xludf.DUMMYFUNCTION("""COMPUTED_VALUE"""),"Strasburg")</f>
        <v>Strasburg</v>
      </c>
      <c r="D1549" s="1" t="str">
        <f>IFERROR(__xludf.DUMMYFUNCTION("""COMPUTED_VALUE"""),"VA")</f>
        <v>VA</v>
      </c>
      <c r="E1549" s="1" t="str">
        <f>IFERROR(__xludf.DUMMYFUNCTION("""COMPUTED_VALUE"""),"22657")</f>
        <v>22657</v>
      </c>
      <c r="F1549" s="1" t="str">
        <f>IFERROR(__xludf.DUMMYFUNCTION("""COMPUTED_VALUE"""),"Shenandoah")</f>
        <v>Shenandoah</v>
      </c>
      <c r="G1549" s="1" t="str">
        <f>IFERROR(__xludf.DUMMYFUNCTION("""COMPUTED_VALUE"""),"39.012093")</f>
        <v>39.012093</v>
      </c>
      <c r="H1549" s="1" t="str">
        <f>IFERROR(__xludf.DUMMYFUNCTION("""COMPUTED_VALUE"""),"-78.35856")</f>
        <v>-78.35856</v>
      </c>
      <c r="I1549" s="1" t="str">
        <f>IFERROR(__xludf.DUMMYFUNCTION("""COMPUTED_VALUE"""),"Proposed")</f>
        <v>Proposed</v>
      </c>
      <c r="J1549" s="1" t="str">
        <f>IFERROR(__xludf.DUMMYFUNCTION("""COMPUTED_VALUE"""),"High")</f>
        <v>High</v>
      </c>
      <c r="K1549" s="1" t="str">
        <f>IFERROR(__xludf.DUMMYFUNCTION("""COMPUTED_VALUE"""),"")</f>
        <v/>
      </c>
      <c r="L1549" s="1" t="str">
        <f>IFERROR(__xludf.DUMMYFUNCTION("""COMPUTED_VALUE"""),"Takanock")</f>
        <v>Takanock</v>
      </c>
      <c r="M1549" s="1" t="str">
        <f>IFERROR(__xludf.DUMMYFUNCTION("""COMPUTED_VALUE"""),"")</f>
        <v/>
      </c>
      <c r="N1549" s="1" t="str">
        <f>IFERROR(__xludf.DUMMYFUNCTION("""COMPUTED_VALUE"""),"180")</f>
        <v>180</v>
      </c>
      <c r="O1549" s="1" t="str">
        <f>IFERROR(__xludf.DUMMYFUNCTION("""COMPUTED_VALUE"""),"Hyperscale (100-999 MW)")</f>
        <v>Hyperscale (100-999 MW)</v>
      </c>
      <c r="P1549" s="1" t="str">
        <f>IFERROR(__xludf.DUMMYFUNCTION("""COMPUTED_VALUE"""),"Natural gas")</f>
        <v>Natural gas</v>
      </c>
      <c r="Q1549" s="1" t="str">
        <f>IFERROR(__xludf.DUMMYFUNCTION("""COMPUTED_VALUE"""),"")</f>
        <v/>
      </c>
      <c r="R1549" s="1" t="str">
        <f>IFERROR(__xludf.DUMMYFUNCTION("""COMPUTED_VALUE"""),"")</f>
        <v/>
      </c>
      <c r="S1549" s="1" t="str">
        <f>IFERROR(__xludf.DUMMYFUNCTION("""COMPUTED_VALUE"""),"")</f>
        <v/>
      </c>
      <c r="T1549" s="1" t="str">
        <f>IFERROR(__xludf.DUMMYFUNCTION("""COMPUTED_VALUE"""),"Water")</f>
        <v>Water</v>
      </c>
      <c r="U1549" s="1" t="str">
        <f>IFERROR(__xludf.DUMMYFUNCTION("""COMPUTED_VALUE"""),"Closed loop")</f>
        <v>Closed loop</v>
      </c>
      <c r="V1549" s="1" t="str">
        <f>IFERROR(__xludf.DUMMYFUNCTION("""COMPUTED_VALUE"""),"")</f>
        <v/>
      </c>
      <c r="W1549" s="1" t="str">
        <f>IFERROR(__xludf.DUMMYFUNCTION("""COMPUTED_VALUE"""),"87")</f>
        <v>87</v>
      </c>
      <c r="X1549" s="1" t="str">
        <f>IFERROR(__xludf.DUMMYFUNCTION("""COMPUTED_VALUE"""),"")</f>
        <v/>
      </c>
      <c r="Y1549" s="1" t="str">
        <f>IFERROR(__xludf.DUMMYFUNCTION("""COMPUTED_VALUE"""),"2030")</f>
        <v>2030</v>
      </c>
      <c r="Z1549" s="1" t="str">
        <f>IFERROR(__xludf.DUMMYFUNCTION("""COMPUTED_VALUE"""),"Unknown")</f>
        <v>Unknown</v>
      </c>
      <c r="AA1549" s="1" t="str">
        <f>IFERROR(__xludf.DUMMYFUNCTION("""COMPUTED_VALUE"""),"")</f>
        <v/>
      </c>
      <c r="AB1549" s="1" t="str">
        <f>IFERROR(__xludf.DUMMYFUNCTION("""COMPUTED_VALUE"""),"Emerging Concern")</f>
        <v>Emerging Concern</v>
      </c>
      <c r="AC1549" s="1" t="str">
        <f>IFERROR(__xludf.DUMMYFUNCTION("""COMPUTED_VALUE"""),"")</f>
        <v/>
      </c>
      <c r="AD1549" s="1" t="str">
        <f>IFERROR(__xludf.DUMMYFUNCTION("""COMPUTED_VALUE"""),"")</f>
        <v/>
      </c>
      <c r="AE1549" s="1" t="str">
        <f>IFERROR(__xludf.DUMMYFUNCTION("""COMPUTED_VALUE"""),"")</f>
        <v/>
      </c>
      <c r="AF1549" s="2" t="str">
        <f>IFERROR(__xludf.DUMMYFUNCTION("""COMPUTED_VALUE"""),"https://www.ipetitions.com/petition/petition-no-data-centers-yes-to-rural/")</f>
        <v>https://www.ipetitions.com/petition/petition-no-data-centers-yes-to-rural/</v>
      </c>
      <c r="AG1549" s="1" t="str">
        <f>IFERROR(__xludf.DUMMYFUNCTION("""COMPUTED_VALUE"""),"")</f>
        <v/>
      </c>
      <c r="AH1549" s="1" t="str">
        <f>IFERROR(__xludf.DUMMYFUNCTION("""COMPUTED_VALUE"""),"Media Monitoring")</f>
        <v>Media Monitoring</v>
      </c>
      <c r="AI1549" s="2" t="str">
        <f>IFERROR(__xludf.DUMMYFUNCTION("""COMPUTED_VALUE"""),"https://www.datacenterdynamics.com/en/news/87-acre-project-tallmadge-to-be-built-in-strasburg-virginia/")</f>
        <v>https://www.datacenterdynamics.com/en/news/87-acre-project-tallmadge-to-be-built-in-strasburg-virginia/</v>
      </c>
      <c r="AJ1549" s="2" t="str">
        <f>IFERROR(__xludf.DUMMYFUNCTION("""COMPUTED_VALUE"""),"https://www.strasburgva.com/administration/project/data-center-informatione-built-in-strasburg-virginia/")</f>
        <v>https://www.strasburgva.com/administration/project/data-center-informatione-built-in-strasburg-virginia/</v>
      </c>
      <c r="AK1549" s="1" t="str">
        <f>IFERROR(__xludf.DUMMYFUNCTION("""COMPUTED_VALUE"""),"")</f>
        <v/>
      </c>
      <c r="AL1549" s="1" t="str">
        <f>IFERROR(__xludf.DUMMYFUNCTION("""COMPUTED_VALUE"""),"")</f>
        <v/>
      </c>
      <c r="AM1549" s="1" t="str">
        <f>IFERROR(__xludf.DUMMYFUNCTION("""COMPUTED_VALUE"""),"")</f>
        <v/>
      </c>
      <c r="AN1549" s="1" t="str">
        <f>IFERROR(__xludf.DUMMYFUNCTION("""COMPUTED_VALUE"""),"")</f>
        <v/>
      </c>
      <c r="AO1549" s="1" t="str">
        <f>IFERROR(__xludf.DUMMYFUNCTION("""COMPUTED_VALUE"""),"")</f>
        <v/>
      </c>
      <c r="AP1549" s="1" t="str">
        <f>IFERROR(__xludf.DUMMYFUNCTION("""COMPUTED_VALUE"""),"")</f>
        <v/>
      </c>
      <c r="AQ1549" s="1" t="str">
        <f>IFERROR(__xludf.DUMMYFUNCTION("""COMPUTED_VALUE"""),"06/22/2026")</f>
        <v>06/22/2026</v>
      </c>
      <c r="AR1549" s="1" t="str">
        <f>IFERROR(__xludf.DUMMYFUNCTION("""COMPUTED_VALUE"""),"06/22/2026")</f>
        <v>06/22/2026</v>
      </c>
    </row>
    <row r="1550">
      <c r="A1550" s="1" t="str">
        <f>IFERROR(__xludf.DUMMYFUNCTION("""COMPUTED_VALUE"""),"Google Data Center")</f>
        <v>Google Data Center</v>
      </c>
      <c r="B1550" s="1" t="str">
        <f>IFERROR(__xludf.DUMMYFUNCTION("""COMPUTED_VALUE"""),"south of Storelea Dr")</f>
        <v>south of Storelea Dr</v>
      </c>
      <c r="C1550" s="1" t="str">
        <f>IFERROR(__xludf.DUMMYFUNCTION("""COMPUTED_VALUE"""),"Troutville (Botetourt County)")</f>
        <v>Troutville (Botetourt County)</v>
      </c>
      <c r="D1550" s="1" t="str">
        <f>IFERROR(__xludf.DUMMYFUNCTION("""COMPUTED_VALUE"""),"VA")</f>
        <v>VA</v>
      </c>
      <c r="E1550" s="1" t="str">
        <f>IFERROR(__xludf.DUMMYFUNCTION("""COMPUTED_VALUE"""),"24175")</f>
        <v>24175</v>
      </c>
      <c r="F1550" s="1" t="str">
        <f>IFERROR(__xludf.DUMMYFUNCTION("""COMPUTED_VALUE"""),"Botetourt")</f>
        <v>Botetourt</v>
      </c>
      <c r="G1550" s="1" t="str">
        <f>IFERROR(__xludf.DUMMYFUNCTION("""COMPUTED_VALUE"""),"37.44555")</f>
        <v>37.44555</v>
      </c>
      <c r="H1550" s="1" t="str">
        <f>IFERROR(__xludf.DUMMYFUNCTION("""COMPUTED_VALUE"""),"-79.9223")</f>
        <v>-79.9223</v>
      </c>
      <c r="I1550" s="1" t="str">
        <f>IFERROR(__xludf.DUMMYFUNCTION("""COMPUTED_VALUE"""),"Proposed")</f>
        <v>Proposed</v>
      </c>
      <c r="J1550" s="1" t="str">
        <f>IFERROR(__xludf.DUMMYFUNCTION("""COMPUTED_VALUE"""),"High")</f>
        <v>High</v>
      </c>
      <c r="K1550" s="1" t="str">
        <f>IFERROR(__xludf.DUMMYFUNCTION("""COMPUTED_VALUE"""),"")</f>
        <v/>
      </c>
      <c r="L1550" s="1" t="str">
        <f>IFERROR(__xludf.DUMMYFUNCTION("""COMPUTED_VALUE"""),"Google")</f>
        <v>Google</v>
      </c>
      <c r="M1550" s="1" t="str">
        <f>IFERROR(__xludf.DUMMYFUNCTION("""COMPUTED_VALUE"""),"")</f>
        <v/>
      </c>
      <c r="N1550" s="1" t="str">
        <f>IFERROR(__xludf.DUMMYFUNCTION("""COMPUTED_VALUE"""),"")</f>
        <v/>
      </c>
      <c r="O1550" s="1" t="str">
        <f>IFERROR(__xludf.DUMMYFUNCTION("""COMPUTED_VALUE"""),"Hyperscale (100-999 MW)")</f>
        <v>Hyperscale (100-999 MW)</v>
      </c>
      <c r="P1550" s="1" t="str">
        <f>IFERROR(__xludf.DUMMYFUNCTION("""COMPUTED_VALUE"""),"")</f>
        <v/>
      </c>
      <c r="Q1550" s="1" t="str">
        <f>IFERROR(__xludf.DUMMYFUNCTION("""COMPUTED_VALUE"""),"")</f>
        <v/>
      </c>
      <c r="R1550" s="1" t="str">
        <f>IFERROR(__xludf.DUMMYFUNCTION("""COMPUTED_VALUE"""),"")</f>
        <v/>
      </c>
      <c r="S1550" s="1" t="str">
        <f>IFERROR(__xludf.DUMMYFUNCTION("""COMPUTED_VALUE"""),"3")</f>
        <v>3</v>
      </c>
      <c r="T1550" s="1" t="str">
        <f>IFERROR(__xludf.DUMMYFUNCTION("""COMPUTED_VALUE"""),"")</f>
        <v/>
      </c>
      <c r="U1550" s="1" t="str">
        <f>IFERROR(__xludf.DUMMYFUNCTION("""COMPUTED_VALUE"""),"")</f>
        <v/>
      </c>
      <c r="V1550" s="1" t="str">
        <f>IFERROR(__xludf.DUMMYFUNCTION("""COMPUTED_VALUE"""),"900000")</f>
        <v>900000</v>
      </c>
      <c r="W1550" s="1" t="str">
        <f>IFERROR(__xludf.DUMMYFUNCTION("""COMPUTED_VALUE"""),"344")</f>
        <v>344</v>
      </c>
      <c r="X1550" s="1" t="str">
        <f>IFERROR(__xludf.DUMMYFUNCTION("""COMPUTED_VALUE"""),"$14 million")</f>
        <v>$14 million</v>
      </c>
      <c r="Y1550" s="1" t="str">
        <f>IFERROR(__xludf.DUMMYFUNCTION("""COMPUTED_VALUE"""),"")</f>
        <v/>
      </c>
      <c r="Z1550" s="1" t="str">
        <f>IFERROR(__xludf.DUMMYFUNCTION("""COMPUTED_VALUE"""),"Unknown")</f>
        <v>Unknown</v>
      </c>
      <c r="AA1550" s="1" t="str">
        <f>IFERROR(__xludf.DUMMYFUNCTION("""COMPUTED_VALUE"""),"")</f>
        <v/>
      </c>
      <c r="AB1550" s="1" t="str">
        <f>IFERROR(__xludf.DUMMYFUNCTION("""COMPUTED_VALUE"""),"")</f>
        <v/>
      </c>
      <c r="AC1550" s="1" t="str">
        <f>IFERROR(__xludf.DUMMYFUNCTION("""COMPUTED_VALUE"""),"")</f>
        <v/>
      </c>
      <c r="AD1550" s="1" t="str">
        <f>IFERROR(__xludf.DUMMYFUNCTION("""COMPUTED_VALUE"""),"")</f>
        <v/>
      </c>
      <c r="AE1550" s="1" t="str">
        <f>IFERROR(__xludf.DUMMYFUNCTION("""COMPUTED_VALUE"""),"")</f>
        <v/>
      </c>
      <c r="AF1550" s="1" t="str">
        <f>IFERROR(__xludf.DUMMYFUNCTION("""COMPUTED_VALUE"""),"")</f>
        <v/>
      </c>
      <c r="AG1550" s="1" t="str">
        <f>IFERROR(__xludf.DUMMYFUNCTION("""COMPUTED_VALUE"""),"")</f>
        <v/>
      </c>
      <c r="AH1550" s="1" t="str">
        <f>IFERROR(__xludf.DUMMYFUNCTION("""COMPUTED_VALUE"""),"Media Monitoring")</f>
        <v>Media Monitoring</v>
      </c>
      <c r="AI1550" s="2" t="str">
        <f>IFERROR(__xludf.DUMMYFUNCTION("""COMPUTED_VALUE"""),"https://cardinalnews.org/2025/06/24/google-buys-botetourt-county-land-for-data-center-plans/")</f>
        <v>https://cardinalnews.org/2025/06/24/google-buys-botetourt-county-land-for-data-center-plans/</v>
      </c>
      <c r="AJ1550" s="2" t="str">
        <f>IFERROR(__xludf.DUMMYFUNCTION("""COMPUTED_VALUE"""),"https://www.wsls.com/news/local/2025/09/12/western-virginia-water-authority-planning-ahead-as-google-builds-new-data-center-in-botetourt-county/")</f>
        <v>https://www.wsls.com/news/local/2025/09/12/western-virginia-water-authority-planning-ahead-as-google-builds-new-data-center-in-botetourt-county/</v>
      </c>
      <c r="AK1550" s="2" t="str">
        <f>IFERROR(__xludf.DUMMYFUNCTION("""COMPUTED_VALUE"""),"https://www.datacenterdynamics.com/en/news/google-details-planned-data-center-in-botetourt-county-virginia/")</f>
        <v>https://www.datacenterdynamics.com/en/news/google-details-planned-data-center-in-botetourt-county-virginia/</v>
      </c>
      <c r="AL1550" s="1" t="str">
        <f>IFERROR(__xludf.DUMMYFUNCTION("""COMPUTED_VALUE"""),"")</f>
        <v/>
      </c>
      <c r="AM1550" s="1" t="str">
        <f>IFERROR(__xludf.DUMMYFUNCTION("""COMPUTED_VALUE"""),"")</f>
        <v/>
      </c>
      <c r="AN1550" s="1" t="str">
        <f>IFERROR(__xludf.DUMMYFUNCTION("""COMPUTED_VALUE"""),"")</f>
        <v/>
      </c>
      <c r="AO1550" s="1" t="str">
        <f>IFERROR(__xludf.DUMMYFUNCTION("""COMPUTED_VALUE"""),"")</f>
        <v/>
      </c>
      <c r="AP1550" s="1" t="str">
        <f>IFERROR(__xludf.DUMMYFUNCTION("""COMPUTED_VALUE"""),"")</f>
        <v/>
      </c>
      <c r="AQ1550" s="1" t="str">
        <f>IFERROR(__xludf.DUMMYFUNCTION("""COMPUTED_VALUE"""),"09/14/2025")</f>
        <v>09/14/2025</v>
      </c>
      <c r="AR1550" s="1" t="str">
        <f>IFERROR(__xludf.DUMMYFUNCTION("""COMPUTED_VALUE"""),"03/19/2026")</f>
        <v>03/19/2026</v>
      </c>
    </row>
    <row r="1551">
      <c r="A1551" s="1" t="str">
        <f>IFERROR(__xludf.DUMMYFUNCTION("""COMPUTED_VALUE"""),"ELIAS DC ASSETS")</f>
        <v>ELIAS DC ASSETS</v>
      </c>
      <c r="B1551" s="1" t="str">
        <f>IFERROR(__xludf.DUMMYFUNCTION("""COMPUTED_VALUE"""),"1764 A OLD MEADOW LN")</f>
        <v>1764 A OLD MEADOW LN</v>
      </c>
      <c r="C1551" s="1" t="str">
        <f>IFERROR(__xludf.DUMMYFUNCTION("""COMPUTED_VALUE"""),"Tysons")</f>
        <v>Tysons</v>
      </c>
      <c r="D1551" s="1" t="str">
        <f>IFERROR(__xludf.DUMMYFUNCTION("""COMPUTED_VALUE"""),"VA")</f>
        <v>VA</v>
      </c>
      <c r="E1551" s="1" t="str">
        <f>IFERROR(__xludf.DUMMYFUNCTION("""COMPUTED_VALUE"""),"22102")</f>
        <v>22102</v>
      </c>
      <c r="F1551" s="1" t="str">
        <f>IFERROR(__xludf.DUMMYFUNCTION("""COMPUTED_VALUE"""),"Fairfax")</f>
        <v>Fairfax</v>
      </c>
      <c r="G1551" s="1" t="str">
        <f>IFERROR(__xludf.DUMMYFUNCTION("""COMPUTED_VALUE"""),"38.91998")</f>
        <v>38.91998</v>
      </c>
      <c r="H1551" s="1" t="str">
        <f>IFERROR(__xludf.DUMMYFUNCTION("""COMPUTED_VALUE"""),"-77.21348")</f>
        <v>-77.21348</v>
      </c>
      <c r="I1551" s="1" t="str">
        <f>IFERROR(__xludf.DUMMYFUNCTION("""COMPUTED_VALUE"""),"Operating")</f>
        <v>Operating</v>
      </c>
      <c r="J1551" s="1" t="str">
        <f>IFERROR(__xludf.DUMMYFUNCTION("""COMPUTED_VALUE"""),"High")</f>
        <v>High</v>
      </c>
      <c r="K1551" s="1" t="str">
        <f>IFERROR(__xludf.DUMMYFUNCTION("""COMPUTED_VALUE"""),"")</f>
        <v/>
      </c>
      <c r="L1551" s="1" t="str">
        <f>IFERROR(__xludf.DUMMYFUNCTION("""COMPUTED_VALUE"""),"ELIAS DC ASSETS LLC")</f>
        <v>ELIAS DC ASSETS LLC</v>
      </c>
      <c r="M1551" s="1" t="str">
        <f>IFERROR(__xludf.DUMMYFUNCTION("""COMPUTED_VALUE"""),"")</f>
        <v/>
      </c>
      <c r="N1551" s="1" t="str">
        <f>IFERROR(__xludf.DUMMYFUNCTION("""COMPUTED_VALUE"""),"")</f>
        <v/>
      </c>
      <c r="O1551" s="1" t="str">
        <f>IFERROR(__xludf.DUMMYFUNCTION("""COMPUTED_VALUE"""),"Unknown")</f>
        <v>Unknown</v>
      </c>
      <c r="P1551" s="1" t="str">
        <f>IFERROR(__xludf.DUMMYFUNCTION("""COMPUTED_VALUE"""),"")</f>
        <v/>
      </c>
      <c r="Q1551" s="1" t="str">
        <f>IFERROR(__xludf.DUMMYFUNCTION("""COMPUTED_VALUE"""),"")</f>
        <v/>
      </c>
      <c r="R1551" s="1" t="str">
        <f>IFERROR(__xludf.DUMMYFUNCTION("""COMPUTED_VALUE"""),"")</f>
        <v/>
      </c>
      <c r="S1551" s="1" t="str">
        <f>IFERROR(__xludf.DUMMYFUNCTION("""COMPUTED_VALUE"""),"")</f>
        <v/>
      </c>
      <c r="T1551" s="1" t="str">
        <f>IFERROR(__xludf.DUMMYFUNCTION("""COMPUTED_VALUE"""),"")</f>
        <v/>
      </c>
      <c r="U1551" s="1" t="str">
        <f>IFERROR(__xludf.DUMMYFUNCTION("""COMPUTED_VALUE"""),"")</f>
        <v/>
      </c>
      <c r="V1551" s="1" t="str">
        <f>IFERROR(__xludf.DUMMYFUNCTION("""COMPUTED_VALUE"""),"69,089")</f>
        <v>69,089</v>
      </c>
      <c r="W1551" s="1" t="str">
        <f>IFERROR(__xludf.DUMMYFUNCTION("""COMPUTED_VALUE"""),"2")</f>
        <v>2</v>
      </c>
      <c r="X1551" s="1" t="str">
        <f>IFERROR(__xludf.DUMMYFUNCTION("""COMPUTED_VALUE"""),"")</f>
        <v/>
      </c>
      <c r="Y1551" s="1" t="str">
        <f>IFERROR(__xludf.DUMMYFUNCTION("""COMPUTED_VALUE"""),"")</f>
        <v/>
      </c>
      <c r="Z1551" s="1" t="str">
        <f>IFERROR(__xludf.DUMMYFUNCTION("""COMPUTED_VALUE"""),"Unknown")</f>
        <v>Unknown</v>
      </c>
      <c r="AA1551" s="1" t="str">
        <f>IFERROR(__xludf.DUMMYFUNCTION("""COMPUTED_VALUE"""),"")</f>
        <v/>
      </c>
      <c r="AB1551" s="1" t="str">
        <f>IFERROR(__xludf.DUMMYFUNCTION("""COMPUTED_VALUE"""),"")</f>
        <v/>
      </c>
      <c r="AC1551" s="1" t="str">
        <f>IFERROR(__xludf.DUMMYFUNCTION("""COMPUTED_VALUE"""),"")</f>
        <v/>
      </c>
      <c r="AD1551" s="1" t="str">
        <f>IFERROR(__xludf.DUMMYFUNCTION("""COMPUTED_VALUE"""),"")</f>
        <v/>
      </c>
      <c r="AE1551" s="1" t="str">
        <f>IFERROR(__xludf.DUMMYFUNCTION("""COMPUTED_VALUE"""),"")</f>
        <v/>
      </c>
      <c r="AF1551" s="1" t="str">
        <f>IFERROR(__xludf.DUMMYFUNCTION("""COMPUTED_VALUE"""),"")</f>
        <v/>
      </c>
      <c r="AG1551" s="1" t="str">
        <f>IFERROR(__xludf.DUMMYFUNCTION("""COMPUTED_VALUE"""),"")</f>
        <v/>
      </c>
      <c r="AH1551" s="1" t="str">
        <f>IFERROR(__xludf.DUMMYFUNCTION("""COMPUTED_VALUE"""),"PEC")</f>
        <v>PEC</v>
      </c>
      <c r="AI1551" s="2" t="str">
        <f>IFERROR(__xludf.DUMMYFUNCTION("""COMPUTED_VALUE"""),"https://www.fairfaxcounty.gov/planning-development/sites/planning-development/files/Assets/Documents/PDF/data-centers-report.pdf#page=1")</f>
        <v>https://www.fairfaxcounty.gov/planning-development/sites/planning-development/files/Assets/Documents/PDF/data-centers-report.pdf#page=1</v>
      </c>
      <c r="AJ1551" s="2" t="str">
        <f>IFERROR(__xludf.DUMMYFUNCTION("""COMPUTED_VALUE"""),"https://icare.fairfaxcounty.gov/ffxcare/Datalets/Datalet.aspx?mode=&amp;UseSearch=no&amp;pin=0294%2006%20%200097F&amp;jur=129&amp;taxyr=2025")</f>
        <v>https://icare.fairfaxcounty.gov/ffxcare/Datalets/Datalet.aspx?mode=&amp;UseSearch=no&amp;pin=0294%2006%20%200097F&amp;jur=129&amp;taxyr=2025</v>
      </c>
      <c r="AK1551" s="1" t="str">
        <f>IFERROR(__xludf.DUMMYFUNCTION("""COMPUTED_VALUE"""),"")</f>
        <v/>
      </c>
      <c r="AL1551" s="1" t="str">
        <f>IFERROR(__xludf.DUMMYFUNCTION("""COMPUTED_VALUE"""),"")</f>
        <v/>
      </c>
      <c r="AM1551" s="1" t="str">
        <f>IFERROR(__xludf.DUMMYFUNCTION("""COMPUTED_VALUE"""),"")</f>
        <v/>
      </c>
      <c r="AN1551" s="1" t="str">
        <f>IFERROR(__xludf.DUMMYFUNCTION("""COMPUTED_VALUE"""),"")</f>
        <v/>
      </c>
      <c r="AO1551" s="1" t="str">
        <f>IFERROR(__xludf.DUMMYFUNCTION("""COMPUTED_VALUE"""),"")</f>
        <v/>
      </c>
      <c r="AP1551" s="1" t="str">
        <f>IFERROR(__xludf.DUMMYFUNCTION("""COMPUTED_VALUE"""),"")</f>
        <v/>
      </c>
      <c r="AQ1551" s="1" t="str">
        <f>IFERROR(__xludf.DUMMYFUNCTION("""COMPUTED_VALUE"""),"04/10/2024")</f>
        <v>04/10/2024</v>
      </c>
      <c r="AR1551" s="1" t="str">
        <f>IFERROR(__xludf.DUMMYFUNCTION("""COMPUTED_VALUE"""),"10/17/2025")</f>
        <v>10/17/2025</v>
      </c>
    </row>
    <row r="1552">
      <c r="A1552" s="1" t="str">
        <f>IFERROR(__xludf.DUMMYFUNCTION("""COMPUTED_VALUE"""),"Tysons Enterprise West")</f>
        <v>Tysons Enterprise West</v>
      </c>
      <c r="B1552" s="1" t="str">
        <f>IFERROR(__xludf.DUMMYFUNCTION("""COMPUTED_VALUE"""),"7980 and 7990 Quantum Dr")</f>
        <v>7980 and 7990 Quantum Dr</v>
      </c>
      <c r="C1552" s="1" t="str">
        <f>IFERROR(__xludf.DUMMYFUNCTION("""COMPUTED_VALUE"""),"Vienna")</f>
        <v>Vienna</v>
      </c>
      <c r="D1552" s="1" t="str">
        <f>IFERROR(__xludf.DUMMYFUNCTION("""COMPUTED_VALUE"""),"VA")</f>
        <v>VA</v>
      </c>
      <c r="E1552" s="1" t="str">
        <f>IFERROR(__xludf.DUMMYFUNCTION("""COMPUTED_VALUE"""),"22182")</f>
        <v>22182</v>
      </c>
      <c r="F1552" s="1" t="str">
        <f>IFERROR(__xludf.DUMMYFUNCTION("""COMPUTED_VALUE"""),"Fairfax")</f>
        <v>Fairfax</v>
      </c>
      <c r="G1552" s="1" t="str">
        <f>IFERROR(__xludf.DUMMYFUNCTION("""COMPUTED_VALUE"""),"38.909004")</f>
        <v>38.909004</v>
      </c>
      <c r="H1552" s="1" t="str">
        <f>IFERROR(__xludf.DUMMYFUNCTION("""COMPUTED_VALUE"""),"-77.2205")</f>
        <v>-77.2205</v>
      </c>
      <c r="I1552" s="1" t="str">
        <f>IFERROR(__xludf.DUMMYFUNCTION("""COMPUTED_VALUE"""),"Expanding")</f>
        <v>Expanding</v>
      </c>
      <c r="J1552" s="1" t="str">
        <f>IFERROR(__xludf.DUMMYFUNCTION("""COMPUTED_VALUE"""),"High")</f>
        <v>High</v>
      </c>
      <c r="K1552" s="1" t="str">
        <f>IFERROR(__xludf.DUMMYFUNCTION("""COMPUTED_VALUE"""),"")</f>
        <v/>
      </c>
      <c r="L1552" s="1" t="str">
        <f>IFERROR(__xludf.DUMMYFUNCTION("""COMPUTED_VALUE"""),"Equinix")</f>
        <v>Equinix</v>
      </c>
      <c r="M1552" s="1" t="str">
        <f>IFERROR(__xludf.DUMMYFUNCTION("""COMPUTED_VALUE"""),"")</f>
        <v/>
      </c>
      <c r="N1552" s="1" t="str">
        <f>IFERROR(__xludf.DUMMYFUNCTION("""COMPUTED_VALUE"""),"")</f>
        <v/>
      </c>
      <c r="O1552" s="1" t="str">
        <f>IFERROR(__xludf.DUMMYFUNCTION("""COMPUTED_VALUE"""),"Unknown")</f>
        <v>Unknown</v>
      </c>
      <c r="P1552" s="1" t="str">
        <f>IFERROR(__xludf.DUMMYFUNCTION("""COMPUTED_VALUE"""),"")</f>
        <v/>
      </c>
      <c r="Q1552" s="1" t="str">
        <f>IFERROR(__xludf.DUMMYFUNCTION("""COMPUTED_VALUE"""),"")</f>
        <v/>
      </c>
      <c r="R1552" s="1" t="str">
        <f>IFERROR(__xludf.DUMMYFUNCTION("""COMPUTED_VALUE"""),"")</f>
        <v/>
      </c>
      <c r="S1552" s="1" t="str">
        <f>IFERROR(__xludf.DUMMYFUNCTION("""COMPUTED_VALUE"""),"")</f>
        <v/>
      </c>
      <c r="T1552" s="1" t="str">
        <f>IFERROR(__xludf.DUMMYFUNCTION("""COMPUTED_VALUE"""),"")</f>
        <v/>
      </c>
      <c r="U1552" s="1" t="str">
        <f>IFERROR(__xludf.DUMMYFUNCTION("""COMPUTED_VALUE"""),"")</f>
        <v/>
      </c>
      <c r="V1552" s="1" t="str">
        <f>IFERROR(__xludf.DUMMYFUNCTION("""COMPUTED_VALUE"""),"202,500")</f>
        <v>202,500</v>
      </c>
      <c r="W1552" s="1" t="str">
        <f>IFERROR(__xludf.DUMMYFUNCTION("""COMPUTED_VALUE"""),"")</f>
        <v/>
      </c>
      <c r="X1552" s="1" t="str">
        <f>IFERROR(__xludf.DUMMYFUNCTION("""COMPUTED_VALUE"""),"")</f>
        <v/>
      </c>
      <c r="Y1552" s="1" t="str">
        <f>IFERROR(__xludf.DUMMYFUNCTION("""COMPUTED_VALUE"""),"")</f>
        <v/>
      </c>
      <c r="Z1552" s="1" t="str">
        <f>IFERROR(__xludf.DUMMYFUNCTION("""COMPUTED_VALUE"""),"Unknown")</f>
        <v>Unknown</v>
      </c>
      <c r="AA1552" s="1" t="str">
        <f>IFERROR(__xludf.DUMMYFUNCTION("""COMPUTED_VALUE"""),"")</f>
        <v/>
      </c>
      <c r="AB1552" s="1" t="str">
        <f>IFERROR(__xludf.DUMMYFUNCTION("""COMPUTED_VALUE"""),"")</f>
        <v/>
      </c>
      <c r="AC1552" s="1" t="str">
        <f>IFERROR(__xludf.DUMMYFUNCTION("""COMPUTED_VALUE"""),"")</f>
        <v/>
      </c>
      <c r="AD1552" s="1" t="str">
        <f>IFERROR(__xludf.DUMMYFUNCTION("""COMPUTED_VALUE"""),"")</f>
        <v/>
      </c>
      <c r="AE1552" s="1" t="str">
        <f>IFERROR(__xludf.DUMMYFUNCTION("""COMPUTED_VALUE"""),"")</f>
        <v/>
      </c>
      <c r="AF1552" s="1" t="str">
        <f>IFERROR(__xludf.DUMMYFUNCTION("""COMPUTED_VALUE"""),"")</f>
        <v/>
      </c>
      <c r="AG1552" s="1" t="str">
        <f>IFERROR(__xludf.DUMMYFUNCTION("""COMPUTED_VALUE"""),"")</f>
        <v/>
      </c>
      <c r="AH1552" s="1" t="str">
        <f>IFERROR(__xludf.DUMMYFUNCTION("""COMPUTED_VALUE"""),"PEC")</f>
        <v>PEC</v>
      </c>
      <c r="AI1552" s="2" t="str">
        <f>IFERROR(__xludf.DUMMYFUNCTION("""COMPUTED_VALUE"""),"https://www.fairfaxcounty.gov/planning-development/sites/planning-development/files/Assets/Documents/PDF/data-centers-report.pdf#page=1")</f>
        <v>https://www.fairfaxcounty.gov/planning-development/sites/planning-development/files/Assets/Documents/PDF/data-centers-report.pdf#page=1</v>
      </c>
      <c r="AJ1552" s="2" t="str">
        <f>IFERROR(__xludf.DUMMYFUNCTION("""COMPUTED_VALUE"""),"https://www.datacenterdynamics.com/en/news/serverfarm-enters-virginia-targets-data-center-in-tysons-corner/")</f>
        <v>https://www.datacenterdynamics.com/en/news/serverfarm-enters-virginia-targets-data-center-in-tysons-corner/</v>
      </c>
      <c r="AK1552" s="1" t="str">
        <f>IFERROR(__xludf.DUMMYFUNCTION("""COMPUTED_VALUE"""),"")</f>
        <v/>
      </c>
      <c r="AL1552" s="1" t="str">
        <f>IFERROR(__xludf.DUMMYFUNCTION("""COMPUTED_VALUE"""),"")</f>
        <v/>
      </c>
      <c r="AM1552" s="1" t="str">
        <f>IFERROR(__xludf.DUMMYFUNCTION("""COMPUTED_VALUE"""),"")</f>
        <v/>
      </c>
      <c r="AN1552" s="1" t="str">
        <f>IFERROR(__xludf.DUMMYFUNCTION("""COMPUTED_VALUE"""),"")</f>
        <v/>
      </c>
      <c r="AO1552" s="1" t="str">
        <f>IFERROR(__xludf.DUMMYFUNCTION("""COMPUTED_VALUE"""),"")</f>
        <v/>
      </c>
      <c r="AP1552" s="1" t="str">
        <f>IFERROR(__xludf.DUMMYFUNCTION("""COMPUTED_VALUE"""),"")</f>
        <v/>
      </c>
      <c r="AQ1552" s="1" t="str">
        <f>IFERROR(__xludf.DUMMYFUNCTION("""COMPUTED_VALUE"""),"04/10/2024")</f>
        <v>04/10/2024</v>
      </c>
      <c r="AR1552" s="1" t="str">
        <f>IFERROR(__xludf.DUMMYFUNCTION("""COMPUTED_VALUE"""),"02/15/2026")</f>
        <v>02/15/2026</v>
      </c>
    </row>
    <row r="1553">
      <c r="A1553" s="1" t="str">
        <f>IFERROR(__xludf.DUMMYFUNCTION("""COMPUTED_VALUE"""),"Globalinx Virginia Beach")</f>
        <v>Globalinx Virginia Beach</v>
      </c>
      <c r="B1553" s="1" t="str">
        <f>IFERROR(__xludf.DUMMYFUNCTION("""COMPUTED_VALUE"""),"1632 Corporate Landing Pkwy")</f>
        <v>1632 Corporate Landing Pkwy</v>
      </c>
      <c r="C1553" s="1" t="str">
        <f>IFERROR(__xludf.DUMMYFUNCTION("""COMPUTED_VALUE"""),"Virginia Beach")</f>
        <v>Virginia Beach</v>
      </c>
      <c r="D1553" s="1" t="str">
        <f>IFERROR(__xludf.DUMMYFUNCTION("""COMPUTED_VALUE"""),"VA")</f>
        <v>VA</v>
      </c>
      <c r="E1553" s="1" t="str">
        <f>IFERROR(__xludf.DUMMYFUNCTION("""COMPUTED_VALUE"""),"23454")</f>
        <v>23454</v>
      </c>
      <c r="F1553" s="1" t="str">
        <f>IFERROR(__xludf.DUMMYFUNCTION("""COMPUTED_VALUE"""),"Virginia Beach")</f>
        <v>Virginia Beach</v>
      </c>
      <c r="G1553" s="1" t="str">
        <f>IFERROR(__xludf.DUMMYFUNCTION("""COMPUTED_VALUE"""),"36.783707")</f>
        <v>36.783707</v>
      </c>
      <c r="H1553" s="1" t="str">
        <f>IFERROR(__xludf.DUMMYFUNCTION("""COMPUTED_VALUE"""),"-76.00894")</f>
        <v>-76.00894</v>
      </c>
      <c r="I1553" s="1" t="str">
        <f>IFERROR(__xludf.DUMMYFUNCTION("""COMPUTED_VALUE"""),"Operating")</f>
        <v>Operating</v>
      </c>
      <c r="J1553" s="1" t="str">
        <f>IFERROR(__xludf.DUMMYFUNCTION("""COMPUTED_VALUE"""),"High")</f>
        <v>High</v>
      </c>
      <c r="K1553" s="1" t="str">
        <f>IFERROR(__xludf.DUMMYFUNCTION("""COMPUTED_VALUE"""),"")</f>
        <v/>
      </c>
      <c r="L1553" s="1" t="str">
        <f>IFERROR(__xludf.DUMMYFUNCTION("""COMPUTED_VALUE"""),"LANDING 888 LLC")</f>
        <v>LANDING 888 LLC</v>
      </c>
      <c r="M1553" s="1" t="str">
        <f>IFERROR(__xludf.DUMMYFUNCTION("""COMPUTED_VALUE"""),"")</f>
        <v/>
      </c>
      <c r="N1553" s="1" t="str">
        <f>IFERROR(__xludf.DUMMYFUNCTION("""COMPUTED_VALUE"""),"")</f>
        <v/>
      </c>
      <c r="O1553" s="1" t="str">
        <f>IFERROR(__xludf.DUMMYFUNCTION("""COMPUTED_VALUE"""),"Unknown")</f>
        <v>Unknown</v>
      </c>
      <c r="P1553" s="1" t="str">
        <f>IFERROR(__xludf.DUMMYFUNCTION("""COMPUTED_VALUE"""),"")</f>
        <v/>
      </c>
      <c r="Q1553" s="1" t="str">
        <f>IFERROR(__xludf.DUMMYFUNCTION("""COMPUTED_VALUE"""),"")</f>
        <v/>
      </c>
      <c r="R1553" s="1" t="str">
        <f>IFERROR(__xludf.DUMMYFUNCTION("""COMPUTED_VALUE"""),"")</f>
        <v/>
      </c>
      <c r="S1553" s="1" t="str">
        <f>IFERROR(__xludf.DUMMYFUNCTION("""COMPUTED_VALUE"""),"")</f>
        <v/>
      </c>
      <c r="T1553" s="1" t="str">
        <f>IFERROR(__xludf.DUMMYFUNCTION("""COMPUTED_VALUE"""),"")</f>
        <v/>
      </c>
      <c r="U1553" s="1" t="str">
        <f>IFERROR(__xludf.DUMMYFUNCTION("""COMPUTED_VALUE"""),"")</f>
        <v/>
      </c>
      <c r="V1553" s="1" t="str">
        <f>IFERROR(__xludf.DUMMYFUNCTION("""COMPUTED_VALUE"""),"9,712")</f>
        <v>9,712</v>
      </c>
      <c r="W1553" s="1" t="str">
        <f>IFERROR(__xludf.DUMMYFUNCTION("""COMPUTED_VALUE"""),"7")</f>
        <v>7</v>
      </c>
      <c r="X1553" s="1" t="str">
        <f>IFERROR(__xludf.DUMMYFUNCTION("""COMPUTED_VALUE"""),"")</f>
        <v/>
      </c>
      <c r="Y1553" s="1" t="str">
        <f>IFERROR(__xludf.DUMMYFUNCTION("""COMPUTED_VALUE"""),"")</f>
        <v/>
      </c>
      <c r="Z1553" s="1" t="str">
        <f>IFERROR(__xludf.DUMMYFUNCTION("""COMPUTED_VALUE"""),"Unknown")</f>
        <v>Unknown</v>
      </c>
      <c r="AA1553" s="1" t="str">
        <f>IFERROR(__xludf.DUMMYFUNCTION("""COMPUTED_VALUE"""),"")</f>
        <v/>
      </c>
      <c r="AB1553" s="1" t="str">
        <f>IFERROR(__xludf.DUMMYFUNCTION("""COMPUTED_VALUE"""),"")</f>
        <v/>
      </c>
      <c r="AC1553" s="1" t="str">
        <f>IFERROR(__xludf.DUMMYFUNCTION("""COMPUTED_VALUE"""),"")</f>
        <v/>
      </c>
      <c r="AD1553" s="1" t="str">
        <f>IFERROR(__xludf.DUMMYFUNCTION("""COMPUTED_VALUE"""),"")</f>
        <v/>
      </c>
      <c r="AE1553" s="1" t="str">
        <f>IFERROR(__xludf.DUMMYFUNCTION("""COMPUTED_VALUE"""),"")</f>
        <v/>
      </c>
      <c r="AF1553" s="1" t="str">
        <f>IFERROR(__xludf.DUMMYFUNCTION("""COMPUTED_VALUE"""),"")</f>
        <v/>
      </c>
      <c r="AG1553" s="1" t="str">
        <f>IFERROR(__xludf.DUMMYFUNCTION("""COMPUTED_VALUE"""),"")</f>
        <v/>
      </c>
      <c r="AH1553" s="1" t="str">
        <f>IFERROR(__xludf.DUMMYFUNCTION("""COMPUTED_VALUE"""),"PEC")</f>
        <v>PEC</v>
      </c>
      <c r="AI1553" s="2" t="str">
        <f>IFERROR(__xludf.DUMMYFUNCTION("""COMPUTED_VALUE"""),"https://propertysearch.virginiabeach.gov/#/property/24152434460000")</f>
        <v>https://propertysearch.virginiabeach.gov/#/property/24152434460000</v>
      </c>
      <c r="AJ1553" s="1" t="str">
        <f>IFERROR(__xludf.DUMMYFUNCTION("""COMPUTED_VALUE"""),"")</f>
        <v/>
      </c>
      <c r="AK1553" s="1" t="str">
        <f>IFERROR(__xludf.DUMMYFUNCTION("""COMPUTED_VALUE"""),"")</f>
        <v/>
      </c>
      <c r="AL1553" s="1" t="str">
        <f>IFERROR(__xludf.DUMMYFUNCTION("""COMPUTED_VALUE"""),"")</f>
        <v/>
      </c>
      <c r="AM1553" s="1" t="str">
        <f>IFERROR(__xludf.DUMMYFUNCTION("""COMPUTED_VALUE"""),"")</f>
        <v/>
      </c>
      <c r="AN1553" s="1" t="str">
        <f>IFERROR(__xludf.DUMMYFUNCTION("""COMPUTED_VALUE"""),"")</f>
        <v/>
      </c>
      <c r="AO1553" s="1" t="str">
        <f>IFERROR(__xludf.DUMMYFUNCTION("""COMPUTED_VALUE"""),"")</f>
        <v/>
      </c>
      <c r="AP1553" s="1" t="str">
        <f>IFERROR(__xludf.DUMMYFUNCTION("""COMPUTED_VALUE"""),"")</f>
        <v/>
      </c>
      <c r="AQ1553" s="1" t="str">
        <f>IFERROR(__xludf.DUMMYFUNCTION("""COMPUTED_VALUE"""),"04/10/2024")</f>
        <v>04/10/2024</v>
      </c>
      <c r="AR1553" s="1" t="str">
        <f>IFERROR(__xludf.DUMMYFUNCTION("""COMPUTED_VALUE"""),"10/17/2025")</f>
        <v>10/17/2025</v>
      </c>
    </row>
    <row r="1554">
      <c r="A1554" s="1" t="str">
        <f>IFERROR(__xludf.DUMMYFUNCTION("""COMPUTED_VALUE"""),"Telxius Cable Landing Station Virginia Beach")</f>
        <v>Telxius Cable Landing Station Virginia Beach</v>
      </c>
      <c r="B1554" s="1" t="str">
        <f>IFERROR(__xludf.DUMMYFUNCTION("""COMPUTED_VALUE"""),"1900 Corporate Landing Pkwy Cm")</f>
        <v>1900 Corporate Landing Pkwy Cm</v>
      </c>
      <c r="C1554" s="1" t="str">
        <f>IFERROR(__xludf.DUMMYFUNCTION("""COMPUTED_VALUE"""),"Virginia Beach")</f>
        <v>Virginia Beach</v>
      </c>
      <c r="D1554" s="1" t="str">
        <f>IFERROR(__xludf.DUMMYFUNCTION("""COMPUTED_VALUE"""),"VA")</f>
        <v>VA</v>
      </c>
      <c r="E1554" s="1" t="str">
        <f>IFERROR(__xludf.DUMMYFUNCTION("""COMPUTED_VALUE"""),"23454")</f>
        <v>23454</v>
      </c>
      <c r="F1554" s="1" t="str">
        <f>IFERROR(__xludf.DUMMYFUNCTION("""COMPUTED_VALUE"""),"Virginia Beach")</f>
        <v>Virginia Beach</v>
      </c>
      <c r="G1554" s="1" t="str">
        <f>IFERROR(__xludf.DUMMYFUNCTION("""COMPUTED_VALUE"""),"36.777546")</f>
        <v>36.777546</v>
      </c>
      <c r="H1554" s="1" t="str">
        <f>IFERROR(__xludf.DUMMYFUNCTION("""COMPUTED_VALUE"""),"-76.00713")</f>
        <v>-76.00713</v>
      </c>
      <c r="I1554" s="1" t="str">
        <f>IFERROR(__xludf.DUMMYFUNCTION("""COMPUTED_VALUE"""),"Expanding")</f>
        <v>Expanding</v>
      </c>
      <c r="J1554" s="1" t="str">
        <f>IFERROR(__xludf.DUMMYFUNCTION("""COMPUTED_VALUE"""),"High")</f>
        <v>High</v>
      </c>
      <c r="K1554" s="1" t="str">
        <f>IFERROR(__xludf.DUMMYFUNCTION("""COMPUTED_VALUE"""),"")</f>
        <v/>
      </c>
      <c r="L1554" s="1" t="str">
        <f>IFERROR(__xludf.DUMMYFUNCTION("""COMPUTED_VALUE"""),"Telxius")</f>
        <v>Telxius</v>
      </c>
      <c r="M1554" s="1" t="str">
        <f>IFERROR(__xludf.DUMMYFUNCTION("""COMPUTED_VALUE"""),"")</f>
        <v/>
      </c>
      <c r="N1554" s="1" t="str">
        <f>IFERROR(__xludf.DUMMYFUNCTION("""COMPUTED_VALUE"""),"")</f>
        <v/>
      </c>
      <c r="O1554" s="1" t="str">
        <f>IFERROR(__xludf.DUMMYFUNCTION("""COMPUTED_VALUE"""),"Unknown")</f>
        <v>Unknown</v>
      </c>
      <c r="P1554" s="1" t="str">
        <f>IFERROR(__xludf.DUMMYFUNCTION("""COMPUTED_VALUE"""),"")</f>
        <v/>
      </c>
      <c r="Q1554" s="1" t="str">
        <f>IFERROR(__xludf.DUMMYFUNCTION("""COMPUTED_VALUE"""),"")</f>
        <v/>
      </c>
      <c r="R1554" s="1" t="str">
        <f>IFERROR(__xludf.DUMMYFUNCTION("""COMPUTED_VALUE"""),"")</f>
        <v/>
      </c>
      <c r="S1554" s="1" t="str">
        <f>IFERROR(__xludf.DUMMYFUNCTION("""COMPUTED_VALUE"""),"")</f>
        <v/>
      </c>
      <c r="T1554" s="1" t="str">
        <f>IFERROR(__xludf.DUMMYFUNCTION("""COMPUTED_VALUE"""),"")</f>
        <v/>
      </c>
      <c r="U1554" s="1" t="str">
        <f>IFERROR(__xludf.DUMMYFUNCTION("""COMPUTED_VALUE"""),"")</f>
        <v/>
      </c>
      <c r="V1554" s="1" t="str">
        <f>IFERROR(__xludf.DUMMYFUNCTION("""COMPUTED_VALUE"""),"10,750")</f>
        <v>10,750</v>
      </c>
      <c r="W1554" s="1" t="str">
        <f>IFERROR(__xludf.DUMMYFUNCTION("""COMPUTED_VALUE"""),"12")</f>
        <v>12</v>
      </c>
      <c r="X1554" s="1" t="str">
        <f>IFERROR(__xludf.DUMMYFUNCTION("""COMPUTED_VALUE"""),"")</f>
        <v/>
      </c>
      <c r="Y1554" s="1" t="str">
        <f>IFERROR(__xludf.DUMMYFUNCTION("""COMPUTED_VALUE"""),"")</f>
        <v/>
      </c>
      <c r="Z1554" s="1" t="str">
        <f>IFERROR(__xludf.DUMMYFUNCTION("""COMPUTED_VALUE"""),"Unknown")</f>
        <v>Unknown</v>
      </c>
      <c r="AA1554" s="1" t="str">
        <f>IFERROR(__xludf.DUMMYFUNCTION("""COMPUTED_VALUE"""),"")</f>
        <v/>
      </c>
      <c r="AB1554" s="1" t="str">
        <f>IFERROR(__xludf.DUMMYFUNCTION("""COMPUTED_VALUE"""),"")</f>
        <v/>
      </c>
      <c r="AC1554" s="1" t="str">
        <f>IFERROR(__xludf.DUMMYFUNCTION("""COMPUTED_VALUE"""),"")</f>
        <v/>
      </c>
      <c r="AD1554" s="1" t="str">
        <f>IFERROR(__xludf.DUMMYFUNCTION("""COMPUTED_VALUE"""),"")</f>
        <v/>
      </c>
      <c r="AE1554" s="1" t="str">
        <f>IFERROR(__xludf.DUMMYFUNCTION("""COMPUTED_VALUE"""),"")</f>
        <v/>
      </c>
      <c r="AF1554" s="1" t="str">
        <f>IFERROR(__xludf.DUMMYFUNCTION("""COMPUTED_VALUE"""),"")</f>
        <v/>
      </c>
      <c r="AG1554" s="1" t="str">
        <f>IFERROR(__xludf.DUMMYFUNCTION("""COMPUTED_VALUE"""),"140,000 sq foot expansion")</f>
        <v>140,000 sq foot expansion</v>
      </c>
      <c r="AH1554" s="1" t="str">
        <f>IFERROR(__xludf.DUMMYFUNCTION("""COMPUTED_VALUE"""),"PEC")</f>
        <v>PEC</v>
      </c>
      <c r="AI1554" s="2" t="str">
        <f>IFERROR(__xludf.DUMMYFUNCTION("""COMPUTED_VALUE"""),"https://baxtel.com/data-center/telxius-cable-landing-station-virginia-beach")</f>
        <v>https://baxtel.com/data-center/telxius-cable-landing-station-virginia-beach</v>
      </c>
      <c r="AJ1554" s="2" t="str">
        <f>IFERROR(__xludf.DUMMYFUNCTION("""COMPUTED_VALUE"""),"https://propertysearch.virginiabeach.gov/#/property/24152291580000")</f>
        <v>https://propertysearch.virginiabeach.gov/#/property/24152291580000</v>
      </c>
      <c r="AK1554" s="1" t="str">
        <f>IFERROR(__xludf.DUMMYFUNCTION("""COMPUTED_VALUE"""),"")</f>
        <v/>
      </c>
      <c r="AL1554" s="1" t="str">
        <f>IFERROR(__xludf.DUMMYFUNCTION("""COMPUTED_VALUE"""),"")</f>
        <v/>
      </c>
      <c r="AM1554" s="1" t="str">
        <f>IFERROR(__xludf.DUMMYFUNCTION("""COMPUTED_VALUE"""),"")</f>
        <v/>
      </c>
      <c r="AN1554" s="1" t="str">
        <f>IFERROR(__xludf.DUMMYFUNCTION("""COMPUTED_VALUE"""),"")</f>
        <v/>
      </c>
      <c r="AO1554" s="1" t="str">
        <f>IFERROR(__xludf.DUMMYFUNCTION("""COMPUTED_VALUE"""),"")</f>
        <v/>
      </c>
      <c r="AP1554" s="1" t="str">
        <f>IFERROR(__xludf.DUMMYFUNCTION("""COMPUTED_VALUE"""),"")</f>
        <v/>
      </c>
      <c r="AQ1554" s="1" t="str">
        <f>IFERROR(__xludf.DUMMYFUNCTION("""COMPUTED_VALUE"""),"04/10/2024")</f>
        <v>04/10/2024</v>
      </c>
      <c r="AR1554" s="1" t="str">
        <f>IFERROR(__xludf.DUMMYFUNCTION("""COMPUTED_VALUE"""),"02/10/2026")</f>
        <v>02/10/2026</v>
      </c>
    </row>
    <row r="1555">
      <c r="A1555" s="1" t="str">
        <f>IFERROR(__xludf.DUMMYFUNCTION("""COMPUTED_VALUE"""),"DATA CENTER VINT HILL")</f>
        <v>DATA CENTER VINT HILL</v>
      </c>
      <c r="B1555" s="1" t="str">
        <f>IFERROR(__xludf.DUMMYFUNCTION("""COMPUTED_VALUE"""),"6872 WATSON CT")</f>
        <v>6872 WATSON CT</v>
      </c>
      <c r="C1555" s="1" t="str">
        <f>IFERROR(__xludf.DUMMYFUNCTION("""COMPUTED_VALUE"""),"Warrenton")</f>
        <v>Warrenton</v>
      </c>
      <c r="D1555" s="1" t="str">
        <f>IFERROR(__xludf.DUMMYFUNCTION("""COMPUTED_VALUE"""),"VA")</f>
        <v>VA</v>
      </c>
      <c r="E1555" s="1" t="str">
        <f>IFERROR(__xludf.DUMMYFUNCTION("""COMPUTED_VALUE"""),"20187")</f>
        <v>20187</v>
      </c>
      <c r="F1555" s="1" t="str">
        <f>IFERROR(__xludf.DUMMYFUNCTION("""COMPUTED_VALUE"""),"Fauquier")</f>
        <v>Fauquier</v>
      </c>
      <c r="G1555" s="1" t="str">
        <f>IFERROR(__xludf.DUMMYFUNCTION("""COMPUTED_VALUE"""),"38.747417")</f>
        <v>38.747417</v>
      </c>
      <c r="H1555" s="1" t="str">
        <f>IFERROR(__xludf.DUMMYFUNCTION("""COMPUTED_VALUE"""),"-77.674255")</f>
        <v>-77.674255</v>
      </c>
      <c r="I1555" s="1" t="str">
        <f>IFERROR(__xludf.DUMMYFUNCTION("""COMPUTED_VALUE"""),"Expanding")</f>
        <v>Expanding</v>
      </c>
      <c r="J1555" s="1" t="str">
        <f>IFERROR(__xludf.DUMMYFUNCTION("""COMPUTED_VALUE"""),"High")</f>
        <v>High</v>
      </c>
      <c r="K1555" s="1" t="str">
        <f>IFERROR(__xludf.DUMMYFUNCTION("""COMPUTED_VALUE"""),"")</f>
        <v/>
      </c>
      <c r="L1555" s="1" t="str">
        <f>IFERROR(__xludf.DUMMYFUNCTION("""COMPUTED_VALUE"""),"DATA CENTER VINT HILL LLC")</f>
        <v>DATA CENTER VINT HILL LLC</v>
      </c>
      <c r="M1555" s="1" t="str">
        <f>IFERROR(__xludf.DUMMYFUNCTION("""COMPUTED_VALUE"""),"")</f>
        <v/>
      </c>
      <c r="N1555" s="1" t="str">
        <f>IFERROR(__xludf.DUMMYFUNCTION("""COMPUTED_VALUE"""),"")</f>
        <v/>
      </c>
      <c r="O1555" s="1" t="str">
        <f>IFERROR(__xludf.DUMMYFUNCTION("""COMPUTED_VALUE"""),"Unknown")</f>
        <v>Unknown</v>
      </c>
      <c r="P1555" s="1" t="str">
        <f>IFERROR(__xludf.DUMMYFUNCTION("""COMPUTED_VALUE"""),"")</f>
        <v/>
      </c>
      <c r="Q1555" s="1" t="str">
        <f>IFERROR(__xludf.DUMMYFUNCTION("""COMPUTED_VALUE"""),"")</f>
        <v/>
      </c>
      <c r="R1555" s="1" t="str">
        <f>IFERROR(__xludf.DUMMYFUNCTION("""COMPUTED_VALUE"""),"")</f>
        <v/>
      </c>
      <c r="S1555" s="1" t="str">
        <f>IFERROR(__xludf.DUMMYFUNCTION("""COMPUTED_VALUE"""),"")</f>
        <v/>
      </c>
      <c r="T1555" s="1" t="str">
        <f>IFERROR(__xludf.DUMMYFUNCTION("""COMPUTED_VALUE"""),"")</f>
        <v/>
      </c>
      <c r="U1555" s="1" t="str">
        <f>IFERROR(__xludf.DUMMYFUNCTION("""COMPUTED_VALUE"""),"")</f>
        <v/>
      </c>
      <c r="V1555" s="1" t="str">
        <f>IFERROR(__xludf.DUMMYFUNCTION("""COMPUTED_VALUE"""),"84,199")</f>
        <v>84,199</v>
      </c>
      <c r="W1555" s="1" t="str">
        <f>IFERROR(__xludf.DUMMYFUNCTION("""COMPUTED_VALUE"""),"9")</f>
        <v>9</v>
      </c>
      <c r="X1555" s="1" t="str">
        <f>IFERROR(__xludf.DUMMYFUNCTION("""COMPUTED_VALUE"""),"")</f>
        <v/>
      </c>
      <c r="Y1555" s="1" t="str">
        <f>IFERROR(__xludf.DUMMYFUNCTION("""COMPUTED_VALUE"""),"")</f>
        <v/>
      </c>
      <c r="Z1555" s="1" t="str">
        <f>IFERROR(__xludf.DUMMYFUNCTION("""COMPUTED_VALUE"""),"Unknown")</f>
        <v>Unknown</v>
      </c>
      <c r="AA1555" s="1" t="str">
        <f>IFERROR(__xludf.DUMMYFUNCTION("""COMPUTED_VALUE"""),"")</f>
        <v/>
      </c>
      <c r="AB1555" s="1" t="str">
        <f>IFERROR(__xludf.DUMMYFUNCTION("""COMPUTED_VALUE"""),"")</f>
        <v/>
      </c>
      <c r="AC1555" s="1" t="str">
        <f>IFERROR(__xludf.DUMMYFUNCTION("""COMPUTED_VALUE"""),"")</f>
        <v/>
      </c>
      <c r="AD1555" s="1" t="str">
        <f>IFERROR(__xludf.DUMMYFUNCTION("""COMPUTED_VALUE"""),"")</f>
        <v/>
      </c>
      <c r="AE1555" s="1" t="str">
        <f>IFERROR(__xludf.DUMMYFUNCTION("""COMPUTED_VALUE"""),"")</f>
        <v/>
      </c>
      <c r="AF1555" s="1" t="str">
        <f>IFERROR(__xludf.DUMMYFUNCTION("""COMPUTED_VALUE"""),"")</f>
        <v/>
      </c>
      <c r="AG1555" s="1" t="str">
        <f>IFERROR(__xludf.DUMMYFUNCTION("""COMPUTED_VALUE"""),"")</f>
        <v/>
      </c>
      <c r="AH1555" s="1" t="str">
        <f>IFERROR(__xludf.DUMMYFUNCTION("""COMPUTED_VALUE"""),"PEC")</f>
        <v>PEC</v>
      </c>
      <c r="AI1555" s="2" t="str">
        <f>IFERROR(__xludf.DUMMYFUNCTION("""COMPUTED_VALUE"""),"https://www.fauquiernow.com/news/data-center-database-where-projects-stand-across-fauquier-county/article_18be50e8-49f6-11ef-95cf-3b45407fea55.html")</f>
        <v>https://www.fauquiernow.com/news/data-center-database-where-projects-stand-across-fauquier-county/article_18be50e8-49f6-11ef-95cf-3b45407fea55.html</v>
      </c>
      <c r="AJ1555" s="2" t="str">
        <f>IFERROR(__xludf.DUMMYFUNCTION("""COMPUTED_VALUE"""),"https://gis.vgsi.com/fauquierva/Parcel.aspx?pid=46425")</f>
        <v>https://gis.vgsi.com/fauquierva/Parcel.aspx?pid=46425</v>
      </c>
      <c r="AK1555" s="2" t="str">
        <f>IFERROR(__xludf.DUMMYFUNCTION("""COMPUTED_VALUE"""),"https://commdevpay.fauquiercounty.gov/Energov_Prod/SelfService#/map?search=7915-88-3261-000")</f>
        <v>https://commdevpay.fauquiercounty.gov/Energov_Prod/SelfService#/map?search=7915-88-3261-000</v>
      </c>
      <c r="AL1555" s="1" t="str">
        <f>IFERROR(__xludf.DUMMYFUNCTION("""COMPUTED_VALUE"""),"")</f>
        <v/>
      </c>
      <c r="AM1555" s="1" t="str">
        <f>IFERROR(__xludf.DUMMYFUNCTION("""COMPUTED_VALUE"""),"")</f>
        <v/>
      </c>
      <c r="AN1555" s="1" t="str">
        <f>IFERROR(__xludf.DUMMYFUNCTION("""COMPUTED_VALUE"""),"")</f>
        <v/>
      </c>
      <c r="AO1555" s="1" t="str">
        <f>IFERROR(__xludf.DUMMYFUNCTION("""COMPUTED_VALUE"""),"")</f>
        <v/>
      </c>
      <c r="AP1555" s="1" t="str">
        <f>IFERROR(__xludf.DUMMYFUNCTION("""COMPUTED_VALUE"""),"")</f>
        <v/>
      </c>
      <c r="AQ1555" s="1" t="str">
        <f>IFERROR(__xludf.DUMMYFUNCTION("""COMPUTED_VALUE"""),"04/10/2024")</f>
        <v>04/10/2024</v>
      </c>
      <c r="AR1555" s="1" t="str">
        <f>IFERROR(__xludf.DUMMYFUNCTION("""COMPUTED_VALUE"""),"02/10/2026")</f>
        <v>02/10/2026</v>
      </c>
    </row>
    <row r="1556">
      <c r="A1556" s="1" t="str">
        <f>IFERROR(__xludf.DUMMYFUNCTION("""COMPUTED_VALUE"""),"Maple Tree Farm")</f>
        <v>Maple Tree Farm</v>
      </c>
      <c r="B1556" s="1" t="str">
        <f>IFERROR(__xludf.DUMMYFUNCTION("""COMPUTED_VALUE"""),"8275 MAPLE TREE LN")</f>
        <v>8275 MAPLE TREE LN</v>
      </c>
      <c r="C1556" s="1" t="str">
        <f>IFERROR(__xludf.DUMMYFUNCTION("""COMPUTED_VALUE"""),"Warrenton")</f>
        <v>Warrenton</v>
      </c>
      <c r="D1556" s="1" t="str">
        <f>IFERROR(__xludf.DUMMYFUNCTION("""COMPUTED_VALUE"""),"VA")</f>
        <v>VA</v>
      </c>
      <c r="E1556" s="1" t="str">
        <f>IFERROR(__xludf.DUMMYFUNCTION("""COMPUTED_VALUE"""),"20187")</f>
        <v>20187</v>
      </c>
      <c r="F1556" s="1" t="str">
        <f>IFERROR(__xludf.DUMMYFUNCTION("""COMPUTED_VALUE"""),"Fauquier")</f>
        <v>Fauquier</v>
      </c>
      <c r="G1556" s="1" t="str">
        <f>IFERROR(__xludf.DUMMYFUNCTION("""COMPUTED_VALUE"""),"38.691586")</f>
        <v>38.691586</v>
      </c>
      <c r="H1556" s="1" t="str">
        <f>IFERROR(__xludf.DUMMYFUNCTION("""COMPUTED_VALUE"""),"-77.77973")</f>
        <v>-77.77973</v>
      </c>
      <c r="I1556" s="1" t="str">
        <f>IFERROR(__xludf.DUMMYFUNCTION("""COMPUTED_VALUE"""),"Proposed")</f>
        <v>Proposed</v>
      </c>
      <c r="J1556" s="1" t="str">
        <f>IFERROR(__xludf.DUMMYFUNCTION("""COMPUTED_VALUE"""),"High")</f>
        <v>High</v>
      </c>
      <c r="K1556" s="1" t="str">
        <f>IFERROR(__xludf.DUMMYFUNCTION("""COMPUTED_VALUE"""),"")</f>
        <v/>
      </c>
      <c r="L1556" s="1" t="str">
        <f>IFERROR(__xludf.DUMMYFUNCTION("""COMPUTED_VALUE"""),"")</f>
        <v/>
      </c>
      <c r="M1556" s="1" t="str">
        <f>IFERROR(__xludf.DUMMYFUNCTION("""COMPUTED_VALUE"""),"")</f>
        <v/>
      </c>
      <c r="N1556" s="1" t="str">
        <f>IFERROR(__xludf.DUMMYFUNCTION("""COMPUTED_VALUE"""),"")</f>
        <v/>
      </c>
      <c r="O1556" s="1" t="str">
        <f>IFERROR(__xludf.DUMMYFUNCTION("""COMPUTED_VALUE"""),"Unknown")</f>
        <v>Unknown</v>
      </c>
      <c r="P1556" s="1" t="str">
        <f>IFERROR(__xludf.DUMMYFUNCTION("""COMPUTED_VALUE"""),"")</f>
        <v/>
      </c>
      <c r="Q1556" s="1" t="str">
        <f>IFERROR(__xludf.DUMMYFUNCTION("""COMPUTED_VALUE"""),"")</f>
        <v/>
      </c>
      <c r="R1556" s="1" t="str">
        <f>IFERROR(__xludf.DUMMYFUNCTION("""COMPUTED_VALUE"""),"")</f>
        <v/>
      </c>
      <c r="S1556" s="1" t="str">
        <f>IFERROR(__xludf.DUMMYFUNCTION("""COMPUTED_VALUE"""),"")</f>
        <v/>
      </c>
      <c r="T1556" s="1" t="str">
        <f>IFERROR(__xludf.DUMMYFUNCTION("""COMPUTED_VALUE"""),"")</f>
        <v/>
      </c>
      <c r="U1556" s="1" t="str">
        <f>IFERROR(__xludf.DUMMYFUNCTION("""COMPUTED_VALUE"""),"")</f>
        <v/>
      </c>
      <c r="V1556" s="1" t="str">
        <f>IFERROR(__xludf.DUMMYFUNCTION("""COMPUTED_VALUE"""),"")</f>
        <v/>
      </c>
      <c r="W1556" s="1" t="str">
        <f>IFERROR(__xludf.DUMMYFUNCTION("""COMPUTED_VALUE"""),"43")</f>
        <v>43</v>
      </c>
      <c r="X1556" s="1" t="str">
        <f>IFERROR(__xludf.DUMMYFUNCTION("""COMPUTED_VALUE"""),"")</f>
        <v/>
      </c>
      <c r="Y1556" s="1" t="str">
        <f>IFERROR(__xludf.DUMMYFUNCTION("""COMPUTED_VALUE"""),"")</f>
        <v/>
      </c>
      <c r="Z1556" s="1" t="str">
        <f>IFERROR(__xludf.DUMMYFUNCTION("""COMPUTED_VALUE"""),"Unknown")</f>
        <v>Unknown</v>
      </c>
      <c r="AA1556" s="1" t="str">
        <f>IFERROR(__xludf.DUMMYFUNCTION("""COMPUTED_VALUE"""),"")</f>
        <v/>
      </c>
      <c r="AB1556" s="1" t="str">
        <f>IFERROR(__xludf.DUMMYFUNCTION("""COMPUTED_VALUE"""),"")</f>
        <v/>
      </c>
      <c r="AC1556" s="1" t="str">
        <f>IFERROR(__xludf.DUMMYFUNCTION("""COMPUTED_VALUE"""),"")</f>
        <v/>
      </c>
      <c r="AD1556" s="1" t="str">
        <f>IFERROR(__xludf.DUMMYFUNCTION("""COMPUTED_VALUE"""),"")</f>
        <v/>
      </c>
      <c r="AE1556" s="1" t="str">
        <f>IFERROR(__xludf.DUMMYFUNCTION("""COMPUTED_VALUE"""),"")</f>
        <v/>
      </c>
      <c r="AF1556" s="1" t="str">
        <f>IFERROR(__xludf.DUMMYFUNCTION("""COMPUTED_VALUE"""),"")</f>
        <v/>
      </c>
      <c r="AG1556" s="1" t="str">
        <f>IFERROR(__xludf.DUMMYFUNCTION("""COMPUTED_VALUE"""),"No application yet")</f>
        <v>No application yet</v>
      </c>
      <c r="AH1556" s="1" t="str">
        <f>IFERROR(__xludf.DUMMYFUNCTION("""COMPUTED_VALUE"""),"PEC")</f>
        <v>PEC</v>
      </c>
      <c r="AI1556" s="2" t="str">
        <f>IFERROR(__xludf.DUMMYFUNCTION("""COMPUTED_VALUE"""),"https://www.fauquier.com/news/article_55011450-b2d5-11ed-bd87-df7e49eb5e4a.html")</f>
        <v>https://www.fauquier.com/news/article_55011450-b2d5-11ed-bd87-df7e49eb5e4a.html</v>
      </c>
      <c r="AJ1556" s="1" t="str">
        <f>IFERROR(__xludf.DUMMYFUNCTION("""COMPUTED_VALUE"""),"")</f>
        <v/>
      </c>
      <c r="AK1556" s="1" t="str">
        <f>IFERROR(__xludf.DUMMYFUNCTION("""COMPUTED_VALUE"""),"")</f>
        <v/>
      </c>
      <c r="AL1556" s="1" t="str">
        <f>IFERROR(__xludf.DUMMYFUNCTION("""COMPUTED_VALUE"""),"")</f>
        <v/>
      </c>
      <c r="AM1556" s="1" t="str">
        <f>IFERROR(__xludf.DUMMYFUNCTION("""COMPUTED_VALUE"""),"")</f>
        <v/>
      </c>
      <c r="AN1556" s="1" t="str">
        <f>IFERROR(__xludf.DUMMYFUNCTION("""COMPUTED_VALUE"""),"")</f>
        <v/>
      </c>
      <c r="AO1556" s="1" t="str">
        <f>IFERROR(__xludf.DUMMYFUNCTION("""COMPUTED_VALUE"""),"")</f>
        <v/>
      </c>
      <c r="AP1556" s="1" t="str">
        <f>IFERROR(__xludf.DUMMYFUNCTION("""COMPUTED_VALUE"""),"")</f>
        <v/>
      </c>
      <c r="AQ1556" s="1" t="str">
        <f>IFERROR(__xludf.DUMMYFUNCTION("""COMPUTED_VALUE"""),"04/10/2024")</f>
        <v>04/10/2024</v>
      </c>
      <c r="AR1556" s="1" t="str">
        <f>IFERROR(__xludf.DUMMYFUNCTION("""COMPUTED_VALUE"""),"10/17/2025")</f>
        <v>10/17/2025</v>
      </c>
    </row>
    <row r="1557">
      <c r="A1557" s="1" t="str">
        <f>IFERROR(__xludf.DUMMYFUNCTION("""COMPUTED_VALUE"""),"Vint Hill Technology Campus (CyrusOne)")</f>
        <v>Vint Hill Technology Campus (CyrusOne)</v>
      </c>
      <c r="B1557" s="1" t="str">
        <f>IFERROR(__xludf.DUMMYFUNCTION("""COMPUTED_VALUE"""),"Vint Hill Pkwy")</f>
        <v>Vint Hill Pkwy</v>
      </c>
      <c r="C1557" s="1" t="str">
        <f>IFERROR(__xludf.DUMMYFUNCTION("""COMPUTED_VALUE"""),"Warrenton")</f>
        <v>Warrenton</v>
      </c>
      <c r="D1557" s="1" t="str">
        <f>IFERROR(__xludf.DUMMYFUNCTION("""COMPUTED_VALUE"""),"VA")</f>
        <v>VA</v>
      </c>
      <c r="E1557" s="1" t="str">
        <f>IFERROR(__xludf.DUMMYFUNCTION("""COMPUTED_VALUE"""),"20117")</f>
        <v>20117</v>
      </c>
      <c r="F1557" s="1" t="str">
        <f>IFERROR(__xludf.DUMMYFUNCTION("""COMPUTED_VALUE"""),"Fauquier")</f>
        <v>Fauquier</v>
      </c>
      <c r="G1557" s="1" t="str">
        <f>IFERROR(__xludf.DUMMYFUNCTION("""COMPUTED_VALUE"""),"38.75228")</f>
        <v>38.75228</v>
      </c>
      <c r="H1557" s="1" t="str">
        <f>IFERROR(__xludf.DUMMYFUNCTION("""COMPUTED_VALUE"""),"-77.67349")</f>
        <v>-77.67349</v>
      </c>
      <c r="I1557" s="1" t="str">
        <f>IFERROR(__xludf.DUMMYFUNCTION("""COMPUTED_VALUE"""),"Proposed")</f>
        <v>Proposed</v>
      </c>
      <c r="J1557" s="1" t="str">
        <f>IFERROR(__xludf.DUMMYFUNCTION("""COMPUTED_VALUE"""),"Medium")</f>
        <v>Medium</v>
      </c>
      <c r="K1557" s="1" t="str">
        <f>IFERROR(__xludf.DUMMYFUNCTION("""COMPUTED_VALUE"""),"")</f>
        <v/>
      </c>
      <c r="L1557" s="1" t="str">
        <f>IFERROR(__xludf.DUMMYFUNCTION("""COMPUTED_VALUE"""),"C1 Vint Hill LLC")</f>
        <v>C1 Vint Hill LLC</v>
      </c>
      <c r="M1557" s="1" t="str">
        <f>IFERROR(__xludf.DUMMYFUNCTION("""COMPUTED_VALUE"""),"")</f>
        <v/>
      </c>
      <c r="N1557" s="1" t="str">
        <f>IFERROR(__xludf.DUMMYFUNCTION("""COMPUTED_VALUE"""),"")</f>
        <v/>
      </c>
      <c r="O1557" s="1" t="str">
        <f>IFERROR(__xludf.DUMMYFUNCTION("""COMPUTED_VALUE"""),"Unknown")</f>
        <v>Unknown</v>
      </c>
      <c r="P1557" s="1" t="str">
        <f>IFERROR(__xludf.DUMMYFUNCTION("""COMPUTED_VALUE"""),"")</f>
        <v/>
      </c>
      <c r="Q1557" s="1" t="str">
        <f>IFERROR(__xludf.DUMMYFUNCTION("""COMPUTED_VALUE"""),"")</f>
        <v/>
      </c>
      <c r="R1557" s="1" t="str">
        <f>IFERROR(__xludf.DUMMYFUNCTION("""COMPUTED_VALUE"""),"")</f>
        <v/>
      </c>
      <c r="S1557" s="1" t="str">
        <f>IFERROR(__xludf.DUMMYFUNCTION("""COMPUTED_VALUE"""),"")</f>
        <v/>
      </c>
      <c r="T1557" s="1" t="str">
        <f>IFERROR(__xludf.DUMMYFUNCTION("""COMPUTED_VALUE"""),"")</f>
        <v/>
      </c>
      <c r="U1557" s="1" t="str">
        <f>IFERROR(__xludf.DUMMYFUNCTION("""COMPUTED_VALUE"""),"")</f>
        <v/>
      </c>
      <c r="V1557" s="1" t="str">
        <f>IFERROR(__xludf.DUMMYFUNCTION("""COMPUTED_VALUE"""),"981,000")</f>
        <v>981,000</v>
      </c>
      <c r="W1557" s="1" t="str">
        <f>IFERROR(__xludf.DUMMYFUNCTION("""COMPUTED_VALUE"""),"48")</f>
        <v>48</v>
      </c>
      <c r="X1557" s="1" t="str">
        <f>IFERROR(__xludf.DUMMYFUNCTION("""COMPUTED_VALUE"""),"")</f>
        <v/>
      </c>
      <c r="Y1557" s="1" t="str">
        <f>IFERROR(__xludf.DUMMYFUNCTION("""COMPUTED_VALUE"""),"")</f>
        <v/>
      </c>
      <c r="Z1557" s="1" t="str">
        <f>IFERROR(__xludf.DUMMYFUNCTION("""COMPUTED_VALUE"""),"Unknown")</f>
        <v>Unknown</v>
      </c>
      <c r="AA1557" s="1" t="str">
        <f>IFERROR(__xludf.DUMMYFUNCTION("""COMPUTED_VALUE"""),"")</f>
        <v/>
      </c>
      <c r="AB1557" s="1" t="str">
        <f>IFERROR(__xludf.DUMMYFUNCTION("""COMPUTED_VALUE"""),"")</f>
        <v/>
      </c>
      <c r="AC1557" s="1" t="str">
        <f>IFERROR(__xludf.DUMMYFUNCTION("""COMPUTED_VALUE"""),"")</f>
        <v/>
      </c>
      <c r="AD1557" s="1" t="str">
        <f>IFERROR(__xludf.DUMMYFUNCTION("""COMPUTED_VALUE"""),"")</f>
        <v/>
      </c>
      <c r="AE1557" s="1" t="str">
        <f>IFERROR(__xludf.DUMMYFUNCTION("""COMPUTED_VALUE"""),"")</f>
        <v/>
      </c>
      <c r="AF1557" s="1" t="str">
        <f>IFERROR(__xludf.DUMMYFUNCTION("""COMPUTED_VALUE"""),"")</f>
        <v/>
      </c>
      <c r="AG1557" s="1" t="str">
        <f>IFERROR(__xludf.DUMMYFUNCTION("""COMPUTED_VALUE"""),"Project covers more than one parcel, the acreage represents the combined acreage")</f>
        <v>Project covers more than one parcel, the acreage represents the combined acreage</v>
      </c>
      <c r="AH1557" s="1" t="str">
        <f>IFERROR(__xludf.DUMMYFUNCTION("""COMPUTED_VALUE"""),"PEC")</f>
        <v>PEC</v>
      </c>
      <c r="AI1557" s="2" t="str">
        <f>IFERROR(__xludf.DUMMYFUNCTION("""COMPUTED_VALUE"""),"https://www.datacenterdynamics.com/en/news/two-sites-in-virginias-fauquier-county-bought-by-data-center-developer/")</f>
        <v>https://www.datacenterdynamics.com/en/news/two-sites-in-virginias-fauquier-county-bought-by-data-center-developer/</v>
      </c>
      <c r="AJ1557" s="2" t="str">
        <f>IFERROR(__xludf.DUMMYFUNCTION("""COMPUTED_VALUE"""),"https://gis.vgsi.com/fauquierva/Parcel.aspx?pid=46540")</f>
        <v>https://gis.vgsi.com/fauquierva/Parcel.aspx?pid=46540</v>
      </c>
      <c r="AK1557" s="1" t="str">
        <f>IFERROR(__xludf.DUMMYFUNCTION("""COMPUTED_VALUE"""),"")</f>
        <v/>
      </c>
      <c r="AL1557" s="1" t="str">
        <f>IFERROR(__xludf.DUMMYFUNCTION("""COMPUTED_VALUE"""),"")</f>
        <v/>
      </c>
      <c r="AM1557" s="1" t="str">
        <f>IFERROR(__xludf.DUMMYFUNCTION("""COMPUTED_VALUE"""),"")</f>
        <v/>
      </c>
      <c r="AN1557" s="1" t="str">
        <f>IFERROR(__xludf.DUMMYFUNCTION("""COMPUTED_VALUE"""),"")</f>
        <v/>
      </c>
      <c r="AO1557" s="1" t="str">
        <f>IFERROR(__xludf.DUMMYFUNCTION("""COMPUTED_VALUE"""),"")</f>
        <v/>
      </c>
      <c r="AP1557" s="1" t="str">
        <f>IFERROR(__xludf.DUMMYFUNCTION("""COMPUTED_VALUE"""),"")</f>
        <v/>
      </c>
      <c r="AQ1557" s="1" t="str">
        <f>IFERROR(__xludf.DUMMYFUNCTION("""COMPUTED_VALUE"""),"10/10/2025")</f>
        <v>10/10/2025</v>
      </c>
      <c r="AR1557" s="1" t="str">
        <f>IFERROR(__xludf.DUMMYFUNCTION("""COMPUTED_VALUE"""),"10/17/2025")</f>
        <v>10/17/2025</v>
      </c>
    </row>
    <row r="1558">
      <c r="A1558" s="1" t="str">
        <f>IFERROR(__xludf.DUMMYFUNCTION("""COMPUTED_VALUE"""),"Vint Hill Corners")</f>
        <v>Vint Hill Corners</v>
      </c>
      <c r="B1558" s="1" t="str">
        <f>IFERROR(__xludf.DUMMYFUNCTION("""COMPUTED_VALUE"""),"4295 AIKEN DR")</f>
        <v>4295 AIKEN DR</v>
      </c>
      <c r="C1558" s="1" t="str">
        <f>IFERROR(__xludf.DUMMYFUNCTION("""COMPUTED_VALUE"""),"WARRENTON")</f>
        <v>WARRENTON</v>
      </c>
      <c r="D1558" s="1" t="str">
        <f>IFERROR(__xludf.DUMMYFUNCTION("""COMPUTED_VALUE"""),"VA")</f>
        <v>VA</v>
      </c>
      <c r="E1558" s="1" t="str">
        <f>IFERROR(__xludf.DUMMYFUNCTION("""COMPUTED_VALUE"""),"20187")</f>
        <v>20187</v>
      </c>
      <c r="F1558" s="1" t="str">
        <f>IFERROR(__xludf.DUMMYFUNCTION("""COMPUTED_VALUE"""),"Fauquier")</f>
        <v>Fauquier</v>
      </c>
      <c r="G1558" s="1" t="str">
        <f>IFERROR(__xludf.DUMMYFUNCTION("""COMPUTED_VALUE"""),"38.744583")</f>
        <v>38.744583</v>
      </c>
      <c r="H1558" s="1" t="str">
        <f>IFERROR(__xludf.DUMMYFUNCTION("""COMPUTED_VALUE"""),"-77.68534")</f>
        <v>-77.68534</v>
      </c>
      <c r="I1558" s="1" t="str">
        <f>IFERROR(__xludf.DUMMYFUNCTION("""COMPUTED_VALUE"""),"Proposed")</f>
        <v>Proposed</v>
      </c>
      <c r="J1558" s="1" t="str">
        <f>IFERROR(__xludf.DUMMYFUNCTION("""COMPUTED_VALUE"""),"High")</f>
        <v>High</v>
      </c>
      <c r="K1558" s="1" t="str">
        <f>IFERROR(__xludf.DUMMYFUNCTION("""COMPUTED_VALUE"""),"")</f>
        <v/>
      </c>
      <c r="L1558" s="1" t="str">
        <f>IFERROR(__xludf.DUMMYFUNCTION("""COMPUTED_VALUE"""),"Vint Hill Corners LLC")</f>
        <v>Vint Hill Corners LLC</v>
      </c>
      <c r="M1558" s="1" t="str">
        <f>IFERROR(__xludf.DUMMYFUNCTION("""COMPUTED_VALUE"""),"")</f>
        <v/>
      </c>
      <c r="N1558" s="1" t="str">
        <f>IFERROR(__xludf.DUMMYFUNCTION("""COMPUTED_VALUE"""),"")</f>
        <v/>
      </c>
      <c r="O1558" s="1" t="str">
        <f>IFERROR(__xludf.DUMMYFUNCTION("""COMPUTED_VALUE"""),"Unknown")</f>
        <v>Unknown</v>
      </c>
      <c r="P1558" s="1" t="str">
        <f>IFERROR(__xludf.DUMMYFUNCTION("""COMPUTED_VALUE"""),"")</f>
        <v/>
      </c>
      <c r="Q1558" s="1" t="str">
        <f>IFERROR(__xludf.DUMMYFUNCTION("""COMPUTED_VALUE"""),"")</f>
        <v/>
      </c>
      <c r="R1558" s="1" t="str">
        <f>IFERROR(__xludf.DUMMYFUNCTION("""COMPUTED_VALUE"""),"")</f>
        <v/>
      </c>
      <c r="S1558" s="1" t="str">
        <f>IFERROR(__xludf.DUMMYFUNCTION("""COMPUTED_VALUE"""),"")</f>
        <v/>
      </c>
      <c r="T1558" s="1" t="str">
        <f>IFERROR(__xludf.DUMMYFUNCTION("""COMPUTED_VALUE"""),"")</f>
        <v/>
      </c>
      <c r="U1558" s="1" t="str">
        <f>IFERROR(__xludf.DUMMYFUNCTION("""COMPUTED_VALUE"""),"")</f>
        <v/>
      </c>
      <c r="V1558" s="1" t="str">
        <f>IFERROR(__xludf.DUMMYFUNCTION("""COMPUTED_VALUE"""),"360,000")</f>
        <v>360,000</v>
      </c>
      <c r="W1558" s="1" t="str">
        <f>IFERROR(__xludf.DUMMYFUNCTION("""COMPUTED_VALUE"""),"46")</f>
        <v>46</v>
      </c>
      <c r="X1558" s="1" t="str">
        <f>IFERROR(__xludf.DUMMYFUNCTION("""COMPUTED_VALUE"""),"")</f>
        <v/>
      </c>
      <c r="Y1558" s="1" t="str">
        <f>IFERROR(__xludf.DUMMYFUNCTION("""COMPUTED_VALUE"""),"")</f>
        <v/>
      </c>
      <c r="Z1558" s="1" t="str">
        <f>IFERROR(__xludf.DUMMYFUNCTION("""COMPUTED_VALUE"""),"Unknown")</f>
        <v>Unknown</v>
      </c>
      <c r="AA1558" s="1" t="str">
        <f>IFERROR(__xludf.DUMMYFUNCTION("""COMPUTED_VALUE"""),"")</f>
        <v/>
      </c>
      <c r="AB1558" s="1" t="str">
        <f>IFERROR(__xludf.DUMMYFUNCTION("""COMPUTED_VALUE"""),"")</f>
        <v/>
      </c>
      <c r="AC1558" s="1" t="str">
        <f>IFERROR(__xludf.DUMMYFUNCTION("""COMPUTED_VALUE"""),"")</f>
        <v/>
      </c>
      <c r="AD1558" s="1" t="str">
        <f>IFERROR(__xludf.DUMMYFUNCTION("""COMPUTED_VALUE"""),"")</f>
        <v/>
      </c>
      <c r="AE1558" s="1" t="str">
        <f>IFERROR(__xludf.DUMMYFUNCTION("""COMPUTED_VALUE"""),"")</f>
        <v/>
      </c>
      <c r="AF1558" s="1" t="str">
        <f>IFERROR(__xludf.DUMMYFUNCTION("""COMPUTED_VALUE"""),"")</f>
        <v/>
      </c>
      <c r="AG1558" s="1" t="str">
        <f>IFERROR(__xludf.DUMMYFUNCTION("""COMPUTED_VALUE"""),"two buildings, split sqft (165k, 195k)")</f>
        <v>two buildings, split sqft (165k, 195k)</v>
      </c>
      <c r="AH1558" s="1" t="str">
        <f>IFERROR(__xludf.DUMMYFUNCTION("""COMPUTED_VALUE"""),"PEC")</f>
        <v>PEC</v>
      </c>
      <c r="AI1558" s="2" t="str">
        <f>IFERROR(__xludf.DUMMYFUNCTION("""COMPUTED_VALUE"""),"https://commdevpay.fauquiercounty.gov/Energov_Prod/SelfService#/plan/ff86bd94-573b-462d-bf75-777ee3093d58?tab=attachments")</f>
        <v>https://commdevpay.fauquiercounty.gov/Energov_Prod/SelfService#/plan/ff86bd94-573b-462d-bf75-777ee3093d58?tab=attachments</v>
      </c>
      <c r="AJ1558" s="2" t="str">
        <f>IFERROR(__xludf.DUMMYFUNCTION("""COMPUTED_VALUE"""),"https://commdevpay.fauquiercounty.gov/Energov_Prod/SelfService#/map?search=7915-53-3758-000")</f>
        <v>https://commdevpay.fauquiercounty.gov/Energov_Prod/SelfService#/map?search=7915-53-3758-000</v>
      </c>
      <c r="AK1558" s="1" t="str">
        <f>IFERROR(__xludf.DUMMYFUNCTION("""COMPUTED_VALUE"""),"")</f>
        <v/>
      </c>
      <c r="AL1558" s="1" t="str">
        <f>IFERROR(__xludf.DUMMYFUNCTION("""COMPUTED_VALUE"""),"")</f>
        <v/>
      </c>
      <c r="AM1558" s="1" t="str">
        <f>IFERROR(__xludf.DUMMYFUNCTION("""COMPUTED_VALUE"""),"")</f>
        <v/>
      </c>
      <c r="AN1558" s="1" t="str">
        <f>IFERROR(__xludf.DUMMYFUNCTION("""COMPUTED_VALUE"""),"")</f>
        <v/>
      </c>
      <c r="AO1558" s="1" t="str">
        <f>IFERROR(__xludf.DUMMYFUNCTION("""COMPUTED_VALUE"""),"")</f>
        <v/>
      </c>
      <c r="AP1558" s="1" t="str">
        <f>IFERROR(__xludf.DUMMYFUNCTION("""COMPUTED_VALUE"""),"")</f>
        <v/>
      </c>
      <c r="AQ1558" s="1" t="str">
        <f>IFERROR(__xludf.DUMMYFUNCTION("""COMPUTED_VALUE"""),"08/22/2024")</f>
        <v>08/22/2024</v>
      </c>
      <c r="AR1558" s="1" t="str">
        <f>IFERROR(__xludf.DUMMYFUNCTION("""COMPUTED_VALUE"""),"10/17/2025")</f>
        <v>10/17/2025</v>
      </c>
    </row>
    <row r="1559">
      <c r="A1559" s="1" t="str">
        <f>IFERROR(__xludf.DUMMYFUNCTION("""COMPUTED_VALUE"""),"DP Facilities: Mineral Gap")</f>
        <v>DP Facilities: Mineral Gap</v>
      </c>
      <c r="B1559" s="1" t="str">
        <f>IFERROR(__xludf.DUMMYFUNCTION("""COMPUTED_VALUE"""),"5978 WINDSWEPT BLVD")</f>
        <v>5978 WINDSWEPT BLVD</v>
      </c>
      <c r="C1559" s="1" t="str">
        <f>IFERROR(__xludf.DUMMYFUNCTION("""COMPUTED_VALUE"""),"Wise")</f>
        <v>Wise</v>
      </c>
      <c r="D1559" s="1" t="str">
        <f>IFERROR(__xludf.DUMMYFUNCTION("""COMPUTED_VALUE"""),"VA")</f>
        <v>VA</v>
      </c>
      <c r="E1559" s="1" t="str">
        <f>IFERROR(__xludf.DUMMYFUNCTION("""COMPUTED_VALUE"""),"24293")</f>
        <v>24293</v>
      </c>
      <c r="F1559" s="1" t="str">
        <f>IFERROR(__xludf.DUMMYFUNCTION("""COMPUTED_VALUE"""),"Wise")</f>
        <v>Wise</v>
      </c>
      <c r="G1559" s="1" t="str">
        <f>IFERROR(__xludf.DUMMYFUNCTION("""COMPUTED_VALUE"""),"36.978065")</f>
        <v>36.978065</v>
      </c>
      <c r="H1559" s="1" t="str">
        <f>IFERROR(__xludf.DUMMYFUNCTION("""COMPUTED_VALUE"""),"-82.52703")</f>
        <v>-82.52703</v>
      </c>
      <c r="I1559" s="1" t="str">
        <f>IFERROR(__xludf.DUMMYFUNCTION("""COMPUTED_VALUE"""),"Expanding")</f>
        <v>Expanding</v>
      </c>
      <c r="J1559" s="1" t="str">
        <f>IFERROR(__xludf.DUMMYFUNCTION("""COMPUTED_VALUE"""),"High")</f>
        <v>High</v>
      </c>
      <c r="K1559" s="1" t="str">
        <f>IFERROR(__xludf.DUMMYFUNCTION("""COMPUTED_VALUE"""),"")</f>
        <v/>
      </c>
      <c r="L1559" s="1" t="str">
        <f>IFERROR(__xludf.DUMMYFUNCTION("""COMPUTED_VALUE"""),"DP FACILITIES INC SOUTH LLC")</f>
        <v>DP FACILITIES INC SOUTH LLC</v>
      </c>
      <c r="M1559" s="1" t="str">
        <f>IFERROR(__xludf.DUMMYFUNCTION("""COMPUTED_VALUE"""),"")</f>
        <v/>
      </c>
      <c r="N1559" s="1" t="str">
        <f>IFERROR(__xludf.DUMMYFUNCTION("""COMPUTED_VALUE"""),"")</f>
        <v/>
      </c>
      <c r="O1559" s="1" t="str">
        <f>IFERROR(__xludf.DUMMYFUNCTION("""COMPUTED_VALUE"""),"Unknown")</f>
        <v>Unknown</v>
      </c>
      <c r="P1559" s="1" t="str">
        <f>IFERROR(__xludf.DUMMYFUNCTION("""COMPUTED_VALUE"""),"")</f>
        <v/>
      </c>
      <c r="Q1559" s="1" t="str">
        <f>IFERROR(__xludf.DUMMYFUNCTION("""COMPUTED_VALUE"""),"")</f>
        <v/>
      </c>
      <c r="R1559" s="1" t="str">
        <f>IFERROR(__xludf.DUMMYFUNCTION("""COMPUTED_VALUE"""),"")</f>
        <v/>
      </c>
      <c r="S1559" s="1" t="str">
        <f>IFERROR(__xludf.DUMMYFUNCTION("""COMPUTED_VALUE"""),"")</f>
        <v/>
      </c>
      <c r="T1559" s="1" t="str">
        <f>IFERROR(__xludf.DUMMYFUNCTION("""COMPUTED_VALUE"""),"")</f>
        <v/>
      </c>
      <c r="U1559" s="1" t="str">
        <f>IFERROR(__xludf.DUMMYFUNCTION("""COMPUTED_VALUE"""),"")</f>
        <v/>
      </c>
      <c r="V1559" s="1" t="str">
        <f>IFERROR(__xludf.DUMMYFUNCTION("""COMPUTED_VALUE"""),"65,000")</f>
        <v>65,000</v>
      </c>
      <c r="W1559" s="1" t="str">
        <f>IFERROR(__xludf.DUMMYFUNCTION("""COMPUTED_VALUE"""),"22")</f>
        <v>22</v>
      </c>
      <c r="X1559" s="1" t="str">
        <f>IFERROR(__xludf.DUMMYFUNCTION("""COMPUTED_VALUE"""),"")</f>
        <v/>
      </c>
      <c r="Y1559" s="1" t="str">
        <f>IFERROR(__xludf.DUMMYFUNCTION("""COMPUTED_VALUE"""),"")</f>
        <v/>
      </c>
      <c r="Z1559" s="1" t="str">
        <f>IFERROR(__xludf.DUMMYFUNCTION("""COMPUTED_VALUE"""),"Unknown")</f>
        <v>Unknown</v>
      </c>
      <c r="AA1559" s="1" t="str">
        <f>IFERROR(__xludf.DUMMYFUNCTION("""COMPUTED_VALUE"""),"")</f>
        <v/>
      </c>
      <c r="AB1559" s="1" t="str">
        <f>IFERROR(__xludf.DUMMYFUNCTION("""COMPUTED_VALUE"""),"")</f>
        <v/>
      </c>
      <c r="AC1559" s="1" t="str">
        <f>IFERROR(__xludf.DUMMYFUNCTION("""COMPUTED_VALUE"""),"")</f>
        <v/>
      </c>
      <c r="AD1559" s="1" t="str">
        <f>IFERROR(__xludf.DUMMYFUNCTION("""COMPUTED_VALUE"""),"")</f>
        <v/>
      </c>
      <c r="AE1559" s="1" t="str">
        <f>IFERROR(__xludf.DUMMYFUNCTION("""COMPUTED_VALUE"""),"")</f>
        <v/>
      </c>
      <c r="AF1559" s="1" t="str">
        <f>IFERROR(__xludf.DUMMYFUNCTION("""COMPUTED_VALUE"""),"")</f>
        <v/>
      </c>
      <c r="AG1559" s="1" t="str">
        <f>IFERROR(__xludf.DUMMYFUNCTION("""COMPUTED_VALUE"""),"200,000 sq ft/ 50 acre/ 45 MW expansion proposed")</f>
        <v>200,000 sq ft/ 50 acre/ 45 MW expansion proposed</v>
      </c>
      <c r="AH1559" s="1" t="str">
        <f>IFERROR(__xludf.DUMMYFUNCTION("""COMPUTED_VALUE"""),"PEC")</f>
        <v>PEC</v>
      </c>
      <c r="AI1559" s="2" t="str">
        <f>IFERROR(__xludf.DUMMYFUNCTION("""COMPUTED_VALUE"""),"https://www.dpfacilities.com/markets/wise-va/")</f>
        <v>https://www.dpfacilities.com/markets/wise-va/</v>
      </c>
      <c r="AJ1559" s="2" t="str">
        <f>IFERROR(__xludf.DUMMYFUNCTION("""COMPUTED_VALUE"""),"https://wisecova.interactivegis.com/jtf/35364")</f>
        <v>https://wisecova.interactivegis.com/jtf/35364</v>
      </c>
      <c r="AK1559" s="1" t="str">
        <f>IFERROR(__xludf.DUMMYFUNCTION("""COMPUTED_VALUE"""),"")</f>
        <v/>
      </c>
      <c r="AL1559" s="1" t="str">
        <f>IFERROR(__xludf.DUMMYFUNCTION("""COMPUTED_VALUE"""),"")</f>
        <v/>
      </c>
      <c r="AM1559" s="1" t="str">
        <f>IFERROR(__xludf.DUMMYFUNCTION("""COMPUTED_VALUE"""),"")</f>
        <v/>
      </c>
      <c r="AN1559" s="1" t="str">
        <f>IFERROR(__xludf.DUMMYFUNCTION("""COMPUTED_VALUE"""),"")</f>
        <v/>
      </c>
      <c r="AO1559" s="1" t="str">
        <f>IFERROR(__xludf.DUMMYFUNCTION("""COMPUTED_VALUE"""),"")</f>
        <v/>
      </c>
      <c r="AP1559" s="1" t="str">
        <f>IFERROR(__xludf.DUMMYFUNCTION("""COMPUTED_VALUE"""),"")</f>
        <v/>
      </c>
      <c r="AQ1559" s="1" t="str">
        <f>IFERROR(__xludf.DUMMYFUNCTION("""COMPUTED_VALUE"""),"04/10/2024")</f>
        <v>04/10/2024</v>
      </c>
      <c r="AR1559" s="1" t="str">
        <f>IFERROR(__xludf.DUMMYFUNCTION("""COMPUTED_VALUE"""),"02/10/2026")</f>
        <v>02/10/2026</v>
      </c>
    </row>
    <row r="1560">
      <c r="A1560" s="1" t="str">
        <f>IFERROR(__xludf.DUMMYFUNCTION("""COMPUTED_VALUE"""),"Amazon Data Service: Orrock Rd")</f>
        <v>Amazon Data Service: Orrock Rd</v>
      </c>
      <c r="B1560" s="1" t="str">
        <f>IFERROR(__xludf.DUMMYFUNCTION("""COMPUTED_VALUE"""),"Orrock Ln")</f>
        <v>Orrock Ln</v>
      </c>
      <c r="C1560" s="1" t="str">
        <f>IFERROR(__xludf.DUMMYFUNCTION("""COMPUTED_VALUE"""),"Woodford")</f>
        <v>Woodford</v>
      </c>
      <c r="D1560" s="1" t="str">
        <f>IFERROR(__xludf.DUMMYFUNCTION("""COMPUTED_VALUE"""),"VA")</f>
        <v>VA</v>
      </c>
      <c r="E1560" s="1" t="str">
        <f>IFERROR(__xludf.DUMMYFUNCTION("""COMPUTED_VALUE"""),"22580")</f>
        <v>22580</v>
      </c>
      <c r="F1560" s="1" t="str">
        <f>IFERROR(__xludf.DUMMYFUNCTION("""COMPUTED_VALUE"""),"Spotsylvania")</f>
        <v>Spotsylvania</v>
      </c>
      <c r="G1560" s="1" t="str">
        <f>IFERROR(__xludf.DUMMYFUNCTION("""COMPUTED_VALUE"""),"38.121346")</f>
        <v>38.121346</v>
      </c>
      <c r="H1560" s="1" t="str">
        <f>IFERROR(__xludf.DUMMYFUNCTION("""COMPUTED_VALUE"""),"-77.50528")</f>
        <v>-77.50528</v>
      </c>
      <c r="I1560" s="1" t="str">
        <f>IFERROR(__xludf.DUMMYFUNCTION("""COMPUTED_VALUE"""),"Proposed")</f>
        <v>Proposed</v>
      </c>
      <c r="J1560" s="1" t="str">
        <f>IFERROR(__xludf.DUMMYFUNCTION("""COMPUTED_VALUE"""),"Medium")</f>
        <v>Medium</v>
      </c>
      <c r="K1560" s="1" t="str">
        <f>IFERROR(__xludf.DUMMYFUNCTION("""COMPUTED_VALUE"""),"")</f>
        <v/>
      </c>
      <c r="L1560" s="1" t="str">
        <f>IFERROR(__xludf.DUMMYFUNCTION("""COMPUTED_VALUE"""),"Amazon")</f>
        <v>Amazon</v>
      </c>
      <c r="M1560" s="1" t="str">
        <f>IFERROR(__xludf.DUMMYFUNCTION("""COMPUTED_VALUE"""),"")</f>
        <v/>
      </c>
      <c r="N1560" s="1" t="str">
        <f>IFERROR(__xludf.DUMMYFUNCTION("""COMPUTED_VALUE"""),"")</f>
        <v/>
      </c>
      <c r="O1560" s="1" t="str">
        <f>IFERROR(__xludf.DUMMYFUNCTION("""COMPUTED_VALUE"""),"Hyperscale (100-999 MW)")</f>
        <v>Hyperscale (100-999 MW)</v>
      </c>
      <c r="P1560" s="1" t="str">
        <f>IFERROR(__xludf.DUMMYFUNCTION("""COMPUTED_VALUE"""),"")</f>
        <v/>
      </c>
      <c r="Q1560" s="1" t="str">
        <f>IFERROR(__xludf.DUMMYFUNCTION("""COMPUTED_VALUE"""),"")</f>
        <v/>
      </c>
      <c r="R1560" s="1" t="str">
        <f>IFERROR(__xludf.DUMMYFUNCTION("""COMPUTED_VALUE"""),"")</f>
        <v/>
      </c>
      <c r="S1560" s="1" t="str">
        <f>IFERROR(__xludf.DUMMYFUNCTION("""COMPUTED_VALUE"""),"")</f>
        <v/>
      </c>
      <c r="T1560" s="1" t="str">
        <f>IFERROR(__xludf.DUMMYFUNCTION("""COMPUTED_VALUE"""),"")</f>
        <v/>
      </c>
      <c r="U1560" s="1" t="str">
        <f>IFERROR(__xludf.DUMMYFUNCTION("""COMPUTED_VALUE"""),"")</f>
        <v/>
      </c>
      <c r="V1560" s="1" t="str">
        <f>IFERROR(__xludf.DUMMYFUNCTION("""COMPUTED_VALUE"""),"4,500,000")</f>
        <v>4,500,000</v>
      </c>
      <c r="W1560" s="1" t="str">
        <f>IFERROR(__xludf.DUMMYFUNCTION("""COMPUTED_VALUE"""),"920")</f>
        <v>920</v>
      </c>
      <c r="X1560" s="1" t="str">
        <f>IFERROR(__xludf.DUMMYFUNCTION("""COMPUTED_VALUE"""),"")</f>
        <v/>
      </c>
      <c r="Y1560" s="1" t="str">
        <f>IFERROR(__xludf.DUMMYFUNCTION("""COMPUTED_VALUE"""),"")</f>
        <v/>
      </c>
      <c r="Z1560" s="1" t="str">
        <f>IFERROR(__xludf.DUMMYFUNCTION("""COMPUTED_VALUE"""),"Unknown")</f>
        <v>Unknown</v>
      </c>
      <c r="AA1560" s="1" t="str">
        <f>IFERROR(__xludf.DUMMYFUNCTION("""COMPUTED_VALUE"""),"")</f>
        <v/>
      </c>
      <c r="AB1560" s="1" t="str">
        <f>IFERROR(__xludf.DUMMYFUNCTION("""COMPUTED_VALUE"""),"")</f>
        <v/>
      </c>
      <c r="AC1560" s="1" t="str">
        <f>IFERROR(__xludf.DUMMYFUNCTION("""COMPUTED_VALUE"""),"")</f>
        <v/>
      </c>
      <c r="AD1560" s="1" t="str">
        <f>IFERROR(__xludf.DUMMYFUNCTION("""COMPUTED_VALUE"""),"")</f>
        <v/>
      </c>
      <c r="AE1560" s="1" t="str">
        <f>IFERROR(__xludf.DUMMYFUNCTION("""COMPUTED_VALUE"""),"")</f>
        <v/>
      </c>
      <c r="AF1560" s="1" t="str">
        <f>IFERROR(__xludf.DUMMYFUNCTION("""COMPUTED_VALUE"""),"")</f>
        <v/>
      </c>
      <c r="AG1560" s="1" t="str">
        <f>IFERROR(__xludf.DUMMYFUNCTION("""COMPUTED_VALUE"""),"")</f>
        <v/>
      </c>
      <c r="AH1560" s="1" t="str">
        <f>IFERROR(__xludf.DUMMYFUNCTION("""COMPUTED_VALUE"""),"Media Monitoring")</f>
        <v>Media Monitoring</v>
      </c>
      <c r="AI1560" s="2" t="str">
        <f>IFERROR(__xludf.DUMMYFUNCTION("""COMPUTED_VALUE"""),"https://www.datacenterdynamics.com/en/news/10m-sq-ft-amazon-files-for-four-data-center-campuses-in-virginias-spotsylvania-and-caroline-counties/")</f>
        <v>https://www.datacenterdynamics.com/en/news/10m-sq-ft-amazon-files-for-four-data-center-campuses-in-virginias-spotsylvania-and-caroline-counties/</v>
      </c>
      <c r="AJ1560" s="1" t="str">
        <f>IFERROR(__xludf.DUMMYFUNCTION("""COMPUTED_VALUE"""),"")</f>
        <v/>
      </c>
      <c r="AK1560" s="1" t="str">
        <f>IFERROR(__xludf.DUMMYFUNCTION("""COMPUTED_VALUE"""),"")</f>
        <v/>
      </c>
      <c r="AL1560" s="1" t="str">
        <f>IFERROR(__xludf.DUMMYFUNCTION("""COMPUTED_VALUE"""),"")</f>
        <v/>
      </c>
      <c r="AM1560" s="1" t="str">
        <f>IFERROR(__xludf.DUMMYFUNCTION("""COMPUTED_VALUE"""),"")</f>
        <v/>
      </c>
      <c r="AN1560" s="1" t="str">
        <f>IFERROR(__xludf.DUMMYFUNCTION("""COMPUTED_VALUE"""),"")</f>
        <v/>
      </c>
      <c r="AO1560" s="1" t="str">
        <f>IFERROR(__xludf.DUMMYFUNCTION("""COMPUTED_VALUE"""),"")</f>
        <v/>
      </c>
      <c r="AP1560" s="1" t="str">
        <f>IFERROR(__xludf.DUMMYFUNCTION("""COMPUTED_VALUE"""),"")</f>
        <v/>
      </c>
      <c r="AQ1560" s="1" t="str">
        <f>IFERROR(__xludf.DUMMYFUNCTION("""COMPUTED_VALUE"""),"01/23/2026")</f>
        <v>01/23/2026</v>
      </c>
      <c r="AR1560" s="1" t="str">
        <f>IFERROR(__xludf.DUMMYFUNCTION("""COMPUTED_VALUE"""),"01/23/2026")</f>
        <v>01/23/2026</v>
      </c>
    </row>
    <row r="1561">
      <c r="A1561" s="1" t="str">
        <f>IFERROR(__xludf.DUMMYFUNCTION("""COMPUTED_VALUE"""),"Mattameade Tech Campus")</f>
        <v>Mattameade Tech Campus</v>
      </c>
      <c r="B1561" s="1" t="str">
        <f>IFERROR(__xludf.DUMMYFUNCTION("""COMPUTED_VALUE"""),"")</f>
        <v/>
      </c>
      <c r="C1561" s="1" t="str">
        <f>IFERROR(__xludf.DUMMYFUNCTION("""COMPUTED_VALUE"""),"Woodford")</f>
        <v>Woodford</v>
      </c>
      <c r="D1561" s="1" t="str">
        <f>IFERROR(__xludf.DUMMYFUNCTION("""COMPUTED_VALUE"""),"VA")</f>
        <v>VA</v>
      </c>
      <c r="E1561" s="1" t="str">
        <f>IFERROR(__xludf.DUMMYFUNCTION("""COMPUTED_VALUE"""),"22580")</f>
        <v>22580</v>
      </c>
      <c r="F1561" s="1" t="str">
        <f>IFERROR(__xludf.DUMMYFUNCTION("""COMPUTED_VALUE"""),"Spotsylvania")</f>
        <v>Spotsylvania</v>
      </c>
      <c r="G1561" s="1" t="str">
        <f>IFERROR(__xludf.DUMMYFUNCTION("""COMPUTED_VALUE"""),"38.12168")</f>
        <v>38.12168</v>
      </c>
      <c r="H1561" s="1" t="str">
        <f>IFERROR(__xludf.DUMMYFUNCTION("""COMPUTED_VALUE"""),"-77.504196")</f>
        <v>-77.504196</v>
      </c>
      <c r="I1561" s="1" t="str">
        <f>IFERROR(__xludf.DUMMYFUNCTION("""COMPUTED_VALUE"""),"Proposed")</f>
        <v>Proposed</v>
      </c>
      <c r="J1561" s="1" t="str">
        <f>IFERROR(__xludf.DUMMYFUNCTION("""COMPUTED_VALUE"""),"Medium")</f>
        <v>Medium</v>
      </c>
      <c r="K1561" s="1" t="str">
        <f>IFERROR(__xludf.DUMMYFUNCTION("""COMPUTED_VALUE"""),"")</f>
        <v/>
      </c>
      <c r="L1561" s="1" t="str">
        <f>IFERROR(__xludf.DUMMYFUNCTION("""COMPUTED_VALUE"""),"Amazon")</f>
        <v>Amazon</v>
      </c>
      <c r="M1561" s="1" t="str">
        <f>IFERROR(__xludf.DUMMYFUNCTION("""COMPUTED_VALUE"""),"")</f>
        <v/>
      </c>
      <c r="N1561" s="1" t="str">
        <f>IFERROR(__xludf.DUMMYFUNCTION("""COMPUTED_VALUE"""),"")</f>
        <v/>
      </c>
      <c r="O1561" s="1" t="str">
        <f>IFERROR(__xludf.DUMMYFUNCTION("""COMPUTED_VALUE"""),"Unknown")</f>
        <v>Unknown</v>
      </c>
      <c r="P1561" s="1" t="str">
        <f>IFERROR(__xludf.DUMMYFUNCTION("""COMPUTED_VALUE"""),"")</f>
        <v/>
      </c>
      <c r="Q1561" s="1" t="str">
        <f>IFERROR(__xludf.DUMMYFUNCTION("""COMPUTED_VALUE"""),"")</f>
        <v/>
      </c>
      <c r="R1561" s="1" t="str">
        <f>IFERROR(__xludf.DUMMYFUNCTION("""COMPUTED_VALUE"""),"")</f>
        <v/>
      </c>
      <c r="S1561" s="1" t="str">
        <f>IFERROR(__xludf.DUMMYFUNCTION("""COMPUTED_VALUE"""),"")</f>
        <v/>
      </c>
      <c r="T1561" s="1" t="str">
        <f>IFERROR(__xludf.DUMMYFUNCTION("""COMPUTED_VALUE"""),"")</f>
        <v/>
      </c>
      <c r="U1561" s="1" t="str">
        <f>IFERROR(__xludf.DUMMYFUNCTION("""COMPUTED_VALUE"""),"")</f>
        <v/>
      </c>
      <c r="V1561" s="1" t="str">
        <f>IFERROR(__xludf.DUMMYFUNCTION("""COMPUTED_VALUE"""),"")</f>
        <v/>
      </c>
      <c r="W1561" s="1" t="str">
        <f>IFERROR(__xludf.DUMMYFUNCTION("""COMPUTED_VALUE"""),"162")</f>
        <v>162</v>
      </c>
      <c r="X1561" s="1" t="str">
        <f>IFERROR(__xludf.DUMMYFUNCTION("""COMPUTED_VALUE"""),"")</f>
        <v/>
      </c>
      <c r="Y1561" s="1" t="str">
        <f>IFERROR(__xludf.DUMMYFUNCTION("""COMPUTED_VALUE"""),"")</f>
        <v/>
      </c>
      <c r="Z1561" s="1" t="str">
        <f>IFERROR(__xludf.DUMMYFUNCTION("""COMPUTED_VALUE"""),"Unknown")</f>
        <v>Unknown</v>
      </c>
      <c r="AA1561" s="1" t="str">
        <f>IFERROR(__xludf.DUMMYFUNCTION("""COMPUTED_VALUE"""),"")</f>
        <v/>
      </c>
      <c r="AB1561" s="1" t="str">
        <f>IFERROR(__xludf.DUMMYFUNCTION("""COMPUTED_VALUE"""),"")</f>
        <v/>
      </c>
      <c r="AC1561" s="1" t="str">
        <f>IFERROR(__xludf.DUMMYFUNCTION("""COMPUTED_VALUE"""),"")</f>
        <v/>
      </c>
      <c r="AD1561" s="1" t="str">
        <f>IFERROR(__xludf.DUMMYFUNCTION("""COMPUTED_VALUE"""),"")</f>
        <v/>
      </c>
      <c r="AE1561" s="1" t="str">
        <f>IFERROR(__xludf.DUMMYFUNCTION("""COMPUTED_VALUE"""),"")</f>
        <v/>
      </c>
      <c r="AF1561" s="1" t="str">
        <f>IFERROR(__xludf.DUMMYFUNCTION("""COMPUTED_VALUE"""),"")</f>
        <v/>
      </c>
      <c r="AG1561" s="1" t="str">
        <f>IFERROR(__xludf.DUMMYFUNCTION("""COMPUTED_VALUE"""),"Sister property to Caroline campus - expected to provide utilities")</f>
        <v>Sister property to Caroline campus - expected to provide utilities</v>
      </c>
      <c r="AH1561" s="1" t="str">
        <f>IFERROR(__xludf.DUMMYFUNCTION("""COMPUTED_VALUE"""),"PEC")</f>
        <v>PEC</v>
      </c>
      <c r="AI1561" s="2" t="str">
        <f>IFERROR(__xludf.DUMMYFUNCTION("""COMPUTED_VALUE"""),"https://fredericksburg.com/news/local/data-center-proposals-pile-up-in-spotsylvania/article_0b3a873c-ff26-11ed-97a1-df0bb17d1b49.html")</f>
        <v>https://fredericksburg.com/news/local/data-center-proposals-pile-up-in-spotsylvania/article_0b3a873c-ff26-11ed-97a1-df0bb17d1b49.html</v>
      </c>
      <c r="AJ1561" s="1" t="str">
        <f>IFERROR(__xludf.DUMMYFUNCTION("""COMPUTED_VALUE"""),"")</f>
        <v/>
      </c>
      <c r="AK1561" s="1" t="str">
        <f>IFERROR(__xludf.DUMMYFUNCTION("""COMPUTED_VALUE"""),"")</f>
        <v/>
      </c>
      <c r="AL1561" s="1" t="str">
        <f>IFERROR(__xludf.DUMMYFUNCTION("""COMPUTED_VALUE"""),"")</f>
        <v/>
      </c>
      <c r="AM1561" s="1" t="str">
        <f>IFERROR(__xludf.DUMMYFUNCTION("""COMPUTED_VALUE"""),"")</f>
        <v/>
      </c>
      <c r="AN1561" s="1" t="str">
        <f>IFERROR(__xludf.DUMMYFUNCTION("""COMPUTED_VALUE"""),"")</f>
        <v/>
      </c>
      <c r="AO1561" s="1" t="str">
        <f>IFERROR(__xludf.DUMMYFUNCTION("""COMPUTED_VALUE"""),"")</f>
        <v/>
      </c>
      <c r="AP1561" s="1" t="str">
        <f>IFERROR(__xludf.DUMMYFUNCTION("""COMPUTED_VALUE"""),"")</f>
        <v/>
      </c>
      <c r="AQ1561" s="1" t="str">
        <f>IFERROR(__xludf.DUMMYFUNCTION("""COMPUTED_VALUE"""),"07/18/2025")</f>
        <v>07/18/2025</v>
      </c>
      <c r="AR1561" s="1" t="str">
        <f>IFERROR(__xludf.DUMMYFUNCTION("""COMPUTED_VALUE"""),"10/17/2025")</f>
        <v>10/17/2025</v>
      </c>
    </row>
    <row r="1562">
      <c r="A1562" s="1" t="str">
        <f>IFERROR(__xludf.DUMMYFUNCTION("""COMPUTED_VALUE"""),"Mattameade Tech Campus")</f>
        <v>Mattameade Tech Campus</v>
      </c>
      <c r="B1562" s="1" t="str">
        <f>IFERROR(__xludf.DUMMYFUNCTION("""COMPUTED_VALUE"""),"Stonewall Jackson Road just east of the Mudd Tavern")</f>
        <v>Stonewall Jackson Road just east of the Mudd Tavern</v>
      </c>
      <c r="C1562" s="1" t="str">
        <f>IFERROR(__xludf.DUMMYFUNCTION("""COMPUTED_VALUE"""),"Woodford")</f>
        <v>Woodford</v>
      </c>
      <c r="D1562" s="1" t="str">
        <f>IFERROR(__xludf.DUMMYFUNCTION("""COMPUTED_VALUE"""),"VA")</f>
        <v>VA</v>
      </c>
      <c r="E1562" s="1" t="str">
        <f>IFERROR(__xludf.DUMMYFUNCTION("""COMPUTED_VALUE"""),"22580")</f>
        <v>22580</v>
      </c>
      <c r="F1562" s="1" t="str">
        <f>IFERROR(__xludf.DUMMYFUNCTION("""COMPUTED_VALUE"""),"Caroline")</f>
        <v>Caroline</v>
      </c>
      <c r="G1562" s="1" t="str">
        <f>IFERROR(__xludf.DUMMYFUNCTION("""COMPUTED_VALUE"""),"38.114647")</f>
        <v>38.114647</v>
      </c>
      <c r="H1562" s="1" t="str">
        <f>IFERROR(__xludf.DUMMYFUNCTION("""COMPUTED_VALUE"""),"-77.49115")</f>
        <v>-77.49115</v>
      </c>
      <c r="I1562" s="1" t="str">
        <f>IFERROR(__xludf.DUMMYFUNCTION("""COMPUTED_VALUE"""),"Proposed")</f>
        <v>Proposed</v>
      </c>
      <c r="J1562" s="1" t="str">
        <f>IFERROR(__xludf.DUMMYFUNCTION("""COMPUTED_VALUE"""),"Medium")</f>
        <v>Medium</v>
      </c>
      <c r="K1562" s="1" t="str">
        <f>IFERROR(__xludf.DUMMYFUNCTION("""COMPUTED_VALUE"""),"")</f>
        <v/>
      </c>
      <c r="L1562" s="1" t="str">
        <f>IFERROR(__xludf.DUMMYFUNCTION("""COMPUTED_VALUE"""),"Amazon")</f>
        <v>Amazon</v>
      </c>
      <c r="M1562" s="1" t="str">
        <f>IFERROR(__xludf.DUMMYFUNCTION("""COMPUTED_VALUE"""),"")</f>
        <v/>
      </c>
      <c r="N1562" s="1" t="str">
        <f>IFERROR(__xludf.DUMMYFUNCTION("""COMPUTED_VALUE"""),"")</f>
        <v/>
      </c>
      <c r="O1562" s="1" t="str">
        <f>IFERROR(__xludf.DUMMYFUNCTION("""COMPUTED_VALUE"""),"Unknown")</f>
        <v>Unknown</v>
      </c>
      <c r="P1562" s="1" t="str">
        <f>IFERROR(__xludf.DUMMYFUNCTION("""COMPUTED_VALUE"""),"")</f>
        <v/>
      </c>
      <c r="Q1562" s="1" t="str">
        <f>IFERROR(__xludf.DUMMYFUNCTION("""COMPUTED_VALUE"""),"")</f>
        <v/>
      </c>
      <c r="R1562" s="1" t="str">
        <f>IFERROR(__xludf.DUMMYFUNCTION("""COMPUTED_VALUE"""),"")</f>
        <v/>
      </c>
      <c r="S1562" s="1" t="str">
        <f>IFERROR(__xludf.DUMMYFUNCTION("""COMPUTED_VALUE"""),"")</f>
        <v/>
      </c>
      <c r="T1562" s="1" t="str">
        <f>IFERROR(__xludf.DUMMYFUNCTION("""COMPUTED_VALUE"""),"")</f>
        <v/>
      </c>
      <c r="U1562" s="1" t="str">
        <f>IFERROR(__xludf.DUMMYFUNCTION("""COMPUTED_VALUE"""),"")</f>
        <v/>
      </c>
      <c r="V1562" s="1" t="str">
        <f>IFERROR(__xludf.DUMMYFUNCTION("""COMPUTED_VALUE"""),"4,500,000")</f>
        <v>4,500,000</v>
      </c>
      <c r="W1562" s="1" t="str">
        <f>IFERROR(__xludf.DUMMYFUNCTION("""COMPUTED_VALUE"""),"916")</f>
        <v>916</v>
      </c>
      <c r="X1562" s="1" t="str">
        <f>IFERROR(__xludf.DUMMYFUNCTION("""COMPUTED_VALUE"""),"")</f>
        <v/>
      </c>
      <c r="Y1562" s="1" t="str">
        <f>IFERROR(__xludf.DUMMYFUNCTION("""COMPUTED_VALUE"""),"")</f>
        <v/>
      </c>
      <c r="Z1562" s="1" t="str">
        <f>IFERROR(__xludf.DUMMYFUNCTION("""COMPUTED_VALUE"""),"Unknown")</f>
        <v>Unknown</v>
      </c>
      <c r="AA1562" s="1" t="str">
        <f>IFERROR(__xludf.DUMMYFUNCTION("""COMPUTED_VALUE"""),"")</f>
        <v/>
      </c>
      <c r="AB1562" s="1" t="str">
        <f>IFERROR(__xludf.DUMMYFUNCTION("""COMPUTED_VALUE"""),"")</f>
        <v/>
      </c>
      <c r="AC1562" s="1" t="str">
        <f>IFERROR(__xludf.DUMMYFUNCTION("""COMPUTED_VALUE"""),"")</f>
        <v/>
      </c>
      <c r="AD1562" s="1" t="str">
        <f>IFERROR(__xludf.DUMMYFUNCTION("""COMPUTED_VALUE"""),"")</f>
        <v/>
      </c>
      <c r="AE1562" s="1" t="str">
        <f>IFERROR(__xludf.DUMMYFUNCTION("""COMPUTED_VALUE"""),"")</f>
        <v/>
      </c>
      <c r="AF1562" s="1" t="str">
        <f>IFERROR(__xludf.DUMMYFUNCTION("""COMPUTED_VALUE"""),"")</f>
        <v/>
      </c>
      <c r="AG1562" s="1" t="str">
        <f>IFERROR(__xludf.DUMMYFUNCTION("""COMPUTED_VALUE"""),"Sister property to Spotsylvania campus- represents total square footage")</f>
        <v>Sister property to Spotsylvania campus- represents total square footage</v>
      </c>
      <c r="AH1562" s="1" t="str">
        <f>IFERROR(__xludf.DUMMYFUNCTION("""COMPUTED_VALUE"""),"PEC")</f>
        <v>PEC</v>
      </c>
      <c r="AI1562" s="2" t="str">
        <f>IFERROR(__xludf.DUMMYFUNCTION("""COMPUTED_VALUE"""),"https://co.caroline.va.us/DocumentCenter/View/7255/RZ-02-2023-Orrock-Tech-Camus?bidId=")</f>
        <v>https://co.caroline.va.us/DocumentCenter/View/7255/RZ-02-2023-Orrock-Tech-Camus?bidId=</v>
      </c>
      <c r="AJ1562" s="1" t="str">
        <f>IFERROR(__xludf.DUMMYFUNCTION("""COMPUTED_VALUE"""),"")</f>
        <v/>
      </c>
      <c r="AK1562" s="1" t="str">
        <f>IFERROR(__xludf.DUMMYFUNCTION("""COMPUTED_VALUE"""),"")</f>
        <v/>
      </c>
      <c r="AL1562" s="1" t="str">
        <f>IFERROR(__xludf.DUMMYFUNCTION("""COMPUTED_VALUE"""),"")</f>
        <v/>
      </c>
      <c r="AM1562" s="1" t="str">
        <f>IFERROR(__xludf.DUMMYFUNCTION("""COMPUTED_VALUE"""),"")</f>
        <v/>
      </c>
      <c r="AN1562" s="1" t="str">
        <f>IFERROR(__xludf.DUMMYFUNCTION("""COMPUTED_VALUE"""),"")</f>
        <v/>
      </c>
      <c r="AO1562" s="1" t="str">
        <f>IFERROR(__xludf.DUMMYFUNCTION("""COMPUTED_VALUE"""),"")</f>
        <v/>
      </c>
      <c r="AP1562" s="1" t="str">
        <f>IFERROR(__xludf.DUMMYFUNCTION("""COMPUTED_VALUE"""),"")</f>
        <v/>
      </c>
      <c r="AQ1562" s="1" t="str">
        <f>IFERROR(__xludf.DUMMYFUNCTION("""COMPUTED_VALUE"""),"04/10/2024")</f>
        <v>04/10/2024</v>
      </c>
      <c r="AR1562" s="1" t="str">
        <f>IFERROR(__xludf.DUMMYFUNCTION("""COMPUTED_VALUE"""),"10/17/2025")</f>
        <v>10/17/2025</v>
      </c>
    </row>
    <row r="1563">
      <c r="A1563" s="1" t="str">
        <f>IFERROR(__xludf.DUMMYFUNCTION("""COMPUTED_VALUE"""),"Stack Data Center")</f>
        <v>Stack Data Center</v>
      </c>
      <c r="B1563" s="1" t="str">
        <f>IFERROR(__xludf.DUMMYFUNCTION("""COMPUTED_VALUE"""),"6100 Berry Hill Rd/ Berry Hill Southern Virginia Megasite")</f>
        <v>6100 Berry Hill Rd/ Berry Hill Southern Virginia Megasite</v>
      </c>
      <c r="C1563" s="1" t="str">
        <f>IFERROR(__xludf.DUMMYFUNCTION("""COMPUTED_VALUE""")," Danville")</f>
        <v> Danville</v>
      </c>
      <c r="D1563" s="1" t="str">
        <f>IFERROR(__xludf.DUMMYFUNCTION("""COMPUTED_VALUE"""),"VA ")</f>
        <v>VA </v>
      </c>
      <c r="E1563" s="1" t="str">
        <f>IFERROR(__xludf.DUMMYFUNCTION("""COMPUTED_VALUE"""),"24541")</f>
        <v>24541</v>
      </c>
      <c r="F1563" s="1" t="str">
        <f>IFERROR(__xludf.DUMMYFUNCTION("""COMPUTED_VALUE"""),"Pittsylvania")</f>
        <v>Pittsylvania</v>
      </c>
      <c r="G1563" s="1" t="str">
        <f>IFERROR(__xludf.DUMMYFUNCTION("""COMPUTED_VALUE"""),"36.5541")</f>
        <v>36.5541</v>
      </c>
      <c r="H1563" s="1" t="str">
        <f>IFERROR(__xludf.DUMMYFUNCTION("""COMPUTED_VALUE"""),"-79.59838")</f>
        <v>-79.59838</v>
      </c>
      <c r="I1563" s="1" t="str">
        <f>IFERROR(__xludf.DUMMYFUNCTION("""COMPUTED_VALUE"""),"Proposed")</f>
        <v>Proposed</v>
      </c>
      <c r="J1563" s="1" t="str">
        <f>IFERROR(__xludf.DUMMYFUNCTION("""COMPUTED_VALUE"""),"High")</f>
        <v>High</v>
      </c>
      <c r="K1563" s="1" t="str">
        <f>IFERROR(__xludf.DUMMYFUNCTION("""COMPUTED_VALUE"""),"")</f>
        <v/>
      </c>
      <c r="L1563" s="1" t="str">
        <f>IFERROR(__xludf.DUMMYFUNCTION("""COMPUTED_VALUE"""),"Stack")</f>
        <v>Stack</v>
      </c>
      <c r="M1563" s="1" t="str">
        <f>IFERROR(__xludf.DUMMYFUNCTION("""COMPUTED_VALUE"""),"")</f>
        <v/>
      </c>
      <c r="N1563" s="1" t="str">
        <f>IFERROR(__xludf.DUMMYFUNCTION("""COMPUTED_VALUE"""),"299")</f>
        <v>299</v>
      </c>
      <c r="O1563" s="1" t="str">
        <f>IFERROR(__xludf.DUMMYFUNCTION("""COMPUTED_VALUE"""),"Hyperscale (100-999 MW)")</f>
        <v>Hyperscale (100-999 MW)</v>
      </c>
      <c r="P1563" s="1" t="str">
        <f>IFERROR(__xludf.DUMMYFUNCTION("""COMPUTED_VALUE"""),"")</f>
        <v/>
      </c>
      <c r="Q1563" s="1" t="str">
        <f>IFERROR(__xludf.DUMMYFUNCTION("""COMPUTED_VALUE"""),"")</f>
        <v/>
      </c>
      <c r="R1563" s="1" t="str">
        <f>IFERROR(__xludf.DUMMYFUNCTION("""COMPUTED_VALUE"""),"")</f>
        <v/>
      </c>
      <c r="S1563" s="1" t="str">
        <f>IFERROR(__xludf.DUMMYFUNCTION("""COMPUTED_VALUE"""),"")</f>
        <v/>
      </c>
      <c r="T1563" s="1" t="str">
        <f>IFERROR(__xludf.DUMMYFUNCTION("""COMPUTED_VALUE"""),"")</f>
        <v/>
      </c>
      <c r="U1563" s="1" t="str">
        <f>IFERROR(__xludf.DUMMYFUNCTION("""COMPUTED_VALUE"""),"")</f>
        <v/>
      </c>
      <c r="V1563" s="1" t="str">
        <f>IFERROR(__xludf.DUMMYFUNCTION("""COMPUTED_VALUE"""),"")</f>
        <v/>
      </c>
      <c r="W1563" s="1" t="str">
        <f>IFERROR(__xludf.DUMMYFUNCTION("""COMPUTED_VALUE"""),"2990")</f>
        <v>2990</v>
      </c>
      <c r="X1563" s="1" t="str">
        <f>IFERROR(__xludf.DUMMYFUNCTION("""COMPUTED_VALUE"""),"$73.5 billion")</f>
        <v>$73.5 billion</v>
      </c>
      <c r="Y1563" s="1" t="str">
        <f>IFERROR(__xludf.DUMMYFUNCTION("""COMPUTED_VALUE"""),"2031")</f>
        <v>2031</v>
      </c>
      <c r="Z1563" s="1" t="str">
        <f>IFERROR(__xludf.DUMMYFUNCTION("""COMPUTED_VALUE"""),"Unknown")</f>
        <v>Unknown</v>
      </c>
      <c r="AA1563" s="1" t="str">
        <f>IFERROR(__xludf.DUMMYFUNCTION("""COMPUTED_VALUE"""),"")</f>
        <v/>
      </c>
      <c r="AB1563" s="1" t="str">
        <f>IFERROR(__xludf.DUMMYFUNCTION("""COMPUTED_VALUE"""),"")</f>
        <v/>
      </c>
      <c r="AC1563" s="1" t="str">
        <f>IFERROR(__xludf.DUMMYFUNCTION("""COMPUTED_VALUE"""),"")</f>
        <v/>
      </c>
      <c r="AD1563" s="1" t="str">
        <f>IFERROR(__xludf.DUMMYFUNCTION("""COMPUTED_VALUE"""),"")</f>
        <v/>
      </c>
      <c r="AE1563" s="1" t="str">
        <f>IFERROR(__xludf.DUMMYFUNCTION("""COMPUTED_VALUE"""),"")</f>
        <v/>
      </c>
      <c r="AF1563" s="1" t="str">
        <f>IFERROR(__xludf.DUMMYFUNCTION("""COMPUTED_VALUE"""),"")</f>
        <v/>
      </c>
      <c r="AG1563" s="1" t="str">
        <f>IFERROR(__xludf.DUMMYFUNCTION("""COMPUTED_VALUE"""),"")</f>
        <v/>
      </c>
      <c r="AH1563" s="1" t="str">
        <f>IFERROR(__xludf.DUMMYFUNCTION("""COMPUTED_VALUE"""),"Media Monitoring")</f>
        <v>Media Monitoring</v>
      </c>
      <c r="AI1563" s="2" t="str">
        <f>IFERROR(__xludf.DUMMYFUNCTION("""COMPUTED_VALUE"""),"https://www.datacenterdynamics.com/en/news/stack-commits-735bn-investment-into-data-center-campus-in-berry-hill-virginia/")</f>
        <v>https://www.datacenterdynamics.com/en/news/stack-commits-735bn-investment-into-data-center-campus-in-berry-hill-virginia/</v>
      </c>
      <c r="AJ1563" s="1" t="str">
        <f>IFERROR(__xludf.DUMMYFUNCTION("""COMPUTED_VALUE"""),"")</f>
        <v/>
      </c>
      <c r="AK1563" s="1" t="str">
        <f>IFERROR(__xludf.DUMMYFUNCTION("""COMPUTED_VALUE"""),"")</f>
        <v/>
      </c>
      <c r="AL1563" s="1" t="str">
        <f>IFERROR(__xludf.DUMMYFUNCTION("""COMPUTED_VALUE"""),"")</f>
        <v/>
      </c>
      <c r="AM1563" s="1" t="str">
        <f>IFERROR(__xludf.DUMMYFUNCTION("""COMPUTED_VALUE"""),"")</f>
        <v/>
      </c>
      <c r="AN1563" s="1" t="str">
        <f>IFERROR(__xludf.DUMMYFUNCTION("""COMPUTED_VALUE"""),"")</f>
        <v/>
      </c>
      <c r="AO1563" s="1" t="str">
        <f>IFERROR(__xludf.DUMMYFUNCTION("""COMPUTED_VALUE"""),"")</f>
        <v/>
      </c>
      <c r="AP1563" s="1" t="str">
        <f>IFERROR(__xludf.DUMMYFUNCTION("""COMPUTED_VALUE"""),"")</f>
        <v/>
      </c>
      <c r="AQ1563" s="1" t="str">
        <f>IFERROR(__xludf.DUMMYFUNCTION("""COMPUTED_VALUE"""),"05/20/2026")</f>
        <v>05/20/2026</v>
      </c>
      <c r="AR1563" s="1" t="str">
        <f>IFERROR(__xludf.DUMMYFUNCTION("""COMPUTED_VALUE"""),"05/20/2026")</f>
        <v>05/20/2026</v>
      </c>
    </row>
    <row r="1564">
      <c r="A1564" s="1" t="str">
        <f>IFERROR(__xludf.DUMMYFUNCTION("""COMPUTED_VALUE"""),"Sabey Data Centers - Columbia")</f>
        <v>Sabey Data Centers - Columbia</v>
      </c>
      <c r="B1564" s="1" t="str">
        <f>IFERROR(__xludf.DUMMYFUNCTION("""COMPUTED_VALUE"""),"4405 Grant Rd")</f>
        <v>4405 Grant Rd</v>
      </c>
      <c r="C1564" s="1" t="str">
        <f>IFERROR(__xludf.DUMMYFUNCTION("""COMPUTED_VALUE"""),"East Wenatchee")</f>
        <v>East Wenatchee</v>
      </c>
      <c r="D1564" s="1" t="str">
        <f>IFERROR(__xludf.DUMMYFUNCTION("""COMPUTED_VALUE"""),"WA")</f>
        <v>WA</v>
      </c>
      <c r="E1564" s="1" t="str">
        <f>IFERROR(__xludf.DUMMYFUNCTION("""COMPUTED_VALUE"""),"98802")</f>
        <v>98802</v>
      </c>
      <c r="F1564" s="1" t="str">
        <f>IFERROR(__xludf.DUMMYFUNCTION("""COMPUTED_VALUE"""),"Douglas")</f>
        <v>Douglas</v>
      </c>
      <c r="G1564" s="1" t="str">
        <f>IFERROR(__xludf.DUMMYFUNCTION("""COMPUTED_VALUE"""),"47.4067")</f>
        <v>47.4067</v>
      </c>
      <c r="H1564" s="1" t="str">
        <f>IFERROR(__xludf.DUMMYFUNCTION("""COMPUTED_VALUE"""),"-120.187")</f>
        <v>-120.187</v>
      </c>
      <c r="I1564" s="1" t="str">
        <f>IFERROR(__xludf.DUMMYFUNCTION("""COMPUTED_VALUE"""),"Operating")</f>
        <v>Operating</v>
      </c>
      <c r="J1564" s="1" t="str">
        <f>IFERROR(__xludf.DUMMYFUNCTION("""COMPUTED_VALUE"""),"High")</f>
        <v>High</v>
      </c>
      <c r="K1564" s="1" t="str">
        <f>IFERROR(__xludf.DUMMYFUNCTION("""COMPUTED_VALUE"""),"")</f>
        <v/>
      </c>
      <c r="L1564" s="1" t="str">
        <f>IFERROR(__xludf.DUMMYFUNCTION("""COMPUTED_VALUE"""),"")</f>
        <v/>
      </c>
      <c r="M1564" s="1" t="str">
        <f>IFERROR(__xludf.DUMMYFUNCTION("""COMPUTED_VALUE"""),"")</f>
        <v/>
      </c>
      <c r="N1564" s="1" t="str">
        <f>IFERROR(__xludf.DUMMYFUNCTION("""COMPUTED_VALUE"""),"")</f>
        <v/>
      </c>
      <c r="O1564" s="1" t="str">
        <f>IFERROR(__xludf.DUMMYFUNCTION("""COMPUTED_VALUE"""),"Unknown")</f>
        <v>Unknown</v>
      </c>
      <c r="P1564" s="1" t="str">
        <f>IFERROR(__xludf.DUMMYFUNCTION("""COMPUTED_VALUE"""),"")</f>
        <v/>
      </c>
      <c r="Q1564" s="1" t="str">
        <f>IFERROR(__xludf.DUMMYFUNCTION("""COMPUTED_VALUE"""),"")</f>
        <v/>
      </c>
      <c r="R1564" s="1" t="str">
        <f>IFERROR(__xludf.DUMMYFUNCTION("""COMPUTED_VALUE"""),"")</f>
        <v/>
      </c>
      <c r="S1564" s="1" t="str">
        <f>IFERROR(__xludf.DUMMYFUNCTION("""COMPUTED_VALUE"""),"")</f>
        <v/>
      </c>
      <c r="T1564" s="1" t="str">
        <f>IFERROR(__xludf.DUMMYFUNCTION("""COMPUTED_VALUE"""),"")</f>
        <v/>
      </c>
      <c r="U1564" s="1" t="str">
        <f>IFERROR(__xludf.DUMMYFUNCTION("""COMPUTED_VALUE"""),"")</f>
        <v/>
      </c>
      <c r="V1564" s="1" t="str">
        <f>IFERROR(__xludf.DUMMYFUNCTION("""COMPUTED_VALUE"""),"")</f>
        <v/>
      </c>
      <c r="W1564" s="1" t="str">
        <f>IFERROR(__xludf.DUMMYFUNCTION("""COMPUTED_VALUE"""),"")</f>
        <v/>
      </c>
      <c r="X1564" s="1" t="str">
        <f>IFERROR(__xludf.DUMMYFUNCTION("""COMPUTED_VALUE"""),"")</f>
        <v/>
      </c>
      <c r="Y1564" s="1" t="str">
        <f>IFERROR(__xludf.DUMMYFUNCTION("""COMPUTED_VALUE"""),"")</f>
        <v/>
      </c>
      <c r="Z1564" s="1" t="str">
        <f>IFERROR(__xludf.DUMMYFUNCTION("""COMPUTED_VALUE"""),"Unknown")</f>
        <v>Unknown</v>
      </c>
      <c r="AA1564" s="1" t="str">
        <f>IFERROR(__xludf.DUMMYFUNCTION("""COMPUTED_VALUE"""),"")</f>
        <v/>
      </c>
      <c r="AB1564" s="1" t="str">
        <f>IFERROR(__xludf.DUMMYFUNCTION("""COMPUTED_VALUE"""),"")</f>
        <v/>
      </c>
      <c r="AC1564" s="1" t="str">
        <f>IFERROR(__xludf.DUMMYFUNCTION("""COMPUTED_VALUE"""),"")</f>
        <v/>
      </c>
      <c r="AD1564" s="1" t="str">
        <f>IFERROR(__xludf.DUMMYFUNCTION("""COMPUTED_VALUE"""),"")</f>
        <v/>
      </c>
      <c r="AE1564" s="1" t="str">
        <f>IFERROR(__xludf.DUMMYFUNCTION("""COMPUTED_VALUE"""),"")</f>
        <v/>
      </c>
      <c r="AF1564" s="1" t="str">
        <f>IFERROR(__xludf.DUMMYFUNCTION("""COMPUTED_VALUE"""),"")</f>
        <v/>
      </c>
      <c r="AG1564" s="1" t="str">
        <f>IFERROR(__xludf.DUMMYFUNCTION("""COMPUTED_VALUE"""),"")</f>
        <v/>
      </c>
      <c r="AH1564" s="1" t="str">
        <f>IFERROR(__xludf.DUMMYFUNCTION("""COMPUTED_VALUE"""),"Media Monitoring")</f>
        <v>Media Monitoring</v>
      </c>
      <c r="AI1564" s="1" t="str">
        <f>IFERROR(__xludf.DUMMYFUNCTION("""COMPUTED_VALUE"""),"")</f>
        <v/>
      </c>
      <c r="AJ1564" s="1" t="str">
        <f>IFERROR(__xludf.DUMMYFUNCTION("""COMPUTED_VALUE"""),"")</f>
        <v/>
      </c>
      <c r="AK1564" s="1" t="str">
        <f>IFERROR(__xludf.DUMMYFUNCTION("""COMPUTED_VALUE"""),"")</f>
        <v/>
      </c>
      <c r="AL1564" s="1" t="str">
        <f>IFERROR(__xludf.DUMMYFUNCTION("""COMPUTED_VALUE"""),"")</f>
        <v/>
      </c>
      <c r="AM1564" s="1" t="str">
        <f>IFERROR(__xludf.DUMMYFUNCTION("""COMPUTED_VALUE"""),"")</f>
        <v/>
      </c>
      <c r="AN1564" s="1" t="str">
        <f>IFERROR(__xludf.DUMMYFUNCTION("""COMPUTED_VALUE"""),"")</f>
        <v/>
      </c>
      <c r="AO1564" s="1" t="str">
        <f>IFERROR(__xludf.DUMMYFUNCTION("""COMPUTED_VALUE"""),"")</f>
        <v/>
      </c>
      <c r="AP1564" s="1" t="str">
        <f>IFERROR(__xludf.DUMMYFUNCTION("""COMPUTED_VALUE"""),"")</f>
        <v/>
      </c>
      <c r="AQ1564" s="1" t="str">
        <f>IFERROR(__xludf.DUMMYFUNCTION("""COMPUTED_VALUE"""),"08/14/2025")</f>
        <v>08/14/2025</v>
      </c>
      <c r="AR1564" s="1" t="str">
        <f>IFERROR(__xludf.DUMMYFUNCTION("""COMPUTED_VALUE"""),"08/14/2025")</f>
        <v>08/14/2025</v>
      </c>
    </row>
    <row r="1565">
      <c r="A1565" s="1" t="str">
        <f>IFERROR(__xludf.DUMMYFUNCTION("""COMPUTED_VALUE"""),"Equinix Data Center")</f>
        <v>Equinix Data Center</v>
      </c>
      <c r="B1565" s="1" t="str">
        <f>IFERROR(__xludf.DUMMYFUNCTION("""COMPUTED_VALUE"""),"6906 S 204th St")</f>
        <v>6906 S 204th St</v>
      </c>
      <c r="C1565" s="1" t="str">
        <f>IFERROR(__xludf.DUMMYFUNCTION("""COMPUTED_VALUE"""),"Kent")</f>
        <v>Kent</v>
      </c>
      <c r="D1565" s="1" t="str">
        <f>IFERROR(__xludf.DUMMYFUNCTION("""COMPUTED_VALUE"""),"WA")</f>
        <v>WA</v>
      </c>
      <c r="E1565" s="1" t="str">
        <f>IFERROR(__xludf.DUMMYFUNCTION("""COMPUTED_VALUE"""),"98032")</f>
        <v>98032</v>
      </c>
      <c r="F1565" s="1" t="str">
        <f>IFERROR(__xludf.DUMMYFUNCTION("""COMPUTED_VALUE"""),"King")</f>
        <v>King</v>
      </c>
      <c r="G1565" s="1" t="str">
        <f>IFERROR(__xludf.DUMMYFUNCTION("""COMPUTED_VALUE"""),"47.42195")</f>
        <v>47.42195</v>
      </c>
      <c r="H1565" s="1" t="str">
        <f>IFERROR(__xludf.DUMMYFUNCTION("""COMPUTED_VALUE"""),"-122.247")</f>
        <v>-122.247</v>
      </c>
      <c r="I1565" s="1" t="str">
        <f>IFERROR(__xludf.DUMMYFUNCTION("""COMPUTED_VALUE"""),"Operating")</f>
        <v>Operating</v>
      </c>
      <c r="J1565" s="1" t="str">
        <f>IFERROR(__xludf.DUMMYFUNCTION("""COMPUTED_VALUE"""),"High")</f>
        <v>High</v>
      </c>
      <c r="K1565" s="1" t="str">
        <f>IFERROR(__xludf.DUMMYFUNCTION("""COMPUTED_VALUE"""),"")</f>
        <v/>
      </c>
      <c r="L1565" s="1" t="str">
        <f>IFERROR(__xludf.DUMMYFUNCTION("""COMPUTED_VALUE"""),"")</f>
        <v/>
      </c>
      <c r="M1565" s="1" t="str">
        <f>IFERROR(__xludf.DUMMYFUNCTION("""COMPUTED_VALUE"""),"")</f>
        <v/>
      </c>
      <c r="N1565" s="1" t="str">
        <f>IFERROR(__xludf.DUMMYFUNCTION("""COMPUTED_VALUE"""),"")</f>
        <v/>
      </c>
      <c r="O1565" s="1" t="str">
        <f>IFERROR(__xludf.DUMMYFUNCTION("""COMPUTED_VALUE"""),"Unknown")</f>
        <v>Unknown</v>
      </c>
      <c r="P1565" s="1" t="str">
        <f>IFERROR(__xludf.DUMMYFUNCTION("""COMPUTED_VALUE"""),"")</f>
        <v/>
      </c>
      <c r="Q1565" s="1" t="str">
        <f>IFERROR(__xludf.DUMMYFUNCTION("""COMPUTED_VALUE"""),"")</f>
        <v/>
      </c>
      <c r="R1565" s="1" t="str">
        <f>IFERROR(__xludf.DUMMYFUNCTION("""COMPUTED_VALUE"""),"")</f>
        <v/>
      </c>
      <c r="S1565" s="1" t="str">
        <f>IFERROR(__xludf.DUMMYFUNCTION("""COMPUTED_VALUE"""),"")</f>
        <v/>
      </c>
      <c r="T1565" s="1" t="str">
        <f>IFERROR(__xludf.DUMMYFUNCTION("""COMPUTED_VALUE"""),"")</f>
        <v/>
      </c>
      <c r="U1565" s="1" t="str">
        <f>IFERROR(__xludf.DUMMYFUNCTION("""COMPUTED_VALUE"""),"")</f>
        <v/>
      </c>
      <c r="V1565" s="1" t="str">
        <f>IFERROR(__xludf.DUMMYFUNCTION("""COMPUTED_VALUE"""),"")</f>
        <v/>
      </c>
      <c r="W1565" s="1" t="str">
        <f>IFERROR(__xludf.DUMMYFUNCTION("""COMPUTED_VALUE"""),"")</f>
        <v/>
      </c>
      <c r="X1565" s="1" t="str">
        <f>IFERROR(__xludf.DUMMYFUNCTION("""COMPUTED_VALUE"""),"")</f>
        <v/>
      </c>
      <c r="Y1565" s="1" t="str">
        <f>IFERROR(__xludf.DUMMYFUNCTION("""COMPUTED_VALUE"""),"")</f>
        <v/>
      </c>
      <c r="Z1565" s="1" t="str">
        <f>IFERROR(__xludf.DUMMYFUNCTION("""COMPUTED_VALUE"""),"Unknown")</f>
        <v>Unknown</v>
      </c>
      <c r="AA1565" s="1" t="str">
        <f>IFERROR(__xludf.DUMMYFUNCTION("""COMPUTED_VALUE"""),"")</f>
        <v/>
      </c>
      <c r="AB1565" s="1" t="str">
        <f>IFERROR(__xludf.DUMMYFUNCTION("""COMPUTED_VALUE"""),"")</f>
        <v/>
      </c>
      <c r="AC1565" s="1" t="str">
        <f>IFERROR(__xludf.DUMMYFUNCTION("""COMPUTED_VALUE"""),"")</f>
        <v/>
      </c>
      <c r="AD1565" s="1" t="str">
        <f>IFERROR(__xludf.DUMMYFUNCTION("""COMPUTED_VALUE"""),"")</f>
        <v/>
      </c>
      <c r="AE1565" s="1" t="str">
        <f>IFERROR(__xludf.DUMMYFUNCTION("""COMPUTED_VALUE"""),"")</f>
        <v/>
      </c>
      <c r="AF1565" s="1" t="str">
        <f>IFERROR(__xludf.DUMMYFUNCTION("""COMPUTED_VALUE"""),"")</f>
        <v/>
      </c>
      <c r="AG1565" s="1" t="str">
        <f>IFERROR(__xludf.DUMMYFUNCTION("""COMPUTED_VALUE"""),"")</f>
        <v/>
      </c>
      <c r="AH1565" s="1" t="str">
        <f>IFERROR(__xludf.DUMMYFUNCTION("""COMPUTED_VALUE"""),"Media Monitoring")</f>
        <v>Media Monitoring</v>
      </c>
      <c r="AI1565" s="1" t="str">
        <f>IFERROR(__xludf.DUMMYFUNCTION("""COMPUTED_VALUE"""),"")</f>
        <v/>
      </c>
      <c r="AJ1565" s="1" t="str">
        <f>IFERROR(__xludf.DUMMYFUNCTION("""COMPUTED_VALUE"""),"")</f>
        <v/>
      </c>
      <c r="AK1565" s="1" t="str">
        <f>IFERROR(__xludf.DUMMYFUNCTION("""COMPUTED_VALUE"""),"")</f>
        <v/>
      </c>
      <c r="AL1565" s="1" t="str">
        <f>IFERROR(__xludf.DUMMYFUNCTION("""COMPUTED_VALUE"""),"")</f>
        <v/>
      </c>
      <c r="AM1565" s="1" t="str">
        <f>IFERROR(__xludf.DUMMYFUNCTION("""COMPUTED_VALUE"""),"")</f>
        <v/>
      </c>
      <c r="AN1565" s="1" t="str">
        <f>IFERROR(__xludf.DUMMYFUNCTION("""COMPUTED_VALUE"""),"")</f>
        <v/>
      </c>
      <c r="AO1565" s="1" t="str">
        <f>IFERROR(__xludf.DUMMYFUNCTION("""COMPUTED_VALUE"""),"")</f>
        <v/>
      </c>
      <c r="AP1565" s="1" t="str">
        <f>IFERROR(__xludf.DUMMYFUNCTION("""COMPUTED_VALUE"""),"")</f>
        <v/>
      </c>
      <c r="AQ1565" s="1" t="str">
        <f>IFERROR(__xludf.DUMMYFUNCTION("""COMPUTED_VALUE"""),"08/14/2025")</f>
        <v>08/14/2025</v>
      </c>
      <c r="AR1565" s="1" t="str">
        <f>IFERROR(__xludf.DUMMYFUNCTION("""COMPUTED_VALUE"""),"08/14/2025")</f>
        <v>08/14/2025</v>
      </c>
    </row>
    <row r="1566">
      <c r="A1566" s="1" t="str">
        <f>IFERROR(__xludf.DUMMYFUNCTION("""COMPUTED_VALUE"""),"TierPoint - Spokane Data Center (SPO03)")</f>
        <v>TierPoint - Spokane Data Center (SPO03)</v>
      </c>
      <c r="B1566" s="1" t="str">
        <f>IFERROR(__xludf.DUMMYFUNCTION("""COMPUTED_VALUE"""),"23017 E Mission Ave")</f>
        <v>23017 E Mission Ave</v>
      </c>
      <c r="C1566" s="1" t="str">
        <f>IFERROR(__xludf.DUMMYFUNCTION("""COMPUTED_VALUE"""),"Liberty Lake")</f>
        <v>Liberty Lake</v>
      </c>
      <c r="D1566" s="1" t="str">
        <f>IFERROR(__xludf.DUMMYFUNCTION("""COMPUTED_VALUE"""),"WA")</f>
        <v>WA</v>
      </c>
      <c r="E1566" s="1" t="str">
        <f>IFERROR(__xludf.DUMMYFUNCTION("""COMPUTED_VALUE"""),"99019")</f>
        <v>99019</v>
      </c>
      <c r="F1566" s="1" t="str">
        <f>IFERROR(__xludf.DUMMYFUNCTION("""COMPUTED_VALUE"""),"Spokane")</f>
        <v>Spokane</v>
      </c>
      <c r="G1566" s="1" t="str">
        <f>IFERROR(__xludf.DUMMYFUNCTION("""COMPUTED_VALUE"""),"47.67205")</f>
        <v>47.67205</v>
      </c>
      <c r="H1566" s="1" t="str">
        <f>IFERROR(__xludf.DUMMYFUNCTION("""COMPUTED_VALUE"""),"-117.096")</f>
        <v>-117.096</v>
      </c>
      <c r="I1566" s="1" t="str">
        <f>IFERROR(__xludf.DUMMYFUNCTION("""COMPUTED_VALUE"""),"Operating")</f>
        <v>Operating</v>
      </c>
      <c r="J1566" s="1" t="str">
        <f>IFERROR(__xludf.DUMMYFUNCTION("""COMPUTED_VALUE"""),"High")</f>
        <v>High</v>
      </c>
      <c r="K1566" s="1" t="str">
        <f>IFERROR(__xludf.DUMMYFUNCTION("""COMPUTED_VALUE"""),"")</f>
        <v/>
      </c>
      <c r="L1566" s="1" t="str">
        <f>IFERROR(__xludf.DUMMYFUNCTION("""COMPUTED_VALUE"""),"")</f>
        <v/>
      </c>
      <c r="M1566" s="1" t="str">
        <f>IFERROR(__xludf.DUMMYFUNCTION("""COMPUTED_VALUE"""),"")</f>
        <v/>
      </c>
      <c r="N1566" s="1" t="str">
        <f>IFERROR(__xludf.DUMMYFUNCTION("""COMPUTED_VALUE"""),"")</f>
        <v/>
      </c>
      <c r="O1566" s="1" t="str">
        <f>IFERROR(__xludf.DUMMYFUNCTION("""COMPUTED_VALUE"""),"Unknown")</f>
        <v>Unknown</v>
      </c>
      <c r="P1566" s="1" t="str">
        <f>IFERROR(__xludf.DUMMYFUNCTION("""COMPUTED_VALUE"""),"")</f>
        <v/>
      </c>
      <c r="Q1566" s="1" t="str">
        <f>IFERROR(__xludf.DUMMYFUNCTION("""COMPUTED_VALUE"""),"")</f>
        <v/>
      </c>
      <c r="R1566" s="1" t="str">
        <f>IFERROR(__xludf.DUMMYFUNCTION("""COMPUTED_VALUE"""),"")</f>
        <v/>
      </c>
      <c r="S1566" s="1" t="str">
        <f>IFERROR(__xludf.DUMMYFUNCTION("""COMPUTED_VALUE"""),"")</f>
        <v/>
      </c>
      <c r="T1566" s="1" t="str">
        <f>IFERROR(__xludf.DUMMYFUNCTION("""COMPUTED_VALUE"""),"")</f>
        <v/>
      </c>
      <c r="U1566" s="1" t="str">
        <f>IFERROR(__xludf.DUMMYFUNCTION("""COMPUTED_VALUE"""),"")</f>
        <v/>
      </c>
      <c r="V1566" s="1" t="str">
        <f>IFERROR(__xludf.DUMMYFUNCTION("""COMPUTED_VALUE"""),"")</f>
        <v/>
      </c>
      <c r="W1566" s="1" t="str">
        <f>IFERROR(__xludf.DUMMYFUNCTION("""COMPUTED_VALUE"""),"")</f>
        <v/>
      </c>
      <c r="X1566" s="1" t="str">
        <f>IFERROR(__xludf.DUMMYFUNCTION("""COMPUTED_VALUE"""),"")</f>
        <v/>
      </c>
      <c r="Y1566" s="1" t="str">
        <f>IFERROR(__xludf.DUMMYFUNCTION("""COMPUTED_VALUE"""),"")</f>
        <v/>
      </c>
      <c r="Z1566" s="1" t="str">
        <f>IFERROR(__xludf.DUMMYFUNCTION("""COMPUTED_VALUE"""),"Unknown")</f>
        <v>Unknown</v>
      </c>
      <c r="AA1566" s="1" t="str">
        <f>IFERROR(__xludf.DUMMYFUNCTION("""COMPUTED_VALUE"""),"")</f>
        <v/>
      </c>
      <c r="AB1566" s="1" t="str">
        <f>IFERROR(__xludf.DUMMYFUNCTION("""COMPUTED_VALUE"""),"")</f>
        <v/>
      </c>
      <c r="AC1566" s="1" t="str">
        <f>IFERROR(__xludf.DUMMYFUNCTION("""COMPUTED_VALUE"""),"")</f>
        <v/>
      </c>
      <c r="AD1566" s="1" t="str">
        <f>IFERROR(__xludf.DUMMYFUNCTION("""COMPUTED_VALUE"""),"")</f>
        <v/>
      </c>
      <c r="AE1566" s="1" t="str">
        <f>IFERROR(__xludf.DUMMYFUNCTION("""COMPUTED_VALUE"""),"")</f>
        <v/>
      </c>
      <c r="AF1566" s="1" t="str">
        <f>IFERROR(__xludf.DUMMYFUNCTION("""COMPUTED_VALUE"""),"")</f>
        <v/>
      </c>
      <c r="AG1566" s="1" t="str">
        <f>IFERROR(__xludf.DUMMYFUNCTION("""COMPUTED_VALUE"""),"")</f>
        <v/>
      </c>
      <c r="AH1566" s="1" t="str">
        <f>IFERROR(__xludf.DUMMYFUNCTION("""COMPUTED_VALUE"""),"Media Monitoring")</f>
        <v>Media Monitoring</v>
      </c>
      <c r="AI1566" s="1" t="str">
        <f>IFERROR(__xludf.DUMMYFUNCTION("""COMPUTED_VALUE"""),"")</f>
        <v/>
      </c>
      <c r="AJ1566" s="1" t="str">
        <f>IFERROR(__xludf.DUMMYFUNCTION("""COMPUTED_VALUE"""),"")</f>
        <v/>
      </c>
      <c r="AK1566" s="1" t="str">
        <f>IFERROR(__xludf.DUMMYFUNCTION("""COMPUTED_VALUE"""),"")</f>
        <v/>
      </c>
      <c r="AL1566" s="1" t="str">
        <f>IFERROR(__xludf.DUMMYFUNCTION("""COMPUTED_VALUE"""),"")</f>
        <v/>
      </c>
      <c r="AM1566" s="1" t="str">
        <f>IFERROR(__xludf.DUMMYFUNCTION("""COMPUTED_VALUE"""),"")</f>
        <v/>
      </c>
      <c r="AN1566" s="1" t="str">
        <f>IFERROR(__xludf.DUMMYFUNCTION("""COMPUTED_VALUE"""),"")</f>
        <v/>
      </c>
      <c r="AO1566" s="1" t="str">
        <f>IFERROR(__xludf.DUMMYFUNCTION("""COMPUTED_VALUE"""),"")</f>
        <v/>
      </c>
      <c r="AP1566" s="1" t="str">
        <f>IFERROR(__xludf.DUMMYFUNCTION("""COMPUTED_VALUE"""),"")</f>
        <v/>
      </c>
      <c r="AQ1566" s="1" t="str">
        <f>IFERROR(__xludf.DUMMYFUNCTION("""COMPUTED_VALUE"""),"08/14/2025")</f>
        <v>08/14/2025</v>
      </c>
      <c r="AR1566" s="1" t="str">
        <f>IFERROR(__xludf.DUMMYFUNCTION("""COMPUTED_VALUE"""),"08/14/2025")</f>
        <v>08/14/2025</v>
      </c>
    </row>
    <row r="1567">
      <c r="A1567" s="1" t="str">
        <f>IFERROR(__xludf.DUMMYFUNCTION("""COMPUTED_VALUE"""),"Centersquare Seattle Data Center (Lynnwood)")</f>
        <v>Centersquare Seattle Data Center (Lynnwood)</v>
      </c>
      <c r="B1567" s="1" t="str">
        <f>IFERROR(__xludf.DUMMYFUNCTION("""COMPUTED_VALUE"""),"17300 Hwy 99")</f>
        <v>17300 Hwy 99</v>
      </c>
      <c r="C1567" s="1" t="str">
        <f>IFERROR(__xludf.DUMMYFUNCTION("""COMPUTED_VALUE"""),"Lynnwood")</f>
        <v>Lynnwood</v>
      </c>
      <c r="D1567" s="1" t="str">
        <f>IFERROR(__xludf.DUMMYFUNCTION("""COMPUTED_VALUE"""),"WA")</f>
        <v>WA</v>
      </c>
      <c r="E1567" s="1" t="str">
        <f>IFERROR(__xludf.DUMMYFUNCTION("""COMPUTED_VALUE"""),"98037")</f>
        <v>98037</v>
      </c>
      <c r="F1567" s="1" t="str">
        <f>IFERROR(__xludf.DUMMYFUNCTION("""COMPUTED_VALUE"""),"Snohomish")</f>
        <v>Snohomish</v>
      </c>
      <c r="G1567" s="1" t="str">
        <f>IFERROR(__xludf.DUMMYFUNCTION("""COMPUTED_VALUE"""),"47.84165")</f>
        <v>47.84165</v>
      </c>
      <c r="H1567" s="1" t="str">
        <f>IFERROR(__xludf.DUMMYFUNCTION("""COMPUTED_VALUE"""),"-122.302")</f>
        <v>-122.302</v>
      </c>
      <c r="I1567" s="1" t="str">
        <f>IFERROR(__xludf.DUMMYFUNCTION("""COMPUTED_VALUE"""),"Operating")</f>
        <v>Operating</v>
      </c>
      <c r="J1567" s="1" t="str">
        <f>IFERROR(__xludf.DUMMYFUNCTION("""COMPUTED_VALUE"""),"High")</f>
        <v>High</v>
      </c>
      <c r="K1567" s="1" t="str">
        <f>IFERROR(__xludf.DUMMYFUNCTION("""COMPUTED_VALUE"""),"")</f>
        <v/>
      </c>
      <c r="L1567" s="1" t="str">
        <f>IFERROR(__xludf.DUMMYFUNCTION("""COMPUTED_VALUE"""),"")</f>
        <v/>
      </c>
      <c r="M1567" s="1" t="str">
        <f>IFERROR(__xludf.DUMMYFUNCTION("""COMPUTED_VALUE"""),"")</f>
        <v/>
      </c>
      <c r="N1567" s="1" t="str">
        <f>IFERROR(__xludf.DUMMYFUNCTION("""COMPUTED_VALUE"""),"")</f>
        <v/>
      </c>
      <c r="O1567" s="1" t="str">
        <f>IFERROR(__xludf.DUMMYFUNCTION("""COMPUTED_VALUE"""),"Unknown")</f>
        <v>Unknown</v>
      </c>
      <c r="P1567" s="1" t="str">
        <f>IFERROR(__xludf.DUMMYFUNCTION("""COMPUTED_VALUE"""),"")</f>
        <v/>
      </c>
      <c r="Q1567" s="1" t="str">
        <f>IFERROR(__xludf.DUMMYFUNCTION("""COMPUTED_VALUE"""),"")</f>
        <v/>
      </c>
      <c r="R1567" s="1" t="str">
        <f>IFERROR(__xludf.DUMMYFUNCTION("""COMPUTED_VALUE"""),"")</f>
        <v/>
      </c>
      <c r="S1567" s="1" t="str">
        <f>IFERROR(__xludf.DUMMYFUNCTION("""COMPUTED_VALUE"""),"")</f>
        <v/>
      </c>
      <c r="T1567" s="1" t="str">
        <f>IFERROR(__xludf.DUMMYFUNCTION("""COMPUTED_VALUE"""),"")</f>
        <v/>
      </c>
      <c r="U1567" s="1" t="str">
        <f>IFERROR(__xludf.DUMMYFUNCTION("""COMPUTED_VALUE"""),"")</f>
        <v/>
      </c>
      <c r="V1567" s="1" t="str">
        <f>IFERROR(__xludf.DUMMYFUNCTION("""COMPUTED_VALUE"""),"")</f>
        <v/>
      </c>
      <c r="W1567" s="1" t="str">
        <f>IFERROR(__xludf.DUMMYFUNCTION("""COMPUTED_VALUE"""),"")</f>
        <v/>
      </c>
      <c r="X1567" s="1" t="str">
        <f>IFERROR(__xludf.DUMMYFUNCTION("""COMPUTED_VALUE"""),"")</f>
        <v/>
      </c>
      <c r="Y1567" s="1" t="str">
        <f>IFERROR(__xludf.DUMMYFUNCTION("""COMPUTED_VALUE"""),"")</f>
        <v/>
      </c>
      <c r="Z1567" s="1" t="str">
        <f>IFERROR(__xludf.DUMMYFUNCTION("""COMPUTED_VALUE"""),"Unknown")</f>
        <v>Unknown</v>
      </c>
      <c r="AA1567" s="1" t="str">
        <f>IFERROR(__xludf.DUMMYFUNCTION("""COMPUTED_VALUE"""),"")</f>
        <v/>
      </c>
      <c r="AB1567" s="1" t="str">
        <f>IFERROR(__xludf.DUMMYFUNCTION("""COMPUTED_VALUE"""),"")</f>
        <v/>
      </c>
      <c r="AC1567" s="1" t="str">
        <f>IFERROR(__xludf.DUMMYFUNCTION("""COMPUTED_VALUE"""),"")</f>
        <v/>
      </c>
      <c r="AD1567" s="1" t="str">
        <f>IFERROR(__xludf.DUMMYFUNCTION("""COMPUTED_VALUE"""),"")</f>
        <v/>
      </c>
      <c r="AE1567" s="1" t="str">
        <f>IFERROR(__xludf.DUMMYFUNCTION("""COMPUTED_VALUE"""),"")</f>
        <v/>
      </c>
      <c r="AF1567" s="1" t="str">
        <f>IFERROR(__xludf.DUMMYFUNCTION("""COMPUTED_VALUE"""),"")</f>
        <v/>
      </c>
      <c r="AG1567" s="1" t="str">
        <f>IFERROR(__xludf.DUMMYFUNCTION("""COMPUTED_VALUE"""),"")</f>
        <v/>
      </c>
      <c r="AH1567" s="1" t="str">
        <f>IFERROR(__xludf.DUMMYFUNCTION("""COMPUTED_VALUE"""),"Media Monitoring")</f>
        <v>Media Monitoring</v>
      </c>
      <c r="AI1567" s="1" t="str">
        <f>IFERROR(__xludf.DUMMYFUNCTION("""COMPUTED_VALUE"""),"")</f>
        <v/>
      </c>
      <c r="AJ1567" s="1" t="str">
        <f>IFERROR(__xludf.DUMMYFUNCTION("""COMPUTED_VALUE"""),"")</f>
        <v/>
      </c>
      <c r="AK1567" s="1" t="str">
        <f>IFERROR(__xludf.DUMMYFUNCTION("""COMPUTED_VALUE"""),"")</f>
        <v/>
      </c>
      <c r="AL1567" s="1" t="str">
        <f>IFERROR(__xludf.DUMMYFUNCTION("""COMPUTED_VALUE"""),"")</f>
        <v/>
      </c>
      <c r="AM1567" s="1" t="str">
        <f>IFERROR(__xludf.DUMMYFUNCTION("""COMPUTED_VALUE"""),"")</f>
        <v/>
      </c>
      <c r="AN1567" s="1" t="str">
        <f>IFERROR(__xludf.DUMMYFUNCTION("""COMPUTED_VALUE"""),"")</f>
        <v/>
      </c>
      <c r="AO1567" s="1" t="str">
        <f>IFERROR(__xludf.DUMMYFUNCTION("""COMPUTED_VALUE"""),"")</f>
        <v/>
      </c>
      <c r="AP1567" s="1" t="str">
        <f>IFERROR(__xludf.DUMMYFUNCTION("""COMPUTED_VALUE"""),"")</f>
        <v/>
      </c>
      <c r="AQ1567" s="1" t="str">
        <f>IFERROR(__xludf.DUMMYFUNCTION("""COMPUTED_VALUE"""),"08/14/2025")</f>
        <v>08/14/2025</v>
      </c>
      <c r="AR1567" s="1" t="str">
        <f>IFERROR(__xludf.DUMMYFUNCTION("""COMPUTED_VALUE"""),"08/14/2025")</f>
        <v>08/14/2025</v>
      </c>
    </row>
    <row r="1568">
      <c r="A1568" s="1" t="str">
        <f>IFERROR(__xludf.DUMMYFUNCTION("""COMPUTED_VALUE"""),"Digital Fortress Data Center")</f>
        <v>Digital Fortress Data Center</v>
      </c>
      <c r="B1568" s="1" t="str">
        <f>IFERROR(__xludf.DUMMYFUNCTION("""COMPUTED_VALUE"""),"4200 194th St SW")</f>
        <v>4200 194th St SW</v>
      </c>
      <c r="C1568" s="1" t="str">
        <f>IFERROR(__xludf.DUMMYFUNCTION("""COMPUTED_VALUE"""),"Lynnwood")</f>
        <v>Lynnwood</v>
      </c>
      <c r="D1568" s="1" t="str">
        <f>IFERROR(__xludf.DUMMYFUNCTION("""COMPUTED_VALUE"""),"WA")</f>
        <v>WA</v>
      </c>
      <c r="E1568" s="1" t="str">
        <f>IFERROR(__xludf.DUMMYFUNCTION("""COMPUTED_VALUE"""),"98036")</f>
        <v>98036</v>
      </c>
      <c r="F1568" s="1" t="str">
        <f>IFERROR(__xludf.DUMMYFUNCTION("""COMPUTED_VALUE"""),"Snohomish")</f>
        <v>Snohomish</v>
      </c>
      <c r="G1568" s="1" t="str">
        <f>IFERROR(__xludf.DUMMYFUNCTION("""COMPUTED_VALUE"""),"47.82266")</f>
        <v>47.82266</v>
      </c>
      <c r="H1568" s="1" t="str">
        <f>IFERROR(__xludf.DUMMYFUNCTION("""COMPUTED_VALUE"""),"-122.289")</f>
        <v>-122.289</v>
      </c>
      <c r="I1568" s="1" t="str">
        <f>IFERROR(__xludf.DUMMYFUNCTION("""COMPUTED_VALUE"""),"Operating")</f>
        <v>Operating</v>
      </c>
      <c r="J1568" s="1" t="str">
        <f>IFERROR(__xludf.DUMMYFUNCTION("""COMPUTED_VALUE"""),"High")</f>
        <v>High</v>
      </c>
      <c r="K1568" s="1" t="str">
        <f>IFERROR(__xludf.DUMMYFUNCTION("""COMPUTED_VALUE"""),"")</f>
        <v/>
      </c>
      <c r="L1568" s="1" t="str">
        <f>IFERROR(__xludf.DUMMYFUNCTION("""COMPUTED_VALUE"""),"")</f>
        <v/>
      </c>
      <c r="M1568" s="1" t="str">
        <f>IFERROR(__xludf.DUMMYFUNCTION("""COMPUTED_VALUE"""),"")</f>
        <v/>
      </c>
      <c r="N1568" s="1" t="str">
        <f>IFERROR(__xludf.DUMMYFUNCTION("""COMPUTED_VALUE"""),"")</f>
        <v/>
      </c>
      <c r="O1568" s="1" t="str">
        <f>IFERROR(__xludf.DUMMYFUNCTION("""COMPUTED_VALUE"""),"Unknown")</f>
        <v>Unknown</v>
      </c>
      <c r="P1568" s="1" t="str">
        <f>IFERROR(__xludf.DUMMYFUNCTION("""COMPUTED_VALUE"""),"")</f>
        <v/>
      </c>
      <c r="Q1568" s="1" t="str">
        <f>IFERROR(__xludf.DUMMYFUNCTION("""COMPUTED_VALUE"""),"")</f>
        <v/>
      </c>
      <c r="R1568" s="1" t="str">
        <f>IFERROR(__xludf.DUMMYFUNCTION("""COMPUTED_VALUE"""),"")</f>
        <v/>
      </c>
      <c r="S1568" s="1" t="str">
        <f>IFERROR(__xludf.DUMMYFUNCTION("""COMPUTED_VALUE"""),"")</f>
        <v/>
      </c>
      <c r="T1568" s="1" t="str">
        <f>IFERROR(__xludf.DUMMYFUNCTION("""COMPUTED_VALUE"""),"")</f>
        <v/>
      </c>
      <c r="U1568" s="1" t="str">
        <f>IFERROR(__xludf.DUMMYFUNCTION("""COMPUTED_VALUE"""),"")</f>
        <v/>
      </c>
      <c r="V1568" s="1" t="str">
        <f>IFERROR(__xludf.DUMMYFUNCTION("""COMPUTED_VALUE"""),"")</f>
        <v/>
      </c>
      <c r="W1568" s="1" t="str">
        <f>IFERROR(__xludf.DUMMYFUNCTION("""COMPUTED_VALUE"""),"")</f>
        <v/>
      </c>
      <c r="X1568" s="1" t="str">
        <f>IFERROR(__xludf.DUMMYFUNCTION("""COMPUTED_VALUE"""),"")</f>
        <v/>
      </c>
      <c r="Y1568" s="1" t="str">
        <f>IFERROR(__xludf.DUMMYFUNCTION("""COMPUTED_VALUE"""),"")</f>
        <v/>
      </c>
      <c r="Z1568" s="1" t="str">
        <f>IFERROR(__xludf.DUMMYFUNCTION("""COMPUTED_VALUE"""),"Unknown")</f>
        <v>Unknown</v>
      </c>
      <c r="AA1568" s="1" t="str">
        <f>IFERROR(__xludf.DUMMYFUNCTION("""COMPUTED_VALUE"""),"")</f>
        <v/>
      </c>
      <c r="AB1568" s="1" t="str">
        <f>IFERROR(__xludf.DUMMYFUNCTION("""COMPUTED_VALUE"""),"")</f>
        <v/>
      </c>
      <c r="AC1568" s="1" t="str">
        <f>IFERROR(__xludf.DUMMYFUNCTION("""COMPUTED_VALUE"""),"")</f>
        <v/>
      </c>
      <c r="AD1568" s="1" t="str">
        <f>IFERROR(__xludf.DUMMYFUNCTION("""COMPUTED_VALUE"""),"")</f>
        <v/>
      </c>
      <c r="AE1568" s="1" t="str">
        <f>IFERROR(__xludf.DUMMYFUNCTION("""COMPUTED_VALUE"""),"")</f>
        <v/>
      </c>
      <c r="AF1568" s="1" t="str">
        <f>IFERROR(__xludf.DUMMYFUNCTION("""COMPUTED_VALUE"""),"")</f>
        <v/>
      </c>
      <c r="AG1568" s="1" t="str">
        <f>IFERROR(__xludf.DUMMYFUNCTION("""COMPUTED_VALUE"""),"")</f>
        <v/>
      </c>
      <c r="AH1568" s="1" t="str">
        <f>IFERROR(__xludf.DUMMYFUNCTION("""COMPUTED_VALUE"""),"Media Monitoring")</f>
        <v>Media Monitoring</v>
      </c>
      <c r="AI1568" s="1" t="str">
        <f>IFERROR(__xludf.DUMMYFUNCTION("""COMPUTED_VALUE"""),"")</f>
        <v/>
      </c>
      <c r="AJ1568" s="1" t="str">
        <f>IFERROR(__xludf.DUMMYFUNCTION("""COMPUTED_VALUE"""),"")</f>
        <v/>
      </c>
      <c r="AK1568" s="1" t="str">
        <f>IFERROR(__xludf.DUMMYFUNCTION("""COMPUTED_VALUE"""),"")</f>
        <v/>
      </c>
      <c r="AL1568" s="1" t="str">
        <f>IFERROR(__xludf.DUMMYFUNCTION("""COMPUTED_VALUE"""),"")</f>
        <v/>
      </c>
      <c r="AM1568" s="1" t="str">
        <f>IFERROR(__xludf.DUMMYFUNCTION("""COMPUTED_VALUE"""),"")</f>
        <v/>
      </c>
      <c r="AN1568" s="1" t="str">
        <f>IFERROR(__xludf.DUMMYFUNCTION("""COMPUTED_VALUE"""),"")</f>
        <v/>
      </c>
      <c r="AO1568" s="1" t="str">
        <f>IFERROR(__xludf.DUMMYFUNCTION("""COMPUTED_VALUE"""),"")</f>
        <v/>
      </c>
      <c r="AP1568" s="1" t="str">
        <f>IFERROR(__xludf.DUMMYFUNCTION("""COMPUTED_VALUE"""),"")</f>
        <v/>
      </c>
      <c r="AQ1568" s="1" t="str">
        <f>IFERROR(__xludf.DUMMYFUNCTION("""COMPUTED_VALUE"""),"08/14/2025")</f>
        <v>08/14/2025</v>
      </c>
      <c r="AR1568" s="1" t="str">
        <f>IFERROR(__xludf.DUMMYFUNCTION("""COMPUTED_VALUE"""),"08/14/2025")</f>
        <v>08/14/2025</v>
      </c>
    </row>
    <row r="1569">
      <c r="A1569" s="1" t="str">
        <f>IFERROR(__xludf.DUMMYFUNCTION("""COMPUTED_VALUE"""),"Microsoft")</f>
        <v>Microsoft</v>
      </c>
      <c r="B1569" s="1" t="str">
        <f>IFERROR(__xludf.DUMMYFUNCTION("""COMPUTED_VALUE"""),"5375 Malaga Alcoa Hwy")</f>
        <v>5375 Malaga Alcoa Hwy</v>
      </c>
      <c r="C1569" s="1" t="str">
        <f>IFERROR(__xludf.DUMMYFUNCTION("""COMPUTED_VALUE"""),"Malaga")</f>
        <v>Malaga</v>
      </c>
      <c r="D1569" s="1" t="str">
        <f>IFERROR(__xludf.DUMMYFUNCTION("""COMPUTED_VALUE"""),"WA")</f>
        <v>WA</v>
      </c>
      <c r="E1569" s="1" t="str">
        <f>IFERROR(__xludf.DUMMYFUNCTION("""COMPUTED_VALUE"""),"98828")</f>
        <v>98828</v>
      </c>
      <c r="F1569" s="1" t="str">
        <f>IFERROR(__xludf.DUMMYFUNCTION("""COMPUTED_VALUE"""),"Chelan")</f>
        <v>Chelan</v>
      </c>
      <c r="G1569" s="1" t="str">
        <f>IFERROR(__xludf.DUMMYFUNCTION("""COMPUTED_VALUE"""),"47.3591")</f>
        <v>47.3591</v>
      </c>
      <c r="H1569" s="1" t="str">
        <f>IFERROR(__xludf.DUMMYFUNCTION("""COMPUTED_VALUE"""),"-120.159")</f>
        <v>-120.159</v>
      </c>
      <c r="I1569" s="1" t="str">
        <f>IFERROR(__xludf.DUMMYFUNCTION("""COMPUTED_VALUE"""),"Operating")</f>
        <v>Operating</v>
      </c>
      <c r="J1569" s="1" t="str">
        <f>IFERROR(__xludf.DUMMYFUNCTION("""COMPUTED_VALUE"""),"High")</f>
        <v>High</v>
      </c>
      <c r="K1569" s="1" t="str">
        <f>IFERROR(__xludf.DUMMYFUNCTION("""COMPUTED_VALUE"""),"")</f>
        <v/>
      </c>
      <c r="L1569" s="1" t="str">
        <f>IFERROR(__xludf.DUMMYFUNCTION("""COMPUTED_VALUE"""),"Microsoft")</f>
        <v>Microsoft</v>
      </c>
      <c r="M1569" s="1" t="str">
        <f>IFERROR(__xludf.DUMMYFUNCTION("""COMPUTED_VALUE"""),"")</f>
        <v/>
      </c>
      <c r="N1569" s="1" t="str">
        <f>IFERROR(__xludf.DUMMYFUNCTION("""COMPUTED_VALUE"""),"")</f>
        <v/>
      </c>
      <c r="O1569" s="1" t="str">
        <f>IFERROR(__xludf.DUMMYFUNCTION("""COMPUTED_VALUE"""),"Unknown")</f>
        <v>Unknown</v>
      </c>
      <c r="P1569" s="1" t="str">
        <f>IFERROR(__xludf.DUMMYFUNCTION("""COMPUTED_VALUE"""),"")</f>
        <v/>
      </c>
      <c r="Q1569" s="1" t="str">
        <f>IFERROR(__xludf.DUMMYFUNCTION("""COMPUTED_VALUE"""),"")</f>
        <v/>
      </c>
      <c r="R1569" s="1" t="str">
        <f>IFERROR(__xludf.DUMMYFUNCTION("""COMPUTED_VALUE"""),"")</f>
        <v/>
      </c>
      <c r="S1569" s="1" t="str">
        <f>IFERROR(__xludf.DUMMYFUNCTION("""COMPUTED_VALUE"""),"")</f>
        <v/>
      </c>
      <c r="T1569" s="1" t="str">
        <f>IFERROR(__xludf.DUMMYFUNCTION("""COMPUTED_VALUE"""),"")</f>
        <v/>
      </c>
      <c r="U1569" s="1" t="str">
        <f>IFERROR(__xludf.DUMMYFUNCTION("""COMPUTED_VALUE"""),"")</f>
        <v/>
      </c>
      <c r="V1569" s="1" t="str">
        <f>IFERROR(__xludf.DUMMYFUNCTION("""COMPUTED_VALUE"""),"")</f>
        <v/>
      </c>
      <c r="W1569" s="1" t="str">
        <f>IFERROR(__xludf.DUMMYFUNCTION("""COMPUTED_VALUE"""),"103")</f>
        <v>103</v>
      </c>
      <c r="X1569" s="1" t="str">
        <f>IFERROR(__xludf.DUMMYFUNCTION("""COMPUTED_VALUE"""),"")</f>
        <v/>
      </c>
      <c r="Y1569" s="1" t="str">
        <f>IFERROR(__xludf.DUMMYFUNCTION("""COMPUTED_VALUE"""),"")</f>
        <v/>
      </c>
      <c r="Z1569" s="1" t="str">
        <f>IFERROR(__xludf.DUMMYFUNCTION("""COMPUTED_VALUE"""),"Unknown")</f>
        <v>Unknown</v>
      </c>
      <c r="AA1569" s="1" t="str">
        <f>IFERROR(__xludf.DUMMYFUNCTION("""COMPUTED_VALUE"""),"")</f>
        <v/>
      </c>
      <c r="AB1569" s="1" t="str">
        <f>IFERROR(__xludf.DUMMYFUNCTION("""COMPUTED_VALUE"""),"")</f>
        <v/>
      </c>
      <c r="AC1569" s="1" t="str">
        <f>IFERROR(__xludf.DUMMYFUNCTION("""COMPUTED_VALUE"""),"")</f>
        <v/>
      </c>
      <c r="AD1569" s="1" t="str">
        <f>IFERROR(__xludf.DUMMYFUNCTION("""COMPUTED_VALUE"""),"")</f>
        <v/>
      </c>
      <c r="AE1569" s="1" t="str">
        <f>IFERROR(__xludf.DUMMYFUNCTION("""COMPUTED_VALUE"""),"")</f>
        <v/>
      </c>
      <c r="AF1569" s="1" t="str">
        <f>IFERROR(__xludf.DUMMYFUNCTION("""COMPUTED_VALUE"""),"")</f>
        <v/>
      </c>
      <c r="AG1569" s="1" t="str">
        <f>IFERROR(__xludf.DUMMYFUNCTION("""COMPUTED_VALUE"""),"")</f>
        <v/>
      </c>
      <c r="AH1569" s="1" t="str">
        <f>IFERROR(__xludf.DUMMYFUNCTION("""COMPUTED_VALUE"""),"Media Monitoring")</f>
        <v>Media Monitoring</v>
      </c>
      <c r="AI1569" s="2" t="str">
        <f>IFERROR(__xludf.DUMMYFUNCTION("""COMPUTED_VALUE"""),"https://www.datacenterdynamics.com/en/news/microsoft-to-buy-more-than-100-acres-in-chelan-county-washington/")</f>
        <v>https://www.datacenterdynamics.com/en/news/microsoft-to-buy-more-than-100-acres-in-chelan-county-washington/</v>
      </c>
      <c r="AJ1569" s="2" t="str">
        <f>IFERROR(__xludf.DUMMYFUNCTION("""COMPUTED_VALUE"""),"https://www.datacenterdynamics.com/en/news/microsoft-secures-power-supply-for-data-center-project-in-malaga-washington/")</f>
        <v>https://www.datacenterdynamics.com/en/news/microsoft-secures-power-supply-for-data-center-project-in-malaga-washington/</v>
      </c>
      <c r="AK1569" s="1" t="str">
        <f>IFERROR(__xludf.DUMMYFUNCTION("""COMPUTED_VALUE"""),"")</f>
        <v/>
      </c>
      <c r="AL1569" s="1" t="str">
        <f>IFERROR(__xludf.DUMMYFUNCTION("""COMPUTED_VALUE"""),"")</f>
        <v/>
      </c>
      <c r="AM1569" s="1" t="str">
        <f>IFERROR(__xludf.DUMMYFUNCTION("""COMPUTED_VALUE"""),"")</f>
        <v/>
      </c>
      <c r="AN1569" s="1" t="str">
        <f>IFERROR(__xludf.DUMMYFUNCTION("""COMPUTED_VALUE"""),"")</f>
        <v/>
      </c>
      <c r="AO1569" s="1" t="str">
        <f>IFERROR(__xludf.DUMMYFUNCTION("""COMPUTED_VALUE"""),"")</f>
        <v/>
      </c>
      <c r="AP1569" s="1" t="str">
        <f>IFERROR(__xludf.DUMMYFUNCTION("""COMPUTED_VALUE"""),"")</f>
        <v/>
      </c>
      <c r="AQ1569" s="1" t="str">
        <f>IFERROR(__xludf.DUMMYFUNCTION("""COMPUTED_VALUE"""),"06/19/2025")</f>
        <v>06/19/2025</v>
      </c>
      <c r="AR1569" s="1" t="str">
        <f>IFERROR(__xludf.DUMMYFUNCTION("""COMPUTED_VALUE"""),"06/19/2025")</f>
        <v>06/19/2025</v>
      </c>
    </row>
    <row r="1570">
      <c r="A1570" s="1" t="str">
        <f>IFERROR(__xludf.DUMMYFUNCTION("""COMPUTED_VALUE"""),"Bitfarm Bitcoin Washington")</f>
        <v>Bitfarm Bitcoin Washington</v>
      </c>
      <c r="B1570" s="1" t="str">
        <f>IFERROR(__xludf.DUMMYFUNCTION("""COMPUTED_VALUE"""),"7906 Randolph Rd NE")</f>
        <v>7906 Randolph Rd NE</v>
      </c>
      <c r="C1570" s="1" t="str">
        <f>IFERROR(__xludf.DUMMYFUNCTION("""COMPUTED_VALUE"""),"Moses Lake")</f>
        <v>Moses Lake</v>
      </c>
      <c r="D1570" s="1" t="str">
        <f>IFERROR(__xludf.DUMMYFUNCTION("""COMPUTED_VALUE"""),"WA")</f>
        <v>WA</v>
      </c>
      <c r="E1570" s="1" t="str">
        <f>IFERROR(__xludf.DUMMYFUNCTION("""COMPUTED_VALUE"""),"98837")</f>
        <v>98837</v>
      </c>
      <c r="F1570" s="1" t="str">
        <f>IFERROR(__xludf.DUMMYFUNCTION("""COMPUTED_VALUE"""),"Grant")</f>
        <v>Grant</v>
      </c>
      <c r="G1570" s="1" t="str">
        <f>IFERROR(__xludf.DUMMYFUNCTION("""COMPUTED_VALUE"""),"47.19689")</f>
        <v>47.19689</v>
      </c>
      <c r="H1570" s="1" t="str">
        <f>IFERROR(__xludf.DUMMYFUNCTION("""COMPUTED_VALUE"""),"-119.293205")</f>
        <v>-119.293205</v>
      </c>
      <c r="I1570" s="1" t="str">
        <f>IFERROR(__xludf.DUMMYFUNCTION("""COMPUTED_VALUE"""),"Operating")</f>
        <v>Operating</v>
      </c>
      <c r="J1570" s="1" t="str">
        <f>IFERROR(__xludf.DUMMYFUNCTION("""COMPUTED_VALUE"""),"High")</f>
        <v>High</v>
      </c>
      <c r="K1570" s="1" t="str">
        <f>IFERROR(__xludf.DUMMYFUNCTION("""COMPUTED_VALUE"""),"")</f>
        <v/>
      </c>
      <c r="L1570" s="1" t="str">
        <f>IFERROR(__xludf.DUMMYFUNCTION("""COMPUTED_VALUE"""),"")</f>
        <v/>
      </c>
      <c r="M1570" s="1" t="str">
        <f>IFERROR(__xludf.DUMMYFUNCTION("""COMPUTED_VALUE"""),"")</f>
        <v/>
      </c>
      <c r="N1570" s="1" t="str">
        <f>IFERROR(__xludf.DUMMYFUNCTION("""COMPUTED_VALUE"""),"18")</f>
        <v>18</v>
      </c>
      <c r="O1570" s="1" t="str">
        <f>IFERROR(__xludf.DUMMYFUNCTION("""COMPUTED_VALUE"""),"Medium (11-50 MW)")</f>
        <v>Medium (11-50 MW)</v>
      </c>
      <c r="P1570" s="1" t="str">
        <f>IFERROR(__xludf.DUMMYFUNCTION("""COMPUTED_VALUE"""),"")</f>
        <v/>
      </c>
      <c r="Q1570" s="1" t="str">
        <f>IFERROR(__xludf.DUMMYFUNCTION("""COMPUTED_VALUE"""),"")</f>
        <v/>
      </c>
      <c r="R1570" s="1" t="str">
        <f>IFERROR(__xludf.DUMMYFUNCTION("""COMPUTED_VALUE"""),"")</f>
        <v/>
      </c>
      <c r="S1570" s="1" t="str">
        <f>IFERROR(__xludf.DUMMYFUNCTION("""COMPUTED_VALUE"""),"")</f>
        <v/>
      </c>
      <c r="T1570" s="1" t="str">
        <f>IFERROR(__xludf.DUMMYFUNCTION("""COMPUTED_VALUE"""),"")</f>
        <v/>
      </c>
      <c r="U1570" s="1" t="str">
        <f>IFERROR(__xludf.DUMMYFUNCTION("""COMPUTED_VALUE"""),"")</f>
        <v/>
      </c>
      <c r="V1570" s="1" t="str">
        <f>IFERROR(__xludf.DUMMYFUNCTION("""COMPUTED_VALUE"""),"")</f>
        <v/>
      </c>
      <c r="W1570" s="1" t="str">
        <f>IFERROR(__xludf.DUMMYFUNCTION("""COMPUTED_VALUE"""),"5")</f>
        <v>5</v>
      </c>
      <c r="X1570" s="1" t="str">
        <f>IFERROR(__xludf.DUMMYFUNCTION("""COMPUTED_VALUE"""),"")</f>
        <v/>
      </c>
      <c r="Y1570" s="1" t="str">
        <f>IFERROR(__xludf.DUMMYFUNCTION("""COMPUTED_VALUE"""),"")</f>
        <v/>
      </c>
      <c r="Z1570" s="1" t="str">
        <f>IFERROR(__xludf.DUMMYFUNCTION("""COMPUTED_VALUE"""),"Unknown")</f>
        <v>Unknown</v>
      </c>
      <c r="AA1570" s="1" t="str">
        <f>IFERROR(__xludf.DUMMYFUNCTION("""COMPUTED_VALUE"""),"")</f>
        <v/>
      </c>
      <c r="AB1570" s="1" t="str">
        <f>IFERROR(__xludf.DUMMYFUNCTION("""COMPUTED_VALUE"""),"")</f>
        <v/>
      </c>
      <c r="AC1570" s="1" t="str">
        <f>IFERROR(__xludf.DUMMYFUNCTION("""COMPUTED_VALUE"""),"")</f>
        <v/>
      </c>
      <c r="AD1570" s="1" t="str">
        <f>IFERROR(__xludf.DUMMYFUNCTION("""COMPUTED_VALUE"""),"")</f>
        <v/>
      </c>
      <c r="AE1570" s="1" t="str">
        <f>IFERROR(__xludf.DUMMYFUNCTION("""COMPUTED_VALUE"""),"")</f>
        <v/>
      </c>
      <c r="AF1570" s="1" t="str">
        <f>IFERROR(__xludf.DUMMYFUNCTION("""COMPUTED_VALUE"""),"")</f>
        <v/>
      </c>
      <c r="AG1570" s="1" t="str">
        <f>IFERROR(__xludf.DUMMYFUNCTION("""COMPUTED_VALUE"""),"Being converted from Bitcoin to AI by end of 2026")</f>
        <v>Being converted from Bitcoin to AI by end of 2026</v>
      </c>
      <c r="AH1570" s="1" t="str">
        <f>IFERROR(__xludf.DUMMYFUNCTION("""COMPUTED_VALUE"""),"Media Monitoring")</f>
        <v>Media Monitoring</v>
      </c>
      <c r="AI1570" s="2" t="str">
        <f>IFERROR(__xludf.DUMMYFUNCTION("""COMPUTED_VALUE"""),"https://www.tomshardware.com/tech-industry/cryptomining/major-bitcoin-mining-firm-pivoting-to-ai-plans-to-fully-abandon-crypto-mining-by-2027-bitfarm-to-leverage-341-megawatt-capacity-for-ai-following-usd46-million-q3-loss")</f>
        <v>https://www.tomshardware.com/tech-industry/cryptomining/major-bitcoin-mining-firm-pivoting-to-ai-plans-to-fully-abandon-crypto-mining-by-2027-bitfarm-to-leverage-341-megawatt-capacity-for-ai-following-usd46-million-q3-loss</v>
      </c>
      <c r="AJ1570" s="2" t="str">
        <f>IFERROR(__xludf.DUMMYFUNCTION("""COMPUTED_VALUE"""),"https://bitfarms.com/our-portfolio/data-centers/north-america/")</f>
        <v>https://bitfarms.com/our-portfolio/data-centers/north-america/</v>
      </c>
      <c r="AK1570" s="2" t="str">
        <f>IFERROR(__xludf.DUMMYFUNCTION("""COMPUTED_VALUE"""),"https://www.datacenterdynamics.com/en/news/bitfarms-to-convert-washington-cryptomine-to-hpcai-hosting/")</f>
        <v>https://www.datacenterdynamics.com/en/news/bitfarms-to-convert-washington-cryptomine-to-hpcai-hosting/</v>
      </c>
      <c r="AL1570" s="1" t="str">
        <f>IFERROR(__xludf.DUMMYFUNCTION("""COMPUTED_VALUE"""),"")</f>
        <v/>
      </c>
      <c r="AM1570" s="1" t="str">
        <f>IFERROR(__xludf.DUMMYFUNCTION("""COMPUTED_VALUE"""),"")</f>
        <v/>
      </c>
      <c r="AN1570" s="1" t="str">
        <f>IFERROR(__xludf.DUMMYFUNCTION("""COMPUTED_VALUE"""),"")</f>
        <v/>
      </c>
      <c r="AO1570" s="1" t="str">
        <f>IFERROR(__xludf.DUMMYFUNCTION("""COMPUTED_VALUE"""),"")</f>
        <v/>
      </c>
      <c r="AP1570" s="1" t="str">
        <f>IFERROR(__xludf.DUMMYFUNCTION("""COMPUTED_VALUE"""),"")</f>
        <v/>
      </c>
      <c r="AQ1570" s="1" t="str">
        <f>IFERROR(__xludf.DUMMYFUNCTION("""COMPUTED_VALUE"""),"11/17/2025")</f>
        <v>11/17/2025</v>
      </c>
      <c r="AR1570" s="1" t="str">
        <f>IFERROR(__xludf.DUMMYFUNCTION("""COMPUTED_VALUE"""),"03/04/2026")</f>
        <v>03/04/2026</v>
      </c>
    </row>
    <row r="1571">
      <c r="A1571" s="1" t="str">
        <f>IFERROR(__xludf.DUMMYFUNCTION("""COMPUTED_VALUE"""),"State Data Center")</f>
        <v>State Data Center</v>
      </c>
      <c r="B1571" s="1" t="str">
        <f>IFERROR(__xludf.DUMMYFUNCTION("""COMPUTED_VALUE"""),"1500 Jefferson St SE")</f>
        <v>1500 Jefferson St SE</v>
      </c>
      <c r="C1571" s="1" t="str">
        <f>IFERROR(__xludf.DUMMYFUNCTION("""COMPUTED_VALUE"""),"Olympia")</f>
        <v>Olympia</v>
      </c>
      <c r="D1571" s="1" t="str">
        <f>IFERROR(__xludf.DUMMYFUNCTION("""COMPUTED_VALUE"""),"WA")</f>
        <v>WA</v>
      </c>
      <c r="E1571" s="1" t="str">
        <f>IFERROR(__xludf.DUMMYFUNCTION("""COMPUTED_VALUE"""),"98504")</f>
        <v>98504</v>
      </c>
      <c r="F1571" s="1" t="str">
        <f>IFERROR(__xludf.DUMMYFUNCTION("""COMPUTED_VALUE"""),"Thurston")</f>
        <v>Thurston</v>
      </c>
      <c r="G1571" s="1" t="str">
        <f>IFERROR(__xludf.DUMMYFUNCTION("""COMPUTED_VALUE"""),"47.03483")</f>
        <v>47.03483</v>
      </c>
      <c r="H1571" s="1" t="str">
        <f>IFERROR(__xludf.DUMMYFUNCTION("""COMPUTED_VALUE"""),"-122.895")</f>
        <v>-122.895</v>
      </c>
      <c r="I1571" s="1" t="str">
        <f>IFERROR(__xludf.DUMMYFUNCTION("""COMPUTED_VALUE"""),"Operating")</f>
        <v>Operating</v>
      </c>
      <c r="J1571" s="1" t="str">
        <f>IFERROR(__xludf.DUMMYFUNCTION("""COMPUTED_VALUE"""),"High")</f>
        <v>High</v>
      </c>
      <c r="K1571" s="1" t="str">
        <f>IFERROR(__xludf.DUMMYFUNCTION("""COMPUTED_VALUE"""),"")</f>
        <v/>
      </c>
      <c r="L1571" s="1" t="str">
        <f>IFERROR(__xludf.DUMMYFUNCTION("""COMPUTED_VALUE"""),"")</f>
        <v/>
      </c>
      <c r="M1571" s="1" t="str">
        <f>IFERROR(__xludf.DUMMYFUNCTION("""COMPUTED_VALUE"""),"")</f>
        <v/>
      </c>
      <c r="N1571" s="1" t="str">
        <f>IFERROR(__xludf.DUMMYFUNCTION("""COMPUTED_VALUE"""),"")</f>
        <v/>
      </c>
      <c r="O1571" s="1" t="str">
        <f>IFERROR(__xludf.DUMMYFUNCTION("""COMPUTED_VALUE"""),"Unknown")</f>
        <v>Unknown</v>
      </c>
      <c r="P1571" s="1" t="str">
        <f>IFERROR(__xludf.DUMMYFUNCTION("""COMPUTED_VALUE"""),"")</f>
        <v/>
      </c>
      <c r="Q1571" s="1" t="str">
        <f>IFERROR(__xludf.DUMMYFUNCTION("""COMPUTED_VALUE"""),"")</f>
        <v/>
      </c>
      <c r="R1571" s="1" t="str">
        <f>IFERROR(__xludf.DUMMYFUNCTION("""COMPUTED_VALUE"""),"")</f>
        <v/>
      </c>
      <c r="S1571" s="1" t="str">
        <f>IFERROR(__xludf.DUMMYFUNCTION("""COMPUTED_VALUE"""),"")</f>
        <v/>
      </c>
      <c r="T1571" s="1" t="str">
        <f>IFERROR(__xludf.DUMMYFUNCTION("""COMPUTED_VALUE"""),"")</f>
        <v/>
      </c>
      <c r="U1571" s="1" t="str">
        <f>IFERROR(__xludf.DUMMYFUNCTION("""COMPUTED_VALUE"""),"")</f>
        <v/>
      </c>
      <c r="V1571" s="1" t="str">
        <f>IFERROR(__xludf.DUMMYFUNCTION("""COMPUTED_VALUE"""),"")</f>
        <v/>
      </c>
      <c r="W1571" s="1" t="str">
        <f>IFERROR(__xludf.DUMMYFUNCTION("""COMPUTED_VALUE"""),"")</f>
        <v/>
      </c>
      <c r="X1571" s="1" t="str">
        <f>IFERROR(__xludf.DUMMYFUNCTION("""COMPUTED_VALUE"""),"")</f>
        <v/>
      </c>
      <c r="Y1571" s="1" t="str">
        <f>IFERROR(__xludf.DUMMYFUNCTION("""COMPUTED_VALUE"""),"")</f>
        <v/>
      </c>
      <c r="Z1571" s="1" t="str">
        <f>IFERROR(__xludf.DUMMYFUNCTION("""COMPUTED_VALUE"""),"Unknown")</f>
        <v>Unknown</v>
      </c>
      <c r="AA1571" s="1" t="str">
        <f>IFERROR(__xludf.DUMMYFUNCTION("""COMPUTED_VALUE"""),"")</f>
        <v/>
      </c>
      <c r="AB1571" s="1" t="str">
        <f>IFERROR(__xludf.DUMMYFUNCTION("""COMPUTED_VALUE"""),"")</f>
        <v/>
      </c>
      <c r="AC1571" s="1" t="str">
        <f>IFERROR(__xludf.DUMMYFUNCTION("""COMPUTED_VALUE"""),"")</f>
        <v/>
      </c>
      <c r="AD1571" s="1" t="str">
        <f>IFERROR(__xludf.DUMMYFUNCTION("""COMPUTED_VALUE"""),"")</f>
        <v/>
      </c>
      <c r="AE1571" s="1" t="str">
        <f>IFERROR(__xludf.DUMMYFUNCTION("""COMPUTED_VALUE"""),"")</f>
        <v/>
      </c>
      <c r="AF1571" s="1" t="str">
        <f>IFERROR(__xludf.DUMMYFUNCTION("""COMPUTED_VALUE"""),"")</f>
        <v/>
      </c>
      <c r="AG1571" s="1" t="str">
        <f>IFERROR(__xludf.DUMMYFUNCTION("""COMPUTED_VALUE"""),"")</f>
        <v/>
      </c>
      <c r="AH1571" s="1" t="str">
        <f>IFERROR(__xludf.DUMMYFUNCTION("""COMPUTED_VALUE"""),"Media Monitoring")</f>
        <v>Media Monitoring</v>
      </c>
      <c r="AI1571" s="1" t="str">
        <f>IFERROR(__xludf.DUMMYFUNCTION("""COMPUTED_VALUE"""),"")</f>
        <v/>
      </c>
      <c r="AJ1571" s="1" t="str">
        <f>IFERROR(__xludf.DUMMYFUNCTION("""COMPUTED_VALUE"""),"")</f>
        <v/>
      </c>
      <c r="AK1571" s="1" t="str">
        <f>IFERROR(__xludf.DUMMYFUNCTION("""COMPUTED_VALUE"""),"")</f>
        <v/>
      </c>
      <c r="AL1571" s="1" t="str">
        <f>IFERROR(__xludf.DUMMYFUNCTION("""COMPUTED_VALUE"""),"")</f>
        <v/>
      </c>
      <c r="AM1571" s="1" t="str">
        <f>IFERROR(__xludf.DUMMYFUNCTION("""COMPUTED_VALUE"""),"")</f>
        <v/>
      </c>
      <c r="AN1571" s="1" t="str">
        <f>IFERROR(__xludf.DUMMYFUNCTION("""COMPUTED_VALUE"""),"")</f>
        <v/>
      </c>
      <c r="AO1571" s="1" t="str">
        <f>IFERROR(__xludf.DUMMYFUNCTION("""COMPUTED_VALUE"""),"")</f>
        <v/>
      </c>
      <c r="AP1571" s="1" t="str">
        <f>IFERROR(__xludf.DUMMYFUNCTION("""COMPUTED_VALUE"""),"")</f>
        <v/>
      </c>
      <c r="AQ1571" s="1" t="str">
        <f>IFERROR(__xludf.DUMMYFUNCTION("""COMPUTED_VALUE"""),"08/14/2025")</f>
        <v>08/14/2025</v>
      </c>
      <c r="AR1571" s="1" t="str">
        <f>IFERROR(__xludf.DUMMYFUNCTION("""COMPUTED_VALUE"""),"08/14/2025")</f>
        <v>08/14/2025</v>
      </c>
    </row>
    <row r="1572">
      <c r="A1572" s="1" t="str">
        <f>IFERROR(__xludf.DUMMYFUNCTION("""COMPUTED_VALUE"""),"North Olympic Peninsula Data Centers")</f>
        <v>North Olympic Peninsula Data Centers</v>
      </c>
      <c r="B1572" s="1" t="str">
        <f>IFERROR(__xludf.DUMMYFUNCTION("""COMPUTED_VALUE"""),"213 W Patison St B")</f>
        <v>213 W Patison St B</v>
      </c>
      <c r="C1572" s="1" t="str">
        <f>IFERROR(__xludf.DUMMYFUNCTION("""COMPUTED_VALUE"""),"Port Hadlock-Irondale")</f>
        <v>Port Hadlock-Irondale</v>
      </c>
      <c r="D1572" s="1" t="str">
        <f>IFERROR(__xludf.DUMMYFUNCTION("""COMPUTED_VALUE"""),"WA")</f>
        <v>WA</v>
      </c>
      <c r="E1572" s="1" t="str">
        <f>IFERROR(__xludf.DUMMYFUNCTION("""COMPUTED_VALUE"""),"98339")</f>
        <v>98339</v>
      </c>
      <c r="F1572" s="1" t="str">
        <f>IFERROR(__xludf.DUMMYFUNCTION("""COMPUTED_VALUE"""),"Jefferson")</f>
        <v>Jefferson</v>
      </c>
      <c r="G1572" s="1" t="str">
        <f>IFERROR(__xludf.DUMMYFUNCTION("""COMPUTED_VALUE"""),"48.04007")</f>
        <v>48.04007</v>
      </c>
      <c r="H1572" s="1" t="str">
        <f>IFERROR(__xludf.DUMMYFUNCTION("""COMPUTED_VALUE"""),"-122.785")</f>
        <v>-122.785</v>
      </c>
      <c r="I1572" s="1" t="str">
        <f>IFERROR(__xludf.DUMMYFUNCTION("""COMPUTED_VALUE"""),"Operating")</f>
        <v>Operating</v>
      </c>
      <c r="J1572" s="1" t="str">
        <f>IFERROR(__xludf.DUMMYFUNCTION("""COMPUTED_VALUE"""),"High")</f>
        <v>High</v>
      </c>
      <c r="K1572" s="1" t="str">
        <f>IFERROR(__xludf.DUMMYFUNCTION("""COMPUTED_VALUE"""),"")</f>
        <v/>
      </c>
      <c r="L1572" s="1" t="str">
        <f>IFERROR(__xludf.DUMMYFUNCTION("""COMPUTED_VALUE"""),"")</f>
        <v/>
      </c>
      <c r="M1572" s="1" t="str">
        <f>IFERROR(__xludf.DUMMYFUNCTION("""COMPUTED_VALUE"""),"")</f>
        <v/>
      </c>
      <c r="N1572" s="1" t="str">
        <f>IFERROR(__xludf.DUMMYFUNCTION("""COMPUTED_VALUE"""),"")</f>
        <v/>
      </c>
      <c r="O1572" s="1" t="str">
        <f>IFERROR(__xludf.DUMMYFUNCTION("""COMPUTED_VALUE"""),"Unknown")</f>
        <v>Unknown</v>
      </c>
      <c r="P1572" s="1" t="str">
        <f>IFERROR(__xludf.DUMMYFUNCTION("""COMPUTED_VALUE"""),"")</f>
        <v/>
      </c>
      <c r="Q1572" s="1" t="str">
        <f>IFERROR(__xludf.DUMMYFUNCTION("""COMPUTED_VALUE"""),"")</f>
        <v/>
      </c>
      <c r="R1572" s="1" t="str">
        <f>IFERROR(__xludf.DUMMYFUNCTION("""COMPUTED_VALUE"""),"")</f>
        <v/>
      </c>
      <c r="S1572" s="1" t="str">
        <f>IFERROR(__xludf.DUMMYFUNCTION("""COMPUTED_VALUE"""),"")</f>
        <v/>
      </c>
      <c r="T1572" s="1" t="str">
        <f>IFERROR(__xludf.DUMMYFUNCTION("""COMPUTED_VALUE"""),"")</f>
        <v/>
      </c>
      <c r="U1572" s="1" t="str">
        <f>IFERROR(__xludf.DUMMYFUNCTION("""COMPUTED_VALUE"""),"")</f>
        <v/>
      </c>
      <c r="V1572" s="1" t="str">
        <f>IFERROR(__xludf.DUMMYFUNCTION("""COMPUTED_VALUE"""),"")</f>
        <v/>
      </c>
      <c r="W1572" s="1" t="str">
        <f>IFERROR(__xludf.DUMMYFUNCTION("""COMPUTED_VALUE"""),"")</f>
        <v/>
      </c>
      <c r="X1572" s="1" t="str">
        <f>IFERROR(__xludf.DUMMYFUNCTION("""COMPUTED_VALUE"""),"")</f>
        <v/>
      </c>
      <c r="Y1572" s="1" t="str">
        <f>IFERROR(__xludf.DUMMYFUNCTION("""COMPUTED_VALUE"""),"")</f>
        <v/>
      </c>
      <c r="Z1572" s="1" t="str">
        <f>IFERROR(__xludf.DUMMYFUNCTION("""COMPUTED_VALUE"""),"Unknown")</f>
        <v>Unknown</v>
      </c>
      <c r="AA1572" s="1" t="str">
        <f>IFERROR(__xludf.DUMMYFUNCTION("""COMPUTED_VALUE"""),"")</f>
        <v/>
      </c>
      <c r="AB1572" s="1" t="str">
        <f>IFERROR(__xludf.DUMMYFUNCTION("""COMPUTED_VALUE"""),"")</f>
        <v/>
      </c>
      <c r="AC1572" s="1" t="str">
        <f>IFERROR(__xludf.DUMMYFUNCTION("""COMPUTED_VALUE"""),"")</f>
        <v/>
      </c>
      <c r="AD1572" s="1" t="str">
        <f>IFERROR(__xludf.DUMMYFUNCTION("""COMPUTED_VALUE"""),"")</f>
        <v/>
      </c>
      <c r="AE1572" s="1" t="str">
        <f>IFERROR(__xludf.DUMMYFUNCTION("""COMPUTED_VALUE"""),"")</f>
        <v/>
      </c>
      <c r="AF1572" s="1" t="str">
        <f>IFERROR(__xludf.DUMMYFUNCTION("""COMPUTED_VALUE"""),"")</f>
        <v/>
      </c>
      <c r="AG1572" s="1" t="str">
        <f>IFERROR(__xludf.DUMMYFUNCTION("""COMPUTED_VALUE"""),"")</f>
        <v/>
      </c>
      <c r="AH1572" s="1" t="str">
        <f>IFERROR(__xludf.DUMMYFUNCTION("""COMPUTED_VALUE"""),"Media Monitoring")</f>
        <v>Media Monitoring</v>
      </c>
      <c r="AI1572" s="1" t="str">
        <f>IFERROR(__xludf.DUMMYFUNCTION("""COMPUTED_VALUE"""),"")</f>
        <v/>
      </c>
      <c r="AJ1572" s="1" t="str">
        <f>IFERROR(__xludf.DUMMYFUNCTION("""COMPUTED_VALUE"""),"")</f>
        <v/>
      </c>
      <c r="AK1572" s="1" t="str">
        <f>IFERROR(__xludf.DUMMYFUNCTION("""COMPUTED_VALUE"""),"")</f>
        <v/>
      </c>
      <c r="AL1572" s="1" t="str">
        <f>IFERROR(__xludf.DUMMYFUNCTION("""COMPUTED_VALUE"""),"")</f>
        <v/>
      </c>
      <c r="AM1572" s="1" t="str">
        <f>IFERROR(__xludf.DUMMYFUNCTION("""COMPUTED_VALUE"""),"")</f>
        <v/>
      </c>
      <c r="AN1572" s="1" t="str">
        <f>IFERROR(__xludf.DUMMYFUNCTION("""COMPUTED_VALUE"""),"")</f>
        <v/>
      </c>
      <c r="AO1572" s="1" t="str">
        <f>IFERROR(__xludf.DUMMYFUNCTION("""COMPUTED_VALUE"""),"")</f>
        <v/>
      </c>
      <c r="AP1572" s="1" t="str">
        <f>IFERROR(__xludf.DUMMYFUNCTION("""COMPUTED_VALUE"""),"")</f>
        <v/>
      </c>
      <c r="AQ1572" s="1" t="str">
        <f>IFERROR(__xludf.DUMMYFUNCTION("""COMPUTED_VALUE"""),"08/14/2025")</f>
        <v>08/14/2025</v>
      </c>
      <c r="AR1572" s="1" t="str">
        <f>IFERROR(__xludf.DUMMYFUNCTION("""COMPUTED_VALUE"""),"08/14/2025")</f>
        <v>08/14/2025</v>
      </c>
    </row>
    <row r="1573">
      <c r="A1573" s="1" t="str">
        <f>IFERROR(__xludf.DUMMYFUNCTION("""COMPUTED_VALUE"""),"CyrusOne Quincy")</f>
        <v>CyrusOne Quincy</v>
      </c>
      <c r="B1573" s="1" t="str">
        <f>IFERROR(__xludf.DUMMYFUNCTION("""COMPUTED_VALUE"""),"1025 D St NW")</f>
        <v>1025 D St NW</v>
      </c>
      <c r="C1573" s="1" t="str">
        <f>IFERROR(__xludf.DUMMYFUNCTION("""COMPUTED_VALUE"""),"Quincy")</f>
        <v>Quincy</v>
      </c>
      <c r="D1573" s="1" t="str">
        <f>IFERROR(__xludf.DUMMYFUNCTION("""COMPUTED_VALUE"""),"WA")</f>
        <v>WA</v>
      </c>
      <c r="E1573" s="1" t="str">
        <f>IFERROR(__xludf.DUMMYFUNCTION("""COMPUTED_VALUE"""),"98848")</f>
        <v>98848</v>
      </c>
      <c r="F1573" s="1" t="str">
        <f>IFERROR(__xludf.DUMMYFUNCTION("""COMPUTED_VALUE"""),"Grant")</f>
        <v>Grant</v>
      </c>
      <c r="G1573" s="1" t="str">
        <f>IFERROR(__xludf.DUMMYFUNCTION("""COMPUTED_VALUE"""),"47.24391")</f>
        <v>47.24391</v>
      </c>
      <c r="H1573" s="1" t="str">
        <f>IFERROR(__xludf.DUMMYFUNCTION("""COMPUTED_VALUE"""),"-119.87")</f>
        <v>-119.87</v>
      </c>
      <c r="I1573" s="1" t="str">
        <f>IFERROR(__xludf.DUMMYFUNCTION("""COMPUTED_VALUE"""),"Operating")</f>
        <v>Operating</v>
      </c>
      <c r="J1573" s="1" t="str">
        <f>IFERROR(__xludf.DUMMYFUNCTION("""COMPUTED_VALUE"""),"High")</f>
        <v>High</v>
      </c>
      <c r="K1573" s="1" t="str">
        <f>IFERROR(__xludf.DUMMYFUNCTION("""COMPUTED_VALUE"""),"")</f>
        <v/>
      </c>
      <c r="L1573" s="1" t="str">
        <f>IFERROR(__xludf.DUMMYFUNCTION("""COMPUTED_VALUE"""),"")</f>
        <v/>
      </c>
      <c r="M1573" s="1" t="str">
        <f>IFERROR(__xludf.DUMMYFUNCTION("""COMPUTED_VALUE"""),"")</f>
        <v/>
      </c>
      <c r="N1573" s="1" t="str">
        <f>IFERROR(__xludf.DUMMYFUNCTION("""COMPUTED_VALUE"""),"")</f>
        <v/>
      </c>
      <c r="O1573" s="1" t="str">
        <f>IFERROR(__xludf.DUMMYFUNCTION("""COMPUTED_VALUE"""),"Unknown")</f>
        <v>Unknown</v>
      </c>
      <c r="P1573" s="1" t="str">
        <f>IFERROR(__xludf.DUMMYFUNCTION("""COMPUTED_VALUE"""),"")</f>
        <v/>
      </c>
      <c r="Q1573" s="1" t="str">
        <f>IFERROR(__xludf.DUMMYFUNCTION("""COMPUTED_VALUE"""),"")</f>
        <v/>
      </c>
      <c r="R1573" s="1" t="str">
        <f>IFERROR(__xludf.DUMMYFUNCTION("""COMPUTED_VALUE"""),"")</f>
        <v/>
      </c>
      <c r="S1573" s="1" t="str">
        <f>IFERROR(__xludf.DUMMYFUNCTION("""COMPUTED_VALUE"""),"")</f>
        <v/>
      </c>
      <c r="T1573" s="1" t="str">
        <f>IFERROR(__xludf.DUMMYFUNCTION("""COMPUTED_VALUE"""),"")</f>
        <v/>
      </c>
      <c r="U1573" s="1" t="str">
        <f>IFERROR(__xludf.DUMMYFUNCTION("""COMPUTED_VALUE"""),"")</f>
        <v/>
      </c>
      <c r="V1573" s="1" t="str">
        <f>IFERROR(__xludf.DUMMYFUNCTION("""COMPUTED_VALUE"""),"")</f>
        <v/>
      </c>
      <c r="W1573" s="1" t="str">
        <f>IFERROR(__xludf.DUMMYFUNCTION("""COMPUTED_VALUE"""),"")</f>
        <v/>
      </c>
      <c r="X1573" s="1" t="str">
        <f>IFERROR(__xludf.DUMMYFUNCTION("""COMPUTED_VALUE"""),"")</f>
        <v/>
      </c>
      <c r="Y1573" s="1" t="str">
        <f>IFERROR(__xludf.DUMMYFUNCTION("""COMPUTED_VALUE"""),"")</f>
        <v/>
      </c>
      <c r="Z1573" s="1" t="str">
        <f>IFERROR(__xludf.DUMMYFUNCTION("""COMPUTED_VALUE"""),"Unknown")</f>
        <v>Unknown</v>
      </c>
      <c r="AA1573" s="1" t="str">
        <f>IFERROR(__xludf.DUMMYFUNCTION("""COMPUTED_VALUE"""),"")</f>
        <v/>
      </c>
      <c r="AB1573" s="1" t="str">
        <f>IFERROR(__xludf.DUMMYFUNCTION("""COMPUTED_VALUE"""),"")</f>
        <v/>
      </c>
      <c r="AC1573" s="1" t="str">
        <f>IFERROR(__xludf.DUMMYFUNCTION("""COMPUTED_VALUE"""),"")</f>
        <v/>
      </c>
      <c r="AD1573" s="1" t="str">
        <f>IFERROR(__xludf.DUMMYFUNCTION("""COMPUTED_VALUE"""),"")</f>
        <v/>
      </c>
      <c r="AE1573" s="1" t="str">
        <f>IFERROR(__xludf.DUMMYFUNCTION("""COMPUTED_VALUE"""),"")</f>
        <v/>
      </c>
      <c r="AF1573" s="1" t="str">
        <f>IFERROR(__xludf.DUMMYFUNCTION("""COMPUTED_VALUE"""),"")</f>
        <v/>
      </c>
      <c r="AG1573" s="1" t="str">
        <f>IFERROR(__xludf.DUMMYFUNCTION("""COMPUTED_VALUE"""),"")</f>
        <v/>
      </c>
      <c r="AH1573" s="1" t="str">
        <f>IFERROR(__xludf.DUMMYFUNCTION("""COMPUTED_VALUE"""),"Media Monitoring")</f>
        <v>Media Monitoring</v>
      </c>
      <c r="AI1573" s="1" t="str">
        <f>IFERROR(__xludf.DUMMYFUNCTION("""COMPUTED_VALUE"""),"")</f>
        <v/>
      </c>
      <c r="AJ1573" s="1" t="str">
        <f>IFERROR(__xludf.DUMMYFUNCTION("""COMPUTED_VALUE"""),"")</f>
        <v/>
      </c>
      <c r="AK1573" s="1" t="str">
        <f>IFERROR(__xludf.DUMMYFUNCTION("""COMPUTED_VALUE"""),"")</f>
        <v/>
      </c>
      <c r="AL1573" s="1" t="str">
        <f>IFERROR(__xludf.DUMMYFUNCTION("""COMPUTED_VALUE"""),"")</f>
        <v/>
      </c>
      <c r="AM1573" s="1" t="str">
        <f>IFERROR(__xludf.DUMMYFUNCTION("""COMPUTED_VALUE"""),"")</f>
        <v/>
      </c>
      <c r="AN1573" s="1" t="str">
        <f>IFERROR(__xludf.DUMMYFUNCTION("""COMPUTED_VALUE"""),"")</f>
        <v/>
      </c>
      <c r="AO1573" s="1" t="str">
        <f>IFERROR(__xludf.DUMMYFUNCTION("""COMPUTED_VALUE"""),"")</f>
        <v/>
      </c>
      <c r="AP1573" s="1" t="str">
        <f>IFERROR(__xludf.DUMMYFUNCTION("""COMPUTED_VALUE"""),"")</f>
        <v/>
      </c>
      <c r="AQ1573" s="1" t="str">
        <f>IFERROR(__xludf.DUMMYFUNCTION("""COMPUTED_VALUE"""),"08/14/2025")</f>
        <v>08/14/2025</v>
      </c>
      <c r="AR1573" s="1" t="str">
        <f>IFERROR(__xludf.DUMMYFUNCTION("""COMPUTED_VALUE"""),"08/14/2025")</f>
        <v>08/14/2025</v>
      </c>
    </row>
    <row r="1574">
      <c r="A1574" s="1" t="str">
        <f>IFERROR(__xludf.DUMMYFUNCTION("""COMPUTED_VALUE"""),"H5 Data Center")</f>
        <v>H5 Data Center</v>
      </c>
      <c r="B1574" s="1" t="str">
        <f>IFERROR(__xludf.DUMMYFUNCTION("""COMPUTED_VALUE"""),"1500 M Street NE")</f>
        <v>1500 M Street NE</v>
      </c>
      <c r="C1574" s="1" t="str">
        <f>IFERROR(__xludf.DUMMYFUNCTION("""COMPUTED_VALUE"""),"Quincy")</f>
        <v>Quincy</v>
      </c>
      <c r="D1574" s="1" t="str">
        <f>IFERROR(__xludf.DUMMYFUNCTION("""COMPUTED_VALUE"""),"WA")</f>
        <v>WA</v>
      </c>
      <c r="E1574" s="1" t="str">
        <f>IFERROR(__xludf.DUMMYFUNCTION("""COMPUTED_VALUE"""),"98848")</f>
        <v>98848</v>
      </c>
      <c r="F1574" s="1" t="str">
        <f>IFERROR(__xludf.DUMMYFUNCTION("""COMPUTED_VALUE"""),"Grant")</f>
        <v>Grant</v>
      </c>
      <c r="G1574" s="1" t="str">
        <f>IFERROR(__xludf.DUMMYFUNCTION("""COMPUTED_VALUE"""),"47.247917")</f>
        <v>47.247917</v>
      </c>
      <c r="H1574" s="1" t="str">
        <f>IFERROR(__xludf.DUMMYFUNCTION("""COMPUTED_VALUE"""),"-119.82491")</f>
        <v>-119.82491</v>
      </c>
      <c r="I1574" s="1" t="str">
        <f>IFERROR(__xludf.DUMMYFUNCTION("""COMPUTED_VALUE"""),"Operating")</f>
        <v>Operating</v>
      </c>
      <c r="J1574" s="1" t="str">
        <f>IFERROR(__xludf.DUMMYFUNCTION("""COMPUTED_VALUE"""),"High")</f>
        <v>High</v>
      </c>
      <c r="K1574" s="1" t="str">
        <f>IFERROR(__xludf.DUMMYFUNCTION("""COMPUTED_VALUE"""),"")</f>
        <v/>
      </c>
      <c r="L1574" s="1" t="str">
        <f>IFERROR(__xludf.DUMMYFUNCTION("""COMPUTED_VALUE"""),"H5 Data Centers")</f>
        <v>H5 Data Centers</v>
      </c>
      <c r="M1574" s="1" t="str">
        <f>IFERROR(__xludf.DUMMYFUNCTION("""COMPUTED_VALUE"""),"")</f>
        <v/>
      </c>
      <c r="N1574" s="1" t="str">
        <f>IFERROR(__xludf.DUMMYFUNCTION("""COMPUTED_VALUE"""),"82")</f>
        <v>82</v>
      </c>
      <c r="O1574" s="1" t="str">
        <f>IFERROR(__xludf.DUMMYFUNCTION("""COMPUTED_VALUE"""),"Large (51-99 MW)")</f>
        <v>Large (51-99 MW)</v>
      </c>
      <c r="P1574" s="1" t="str">
        <f>IFERROR(__xludf.DUMMYFUNCTION("""COMPUTED_VALUE"""),"")</f>
        <v/>
      </c>
      <c r="Q1574" s="1" t="str">
        <f>IFERROR(__xludf.DUMMYFUNCTION("""COMPUTED_VALUE"""),"")</f>
        <v/>
      </c>
      <c r="R1574" s="1" t="str">
        <f>IFERROR(__xludf.DUMMYFUNCTION("""COMPUTED_VALUE"""),"")</f>
        <v/>
      </c>
      <c r="S1574" s="1" t="str">
        <f>IFERROR(__xludf.DUMMYFUNCTION("""COMPUTED_VALUE"""),"")</f>
        <v/>
      </c>
      <c r="T1574" s="1" t="str">
        <f>IFERROR(__xludf.DUMMYFUNCTION("""COMPUTED_VALUE"""),"")</f>
        <v/>
      </c>
      <c r="U1574" s="1" t="str">
        <f>IFERROR(__xludf.DUMMYFUNCTION("""COMPUTED_VALUE"""),"")</f>
        <v/>
      </c>
      <c r="V1574" s="1" t="str">
        <f>IFERROR(__xludf.DUMMYFUNCTION("""COMPUTED_VALUE"""),"452,300")</f>
        <v>452,300</v>
      </c>
      <c r="W1574" s="1" t="str">
        <f>IFERROR(__xludf.DUMMYFUNCTION("""COMPUTED_VALUE"""),"63")</f>
        <v>63</v>
      </c>
      <c r="X1574" s="1" t="str">
        <f>IFERROR(__xludf.DUMMYFUNCTION("""COMPUTED_VALUE"""),"")</f>
        <v/>
      </c>
      <c r="Y1574" s="1" t="str">
        <f>IFERROR(__xludf.DUMMYFUNCTION("""COMPUTED_VALUE"""),"")</f>
        <v/>
      </c>
      <c r="Z1574" s="1" t="str">
        <f>IFERROR(__xludf.DUMMYFUNCTION("""COMPUTED_VALUE"""),"Unknown")</f>
        <v>Unknown</v>
      </c>
      <c r="AA1574" s="1" t="str">
        <f>IFERROR(__xludf.DUMMYFUNCTION("""COMPUTED_VALUE"""),"")</f>
        <v/>
      </c>
      <c r="AB1574" s="1" t="str">
        <f>IFERROR(__xludf.DUMMYFUNCTION("""COMPUTED_VALUE"""),"")</f>
        <v/>
      </c>
      <c r="AC1574" s="1" t="str">
        <f>IFERROR(__xludf.DUMMYFUNCTION("""COMPUTED_VALUE"""),"")</f>
        <v/>
      </c>
      <c r="AD1574" s="1" t="str">
        <f>IFERROR(__xludf.DUMMYFUNCTION("""COMPUTED_VALUE"""),"")</f>
        <v/>
      </c>
      <c r="AE1574" s="1" t="str">
        <f>IFERROR(__xludf.DUMMYFUNCTION("""COMPUTED_VALUE"""),"")</f>
        <v/>
      </c>
      <c r="AF1574" s="1" t="str">
        <f>IFERROR(__xludf.DUMMYFUNCTION("""COMPUTED_VALUE"""),"")</f>
        <v/>
      </c>
      <c r="AG1574" s="1" t="str">
        <f>IFERROR(__xludf.DUMMYFUNCTION("""COMPUTED_VALUE"""),"")</f>
        <v/>
      </c>
      <c r="AH1574" s="1" t="str">
        <f>IFERROR(__xludf.DUMMYFUNCTION("""COMPUTED_VALUE"""),"Media Monitoring")</f>
        <v>Media Monitoring</v>
      </c>
      <c r="AI1574" s="2" t="str">
        <f>IFERROR(__xludf.DUMMYFUNCTION("""COMPUTED_VALUE"""),"https://www.datacenterdynamics.com/en/news/h5-acquires-new-york-data-centers-from-yahoo-in-sale-leaseback-deal/")</f>
        <v>https://www.datacenterdynamics.com/en/news/h5-acquires-new-york-data-centers-from-yahoo-in-sale-leaseback-deal/</v>
      </c>
      <c r="AJ1574" s="1" t="str">
        <f>IFERROR(__xludf.DUMMYFUNCTION("""COMPUTED_VALUE"""),"")</f>
        <v/>
      </c>
      <c r="AK1574" s="1" t="str">
        <f>IFERROR(__xludf.DUMMYFUNCTION("""COMPUTED_VALUE"""),"")</f>
        <v/>
      </c>
      <c r="AL1574" s="1" t="str">
        <f>IFERROR(__xludf.DUMMYFUNCTION("""COMPUTED_VALUE"""),"")</f>
        <v/>
      </c>
      <c r="AM1574" s="1" t="str">
        <f>IFERROR(__xludf.DUMMYFUNCTION("""COMPUTED_VALUE"""),"")</f>
        <v/>
      </c>
      <c r="AN1574" s="1" t="str">
        <f>IFERROR(__xludf.DUMMYFUNCTION("""COMPUTED_VALUE"""),"")</f>
        <v/>
      </c>
      <c r="AO1574" s="1" t="str">
        <f>IFERROR(__xludf.DUMMYFUNCTION("""COMPUTED_VALUE"""),"")</f>
        <v/>
      </c>
      <c r="AP1574" s="1" t="str">
        <f>IFERROR(__xludf.DUMMYFUNCTION("""COMPUTED_VALUE"""),"")</f>
        <v/>
      </c>
      <c r="AQ1574" s="1" t="str">
        <f>IFERROR(__xludf.DUMMYFUNCTION("""COMPUTED_VALUE"""),"08/14/2025")</f>
        <v>08/14/2025</v>
      </c>
      <c r="AR1574" s="1" t="str">
        <f>IFERROR(__xludf.DUMMYFUNCTION("""COMPUTED_VALUE"""),"11/14/2025")</f>
        <v>11/14/2025</v>
      </c>
    </row>
    <row r="1575">
      <c r="A1575" s="1" t="str">
        <f>IFERROR(__xludf.DUMMYFUNCTION("""COMPUTED_VALUE"""),"Vantage Data Center")</f>
        <v>Vantage Data Center</v>
      </c>
      <c r="B1575" s="1" t="str">
        <f>IFERROR(__xludf.DUMMYFUNCTION("""COMPUTED_VALUE"""),"2101 M St NE")</f>
        <v>2101 M St NE</v>
      </c>
      <c r="C1575" s="1" t="str">
        <f>IFERROR(__xludf.DUMMYFUNCTION("""COMPUTED_VALUE"""),"Quincy")</f>
        <v>Quincy</v>
      </c>
      <c r="D1575" s="1" t="str">
        <f>IFERROR(__xludf.DUMMYFUNCTION("""COMPUTED_VALUE"""),"WA")</f>
        <v>WA</v>
      </c>
      <c r="E1575" s="1" t="str">
        <f>IFERROR(__xludf.DUMMYFUNCTION("""COMPUTED_VALUE"""),"98848")</f>
        <v>98848</v>
      </c>
      <c r="F1575" s="1" t="str">
        <f>IFERROR(__xludf.DUMMYFUNCTION("""COMPUTED_VALUE"""),"Grant")</f>
        <v>Grant</v>
      </c>
      <c r="G1575" s="1" t="str">
        <f>IFERROR(__xludf.DUMMYFUNCTION("""COMPUTED_VALUE"""),"47.24988")</f>
        <v>47.24988</v>
      </c>
      <c r="H1575" s="1" t="str">
        <f>IFERROR(__xludf.DUMMYFUNCTION("""COMPUTED_VALUE"""),"-119.814")</f>
        <v>-119.814</v>
      </c>
      <c r="I1575" s="1" t="str">
        <f>IFERROR(__xludf.DUMMYFUNCTION("""COMPUTED_VALUE"""),"Operating")</f>
        <v>Operating</v>
      </c>
      <c r="J1575" s="1" t="str">
        <f>IFERROR(__xludf.DUMMYFUNCTION("""COMPUTED_VALUE"""),"High")</f>
        <v>High</v>
      </c>
      <c r="K1575" s="1" t="str">
        <f>IFERROR(__xludf.DUMMYFUNCTION("""COMPUTED_VALUE"""),"")</f>
        <v/>
      </c>
      <c r="L1575" s="1" t="str">
        <f>IFERROR(__xludf.DUMMYFUNCTION("""COMPUTED_VALUE"""),"")</f>
        <v/>
      </c>
      <c r="M1575" s="1" t="str">
        <f>IFERROR(__xludf.DUMMYFUNCTION("""COMPUTED_VALUE"""),"")</f>
        <v/>
      </c>
      <c r="N1575" s="1" t="str">
        <f>IFERROR(__xludf.DUMMYFUNCTION("""COMPUTED_VALUE"""),"")</f>
        <v/>
      </c>
      <c r="O1575" s="1" t="str">
        <f>IFERROR(__xludf.DUMMYFUNCTION("""COMPUTED_VALUE"""),"Unknown")</f>
        <v>Unknown</v>
      </c>
      <c r="P1575" s="1" t="str">
        <f>IFERROR(__xludf.DUMMYFUNCTION("""COMPUTED_VALUE"""),"")</f>
        <v/>
      </c>
      <c r="Q1575" s="1" t="str">
        <f>IFERROR(__xludf.DUMMYFUNCTION("""COMPUTED_VALUE"""),"")</f>
        <v/>
      </c>
      <c r="R1575" s="1" t="str">
        <f>IFERROR(__xludf.DUMMYFUNCTION("""COMPUTED_VALUE"""),"")</f>
        <v/>
      </c>
      <c r="S1575" s="1" t="str">
        <f>IFERROR(__xludf.DUMMYFUNCTION("""COMPUTED_VALUE"""),"")</f>
        <v/>
      </c>
      <c r="T1575" s="1" t="str">
        <f>IFERROR(__xludf.DUMMYFUNCTION("""COMPUTED_VALUE"""),"")</f>
        <v/>
      </c>
      <c r="U1575" s="1" t="str">
        <f>IFERROR(__xludf.DUMMYFUNCTION("""COMPUTED_VALUE"""),"")</f>
        <v/>
      </c>
      <c r="V1575" s="1" t="str">
        <f>IFERROR(__xludf.DUMMYFUNCTION("""COMPUTED_VALUE"""),"")</f>
        <v/>
      </c>
      <c r="W1575" s="1" t="str">
        <f>IFERROR(__xludf.DUMMYFUNCTION("""COMPUTED_VALUE"""),"")</f>
        <v/>
      </c>
      <c r="X1575" s="1" t="str">
        <f>IFERROR(__xludf.DUMMYFUNCTION("""COMPUTED_VALUE"""),"")</f>
        <v/>
      </c>
      <c r="Y1575" s="1" t="str">
        <f>IFERROR(__xludf.DUMMYFUNCTION("""COMPUTED_VALUE"""),"")</f>
        <v/>
      </c>
      <c r="Z1575" s="1" t="str">
        <f>IFERROR(__xludf.DUMMYFUNCTION("""COMPUTED_VALUE"""),"Unknown")</f>
        <v>Unknown</v>
      </c>
      <c r="AA1575" s="1" t="str">
        <f>IFERROR(__xludf.DUMMYFUNCTION("""COMPUTED_VALUE"""),"")</f>
        <v/>
      </c>
      <c r="AB1575" s="1" t="str">
        <f>IFERROR(__xludf.DUMMYFUNCTION("""COMPUTED_VALUE"""),"")</f>
        <v/>
      </c>
      <c r="AC1575" s="1" t="str">
        <f>IFERROR(__xludf.DUMMYFUNCTION("""COMPUTED_VALUE"""),"")</f>
        <v/>
      </c>
      <c r="AD1575" s="1" t="str">
        <f>IFERROR(__xludf.DUMMYFUNCTION("""COMPUTED_VALUE"""),"")</f>
        <v/>
      </c>
      <c r="AE1575" s="1" t="str">
        <f>IFERROR(__xludf.DUMMYFUNCTION("""COMPUTED_VALUE"""),"")</f>
        <v/>
      </c>
      <c r="AF1575" s="1" t="str">
        <f>IFERROR(__xludf.DUMMYFUNCTION("""COMPUTED_VALUE"""),"")</f>
        <v/>
      </c>
      <c r="AG1575" s="1" t="str">
        <f>IFERROR(__xludf.DUMMYFUNCTION("""COMPUTED_VALUE"""),"")</f>
        <v/>
      </c>
      <c r="AH1575" s="1" t="str">
        <f>IFERROR(__xludf.DUMMYFUNCTION("""COMPUTED_VALUE"""),"Media Monitoring")</f>
        <v>Media Monitoring</v>
      </c>
      <c r="AI1575" s="1" t="str">
        <f>IFERROR(__xludf.DUMMYFUNCTION("""COMPUTED_VALUE"""),"")</f>
        <v/>
      </c>
      <c r="AJ1575" s="1" t="str">
        <f>IFERROR(__xludf.DUMMYFUNCTION("""COMPUTED_VALUE"""),"")</f>
        <v/>
      </c>
      <c r="AK1575" s="1" t="str">
        <f>IFERROR(__xludf.DUMMYFUNCTION("""COMPUTED_VALUE"""),"")</f>
        <v/>
      </c>
      <c r="AL1575" s="1" t="str">
        <f>IFERROR(__xludf.DUMMYFUNCTION("""COMPUTED_VALUE"""),"")</f>
        <v/>
      </c>
      <c r="AM1575" s="1" t="str">
        <f>IFERROR(__xludf.DUMMYFUNCTION("""COMPUTED_VALUE"""),"")</f>
        <v/>
      </c>
      <c r="AN1575" s="1" t="str">
        <f>IFERROR(__xludf.DUMMYFUNCTION("""COMPUTED_VALUE"""),"")</f>
        <v/>
      </c>
      <c r="AO1575" s="1" t="str">
        <f>IFERROR(__xludf.DUMMYFUNCTION("""COMPUTED_VALUE"""),"")</f>
        <v/>
      </c>
      <c r="AP1575" s="1" t="str">
        <f>IFERROR(__xludf.DUMMYFUNCTION("""COMPUTED_VALUE"""),"")</f>
        <v/>
      </c>
      <c r="AQ1575" s="1" t="str">
        <f>IFERROR(__xludf.DUMMYFUNCTION("""COMPUTED_VALUE"""),"08/14/2025")</f>
        <v>08/14/2025</v>
      </c>
      <c r="AR1575" s="1" t="str">
        <f>IFERROR(__xludf.DUMMYFUNCTION("""COMPUTED_VALUE"""),"08/14/2025")</f>
        <v>08/14/2025</v>
      </c>
    </row>
    <row r="1576">
      <c r="A1576" s="1" t="str">
        <f>IFERROR(__xludf.DUMMYFUNCTION("""COMPUTED_VALUE"""),"Atlas Agro")</f>
        <v>Atlas Agro</v>
      </c>
      <c r="B1576" s="1" t="str">
        <f>IFERROR(__xludf.DUMMYFUNCTION("""COMPUTED_VALUE"""),"2100 Horn Rapids Rd")</f>
        <v>2100 Horn Rapids Rd</v>
      </c>
      <c r="C1576" s="1" t="str">
        <f>IFERROR(__xludf.DUMMYFUNCTION("""COMPUTED_VALUE"""),"Richland")</f>
        <v>Richland</v>
      </c>
      <c r="D1576" s="1" t="str">
        <f>IFERROR(__xludf.DUMMYFUNCTION("""COMPUTED_VALUE"""),"WA")</f>
        <v>WA</v>
      </c>
      <c r="E1576" s="1" t="str">
        <f>IFERROR(__xludf.DUMMYFUNCTION("""COMPUTED_VALUE"""),"99354")</f>
        <v>99354</v>
      </c>
      <c r="F1576" s="1" t="str">
        <f>IFERROR(__xludf.DUMMYFUNCTION("""COMPUTED_VALUE"""),"Benton")</f>
        <v>Benton</v>
      </c>
      <c r="G1576" s="1" t="str">
        <f>IFERROR(__xludf.DUMMYFUNCTION("""COMPUTED_VALUE"""),"46.355118")</f>
        <v>46.355118</v>
      </c>
      <c r="H1576" s="1" t="str">
        <f>IFERROR(__xludf.DUMMYFUNCTION("""COMPUTED_VALUE"""),"-119.3108")</f>
        <v>-119.3108</v>
      </c>
      <c r="I1576" s="1" t="str">
        <f>IFERROR(__xludf.DUMMYFUNCTION("""COMPUTED_VALUE"""),"Proposed")</f>
        <v>Proposed</v>
      </c>
      <c r="J1576" s="1" t="str">
        <f>IFERROR(__xludf.DUMMYFUNCTION("""COMPUTED_VALUE"""),"High")</f>
        <v>High</v>
      </c>
      <c r="K1576" s="1" t="str">
        <f>IFERROR(__xludf.DUMMYFUNCTION("""COMPUTED_VALUE"""),"")</f>
        <v/>
      </c>
      <c r="L1576" s="1" t="str">
        <f>IFERROR(__xludf.DUMMYFUNCTION("""COMPUTED_VALUE"""),"")</f>
        <v/>
      </c>
      <c r="M1576" s="1" t="str">
        <f>IFERROR(__xludf.DUMMYFUNCTION("""COMPUTED_VALUE"""),"")</f>
        <v/>
      </c>
      <c r="N1576" s="1" t="str">
        <f>IFERROR(__xludf.DUMMYFUNCTION("""COMPUTED_VALUE"""),"")</f>
        <v/>
      </c>
      <c r="O1576" s="1" t="str">
        <f>IFERROR(__xludf.DUMMYFUNCTION("""COMPUTED_VALUE"""),"Hyperscale (100-999 MW)")</f>
        <v>Hyperscale (100-999 MW)</v>
      </c>
      <c r="P1576" s="1" t="str">
        <f>IFERROR(__xludf.DUMMYFUNCTION("""COMPUTED_VALUE"""),"")</f>
        <v/>
      </c>
      <c r="Q1576" s="1" t="str">
        <f>IFERROR(__xludf.DUMMYFUNCTION("""COMPUTED_VALUE"""),"")</f>
        <v/>
      </c>
      <c r="R1576" s="1" t="str">
        <f>IFERROR(__xludf.DUMMYFUNCTION("""COMPUTED_VALUE"""),"")</f>
        <v/>
      </c>
      <c r="S1576" s="1" t="str">
        <f>IFERROR(__xludf.DUMMYFUNCTION("""COMPUTED_VALUE"""),"5")</f>
        <v>5</v>
      </c>
      <c r="T1576" s="1" t="str">
        <f>IFERROR(__xludf.DUMMYFUNCTION("""COMPUTED_VALUE"""),"")</f>
        <v/>
      </c>
      <c r="U1576" s="1" t="str">
        <f>IFERROR(__xludf.DUMMYFUNCTION("""COMPUTED_VALUE"""),"")</f>
        <v/>
      </c>
      <c r="V1576" s="1" t="str">
        <f>IFERROR(__xludf.DUMMYFUNCTION("""COMPUTED_VALUE"""),"2,500,000")</f>
        <v>2,500,000</v>
      </c>
      <c r="W1576" s="1" t="str">
        <f>IFERROR(__xludf.DUMMYFUNCTION("""COMPUTED_VALUE"""),"275")</f>
        <v>275</v>
      </c>
      <c r="X1576" s="1" t="str">
        <f>IFERROR(__xludf.DUMMYFUNCTION("""COMPUTED_VALUE"""),"$24 million")</f>
        <v>$24 million</v>
      </c>
      <c r="Y1576" s="1" t="str">
        <f>IFERROR(__xludf.DUMMYFUNCTION("""COMPUTED_VALUE"""),"")</f>
        <v/>
      </c>
      <c r="Z1576" s="1" t="str">
        <f>IFERROR(__xludf.DUMMYFUNCTION("""COMPUTED_VALUE"""),"Unknown")</f>
        <v>Unknown</v>
      </c>
      <c r="AA1576" s="1" t="str">
        <f>IFERROR(__xludf.DUMMYFUNCTION("""COMPUTED_VALUE"""),"")</f>
        <v/>
      </c>
      <c r="AB1576" s="1" t="str">
        <f>IFERROR(__xludf.DUMMYFUNCTION("""COMPUTED_VALUE"""),"")</f>
        <v/>
      </c>
      <c r="AC1576" s="1" t="str">
        <f>IFERROR(__xludf.DUMMYFUNCTION("""COMPUTED_VALUE"""),"")</f>
        <v/>
      </c>
      <c r="AD1576" s="1" t="str">
        <f>IFERROR(__xludf.DUMMYFUNCTION("""COMPUTED_VALUE"""),"")</f>
        <v/>
      </c>
      <c r="AE1576" s="1" t="str">
        <f>IFERROR(__xludf.DUMMYFUNCTION("""COMPUTED_VALUE"""),"")</f>
        <v/>
      </c>
      <c r="AF1576" s="1" t="str">
        <f>IFERROR(__xludf.DUMMYFUNCTION("""COMPUTED_VALUE"""),"")</f>
        <v/>
      </c>
      <c r="AG1576" s="1" t="str">
        <f>IFERROR(__xludf.DUMMYFUNCTION("""COMPUTED_VALUE"""),"")</f>
        <v/>
      </c>
      <c r="AH1576" s="1" t="str">
        <f>IFERROR(__xludf.DUMMYFUNCTION("""COMPUTED_VALUE"""),"Media Monitoring")</f>
        <v>Media Monitoring</v>
      </c>
      <c r="AI1576" s="2" t="str">
        <f>IFERROR(__xludf.DUMMYFUNCTION("""COMPUTED_VALUE"""),"https://www.datacenterdynamics.com/en/news/six-building-data-center-campus-proposed-in-washington-by-fertilizer-company/")</f>
        <v>https://www.datacenterdynamics.com/en/news/six-building-data-center-campus-proposed-in-washington-by-fertilizer-company/</v>
      </c>
      <c r="AJ1576" s="1" t="str">
        <f>IFERROR(__xludf.DUMMYFUNCTION("""COMPUTED_VALUE"""),"")</f>
        <v/>
      </c>
      <c r="AK1576" s="1" t="str">
        <f>IFERROR(__xludf.DUMMYFUNCTION("""COMPUTED_VALUE"""),"")</f>
        <v/>
      </c>
      <c r="AL1576" s="1" t="str">
        <f>IFERROR(__xludf.DUMMYFUNCTION("""COMPUTED_VALUE"""),"")</f>
        <v/>
      </c>
      <c r="AM1576" s="1" t="str">
        <f>IFERROR(__xludf.DUMMYFUNCTION("""COMPUTED_VALUE"""),"")</f>
        <v/>
      </c>
      <c r="AN1576" s="1" t="str">
        <f>IFERROR(__xludf.DUMMYFUNCTION("""COMPUTED_VALUE"""),"")</f>
        <v/>
      </c>
      <c r="AO1576" s="1" t="str">
        <f>IFERROR(__xludf.DUMMYFUNCTION("""COMPUTED_VALUE"""),"")</f>
        <v/>
      </c>
      <c r="AP1576" s="1" t="str">
        <f>IFERROR(__xludf.DUMMYFUNCTION("""COMPUTED_VALUE"""),"")</f>
        <v/>
      </c>
      <c r="AQ1576" s="1" t="str">
        <f>IFERROR(__xludf.DUMMYFUNCTION("""COMPUTED_VALUE"""),"12/08/2025")</f>
        <v>12/08/2025</v>
      </c>
      <c r="AR1576" s="1" t="str">
        <f>IFERROR(__xludf.DUMMYFUNCTION("""COMPUTED_VALUE"""),"12/08/2025")</f>
        <v>12/08/2025</v>
      </c>
    </row>
    <row r="1577">
      <c r="A1577" s="1" t="str">
        <f>IFERROR(__xludf.DUMMYFUNCTION("""COMPUTED_VALUE"""),"Digital Fortress Seattle Data Center")</f>
        <v>Digital Fortress Seattle Data Center</v>
      </c>
      <c r="B1577" s="1" t="str">
        <f>IFERROR(__xludf.DUMMYFUNCTION("""COMPUTED_VALUE"""),"12101 Tukwila International Blvd")</f>
        <v>12101 Tukwila International Blvd</v>
      </c>
      <c r="C1577" s="1" t="str">
        <f>IFERROR(__xludf.DUMMYFUNCTION("""COMPUTED_VALUE"""),"Seattle")</f>
        <v>Seattle</v>
      </c>
      <c r="D1577" s="1" t="str">
        <f>IFERROR(__xludf.DUMMYFUNCTION("""COMPUTED_VALUE"""),"WA")</f>
        <v>WA</v>
      </c>
      <c r="E1577" s="1" t="str">
        <f>IFERROR(__xludf.DUMMYFUNCTION("""COMPUTED_VALUE"""),"98168")</f>
        <v>98168</v>
      </c>
      <c r="F1577" s="1" t="str">
        <f>IFERROR(__xludf.DUMMYFUNCTION("""COMPUTED_VALUE"""),"King")</f>
        <v>King</v>
      </c>
      <c r="G1577" s="1" t="str">
        <f>IFERROR(__xludf.DUMMYFUNCTION("""COMPUTED_VALUE"""),"47.49397")</f>
        <v>47.49397</v>
      </c>
      <c r="H1577" s="1" t="str">
        <f>IFERROR(__xludf.DUMMYFUNCTION("""COMPUTED_VALUE"""),"-122.294")</f>
        <v>-122.294</v>
      </c>
      <c r="I1577" s="1" t="str">
        <f>IFERROR(__xludf.DUMMYFUNCTION("""COMPUTED_VALUE"""),"Operating")</f>
        <v>Operating</v>
      </c>
      <c r="J1577" s="1" t="str">
        <f>IFERROR(__xludf.DUMMYFUNCTION("""COMPUTED_VALUE"""),"High")</f>
        <v>High</v>
      </c>
      <c r="K1577" s="1" t="str">
        <f>IFERROR(__xludf.DUMMYFUNCTION("""COMPUTED_VALUE"""),"")</f>
        <v/>
      </c>
      <c r="L1577" s="1" t="str">
        <f>IFERROR(__xludf.DUMMYFUNCTION("""COMPUTED_VALUE"""),"")</f>
        <v/>
      </c>
      <c r="M1577" s="1" t="str">
        <f>IFERROR(__xludf.DUMMYFUNCTION("""COMPUTED_VALUE"""),"")</f>
        <v/>
      </c>
      <c r="N1577" s="1" t="str">
        <f>IFERROR(__xludf.DUMMYFUNCTION("""COMPUTED_VALUE"""),"")</f>
        <v/>
      </c>
      <c r="O1577" s="1" t="str">
        <f>IFERROR(__xludf.DUMMYFUNCTION("""COMPUTED_VALUE"""),"Unknown")</f>
        <v>Unknown</v>
      </c>
      <c r="P1577" s="1" t="str">
        <f>IFERROR(__xludf.DUMMYFUNCTION("""COMPUTED_VALUE"""),"")</f>
        <v/>
      </c>
      <c r="Q1577" s="1" t="str">
        <f>IFERROR(__xludf.DUMMYFUNCTION("""COMPUTED_VALUE"""),"")</f>
        <v/>
      </c>
      <c r="R1577" s="1" t="str">
        <f>IFERROR(__xludf.DUMMYFUNCTION("""COMPUTED_VALUE"""),"")</f>
        <v/>
      </c>
      <c r="S1577" s="1" t="str">
        <f>IFERROR(__xludf.DUMMYFUNCTION("""COMPUTED_VALUE"""),"")</f>
        <v/>
      </c>
      <c r="T1577" s="1" t="str">
        <f>IFERROR(__xludf.DUMMYFUNCTION("""COMPUTED_VALUE"""),"")</f>
        <v/>
      </c>
      <c r="U1577" s="1" t="str">
        <f>IFERROR(__xludf.DUMMYFUNCTION("""COMPUTED_VALUE"""),"")</f>
        <v/>
      </c>
      <c r="V1577" s="1" t="str">
        <f>IFERROR(__xludf.DUMMYFUNCTION("""COMPUTED_VALUE"""),"")</f>
        <v/>
      </c>
      <c r="W1577" s="1" t="str">
        <f>IFERROR(__xludf.DUMMYFUNCTION("""COMPUTED_VALUE"""),"")</f>
        <v/>
      </c>
      <c r="X1577" s="1" t="str">
        <f>IFERROR(__xludf.DUMMYFUNCTION("""COMPUTED_VALUE"""),"")</f>
        <v/>
      </c>
      <c r="Y1577" s="1" t="str">
        <f>IFERROR(__xludf.DUMMYFUNCTION("""COMPUTED_VALUE"""),"")</f>
        <v/>
      </c>
      <c r="Z1577" s="1" t="str">
        <f>IFERROR(__xludf.DUMMYFUNCTION("""COMPUTED_VALUE"""),"Unknown")</f>
        <v>Unknown</v>
      </c>
      <c r="AA1577" s="1" t="str">
        <f>IFERROR(__xludf.DUMMYFUNCTION("""COMPUTED_VALUE"""),"")</f>
        <v/>
      </c>
      <c r="AB1577" s="1" t="str">
        <f>IFERROR(__xludf.DUMMYFUNCTION("""COMPUTED_VALUE"""),"")</f>
        <v/>
      </c>
      <c r="AC1577" s="1" t="str">
        <f>IFERROR(__xludf.DUMMYFUNCTION("""COMPUTED_VALUE"""),"")</f>
        <v/>
      </c>
      <c r="AD1577" s="1" t="str">
        <f>IFERROR(__xludf.DUMMYFUNCTION("""COMPUTED_VALUE"""),"")</f>
        <v/>
      </c>
      <c r="AE1577" s="1" t="str">
        <f>IFERROR(__xludf.DUMMYFUNCTION("""COMPUTED_VALUE"""),"")</f>
        <v/>
      </c>
      <c r="AF1577" s="1" t="str">
        <f>IFERROR(__xludf.DUMMYFUNCTION("""COMPUTED_VALUE"""),"")</f>
        <v/>
      </c>
      <c r="AG1577" s="1" t="str">
        <f>IFERROR(__xludf.DUMMYFUNCTION("""COMPUTED_VALUE"""),"")</f>
        <v/>
      </c>
      <c r="AH1577" s="1" t="str">
        <f>IFERROR(__xludf.DUMMYFUNCTION("""COMPUTED_VALUE"""),"Media Monitoring")</f>
        <v>Media Monitoring</v>
      </c>
      <c r="AI1577" s="1" t="str">
        <f>IFERROR(__xludf.DUMMYFUNCTION("""COMPUTED_VALUE"""),"")</f>
        <v/>
      </c>
      <c r="AJ1577" s="1" t="str">
        <f>IFERROR(__xludf.DUMMYFUNCTION("""COMPUTED_VALUE"""),"")</f>
        <v/>
      </c>
      <c r="AK1577" s="1" t="str">
        <f>IFERROR(__xludf.DUMMYFUNCTION("""COMPUTED_VALUE"""),"")</f>
        <v/>
      </c>
      <c r="AL1577" s="1" t="str">
        <f>IFERROR(__xludf.DUMMYFUNCTION("""COMPUTED_VALUE"""),"")</f>
        <v/>
      </c>
      <c r="AM1577" s="1" t="str">
        <f>IFERROR(__xludf.DUMMYFUNCTION("""COMPUTED_VALUE"""),"")</f>
        <v/>
      </c>
      <c r="AN1577" s="1" t="str">
        <f>IFERROR(__xludf.DUMMYFUNCTION("""COMPUTED_VALUE"""),"")</f>
        <v/>
      </c>
      <c r="AO1577" s="1" t="str">
        <f>IFERROR(__xludf.DUMMYFUNCTION("""COMPUTED_VALUE"""),"")</f>
        <v/>
      </c>
      <c r="AP1577" s="1" t="str">
        <f>IFERROR(__xludf.DUMMYFUNCTION("""COMPUTED_VALUE"""),"")</f>
        <v/>
      </c>
      <c r="AQ1577" s="1" t="str">
        <f>IFERROR(__xludf.DUMMYFUNCTION("""COMPUTED_VALUE"""),"08/14/2025")</f>
        <v>08/14/2025</v>
      </c>
      <c r="AR1577" s="1" t="str">
        <f>IFERROR(__xludf.DUMMYFUNCTION("""COMPUTED_VALUE"""),"08/14/2025")</f>
        <v>08/14/2025</v>
      </c>
    </row>
    <row r="1578">
      <c r="A1578" s="1" t="str">
        <f>IFERROR(__xludf.DUMMYFUNCTION("""COMPUTED_VALUE"""),"Digital Reality Data Center")</f>
        <v>Digital Reality Data Center</v>
      </c>
      <c r="B1578" s="1" t="str">
        <f>IFERROR(__xludf.DUMMYFUNCTION("""COMPUTED_VALUE"""),"2001 6th Ave")</f>
        <v>2001 6th Ave</v>
      </c>
      <c r="C1578" s="1" t="str">
        <f>IFERROR(__xludf.DUMMYFUNCTION("""COMPUTED_VALUE"""),"Seattle")</f>
        <v>Seattle</v>
      </c>
      <c r="D1578" s="1" t="str">
        <f>IFERROR(__xludf.DUMMYFUNCTION("""COMPUTED_VALUE"""),"WA")</f>
        <v>WA</v>
      </c>
      <c r="E1578" s="1" t="str">
        <f>IFERROR(__xludf.DUMMYFUNCTION("""COMPUTED_VALUE"""),"98121")</f>
        <v>98121</v>
      </c>
      <c r="F1578" s="1" t="str">
        <f>IFERROR(__xludf.DUMMYFUNCTION("""COMPUTED_VALUE"""),"King")</f>
        <v>King</v>
      </c>
      <c r="G1578" s="1" t="str">
        <f>IFERROR(__xludf.DUMMYFUNCTION("""COMPUTED_VALUE"""),"47.614384")</f>
        <v>47.614384</v>
      </c>
      <c r="H1578" s="1" t="str">
        <f>IFERROR(__xludf.DUMMYFUNCTION("""COMPUTED_VALUE"""),"-122.33889")</f>
        <v>-122.33889</v>
      </c>
      <c r="I1578" s="1" t="str">
        <f>IFERROR(__xludf.DUMMYFUNCTION("""COMPUTED_VALUE"""),"Operating")</f>
        <v>Operating</v>
      </c>
      <c r="J1578" s="1" t="str">
        <f>IFERROR(__xludf.DUMMYFUNCTION("""COMPUTED_VALUE"""),"High")</f>
        <v>High</v>
      </c>
      <c r="K1578" s="1" t="str">
        <f>IFERROR(__xludf.DUMMYFUNCTION("""COMPUTED_VALUE"""),"")</f>
        <v/>
      </c>
      <c r="L1578" s="1" t="str">
        <f>IFERROR(__xludf.DUMMYFUNCTION("""COMPUTED_VALUE"""),"Digital Reality")</f>
        <v>Digital Reality</v>
      </c>
      <c r="M1578" s="1" t="str">
        <f>IFERROR(__xludf.DUMMYFUNCTION("""COMPUTED_VALUE"""),"")</f>
        <v/>
      </c>
      <c r="N1578" s="1" t="str">
        <f>IFERROR(__xludf.DUMMYFUNCTION("""COMPUTED_VALUE"""),"13")</f>
        <v>13</v>
      </c>
      <c r="O1578" s="1" t="str">
        <f>IFERROR(__xludf.DUMMYFUNCTION("""COMPUTED_VALUE"""),"Medium (11-50 MW)")</f>
        <v>Medium (11-50 MW)</v>
      </c>
      <c r="P1578" s="1" t="str">
        <f>IFERROR(__xludf.DUMMYFUNCTION("""COMPUTED_VALUE"""),"")</f>
        <v/>
      </c>
      <c r="Q1578" s="1" t="str">
        <f>IFERROR(__xludf.DUMMYFUNCTION("""COMPUTED_VALUE"""),"")</f>
        <v/>
      </c>
      <c r="R1578" s="1" t="str">
        <f>IFERROR(__xludf.DUMMYFUNCTION("""COMPUTED_VALUE"""),"")</f>
        <v/>
      </c>
      <c r="S1578" s="1" t="str">
        <f>IFERROR(__xludf.DUMMYFUNCTION("""COMPUTED_VALUE"""),"")</f>
        <v/>
      </c>
      <c r="T1578" s="1" t="str">
        <f>IFERROR(__xludf.DUMMYFUNCTION("""COMPUTED_VALUE"""),"")</f>
        <v/>
      </c>
      <c r="U1578" s="1" t="str">
        <f>IFERROR(__xludf.DUMMYFUNCTION("""COMPUTED_VALUE"""),"")</f>
        <v/>
      </c>
      <c r="V1578" s="1" t="str">
        <f>IFERROR(__xludf.DUMMYFUNCTION("""COMPUTED_VALUE"""),"400,400")</f>
        <v>400,400</v>
      </c>
      <c r="W1578" s="1" t="str">
        <f>IFERROR(__xludf.DUMMYFUNCTION("""COMPUTED_VALUE"""),"")</f>
        <v/>
      </c>
      <c r="X1578" s="1" t="str">
        <f>IFERROR(__xludf.DUMMYFUNCTION("""COMPUTED_VALUE"""),"")</f>
        <v/>
      </c>
      <c r="Y1578" s="1" t="str">
        <f>IFERROR(__xludf.DUMMYFUNCTION("""COMPUTED_VALUE"""),"")</f>
        <v/>
      </c>
      <c r="Z1578" s="1" t="str">
        <f>IFERROR(__xludf.DUMMYFUNCTION("""COMPUTED_VALUE"""),"Unknown")</f>
        <v>Unknown</v>
      </c>
      <c r="AA1578" s="1" t="str">
        <f>IFERROR(__xludf.DUMMYFUNCTION("""COMPUTED_VALUE"""),"")</f>
        <v/>
      </c>
      <c r="AB1578" s="1" t="str">
        <f>IFERROR(__xludf.DUMMYFUNCTION("""COMPUTED_VALUE"""),"")</f>
        <v/>
      </c>
      <c r="AC1578" s="1" t="str">
        <f>IFERROR(__xludf.DUMMYFUNCTION("""COMPUTED_VALUE"""),"")</f>
        <v/>
      </c>
      <c r="AD1578" s="1" t="str">
        <f>IFERROR(__xludf.DUMMYFUNCTION("""COMPUTED_VALUE"""),"")</f>
        <v/>
      </c>
      <c r="AE1578" s="1" t="str">
        <f>IFERROR(__xludf.DUMMYFUNCTION("""COMPUTED_VALUE"""),"")</f>
        <v/>
      </c>
      <c r="AF1578" s="1" t="str">
        <f>IFERROR(__xludf.DUMMYFUNCTION("""COMPUTED_VALUE"""),"")</f>
        <v/>
      </c>
      <c r="AG1578" s="1" t="str">
        <f>IFERROR(__xludf.DUMMYFUNCTION("""COMPUTED_VALUE"""),"")</f>
        <v/>
      </c>
      <c r="AH1578" s="1" t="str">
        <f>IFERROR(__xludf.DUMMYFUNCTION("""COMPUTED_VALUE"""),"Media Monitoring")</f>
        <v>Media Monitoring</v>
      </c>
      <c r="AI1578" s="2" t="str">
        <f>IFERROR(__xludf.DUMMYFUNCTION("""COMPUTED_VALUE"""),"https://www.datacenterdynamics.com/en/news/digital-realty-plans-data-center-in-seattle-washington/")</f>
        <v>https://www.datacenterdynamics.com/en/news/digital-realty-plans-data-center-in-seattle-washington/</v>
      </c>
      <c r="AJ1578" s="1" t="str">
        <f>IFERROR(__xludf.DUMMYFUNCTION("""COMPUTED_VALUE"""),"")</f>
        <v/>
      </c>
      <c r="AK1578" s="1" t="str">
        <f>IFERROR(__xludf.DUMMYFUNCTION("""COMPUTED_VALUE"""),"")</f>
        <v/>
      </c>
      <c r="AL1578" s="1" t="str">
        <f>IFERROR(__xludf.DUMMYFUNCTION("""COMPUTED_VALUE"""),"")</f>
        <v/>
      </c>
      <c r="AM1578" s="1" t="str">
        <f>IFERROR(__xludf.DUMMYFUNCTION("""COMPUTED_VALUE"""),"")</f>
        <v/>
      </c>
      <c r="AN1578" s="1" t="str">
        <f>IFERROR(__xludf.DUMMYFUNCTION("""COMPUTED_VALUE"""),"")</f>
        <v/>
      </c>
      <c r="AO1578" s="1" t="str">
        <f>IFERROR(__xludf.DUMMYFUNCTION("""COMPUTED_VALUE"""),"")</f>
        <v/>
      </c>
      <c r="AP1578" s="1" t="str">
        <f>IFERROR(__xludf.DUMMYFUNCTION("""COMPUTED_VALUE"""),"")</f>
        <v/>
      </c>
      <c r="AQ1578" s="1" t="str">
        <f>IFERROR(__xludf.DUMMYFUNCTION("""COMPUTED_VALUE"""),"06/11/2026")</f>
        <v>06/11/2026</v>
      </c>
      <c r="AR1578" s="1" t="str">
        <f>IFERROR(__xludf.DUMMYFUNCTION("""COMPUTED_VALUE"""),"06/11/2026")</f>
        <v>06/11/2026</v>
      </c>
    </row>
    <row r="1579">
      <c r="A1579" s="1" t="str">
        <f>IFERROR(__xludf.DUMMYFUNCTION("""COMPUTED_VALUE"""),"Digital Reality Data Center")</f>
        <v>Digital Reality Data Center</v>
      </c>
      <c r="B1579" s="1" t="str">
        <f>IFERROR(__xludf.DUMMYFUNCTION("""COMPUTED_VALUE""")," 301 Virginia Street/1930 3rd Ave")</f>
        <v> 301 Virginia Street/1930 3rd Ave</v>
      </c>
      <c r="C1579" s="1" t="str">
        <f>IFERROR(__xludf.DUMMYFUNCTION("""COMPUTED_VALUE"""),"Seattle")</f>
        <v>Seattle</v>
      </c>
      <c r="D1579" s="1" t="str">
        <f>IFERROR(__xludf.DUMMYFUNCTION("""COMPUTED_VALUE"""),"WA")</f>
        <v>WA</v>
      </c>
      <c r="E1579" s="1" t="str">
        <f>IFERROR(__xludf.DUMMYFUNCTION("""COMPUTED_VALUE"""),"98101")</f>
        <v>98101</v>
      </c>
      <c r="F1579" s="1" t="str">
        <f>IFERROR(__xludf.DUMMYFUNCTION("""COMPUTED_VALUE"""),"King")</f>
        <v>King</v>
      </c>
      <c r="G1579" s="1" t="str">
        <f>IFERROR(__xludf.DUMMYFUNCTION("""COMPUTED_VALUE"""),"47.61257")</f>
        <v>47.61257</v>
      </c>
      <c r="H1579" s="1" t="str">
        <f>IFERROR(__xludf.DUMMYFUNCTION("""COMPUTED_VALUE"""),"-122.340096")</f>
        <v>-122.340096</v>
      </c>
      <c r="I1579" s="1" t="str">
        <f>IFERROR(__xludf.DUMMYFUNCTION("""COMPUTED_VALUE"""),"Proposed")</f>
        <v>Proposed</v>
      </c>
      <c r="J1579" s="1" t="str">
        <f>IFERROR(__xludf.DUMMYFUNCTION("""COMPUTED_VALUE"""),"High")</f>
        <v>High</v>
      </c>
      <c r="K1579" s="1" t="str">
        <f>IFERROR(__xludf.DUMMYFUNCTION("""COMPUTED_VALUE"""),"")</f>
        <v/>
      </c>
      <c r="L1579" s="1" t="str">
        <f>IFERROR(__xludf.DUMMYFUNCTION("""COMPUTED_VALUE"""),"Digital Reality")</f>
        <v>Digital Reality</v>
      </c>
      <c r="M1579" s="1" t="str">
        <f>IFERROR(__xludf.DUMMYFUNCTION("""COMPUTED_VALUE"""),"")</f>
        <v/>
      </c>
      <c r="N1579" s="1" t="str">
        <f>IFERROR(__xludf.DUMMYFUNCTION("""COMPUTED_VALUE"""),"")</f>
        <v/>
      </c>
      <c r="O1579" s="1" t="str">
        <f>IFERROR(__xludf.DUMMYFUNCTION("""COMPUTED_VALUE"""),"Small (0-10 MW)")</f>
        <v>Small (0-10 MW)</v>
      </c>
      <c r="P1579" s="1" t="str">
        <f>IFERROR(__xludf.DUMMYFUNCTION("""COMPUTED_VALUE"""),"")</f>
        <v/>
      </c>
      <c r="Q1579" s="1" t="str">
        <f>IFERROR(__xludf.DUMMYFUNCTION("""COMPUTED_VALUE"""),"")</f>
        <v/>
      </c>
      <c r="R1579" s="1" t="str">
        <f>IFERROR(__xludf.DUMMYFUNCTION("""COMPUTED_VALUE"""),"")</f>
        <v/>
      </c>
      <c r="S1579" s="1" t="str">
        <f>IFERROR(__xludf.DUMMYFUNCTION("""COMPUTED_VALUE"""),"")</f>
        <v/>
      </c>
      <c r="T1579" s="1" t="str">
        <f>IFERROR(__xludf.DUMMYFUNCTION("""COMPUTED_VALUE"""),"")</f>
        <v/>
      </c>
      <c r="U1579" s="1" t="str">
        <f>IFERROR(__xludf.DUMMYFUNCTION("""COMPUTED_VALUE"""),"")</f>
        <v/>
      </c>
      <c r="V1579" s="1" t="str">
        <f>IFERROR(__xludf.DUMMYFUNCTION("""COMPUTED_VALUE"""),"58,000")</f>
        <v>58,000</v>
      </c>
      <c r="W1579" s="1" t="str">
        <f>IFERROR(__xludf.DUMMYFUNCTION("""COMPUTED_VALUE"""),"")</f>
        <v/>
      </c>
      <c r="X1579" s="1" t="str">
        <f>IFERROR(__xludf.DUMMYFUNCTION("""COMPUTED_VALUE"""),"")</f>
        <v/>
      </c>
      <c r="Y1579" s="1" t="str">
        <f>IFERROR(__xludf.DUMMYFUNCTION("""COMPUTED_VALUE"""),"")</f>
        <v/>
      </c>
      <c r="Z1579" s="1" t="str">
        <f>IFERROR(__xludf.DUMMYFUNCTION("""COMPUTED_VALUE"""),"Unknown")</f>
        <v>Unknown</v>
      </c>
      <c r="AA1579" s="1" t="str">
        <f>IFERROR(__xludf.DUMMYFUNCTION("""COMPUTED_VALUE"""),"")</f>
        <v/>
      </c>
      <c r="AB1579" s="1" t="str">
        <f>IFERROR(__xludf.DUMMYFUNCTION("""COMPUTED_VALUE"""),"")</f>
        <v/>
      </c>
      <c r="AC1579" s="1" t="str">
        <f>IFERROR(__xludf.DUMMYFUNCTION("""COMPUTED_VALUE"""),"")</f>
        <v/>
      </c>
      <c r="AD1579" s="1" t="str">
        <f>IFERROR(__xludf.DUMMYFUNCTION("""COMPUTED_VALUE"""),"")</f>
        <v/>
      </c>
      <c r="AE1579" s="1" t="str">
        <f>IFERROR(__xludf.DUMMYFUNCTION("""COMPUTED_VALUE"""),"")</f>
        <v/>
      </c>
      <c r="AF1579" s="1" t="str">
        <f>IFERROR(__xludf.DUMMYFUNCTION("""COMPUTED_VALUE"""),"")</f>
        <v/>
      </c>
      <c r="AG1579" s="1" t="str">
        <f>IFERROR(__xludf.DUMMYFUNCTION("""COMPUTED_VALUE"""),"")</f>
        <v/>
      </c>
      <c r="AH1579" s="1" t="str">
        <f>IFERROR(__xludf.DUMMYFUNCTION("""COMPUTED_VALUE"""),"Media Monitoring")</f>
        <v>Media Monitoring</v>
      </c>
      <c r="AI1579" s="2" t="str">
        <f>IFERROR(__xludf.DUMMYFUNCTION("""COMPUTED_VALUE"""),"https://www.datacenterdynamics.com/en/news/digital-realty-plans-data-center-in-seattle-washington/")</f>
        <v>https://www.datacenterdynamics.com/en/news/digital-realty-plans-data-center-in-seattle-washington/</v>
      </c>
      <c r="AJ1579" s="1" t="str">
        <f>IFERROR(__xludf.DUMMYFUNCTION("""COMPUTED_VALUE"""),"")</f>
        <v/>
      </c>
      <c r="AK1579" s="1" t="str">
        <f>IFERROR(__xludf.DUMMYFUNCTION("""COMPUTED_VALUE"""),"")</f>
        <v/>
      </c>
      <c r="AL1579" s="1" t="str">
        <f>IFERROR(__xludf.DUMMYFUNCTION("""COMPUTED_VALUE"""),"")</f>
        <v/>
      </c>
      <c r="AM1579" s="1" t="str">
        <f>IFERROR(__xludf.DUMMYFUNCTION("""COMPUTED_VALUE"""),"")</f>
        <v/>
      </c>
      <c r="AN1579" s="1" t="str">
        <f>IFERROR(__xludf.DUMMYFUNCTION("""COMPUTED_VALUE"""),"")</f>
        <v/>
      </c>
      <c r="AO1579" s="1" t="str">
        <f>IFERROR(__xludf.DUMMYFUNCTION("""COMPUTED_VALUE"""),"")</f>
        <v/>
      </c>
      <c r="AP1579" s="1" t="str">
        <f>IFERROR(__xludf.DUMMYFUNCTION("""COMPUTED_VALUE"""),"")</f>
        <v/>
      </c>
      <c r="AQ1579" s="1" t="str">
        <f>IFERROR(__xludf.DUMMYFUNCTION("""COMPUTED_VALUE"""),"06/11/2026")</f>
        <v>06/11/2026</v>
      </c>
      <c r="AR1579" s="1" t="str">
        <f>IFERROR(__xludf.DUMMYFUNCTION("""COMPUTED_VALUE"""),"06/11/2026")</f>
        <v>06/11/2026</v>
      </c>
    </row>
    <row r="1580">
      <c r="A1580" s="1" t="str">
        <f>IFERROR(__xludf.DUMMYFUNCTION("""COMPUTED_VALUE"""),"H5 Data Centers")</f>
        <v>H5 Data Centers</v>
      </c>
      <c r="B1580" s="1" t="str">
        <f>IFERROR(__xludf.DUMMYFUNCTION("""COMPUTED_VALUE"""),"1000 Denny Wy")</f>
        <v>1000 Denny Wy</v>
      </c>
      <c r="C1580" s="1" t="str">
        <f>IFERROR(__xludf.DUMMYFUNCTION("""COMPUTED_VALUE"""),"Seattle")</f>
        <v>Seattle</v>
      </c>
      <c r="D1580" s="1" t="str">
        <f>IFERROR(__xludf.DUMMYFUNCTION("""COMPUTED_VALUE"""),"WA")</f>
        <v>WA</v>
      </c>
      <c r="E1580" s="1" t="str">
        <f>IFERROR(__xludf.DUMMYFUNCTION("""COMPUTED_VALUE"""),"98109")</f>
        <v>98109</v>
      </c>
      <c r="F1580" s="1" t="str">
        <f>IFERROR(__xludf.DUMMYFUNCTION("""COMPUTED_VALUE"""),"King")</f>
        <v>King</v>
      </c>
      <c r="G1580" s="1" t="str">
        <f>IFERROR(__xludf.DUMMYFUNCTION("""COMPUTED_VALUE"""),"47.61901")</f>
        <v>47.61901</v>
      </c>
      <c r="H1580" s="1" t="str">
        <f>IFERROR(__xludf.DUMMYFUNCTION("""COMPUTED_VALUE"""),"-122.337")</f>
        <v>-122.337</v>
      </c>
      <c r="I1580" s="1" t="str">
        <f>IFERROR(__xludf.DUMMYFUNCTION("""COMPUTED_VALUE"""),"Operating")</f>
        <v>Operating</v>
      </c>
      <c r="J1580" s="1" t="str">
        <f>IFERROR(__xludf.DUMMYFUNCTION("""COMPUTED_VALUE"""),"High")</f>
        <v>High</v>
      </c>
      <c r="K1580" s="1" t="str">
        <f>IFERROR(__xludf.DUMMYFUNCTION("""COMPUTED_VALUE"""),"")</f>
        <v/>
      </c>
      <c r="L1580" s="1" t="str">
        <f>IFERROR(__xludf.DUMMYFUNCTION("""COMPUTED_VALUE"""),"")</f>
        <v/>
      </c>
      <c r="M1580" s="1" t="str">
        <f>IFERROR(__xludf.DUMMYFUNCTION("""COMPUTED_VALUE"""),"")</f>
        <v/>
      </c>
      <c r="N1580" s="1" t="str">
        <f>IFERROR(__xludf.DUMMYFUNCTION("""COMPUTED_VALUE"""),"")</f>
        <v/>
      </c>
      <c r="O1580" s="1" t="str">
        <f>IFERROR(__xludf.DUMMYFUNCTION("""COMPUTED_VALUE"""),"Unknown")</f>
        <v>Unknown</v>
      </c>
      <c r="P1580" s="1" t="str">
        <f>IFERROR(__xludf.DUMMYFUNCTION("""COMPUTED_VALUE"""),"")</f>
        <v/>
      </c>
      <c r="Q1580" s="1" t="str">
        <f>IFERROR(__xludf.DUMMYFUNCTION("""COMPUTED_VALUE"""),"")</f>
        <v/>
      </c>
      <c r="R1580" s="1" t="str">
        <f>IFERROR(__xludf.DUMMYFUNCTION("""COMPUTED_VALUE"""),"")</f>
        <v/>
      </c>
      <c r="S1580" s="1" t="str">
        <f>IFERROR(__xludf.DUMMYFUNCTION("""COMPUTED_VALUE"""),"")</f>
        <v/>
      </c>
      <c r="T1580" s="1" t="str">
        <f>IFERROR(__xludf.DUMMYFUNCTION("""COMPUTED_VALUE"""),"")</f>
        <v/>
      </c>
      <c r="U1580" s="1" t="str">
        <f>IFERROR(__xludf.DUMMYFUNCTION("""COMPUTED_VALUE"""),"")</f>
        <v/>
      </c>
      <c r="V1580" s="1" t="str">
        <f>IFERROR(__xludf.DUMMYFUNCTION("""COMPUTED_VALUE"""),"")</f>
        <v/>
      </c>
      <c r="W1580" s="1" t="str">
        <f>IFERROR(__xludf.DUMMYFUNCTION("""COMPUTED_VALUE"""),"")</f>
        <v/>
      </c>
      <c r="X1580" s="1" t="str">
        <f>IFERROR(__xludf.DUMMYFUNCTION("""COMPUTED_VALUE"""),"")</f>
        <v/>
      </c>
      <c r="Y1580" s="1" t="str">
        <f>IFERROR(__xludf.DUMMYFUNCTION("""COMPUTED_VALUE"""),"")</f>
        <v/>
      </c>
      <c r="Z1580" s="1" t="str">
        <f>IFERROR(__xludf.DUMMYFUNCTION("""COMPUTED_VALUE"""),"Unknown")</f>
        <v>Unknown</v>
      </c>
      <c r="AA1580" s="1" t="str">
        <f>IFERROR(__xludf.DUMMYFUNCTION("""COMPUTED_VALUE"""),"")</f>
        <v/>
      </c>
      <c r="AB1580" s="1" t="str">
        <f>IFERROR(__xludf.DUMMYFUNCTION("""COMPUTED_VALUE"""),"")</f>
        <v/>
      </c>
      <c r="AC1580" s="1" t="str">
        <f>IFERROR(__xludf.DUMMYFUNCTION("""COMPUTED_VALUE"""),"")</f>
        <v/>
      </c>
      <c r="AD1580" s="1" t="str">
        <f>IFERROR(__xludf.DUMMYFUNCTION("""COMPUTED_VALUE"""),"")</f>
        <v/>
      </c>
      <c r="AE1580" s="1" t="str">
        <f>IFERROR(__xludf.DUMMYFUNCTION("""COMPUTED_VALUE"""),"")</f>
        <v/>
      </c>
      <c r="AF1580" s="1" t="str">
        <f>IFERROR(__xludf.DUMMYFUNCTION("""COMPUTED_VALUE"""),"")</f>
        <v/>
      </c>
      <c r="AG1580" s="1" t="str">
        <f>IFERROR(__xludf.DUMMYFUNCTION("""COMPUTED_VALUE"""),"")</f>
        <v/>
      </c>
      <c r="AH1580" s="1" t="str">
        <f>IFERROR(__xludf.DUMMYFUNCTION("""COMPUTED_VALUE"""),"Media Monitoring")</f>
        <v>Media Monitoring</v>
      </c>
      <c r="AI1580" s="1" t="str">
        <f>IFERROR(__xludf.DUMMYFUNCTION("""COMPUTED_VALUE"""),"")</f>
        <v/>
      </c>
      <c r="AJ1580" s="1" t="str">
        <f>IFERROR(__xludf.DUMMYFUNCTION("""COMPUTED_VALUE"""),"")</f>
        <v/>
      </c>
      <c r="AK1580" s="1" t="str">
        <f>IFERROR(__xludf.DUMMYFUNCTION("""COMPUTED_VALUE"""),"")</f>
        <v/>
      </c>
      <c r="AL1580" s="1" t="str">
        <f>IFERROR(__xludf.DUMMYFUNCTION("""COMPUTED_VALUE"""),"")</f>
        <v/>
      </c>
      <c r="AM1580" s="1" t="str">
        <f>IFERROR(__xludf.DUMMYFUNCTION("""COMPUTED_VALUE"""),"")</f>
        <v/>
      </c>
      <c r="AN1580" s="1" t="str">
        <f>IFERROR(__xludf.DUMMYFUNCTION("""COMPUTED_VALUE"""),"")</f>
        <v/>
      </c>
      <c r="AO1580" s="1" t="str">
        <f>IFERROR(__xludf.DUMMYFUNCTION("""COMPUTED_VALUE"""),"")</f>
        <v/>
      </c>
      <c r="AP1580" s="1" t="str">
        <f>IFERROR(__xludf.DUMMYFUNCTION("""COMPUTED_VALUE"""),"")</f>
        <v/>
      </c>
      <c r="AQ1580" s="1" t="str">
        <f>IFERROR(__xludf.DUMMYFUNCTION("""COMPUTED_VALUE"""),"08/14/2025")</f>
        <v>08/14/2025</v>
      </c>
      <c r="AR1580" s="1" t="str">
        <f>IFERROR(__xludf.DUMMYFUNCTION("""COMPUTED_VALUE"""),"08/14/2025")</f>
        <v>08/14/2025</v>
      </c>
    </row>
    <row r="1581">
      <c r="A1581" s="1" t="str">
        <f>IFERROR(__xludf.DUMMYFUNCTION("""COMPUTED_VALUE"""),"Seattle EdgeConneX Edge Data Center® (EDC)")</f>
        <v>Seattle EdgeConneX Edge Data Center® (EDC)</v>
      </c>
      <c r="B1581" s="1" t="str">
        <f>IFERROR(__xludf.DUMMYFUNCTION("""COMPUTED_VALUE"""),"3425 S 116th Street, Building 6, Suite 133")</f>
        <v>3425 S 116th Street, Building 6, Suite 133</v>
      </c>
      <c r="C1581" s="1" t="str">
        <f>IFERROR(__xludf.DUMMYFUNCTION("""COMPUTED_VALUE"""),"Seattle")</f>
        <v>Seattle</v>
      </c>
      <c r="D1581" s="1" t="str">
        <f>IFERROR(__xludf.DUMMYFUNCTION("""COMPUTED_VALUE"""),"WA")</f>
        <v>WA</v>
      </c>
      <c r="E1581" s="1" t="str">
        <f>IFERROR(__xludf.DUMMYFUNCTION("""COMPUTED_VALUE"""),"98168")</f>
        <v>98168</v>
      </c>
      <c r="F1581" s="1" t="str">
        <f>IFERROR(__xludf.DUMMYFUNCTION("""COMPUTED_VALUE"""),"King")</f>
        <v>King</v>
      </c>
      <c r="G1581" s="1" t="str">
        <f>IFERROR(__xludf.DUMMYFUNCTION("""COMPUTED_VALUE"""),"47.49822")</f>
        <v>47.49822</v>
      </c>
      <c r="H1581" s="1" t="str">
        <f>IFERROR(__xludf.DUMMYFUNCTION("""COMPUTED_VALUE"""),"-122.29")</f>
        <v>-122.29</v>
      </c>
      <c r="I1581" s="1" t="str">
        <f>IFERROR(__xludf.DUMMYFUNCTION("""COMPUTED_VALUE"""),"Operating")</f>
        <v>Operating</v>
      </c>
      <c r="J1581" s="1" t="str">
        <f>IFERROR(__xludf.DUMMYFUNCTION("""COMPUTED_VALUE"""),"High")</f>
        <v>High</v>
      </c>
      <c r="K1581" s="1" t="str">
        <f>IFERROR(__xludf.DUMMYFUNCTION("""COMPUTED_VALUE"""),"")</f>
        <v/>
      </c>
      <c r="L1581" s="1" t="str">
        <f>IFERROR(__xludf.DUMMYFUNCTION("""COMPUTED_VALUE"""),"")</f>
        <v/>
      </c>
      <c r="M1581" s="1" t="str">
        <f>IFERROR(__xludf.DUMMYFUNCTION("""COMPUTED_VALUE"""),"")</f>
        <v/>
      </c>
      <c r="N1581" s="1" t="str">
        <f>IFERROR(__xludf.DUMMYFUNCTION("""COMPUTED_VALUE"""),"4.5")</f>
        <v>4.5</v>
      </c>
      <c r="O1581" s="1" t="str">
        <f>IFERROR(__xludf.DUMMYFUNCTION("""COMPUTED_VALUE"""),"Small (0-10 MW)")</f>
        <v>Small (0-10 MW)</v>
      </c>
      <c r="P1581" s="1" t="str">
        <f>IFERROR(__xludf.DUMMYFUNCTION("""COMPUTED_VALUE"""),"")</f>
        <v/>
      </c>
      <c r="Q1581" s="1" t="str">
        <f>IFERROR(__xludf.DUMMYFUNCTION("""COMPUTED_VALUE"""),"")</f>
        <v/>
      </c>
      <c r="R1581" s="1" t="str">
        <f>IFERROR(__xludf.DUMMYFUNCTION("""COMPUTED_VALUE"""),"")</f>
        <v/>
      </c>
      <c r="S1581" s="1" t="str">
        <f>IFERROR(__xludf.DUMMYFUNCTION("""COMPUTED_VALUE"""),"")</f>
        <v/>
      </c>
      <c r="T1581" s="1" t="str">
        <f>IFERROR(__xludf.DUMMYFUNCTION("""COMPUTED_VALUE"""),"")</f>
        <v/>
      </c>
      <c r="U1581" s="1" t="str">
        <f>IFERROR(__xludf.DUMMYFUNCTION("""COMPUTED_VALUE"""),"")</f>
        <v/>
      </c>
      <c r="V1581" s="1" t="str">
        <f>IFERROR(__xludf.DUMMYFUNCTION("""COMPUTED_VALUE"""),"47,000")</f>
        <v>47,000</v>
      </c>
      <c r="W1581" s="1" t="str">
        <f>IFERROR(__xludf.DUMMYFUNCTION("""COMPUTED_VALUE"""),"")</f>
        <v/>
      </c>
      <c r="X1581" s="1" t="str">
        <f>IFERROR(__xludf.DUMMYFUNCTION("""COMPUTED_VALUE"""),"")</f>
        <v/>
      </c>
      <c r="Y1581" s="1" t="str">
        <f>IFERROR(__xludf.DUMMYFUNCTION("""COMPUTED_VALUE"""),"")</f>
        <v/>
      </c>
      <c r="Z1581" s="1" t="str">
        <f>IFERROR(__xludf.DUMMYFUNCTION("""COMPUTED_VALUE"""),"Unknown")</f>
        <v>Unknown</v>
      </c>
      <c r="AA1581" s="1" t="str">
        <f>IFERROR(__xludf.DUMMYFUNCTION("""COMPUTED_VALUE"""),"")</f>
        <v/>
      </c>
      <c r="AB1581" s="1" t="str">
        <f>IFERROR(__xludf.DUMMYFUNCTION("""COMPUTED_VALUE"""),"")</f>
        <v/>
      </c>
      <c r="AC1581" s="1" t="str">
        <f>IFERROR(__xludf.DUMMYFUNCTION("""COMPUTED_VALUE"""),"")</f>
        <v/>
      </c>
      <c r="AD1581" s="1" t="str">
        <f>IFERROR(__xludf.DUMMYFUNCTION("""COMPUTED_VALUE"""),"")</f>
        <v/>
      </c>
      <c r="AE1581" s="1" t="str">
        <f>IFERROR(__xludf.DUMMYFUNCTION("""COMPUTED_VALUE"""),"")</f>
        <v/>
      </c>
      <c r="AF1581" s="1" t="str">
        <f>IFERROR(__xludf.DUMMYFUNCTION("""COMPUTED_VALUE"""),"")</f>
        <v/>
      </c>
      <c r="AG1581" s="1" t="str">
        <f>IFERROR(__xludf.DUMMYFUNCTION("""COMPUTED_VALUE"""),"")</f>
        <v/>
      </c>
      <c r="AH1581" s="1" t="str">
        <f>IFERROR(__xludf.DUMMYFUNCTION("""COMPUTED_VALUE"""),"Media Monitoring")</f>
        <v>Media Monitoring</v>
      </c>
      <c r="AI1581" s="2" t="str">
        <f>IFERROR(__xludf.DUMMYFUNCTION("""COMPUTED_VALUE"""),"https://www.edgeconnex.com/locations/americas/seattle-wa/")</f>
        <v>https://www.edgeconnex.com/locations/americas/seattle-wa/</v>
      </c>
      <c r="AJ1581" s="1" t="str">
        <f>IFERROR(__xludf.DUMMYFUNCTION("""COMPUTED_VALUE"""),"")</f>
        <v/>
      </c>
      <c r="AK1581" s="1" t="str">
        <f>IFERROR(__xludf.DUMMYFUNCTION("""COMPUTED_VALUE"""),"")</f>
        <v/>
      </c>
      <c r="AL1581" s="1" t="str">
        <f>IFERROR(__xludf.DUMMYFUNCTION("""COMPUTED_VALUE"""),"")</f>
        <v/>
      </c>
      <c r="AM1581" s="1" t="str">
        <f>IFERROR(__xludf.DUMMYFUNCTION("""COMPUTED_VALUE"""),"")</f>
        <v/>
      </c>
      <c r="AN1581" s="1" t="str">
        <f>IFERROR(__xludf.DUMMYFUNCTION("""COMPUTED_VALUE"""),"")</f>
        <v/>
      </c>
      <c r="AO1581" s="1" t="str">
        <f>IFERROR(__xludf.DUMMYFUNCTION("""COMPUTED_VALUE"""),"")</f>
        <v/>
      </c>
      <c r="AP1581" s="1" t="str">
        <f>IFERROR(__xludf.DUMMYFUNCTION("""COMPUTED_VALUE"""),"")</f>
        <v/>
      </c>
      <c r="AQ1581" s="1" t="str">
        <f>IFERROR(__xludf.DUMMYFUNCTION("""COMPUTED_VALUE"""),"08/04/2025")</f>
        <v>08/04/2025</v>
      </c>
      <c r="AR1581" s="1" t="str">
        <f>IFERROR(__xludf.DUMMYFUNCTION("""COMPUTED_VALUE"""),"08/04/2025")</f>
        <v>08/04/2025</v>
      </c>
    </row>
    <row r="1582">
      <c r="A1582" s="1" t="str">
        <f>IFERROR(__xludf.DUMMYFUNCTION("""COMPUTED_VALUE"""),"Starbucks Data Center")</f>
        <v>Starbucks Data Center</v>
      </c>
      <c r="B1582" s="1" t="str">
        <f>IFERROR(__xludf.DUMMYFUNCTION("""COMPUTED_VALUE"""),"2401 Utah Ave S")</f>
        <v>2401 Utah Ave S</v>
      </c>
      <c r="C1582" s="1" t="str">
        <f>IFERROR(__xludf.DUMMYFUNCTION("""COMPUTED_VALUE"""),"Seattle")</f>
        <v>Seattle</v>
      </c>
      <c r="D1582" s="1" t="str">
        <f>IFERROR(__xludf.DUMMYFUNCTION("""COMPUTED_VALUE"""),"WA")</f>
        <v>WA</v>
      </c>
      <c r="E1582" s="1" t="str">
        <f>IFERROR(__xludf.DUMMYFUNCTION("""COMPUTED_VALUE"""),"98134")</f>
        <v>98134</v>
      </c>
      <c r="F1582" s="1" t="str">
        <f>IFERROR(__xludf.DUMMYFUNCTION("""COMPUTED_VALUE"""),"King")</f>
        <v>King</v>
      </c>
      <c r="G1582" s="1" t="str">
        <f>IFERROR(__xludf.DUMMYFUNCTION("""COMPUTED_VALUE"""),"47.580997")</f>
        <v>47.580997</v>
      </c>
      <c r="H1582" s="1" t="str">
        <f>IFERROR(__xludf.DUMMYFUNCTION("""COMPUTED_VALUE"""),"-122.335686")</f>
        <v>-122.335686</v>
      </c>
      <c r="I1582" s="1" t="str">
        <f>IFERROR(__xludf.DUMMYFUNCTION("""COMPUTED_VALUE"""),"Proposed")</f>
        <v>Proposed</v>
      </c>
      <c r="J1582" s="1" t="str">
        <f>IFERROR(__xludf.DUMMYFUNCTION("""COMPUTED_VALUE"""),"High")</f>
        <v>High</v>
      </c>
      <c r="K1582" s="1" t="str">
        <f>IFERROR(__xludf.DUMMYFUNCTION("""COMPUTED_VALUE"""),"")</f>
        <v/>
      </c>
      <c r="L1582" s="1" t="str">
        <f>IFERROR(__xludf.DUMMYFUNCTION("""COMPUTED_VALUE"""),"Starbucks")</f>
        <v>Starbucks</v>
      </c>
      <c r="M1582" s="1" t="str">
        <f>IFERROR(__xludf.DUMMYFUNCTION("""COMPUTED_VALUE"""),"")</f>
        <v/>
      </c>
      <c r="N1582" s="1" t="str">
        <f>IFERROR(__xludf.DUMMYFUNCTION("""COMPUTED_VALUE"""),"20")</f>
        <v>20</v>
      </c>
      <c r="O1582" s="1" t="str">
        <f>IFERROR(__xludf.DUMMYFUNCTION("""COMPUTED_VALUE"""),"Medium (11-50 MW)")</f>
        <v>Medium (11-50 MW)</v>
      </c>
      <c r="P1582" s="1" t="str">
        <f>IFERROR(__xludf.DUMMYFUNCTION("""COMPUTED_VALUE"""),"")</f>
        <v/>
      </c>
      <c r="Q1582" s="1" t="str">
        <f>IFERROR(__xludf.DUMMYFUNCTION("""COMPUTED_VALUE"""),"")</f>
        <v/>
      </c>
      <c r="R1582" s="1" t="str">
        <f>IFERROR(__xludf.DUMMYFUNCTION("""COMPUTED_VALUE"""),"")</f>
        <v/>
      </c>
      <c r="S1582" s="1" t="str">
        <f>IFERROR(__xludf.DUMMYFUNCTION("""COMPUTED_VALUE"""),"")</f>
        <v/>
      </c>
      <c r="T1582" s="1" t="str">
        <f>IFERROR(__xludf.DUMMYFUNCTION("""COMPUTED_VALUE"""),"")</f>
        <v/>
      </c>
      <c r="U1582" s="1" t="str">
        <f>IFERROR(__xludf.DUMMYFUNCTION("""COMPUTED_VALUE"""),"")</f>
        <v/>
      </c>
      <c r="V1582" s="1" t="str">
        <f>IFERROR(__xludf.DUMMYFUNCTION("""COMPUTED_VALUE"""),"20,000")</f>
        <v>20,000</v>
      </c>
      <c r="W1582" s="1" t="str">
        <f>IFERROR(__xludf.DUMMYFUNCTION("""COMPUTED_VALUE"""),"")</f>
        <v/>
      </c>
      <c r="X1582" s="1" t="str">
        <f>IFERROR(__xludf.DUMMYFUNCTION("""COMPUTED_VALUE"""),"")</f>
        <v/>
      </c>
      <c r="Y1582" s="1" t="str">
        <f>IFERROR(__xludf.DUMMYFUNCTION("""COMPUTED_VALUE"""),"")</f>
        <v/>
      </c>
      <c r="Z1582" s="1" t="str">
        <f>IFERROR(__xludf.DUMMYFUNCTION("""COMPUTED_VALUE"""),"Unknown")</f>
        <v>Unknown</v>
      </c>
      <c r="AA1582" s="1" t="str">
        <f>IFERROR(__xludf.DUMMYFUNCTION("""COMPUTED_VALUE"""),"")</f>
        <v/>
      </c>
      <c r="AB1582" s="1" t="str">
        <f>IFERROR(__xludf.DUMMYFUNCTION("""COMPUTED_VALUE"""),"")</f>
        <v/>
      </c>
      <c r="AC1582" s="1" t="str">
        <f>IFERROR(__xludf.DUMMYFUNCTION("""COMPUTED_VALUE"""),"")</f>
        <v/>
      </c>
      <c r="AD1582" s="1" t="str">
        <f>IFERROR(__xludf.DUMMYFUNCTION("""COMPUTED_VALUE"""),"")</f>
        <v/>
      </c>
      <c r="AE1582" s="1" t="str">
        <f>IFERROR(__xludf.DUMMYFUNCTION("""COMPUTED_VALUE"""),"")</f>
        <v/>
      </c>
      <c r="AF1582" s="1" t="str">
        <f>IFERROR(__xludf.DUMMYFUNCTION("""COMPUTED_VALUE"""),"")</f>
        <v/>
      </c>
      <c r="AG1582" s="1" t="str">
        <f>IFERROR(__xludf.DUMMYFUNCTION("""COMPUTED_VALUE"""),"")</f>
        <v/>
      </c>
      <c r="AH1582" s="1" t="str">
        <f>IFERROR(__xludf.DUMMYFUNCTION("""COMPUTED_VALUE"""),"Media Monitoring")</f>
        <v>Media Monitoring</v>
      </c>
      <c r="AI1582" s="2" t="str">
        <f>IFERROR(__xludf.DUMMYFUNCTION("""COMPUTED_VALUE"""),"https://www.datacenterdynamics.com/en/news/20mw-data-center-proposed-in-starbucks-seattle-hq-building-in-washington/")</f>
        <v>https://www.datacenterdynamics.com/en/news/20mw-data-center-proposed-in-starbucks-seattle-hq-building-in-washington/</v>
      </c>
      <c r="AJ1582" s="1" t="str">
        <f>IFERROR(__xludf.DUMMYFUNCTION("""COMPUTED_VALUE"""),"")</f>
        <v/>
      </c>
      <c r="AK1582" s="1" t="str">
        <f>IFERROR(__xludf.DUMMYFUNCTION("""COMPUTED_VALUE"""),"")</f>
        <v/>
      </c>
      <c r="AL1582" s="1" t="str">
        <f>IFERROR(__xludf.DUMMYFUNCTION("""COMPUTED_VALUE"""),"")</f>
        <v/>
      </c>
      <c r="AM1582" s="1" t="str">
        <f>IFERROR(__xludf.DUMMYFUNCTION("""COMPUTED_VALUE"""),"")</f>
        <v/>
      </c>
      <c r="AN1582" s="1" t="str">
        <f>IFERROR(__xludf.DUMMYFUNCTION("""COMPUTED_VALUE"""),"")</f>
        <v/>
      </c>
      <c r="AO1582" s="1" t="str">
        <f>IFERROR(__xludf.DUMMYFUNCTION("""COMPUTED_VALUE"""),"")</f>
        <v/>
      </c>
      <c r="AP1582" s="1" t="str">
        <f>IFERROR(__xludf.DUMMYFUNCTION("""COMPUTED_VALUE"""),"")</f>
        <v/>
      </c>
      <c r="AQ1582" s="1" t="str">
        <f>IFERROR(__xludf.DUMMYFUNCTION("""COMPUTED_VALUE"""),"06/24/2026")</f>
        <v>06/24/2026</v>
      </c>
      <c r="AR1582" s="1" t="str">
        <f>IFERROR(__xludf.DUMMYFUNCTION("""COMPUTED_VALUE"""),"06/24/2026")</f>
        <v>06/24/2026</v>
      </c>
    </row>
    <row r="1583">
      <c r="A1583" s="1" t="str">
        <f>IFERROR(__xludf.DUMMYFUNCTION("""COMPUTED_VALUE"""),"TierPoint - Seattle Data Center")</f>
        <v>TierPoint - Seattle Data Center</v>
      </c>
      <c r="B1583" s="1" t="str">
        <f>IFERROR(__xludf.DUMMYFUNCTION("""COMPUTED_VALUE"""),"100 4th Ave N #400")</f>
        <v>100 4th Ave N #400</v>
      </c>
      <c r="C1583" s="1" t="str">
        <f>IFERROR(__xludf.DUMMYFUNCTION("""COMPUTED_VALUE"""),"Seattle")</f>
        <v>Seattle</v>
      </c>
      <c r="D1583" s="1" t="str">
        <f>IFERROR(__xludf.DUMMYFUNCTION("""COMPUTED_VALUE"""),"WA")</f>
        <v>WA</v>
      </c>
      <c r="E1583" s="1" t="str">
        <f>IFERROR(__xludf.DUMMYFUNCTION("""COMPUTED_VALUE"""),"98109")</f>
        <v>98109</v>
      </c>
      <c r="F1583" s="1" t="str">
        <f>IFERROR(__xludf.DUMMYFUNCTION("""COMPUTED_VALUE"""),"King")</f>
        <v>King</v>
      </c>
      <c r="G1583" s="1" t="str">
        <f>IFERROR(__xludf.DUMMYFUNCTION("""COMPUTED_VALUE"""),"47.61893")</f>
        <v>47.61893</v>
      </c>
      <c r="H1583" s="1" t="str">
        <f>IFERROR(__xludf.DUMMYFUNCTION("""COMPUTED_VALUE"""),"-122.349")</f>
        <v>-122.349</v>
      </c>
      <c r="I1583" s="1" t="str">
        <f>IFERROR(__xludf.DUMMYFUNCTION("""COMPUTED_VALUE"""),"Operating")</f>
        <v>Operating</v>
      </c>
      <c r="J1583" s="1" t="str">
        <f>IFERROR(__xludf.DUMMYFUNCTION("""COMPUTED_VALUE"""),"High")</f>
        <v>High</v>
      </c>
      <c r="K1583" s="1" t="str">
        <f>IFERROR(__xludf.DUMMYFUNCTION("""COMPUTED_VALUE"""),"")</f>
        <v/>
      </c>
      <c r="L1583" s="1" t="str">
        <f>IFERROR(__xludf.DUMMYFUNCTION("""COMPUTED_VALUE"""),"")</f>
        <v/>
      </c>
      <c r="M1583" s="1" t="str">
        <f>IFERROR(__xludf.DUMMYFUNCTION("""COMPUTED_VALUE"""),"")</f>
        <v/>
      </c>
      <c r="N1583" s="1" t="str">
        <f>IFERROR(__xludf.DUMMYFUNCTION("""COMPUTED_VALUE"""),"")</f>
        <v/>
      </c>
      <c r="O1583" s="1" t="str">
        <f>IFERROR(__xludf.DUMMYFUNCTION("""COMPUTED_VALUE"""),"Unknown")</f>
        <v>Unknown</v>
      </c>
      <c r="P1583" s="1" t="str">
        <f>IFERROR(__xludf.DUMMYFUNCTION("""COMPUTED_VALUE"""),"")</f>
        <v/>
      </c>
      <c r="Q1583" s="1" t="str">
        <f>IFERROR(__xludf.DUMMYFUNCTION("""COMPUTED_VALUE"""),"")</f>
        <v/>
      </c>
      <c r="R1583" s="1" t="str">
        <f>IFERROR(__xludf.DUMMYFUNCTION("""COMPUTED_VALUE"""),"")</f>
        <v/>
      </c>
      <c r="S1583" s="1" t="str">
        <f>IFERROR(__xludf.DUMMYFUNCTION("""COMPUTED_VALUE"""),"")</f>
        <v/>
      </c>
      <c r="T1583" s="1" t="str">
        <f>IFERROR(__xludf.DUMMYFUNCTION("""COMPUTED_VALUE"""),"")</f>
        <v/>
      </c>
      <c r="U1583" s="1" t="str">
        <f>IFERROR(__xludf.DUMMYFUNCTION("""COMPUTED_VALUE"""),"")</f>
        <v/>
      </c>
      <c r="V1583" s="1" t="str">
        <f>IFERROR(__xludf.DUMMYFUNCTION("""COMPUTED_VALUE"""),"")</f>
        <v/>
      </c>
      <c r="W1583" s="1" t="str">
        <f>IFERROR(__xludf.DUMMYFUNCTION("""COMPUTED_VALUE"""),"")</f>
        <v/>
      </c>
      <c r="X1583" s="1" t="str">
        <f>IFERROR(__xludf.DUMMYFUNCTION("""COMPUTED_VALUE"""),"")</f>
        <v/>
      </c>
      <c r="Y1583" s="1" t="str">
        <f>IFERROR(__xludf.DUMMYFUNCTION("""COMPUTED_VALUE"""),"")</f>
        <v/>
      </c>
      <c r="Z1583" s="1" t="str">
        <f>IFERROR(__xludf.DUMMYFUNCTION("""COMPUTED_VALUE"""),"Unknown")</f>
        <v>Unknown</v>
      </c>
      <c r="AA1583" s="1" t="str">
        <f>IFERROR(__xludf.DUMMYFUNCTION("""COMPUTED_VALUE"""),"")</f>
        <v/>
      </c>
      <c r="AB1583" s="1" t="str">
        <f>IFERROR(__xludf.DUMMYFUNCTION("""COMPUTED_VALUE"""),"")</f>
        <v/>
      </c>
      <c r="AC1583" s="1" t="str">
        <f>IFERROR(__xludf.DUMMYFUNCTION("""COMPUTED_VALUE"""),"")</f>
        <v/>
      </c>
      <c r="AD1583" s="1" t="str">
        <f>IFERROR(__xludf.DUMMYFUNCTION("""COMPUTED_VALUE"""),"")</f>
        <v/>
      </c>
      <c r="AE1583" s="1" t="str">
        <f>IFERROR(__xludf.DUMMYFUNCTION("""COMPUTED_VALUE"""),"")</f>
        <v/>
      </c>
      <c r="AF1583" s="1" t="str">
        <f>IFERROR(__xludf.DUMMYFUNCTION("""COMPUTED_VALUE"""),"")</f>
        <v/>
      </c>
      <c r="AG1583" s="1" t="str">
        <f>IFERROR(__xludf.DUMMYFUNCTION("""COMPUTED_VALUE"""),"")</f>
        <v/>
      </c>
      <c r="AH1583" s="1" t="str">
        <f>IFERROR(__xludf.DUMMYFUNCTION("""COMPUTED_VALUE"""),"Media Monitoring")</f>
        <v>Media Monitoring</v>
      </c>
      <c r="AI1583" s="1" t="str">
        <f>IFERROR(__xludf.DUMMYFUNCTION("""COMPUTED_VALUE"""),"")</f>
        <v/>
      </c>
      <c r="AJ1583" s="1" t="str">
        <f>IFERROR(__xludf.DUMMYFUNCTION("""COMPUTED_VALUE"""),"")</f>
        <v/>
      </c>
      <c r="AK1583" s="1" t="str">
        <f>IFERROR(__xludf.DUMMYFUNCTION("""COMPUTED_VALUE"""),"")</f>
        <v/>
      </c>
      <c r="AL1583" s="1" t="str">
        <f>IFERROR(__xludf.DUMMYFUNCTION("""COMPUTED_VALUE"""),"")</f>
        <v/>
      </c>
      <c r="AM1583" s="1" t="str">
        <f>IFERROR(__xludf.DUMMYFUNCTION("""COMPUTED_VALUE"""),"")</f>
        <v/>
      </c>
      <c r="AN1583" s="1" t="str">
        <f>IFERROR(__xludf.DUMMYFUNCTION("""COMPUTED_VALUE"""),"")</f>
        <v/>
      </c>
      <c r="AO1583" s="1" t="str">
        <f>IFERROR(__xludf.DUMMYFUNCTION("""COMPUTED_VALUE"""),"")</f>
        <v/>
      </c>
      <c r="AP1583" s="1" t="str">
        <f>IFERROR(__xludf.DUMMYFUNCTION("""COMPUTED_VALUE"""),"")</f>
        <v/>
      </c>
      <c r="AQ1583" s="1" t="str">
        <f>IFERROR(__xludf.DUMMYFUNCTION("""COMPUTED_VALUE"""),"08/14/2025")</f>
        <v>08/14/2025</v>
      </c>
      <c r="AR1583" s="1" t="str">
        <f>IFERROR(__xludf.DUMMYFUNCTION("""COMPUTED_VALUE"""),"08/14/2025")</f>
        <v>08/14/2025</v>
      </c>
    </row>
    <row r="1584">
      <c r="A1584" s="1" t="str">
        <f>IFERROR(__xludf.DUMMYFUNCTION("""COMPUTED_VALUE"""),"Centersquare Seattle Data Center (Tukwila 2)")</f>
        <v>Centersquare Seattle Data Center (Tukwila 2)</v>
      </c>
      <c r="B1584" s="1" t="str">
        <f>IFERROR(__xludf.DUMMYFUNCTION("""COMPUTED_VALUE"""),"6101 S 180th St")</f>
        <v>6101 S 180th St</v>
      </c>
      <c r="C1584" s="1" t="str">
        <f>IFERROR(__xludf.DUMMYFUNCTION("""COMPUTED_VALUE"""),"Tukwila")</f>
        <v>Tukwila</v>
      </c>
      <c r="D1584" s="1" t="str">
        <f>IFERROR(__xludf.DUMMYFUNCTION("""COMPUTED_VALUE"""),"WA")</f>
        <v>WA</v>
      </c>
      <c r="E1584" s="1" t="str">
        <f>IFERROR(__xludf.DUMMYFUNCTION("""COMPUTED_VALUE"""),"98188")</f>
        <v>98188</v>
      </c>
      <c r="F1584" s="1" t="str">
        <f>IFERROR(__xludf.DUMMYFUNCTION("""COMPUTED_VALUE"""),"King")</f>
        <v>King</v>
      </c>
      <c r="G1584" s="1" t="str">
        <f>IFERROR(__xludf.DUMMYFUNCTION("""COMPUTED_VALUE"""),"47.44046")</f>
        <v>47.44046</v>
      </c>
      <c r="H1584" s="1" t="str">
        <f>IFERROR(__xludf.DUMMYFUNCTION("""COMPUTED_VALUE"""),"-122.256")</f>
        <v>-122.256</v>
      </c>
      <c r="I1584" s="1" t="str">
        <f>IFERROR(__xludf.DUMMYFUNCTION("""COMPUTED_VALUE"""),"Operating")</f>
        <v>Operating</v>
      </c>
      <c r="J1584" s="1" t="str">
        <f>IFERROR(__xludf.DUMMYFUNCTION("""COMPUTED_VALUE"""),"High")</f>
        <v>High</v>
      </c>
      <c r="K1584" s="1" t="str">
        <f>IFERROR(__xludf.DUMMYFUNCTION("""COMPUTED_VALUE"""),"")</f>
        <v/>
      </c>
      <c r="L1584" s="1" t="str">
        <f>IFERROR(__xludf.DUMMYFUNCTION("""COMPUTED_VALUE"""),"")</f>
        <v/>
      </c>
      <c r="M1584" s="1" t="str">
        <f>IFERROR(__xludf.DUMMYFUNCTION("""COMPUTED_VALUE"""),"")</f>
        <v/>
      </c>
      <c r="N1584" s="1" t="str">
        <f>IFERROR(__xludf.DUMMYFUNCTION("""COMPUTED_VALUE"""),"")</f>
        <v/>
      </c>
      <c r="O1584" s="1" t="str">
        <f>IFERROR(__xludf.DUMMYFUNCTION("""COMPUTED_VALUE"""),"Unknown")</f>
        <v>Unknown</v>
      </c>
      <c r="P1584" s="1" t="str">
        <f>IFERROR(__xludf.DUMMYFUNCTION("""COMPUTED_VALUE"""),"")</f>
        <v/>
      </c>
      <c r="Q1584" s="1" t="str">
        <f>IFERROR(__xludf.DUMMYFUNCTION("""COMPUTED_VALUE"""),"")</f>
        <v/>
      </c>
      <c r="R1584" s="1" t="str">
        <f>IFERROR(__xludf.DUMMYFUNCTION("""COMPUTED_VALUE"""),"")</f>
        <v/>
      </c>
      <c r="S1584" s="1" t="str">
        <f>IFERROR(__xludf.DUMMYFUNCTION("""COMPUTED_VALUE"""),"")</f>
        <v/>
      </c>
      <c r="T1584" s="1" t="str">
        <f>IFERROR(__xludf.DUMMYFUNCTION("""COMPUTED_VALUE"""),"")</f>
        <v/>
      </c>
      <c r="U1584" s="1" t="str">
        <f>IFERROR(__xludf.DUMMYFUNCTION("""COMPUTED_VALUE"""),"")</f>
        <v/>
      </c>
      <c r="V1584" s="1" t="str">
        <f>IFERROR(__xludf.DUMMYFUNCTION("""COMPUTED_VALUE"""),"")</f>
        <v/>
      </c>
      <c r="W1584" s="1" t="str">
        <f>IFERROR(__xludf.DUMMYFUNCTION("""COMPUTED_VALUE"""),"")</f>
        <v/>
      </c>
      <c r="X1584" s="1" t="str">
        <f>IFERROR(__xludf.DUMMYFUNCTION("""COMPUTED_VALUE"""),"")</f>
        <v/>
      </c>
      <c r="Y1584" s="1" t="str">
        <f>IFERROR(__xludf.DUMMYFUNCTION("""COMPUTED_VALUE"""),"")</f>
        <v/>
      </c>
      <c r="Z1584" s="1" t="str">
        <f>IFERROR(__xludf.DUMMYFUNCTION("""COMPUTED_VALUE"""),"Unknown")</f>
        <v>Unknown</v>
      </c>
      <c r="AA1584" s="1" t="str">
        <f>IFERROR(__xludf.DUMMYFUNCTION("""COMPUTED_VALUE"""),"")</f>
        <v/>
      </c>
      <c r="AB1584" s="1" t="str">
        <f>IFERROR(__xludf.DUMMYFUNCTION("""COMPUTED_VALUE"""),"")</f>
        <v/>
      </c>
      <c r="AC1584" s="1" t="str">
        <f>IFERROR(__xludf.DUMMYFUNCTION("""COMPUTED_VALUE"""),"")</f>
        <v/>
      </c>
      <c r="AD1584" s="1" t="str">
        <f>IFERROR(__xludf.DUMMYFUNCTION("""COMPUTED_VALUE"""),"")</f>
        <v/>
      </c>
      <c r="AE1584" s="1" t="str">
        <f>IFERROR(__xludf.DUMMYFUNCTION("""COMPUTED_VALUE"""),"")</f>
        <v/>
      </c>
      <c r="AF1584" s="1" t="str">
        <f>IFERROR(__xludf.DUMMYFUNCTION("""COMPUTED_VALUE"""),"")</f>
        <v/>
      </c>
      <c r="AG1584" s="1" t="str">
        <f>IFERROR(__xludf.DUMMYFUNCTION("""COMPUTED_VALUE"""),"")</f>
        <v/>
      </c>
      <c r="AH1584" s="1" t="str">
        <f>IFERROR(__xludf.DUMMYFUNCTION("""COMPUTED_VALUE"""),"Media Monitoring")</f>
        <v>Media Monitoring</v>
      </c>
      <c r="AI1584" s="1" t="str">
        <f>IFERROR(__xludf.DUMMYFUNCTION("""COMPUTED_VALUE"""),"")</f>
        <v/>
      </c>
      <c r="AJ1584" s="1" t="str">
        <f>IFERROR(__xludf.DUMMYFUNCTION("""COMPUTED_VALUE"""),"")</f>
        <v/>
      </c>
      <c r="AK1584" s="1" t="str">
        <f>IFERROR(__xludf.DUMMYFUNCTION("""COMPUTED_VALUE"""),"")</f>
        <v/>
      </c>
      <c r="AL1584" s="1" t="str">
        <f>IFERROR(__xludf.DUMMYFUNCTION("""COMPUTED_VALUE"""),"")</f>
        <v/>
      </c>
      <c r="AM1584" s="1" t="str">
        <f>IFERROR(__xludf.DUMMYFUNCTION("""COMPUTED_VALUE"""),"")</f>
        <v/>
      </c>
      <c r="AN1584" s="1" t="str">
        <f>IFERROR(__xludf.DUMMYFUNCTION("""COMPUTED_VALUE"""),"")</f>
        <v/>
      </c>
      <c r="AO1584" s="1" t="str">
        <f>IFERROR(__xludf.DUMMYFUNCTION("""COMPUTED_VALUE"""),"")</f>
        <v/>
      </c>
      <c r="AP1584" s="1" t="str">
        <f>IFERROR(__xludf.DUMMYFUNCTION("""COMPUTED_VALUE"""),"")</f>
        <v/>
      </c>
      <c r="AQ1584" s="1" t="str">
        <f>IFERROR(__xludf.DUMMYFUNCTION("""COMPUTED_VALUE"""),"08/14/2025")</f>
        <v>08/14/2025</v>
      </c>
      <c r="AR1584" s="1" t="str">
        <f>IFERROR(__xludf.DUMMYFUNCTION("""COMPUTED_VALUE"""),"08/14/2025")</f>
        <v>08/14/2025</v>
      </c>
    </row>
    <row r="1585">
      <c r="A1585" s="1" t="str">
        <f>IFERROR(__xludf.DUMMYFUNCTION("""COMPUTED_VALUE"""),"Beaver Dam Meta Data Center")</f>
        <v>Beaver Dam Meta Data Center</v>
      </c>
      <c r="B1585" s="1" t="str">
        <f>IFERROR(__xludf.DUMMYFUNCTION("""COMPUTED_VALUE"""),"8715–8773 County Road A")</f>
        <v>8715–8773 County Road A</v>
      </c>
      <c r="C1585" s="1" t="str">
        <f>IFERROR(__xludf.DUMMYFUNCTION("""COMPUTED_VALUE"""),"Beaver Dam")</f>
        <v>Beaver Dam</v>
      </c>
      <c r="D1585" s="1" t="str">
        <f>IFERROR(__xludf.DUMMYFUNCTION("""COMPUTED_VALUE"""),"WI")</f>
        <v>WI</v>
      </c>
      <c r="E1585" s="1" t="str">
        <f>IFERROR(__xludf.DUMMYFUNCTION("""COMPUTED_VALUE"""),"53916")</f>
        <v>53916</v>
      </c>
      <c r="F1585" s="1" t="str">
        <f>IFERROR(__xludf.DUMMYFUNCTION("""COMPUTED_VALUE"""),"Dodge")</f>
        <v>Dodge</v>
      </c>
      <c r="G1585" s="1" t="str">
        <f>IFERROR(__xludf.DUMMYFUNCTION("""COMPUTED_VALUE"""),"43.51469")</f>
        <v>43.51469</v>
      </c>
      <c r="H1585" s="1" t="str">
        <f>IFERROR(__xludf.DUMMYFUNCTION("""COMPUTED_VALUE"""),"-88.8214")</f>
        <v>-88.8214</v>
      </c>
      <c r="I1585" s="1" t="str">
        <f>IFERROR(__xludf.DUMMYFUNCTION("""COMPUTED_VALUE"""),"Approved/Permitted/Under construction")</f>
        <v>Approved/Permitted/Under construction</v>
      </c>
      <c r="J1585" s="1" t="str">
        <f>IFERROR(__xludf.DUMMYFUNCTION("""COMPUTED_VALUE"""),"Medium")</f>
        <v>Medium</v>
      </c>
      <c r="K1585" s="1" t="str">
        <f>IFERROR(__xludf.DUMMYFUNCTION("""COMPUTED_VALUE"""),"AI")</f>
        <v>AI</v>
      </c>
      <c r="L1585" s="1" t="str">
        <f>IFERROR(__xludf.DUMMYFUNCTION("""COMPUTED_VALUE"""),"Meta")</f>
        <v>Meta</v>
      </c>
      <c r="M1585" s="1" t="str">
        <f>IFERROR(__xludf.DUMMYFUNCTION("""COMPUTED_VALUE"""),"")</f>
        <v/>
      </c>
      <c r="N1585" s="1" t="str">
        <f>IFERROR(__xludf.DUMMYFUNCTION("""COMPUTED_VALUE"""),"")</f>
        <v/>
      </c>
      <c r="O1585" s="1" t="str">
        <f>IFERROR(__xludf.DUMMYFUNCTION("""COMPUTED_VALUE"""),"Hyperscale (100-999 MW)")</f>
        <v>Hyperscale (100-999 MW)</v>
      </c>
      <c r="P1585" s="1" t="str">
        <f>IFERROR(__xludf.DUMMYFUNCTION("""COMPUTED_VALUE"""),"Grid (unspecified mix)")</f>
        <v>Grid (unspecified mix)</v>
      </c>
      <c r="Q1585" s="1" t="str">
        <f>IFERROR(__xludf.DUMMYFUNCTION("""COMPUTED_VALUE"""),"")</f>
        <v/>
      </c>
      <c r="R1585" s="1" t="str">
        <f>IFERROR(__xludf.DUMMYFUNCTION("""COMPUTED_VALUE"""),"")</f>
        <v/>
      </c>
      <c r="S1585" s="1" t="str">
        <f>IFERROR(__xludf.DUMMYFUNCTION("""COMPUTED_VALUE"""),"")</f>
        <v/>
      </c>
      <c r="T1585" s="1" t="str">
        <f>IFERROR(__xludf.DUMMYFUNCTION("""COMPUTED_VALUE"""),"Air")</f>
        <v>Air</v>
      </c>
      <c r="U1585" s="1" t="str">
        <f>IFERROR(__xludf.DUMMYFUNCTION("""COMPUTED_VALUE"""),"")</f>
        <v/>
      </c>
      <c r="V1585" s="1" t="str">
        <f>IFERROR(__xludf.DUMMYFUNCTION("""COMPUTED_VALUE"""),"700,000")</f>
        <v>700,000</v>
      </c>
      <c r="W1585" s="1" t="str">
        <f>IFERROR(__xludf.DUMMYFUNCTION("""COMPUTED_VALUE"""),"520")</f>
        <v>520</v>
      </c>
      <c r="X1585" s="1" t="str">
        <f>IFERROR(__xludf.DUMMYFUNCTION("""COMPUTED_VALUE"""),"$1 billion +")</f>
        <v>$1 billion +</v>
      </c>
      <c r="Y1585" s="1" t="str">
        <f>IFERROR(__xludf.DUMMYFUNCTION("""COMPUTED_VALUE"""),"2027")</f>
        <v>2027</v>
      </c>
      <c r="Z1585" s="1" t="str">
        <f>IFERROR(__xludf.DUMMYFUNCTION("""COMPUTED_VALUE"""),"Yes")</f>
        <v>Yes</v>
      </c>
      <c r="AA1585" s="1" t="str">
        <f>IFERROR(__xludf.DUMMYFUNCTION("""COMPUTED_VALUE"""),"")</f>
        <v/>
      </c>
      <c r="AB1585" s="1" t="str">
        <f>IFERROR(__xludf.DUMMYFUNCTION("""COMPUTED_VALUE"""),"")</f>
        <v/>
      </c>
      <c r="AC1585" s="1" t="str">
        <f>IFERROR(__xludf.DUMMYFUNCTION("""COMPUTED_VALUE"""),"")</f>
        <v/>
      </c>
      <c r="AD1585" s="2" t="str">
        <f>IFERROR(__xludf.DUMMYFUNCTION("""COMPUTED_VALUE"""),"https://www.facebook.com/groups/24901633966193019")</f>
        <v>https://www.facebook.com/groups/24901633966193019</v>
      </c>
      <c r="AE1585" s="1" t="str">
        <f>IFERROR(__xludf.DUMMYFUNCTION("""COMPUTED_VALUE"""),"")</f>
        <v/>
      </c>
      <c r="AF1585" s="1" t="str">
        <f>IFERROR(__xludf.DUMMYFUNCTION("""COMPUTED_VALUE"""),"")</f>
        <v/>
      </c>
      <c r="AG1585" s="1" t="str">
        <f>IFERROR(__xludf.DUMMYFUNCTION("""COMPUTED_VALUE"""),"")</f>
        <v/>
      </c>
      <c r="AH1585" s="1" t="str">
        <f>IFERROR(__xludf.DUMMYFUNCTION("""COMPUTED_VALUE"""),"Media Monitoring")</f>
        <v>Media Monitoring</v>
      </c>
      <c r="AI1585" s="2" t="str">
        <f>IFERROR(__xludf.DUMMYFUNCTION("""COMPUTED_VALUE"""),"https://www.datacenterdynamics.com/en/news/520-acre-data-center-campus-planned-in-beaver-dam-wisconsin/")</f>
        <v>https://www.datacenterdynamics.com/en/news/520-acre-data-center-campus-planned-in-beaver-dam-wisconsin/</v>
      </c>
      <c r="AJ1585" s="2" t="str">
        <f>IFERROR(__xludf.DUMMYFUNCTION("""COMPUTED_VALUE"""),"https://www.tmj4.com/news/dodge-county/its-really-scary-beaver-dam-residents-raise-water-concerns-about-metas-ai-data-center")</f>
        <v>https://www.tmj4.com/news/dodge-county/its-really-scary-beaver-dam-residents-raise-water-concerns-about-metas-ai-data-center</v>
      </c>
      <c r="AK1585" s="2" t="str">
        <f>IFERROR(__xludf.DUMMYFUNCTION("""COMPUTED_VALUE"""),"https://about.fb.com/news/2025/11/metas-30th-data-center-delivering-ai-supporting-wetlands-restoration/")</f>
        <v>https://about.fb.com/news/2025/11/metas-30th-data-center-delivering-ai-supporting-wetlands-restoration/</v>
      </c>
      <c r="AL1585" s="2" t="str">
        <f>IFERROR(__xludf.DUMMYFUNCTION("""COMPUTED_VALUE"""),"https://www.newsbreak.com/jim-delillo-1721389/4350500248657-a-1-billion-warning-meta-s-new-wisconsin-ai-data-center-could-change-beaver-dam-forever")</f>
        <v>https://www.newsbreak.com/jim-delillo-1721389/4350500248657-a-1-billion-warning-meta-s-new-wisconsin-ai-data-center-could-change-beaver-dam-forever</v>
      </c>
      <c r="AM1585" s="2" t="str">
        <f>IFERROR(__xludf.DUMMYFUNCTION("""COMPUTED_VALUE"""),"https://www.widatacenterfacts.org/communities/beaver-dam")</f>
        <v>https://www.widatacenterfacts.org/communities/beaver-dam</v>
      </c>
      <c r="AN1585" s="2" t="str">
        <f>IFERROR(__xludf.DUMMYFUNCTION("""COMPUTED_VALUE"""),"https://www.jsonline.com/story/news/environment/2025/12/10/suit-demands-energy-use-projections-at-metas-beaver-dam-data-center/87703071007/")</f>
        <v>https://www.jsonline.com/story/news/environment/2025/12/10/suit-demands-energy-use-projections-at-metas-beaver-dam-data-center/87703071007/</v>
      </c>
      <c r="AO1585" s="2" t="str">
        <f>IFERROR(__xludf.DUMMYFUNCTION("""COMPUTED_VALUE"""),"https://www.datacenterdynamics.com/en/news/real-estate-developer-panattoni-takes-over-meta-backed-data-center-proposal-in-southern-wisconsin/")</f>
        <v>https://www.datacenterdynamics.com/en/news/real-estate-developer-panattoni-takes-over-meta-backed-data-center-proposal-in-southern-wisconsin/</v>
      </c>
      <c r="AP1585" s="1" t="str">
        <f>IFERROR(__xludf.DUMMYFUNCTION("""COMPUTED_VALUE"""),"")</f>
        <v/>
      </c>
      <c r="AQ1585" s="1" t="str">
        <f>IFERROR(__xludf.DUMMYFUNCTION("""COMPUTED_VALUE"""),"05/28/2025")</f>
        <v>05/28/2025</v>
      </c>
      <c r="AR1585" s="1" t="str">
        <f>IFERROR(__xludf.DUMMYFUNCTION("""COMPUTED_VALUE"""),"05/20/2026")</f>
        <v>05/20/2026</v>
      </c>
    </row>
    <row r="1586">
      <c r="A1586" s="1" t="str">
        <f>IFERROR(__xludf.DUMMYFUNCTION("""COMPUTED_VALUE"""),"Edge Data Center")</f>
        <v>Edge Data Center</v>
      </c>
      <c r="B1586" s="1" t="str">
        <f>IFERROR(__xludf.DUMMYFUNCTION("""COMPUTED_VALUE"""),"Hwy 151 and Hemlock Rd")</f>
        <v>Hwy 151 and Hemlock Rd</v>
      </c>
      <c r="C1586" s="1" t="str">
        <f>IFERROR(__xludf.DUMMYFUNCTION("""COMPUTED_VALUE"""),"Beaver Dam")</f>
        <v>Beaver Dam</v>
      </c>
      <c r="D1586" s="1" t="str">
        <f>IFERROR(__xludf.DUMMYFUNCTION("""COMPUTED_VALUE"""),"WI")</f>
        <v>WI</v>
      </c>
      <c r="E1586" s="1" t="str">
        <f>IFERROR(__xludf.DUMMYFUNCTION("""COMPUTED_VALUE"""),"53916")</f>
        <v>53916</v>
      </c>
      <c r="F1586" s="1" t="str">
        <f>IFERROR(__xludf.DUMMYFUNCTION("""COMPUTED_VALUE"""),"Dodge")</f>
        <v>Dodge</v>
      </c>
      <c r="G1586" s="1" t="str">
        <f>IFERROR(__xludf.DUMMYFUNCTION("""COMPUTED_VALUE"""),"43.502884")</f>
        <v>43.502884</v>
      </c>
      <c r="H1586" s="1" t="str">
        <f>IFERROR(__xludf.DUMMYFUNCTION("""COMPUTED_VALUE"""),"-88.8095")</f>
        <v>-88.8095</v>
      </c>
      <c r="I1586" s="1" t="str">
        <f>IFERROR(__xludf.DUMMYFUNCTION("""COMPUTED_VALUE"""),"Proposed")</f>
        <v>Proposed</v>
      </c>
      <c r="J1586" s="1" t="str">
        <f>IFERROR(__xludf.DUMMYFUNCTION("""COMPUTED_VALUE"""),"Medium")</f>
        <v>Medium</v>
      </c>
      <c r="K1586" s="1" t="str">
        <f>IFERROR(__xludf.DUMMYFUNCTION("""COMPUTED_VALUE"""),"")</f>
        <v/>
      </c>
      <c r="L1586" s="1" t="str">
        <f>IFERROR(__xludf.DUMMYFUNCTION("""COMPUTED_VALUE"""),"")</f>
        <v/>
      </c>
      <c r="M1586" s="1" t="str">
        <f>IFERROR(__xludf.DUMMYFUNCTION("""COMPUTED_VALUE"""),"")</f>
        <v/>
      </c>
      <c r="N1586" s="1" t="str">
        <f>IFERROR(__xludf.DUMMYFUNCTION("""COMPUTED_VALUE"""),"")</f>
        <v/>
      </c>
      <c r="O1586" s="1" t="str">
        <f>IFERROR(__xludf.DUMMYFUNCTION("""COMPUTED_VALUE"""),"Unknown")</f>
        <v>Unknown</v>
      </c>
      <c r="P1586" s="1" t="str">
        <f>IFERROR(__xludf.DUMMYFUNCTION("""COMPUTED_VALUE"""),"")</f>
        <v/>
      </c>
      <c r="Q1586" s="1" t="str">
        <f>IFERROR(__xludf.DUMMYFUNCTION("""COMPUTED_VALUE"""),"")</f>
        <v/>
      </c>
      <c r="R1586" s="1" t="str">
        <f>IFERROR(__xludf.DUMMYFUNCTION("""COMPUTED_VALUE"""),"")</f>
        <v/>
      </c>
      <c r="S1586" s="1" t="str">
        <f>IFERROR(__xludf.DUMMYFUNCTION("""COMPUTED_VALUE"""),"")</f>
        <v/>
      </c>
      <c r="T1586" s="1" t="str">
        <f>IFERROR(__xludf.DUMMYFUNCTION("""COMPUTED_VALUE"""),"")</f>
        <v/>
      </c>
      <c r="U1586" s="1" t="str">
        <f>IFERROR(__xludf.DUMMYFUNCTION("""COMPUTED_VALUE"""),"")</f>
        <v/>
      </c>
      <c r="V1586" s="1" t="str">
        <f>IFERROR(__xludf.DUMMYFUNCTION("""COMPUTED_VALUE"""),"90,000")</f>
        <v>90,000</v>
      </c>
      <c r="W1586" s="1" t="str">
        <f>IFERROR(__xludf.DUMMYFUNCTION("""COMPUTED_VALUE"""),"13")</f>
        <v>13</v>
      </c>
      <c r="X1586" s="1" t="str">
        <f>IFERROR(__xludf.DUMMYFUNCTION("""COMPUTED_VALUE"""),"")</f>
        <v/>
      </c>
      <c r="Y1586" s="1" t="str">
        <f>IFERROR(__xludf.DUMMYFUNCTION("""COMPUTED_VALUE"""),"")</f>
        <v/>
      </c>
      <c r="Z1586" s="1" t="str">
        <f>IFERROR(__xludf.DUMMYFUNCTION("""COMPUTED_VALUE"""),"Unknown")</f>
        <v>Unknown</v>
      </c>
      <c r="AA1586" s="1" t="str">
        <f>IFERROR(__xludf.DUMMYFUNCTION("""COMPUTED_VALUE"""),"")</f>
        <v/>
      </c>
      <c r="AB1586" s="1" t="str">
        <f>IFERROR(__xludf.DUMMYFUNCTION("""COMPUTED_VALUE"""),"")</f>
        <v/>
      </c>
      <c r="AC1586" s="1" t="str">
        <f>IFERROR(__xludf.DUMMYFUNCTION("""COMPUTED_VALUE"""),"")</f>
        <v/>
      </c>
      <c r="AD1586" s="1" t="str">
        <f>IFERROR(__xludf.DUMMYFUNCTION("""COMPUTED_VALUE"""),"")</f>
        <v/>
      </c>
      <c r="AE1586" s="1" t="str">
        <f>IFERROR(__xludf.DUMMYFUNCTION("""COMPUTED_VALUE"""),"")</f>
        <v/>
      </c>
      <c r="AF1586" s="1" t="str">
        <f>IFERROR(__xludf.DUMMYFUNCTION("""COMPUTED_VALUE"""),"")</f>
        <v/>
      </c>
      <c r="AG1586" s="1" t="str">
        <f>IFERROR(__xludf.DUMMYFUNCTION("""COMPUTED_VALUE"""),"")</f>
        <v/>
      </c>
      <c r="AH1586" s="1" t="str">
        <f>IFERROR(__xludf.DUMMYFUNCTION("""COMPUTED_VALUE"""),"Media Monitoring")</f>
        <v>Media Monitoring</v>
      </c>
      <c r="AI1586" s="2" t="str">
        <f>IFERROR(__xludf.DUMMYFUNCTION("""COMPUTED_VALUE"""),"https://www.datacenterdynamics.com/en/news/oppidan-targets-edge-data-center-in-beaver-dam-wisconsin/")</f>
        <v>https://www.datacenterdynamics.com/en/news/oppidan-targets-edge-data-center-in-beaver-dam-wisconsin/</v>
      </c>
      <c r="AJ1586" s="1" t="str">
        <f>IFERROR(__xludf.DUMMYFUNCTION("""COMPUTED_VALUE"""),"")</f>
        <v/>
      </c>
      <c r="AK1586" s="1" t="str">
        <f>IFERROR(__xludf.DUMMYFUNCTION("""COMPUTED_VALUE"""),"")</f>
        <v/>
      </c>
      <c r="AL1586" s="1" t="str">
        <f>IFERROR(__xludf.DUMMYFUNCTION("""COMPUTED_VALUE"""),"")</f>
        <v/>
      </c>
      <c r="AM1586" s="1" t="str">
        <f>IFERROR(__xludf.DUMMYFUNCTION("""COMPUTED_VALUE"""),"")</f>
        <v/>
      </c>
      <c r="AN1586" s="1" t="str">
        <f>IFERROR(__xludf.DUMMYFUNCTION("""COMPUTED_VALUE"""),"")</f>
        <v/>
      </c>
      <c r="AO1586" s="1" t="str">
        <f>IFERROR(__xludf.DUMMYFUNCTION("""COMPUTED_VALUE"""),"")</f>
        <v/>
      </c>
      <c r="AP1586" s="1" t="str">
        <f>IFERROR(__xludf.DUMMYFUNCTION("""COMPUTED_VALUE"""),"")</f>
        <v/>
      </c>
      <c r="AQ1586" s="1" t="str">
        <f>IFERROR(__xludf.DUMMYFUNCTION("""COMPUTED_VALUE"""),"03/04/2026")</f>
        <v>03/04/2026</v>
      </c>
      <c r="AR1586" s="1" t="str">
        <f>IFERROR(__xludf.DUMMYFUNCTION("""COMPUTED_VALUE"""),"03/04/2026")</f>
        <v>03/04/2026</v>
      </c>
    </row>
    <row r="1587">
      <c r="A1587" s="1" t="str">
        <f>IFERROR(__xludf.DUMMYFUNCTION("""COMPUTED_VALUE"""),"Meta Data Center")</f>
        <v>Meta Data Center</v>
      </c>
      <c r="B1587" s="1" t="str">
        <f>IFERROR(__xludf.DUMMYFUNCTION("""COMPUTED_VALUE"""),"between Town Line Rd, South Prairie Ave, and East Philhower Rd")</f>
        <v>between Town Line Rd, South Prairie Ave, and East Philhower Rd</v>
      </c>
      <c r="C1587" s="1" t="str">
        <f>IFERROR(__xludf.DUMMYFUNCTION("""COMPUTED_VALUE"""),"Beloit")</f>
        <v>Beloit</v>
      </c>
      <c r="D1587" s="1" t="str">
        <f>IFERROR(__xludf.DUMMYFUNCTION("""COMPUTED_VALUE"""),"WI")</f>
        <v>WI</v>
      </c>
      <c r="E1587" s="1" t="str">
        <f>IFERROR(__xludf.DUMMYFUNCTION("""COMPUTED_VALUE"""),"53511")</f>
        <v>53511</v>
      </c>
      <c r="F1587" s="1" t="str">
        <f>IFERROR(__xludf.DUMMYFUNCTION("""COMPUTED_VALUE"""),"Rock")</f>
        <v>Rock</v>
      </c>
      <c r="G1587" s="1" t="str">
        <f>IFERROR(__xludf.DUMMYFUNCTION("""COMPUTED_VALUE"""),"42.57651")</f>
        <v>42.57651</v>
      </c>
      <c r="H1587" s="1" t="str">
        <f>IFERROR(__xludf.DUMMYFUNCTION("""COMPUTED_VALUE"""),"-88.99512")</f>
        <v>-88.99512</v>
      </c>
      <c r="I1587" s="1" t="str">
        <f>IFERROR(__xludf.DUMMYFUNCTION("""COMPUTED_VALUE"""),"Proposed")</f>
        <v>Proposed</v>
      </c>
      <c r="J1587" s="1" t="str">
        <f>IFERROR(__xludf.DUMMYFUNCTION("""COMPUTED_VALUE"""),"High")</f>
        <v>High</v>
      </c>
      <c r="K1587" s="1" t="str">
        <f>IFERROR(__xludf.DUMMYFUNCTION("""COMPUTED_VALUE"""),"")</f>
        <v/>
      </c>
      <c r="L1587" s="1" t="str">
        <f>IFERROR(__xludf.DUMMYFUNCTION("""COMPUTED_VALUE"""),"Meta")</f>
        <v>Meta</v>
      </c>
      <c r="M1587" s="1" t="str">
        <f>IFERROR(__xludf.DUMMYFUNCTION("""COMPUTED_VALUE"""),"")</f>
        <v/>
      </c>
      <c r="N1587" s="1" t="str">
        <f>IFERROR(__xludf.DUMMYFUNCTION("""COMPUTED_VALUE"""),"")</f>
        <v/>
      </c>
      <c r="O1587" s="1" t="str">
        <f>IFERROR(__xludf.DUMMYFUNCTION("""COMPUTED_VALUE"""),"Unknown")</f>
        <v>Unknown</v>
      </c>
      <c r="P1587" s="1" t="str">
        <f>IFERROR(__xludf.DUMMYFUNCTION("""COMPUTED_VALUE"""),"")</f>
        <v/>
      </c>
      <c r="Q1587" s="1" t="str">
        <f>IFERROR(__xludf.DUMMYFUNCTION("""COMPUTED_VALUE"""),"")</f>
        <v/>
      </c>
      <c r="R1587" s="1" t="str">
        <f>IFERROR(__xludf.DUMMYFUNCTION("""COMPUTED_VALUE"""),"")</f>
        <v/>
      </c>
      <c r="S1587" s="1" t="str">
        <f>IFERROR(__xludf.DUMMYFUNCTION("""COMPUTED_VALUE"""),"")</f>
        <v/>
      </c>
      <c r="T1587" s="1" t="str">
        <f>IFERROR(__xludf.DUMMYFUNCTION("""COMPUTED_VALUE"""),"")</f>
        <v/>
      </c>
      <c r="U1587" s="1" t="str">
        <f>IFERROR(__xludf.DUMMYFUNCTION("""COMPUTED_VALUE"""),"")</f>
        <v/>
      </c>
      <c r="V1587" s="1" t="str">
        <f>IFERROR(__xludf.DUMMYFUNCTION("""COMPUTED_VALUE"""),"")</f>
        <v/>
      </c>
      <c r="W1587" s="1" t="str">
        <f>IFERROR(__xludf.DUMMYFUNCTION("""COMPUTED_VALUE"""),"430")</f>
        <v>430</v>
      </c>
      <c r="X1587" s="1" t="str">
        <f>IFERROR(__xludf.DUMMYFUNCTION("""COMPUTED_VALUE"""),"")</f>
        <v/>
      </c>
      <c r="Y1587" s="1" t="str">
        <f>IFERROR(__xludf.DUMMYFUNCTION("""COMPUTED_VALUE"""),"")</f>
        <v/>
      </c>
      <c r="Z1587" s="1" t="str">
        <f>IFERROR(__xludf.DUMMYFUNCTION("""COMPUTED_VALUE"""),"Yes")</f>
        <v>Yes</v>
      </c>
      <c r="AA1587" s="1" t="str">
        <f>IFERROR(__xludf.DUMMYFUNCTION("""COMPUTED_VALUE"""),"")</f>
        <v/>
      </c>
      <c r="AB1587" s="1" t="str">
        <f>IFERROR(__xludf.DUMMYFUNCTION("""COMPUTED_VALUE"""),"Emerging Concern")</f>
        <v>Emerging Concern</v>
      </c>
      <c r="AC1587" s="1" t="str">
        <f>IFERROR(__xludf.DUMMYFUNCTION("""COMPUTED_VALUE"""),"")</f>
        <v/>
      </c>
      <c r="AD1587" s="2" t="str">
        <f>IFERROR(__xludf.DUMMYFUNCTION("""COMPUTED_VALUE"""),"https://www.facebook.com/groups/1347060293852060/")</f>
        <v>https://www.facebook.com/groups/1347060293852060/</v>
      </c>
      <c r="AE1587" s="1" t="str">
        <f>IFERROR(__xludf.DUMMYFUNCTION("""COMPUTED_VALUE"""),"")</f>
        <v/>
      </c>
      <c r="AF1587" s="1" t="str">
        <f>IFERROR(__xludf.DUMMYFUNCTION("""COMPUTED_VALUE"""),"")</f>
        <v/>
      </c>
      <c r="AG1587" s="1" t="str">
        <f>IFERROR(__xludf.DUMMYFUNCTION("""COMPUTED_VALUE"""),"")</f>
        <v/>
      </c>
      <c r="AH1587" s="1" t="str">
        <f>IFERROR(__xludf.DUMMYFUNCTION("""COMPUTED_VALUE"""),"Media Monitoring")</f>
        <v>Media Monitoring</v>
      </c>
      <c r="AI1587" s="2" t="str">
        <f>IFERROR(__xludf.DUMMYFUNCTION("""COMPUTED_VALUE"""),"https://www.datacenterdynamics.com/en/news/meta-signs-pre-development-agreement-for-data-center-in-beloit-wisconsin/")</f>
        <v>https://www.datacenterdynamics.com/en/news/meta-signs-pre-development-agreement-for-data-center-in-beloit-wisconsin/</v>
      </c>
      <c r="AJ1587" s="1" t="str">
        <f>IFERROR(__xludf.DUMMYFUNCTION("""COMPUTED_VALUE"""),"")</f>
        <v/>
      </c>
      <c r="AK1587" s="1" t="str">
        <f>IFERROR(__xludf.DUMMYFUNCTION("""COMPUTED_VALUE"""),"")</f>
        <v/>
      </c>
      <c r="AL1587" s="1" t="str">
        <f>IFERROR(__xludf.DUMMYFUNCTION("""COMPUTED_VALUE"""),"")</f>
        <v/>
      </c>
      <c r="AM1587" s="1" t="str">
        <f>IFERROR(__xludf.DUMMYFUNCTION("""COMPUTED_VALUE"""),"")</f>
        <v/>
      </c>
      <c r="AN1587" s="1" t="str">
        <f>IFERROR(__xludf.DUMMYFUNCTION("""COMPUTED_VALUE"""),"")</f>
        <v/>
      </c>
      <c r="AO1587" s="1" t="str">
        <f>IFERROR(__xludf.DUMMYFUNCTION("""COMPUTED_VALUE"""),"")</f>
        <v/>
      </c>
      <c r="AP1587" s="1" t="str">
        <f>IFERROR(__xludf.DUMMYFUNCTION("""COMPUTED_VALUE"""),"")</f>
        <v/>
      </c>
      <c r="AQ1587" s="1" t="str">
        <f>IFERROR(__xludf.DUMMYFUNCTION("""COMPUTED_VALUE"""),"03/14/2026")</f>
        <v>03/14/2026</v>
      </c>
      <c r="AR1587" s="1" t="str">
        <f>IFERROR(__xludf.DUMMYFUNCTION("""COMPUTED_VALUE"""),"03/14/2026")</f>
        <v>03/14/2026</v>
      </c>
    </row>
    <row r="1588">
      <c r="A1588" s="1" t="str">
        <f>IFERROR(__xludf.DUMMYFUNCTION("""COMPUTED_VALUE"""),"Carlton Cloverleaf Data Center")</f>
        <v>Carlton Cloverleaf Data Center</v>
      </c>
      <c r="B1588" s="1" t="str">
        <f>IFERROR(__xludf.DUMMYFUNCTION("""COMPUTED_VALUE"""),"")</f>
        <v/>
      </c>
      <c r="C1588" s="1" t="str">
        <f>IFERROR(__xludf.DUMMYFUNCTION("""COMPUTED_VALUE"""),"Carlton")</f>
        <v>Carlton</v>
      </c>
      <c r="D1588" s="1" t="str">
        <f>IFERROR(__xludf.DUMMYFUNCTION("""COMPUTED_VALUE"""),"WI")</f>
        <v>WI</v>
      </c>
      <c r="E1588" s="1" t="str">
        <f>IFERROR(__xludf.DUMMYFUNCTION("""COMPUTED_VALUE"""),"")</f>
        <v/>
      </c>
      <c r="F1588" s="1" t="str">
        <f>IFERROR(__xludf.DUMMYFUNCTION("""COMPUTED_VALUE"""),"Kewaunee")</f>
        <v>Kewaunee</v>
      </c>
      <c r="G1588" s="1" t="str">
        <f>IFERROR(__xludf.DUMMYFUNCTION("""COMPUTED_VALUE"""),"44.42317")</f>
        <v>44.42317</v>
      </c>
      <c r="H1588" s="1" t="str">
        <f>IFERROR(__xludf.DUMMYFUNCTION("""COMPUTED_VALUE"""),"-87.53463")</f>
        <v>-87.53463</v>
      </c>
      <c r="I1588" s="1" t="str">
        <f>IFERROR(__xludf.DUMMYFUNCTION("""COMPUTED_VALUE"""),"Cancelled")</f>
        <v>Cancelled</v>
      </c>
      <c r="J1588" s="1" t="str">
        <f>IFERROR(__xludf.DUMMYFUNCTION("""COMPUTED_VALUE"""),"Medium")</f>
        <v>Medium</v>
      </c>
      <c r="K1588" s="1" t="str">
        <f>IFERROR(__xludf.DUMMYFUNCTION("""COMPUTED_VALUE"""),"")</f>
        <v/>
      </c>
      <c r="L1588" s="1" t="str">
        <f>IFERROR(__xludf.DUMMYFUNCTION("""COMPUTED_VALUE"""),"Cloverleaf")</f>
        <v>Cloverleaf</v>
      </c>
      <c r="M1588" s="1" t="str">
        <f>IFERROR(__xludf.DUMMYFUNCTION("""COMPUTED_VALUE"""),"")</f>
        <v/>
      </c>
      <c r="N1588" s="1" t="str">
        <f>IFERROR(__xludf.DUMMYFUNCTION("""COMPUTED_VALUE"""),"100")</f>
        <v>100</v>
      </c>
      <c r="O1588" s="1" t="str">
        <f>IFERROR(__xludf.DUMMYFUNCTION("""COMPUTED_VALUE"""),"Hyperscale (100-999 MW)")</f>
        <v>Hyperscale (100-999 MW)</v>
      </c>
      <c r="P1588" s="1" t="str">
        <f>IFERROR(__xludf.DUMMYFUNCTION("""COMPUTED_VALUE"""),"")</f>
        <v/>
      </c>
      <c r="Q1588" s="1" t="str">
        <f>IFERROR(__xludf.DUMMYFUNCTION("""COMPUTED_VALUE"""),"")</f>
        <v/>
      </c>
      <c r="R1588" s="1" t="str">
        <f>IFERROR(__xludf.DUMMYFUNCTION("""COMPUTED_VALUE"""),"")</f>
        <v/>
      </c>
      <c r="S1588" s="1" t="str">
        <f>IFERROR(__xludf.DUMMYFUNCTION("""COMPUTED_VALUE"""),"")</f>
        <v/>
      </c>
      <c r="T1588" s="1" t="str">
        <f>IFERROR(__xludf.DUMMYFUNCTION("""COMPUTED_VALUE"""),"")</f>
        <v/>
      </c>
      <c r="U1588" s="1" t="str">
        <f>IFERROR(__xludf.DUMMYFUNCTION("""COMPUTED_VALUE"""),"")</f>
        <v/>
      </c>
      <c r="V1588" s="1" t="str">
        <f>IFERROR(__xludf.DUMMYFUNCTION("""COMPUTED_VALUE"""),"")</f>
        <v/>
      </c>
      <c r="W1588" s="1" t="str">
        <f>IFERROR(__xludf.DUMMYFUNCTION("""COMPUTED_VALUE"""),"800")</f>
        <v>800</v>
      </c>
      <c r="X1588" s="1" t="str">
        <f>IFERROR(__xludf.DUMMYFUNCTION("""COMPUTED_VALUE"""),"")</f>
        <v/>
      </c>
      <c r="Y1588" s="1" t="str">
        <f>IFERROR(__xludf.DUMMYFUNCTION("""COMPUTED_VALUE"""),"")</f>
        <v/>
      </c>
      <c r="Z1588" s="1" t="str">
        <f>IFERROR(__xludf.DUMMYFUNCTION("""COMPUTED_VALUE"""),"Yes")</f>
        <v>Yes</v>
      </c>
      <c r="AA1588" s="1" t="str">
        <f>IFERROR(__xludf.DUMMYFUNCTION("""COMPUTED_VALUE"""),"")</f>
        <v/>
      </c>
      <c r="AB1588" s="1" t="str">
        <f>IFERROR(__xludf.DUMMYFUNCTION("""COMPUTED_VALUE"""),"")</f>
        <v/>
      </c>
      <c r="AC1588" s="1" t="str">
        <f>IFERROR(__xludf.DUMMYFUNCTION("""COMPUTED_VALUE"""),"")</f>
        <v/>
      </c>
      <c r="AD1588" s="1" t="str">
        <f>IFERROR(__xludf.DUMMYFUNCTION("""COMPUTED_VALUE"""),"")</f>
        <v/>
      </c>
      <c r="AE1588" s="1" t="str">
        <f>IFERROR(__xludf.DUMMYFUNCTION("""COMPUTED_VALUE"""),"")</f>
        <v/>
      </c>
      <c r="AF1588" s="1" t="str">
        <f>IFERROR(__xludf.DUMMYFUNCTION("""COMPUTED_VALUE"""),"")</f>
        <v/>
      </c>
      <c r="AG1588" s="1" t="str">
        <f>IFERROR(__xludf.DUMMYFUNCTION("""COMPUTED_VALUE"""),"")</f>
        <v/>
      </c>
      <c r="AH1588" s="1" t="str">
        <f>IFERROR(__xludf.DUMMYFUNCTION("""COMPUTED_VALUE"""),"Media Monitoring")</f>
        <v>Media Monitoring</v>
      </c>
      <c r="AI1588" s="2" t="str">
        <f>IFERROR(__xludf.DUMMYFUNCTION("""COMPUTED_VALUE"""),"https://www.datacenterdynamics.com/en/news/cloverleaf-walks-away-from-data-center-site-project-in-kewaunee-wisconsin/")</f>
        <v>https://www.datacenterdynamics.com/en/news/cloverleaf-walks-away-from-data-center-site-project-in-kewaunee-wisconsin/</v>
      </c>
      <c r="AJ1588" s="2" t="str">
        <f>IFERROR(__xludf.DUMMYFUNCTION("""COMPUTED_VALUE"""),"https://pbswisconsin.org/news-item/kewaunee-county-town-staves-off-plan-for-a-land-purchase-by-a-data-center-developer/")</f>
        <v>https://pbswisconsin.org/news-item/kewaunee-county-town-staves-off-plan-for-a-land-purchase-by-a-data-center-developer/</v>
      </c>
      <c r="AK1588" s="1" t="str">
        <f>IFERROR(__xludf.DUMMYFUNCTION("""COMPUTED_VALUE"""),"")</f>
        <v/>
      </c>
      <c r="AL1588" s="1" t="str">
        <f>IFERROR(__xludf.DUMMYFUNCTION("""COMPUTED_VALUE"""),"")</f>
        <v/>
      </c>
      <c r="AM1588" s="1" t="str">
        <f>IFERROR(__xludf.DUMMYFUNCTION("""COMPUTED_VALUE"""),"")</f>
        <v/>
      </c>
      <c r="AN1588" s="1" t="str">
        <f>IFERROR(__xludf.DUMMYFUNCTION("""COMPUTED_VALUE"""),"")</f>
        <v/>
      </c>
      <c r="AO1588" s="1" t="str">
        <f>IFERROR(__xludf.DUMMYFUNCTION("""COMPUTED_VALUE"""),"")</f>
        <v/>
      </c>
      <c r="AP1588" s="1" t="str">
        <f>IFERROR(__xludf.DUMMYFUNCTION("""COMPUTED_VALUE"""),"")</f>
        <v/>
      </c>
      <c r="AQ1588" s="1" t="str">
        <f>IFERROR(__xludf.DUMMYFUNCTION("""COMPUTED_VALUE"""),"02/16/2026")</f>
        <v>02/16/2026</v>
      </c>
      <c r="AR1588" s="1" t="str">
        <f>IFERROR(__xludf.DUMMYFUNCTION("""COMPUTED_VALUE"""),"02/16/2026")</f>
        <v>02/16/2026</v>
      </c>
    </row>
    <row r="1589">
      <c r="A1589" s="1" t="str">
        <f>IFERROR(__xludf.DUMMYFUNCTION("""COMPUTED_VALUE"""),"Driftless Area Data Center")</f>
        <v>Driftless Area Data Center</v>
      </c>
      <c r="B1589" s="1" t="str">
        <f>IFERROR(__xludf.DUMMYFUNCTION("""COMPUTED_VALUE"""),"")</f>
        <v/>
      </c>
      <c r="C1589" s="1" t="str">
        <f>IFERROR(__xludf.DUMMYFUNCTION("""COMPUTED_VALUE"""),"Cassville")</f>
        <v>Cassville</v>
      </c>
      <c r="D1589" s="1" t="str">
        <f>IFERROR(__xludf.DUMMYFUNCTION("""COMPUTED_VALUE"""),"WI")</f>
        <v>WI</v>
      </c>
      <c r="E1589" s="1" t="str">
        <f>IFERROR(__xludf.DUMMYFUNCTION("""COMPUTED_VALUE"""),"53806")</f>
        <v>53806</v>
      </c>
      <c r="F1589" s="1" t="str">
        <f>IFERROR(__xludf.DUMMYFUNCTION("""COMPUTED_VALUE"""),"Grant")</f>
        <v>Grant</v>
      </c>
      <c r="G1589" s="1" t="str">
        <f>IFERROR(__xludf.DUMMYFUNCTION("""COMPUTED_VALUE"""),"42.725117")</f>
        <v>42.725117</v>
      </c>
      <c r="H1589" s="1" t="str">
        <f>IFERROR(__xludf.DUMMYFUNCTION("""COMPUTED_VALUE"""),"-90.98868")</f>
        <v>-90.98868</v>
      </c>
      <c r="I1589" s="1" t="str">
        <f>IFERROR(__xludf.DUMMYFUNCTION("""COMPUTED_VALUE"""),"Cancelled")</f>
        <v>Cancelled</v>
      </c>
      <c r="J1589" s="1" t="str">
        <f>IFERROR(__xludf.DUMMYFUNCTION("""COMPUTED_VALUE"""),"Medium")</f>
        <v>Medium</v>
      </c>
      <c r="K1589" s="1" t="str">
        <f>IFERROR(__xludf.DUMMYFUNCTION("""COMPUTED_VALUE"""),"")</f>
        <v/>
      </c>
      <c r="L1589" s="1" t="str">
        <f>IFERROR(__xludf.DUMMYFUNCTION("""COMPUTED_VALUE"""),"")</f>
        <v/>
      </c>
      <c r="M1589" s="1" t="str">
        <f>IFERROR(__xludf.DUMMYFUNCTION("""COMPUTED_VALUE"""),"")</f>
        <v/>
      </c>
      <c r="N1589" s="1" t="str">
        <f>IFERROR(__xludf.DUMMYFUNCTION("""COMPUTED_VALUE"""),"400")</f>
        <v>400</v>
      </c>
      <c r="O1589" s="1" t="str">
        <f>IFERROR(__xludf.DUMMYFUNCTION("""COMPUTED_VALUE"""),"Hyperscale (100-999 MW)")</f>
        <v>Hyperscale (100-999 MW)</v>
      </c>
      <c r="P1589" s="1" t="str">
        <f>IFERROR(__xludf.DUMMYFUNCTION("""COMPUTED_VALUE"""),"Grid (unspecified mix)")</f>
        <v>Grid (unspecified mix)</v>
      </c>
      <c r="Q1589" s="1" t="str">
        <f>IFERROR(__xludf.DUMMYFUNCTION("""COMPUTED_VALUE"""),"")</f>
        <v/>
      </c>
      <c r="R1589" s="1" t="str">
        <f>IFERROR(__xludf.DUMMYFUNCTION("""COMPUTED_VALUE"""),"")</f>
        <v/>
      </c>
      <c r="S1589" s="1" t="str">
        <f>IFERROR(__xludf.DUMMYFUNCTION("""COMPUTED_VALUE"""),"")</f>
        <v/>
      </c>
      <c r="T1589" s="1" t="str">
        <f>IFERROR(__xludf.DUMMYFUNCTION("""COMPUTED_VALUE"""),"")</f>
        <v/>
      </c>
      <c r="U1589" s="1" t="str">
        <f>IFERROR(__xludf.DUMMYFUNCTION("""COMPUTED_VALUE"""),"")</f>
        <v/>
      </c>
      <c r="V1589" s="1" t="str">
        <f>IFERROR(__xludf.DUMMYFUNCTION("""COMPUTED_VALUE"""),"")</f>
        <v/>
      </c>
      <c r="W1589" s="1" t="str">
        <f>IFERROR(__xludf.DUMMYFUNCTION("""COMPUTED_VALUE"""),"500")</f>
        <v>500</v>
      </c>
      <c r="X1589" s="1" t="str">
        <f>IFERROR(__xludf.DUMMYFUNCTION("""COMPUTED_VALUE"""),"$2 billion")</f>
        <v>$2 billion</v>
      </c>
      <c r="Y1589" s="1" t="str">
        <f>IFERROR(__xludf.DUMMYFUNCTION("""COMPUTED_VALUE"""),"")</f>
        <v/>
      </c>
      <c r="Z1589" s="1" t="str">
        <f>IFERROR(__xludf.DUMMYFUNCTION("""COMPUTED_VALUE"""),"Yes")</f>
        <v>Yes</v>
      </c>
      <c r="AA1589" s="1" t="str">
        <f>IFERROR(__xludf.DUMMYFUNCTION("""COMPUTED_VALUE"""),"")</f>
        <v/>
      </c>
      <c r="AB1589" s="1" t="str">
        <f>IFERROR(__xludf.DUMMYFUNCTION("""COMPUTED_VALUE"""),"Organized Advocacy")</f>
        <v>Organized Advocacy</v>
      </c>
      <c r="AC1589" s="1" t="str">
        <f>IFERROR(__xludf.DUMMYFUNCTION("""COMPUTED_VALUE"""),"")</f>
        <v/>
      </c>
      <c r="AD1589" s="1" t="str">
        <f>IFERROR(__xludf.DUMMYFUNCTION("""COMPUTED_VALUE"""),"")</f>
        <v/>
      </c>
      <c r="AE1589" s="1" t="str">
        <f>IFERROR(__xludf.DUMMYFUNCTION("""COMPUTED_VALUE"""),"")</f>
        <v/>
      </c>
      <c r="AF1589" s="1" t="str">
        <f>IFERROR(__xludf.DUMMYFUNCTION("""COMPUTED_VALUE"""),"")</f>
        <v/>
      </c>
      <c r="AG1589" s="1" t="str">
        <f>IFERROR(__xludf.DUMMYFUNCTION("""COMPUTED_VALUE"""),"")</f>
        <v/>
      </c>
      <c r="AH1589" s="1" t="str">
        <f>IFERROR(__xludf.DUMMYFUNCTION("""COMPUTED_VALUE"""),"Media Monitoring")</f>
        <v>Media Monitoring</v>
      </c>
      <c r="AI1589" s="2" t="str">
        <f>IFERROR(__xludf.DUMMYFUNCTION("""COMPUTED_VALUE"""),"https://wisconsinwatch.org/2026/06/a-2-billion-proposal-then-silence-how-a-driftless-area-data-center-deal-fell-apart/")</f>
        <v>https://wisconsinwatch.org/2026/06/a-2-billion-proposal-then-silence-how-a-driftless-area-data-center-deal-fell-apart/</v>
      </c>
      <c r="AJ1589" s="2" t="str">
        <f>IFERROR(__xludf.DUMMYFUNCTION("""COMPUTED_VALUE"""),"https://wisconsinwatch.org/2026/04/wisconsin-data-center-rural-town-cassville-rejects-plan-driftless-area-zoning/")</f>
        <v>https://wisconsinwatch.org/2026/04/wisconsin-data-center-rural-town-cassville-rejects-plan-driftless-area-zoning/</v>
      </c>
      <c r="AK1589" s="2" t="str">
        <f>IFERROR(__xludf.DUMMYFUNCTION("""COMPUTED_VALUE"""),"https://www.thecooldown.com/green-tech/data-center-plan-grant-county-opposition/")</f>
        <v>https://www.thecooldown.com/green-tech/data-center-plan-grant-county-opposition/</v>
      </c>
      <c r="AL1589" s="1" t="str">
        <f>IFERROR(__xludf.DUMMYFUNCTION("""COMPUTED_VALUE"""),"")</f>
        <v/>
      </c>
      <c r="AM1589" s="1" t="str">
        <f>IFERROR(__xludf.DUMMYFUNCTION("""COMPUTED_VALUE"""),"")</f>
        <v/>
      </c>
      <c r="AN1589" s="1" t="str">
        <f>IFERROR(__xludf.DUMMYFUNCTION("""COMPUTED_VALUE"""),"")</f>
        <v/>
      </c>
      <c r="AO1589" s="1" t="str">
        <f>IFERROR(__xludf.DUMMYFUNCTION("""COMPUTED_VALUE"""),"")</f>
        <v/>
      </c>
      <c r="AP1589" s="1" t="str">
        <f>IFERROR(__xludf.DUMMYFUNCTION("""COMPUTED_VALUE"""),"")</f>
        <v/>
      </c>
      <c r="AQ1589" s="1" t="str">
        <f>IFERROR(__xludf.DUMMYFUNCTION("""COMPUTED_VALUE"""),"06/28/2026")</f>
        <v>06/28/2026</v>
      </c>
      <c r="AR1589" s="1" t="str">
        <f>IFERROR(__xludf.DUMMYFUNCTION("""COMPUTED_VALUE"""),"06/28/2026")</f>
        <v>06/28/2026</v>
      </c>
    </row>
    <row r="1590">
      <c r="A1590" s="1" t="str">
        <f>IFERROR(__xludf.DUMMYFUNCTION("""COMPUTED_VALUE"""),"DeForest QTS Data Center")</f>
        <v>DeForest QTS Data Center</v>
      </c>
      <c r="B1590" s="1" t="str">
        <f>IFERROR(__xludf.DUMMYFUNCTION("""COMPUTED_VALUE"""),"")</f>
        <v/>
      </c>
      <c r="C1590" s="1" t="str">
        <f>IFERROR(__xludf.DUMMYFUNCTION("""COMPUTED_VALUE"""),"DeForest")</f>
        <v>DeForest</v>
      </c>
      <c r="D1590" s="1" t="str">
        <f>IFERROR(__xludf.DUMMYFUNCTION("""COMPUTED_VALUE"""),"WI")</f>
        <v>WI</v>
      </c>
      <c r="E1590" s="1" t="str">
        <f>IFERROR(__xludf.DUMMYFUNCTION("""COMPUTED_VALUE"""),"53532")</f>
        <v>53532</v>
      </c>
      <c r="F1590" s="1" t="str">
        <f>IFERROR(__xludf.DUMMYFUNCTION("""COMPUTED_VALUE"""),"Dane")</f>
        <v>Dane</v>
      </c>
      <c r="G1590" s="1" t="str">
        <f>IFERROR(__xludf.DUMMYFUNCTION("""COMPUTED_VALUE"""),"43.231842")</f>
        <v>43.231842</v>
      </c>
      <c r="H1590" s="1" t="str">
        <f>IFERROR(__xludf.DUMMYFUNCTION("""COMPUTED_VALUE"""),"-89.33042")</f>
        <v>-89.33042</v>
      </c>
      <c r="I1590" s="1" t="str">
        <f>IFERROR(__xludf.DUMMYFUNCTION("""COMPUTED_VALUE"""),"Cancelled")</f>
        <v>Cancelled</v>
      </c>
      <c r="J1590" s="1" t="str">
        <f>IFERROR(__xludf.DUMMYFUNCTION("""COMPUTED_VALUE"""),"Medium")</f>
        <v>Medium</v>
      </c>
      <c r="K1590" s="1" t="str">
        <f>IFERROR(__xludf.DUMMYFUNCTION("""COMPUTED_VALUE"""),"")</f>
        <v/>
      </c>
      <c r="L1590" s="1" t="str">
        <f>IFERROR(__xludf.DUMMYFUNCTION("""COMPUTED_VALUE"""),"")</f>
        <v/>
      </c>
      <c r="M1590" s="1" t="str">
        <f>IFERROR(__xludf.DUMMYFUNCTION("""COMPUTED_VALUE"""),"")</f>
        <v/>
      </c>
      <c r="N1590" s="1" t="str">
        <f>IFERROR(__xludf.DUMMYFUNCTION("""COMPUTED_VALUE"""),"")</f>
        <v/>
      </c>
      <c r="O1590" s="1" t="str">
        <f>IFERROR(__xludf.DUMMYFUNCTION("""COMPUTED_VALUE"""),"Hyperscale (100-999 MW)")</f>
        <v>Hyperscale (100-999 MW)</v>
      </c>
      <c r="P1590" s="1" t="str">
        <f>IFERROR(__xludf.DUMMYFUNCTION("""COMPUTED_VALUE"""),"")</f>
        <v/>
      </c>
      <c r="Q1590" s="1" t="str">
        <f>IFERROR(__xludf.DUMMYFUNCTION("""COMPUTED_VALUE"""),"")</f>
        <v/>
      </c>
      <c r="R1590" s="1" t="str">
        <f>IFERROR(__xludf.DUMMYFUNCTION("""COMPUTED_VALUE"""),"")</f>
        <v/>
      </c>
      <c r="S1590" s="1" t="str">
        <f>IFERROR(__xludf.DUMMYFUNCTION("""COMPUTED_VALUE"""),"5")</f>
        <v>5</v>
      </c>
      <c r="T1590" s="1" t="str">
        <f>IFERROR(__xludf.DUMMYFUNCTION("""COMPUTED_VALUE"""),"")</f>
        <v/>
      </c>
      <c r="U1590" s="1" t="str">
        <f>IFERROR(__xludf.DUMMYFUNCTION("""COMPUTED_VALUE"""),"")</f>
        <v/>
      </c>
      <c r="V1590" s="1" t="str">
        <f>IFERROR(__xludf.DUMMYFUNCTION("""COMPUTED_VALUE"""),"")</f>
        <v/>
      </c>
      <c r="W1590" s="1" t="str">
        <f>IFERROR(__xludf.DUMMYFUNCTION("""COMPUTED_VALUE"""),"1400")</f>
        <v>1400</v>
      </c>
      <c r="X1590" s="1" t="str">
        <f>IFERROR(__xludf.DUMMYFUNCTION("""COMPUTED_VALUE"""),"$12 billion")</f>
        <v>$12 billion</v>
      </c>
      <c r="Y1590" s="1" t="str">
        <f>IFERROR(__xludf.DUMMYFUNCTION("""COMPUTED_VALUE"""),"")</f>
        <v/>
      </c>
      <c r="Z1590" s="1" t="str">
        <f>IFERROR(__xludf.DUMMYFUNCTION("""COMPUTED_VALUE"""),"Yes")</f>
        <v>Yes</v>
      </c>
      <c r="AA1590" s="1" t="str">
        <f>IFERROR(__xludf.DUMMYFUNCTION("""COMPUTED_VALUE"""),"No Data Center in DeForest")</f>
        <v>No Data Center in DeForest</v>
      </c>
      <c r="AB1590" s="1" t="str">
        <f>IFERROR(__xludf.DUMMYFUNCTION("""COMPUTED_VALUE"""),"")</f>
        <v/>
      </c>
      <c r="AC1590" s="1" t="str">
        <f>IFERROR(__xludf.DUMMYFUNCTION("""COMPUTED_VALUE"""),"")</f>
        <v/>
      </c>
      <c r="AD1590" s="2" t="str">
        <f>IFERROR(__xludf.DUMMYFUNCTION("""COMPUTED_VALUE"""),"https://www.facebook.com/groups/1140996281561878/?ref=share&amp;mibextid=NSMWBT")</f>
        <v>https://www.facebook.com/groups/1140996281561878/?ref=share&amp;mibextid=NSMWBT</v>
      </c>
      <c r="AE1590" s="2" t="str">
        <f>IFERROR(__xludf.DUMMYFUNCTION("""COMPUTED_VALUE"""),"https://www.facebook.com/groups/1140996281561878/")</f>
        <v>https://www.facebook.com/groups/1140996281561878/</v>
      </c>
      <c r="AF1590" s="1" t="str">
        <f>IFERROR(__xludf.DUMMYFUNCTION("""COMPUTED_VALUE"""),"")</f>
        <v/>
      </c>
      <c r="AG1590" s="1" t="str">
        <f>IFERROR(__xludf.DUMMYFUNCTION("""COMPUTED_VALUE"""),"QTS efforts to annex 1400 acres in Vienna met with fierce community opposition.")</f>
        <v>QTS efforts to annex 1400 acres in Vienna met with fierce community opposition.</v>
      </c>
      <c r="AH1590" s="1" t="str">
        <f>IFERROR(__xludf.DUMMYFUNCTION("""COMPUTED_VALUE"""),"Media Monitoring")</f>
        <v>Media Monitoring</v>
      </c>
      <c r="AI1590" s="2" t="str">
        <f>IFERROR(__xludf.DUMMYFUNCTION("""COMPUTED_VALUE"""),"https://www.datacenterdynamics.com/en/news/qts-plans-15-building-data-center-campus-in-madison-wisconsin/")</f>
        <v>https://www.datacenterdynamics.com/en/news/qts-plans-15-building-data-center-campus-in-madison-wisconsin/</v>
      </c>
      <c r="AJ1590" s="2" t="str">
        <f>IFERROR(__xludf.DUMMYFUNCTION("""COMPUTED_VALUE"""),"https://www.wpr.org/news/developer-qts-data-centers-looks-build-data-campus-dane-county-vienna")</f>
        <v>https://www.wpr.org/news/developer-qts-data-centers-looks-build-data-campus-dane-county-vienna</v>
      </c>
      <c r="AK1590" s="2" t="str">
        <f>IFERROR(__xludf.DUMMYFUNCTION("""COMPUTED_VALUE"""),"https://www.wmtv15news.com/2025/07/31/large-data-center-proposal-raises-questions-rural-dane-county/")</f>
        <v>https://www.wmtv15news.com/2025/07/31/large-data-center-proposal-raises-questions-rural-dane-county/</v>
      </c>
      <c r="AL1590" s="2" t="str">
        <f>IFERROR(__xludf.DUMMYFUNCTION("""COMPUTED_VALUE"""),"https://www.datacenterdynamics.com/en/news/qts-data-centers-looks-to-build-another-facility-near-madison-wisconsin/")</f>
        <v>https://www.datacenterdynamics.com/en/news/qts-data-centers-looks-to-build-another-facility-near-madison-wisconsin/</v>
      </c>
      <c r="AM1590" s="2" t="str">
        <f>IFERROR(__xludf.DUMMYFUNCTION("""COMPUTED_VALUE"""),"https://www.datacenterdynamics.com/en/news/qts-drops-plan-for-data-center-near-madison-wisconsin-amid-opposition-from-local-officials/")</f>
        <v>https://www.datacenterdynamics.com/en/news/qts-drops-plan-for-data-center-near-madison-wisconsin-amid-opposition-from-local-officials/</v>
      </c>
      <c r="AN1590" s="2" t="str">
        <f>IFERROR(__xludf.DUMMYFUNCTION("""COMPUTED_VALUE"""),"https://www.datacenterdynamics.com/en/news/qts-drops-plan-for-data-center-near-madison-wisconsin-amid-opposition-from-local-officials/")</f>
        <v>https://www.datacenterdynamics.com/en/news/qts-drops-plan-for-data-center-near-madison-wisconsin-amid-opposition-from-local-officials/</v>
      </c>
      <c r="AO1590" s="2" t="str">
        <f>IFERROR(__xludf.DUMMYFUNCTION("""COMPUTED_VALUE"""),"https://pbswisconsin.org/news-item/the-local-battles-over-data-center-developments-in-wisconsin/?fbclid=IwY2xjawQb89xleHRuA2FlbQIxMQBzcnRjBmFwcF9pZBAyMjIwMzkxNzg4MjAwODkyAAEe_9n-9GXVsrmup4ro8JcBXofGIGDBBJOvEis3IhU4EDbZm0ChkaEapPFbbd8_aem_HvzltHtS42i2Jp2jB"&amp;"PjrRA")</f>
        <v>https://pbswisconsin.org/news-item/the-local-battles-over-data-center-developments-in-wisconsin/?fbclid=IwY2xjawQb89xleHRuA2FlbQIxMQBzcnRjBmFwcF9pZBAyMjIwMzkxNzg4MjAwODkyAAEe_9n-9GXVsrmup4ro8JcBXofGIGDBBJOvEis3IhU4EDbZm0ChkaEapPFbbd8_aem_HvzltHtS42i2Jp2jBPjrRA</v>
      </c>
      <c r="AP1590" s="1" t="str">
        <f>IFERROR(__xludf.DUMMYFUNCTION("""COMPUTED_VALUE"""),"")</f>
        <v/>
      </c>
      <c r="AQ1590" s="1" t="str">
        <f>IFERROR(__xludf.DUMMYFUNCTION("""COMPUTED_VALUE"""),"11/03/2025")</f>
        <v>11/03/2025</v>
      </c>
      <c r="AR1590" s="1" t="str">
        <f>IFERROR(__xludf.DUMMYFUNCTION("""COMPUTED_VALUE"""),"02/06/2026")</f>
        <v>02/06/2026</v>
      </c>
    </row>
    <row r="1591">
      <c r="A1591" s="1" t="str">
        <f>IFERROR(__xludf.DUMMYFUNCTION("""COMPUTED_VALUE"""),"MKE1")</f>
        <v>MKE1</v>
      </c>
      <c r="B1591" s="1" t="str">
        <f>IFERROR(__xludf.DUMMYFUNCTION("""COMPUTED_VALUE"""),"4777 W Ironwood")</f>
        <v>4777 W Ironwood</v>
      </c>
      <c r="C1591" s="1" t="str">
        <f>IFERROR(__xludf.DUMMYFUNCTION("""COMPUTED_VALUE"""),"Franklin")</f>
        <v>Franklin</v>
      </c>
      <c r="D1591" s="1" t="str">
        <f>IFERROR(__xludf.DUMMYFUNCTION("""COMPUTED_VALUE"""),"WI")</f>
        <v>WI</v>
      </c>
      <c r="E1591" s="1" t="str">
        <f>IFERROR(__xludf.DUMMYFUNCTION("""COMPUTED_VALUE"""),"53132")</f>
        <v>53132</v>
      </c>
      <c r="F1591" s="1" t="str">
        <f>IFERROR(__xludf.DUMMYFUNCTION("""COMPUTED_VALUE"""),"Milwaukee")</f>
        <v>Milwaukee</v>
      </c>
      <c r="G1591" s="1" t="str">
        <f>IFERROR(__xludf.DUMMYFUNCTION("""COMPUTED_VALUE"""),"42.86316")</f>
        <v>42.86316</v>
      </c>
      <c r="H1591" s="1" t="str">
        <f>IFERROR(__xludf.DUMMYFUNCTION("""COMPUTED_VALUE"""),"-87.9779")</f>
        <v>-87.9779</v>
      </c>
      <c r="I1591" s="1" t="str">
        <f>IFERROR(__xludf.DUMMYFUNCTION("""COMPUTED_VALUE"""),"Operating")</f>
        <v>Operating</v>
      </c>
      <c r="J1591" s="1" t="str">
        <f>IFERROR(__xludf.DUMMYFUNCTION("""COMPUTED_VALUE"""),"High")</f>
        <v>High</v>
      </c>
      <c r="K1591" s="1" t="str">
        <f>IFERROR(__xludf.DUMMYFUNCTION("""COMPUTED_VALUE"""),"")</f>
        <v/>
      </c>
      <c r="L1591" s="1" t="str">
        <f>IFERROR(__xludf.DUMMYFUNCTION("""COMPUTED_VALUE"""),"")</f>
        <v/>
      </c>
      <c r="M1591" s="1" t="str">
        <f>IFERROR(__xludf.DUMMYFUNCTION("""COMPUTED_VALUE"""),"")</f>
        <v/>
      </c>
      <c r="N1591" s="1" t="str">
        <f>IFERROR(__xludf.DUMMYFUNCTION("""COMPUTED_VALUE"""),"1.6")</f>
        <v>1.6</v>
      </c>
      <c r="O1591" s="1" t="str">
        <f>IFERROR(__xludf.DUMMYFUNCTION("""COMPUTED_VALUE"""),"Small (0-10 MW)")</f>
        <v>Small (0-10 MW)</v>
      </c>
      <c r="P1591" s="1" t="str">
        <f>IFERROR(__xludf.DUMMYFUNCTION("""COMPUTED_VALUE"""),"")</f>
        <v/>
      </c>
      <c r="Q1591" s="1" t="str">
        <f>IFERROR(__xludf.DUMMYFUNCTION("""COMPUTED_VALUE"""),"")</f>
        <v/>
      </c>
      <c r="R1591" s="1" t="str">
        <f>IFERROR(__xludf.DUMMYFUNCTION("""COMPUTED_VALUE"""),"")</f>
        <v/>
      </c>
      <c r="S1591" s="1" t="str">
        <f>IFERROR(__xludf.DUMMYFUNCTION("""COMPUTED_VALUE"""),"")</f>
        <v/>
      </c>
      <c r="T1591" s="1" t="str">
        <f>IFERROR(__xludf.DUMMYFUNCTION("""COMPUTED_VALUE"""),"")</f>
        <v/>
      </c>
      <c r="U1591" s="1" t="str">
        <f>IFERROR(__xludf.DUMMYFUNCTION("""COMPUTED_VALUE"""),"")</f>
        <v/>
      </c>
      <c r="V1591" s="1" t="str">
        <f>IFERROR(__xludf.DUMMYFUNCTION("""COMPUTED_VALUE"""),"27,000")</f>
        <v>27,000</v>
      </c>
      <c r="W1591" s="1" t="str">
        <f>IFERROR(__xludf.DUMMYFUNCTION("""COMPUTED_VALUE"""),"")</f>
        <v/>
      </c>
      <c r="X1591" s="1" t="str">
        <f>IFERROR(__xludf.DUMMYFUNCTION("""COMPUTED_VALUE"""),"")</f>
        <v/>
      </c>
      <c r="Y1591" s="1" t="str">
        <f>IFERROR(__xludf.DUMMYFUNCTION("""COMPUTED_VALUE"""),"")</f>
        <v/>
      </c>
      <c r="Z1591" s="1" t="str">
        <f>IFERROR(__xludf.DUMMYFUNCTION("""COMPUTED_VALUE"""),"Unknown")</f>
        <v>Unknown</v>
      </c>
      <c r="AA1591" s="1" t="str">
        <f>IFERROR(__xludf.DUMMYFUNCTION("""COMPUTED_VALUE"""),"")</f>
        <v/>
      </c>
      <c r="AB1591" s="1" t="str">
        <f>IFERROR(__xludf.DUMMYFUNCTION("""COMPUTED_VALUE"""),"")</f>
        <v/>
      </c>
      <c r="AC1591" s="1" t="str">
        <f>IFERROR(__xludf.DUMMYFUNCTION("""COMPUTED_VALUE"""),"")</f>
        <v/>
      </c>
      <c r="AD1591" s="1" t="str">
        <f>IFERROR(__xludf.DUMMYFUNCTION("""COMPUTED_VALUE"""),"")</f>
        <v/>
      </c>
      <c r="AE1591" s="1" t="str">
        <f>IFERROR(__xludf.DUMMYFUNCTION("""COMPUTED_VALUE"""),"")</f>
        <v/>
      </c>
      <c r="AF1591" s="1" t="str">
        <f>IFERROR(__xludf.DUMMYFUNCTION("""COMPUTED_VALUE"""),"")</f>
        <v/>
      </c>
      <c r="AG1591" s="1" t="str">
        <f>IFERROR(__xludf.DUMMYFUNCTION("""COMPUTED_VALUE"""),"")</f>
        <v/>
      </c>
      <c r="AH1591" s="1" t="str">
        <f>IFERROR(__xludf.DUMMYFUNCTION("""COMPUTED_VALUE"""),"Media Monitoring")</f>
        <v>Media Monitoring</v>
      </c>
      <c r="AI1591" s="2" t="str">
        <f>IFERROR(__xludf.DUMMYFUNCTION("""COMPUTED_VALUE"""),"https://www.expedient.com/data-centers/milwaukee/")</f>
        <v>https://www.expedient.com/data-centers/milwaukee/</v>
      </c>
      <c r="AJ1591" s="1" t="str">
        <f>IFERROR(__xludf.DUMMYFUNCTION("""COMPUTED_VALUE"""),"")</f>
        <v/>
      </c>
      <c r="AK1591" s="1" t="str">
        <f>IFERROR(__xludf.DUMMYFUNCTION("""COMPUTED_VALUE"""),"")</f>
        <v/>
      </c>
      <c r="AL1591" s="1" t="str">
        <f>IFERROR(__xludf.DUMMYFUNCTION("""COMPUTED_VALUE"""),"")</f>
        <v/>
      </c>
      <c r="AM1591" s="1" t="str">
        <f>IFERROR(__xludf.DUMMYFUNCTION("""COMPUTED_VALUE"""),"")</f>
        <v/>
      </c>
      <c r="AN1591" s="1" t="str">
        <f>IFERROR(__xludf.DUMMYFUNCTION("""COMPUTED_VALUE"""),"")</f>
        <v/>
      </c>
      <c r="AO1591" s="1" t="str">
        <f>IFERROR(__xludf.DUMMYFUNCTION("""COMPUTED_VALUE"""),"")</f>
        <v/>
      </c>
      <c r="AP1591" s="1" t="str">
        <f>IFERROR(__xludf.DUMMYFUNCTION("""COMPUTED_VALUE"""),"")</f>
        <v/>
      </c>
      <c r="AQ1591" s="1" t="str">
        <f>IFERROR(__xludf.DUMMYFUNCTION("""COMPUTED_VALUE"""),"09/02/2025")</f>
        <v>09/02/2025</v>
      </c>
      <c r="AR1591" s="1" t="str">
        <f>IFERROR(__xludf.DUMMYFUNCTION("""COMPUTED_VALUE"""),"09/02/2025")</f>
        <v>09/02/2025</v>
      </c>
    </row>
    <row r="1592">
      <c r="A1592" s="1" t="str">
        <f>IFERROR(__xludf.DUMMYFUNCTION("""COMPUTED_VALUE"""),"Fredonia Data Center")</f>
        <v>Fredonia Data Center</v>
      </c>
      <c r="B1592" s="1" t="str">
        <f>IFERROR(__xludf.DUMMYFUNCTION("""COMPUTED_VALUE"""),"near 117 Meadowlark Rd, Fredonia, WI 53021")</f>
        <v>near 117 Meadowlark Rd, Fredonia, WI 53021</v>
      </c>
      <c r="C1592" s="1" t="str">
        <f>IFERROR(__xludf.DUMMYFUNCTION("""COMPUTED_VALUE"""),"Fredonia")</f>
        <v>Fredonia</v>
      </c>
      <c r="D1592" s="1" t="str">
        <f>IFERROR(__xludf.DUMMYFUNCTION("""COMPUTED_VALUE"""),"WI")</f>
        <v>WI</v>
      </c>
      <c r="E1592" s="1" t="str">
        <f>IFERROR(__xludf.DUMMYFUNCTION("""COMPUTED_VALUE"""),"53074")</f>
        <v>53074</v>
      </c>
      <c r="F1592" s="1" t="str">
        <f>IFERROR(__xludf.DUMMYFUNCTION("""COMPUTED_VALUE"""),"Ozaukee")</f>
        <v>Ozaukee</v>
      </c>
      <c r="G1592" s="1" t="str">
        <f>IFERROR(__xludf.DUMMYFUNCTION("""COMPUTED_VALUE"""),"43.45566")</f>
        <v>43.45566</v>
      </c>
      <c r="H1592" s="1" t="str">
        <f>IFERROR(__xludf.DUMMYFUNCTION("""COMPUTED_VALUE"""),"-87.9353")</f>
        <v>-87.9353</v>
      </c>
      <c r="I1592" s="1" t="str">
        <f>IFERROR(__xludf.DUMMYFUNCTION("""COMPUTED_VALUE"""),"Proposed")</f>
        <v>Proposed</v>
      </c>
      <c r="J1592" s="1" t="str">
        <f>IFERROR(__xludf.DUMMYFUNCTION("""COMPUTED_VALUE"""),"High")</f>
        <v>High</v>
      </c>
      <c r="K1592" s="1" t="str">
        <f>IFERROR(__xludf.DUMMYFUNCTION("""COMPUTED_VALUE"""),"")</f>
        <v/>
      </c>
      <c r="L1592" s="1" t="str">
        <f>IFERROR(__xludf.DUMMYFUNCTION("""COMPUTED_VALUE"""),"")</f>
        <v/>
      </c>
      <c r="M1592" s="1" t="str">
        <f>IFERROR(__xludf.DUMMYFUNCTION("""COMPUTED_VALUE"""),"")</f>
        <v/>
      </c>
      <c r="N1592" s="1" t="str">
        <f>IFERROR(__xludf.DUMMYFUNCTION("""COMPUTED_VALUE"""),"")</f>
        <v/>
      </c>
      <c r="O1592" s="1" t="str">
        <f>IFERROR(__xludf.DUMMYFUNCTION("""COMPUTED_VALUE"""),"Unknown")</f>
        <v>Unknown</v>
      </c>
      <c r="P1592" s="1" t="str">
        <f>IFERROR(__xludf.DUMMYFUNCTION("""COMPUTED_VALUE"""),"")</f>
        <v/>
      </c>
      <c r="Q1592" s="1" t="str">
        <f>IFERROR(__xludf.DUMMYFUNCTION("""COMPUTED_VALUE"""),"")</f>
        <v/>
      </c>
      <c r="R1592" s="1" t="str">
        <f>IFERROR(__xludf.DUMMYFUNCTION("""COMPUTED_VALUE"""),"")</f>
        <v/>
      </c>
      <c r="S1592" s="1" t="str">
        <f>IFERROR(__xludf.DUMMYFUNCTION("""COMPUTED_VALUE"""),"")</f>
        <v/>
      </c>
      <c r="T1592" s="1" t="str">
        <f>IFERROR(__xludf.DUMMYFUNCTION("""COMPUTED_VALUE"""),"")</f>
        <v/>
      </c>
      <c r="U1592" s="1" t="str">
        <f>IFERROR(__xludf.DUMMYFUNCTION("""COMPUTED_VALUE"""),"")</f>
        <v/>
      </c>
      <c r="V1592" s="1" t="str">
        <f>IFERROR(__xludf.DUMMYFUNCTION("""COMPUTED_VALUE"""),"")</f>
        <v/>
      </c>
      <c r="W1592" s="1" t="str">
        <f>IFERROR(__xludf.DUMMYFUNCTION("""COMPUTED_VALUE"""),"")</f>
        <v/>
      </c>
      <c r="X1592" s="1" t="str">
        <f>IFERROR(__xludf.DUMMYFUNCTION("""COMPUTED_VALUE"""),"")</f>
        <v/>
      </c>
      <c r="Y1592" s="1" t="str">
        <f>IFERROR(__xludf.DUMMYFUNCTION("""COMPUTED_VALUE"""),"")</f>
        <v/>
      </c>
      <c r="Z1592" s="1" t="str">
        <f>IFERROR(__xludf.DUMMYFUNCTION("""COMPUTED_VALUE"""),"Unknown")</f>
        <v>Unknown</v>
      </c>
      <c r="AA1592" s="1" t="str">
        <f>IFERROR(__xludf.DUMMYFUNCTION("""COMPUTED_VALUE"""),"")</f>
        <v/>
      </c>
      <c r="AB1592" s="1" t="str">
        <f>IFERROR(__xludf.DUMMYFUNCTION("""COMPUTED_VALUE"""),"")</f>
        <v/>
      </c>
      <c r="AC1592" s="1" t="str">
        <f>IFERROR(__xludf.DUMMYFUNCTION("""COMPUTED_VALUE"""),"")</f>
        <v/>
      </c>
      <c r="AD1592" s="1" t="str">
        <f>IFERROR(__xludf.DUMMYFUNCTION("""COMPUTED_VALUE"""),"")</f>
        <v/>
      </c>
      <c r="AE1592" s="1" t="str">
        <f>IFERROR(__xludf.DUMMYFUNCTION("""COMPUTED_VALUE"""),"")</f>
        <v/>
      </c>
      <c r="AF1592" s="1" t="str">
        <f>IFERROR(__xludf.DUMMYFUNCTION("""COMPUTED_VALUE"""),"")</f>
        <v/>
      </c>
      <c r="AG1592" s="1" t="str">
        <f>IFERROR(__xludf.DUMMYFUNCTION("""COMPUTED_VALUE"""),"")</f>
        <v/>
      </c>
      <c r="AH1592" s="1" t="str">
        <f>IFERROR(__xludf.DUMMYFUNCTION("""COMPUTED_VALUE"""),"Media Monitoring")</f>
        <v>Media Monitoring</v>
      </c>
      <c r="AI1592" s="2" t="str">
        <f>IFERROR(__xludf.DUMMYFUNCTION("""COMPUTED_VALUE"""),"https://www.jsonline.com/story/communities/north/2025/04/08/port-washington-takes-up-zoning-standards-for-proposed-data-center/82774695007/")</f>
        <v>https://www.jsonline.com/story/communities/north/2025/04/08/port-washington-takes-up-zoning-standards-for-proposed-data-center/82774695007/</v>
      </c>
      <c r="AJ1592" s="2" t="str">
        <f>IFERROR(__xludf.DUMMYFUNCTION("""COMPUTED_VALUE"""),"https://www.gannett-cdn.com/authoring/authoring-images/2025/04/29/PMJS/83351569007-mjs-250422-data-center-p-15.jpg")</f>
        <v>https://www.gannett-cdn.com/authoring/authoring-images/2025/04/29/PMJS/83351569007-mjs-250422-data-center-p-15.jpg</v>
      </c>
      <c r="AK1592" s="1" t="str">
        <f>IFERROR(__xludf.DUMMYFUNCTION("""COMPUTED_VALUE"""),"")</f>
        <v/>
      </c>
      <c r="AL1592" s="1" t="str">
        <f>IFERROR(__xludf.DUMMYFUNCTION("""COMPUTED_VALUE"""),"")</f>
        <v/>
      </c>
      <c r="AM1592" s="1" t="str">
        <f>IFERROR(__xludf.DUMMYFUNCTION("""COMPUTED_VALUE"""),"")</f>
        <v/>
      </c>
      <c r="AN1592" s="1" t="str">
        <f>IFERROR(__xludf.DUMMYFUNCTION("""COMPUTED_VALUE"""),"")</f>
        <v/>
      </c>
      <c r="AO1592" s="1" t="str">
        <f>IFERROR(__xludf.DUMMYFUNCTION("""COMPUTED_VALUE"""),"")</f>
        <v/>
      </c>
      <c r="AP1592" s="1" t="str">
        <f>IFERROR(__xludf.DUMMYFUNCTION("""COMPUTED_VALUE"""),"")</f>
        <v/>
      </c>
      <c r="AQ1592" s="1" t="str">
        <f>IFERROR(__xludf.DUMMYFUNCTION("""COMPUTED_VALUE"""),"05/14/2025")</f>
        <v>05/14/2025</v>
      </c>
      <c r="AR1592" s="1" t="str">
        <f>IFERROR(__xludf.DUMMYFUNCTION("""COMPUTED_VALUE"""),"05/14/2025")</f>
        <v>05/14/2025</v>
      </c>
    </row>
    <row r="1593">
      <c r="A1593" s="1" t="str">
        <f>IFERROR(__xludf.DUMMYFUNCTION("""COMPUTED_VALUE"""),"Cloverleaf Data Center")</f>
        <v>Cloverleaf Data Center</v>
      </c>
      <c r="B1593" s="1" t="str">
        <f>IFERROR(__xludf.DUMMYFUNCTION("""COMPUTED_VALUE"""),"West of Hwy 57, south of Mallard Rd")</f>
        <v>West of Hwy 57, south of Mallard Rd</v>
      </c>
      <c r="C1593" s="1" t="str">
        <f>IFERROR(__xludf.DUMMYFUNCTION("""COMPUTED_VALUE"""),"Greenleaf")</f>
        <v>Greenleaf</v>
      </c>
      <c r="D1593" s="1" t="str">
        <f>IFERROR(__xludf.DUMMYFUNCTION("""COMPUTED_VALUE"""),"WI")</f>
        <v>WI</v>
      </c>
      <c r="E1593" s="1" t="str">
        <f>IFERROR(__xludf.DUMMYFUNCTION("""COMPUTED_VALUE"""),"54126")</f>
        <v>54126</v>
      </c>
      <c r="F1593" s="1" t="str">
        <f>IFERROR(__xludf.DUMMYFUNCTION("""COMPUTED_VALUE"""),"Brown")</f>
        <v>Brown</v>
      </c>
      <c r="G1593" s="1" t="str">
        <f>IFERROR(__xludf.DUMMYFUNCTION("""COMPUTED_VALUE"""),"44.32815")</f>
        <v>44.32815</v>
      </c>
      <c r="H1593" s="1" t="str">
        <f>IFERROR(__xludf.DUMMYFUNCTION("""COMPUTED_VALUE"""),"-88.110405")</f>
        <v>-88.110405</v>
      </c>
      <c r="I1593" s="1" t="str">
        <f>IFERROR(__xludf.DUMMYFUNCTION("""COMPUTED_VALUE"""),"Cancelled")</f>
        <v>Cancelled</v>
      </c>
      <c r="J1593" s="1" t="str">
        <f>IFERROR(__xludf.DUMMYFUNCTION("""COMPUTED_VALUE"""),"Medium")</f>
        <v>Medium</v>
      </c>
      <c r="K1593" s="1" t="str">
        <f>IFERROR(__xludf.DUMMYFUNCTION("""COMPUTED_VALUE"""),"")</f>
        <v/>
      </c>
      <c r="L1593" s="1" t="str">
        <f>IFERROR(__xludf.DUMMYFUNCTION("""COMPUTED_VALUE"""),"")</f>
        <v/>
      </c>
      <c r="M1593" s="1" t="str">
        <f>IFERROR(__xludf.DUMMYFUNCTION("""COMPUTED_VALUE"""),"")</f>
        <v/>
      </c>
      <c r="N1593" s="1" t="str">
        <f>IFERROR(__xludf.DUMMYFUNCTION("""COMPUTED_VALUE"""),"")</f>
        <v/>
      </c>
      <c r="O1593" s="1" t="str">
        <f>IFERROR(__xludf.DUMMYFUNCTION("""COMPUTED_VALUE"""),"Unknown")</f>
        <v>Unknown</v>
      </c>
      <c r="P1593" s="1" t="str">
        <f>IFERROR(__xludf.DUMMYFUNCTION("""COMPUTED_VALUE"""),"")</f>
        <v/>
      </c>
      <c r="Q1593" s="1" t="str">
        <f>IFERROR(__xludf.DUMMYFUNCTION("""COMPUTED_VALUE"""),"")</f>
        <v/>
      </c>
      <c r="R1593" s="1" t="str">
        <f>IFERROR(__xludf.DUMMYFUNCTION("""COMPUTED_VALUE"""),"")</f>
        <v/>
      </c>
      <c r="S1593" s="1" t="str">
        <f>IFERROR(__xludf.DUMMYFUNCTION("""COMPUTED_VALUE"""),"")</f>
        <v/>
      </c>
      <c r="T1593" s="1" t="str">
        <f>IFERROR(__xludf.DUMMYFUNCTION("""COMPUTED_VALUE"""),"")</f>
        <v/>
      </c>
      <c r="U1593" s="1" t="str">
        <f>IFERROR(__xludf.DUMMYFUNCTION("""COMPUTED_VALUE"""),"")</f>
        <v/>
      </c>
      <c r="V1593" s="1" t="str">
        <f>IFERROR(__xludf.DUMMYFUNCTION("""COMPUTED_VALUE"""),"")</f>
        <v/>
      </c>
      <c r="W1593" s="1" t="str">
        <f>IFERROR(__xludf.DUMMYFUNCTION("""COMPUTED_VALUE"""),"500")</f>
        <v>500</v>
      </c>
      <c r="X1593" s="1" t="str">
        <f>IFERROR(__xludf.DUMMYFUNCTION("""COMPUTED_VALUE"""),"")</f>
        <v/>
      </c>
      <c r="Y1593" s="1" t="str">
        <f>IFERROR(__xludf.DUMMYFUNCTION("""COMPUTED_VALUE"""),"")</f>
        <v/>
      </c>
      <c r="Z1593" s="1" t="str">
        <f>IFERROR(__xludf.DUMMYFUNCTION("""COMPUTED_VALUE"""),"Yes")</f>
        <v>Yes</v>
      </c>
      <c r="AA1593" s="1" t="str">
        <f>IFERROR(__xludf.DUMMYFUNCTION("""COMPUTED_VALUE"""),"")</f>
        <v/>
      </c>
      <c r="AB1593" s="1" t="str">
        <f>IFERROR(__xludf.DUMMYFUNCTION("""COMPUTED_VALUE"""),"")</f>
        <v/>
      </c>
      <c r="AC1593" s="1" t="str">
        <f>IFERROR(__xludf.DUMMYFUNCTION("""COMPUTED_VALUE"""),"")</f>
        <v/>
      </c>
      <c r="AD1593" s="2" t="str">
        <f>IFERROR(__xludf.DUMMYFUNCTION("""COMPUTED_VALUE"""),"https://www.facebook.com/groups/2066040647465173/_join_/")</f>
        <v>https://www.facebook.com/groups/2066040647465173/_join_/</v>
      </c>
      <c r="AE1593" s="1" t="str">
        <f>IFERROR(__xludf.DUMMYFUNCTION("""COMPUTED_VALUE"""),"")</f>
        <v/>
      </c>
      <c r="AF1593" s="1" t="str">
        <f>IFERROR(__xludf.DUMMYFUNCTION("""COMPUTED_VALUE"""),"")</f>
        <v/>
      </c>
      <c r="AG1593" s="1" t="str">
        <f>IFERROR(__xludf.DUMMYFUNCTION("""COMPUTED_VALUE"""),"Residents being offered up to $120,000 per acre. Developer withdrew plans for the Cloverleaf data center in Greenleaf after community opposition. Residents reported being offered up to $120,000 per acre for farmland before the project was cancelled.")</f>
        <v>Residents being offered up to $120,000 per acre. Developer withdrew plans for the Cloverleaf data center in Greenleaf after community opposition. Residents reported being offered up to $120,000 per acre for farmland before the project was cancelled.</v>
      </c>
      <c r="AH1593" s="1" t="str">
        <f>IFERROR(__xludf.DUMMYFUNCTION("""COMPUTED_VALUE"""),"Media Monitoring")</f>
        <v>Media Monitoring</v>
      </c>
      <c r="AI1593" s="2" t="str">
        <f>IFERROR(__xludf.DUMMYFUNCTION("""COMPUTED_VALUE"""),"https://www.datacenterdynamics.com/en/news/residents-of-greenleaf-wisconsin-offered-up-to-120000-per-acre-to-sell-land-for-data-center-report/")</f>
        <v>https://www.datacenterdynamics.com/en/news/residents-of-greenleaf-wisconsin-offered-up-to-120000-per-acre-to-sell-land-for-data-center-report/</v>
      </c>
      <c r="AJ1593" s="2" t="str">
        <f>IFERROR(__xludf.DUMMYFUNCTION("""COMPUTED_VALUE"""),"https://www.datacenterdynamics.com/en/news/cloverleaf-backs-out-of-data-center-project-in-greenleaf-wisconsin/")</f>
        <v>https://www.datacenterdynamics.com/en/news/cloverleaf-backs-out-of-data-center-project-in-greenleaf-wisconsin/</v>
      </c>
      <c r="AK1593" s="2" t="str">
        <f>IFERROR(__xludf.DUMMYFUNCTION("""COMPUTED_VALUE"""),"https://spectrumnews1.com/wi/milwaukee/news/2026/01/13/data-center-withdraws-plans-to-build-in-brown-county-following-community-pushback-greenleaf-")</f>
        <v>https://spectrumnews1.com/wi/milwaukee/news/2026/01/13/data-center-withdraws-plans-to-build-in-brown-county-following-community-pushback-greenleaf-</v>
      </c>
      <c r="AL1593" s="1" t="str">
        <f>IFERROR(__xludf.DUMMYFUNCTION("""COMPUTED_VALUE"""),"")</f>
        <v/>
      </c>
      <c r="AM1593" s="1" t="str">
        <f>IFERROR(__xludf.DUMMYFUNCTION("""COMPUTED_VALUE"""),"")</f>
        <v/>
      </c>
      <c r="AN1593" s="1" t="str">
        <f>IFERROR(__xludf.DUMMYFUNCTION("""COMPUTED_VALUE"""),"")</f>
        <v/>
      </c>
      <c r="AO1593" s="1" t="str">
        <f>IFERROR(__xludf.DUMMYFUNCTION("""COMPUTED_VALUE"""),"")</f>
        <v/>
      </c>
      <c r="AP1593" s="1" t="str">
        <f>IFERROR(__xludf.DUMMYFUNCTION("""COMPUTED_VALUE"""),"")</f>
        <v/>
      </c>
      <c r="AQ1593" s="1" t="str">
        <f>IFERROR(__xludf.DUMMYFUNCTION("""COMPUTED_VALUE"""),"01/06/2026")</f>
        <v>01/06/2026</v>
      </c>
      <c r="AR1593" s="1" t="str">
        <f>IFERROR(__xludf.DUMMYFUNCTION("""COMPUTED_VALUE"""),"01/14/2026")</f>
        <v>01/14/2026</v>
      </c>
    </row>
    <row r="1594">
      <c r="A1594" s="1" t="str">
        <f>IFERROR(__xludf.DUMMYFUNCTION("""COMPUTED_VALUE"""),"Janesville Data Center")</f>
        <v>Janesville Data Center</v>
      </c>
      <c r="B1594" s="1" t="str">
        <f>IFERROR(__xludf.DUMMYFUNCTION("""COMPUTED_VALUE"""),"1000 General Motors Dr")</f>
        <v>1000 General Motors Dr</v>
      </c>
      <c r="C1594" s="1" t="str">
        <f>IFERROR(__xludf.DUMMYFUNCTION("""COMPUTED_VALUE"""),"Janesville")</f>
        <v>Janesville</v>
      </c>
      <c r="D1594" s="1" t="str">
        <f>IFERROR(__xludf.DUMMYFUNCTION("""COMPUTED_VALUE"""),"WI")</f>
        <v>WI</v>
      </c>
      <c r="E1594" s="1" t="str">
        <f>IFERROR(__xludf.DUMMYFUNCTION("""COMPUTED_VALUE"""),"53546")</f>
        <v>53546</v>
      </c>
      <c r="F1594" s="1" t="str">
        <f>IFERROR(__xludf.DUMMYFUNCTION("""COMPUTED_VALUE"""),"Rock")</f>
        <v>Rock</v>
      </c>
      <c r="G1594" s="1" t="str">
        <f>IFERROR(__xludf.DUMMYFUNCTION("""COMPUTED_VALUE"""),"42.65851")</f>
        <v>42.65851</v>
      </c>
      <c r="H1594" s="1" t="str">
        <f>IFERROR(__xludf.DUMMYFUNCTION("""COMPUTED_VALUE"""),"-89.0211")</f>
        <v>-89.0211</v>
      </c>
      <c r="I1594" s="1" t="str">
        <f>IFERROR(__xludf.DUMMYFUNCTION("""COMPUTED_VALUE"""),"Proposed")</f>
        <v>Proposed</v>
      </c>
      <c r="J1594" s="1" t="str">
        <f>IFERROR(__xludf.DUMMYFUNCTION("""COMPUTED_VALUE"""),"High")</f>
        <v>High</v>
      </c>
      <c r="K1594" s="1" t="str">
        <f>IFERROR(__xludf.DUMMYFUNCTION("""COMPUTED_VALUE"""),"")</f>
        <v/>
      </c>
      <c r="L1594" s="1" t="str">
        <f>IFERROR(__xludf.DUMMYFUNCTION("""COMPUTED_VALUE"""),"")</f>
        <v/>
      </c>
      <c r="M1594" s="1" t="str">
        <f>IFERROR(__xludf.DUMMYFUNCTION("""COMPUTED_VALUE"""),"")</f>
        <v/>
      </c>
      <c r="N1594" s="1" t="str">
        <f>IFERROR(__xludf.DUMMYFUNCTION("""COMPUTED_VALUE"""),"25-200")</f>
        <v>25-200</v>
      </c>
      <c r="O1594" s="1" t="str">
        <f>IFERROR(__xludf.DUMMYFUNCTION("""COMPUTED_VALUE"""),"Hyperscale (100-999 MW)")</f>
        <v>Hyperscale (100-999 MW)</v>
      </c>
      <c r="P1594" s="1" t="str">
        <f>IFERROR(__xludf.DUMMYFUNCTION("""COMPUTED_VALUE"""),"")</f>
        <v/>
      </c>
      <c r="Q1594" s="1" t="str">
        <f>IFERROR(__xludf.DUMMYFUNCTION("""COMPUTED_VALUE"""),"")</f>
        <v/>
      </c>
      <c r="R1594" s="1" t="str">
        <f>IFERROR(__xludf.DUMMYFUNCTION("""COMPUTED_VALUE"""),"")</f>
        <v/>
      </c>
      <c r="S1594" s="1" t="str">
        <f>IFERROR(__xludf.DUMMYFUNCTION("""COMPUTED_VALUE"""),"")</f>
        <v/>
      </c>
      <c r="T1594" s="1" t="str">
        <f>IFERROR(__xludf.DUMMYFUNCTION("""COMPUTED_VALUE"""),"")</f>
        <v/>
      </c>
      <c r="U1594" s="1" t="str">
        <f>IFERROR(__xludf.DUMMYFUNCTION("""COMPUTED_VALUE"""),"")</f>
        <v/>
      </c>
      <c r="V1594" s="1" t="str">
        <f>IFERROR(__xludf.DUMMYFUNCTION("""COMPUTED_VALUE"""),"4,800,000")</f>
        <v>4,800,000</v>
      </c>
      <c r="W1594" s="1" t="str">
        <f>IFERROR(__xludf.DUMMYFUNCTION("""COMPUTED_VALUE"""),"240")</f>
        <v>240</v>
      </c>
      <c r="X1594" s="1" t="str">
        <f>IFERROR(__xludf.DUMMYFUNCTION("""COMPUTED_VALUE"""),"")</f>
        <v/>
      </c>
      <c r="Y1594" s="1" t="str">
        <f>IFERROR(__xludf.DUMMYFUNCTION("""COMPUTED_VALUE"""),"")</f>
        <v/>
      </c>
      <c r="Z1594" s="1" t="str">
        <f>IFERROR(__xludf.DUMMYFUNCTION("""COMPUTED_VALUE"""),"Yes")</f>
        <v>Yes</v>
      </c>
      <c r="AA1594" s="1" t="str">
        <f>IFERROR(__xludf.DUMMYFUNCTION("""COMPUTED_VALUE"""),"nojanesvilledatacenter@gmail.com")</f>
        <v>nojanesvilledatacenter@gmail.com</v>
      </c>
      <c r="AB1594" s="1" t="str">
        <f>IFERROR(__xludf.DUMMYFUNCTION("""COMPUTED_VALUE"""),"")</f>
        <v/>
      </c>
      <c r="AC1594" s="1" t="str">
        <f>IFERROR(__xludf.DUMMYFUNCTION("""COMPUTED_VALUE"""),"")</f>
        <v/>
      </c>
      <c r="AD1594" s="1" t="str">
        <f>IFERROR(__xludf.DUMMYFUNCTION("""COMPUTED_VALUE"""),"")</f>
        <v/>
      </c>
      <c r="AE1594" s="1" t="str">
        <f>IFERROR(__xludf.DUMMYFUNCTION("""COMPUTED_VALUE"""),"")</f>
        <v/>
      </c>
      <c r="AF1594" s="2" t="str">
        <f>IFERROR(__xludf.DUMMYFUNCTION("""COMPUTED_VALUE"""),"https://www.change.org/p/no-janesville-data-center")</f>
        <v>https://www.change.org/p/no-janesville-data-center</v>
      </c>
      <c r="AG1594" s="1" t="str">
        <f>IFERROR(__xludf.DUMMYFUNCTION("""COMPUTED_VALUE"""),"")</f>
        <v/>
      </c>
      <c r="AH1594" s="1" t="str">
        <f>IFERROR(__xludf.DUMMYFUNCTION("""COMPUTED_VALUE"""),"Media Monitoring")</f>
        <v>Media Monitoring</v>
      </c>
      <c r="AI1594" s="2" t="str">
        <f>IFERROR(__xludf.DUMMYFUNCTION("""COMPUTED_VALUE"""),"https://www.datacenterdynamics.com/en/news/officials-in-janesville-wisconsin-seek-data-center-partner-for-former-gm-auto-assembly-plant/")</f>
        <v>https://www.datacenterdynamics.com/en/news/officials-in-janesville-wisconsin-seek-data-center-partner-for-former-gm-auto-assembly-plant/</v>
      </c>
      <c r="AJ1594" s="2" t="str">
        <f>IFERROR(__xludf.DUMMYFUNCTION("""COMPUTED_VALUE"""),"https://www.widatacenterfacts.org/communities/janesville-fact-checking-the-citys-fact-checking")</f>
        <v>https://www.widatacenterfacts.org/communities/janesville-fact-checking-the-citys-fact-checking</v>
      </c>
      <c r="AK1594" s="1" t="str">
        <f>IFERROR(__xludf.DUMMYFUNCTION("""COMPUTED_VALUE"""),"")</f>
        <v/>
      </c>
      <c r="AL1594" s="1" t="str">
        <f>IFERROR(__xludf.DUMMYFUNCTION("""COMPUTED_VALUE"""),"")</f>
        <v/>
      </c>
      <c r="AM1594" s="1" t="str">
        <f>IFERROR(__xludf.DUMMYFUNCTION("""COMPUTED_VALUE"""),"")</f>
        <v/>
      </c>
      <c r="AN1594" s="1" t="str">
        <f>IFERROR(__xludf.DUMMYFUNCTION("""COMPUTED_VALUE"""),"")</f>
        <v/>
      </c>
      <c r="AO1594" s="1" t="str">
        <f>IFERROR(__xludf.DUMMYFUNCTION("""COMPUTED_VALUE"""),"")</f>
        <v/>
      </c>
      <c r="AP1594" s="1" t="str">
        <f>IFERROR(__xludf.DUMMYFUNCTION("""COMPUTED_VALUE"""),"")</f>
        <v/>
      </c>
      <c r="AQ1594" s="1" t="str">
        <f>IFERROR(__xludf.DUMMYFUNCTION("""COMPUTED_VALUE"""),"07/22/2025")</f>
        <v>07/22/2025</v>
      </c>
      <c r="AR1594" s="1" t="str">
        <f>IFERROR(__xludf.DUMMYFUNCTION("""COMPUTED_VALUE"""),"02/11/2026")</f>
        <v>02/11/2026</v>
      </c>
    </row>
    <row r="1595">
      <c r="A1595" s="1" t="str">
        <f>IFERROR(__xludf.DUMMYFUNCTION("""COMPUTED_VALUE"""),"Project Cornmaze")</f>
        <v>Project Cornmaze</v>
      </c>
      <c r="B1595" s="1" t="str">
        <f>IFERROR(__xludf.DUMMYFUNCTION("""COMPUTED_VALUE"""),"")</f>
        <v/>
      </c>
      <c r="C1595" s="1" t="str">
        <f>IFERROR(__xludf.DUMMYFUNCTION("""COMPUTED_VALUE"""),"Janesville")</f>
        <v>Janesville</v>
      </c>
      <c r="D1595" s="1" t="str">
        <f>IFERROR(__xludf.DUMMYFUNCTION("""COMPUTED_VALUE"""),"WI")</f>
        <v>WI</v>
      </c>
      <c r="E1595" s="1" t="str">
        <f>IFERROR(__xludf.DUMMYFUNCTION("""COMPUTED_VALUE"""),"53546")</f>
        <v>53546</v>
      </c>
      <c r="F1595" s="1" t="str">
        <f>IFERROR(__xludf.DUMMYFUNCTION("""COMPUTED_VALUE"""),"Rock")</f>
        <v>Rock</v>
      </c>
      <c r="G1595" s="1" t="str">
        <f>IFERROR(__xludf.DUMMYFUNCTION("""COMPUTED_VALUE"""),"42.57651")</f>
        <v>42.57651</v>
      </c>
      <c r="H1595" s="1" t="str">
        <f>IFERROR(__xludf.DUMMYFUNCTION("""COMPUTED_VALUE"""),"-88.999855")</f>
        <v>-88.999855</v>
      </c>
      <c r="I1595" s="1" t="str">
        <f>IFERROR(__xludf.DUMMYFUNCTION("""COMPUTED_VALUE"""),"Proposed")</f>
        <v>Proposed</v>
      </c>
      <c r="J1595" s="1" t="str">
        <f>IFERROR(__xludf.DUMMYFUNCTION("""COMPUTED_VALUE"""),"High")</f>
        <v>High</v>
      </c>
      <c r="K1595" s="1" t="str">
        <f>IFERROR(__xludf.DUMMYFUNCTION("""COMPUTED_VALUE"""),"")</f>
        <v/>
      </c>
      <c r="L1595" s="1" t="str">
        <f>IFERROR(__xludf.DUMMYFUNCTION("""COMPUTED_VALUE""")," Cambrin LLC., Meta?")</f>
        <v> Cambrin LLC., Meta?</v>
      </c>
      <c r="M1595" s="1" t="str">
        <f>IFERROR(__xludf.DUMMYFUNCTION("""COMPUTED_VALUE"""),"")</f>
        <v/>
      </c>
      <c r="N1595" s="1" t="str">
        <f>IFERROR(__xludf.DUMMYFUNCTION("""COMPUTED_VALUE"""),"")</f>
        <v/>
      </c>
      <c r="O1595" s="1" t="str">
        <f>IFERROR(__xludf.DUMMYFUNCTION("""COMPUTED_VALUE"""),"Unknown")</f>
        <v>Unknown</v>
      </c>
      <c r="P1595" s="1" t="str">
        <f>IFERROR(__xludf.DUMMYFUNCTION("""COMPUTED_VALUE"""),"")</f>
        <v/>
      </c>
      <c r="Q1595" s="1" t="str">
        <f>IFERROR(__xludf.DUMMYFUNCTION("""COMPUTED_VALUE"""),"")</f>
        <v/>
      </c>
      <c r="R1595" s="1" t="str">
        <f>IFERROR(__xludf.DUMMYFUNCTION("""COMPUTED_VALUE"""),"")</f>
        <v/>
      </c>
      <c r="S1595" s="1" t="str">
        <f>IFERROR(__xludf.DUMMYFUNCTION("""COMPUTED_VALUE"""),"")</f>
        <v/>
      </c>
      <c r="T1595" s="1" t="str">
        <f>IFERROR(__xludf.DUMMYFUNCTION("""COMPUTED_VALUE"""),"")</f>
        <v/>
      </c>
      <c r="U1595" s="1" t="str">
        <f>IFERROR(__xludf.DUMMYFUNCTION("""COMPUTED_VALUE"""),"Closed loop")</f>
        <v>Closed loop</v>
      </c>
      <c r="V1595" s="1" t="str">
        <f>IFERROR(__xludf.DUMMYFUNCTION("""COMPUTED_VALUE"""),"")</f>
        <v/>
      </c>
      <c r="W1595" s="1" t="str">
        <f>IFERROR(__xludf.DUMMYFUNCTION("""COMPUTED_VALUE"""),"430")</f>
        <v>430</v>
      </c>
      <c r="X1595" s="1" t="str">
        <f>IFERROR(__xludf.DUMMYFUNCTION("""COMPUTED_VALUE"""),"")</f>
        <v/>
      </c>
      <c r="Y1595" s="1" t="str">
        <f>IFERROR(__xludf.DUMMYFUNCTION("""COMPUTED_VALUE"""),"")</f>
        <v/>
      </c>
      <c r="Z1595" s="1" t="str">
        <f>IFERROR(__xludf.DUMMYFUNCTION("""COMPUTED_VALUE"""),"Unknown")</f>
        <v>Unknown</v>
      </c>
      <c r="AA1595" s="1" t="str">
        <f>IFERROR(__xludf.DUMMYFUNCTION("""COMPUTED_VALUE"""),"")</f>
        <v/>
      </c>
      <c r="AB1595" s="1" t="str">
        <f>IFERROR(__xludf.DUMMYFUNCTION("""COMPUTED_VALUE"""),"")</f>
        <v/>
      </c>
      <c r="AC1595" s="1" t="str">
        <f>IFERROR(__xludf.DUMMYFUNCTION("""COMPUTED_VALUE"""),"")</f>
        <v/>
      </c>
      <c r="AD1595" s="2" t="str">
        <f>IFERROR(__xludf.DUMMYFUNCTION("""COMPUTED_VALUE"""),"https://www.facebook.com/people/No-Janesville-Data-Center/61580624576545/")</f>
        <v>https://www.facebook.com/people/No-Janesville-Data-Center/61580624576545/</v>
      </c>
      <c r="AE1595" s="1" t="str">
        <f>IFERROR(__xludf.DUMMYFUNCTION("""COMPUTED_VALUE"""),"")</f>
        <v/>
      </c>
      <c r="AF1595" s="2" t="str">
        <f>IFERROR(__xludf.DUMMYFUNCTION("""COMPUTED_VALUE"""),"https://www.facebook.com/groups/1347060293852060/")</f>
        <v>https://www.facebook.com/groups/1347060293852060/</v>
      </c>
      <c r="AG1595" s="1" t="str">
        <f>IFERROR(__xludf.DUMMYFUNCTION("""COMPUTED_VALUE"""),"The land is currently an active gravel pit operated by Rock Road Companies Inc.")</f>
        <v>The land is currently an active gravel pit operated by Rock Road Companies Inc.</v>
      </c>
      <c r="AH1595" s="1" t="str">
        <f>IFERROR(__xludf.DUMMYFUNCTION("""COMPUTED_VALUE"""),"Media Monitoring")</f>
        <v>Media Monitoring</v>
      </c>
      <c r="AI1595" s="2" t="str">
        <f>IFERROR(__xludf.DUMMYFUNCTION("""COMPUTED_VALUE"""),"https://www.datacenterdynamics.com/en/news/developer-panattoni-seeks-to-claw-back-cash-from-town-of-turtle-wisconsin-for-430-acre-data-center/")</f>
        <v>https://www.datacenterdynamics.com/en/news/developer-panattoni-seeks-to-claw-back-cash-from-town-of-turtle-wisconsin-for-430-acre-data-center/</v>
      </c>
      <c r="AJ1595" s="1" t="str">
        <f>IFERROR(__xludf.DUMMYFUNCTION("""COMPUTED_VALUE"""),"")</f>
        <v/>
      </c>
      <c r="AK1595" s="1" t="str">
        <f>IFERROR(__xludf.DUMMYFUNCTION("""COMPUTED_VALUE"""),"")</f>
        <v/>
      </c>
      <c r="AL1595" s="1" t="str">
        <f>IFERROR(__xludf.DUMMYFUNCTION("""COMPUTED_VALUE"""),"")</f>
        <v/>
      </c>
      <c r="AM1595" s="1" t="str">
        <f>IFERROR(__xludf.DUMMYFUNCTION("""COMPUTED_VALUE"""),"")</f>
        <v/>
      </c>
      <c r="AN1595" s="1" t="str">
        <f>IFERROR(__xludf.DUMMYFUNCTION("""COMPUTED_VALUE"""),"")</f>
        <v/>
      </c>
      <c r="AO1595" s="1" t="str">
        <f>IFERROR(__xludf.DUMMYFUNCTION("""COMPUTED_VALUE"""),"")</f>
        <v/>
      </c>
      <c r="AP1595" s="1" t="str">
        <f>IFERROR(__xludf.DUMMYFUNCTION("""COMPUTED_VALUE"""),"")</f>
        <v/>
      </c>
      <c r="AQ1595" s="1" t="str">
        <f>IFERROR(__xludf.DUMMYFUNCTION("""COMPUTED_VALUE"""),"06/11/2026")</f>
        <v>06/11/2026</v>
      </c>
      <c r="AR1595" s="1" t="str">
        <f>IFERROR(__xludf.DUMMYFUNCTION("""COMPUTED_VALUE"""),"06/11/2026")</f>
        <v>06/11/2026</v>
      </c>
    </row>
    <row r="1596">
      <c r="A1596" s="1" t="str">
        <f>IFERROR(__xludf.DUMMYFUNCTION("""COMPUTED_VALUE"""),"Kenosha Microsoft Data Center")</f>
        <v>Kenosha Microsoft Data Center</v>
      </c>
      <c r="B1596" s="1" t="str">
        <f>IFERROR(__xludf.DUMMYFUNCTION("""COMPUTED_VALUE"""),"12990 Burlington Rd")</f>
        <v>12990 Burlington Rd</v>
      </c>
      <c r="C1596" s="1" t="str">
        <f>IFERROR(__xludf.DUMMYFUNCTION("""COMPUTED_VALUE"""),"Kenosha")</f>
        <v>Kenosha</v>
      </c>
      <c r="D1596" s="1" t="str">
        <f>IFERROR(__xludf.DUMMYFUNCTION("""COMPUTED_VALUE"""),"WI")</f>
        <v>WI</v>
      </c>
      <c r="E1596" s="1" t="str">
        <f>IFERROR(__xludf.DUMMYFUNCTION("""COMPUTED_VALUE"""),"53144")</f>
        <v>53144</v>
      </c>
      <c r="F1596" s="1" t="str">
        <f>IFERROR(__xludf.DUMMYFUNCTION("""COMPUTED_VALUE"""),"Kenosha")</f>
        <v>Kenosha</v>
      </c>
      <c r="G1596" s="1" t="str">
        <f>IFERROR(__xludf.DUMMYFUNCTION("""COMPUTED_VALUE"""),"42.62348")</f>
        <v>42.62348</v>
      </c>
      <c r="H1596" s="1" t="str">
        <f>IFERROR(__xludf.DUMMYFUNCTION("""COMPUTED_VALUE"""),"-87.9679")</f>
        <v>-87.9679</v>
      </c>
      <c r="I1596" s="1" t="str">
        <f>IFERROR(__xludf.DUMMYFUNCTION("""COMPUTED_VALUE"""),"Proposed")</f>
        <v>Proposed</v>
      </c>
      <c r="J1596" s="1" t="str">
        <f>IFERROR(__xludf.DUMMYFUNCTION("""COMPUTED_VALUE"""),"High")</f>
        <v>High</v>
      </c>
      <c r="K1596" s="1" t="str">
        <f>IFERROR(__xludf.DUMMYFUNCTION("""COMPUTED_VALUE"""),"")</f>
        <v/>
      </c>
      <c r="L1596" s="1" t="str">
        <f>IFERROR(__xludf.DUMMYFUNCTION("""COMPUTED_VALUE"""),"Microsoft")</f>
        <v>Microsoft</v>
      </c>
      <c r="M1596" s="1" t="str">
        <f>IFERROR(__xludf.DUMMYFUNCTION("""COMPUTED_VALUE"""),"")</f>
        <v/>
      </c>
      <c r="N1596" s="1" t="str">
        <f>IFERROR(__xludf.DUMMYFUNCTION("""COMPUTED_VALUE"""),"")</f>
        <v/>
      </c>
      <c r="O1596" s="1" t="str">
        <f>IFERROR(__xludf.DUMMYFUNCTION("""COMPUTED_VALUE"""),"Hyperscale (100-999 MW)")</f>
        <v>Hyperscale (100-999 MW)</v>
      </c>
      <c r="P1596" s="1" t="str">
        <f>IFERROR(__xludf.DUMMYFUNCTION("""COMPUTED_VALUE"""),"")</f>
        <v/>
      </c>
      <c r="Q1596" s="1" t="str">
        <f>IFERROR(__xludf.DUMMYFUNCTION("""COMPUTED_VALUE"""),"")</f>
        <v/>
      </c>
      <c r="R1596" s="1" t="str">
        <f>IFERROR(__xludf.DUMMYFUNCTION("""COMPUTED_VALUE"""),"")</f>
        <v/>
      </c>
      <c r="S1596" s="1" t="str">
        <f>IFERROR(__xludf.DUMMYFUNCTION("""COMPUTED_VALUE"""),"")</f>
        <v/>
      </c>
      <c r="T1596" s="1" t="str">
        <f>IFERROR(__xludf.DUMMYFUNCTION("""COMPUTED_VALUE"""),"")</f>
        <v/>
      </c>
      <c r="U1596" s="1" t="str">
        <f>IFERROR(__xludf.DUMMYFUNCTION("""COMPUTED_VALUE"""),"")</f>
        <v/>
      </c>
      <c r="V1596" s="1" t="str">
        <f>IFERROR(__xludf.DUMMYFUNCTION("""COMPUTED_VALUE"""),"1,000,000")</f>
        <v>1,000,000</v>
      </c>
      <c r="W1596" s="1" t="str">
        <f>IFERROR(__xludf.DUMMYFUNCTION("""COMPUTED_VALUE"""),"240")</f>
        <v>240</v>
      </c>
      <c r="X1596" s="1" t="str">
        <f>IFERROR(__xludf.DUMMYFUNCTION("""COMPUTED_VALUE"""),"$3.3 billion")</f>
        <v>$3.3 billion</v>
      </c>
      <c r="Y1596" s="1" t="str">
        <f>IFERROR(__xludf.DUMMYFUNCTION("""COMPUTED_VALUE"""),"")</f>
        <v/>
      </c>
      <c r="Z1596" s="1" t="str">
        <f>IFERROR(__xludf.DUMMYFUNCTION("""COMPUTED_VALUE"""),"Yes")</f>
        <v>Yes</v>
      </c>
      <c r="AA1596" s="1" t="str">
        <f>IFERROR(__xludf.DUMMYFUNCTION("""COMPUTED_VALUE"""),"kuamdc@gmail.com")</f>
        <v>kuamdc@gmail.com</v>
      </c>
      <c r="AB1596" s="1" t="str">
        <f>IFERROR(__xludf.DUMMYFUNCTION("""COMPUTED_VALUE"""),"")</f>
        <v/>
      </c>
      <c r="AC1596" s="1" t="str">
        <f>IFERROR(__xludf.DUMMYFUNCTION("""COMPUTED_VALUE"""),"")</f>
        <v/>
      </c>
      <c r="AD1596" s="2" t="str">
        <f>IFERROR(__xludf.DUMMYFUNCTION("""COMPUTED_VALUE"""),"https://www.facebook.com/people/Kenoshans-Unite-Against-Microsoft-Data-Center/61583067017308/")</f>
        <v>https://www.facebook.com/people/Kenoshans-Unite-Against-Microsoft-Data-Center/61583067017308/</v>
      </c>
      <c r="AE1596" s="1" t="str">
        <f>IFERROR(__xludf.DUMMYFUNCTION("""COMPUTED_VALUE"""),"")</f>
        <v/>
      </c>
      <c r="AF1596" s="2" t="str">
        <f>IFERROR(__xludf.DUMMYFUNCTION("""COMPUTED_VALUE"""),"https://www.change.org/p/stop-the-opening-of-the-microsoft-data-center-in-kenosha?")</f>
        <v>https://www.change.org/p/stop-the-opening-of-the-microsoft-data-center-in-kenosha?</v>
      </c>
      <c r="AG1596" s="1" t="str">
        <f>IFERROR(__xludf.DUMMYFUNCTION("""COMPUTED_VALUE"""),"Microsoft purchased approximately 240 acres on Burlington Rd in Kenosha County for a potential hyperscale data center campus. Development plans are still early and the project remains in the proposal stage.")</f>
        <v>Microsoft purchased approximately 240 acres on Burlington Rd in Kenosha County for a potential hyperscale data center campus. Development plans are still early and the project remains in the proposal stage.</v>
      </c>
      <c r="AH1596" s="1" t="str">
        <f>IFERROR(__xludf.DUMMYFUNCTION("""COMPUTED_VALUE"""),"Media Monitoring")</f>
        <v>Media Monitoring</v>
      </c>
      <c r="AI1596" s="2" t="str">
        <f>IFERROR(__xludf.DUMMYFUNCTION("""COMPUTED_VALUE"""),"https://biztimes.com/microsoft-buys-240-acres-of-land-in-kenosha-for-data-center-development/")</f>
        <v>https://biztimes.com/microsoft-buys-240-acres-of-land-in-kenosha-for-data-center-development/</v>
      </c>
      <c r="AJ1596" s="2" t="str">
        <f>IFERROR(__xludf.DUMMYFUNCTION("""COMPUTED_VALUE"""),"https://www.kaba.org/news-item/psc-approves-natural-gas-power-plants-planned-in-oak-creek-and-kenosha-county/")</f>
        <v>https://www.kaba.org/news-item/psc-approves-natural-gas-power-plants-planned-in-oak-creek-and-kenosha-county/</v>
      </c>
      <c r="AK1596" s="1" t="str">
        <f>IFERROR(__xludf.DUMMYFUNCTION("""COMPUTED_VALUE"""),"")</f>
        <v/>
      </c>
      <c r="AL1596" s="1" t="str">
        <f>IFERROR(__xludf.DUMMYFUNCTION("""COMPUTED_VALUE"""),"")</f>
        <v/>
      </c>
      <c r="AM1596" s="1" t="str">
        <f>IFERROR(__xludf.DUMMYFUNCTION("""COMPUTED_VALUE"""),"")</f>
        <v/>
      </c>
      <c r="AN1596" s="1" t="str">
        <f>IFERROR(__xludf.DUMMYFUNCTION("""COMPUTED_VALUE"""),"")</f>
        <v/>
      </c>
      <c r="AO1596" s="1" t="str">
        <f>IFERROR(__xludf.DUMMYFUNCTION("""COMPUTED_VALUE"""),"")</f>
        <v/>
      </c>
      <c r="AP1596" s="1" t="str">
        <f>IFERROR(__xludf.DUMMYFUNCTION("""COMPUTED_VALUE"""),"")</f>
        <v/>
      </c>
      <c r="AQ1596" s="1" t="str">
        <f>IFERROR(__xludf.DUMMYFUNCTION("""COMPUTED_VALUE"""),"05/24/2025")</f>
        <v>05/24/2025</v>
      </c>
      <c r="AR1596" s="1" t="str">
        <f>IFERROR(__xludf.DUMMYFUNCTION("""COMPUTED_VALUE"""),"03/16/2026")</f>
        <v>03/16/2026</v>
      </c>
    </row>
    <row r="1597">
      <c r="A1597" s="1" t="str">
        <f>IFERROR(__xludf.DUMMYFUNCTION("""COMPUTED_VALUE"""),"Data center")</f>
        <v>Data center</v>
      </c>
      <c r="B1597" s="1" t="str">
        <f>IFERROR(__xludf.DUMMYFUNCTION("""COMPUTED_VALUE"""),"5825 W. Hope Ave")</f>
        <v>5825 W. Hope Ave</v>
      </c>
      <c r="C1597" s="1" t="str">
        <f>IFERROR(__xludf.DUMMYFUNCTION("""COMPUTED_VALUE"""),"Milwaukee")</f>
        <v>Milwaukee</v>
      </c>
      <c r="D1597" s="1" t="str">
        <f>IFERROR(__xludf.DUMMYFUNCTION("""COMPUTED_VALUE"""),"WI")</f>
        <v>WI</v>
      </c>
      <c r="E1597" s="1" t="str">
        <f>IFERROR(__xludf.DUMMYFUNCTION("""COMPUTED_VALUE"""),"53216")</f>
        <v>53216</v>
      </c>
      <c r="F1597" s="1" t="str">
        <f>IFERROR(__xludf.DUMMYFUNCTION("""COMPUTED_VALUE"""),"Milwaukee")</f>
        <v>Milwaukee</v>
      </c>
      <c r="G1597" s="1" t="str">
        <f>IFERROR(__xludf.DUMMYFUNCTION("""COMPUTED_VALUE"""),"43.09332")</f>
        <v>43.09332</v>
      </c>
      <c r="H1597" s="1" t="str">
        <f>IFERROR(__xludf.DUMMYFUNCTION("""COMPUTED_VALUE"""),"-87.9846")</f>
        <v>-87.9846</v>
      </c>
      <c r="I1597" s="1" t="str">
        <f>IFERROR(__xludf.DUMMYFUNCTION("""COMPUTED_VALUE"""),"Cancelled")</f>
        <v>Cancelled</v>
      </c>
      <c r="J1597" s="1" t="str">
        <f>IFERROR(__xludf.DUMMYFUNCTION("""COMPUTED_VALUE"""),"High")</f>
        <v>High</v>
      </c>
      <c r="K1597" s="1" t="str">
        <f>IFERROR(__xludf.DUMMYFUNCTION("""COMPUTED_VALUE"""),"")</f>
        <v/>
      </c>
      <c r="L1597" s="1" t="str">
        <f>IFERROR(__xludf.DUMMYFUNCTION("""COMPUTED_VALUE"""),"")</f>
        <v/>
      </c>
      <c r="M1597" s="1" t="str">
        <f>IFERROR(__xludf.DUMMYFUNCTION("""COMPUTED_VALUE"""),"")</f>
        <v/>
      </c>
      <c r="N1597" s="1" t="str">
        <f>IFERROR(__xludf.DUMMYFUNCTION("""COMPUTED_VALUE"""),"")</f>
        <v/>
      </c>
      <c r="O1597" s="1" t="str">
        <f>IFERROR(__xludf.DUMMYFUNCTION("""COMPUTED_VALUE"""),"Unknown")</f>
        <v>Unknown</v>
      </c>
      <c r="P1597" s="1" t="str">
        <f>IFERROR(__xludf.DUMMYFUNCTION("""COMPUTED_VALUE"""),"")</f>
        <v/>
      </c>
      <c r="Q1597" s="1" t="str">
        <f>IFERROR(__xludf.DUMMYFUNCTION("""COMPUTED_VALUE"""),"")</f>
        <v/>
      </c>
      <c r="R1597" s="1" t="str">
        <f>IFERROR(__xludf.DUMMYFUNCTION("""COMPUTED_VALUE"""),"")</f>
        <v/>
      </c>
      <c r="S1597" s="1" t="str">
        <f>IFERROR(__xludf.DUMMYFUNCTION("""COMPUTED_VALUE"""),"")</f>
        <v/>
      </c>
      <c r="T1597" s="1" t="str">
        <f>IFERROR(__xludf.DUMMYFUNCTION("""COMPUTED_VALUE"""),"")</f>
        <v/>
      </c>
      <c r="U1597" s="1" t="str">
        <f>IFERROR(__xludf.DUMMYFUNCTION("""COMPUTED_VALUE"""),"")</f>
        <v/>
      </c>
      <c r="V1597" s="1" t="str">
        <f>IFERROR(__xludf.DUMMYFUNCTION("""COMPUTED_VALUE"""),"19,000")</f>
        <v>19,000</v>
      </c>
      <c r="W1597" s="1" t="str">
        <f>IFERROR(__xludf.DUMMYFUNCTION("""COMPUTED_VALUE"""),"")</f>
        <v/>
      </c>
      <c r="X1597" s="1" t="str">
        <f>IFERROR(__xludf.DUMMYFUNCTION("""COMPUTED_VALUE"""),"")</f>
        <v/>
      </c>
      <c r="Y1597" s="1" t="str">
        <f>IFERROR(__xludf.DUMMYFUNCTION("""COMPUTED_VALUE"""),"")</f>
        <v/>
      </c>
      <c r="Z1597" s="1" t="str">
        <f>IFERROR(__xludf.DUMMYFUNCTION("""COMPUTED_VALUE"""),"Unknown")</f>
        <v>Unknown</v>
      </c>
      <c r="AA1597" s="1" t="str">
        <f>IFERROR(__xludf.DUMMYFUNCTION("""COMPUTED_VALUE"""),"")</f>
        <v/>
      </c>
      <c r="AB1597" s="1" t="str">
        <f>IFERROR(__xludf.DUMMYFUNCTION("""COMPUTED_VALUE"""),"")</f>
        <v/>
      </c>
      <c r="AC1597" s="1" t="str">
        <f>IFERROR(__xludf.DUMMYFUNCTION("""COMPUTED_VALUE"""),"")</f>
        <v/>
      </c>
      <c r="AD1597" s="1" t="str">
        <f>IFERROR(__xludf.DUMMYFUNCTION("""COMPUTED_VALUE"""),"")</f>
        <v/>
      </c>
      <c r="AE1597" s="1" t="str">
        <f>IFERROR(__xludf.DUMMYFUNCTION("""COMPUTED_VALUE"""),"")</f>
        <v/>
      </c>
      <c r="AF1597" s="1" t="str">
        <f>IFERROR(__xludf.DUMMYFUNCTION("""COMPUTED_VALUE"""),"")</f>
        <v/>
      </c>
      <c r="AG1597" s="1" t="str">
        <f>IFERROR(__xludf.DUMMYFUNCTION("""COMPUTED_VALUE"""),"Former Walmart")</f>
        <v>Former Walmart</v>
      </c>
      <c r="AH1597" s="1" t="str">
        <f>IFERROR(__xludf.DUMMYFUNCTION("""COMPUTED_VALUE"""),"Media Monitoring")</f>
        <v>Media Monitoring</v>
      </c>
      <c r="AI1597" s="2" t="str">
        <f>IFERROR(__xludf.DUMMYFUNCTION("""COMPUTED_VALUE"""),"https://www.datacenterdynamics.com/en/news/former-walmart-in-milwaukee-wisconsin-could-become-data-center/")</f>
        <v>https://www.datacenterdynamics.com/en/news/former-walmart-in-milwaukee-wisconsin-could-become-data-center/</v>
      </c>
      <c r="AJ1597" s="2" t="str">
        <f>IFERROR(__xludf.DUMMYFUNCTION("""COMPUTED_VALUE"""),"https://www.datacenterdynamics.com/en/news/plans-for-milwaukee-wisconsin-data-center-in-former-walmart-building-shelved-amid-strong-local-opposition/")</f>
        <v>https://www.datacenterdynamics.com/en/news/plans-for-milwaukee-wisconsin-data-center-in-former-walmart-building-shelved-amid-strong-local-opposition/</v>
      </c>
      <c r="AK1597" s="1" t="str">
        <f>IFERROR(__xludf.DUMMYFUNCTION("""COMPUTED_VALUE"""),"")</f>
        <v/>
      </c>
      <c r="AL1597" s="1" t="str">
        <f>IFERROR(__xludf.DUMMYFUNCTION("""COMPUTED_VALUE"""),"")</f>
        <v/>
      </c>
      <c r="AM1597" s="1" t="str">
        <f>IFERROR(__xludf.DUMMYFUNCTION("""COMPUTED_VALUE"""),"")</f>
        <v/>
      </c>
      <c r="AN1597" s="1" t="str">
        <f>IFERROR(__xludf.DUMMYFUNCTION("""COMPUTED_VALUE"""),"")</f>
        <v/>
      </c>
      <c r="AO1597" s="1" t="str">
        <f>IFERROR(__xludf.DUMMYFUNCTION("""COMPUTED_VALUE"""),"")</f>
        <v/>
      </c>
      <c r="AP1597" s="1" t="str">
        <f>IFERROR(__xludf.DUMMYFUNCTION("""COMPUTED_VALUE"""),"")</f>
        <v/>
      </c>
      <c r="AQ1597" s="1" t="str">
        <f>IFERROR(__xludf.DUMMYFUNCTION("""COMPUTED_VALUE"""),"05/12/2026")</f>
        <v>05/12/2026</v>
      </c>
      <c r="AR1597" s="1" t="str">
        <f>IFERROR(__xludf.DUMMYFUNCTION("""COMPUTED_VALUE"""),"07/11/2026")</f>
        <v>07/11/2026</v>
      </c>
    </row>
    <row r="1598">
      <c r="A1598" s="1" t="str">
        <f>IFERROR(__xludf.DUMMYFUNCTION("""COMPUTED_VALUE"""),"Microsoft Fairwater Data Center")</f>
        <v>Microsoft Fairwater Data Center</v>
      </c>
      <c r="B1598" s="1" t="str">
        <f>IFERROR(__xludf.DUMMYFUNCTION("""COMPUTED_VALUE"""),"90th St and County Rd KR")</f>
        <v>90th St and County Rd KR</v>
      </c>
      <c r="C1598" s="1" t="str">
        <f>IFERROR(__xludf.DUMMYFUNCTION("""COMPUTED_VALUE"""),"Mount Pleasant")</f>
        <v>Mount Pleasant</v>
      </c>
      <c r="D1598" s="1" t="str">
        <f>IFERROR(__xludf.DUMMYFUNCTION("""COMPUTED_VALUE"""),"WI")</f>
        <v>WI</v>
      </c>
      <c r="E1598" s="1" t="str">
        <f>IFERROR(__xludf.DUMMYFUNCTION("""COMPUTED_VALUE"""),"53177")</f>
        <v>53177</v>
      </c>
      <c r="F1598" s="1" t="str">
        <f>IFERROR(__xludf.DUMMYFUNCTION("""COMPUTED_VALUE"""),"Racine")</f>
        <v>Racine</v>
      </c>
      <c r="G1598" s="1" t="str">
        <f>IFERROR(__xludf.DUMMYFUNCTION("""COMPUTED_VALUE"""),"42.68015")</f>
        <v>42.68015</v>
      </c>
      <c r="H1598" s="1" t="str">
        <f>IFERROR(__xludf.DUMMYFUNCTION("""COMPUTED_VALUE"""),"-87.90021")</f>
        <v>-87.90021</v>
      </c>
      <c r="I1598" s="1" t="str">
        <f>IFERROR(__xludf.DUMMYFUNCTION("""COMPUTED_VALUE"""),"Operating")</f>
        <v>Operating</v>
      </c>
      <c r="J1598" s="1" t="str">
        <f>IFERROR(__xludf.DUMMYFUNCTION("""COMPUTED_VALUE"""),"High")</f>
        <v>High</v>
      </c>
      <c r="K1598" s="1" t="str">
        <f>IFERROR(__xludf.DUMMYFUNCTION("""COMPUTED_VALUE"""),"")</f>
        <v/>
      </c>
      <c r="L1598" s="1" t="str">
        <f>IFERROR(__xludf.DUMMYFUNCTION("""COMPUTED_VALUE"""),"Microsoft")</f>
        <v>Microsoft</v>
      </c>
      <c r="M1598" s="1" t="str">
        <f>IFERROR(__xludf.DUMMYFUNCTION("""COMPUTED_VALUE"""),"")</f>
        <v/>
      </c>
      <c r="N1598" s="1" t="str">
        <f>IFERROR(__xludf.DUMMYFUNCTION("""COMPUTED_VALUE"""),"450-3,300")</f>
        <v>450-3,300</v>
      </c>
      <c r="O1598" s="1" t="str">
        <f>IFERROR(__xludf.DUMMYFUNCTION("""COMPUTED_VALUE"""),"Mega campus (&gt;1,000 MW)")</f>
        <v>Mega campus (&gt;1,000 MW)</v>
      </c>
      <c r="P1598" s="1" t="str">
        <f>IFERROR(__xludf.DUMMYFUNCTION("""COMPUTED_VALUE"""),"")</f>
        <v/>
      </c>
      <c r="Q1598" s="1" t="str">
        <f>IFERROR(__xludf.DUMMYFUNCTION("""COMPUTED_VALUE"""),"")</f>
        <v/>
      </c>
      <c r="R1598" s="1" t="str">
        <f>IFERROR(__xludf.DUMMYFUNCTION("""COMPUTED_VALUE"""),"")</f>
        <v/>
      </c>
      <c r="S1598" s="1" t="str">
        <f>IFERROR(__xludf.DUMMYFUNCTION("""COMPUTED_VALUE"""),"")</f>
        <v/>
      </c>
      <c r="T1598" s="1" t="str">
        <f>IFERROR(__xludf.DUMMYFUNCTION("""COMPUTED_VALUE"""),"")</f>
        <v/>
      </c>
      <c r="U1598" s="1" t="str">
        <f>IFERROR(__xludf.DUMMYFUNCTION("""COMPUTED_VALUE"""),"Closed loop")</f>
        <v>Closed loop</v>
      </c>
      <c r="V1598" s="1" t="str">
        <f>IFERROR(__xludf.DUMMYFUNCTION("""COMPUTED_VALUE"""),"1,200,000")</f>
        <v>1,200,000</v>
      </c>
      <c r="W1598" s="1" t="str">
        <f>IFERROR(__xludf.DUMMYFUNCTION("""COMPUTED_VALUE"""),"315")</f>
        <v>315</v>
      </c>
      <c r="X1598" s="1" t="str">
        <f>IFERROR(__xludf.DUMMYFUNCTION("""COMPUTED_VALUE"""),"")</f>
        <v/>
      </c>
      <c r="Y1598" s="1" t="str">
        <f>IFERROR(__xludf.DUMMYFUNCTION("""COMPUTED_VALUE"""),"2026")</f>
        <v>2026</v>
      </c>
      <c r="Z1598" s="1" t="str">
        <f>IFERROR(__xludf.DUMMYFUNCTION("""COMPUTED_VALUE"""),"Unknown")</f>
        <v>Unknown</v>
      </c>
      <c r="AA1598" s="1" t="str">
        <f>IFERROR(__xludf.DUMMYFUNCTION("""COMPUTED_VALUE"""),"")</f>
        <v/>
      </c>
      <c r="AB1598" s="1" t="str">
        <f>IFERROR(__xludf.DUMMYFUNCTION("""COMPUTED_VALUE"""),"")</f>
        <v/>
      </c>
      <c r="AC1598" s="1" t="str">
        <f>IFERROR(__xludf.DUMMYFUNCTION("""COMPUTED_VALUE"""),"")</f>
        <v/>
      </c>
      <c r="AD1598" s="1" t="str">
        <f>IFERROR(__xludf.DUMMYFUNCTION("""COMPUTED_VALUE"""),"")</f>
        <v/>
      </c>
      <c r="AE1598" s="1" t="str">
        <f>IFERROR(__xludf.DUMMYFUNCTION("""COMPUTED_VALUE"""),"")</f>
        <v/>
      </c>
      <c r="AF1598" s="1" t="str">
        <f>IFERROR(__xludf.DUMMYFUNCTION("""COMPUTED_VALUE"""),"")</f>
        <v/>
      </c>
      <c r="AG1598" s="1" t="str">
        <f>IFERROR(__xludf.DUMMYFUNCTION("""COMPUTED_VALUE"""),"3 sites within area--2 on 90th St, 1 on Durand Ave. Work temporarily paused on 2. Will use closed-loop water cooling.")</f>
        <v>3 sites within area--2 on 90th St, 1 on Durand Ave. Work temporarily paused on 2. Will use closed-loop water cooling.</v>
      </c>
      <c r="AH1598" s="1" t="str">
        <f>IFERROR(__xludf.DUMMYFUNCTION("""COMPUTED_VALUE"""),"Media Monitoring")</f>
        <v>Media Monitoring</v>
      </c>
      <c r="AI1598" s="2" t="str">
        <f>IFERROR(__xludf.DUMMYFUNCTION("""COMPUTED_VALUE"""),"https://www.datacenterdynamics.com/en/news/microsoft-pauses-construction-on-part-of-data-center-site-in-mount-pleasant-wisconsin/")</f>
        <v>https://www.datacenterdynamics.com/en/news/microsoft-pauses-construction-on-part-of-data-center-site-in-mount-pleasant-wisconsin/</v>
      </c>
      <c r="AJ1598" s="2" t="str">
        <f>IFERROR(__xludf.DUMMYFUNCTION("""COMPUTED_VALUE"""),"https://www.datacenterdynamics.com/en/news/racine-county-wisconsin-approves-microsofts-1000-acre-expansion-of-mount-pleasant-campus/")</f>
        <v>https://www.datacenterdynamics.com/en/news/racine-county-wisconsin-approves-microsofts-1000-acre-expansion-of-mount-pleasant-campus/</v>
      </c>
      <c r="AK1598" s="2" t="str">
        <f>IFERROR(__xludf.DUMMYFUNCTION("""COMPUTED_VALUE"""),"https://www.datacenterdynamics.com/en/news/microsoft-breaks-ground-on-1bn-data-center-in-wisconsin/")</f>
        <v>https://www.datacenterdynamics.com/en/news/microsoft-breaks-ground-on-1bn-data-center-in-wisconsin/</v>
      </c>
      <c r="AL1598" s="2" t="str">
        <f>IFERROR(__xludf.DUMMYFUNCTION("""COMPUTED_VALUE"""),"https://rbnenergy.com/i-know-places-tech-giants-may-be-the-surest-bets-for-data-center-power-demand")</f>
        <v>https://rbnenergy.com/i-know-places-tech-giants-may-be-the-surest-bets-for-data-center-power-demand</v>
      </c>
      <c r="AM1598" s="2" t="str">
        <f>IFERROR(__xludf.DUMMYFUNCTION("""COMPUTED_VALUE"""),"https://www.jsonline.com/story/news/local/2025/09/15/suit-filed-to-learn-lake-michigan-water-use-at-microsoft-data-center/86161113007/")</f>
        <v>https://www.jsonline.com/story/news/local/2025/09/15/suit-filed-to-learn-lake-michigan-water-use-at-microsoft-data-center/86161113007/</v>
      </c>
      <c r="AN1598" s="2" t="str">
        <f>IFERROR(__xludf.DUMMYFUNCTION("""COMPUTED_VALUE"""),"https://www.tomshardware.com/tech-industry/artificial-intelligence/microsoft-announces-worlds-most-powerful-ai-data-center-315-acre-site-to-house-hundreds-of-thousands-of-nvidia-gpus-and-enough-fiber-to-circle-the-earth-4-5-times")</f>
        <v>https://www.tomshardware.com/tech-industry/artificial-intelligence/microsoft-announces-worlds-most-powerful-ai-data-center-315-acre-site-to-house-hundreds-of-thousands-of-nvidia-gpus-and-enough-fiber-to-circle-the-earth-4-5-times</v>
      </c>
      <c r="AO1598" s="2" t="str">
        <f>IFERROR(__xludf.DUMMYFUNCTION("""COMPUTED_VALUE"""),"https://epoch.ai/data/data-centers/satellite-explorer/MicrosoftFairwaterMountPleasantWisconsin?ref=404media.co")</f>
        <v>https://epoch.ai/data/data-centers/satellite-explorer/MicrosoftFairwaterMountPleasantWisconsin?ref=404media.co</v>
      </c>
      <c r="AP1598" s="2" t="str">
        <f>IFERROR(__xludf.DUMMYFUNCTION("""COMPUTED_VALUE"""),"https://www.wisn.com/article/whats-that-sound-its-mount-pleasants-new-ai-data-center/70850595")</f>
        <v>https://www.wisn.com/article/whats-that-sound-its-mount-pleasants-new-ai-data-center/70850595</v>
      </c>
      <c r="AQ1598" s="1" t="str">
        <f>IFERROR(__xludf.DUMMYFUNCTION("""COMPUTED_VALUE"""),"09/16/2025")</f>
        <v>09/16/2025</v>
      </c>
      <c r="AR1598" s="1" t="str">
        <f>IFERROR(__xludf.DUMMYFUNCTION("""COMPUTED_VALUE"""),"06/24/2026")</f>
        <v>06/24/2026</v>
      </c>
    </row>
    <row r="1599">
      <c r="A1599" s="1" t="str">
        <f>IFERROR(__xludf.DUMMYFUNCTION("""COMPUTED_VALUE"""),"Project Lighthouse/ Project Red Granite")</f>
        <v>Project Lighthouse/ Project Red Granite</v>
      </c>
      <c r="B1599" s="1" t="str">
        <f>IFERROR(__xludf.DUMMYFUNCTION("""COMPUTED_VALUE"""),"Between Lake and Dixie Rds")</f>
        <v>Between Lake and Dixie Rds</v>
      </c>
      <c r="C1599" s="1" t="str">
        <f>IFERROR(__xludf.DUMMYFUNCTION("""COMPUTED_VALUE"""),"Port Washington")</f>
        <v>Port Washington</v>
      </c>
      <c r="D1599" s="1" t="str">
        <f>IFERROR(__xludf.DUMMYFUNCTION("""COMPUTED_VALUE"""),"WI")</f>
        <v>WI</v>
      </c>
      <c r="E1599" s="1" t="str">
        <f>IFERROR(__xludf.DUMMYFUNCTION("""COMPUTED_VALUE"""),"53074")</f>
        <v>53074</v>
      </c>
      <c r="F1599" s="1" t="str">
        <f>IFERROR(__xludf.DUMMYFUNCTION("""COMPUTED_VALUE"""),"Ozaukee")</f>
        <v>Ozaukee</v>
      </c>
      <c r="G1599" s="1" t="str">
        <f>IFERROR(__xludf.DUMMYFUNCTION("""COMPUTED_VALUE"""),"43.44933")</f>
        <v>43.44933</v>
      </c>
      <c r="H1599" s="1" t="str">
        <f>IFERROR(__xludf.DUMMYFUNCTION("""COMPUTED_VALUE"""),"-87.8525")</f>
        <v>-87.8525</v>
      </c>
      <c r="I1599" s="1" t="str">
        <f>IFERROR(__xludf.DUMMYFUNCTION("""COMPUTED_VALUE"""),"Approved/Permitted/Under construction")</f>
        <v>Approved/Permitted/Under construction</v>
      </c>
      <c r="J1599" s="1" t="str">
        <f>IFERROR(__xludf.DUMMYFUNCTION("""COMPUTED_VALUE"""),"Medium")</f>
        <v>Medium</v>
      </c>
      <c r="K1599" s="1" t="str">
        <f>IFERROR(__xludf.DUMMYFUNCTION("""COMPUTED_VALUE"""),"AI")</f>
        <v>AI</v>
      </c>
      <c r="L1599" s="1" t="str">
        <f>IFERROR(__xludf.DUMMYFUNCTION("""COMPUTED_VALUE"""),"Vantage Data Centers/Open AI/Oracle/ Cloverleaf Infrastructure")</f>
        <v>Vantage Data Centers/Open AI/Oracle/ Cloverleaf Infrastructure</v>
      </c>
      <c r="M1599" s="1" t="str">
        <f>IFERROR(__xludf.DUMMYFUNCTION("""COMPUTED_VALUE"""),"")</f>
        <v/>
      </c>
      <c r="N1599" s="1" t="str">
        <f>IFERROR(__xludf.DUMMYFUNCTION("""COMPUTED_VALUE"""),"1,300-3,599")</f>
        <v>1,300-3,599</v>
      </c>
      <c r="O1599" s="1" t="str">
        <f>IFERROR(__xludf.DUMMYFUNCTION("""COMPUTED_VALUE"""),"Mega campus (&gt;1,000 MW)")</f>
        <v>Mega campus (&gt;1,000 MW)</v>
      </c>
      <c r="P1599" s="1" t="str">
        <f>IFERROR(__xludf.DUMMYFUNCTION("""COMPUTED_VALUE"""),"")</f>
        <v/>
      </c>
      <c r="Q1599" s="1" t="str">
        <f>IFERROR(__xludf.DUMMYFUNCTION("""COMPUTED_VALUE"""),"")</f>
        <v/>
      </c>
      <c r="R1599" s="1" t="str">
        <f>IFERROR(__xludf.DUMMYFUNCTION("""COMPUTED_VALUE"""),"")</f>
        <v/>
      </c>
      <c r="S1599" s="1" t="str">
        <f>IFERROR(__xludf.DUMMYFUNCTION("""COMPUTED_VALUE"""),"4")</f>
        <v>4</v>
      </c>
      <c r="T1599" s="1" t="str">
        <f>IFERROR(__xludf.DUMMYFUNCTION("""COMPUTED_VALUE"""),"")</f>
        <v/>
      </c>
      <c r="U1599" s="1" t="str">
        <f>IFERROR(__xludf.DUMMYFUNCTION("""COMPUTED_VALUE"""),"")</f>
        <v/>
      </c>
      <c r="V1599" s="1" t="str">
        <f>IFERROR(__xludf.DUMMYFUNCTION("""COMPUTED_VALUE"""),"")</f>
        <v/>
      </c>
      <c r="W1599" s="1" t="str">
        <f>IFERROR(__xludf.DUMMYFUNCTION("""COMPUTED_VALUE"""),"2000")</f>
        <v>2000</v>
      </c>
      <c r="X1599" s="1" t="str">
        <f>IFERROR(__xludf.DUMMYFUNCTION("""COMPUTED_VALUE"""),"")</f>
        <v/>
      </c>
      <c r="Y1599" s="1" t="str">
        <f>IFERROR(__xludf.DUMMYFUNCTION("""COMPUTED_VALUE"""),"2028")</f>
        <v>2028</v>
      </c>
      <c r="Z1599" s="1" t="str">
        <f>IFERROR(__xludf.DUMMYFUNCTION("""COMPUTED_VALUE"""),"Yes")</f>
        <v>Yes</v>
      </c>
      <c r="AA1599" s="1" t="str">
        <f>IFERROR(__xludf.DUMMYFUNCTION("""COMPUTED_VALUE"""),"")</f>
        <v/>
      </c>
      <c r="AB1599" s="1" t="str">
        <f>IFERROR(__xludf.DUMMYFUNCTION("""COMPUTED_VALUE"""),"")</f>
        <v/>
      </c>
      <c r="AC1599" s="1" t="str">
        <f>IFERROR(__xludf.DUMMYFUNCTION("""COMPUTED_VALUE"""),"")</f>
        <v/>
      </c>
      <c r="AD1599" s="2" t="str">
        <f>IFERROR(__xludf.DUMMYFUNCTION("""COMPUTED_VALUE"""),"https://www.facebook.com/GreatLakesNeighborsUnited")</f>
        <v>https://www.facebook.com/GreatLakesNeighborsUnited</v>
      </c>
      <c r="AE1599" s="1" t="str">
        <f>IFERROR(__xludf.DUMMYFUNCTION("""COMPUTED_VALUE"""),"")</f>
        <v/>
      </c>
      <c r="AF1599" s="2" t="str">
        <f>IFERROR(__xludf.DUMMYFUNCTION("""COMPUTED_VALUE"""),"https://www.change.org/p/stop-the-port-washington-wi-data-center")</f>
        <v>https://www.change.org/p/stop-the-port-washington-wi-data-center</v>
      </c>
      <c r="AG1599" s="1" t="str">
        <f>IFERROR(__xludf.DUMMYFUNCTION("""COMPUTED_VALUE"""),"Part of the Stargate program. On Nov. 18 2025, Port Washington's Joint Review Board unanimously approved the data center and passed TIF district (No. 5), which will reimburse Denver-based data center operations company Vantage for fronting infrastructure "&amp;"improvements, along with interest, consulting fees and other costs associated with the project that total $458 million.")</f>
        <v>Part of the Stargate program. On Nov. 18 2025, Port Washington's Joint Review Board unanimously approved the data center and passed TIF district (No. 5), which will reimburse Denver-based data center operations company Vantage for fronting infrastructure improvements, along with interest, consulting fees and other costs associated with the project that total $458 million.</v>
      </c>
      <c r="AH1599" s="1" t="str">
        <f>IFERROR(__xludf.DUMMYFUNCTION("""COMPUTED_VALUE"""),"Media Monitoring")</f>
        <v>Media Monitoring</v>
      </c>
      <c r="AI1599" s="2" t="str">
        <f>IFERROR(__xludf.DUMMYFUNCTION("""COMPUTED_VALUE"""),"https://www.datacenterdynamics.com/en/news/cloverleaf-reveals-plans-for-1000-acre-data-center-campus-in-port-washington-wisconsin/")</f>
        <v>https://www.datacenterdynamics.com/en/news/cloverleaf-reveals-plans-for-1000-acre-data-center-campus-in-port-washington-wisconsin/</v>
      </c>
      <c r="AJ1599" s="2" t="str">
        <f>IFERROR(__xludf.DUMMYFUNCTION("""COMPUTED_VALUE"""),"https://www.datacenterdynamics.com/en/news/vantage-seeking-13gw-grid-connection-for-data-center-in-port-washington-wisconsin/")</f>
        <v>https://www.datacenterdynamics.com/en/news/vantage-seeking-13gw-grid-connection-for-data-center-in-port-washington-wisconsin/</v>
      </c>
      <c r="AK1599" s="2" t="str">
        <f>IFERROR(__xludf.DUMMYFUNCTION("""COMPUTED_VALUE"""),"https://www.fox6now.com/news/port-washington-data-center-residents-unite-against-proposed-powerline-routes")</f>
        <v>https://www.fox6now.com/news/port-washington-data-center-residents-unite-against-proposed-powerline-routes</v>
      </c>
      <c r="AL1599" s="2" t="str">
        <f>IFERROR(__xludf.DUMMYFUNCTION("""COMPUTED_VALUE"""),"https://www.jsonline.com/story/communities/north/2025/11/18/port-washington-approves-data-center-tif-as-residents-continue-to-raise-red-flags/87092084007/")</f>
        <v>https://www.jsonline.com/story/communities/north/2025/11/18/port-washington-approves-data-center-tif-as-residents-continue-to-raise-red-flags/87092084007/</v>
      </c>
      <c r="AM1599" s="2" t="str">
        <f>IFERROR(__xludf.DUMMYFUNCTION("""COMPUTED_VALUE"""),"https://www.widatacenterfacts.org/communities/video-lighthouse-campus-part-1")</f>
        <v>https://www.widatacenterfacts.org/communities/video-lighthouse-campus-part-1</v>
      </c>
      <c r="AN1599" s="2" t="str">
        <f>IFERROR(__xludf.DUMMYFUNCTION("""COMPUTED_VALUE"""),"https://www.widatacenterfacts.org/communities/port-washington")</f>
        <v>https://www.widatacenterfacts.org/communities/port-washington</v>
      </c>
      <c r="AO1599" s="2" t="str">
        <f>IFERROR(__xludf.DUMMYFUNCTION("""COMPUTED_VALUE"""),"https://www.widatacenterfacts.org/communities/port-washington-fact-checking-the-mayors-fact-checking")</f>
        <v>https://www.widatacenterfacts.org/communities/port-washington-fact-checking-the-mayors-fact-checking</v>
      </c>
      <c r="AP1599" s="2" t="str">
        <f>IFERROR(__xludf.DUMMYFUNCTION("""COMPUTED_VALUE"""),"https://www.datacenterdynamics.com/en/news/vantage-tops-out-second-building-at-openais-lighthouse-campus-in-wisconsin/")</f>
        <v>https://www.datacenterdynamics.com/en/news/vantage-tops-out-second-building-at-openais-lighthouse-campus-in-wisconsin/</v>
      </c>
      <c r="AQ1599" s="1" t="str">
        <f>IFERROR(__xludf.DUMMYFUNCTION("""COMPUTED_VALUE"""),"08/06/2025")</f>
        <v>08/06/2025</v>
      </c>
      <c r="AR1599" s="1" t="str">
        <f>IFERROR(__xludf.DUMMYFUNCTION("""COMPUTED_VALUE"""),"07/14/2026")</f>
        <v>07/14/2026</v>
      </c>
    </row>
    <row r="1600">
      <c r="A1600" s="1" t="str">
        <f>IFERROR(__xludf.DUMMYFUNCTION("""COMPUTED_VALUE"""),"Caledonia Data Center")</f>
        <v>Caledonia Data Center</v>
      </c>
      <c r="B1600" s="1" t="str">
        <f>IFERROR(__xludf.DUMMYFUNCTION("""COMPUTED_VALUE"""),"8676-8642 WI-32")</f>
        <v>8676-8642 WI-32</v>
      </c>
      <c r="C1600" s="1" t="str">
        <f>IFERROR(__xludf.DUMMYFUNCTION("""COMPUTED_VALUE"""),"Racine/ Caledonia")</f>
        <v>Racine/ Caledonia</v>
      </c>
      <c r="D1600" s="1" t="str">
        <f>IFERROR(__xludf.DUMMYFUNCTION("""COMPUTED_VALUE"""),"WI")</f>
        <v>WI</v>
      </c>
      <c r="E1600" s="1" t="str">
        <f>IFERROR(__xludf.DUMMYFUNCTION("""COMPUTED_VALUE"""),"53402")</f>
        <v>53402</v>
      </c>
      <c r="F1600" s="1" t="str">
        <f>IFERROR(__xludf.DUMMYFUNCTION("""COMPUTED_VALUE"""),"Racine")</f>
        <v>Racine</v>
      </c>
      <c r="G1600" s="1" t="str">
        <f>IFERROR(__xludf.DUMMYFUNCTION("""COMPUTED_VALUE"""),"42.83487")</f>
        <v>42.83487</v>
      </c>
      <c r="H1600" s="1" t="str">
        <f>IFERROR(__xludf.DUMMYFUNCTION("""COMPUTED_VALUE"""),"-87.8458")</f>
        <v>-87.8458</v>
      </c>
      <c r="I1600" s="1" t="str">
        <f>IFERROR(__xludf.DUMMYFUNCTION("""COMPUTED_VALUE"""),"Suspended")</f>
        <v>Suspended</v>
      </c>
      <c r="J1600" s="1" t="str">
        <f>IFERROR(__xludf.DUMMYFUNCTION("""COMPUTED_VALUE"""),"Medium")</f>
        <v>Medium</v>
      </c>
      <c r="K1600" s="1" t="str">
        <f>IFERROR(__xludf.DUMMYFUNCTION("""COMPUTED_VALUE"""),"")</f>
        <v/>
      </c>
      <c r="L1600" s="1" t="str">
        <f>IFERROR(__xludf.DUMMYFUNCTION("""COMPUTED_VALUE"""),"Microsoft")</f>
        <v>Microsoft</v>
      </c>
      <c r="M1600" s="1" t="str">
        <f>IFERROR(__xludf.DUMMYFUNCTION("""COMPUTED_VALUE"""),"")</f>
        <v/>
      </c>
      <c r="N1600" s="1" t="str">
        <f>IFERROR(__xludf.DUMMYFUNCTION("""COMPUTED_VALUE"""),"")</f>
        <v/>
      </c>
      <c r="O1600" s="1" t="str">
        <f>IFERROR(__xludf.DUMMYFUNCTION("""COMPUTED_VALUE"""),"Unknown")</f>
        <v>Unknown</v>
      </c>
      <c r="P1600" s="1" t="str">
        <f>IFERROR(__xludf.DUMMYFUNCTION("""COMPUTED_VALUE"""),"")</f>
        <v/>
      </c>
      <c r="Q1600" s="1" t="str">
        <f>IFERROR(__xludf.DUMMYFUNCTION("""COMPUTED_VALUE"""),"")</f>
        <v/>
      </c>
      <c r="R1600" s="1" t="str">
        <f>IFERROR(__xludf.DUMMYFUNCTION("""COMPUTED_VALUE"""),"")</f>
        <v/>
      </c>
      <c r="S1600" s="1" t="str">
        <f>IFERROR(__xludf.DUMMYFUNCTION("""COMPUTED_VALUE"""),"3")</f>
        <v>3</v>
      </c>
      <c r="T1600" s="1" t="str">
        <f>IFERROR(__xludf.DUMMYFUNCTION("""COMPUTED_VALUE"""),"")</f>
        <v/>
      </c>
      <c r="U1600" s="1" t="str">
        <f>IFERROR(__xludf.DUMMYFUNCTION("""COMPUTED_VALUE"""),"")</f>
        <v/>
      </c>
      <c r="V1600" s="1" t="str">
        <f>IFERROR(__xludf.DUMMYFUNCTION("""COMPUTED_VALUE"""),"")</f>
        <v/>
      </c>
      <c r="W1600" s="1" t="str">
        <f>IFERROR(__xludf.DUMMYFUNCTION("""COMPUTED_VALUE"""),"244")</f>
        <v>244</v>
      </c>
      <c r="X1600" s="1" t="str">
        <f>IFERROR(__xludf.DUMMYFUNCTION("""COMPUTED_VALUE"""),"")</f>
        <v/>
      </c>
      <c r="Y1600" s="1" t="str">
        <f>IFERROR(__xludf.DUMMYFUNCTION("""COMPUTED_VALUE"""),"")</f>
        <v/>
      </c>
      <c r="Z1600" s="1" t="str">
        <f>IFERROR(__xludf.DUMMYFUNCTION("""COMPUTED_VALUE"""),"Yes")</f>
        <v>Yes</v>
      </c>
      <c r="AA1600" s="1" t="str">
        <f>IFERROR(__xludf.DUMMYFUNCTION("""COMPUTED_VALUE"""),"")</f>
        <v/>
      </c>
      <c r="AB1600" s="1" t="str">
        <f>IFERROR(__xludf.DUMMYFUNCTION("""COMPUTED_VALUE"""),"")</f>
        <v/>
      </c>
      <c r="AC1600" s="1" t="str">
        <f>IFERROR(__xludf.DUMMYFUNCTION("""COMPUTED_VALUE"""),"")</f>
        <v/>
      </c>
      <c r="AD1600" s="2" t="str">
        <f>IFERROR(__xludf.DUMMYFUNCTION("""COMPUTED_VALUE"""),"https://www.cleanwisconsin.org/")</f>
        <v>https://www.cleanwisconsin.org/</v>
      </c>
      <c r="AE1600" s="1" t="str">
        <f>IFERROR(__xludf.DUMMYFUNCTION("""COMPUTED_VALUE"""),"")</f>
        <v/>
      </c>
      <c r="AF1600" s="1" t="str">
        <f>IFERROR(__xludf.DUMMYFUNCTION("""COMPUTED_VALUE"""),"")</f>
        <v/>
      </c>
      <c r="AG1600" s="1" t="str">
        <f>IFERROR(__xludf.DUMMYFUNCTION("""COMPUTED_VALUE"""),"Microsoft proposed a 244-acre data-center campus in Caledonia, WI. The project was later paused after Microsoft reconsidered its infrastructure plans.")</f>
        <v>Microsoft proposed a 244-acre data-center campus in Caledonia, WI. The project was later paused after Microsoft reconsidered its infrastructure plans.</v>
      </c>
      <c r="AH1600" s="1" t="str">
        <f>IFERROR(__xludf.DUMMYFUNCTION("""COMPUTED_VALUE"""),"Media Monitoring")</f>
        <v>Media Monitoring</v>
      </c>
      <c r="AI1600" s="2" t="str">
        <f>IFERROR(__xludf.DUMMYFUNCTION("""COMPUTED_VALUE"""),"https://www.datacenterdynamics.com/en/news/244-acre-data-center-campus-proposed-outside-milwaukee-wisconsin/")</f>
        <v>https://www.datacenterdynamics.com/en/news/244-acre-data-center-campus-proposed-outside-milwaukee-wisconsin/</v>
      </c>
      <c r="AJ1600" s="2" t="str">
        <f>IFERROR(__xludf.DUMMYFUNCTION("""COMPUTED_VALUE"""),"https://www.jsonline.com/story/money/business/2025/10/09/microsoft-changed-its-data-center-plans-because-of-these-issues/86603358007")</f>
        <v>https://www.jsonline.com/story/money/business/2025/10/09/microsoft-changed-its-data-center-plans-because-of-these-issues/86603358007</v>
      </c>
      <c r="AK1600" s="2" t="str">
        <f>IFERROR(__xludf.DUMMYFUNCTION("""COMPUTED_VALUE"""),"https://www.wpr.org/news/microsoft-caledonia-data-center-site-ozaukee-county")</f>
        <v>https://www.wpr.org/news/microsoft-caledonia-data-center-site-ozaukee-county</v>
      </c>
      <c r="AL1600" s="1" t="str">
        <f>IFERROR(__xludf.DUMMYFUNCTION("""COMPUTED_VALUE"""),"")</f>
        <v/>
      </c>
      <c r="AM1600" s="1" t="str">
        <f>IFERROR(__xludf.DUMMYFUNCTION("""COMPUTED_VALUE"""),"")</f>
        <v/>
      </c>
      <c r="AN1600" s="1" t="str">
        <f>IFERROR(__xludf.DUMMYFUNCTION("""COMPUTED_VALUE"""),"")</f>
        <v/>
      </c>
      <c r="AO1600" s="1" t="str">
        <f>IFERROR(__xludf.DUMMYFUNCTION("""COMPUTED_VALUE"""),"")</f>
        <v/>
      </c>
      <c r="AP1600" s="1" t="str">
        <f>IFERROR(__xludf.DUMMYFUNCTION("""COMPUTED_VALUE"""),"")</f>
        <v/>
      </c>
      <c r="AQ1600" s="1" t="str">
        <f>IFERROR(__xludf.DUMMYFUNCTION("""COMPUTED_VALUE"""),"08/01/2025")</f>
        <v>08/01/2025</v>
      </c>
      <c r="AR1600" s="1" t="str">
        <f>IFERROR(__xludf.DUMMYFUNCTION("""COMPUTED_VALUE"""),"03/16/2026")</f>
        <v>03/16/2026</v>
      </c>
    </row>
    <row r="1601">
      <c r="A1601" s="1" t="str">
        <f>IFERROR(__xludf.DUMMYFUNCTION("""COMPUTED_VALUE"""),"Menomonie Data Center")</f>
        <v>Menomonie Data Center</v>
      </c>
      <c r="B1601" s="1" t="str">
        <f>IFERROR(__xludf.DUMMYFUNCTION("""COMPUTED_VALUE"""),"Between 650th and 690th Ave")</f>
        <v>Between 650th and 690th Ave</v>
      </c>
      <c r="C1601" s="1" t="str">
        <f>IFERROR(__xludf.DUMMYFUNCTION("""COMPUTED_VALUE"""),"Red Cedar/ Elk Mound")</f>
        <v>Red Cedar/ Elk Mound</v>
      </c>
      <c r="D1601" s="1" t="str">
        <f>IFERROR(__xludf.DUMMYFUNCTION("""COMPUTED_VALUE"""),"WI")</f>
        <v>WI</v>
      </c>
      <c r="E1601" s="1" t="str">
        <f>IFERROR(__xludf.DUMMYFUNCTION("""COMPUTED_VALUE"""),"54751")</f>
        <v>54751</v>
      </c>
      <c r="F1601" s="1" t="str">
        <f>IFERROR(__xludf.DUMMYFUNCTION("""COMPUTED_VALUE"""),"Dunn County")</f>
        <v>Dunn County</v>
      </c>
      <c r="G1601" s="1" t="str">
        <f>IFERROR(__xludf.DUMMYFUNCTION("""COMPUTED_VALUE"""),"44.92341")</f>
        <v>44.92341</v>
      </c>
      <c r="H1601" s="1" t="str">
        <f>IFERROR(__xludf.DUMMYFUNCTION("""COMPUTED_VALUE"""),"-91.8447")</f>
        <v>-91.8447</v>
      </c>
      <c r="I1601" s="1" t="str">
        <f>IFERROR(__xludf.DUMMYFUNCTION("""COMPUTED_VALUE"""),"Suspended")</f>
        <v>Suspended</v>
      </c>
      <c r="J1601" s="1" t="str">
        <f>IFERROR(__xludf.DUMMYFUNCTION("""COMPUTED_VALUE"""),"Medium")</f>
        <v>Medium</v>
      </c>
      <c r="K1601" s="1" t="str">
        <f>IFERROR(__xludf.DUMMYFUNCTION("""COMPUTED_VALUE"""),"")</f>
        <v/>
      </c>
      <c r="L1601" s="1" t="str">
        <f>IFERROR(__xludf.DUMMYFUNCTION("""COMPUTED_VALUE"""),"")</f>
        <v/>
      </c>
      <c r="M1601" s="1" t="str">
        <f>IFERROR(__xludf.DUMMYFUNCTION("""COMPUTED_VALUE"""),"")</f>
        <v/>
      </c>
      <c r="N1601" s="1" t="str">
        <f>IFERROR(__xludf.DUMMYFUNCTION("""COMPUTED_VALUE"""),"")</f>
        <v/>
      </c>
      <c r="O1601" s="1" t="str">
        <f>IFERROR(__xludf.DUMMYFUNCTION("""COMPUTED_VALUE"""),"Hyperscale (100-999 MW)")</f>
        <v>Hyperscale (100-999 MW)</v>
      </c>
      <c r="P1601" s="1" t="str">
        <f>IFERROR(__xludf.DUMMYFUNCTION("""COMPUTED_VALUE"""),"")</f>
        <v/>
      </c>
      <c r="Q1601" s="1" t="str">
        <f>IFERROR(__xludf.DUMMYFUNCTION("""COMPUTED_VALUE"""),"")</f>
        <v/>
      </c>
      <c r="R1601" s="1" t="str">
        <f>IFERROR(__xludf.DUMMYFUNCTION("""COMPUTED_VALUE"""),"")</f>
        <v/>
      </c>
      <c r="S1601" s="1" t="str">
        <f>IFERROR(__xludf.DUMMYFUNCTION("""COMPUTED_VALUE"""),"")</f>
        <v/>
      </c>
      <c r="T1601" s="1" t="str">
        <f>IFERROR(__xludf.DUMMYFUNCTION("""COMPUTED_VALUE"""),"")</f>
        <v/>
      </c>
      <c r="U1601" s="1" t="str">
        <f>IFERROR(__xludf.DUMMYFUNCTION("""COMPUTED_VALUE"""),"")</f>
        <v/>
      </c>
      <c r="V1601" s="1" t="str">
        <f>IFERROR(__xludf.DUMMYFUNCTION("""COMPUTED_VALUE"""),"")</f>
        <v/>
      </c>
      <c r="W1601" s="1" t="str">
        <f>IFERROR(__xludf.DUMMYFUNCTION("""COMPUTED_VALUE"""),"324")</f>
        <v>324</v>
      </c>
      <c r="X1601" s="1" t="str">
        <f>IFERROR(__xludf.DUMMYFUNCTION("""COMPUTED_VALUE"""),"$1.6 billion")</f>
        <v>$1.6 billion</v>
      </c>
      <c r="Y1601" s="1" t="str">
        <f>IFERROR(__xludf.DUMMYFUNCTION("""COMPUTED_VALUE"""),"")</f>
        <v/>
      </c>
      <c r="Z1601" s="1" t="str">
        <f>IFERROR(__xludf.DUMMYFUNCTION("""COMPUTED_VALUE"""),"Yes")</f>
        <v>Yes</v>
      </c>
      <c r="AA1601" s="1" t="str">
        <f>IFERROR(__xludf.DUMMYFUNCTION("""COMPUTED_VALUE"""),"")</f>
        <v/>
      </c>
      <c r="AB1601" s="1" t="str">
        <f>IFERROR(__xludf.DUMMYFUNCTION("""COMPUTED_VALUE"""),"")</f>
        <v/>
      </c>
      <c r="AC1601" s="1" t="str">
        <f>IFERROR(__xludf.DUMMYFUNCTION("""COMPUTED_VALUE"""),"")</f>
        <v/>
      </c>
      <c r="AD1601" s="2" t="str">
        <f>IFERROR(__xludf.DUMMYFUNCTION("""COMPUTED_VALUE"""),"https://www.facebook.com/groups/4247210148843416/?rdid=OLjFLf1thwgvxa3c&amp;share_url=https%3A%2F%2Fwww.facebook.com%2Fshare%2Fg%2F19qZqaSKJZ%2F#")</f>
        <v>https://www.facebook.com/groups/4247210148843416/?rdid=OLjFLf1thwgvxa3c&amp;share_url=https%3A%2F%2Fwww.facebook.com%2Fshare%2Fg%2F19qZqaSKJZ%2F#</v>
      </c>
      <c r="AE1601" s="1" t="str">
        <f>IFERROR(__xludf.DUMMYFUNCTION("""COMPUTED_VALUE"""),"")</f>
        <v/>
      </c>
      <c r="AF1601" s="1" t="str">
        <f>IFERROR(__xludf.DUMMYFUNCTION("""COMPUTED_VALUE"""),"")</f>
        <v/>
      </c>
      <c r="AG1601" s="1" t="str">
        <f>IFERROR(__xludf.DUMMYFUNCTION("""COMPUTED_VALUE"""),"75,000 gallons of water per day, opposed by Stop the Menomonie Data Center group")</f>
        <v>75,000 gallons of water per day, opposed by Stop the Menomonie Data Center group</v>
      </c>
      <c r="AH1601" s="1" t="str">
        <f>IFERROR(__xludf.DUMMYFUNCTION("""COMPUTED_VALUE"""),"Crowdsourced")</f>
        <v>Crowdsourced</v>
      </c>
      <c r="AI1601" s="2" t="str">
        <f>IFERROR(__xludf.DUMMYFUNCTION("""COMPUTED_VALUE"""),"https://www.wqow.com/news/menomonie-city-council-votes-to-adopt-proposed-land-annexation-and-rezoning/article_6f2fb583-9a77-463a-863d-01cbaddc8833.html")</f>
        <v>https://www.wqow.com/news/menomonie-city-council-votes-to-adopt-proposed-land-annexation-and-rezoning/article_6f2fb583-9a77-463a-863d-01cbaddc8833.html</v>
      </c>
      <c r="AJ1601" s="2" t="str">
        <f>IFERROR(__xludf.DUMMYFUNCTION("""COMPUTED_VALUE"""),"https://www.wqow.com/news/what-are-the-next-steps-for-menomonies-proposed-data-center-after-council-vote/article_41821a71-23cb-4ef8-b8e4-58d72b234a37.html")</f>
        <v>https://www.wqow.com/news/what-are-the-next-steps-for-menomonies-proposed-data-center-after-council-vote/article_41821a71-23cb-4ef8-b8e4-58d72b234a37.html</v>
      </c>
      <c r="AK1601" s="2" t="str">
        <f>IFERROR(__xludf.DUMMYFUNCTION("""COMPUTED_VALUE"""),"https://www.menomonieminute.com/post/menomonie-receives-petition-to-annex-324-acres-for-proposed-data-center")</f>
        <v>https://www.menomonieminute.com/post/menomonie-receives-petition-to-annex-324-acres-for-proposed-data-center</v>
      </c>
      <c r="AL1601" s="2" t="str">
        <f>IFERROR(__xludf.DUMMYFUNCTION("""COMPUTED_VALUE"""),"https://www.datacenterdynamics.com/en/news/menomonie-city-council-approves-land-rezone-for-data-center-in-red-cedar-wisconsin/")</f>
        <v>https://www.datacenterdynamics.com/en/news/menomonie-city-council-approves-land-rezone-for-data-center-in-red-cedar-wisconsin/</v>
      </c>
      <c r="AM1601" s="2" t="str">
        <f>IFERROR(__xludf.DUMMYFUNCTION("""COMPUTED_VALUE"""),"https://www.datacenterdynamics.com/en/news/data-center-in-red-cedar-wisconsin-could-be-16bn-investment/")</f>
        <v>https://www.datacenterdynamics.com/en/news/data-center-in-red-cedar-wisconsin-could-be-16bn-investment/</v>
      </c>
      <c r="AN1601" s="2" t="str">
        <f>IFERROR(__xludf.DUMMYFUNCTION("""COMPUTED_VALUE"""),"https://www.weau.com/2025/09/23/proposed-menomonie-data-center-put-hold/")</f>
        <v>https://www.weau.com/2025/09/23/proposed-menomonie-data-center-put-hold/</v>
      </c>
      <c r="AO1601" s="1" t="str">
        <f>IFERROR(__xludf.DUMMYFUNCTION("""COMPUTED_VALUE"""),"")</f>
        <v/>
      </c>
      <c r="AP1601" s="1" t="str">
        <f>IFERROR(__xludf.DUMMYFUNCTION("""COMPUTED_VALUE"""),"")</f>
        <v/>
      </c>
      <c r="AQ1601" s="1" t="str">
        <f>IFERROR(__xludf.DUMMYFUNCTION("""COMPUTED_VALUE"""),"09/23/2025")</f>
        <v>09/23/2025</v>
      </c>
      <c r="AR1601" s="1" t="str">
        <f>IFERROR(__xludf.DUMMYFUNCTION("""COMPUTED_VALUE"""),"12/10/2025")</f>
        <v>12/10/2025</v>
      </c>
    </row>
    <row r="1602">
      <c r="A1602" s="1" t="str">
        <f>IFERROR(__xludf.DUMMYFUNCTION("""COMPUTED_VALUE"""),"Microsoft Data Center")</f>
        <v>Microsoft Data Center</v>
      </c>
      <c r="B1602" s="1" t="str">
        <f>IFERROR(__xludf.DUMMYFUNCTION("""COMPUTED_VALUE"""),"11508 Braun Rd")</f>
        <v>11508 Braun Rd</v>
      </c>
      <c r="C1602" s="1" t="str">
        <f>IFERROR(__xludf.DUMMYFUNCTION("""COMPUTED_VALUE"""),"Sturtevant")</f>
        <v>Sturtevant</v>
      </c>
      <c r="D1602" s="1" t="str">
        <f>IFERROR(__xludf.DUMMYFUNCTION("""COMPUTED_VALUE"""),"WI")</f>
        <v>WI</v>
      </c>
      <c r="E1602" s="1" t="str">
        <f>IFERROR(__xludf.DUMMYFUNCTION("""COMPUTED_VALUE"""),"53178")</f>
        <v>53178</v>
      </c>
      <c r="F1602" s="1" t="str">
        <f>IFERROR(__xludf.DUMMYFUNCTION("""COMPUTED_VALUE"""),"Racine")</f>
        <v>Racine</v>
      </c>
      <c r="G1602" s="1" t="str">
        <f>IFERROR(__xludf.DUMMYFUNCTION("""COMPUTED_VALUE"""),"42.68763")</f>
        <v>42.68763</v>
      </c>
      <c r="H1602" s="1" t="str">
        <f>IFERROR(__xludf.DUMMYFUNCTION("""COMPUTED_VALUE"""),"-87.9269")</f>
        <v>-87.9269</v>
      </c>
      <c r="I1602" s="1" t="str">
        <f>IFERROR(__xludf.DUMMYFUNCTION("""COMPUTED_VALUE"""),"Proposed")</f>
        <v>Proposed</v>
      </c>
      <c r="J1602" s="1" t="str">
        <f>IFERROR(__xludf.DUMMYFUNCTION("""COMPUTED_VALUE"""),"High")</f>
        <v>High</v>
      </c>
      <c r="K1602" s="1" t="str">
        <f>IFERROR(__xludf.DUMMYFUNCTION("""COMPUTED_VALUE"""),"")</f>
        <v/>
      </c>
      <c r="L1602" s="1" t="str">
        <f>IFERROR(__xludf.DUMMYFUNCTION("""COMPUTED_VALUE"""),"Microsoft")</f>
        <v>Microsoft</v>
      </c>
      <c r="M1602" s="1" t="str">
        <f>IFERROR(__xludf.DUMMYFUNCTION("""COMPUTED_VALUE"""),"")</f>
        <v/>
      </c>
      <c r="N1602" s="1" t="str">
        <f>IFERROR(__xludf.DUMMYFUNCTION("""COMPUTED_VALUE"""),"")</f>
        <v/>
      </c>
      <c r="O1602" s="1" t="str">
        <f>IFERROR(__xludf.DUMMYFUNCTION("""COMPUTED_VALUE"""),"Unknown")</f>
        <v>Unknown</v>
      </c>
      <c r="P1602" s="1" t="str">
        <f>IFERROR(__xludf.DUMMYFUNCTION("""COMPUTED_VALUE"""),"")</f>
        <v/>
      </c>
      <c r="Q1602" s="1" t="str">
        <f>IFERROR(__xludf.DUMMYFUNCTION("""COMPUTED_VALUE"""),"")</f>
        <v/>
      </c>
      <c r="R1602" s="1" t="str">
        <f>IFERROR(__xludf.DUMMYFUNCTION("""COMPUTED_VALUE"""),"")</f>
        <v/>
      </c>
      <c r="S1602" s="1" t="str">
        <f>IFERROR(__xludf.DUMMYFUNCTION("""COMPUTED_VALUE"""),"")</f>
        <v/>
      </c>
      <c r="T1602" s="1" t="str">
        <f>IFERROR(__xludf.DUMMYFUNCTION("""COMPUTED_VALUE"""),"")</f>
        <v/>
      </c>
      <c r="U1602" s="1" t="str">
        <f>IFERROR(__xludf.DUMMYFUNCTION("""COMPUTED_VALUE"""),"")</f>
        <v/>
      </c>
      <c r="V1602" s="1" t="str">
        <f>IFERROR(__xludf.DUMMYFUNCTION("""COMPUTED_VALUE"""),"4,400,000")</f>
        <v>4,400,000</v>
      </c>
      <c r="W1602" s="1" t="str">
        <f>IFERROR(__xludf.DUMMYFUNCTION("""COMPUTED_VALUE"""),"791")</f>
        <v>791</v>
      </c>
      <c r="X1602" s="1" t="str">
        <f>IFERROR(__xludf.DUMMYFUNCTION("""COMPUTED_VALUE"""),"")</f>
        <v/>
      </c>
      <c r="Y1602" s="1" t="str">
        <f>IFERROR(__xludf.DUMMYFUNCTION("""COMPUTED_VALUE"""),"")</f>
        <v/>
      </c>
      <c r="Z1602" s="1" t="str">
        <f>IFERROR(__xludf.DUMMYFUNCTION("""COMPUTED_VALUE"""),"Unknown")</f>
        <v>Unknown</v>
      </c>
      <c r="AA1602" s="1" t="str">
        <f>IFERROR(__xludf.DUMMYFUNCTION("""COMPUTED_VALUE"""),"")</f>
        <v/>
      </c>
      <c r="AB1602" s="1" t="str">
        <f>IFERROR(__xludf.DUMMYFUNCTION("""COMPUTED_VALUE"""),"")</f>
        <v/>
      </c>
      <c r="AC1602" s="1" t="str">
        <f>IFERROR(__xludf.DUMMYFUNCTION("""COMPUTED_VALUE"""),"")</f>
        <v/>
      </c>
      <c r="AD1602" s="1" t="str">
        <f>IFERROR(__xludf.DUMMYFUNCTION("""COMPUTED_VALUE"""),"")</f>
        <v/>
      </c>
      <c r="AE1602" s="1" t="str">
        <f>IFERROR(__xludf.DUMMYFUNCTION("""COMPUTED_VALUE"""),"")</f>
        <v/>
      </c>
      <c r="AF1602" s="1" t="str">
        <f>IFERROR(__xludf.DUMMYFUNCTION("""COMPUTED_VALUE"""),"")</f>
        <v/>
      </c>
      <c r="AG1602" s="1" t="str">
        <f>IFERROR(__xludf.DUMMYFUNCTION("""COMPUTED_VALUE"""),"")</f>
        <v/>
      </c>
      <c r="AH1602" s="1" t="str">
        <f>IFERROR(__xludf.DUMMYFUNCTION("""COMPUTED_VALUE"""),"Media Monitoring")</f>
        <v>Media Monitoring</v>
      </c>
      <c r="AI1602" s="2" t="str">
        <f>IFERROR(__xludf.DUMMYFUNCTION("""COMPUTED_VALUE"""),"https://biztimes.com/microsoft-gets-approval-for-third-portion-of-mount-pleasant-data-center-campus/")</f>
        <v>https://biztimes.com/microsoft-gets-approval-for-third-portion-of-mount-pleasant-data-center-campus/</v>
      </c>
      <c r="AJ1602" s="1" t="str">
        <f>IFERROR(__xludf.DUMMYFUNCTION("""COMPUTED_VALUE"""),"")</f>
        <v/>
      </c>
      <c r="AK1602" s="1" t="str">
        <f>IFERROR(__xludf.DUMMYFUNCTION("""COMPUTED_VALUE"""),"")</f>
        <v/>
      </c>
      <c r="AL1602" s="1" t="str">
        <f>IFERROR(__xludf.DUMMYFUNCTION("""COMPUTED_VALUE"""),"")</f>
        <v/>
      </c>
      <c r="AM1602" s="1" t="str">
        <f>IFERROR(__xludf.DUMMYFUNCTION("""COMPUTED_VALUE"""),"")</f>
        <v/>
      </c>
      <c r="AN1602" s="1" t="str">
        <f>IFERROR(__xludf.DUMMYFUNCTION("""COMPUTED_VALUE"""),"")</f>
        <v/>
      </c>
      <c r="AO1602" s="1" t="str">
        <f>IFERROR(__xludf.DUMMYFUNCTION("""COMPUTED_VALUE"""),"")</f>
        <v/>
      </c>
      <c r="AP1602" s="1" t="str">
        <f>IFERROR(__xludf.DUMMYFUNCTION("""COMPUTED_VALUE"""),"")</f>
        <v/>
      </c>
      <c r="AQ1602" s="1" t="str">
        <f>IFERROR(__xludf.DUMMYFUNCTION("""COMPUTED_VALUE"""),"09/19/2025")</f>
        <v>09/19/2025</v>
      </c>
      <c r="AR1602" s="1" t="str">
        <f>IFERROR(__xludf.DUMMYFUNCTION("""COMPUTED_VALUE"""),"09/19/2025")</f>
        <v>09/19/2025</v>
      </c>
    </row>
    <row r="1603">
      <c r="A1603" s="1" t="str">
        <f>IFERROR(__xludf.DUMMYFUNCTION("""COMPUTED_VALUE"""),"Microsoft Data Center")</f>
        <v>Microsoft Data Center</v>
      </c>
      <c r="B1603" s="1" t="str">
        <f>IFERROR(__xludf.DUMMYFUNCTION("""COMPUTED_VALUE"""),"12721 Louis Sorenson Rd")</f>
        <v>12721 Louis Sorenson Rd</v>
      </c>
      <c r="C1603" s="1" t="str">
        <f>IFERROR(__xludf.DUMMYFUNCTION("""COMPUTED_VALUE"""),"Sturtevant")</f>
        <v>Sturtevant</v>
      </c>
      <c r="D1603" s="1" t="str">
        <f>IFERROR(__xludf.DUMMYFUNCTION("""COMPUTED_VALUE"""),"WI")</f>
        <v>WI</v>
      </c>
      <c r="E1603" s="1" t="str">
        <f>IFERROR(__xludf.DUMMYFUNCTION("""COMPUTED_VALUE"""),"53177")</f>
        <v>53177</v>
      </c>
      <c r="F1603" s="1" t="str">
        <f>IFERROR(__xludf.DUMMYFUNCTION("""COMPUTED_VALUE"""),"Racine")</f>
        <v>Racine</v>
      </c>
      <c r="G1603" s="1" t="str">
        <f>IFERROR(__xludf.DUMMYFUNCTION("""COMPUTED_VALUE"""),"42.70384")</f>
        <v>42.70384</v>
      </c>
      <c r="H1603" s="1" t="str">
        <f>IFERROR(__xludf.DUMMYFUNCTION("""COMPUTED_VALUE"""),"-87.9382")</f>
        <v>-87.9382</v>
      </c>
      <c r="I1603" s="1" t="str">
        <f>IFERROR(__xludf.DUMMYFUNCTION("""COMPUTED_VALUE"""),"Proposed")</f>
        <v>Proposed</v>
      </c>
      <c r="J1603" s="1" t="str">
        <f>IFERROR(__xludf.DUMMYFUNCTION("""COMPUTED_VALUE"""),"High")</f>
        <v>High</v>
      </c>
      <c r="K1603" s="1" t="str">
        <f>IFERROR(__xludf.DUMMYFUNCTION("""COMPUTED_VALUE"""),"")</f>
        <v/>
      </c>
      <c r="L1603" s="1" t="str">
        <f>IFERROR(__xludf.DUMMYFUNCTION("""COMPUTED_VALUE"""),"Microsoft")</f>
        <v>Microsoft</v>
      </c>
      <c r="M1603" s="1" t="str">
        <f>IFERROR(__xludf.DUMMYFUNCTION("""COMPUTED_VALUE"""),"")</f>
        <v/>
      </c>
      <c r="N1603" s="1" t="str">
        <f>IFERROR(__xludf.DUMMYFUNCTION("""COMPUTED_VALUE"""),"")</f>
        <v/>
      </c>
      <c r="O1603" s="1" t="str">
        <f>IFERROR(__xludf.DUMMYFUNCTION("""COMPUTED_VALUE"""),"Unknown")</f>
        <v>Unknown</v>
      </c>
      <c r="P1603" s="1" t="str">
        <f>IFERROR(__xludf.DUMMYFUNCTION("""COMPUTED_VALUE"""),"")</f>
        <v/>
      </c>
      <c r="Q1603" s="1" t="str">
        <f>IFERROR(__xludf.DUMMYFUNCTION("""COMPUTED_VALUE"""),"")</f>
        <v/>
      </c>
      <c r="R1603" s="1" t="str">
        <f>IFERROR(__xludf.DUMMYFUNCTION("""COMPUTED_VALUE"""),"")</f>
        <v/>
      </c>
      <c r="S1603" s="1" t="str">
        <f>IFERROR(__xludf.DUMMYFUNCTION("""COMPUTED_VALUE"""),"")</f>
        <v/>
      </c>
      <c r="T1603" s="1" t="str">
        <f>IFERROR(__xludf.DUMMYFUNCTION("""COMPUTED_VALUE"""),"")</f>
        <v/>
      </c>
      <c r="U1603" s="1" t="str">
        <f>IFERROR(__xludf.DUMMYFUNCTION("""COMPUTED_VALUE"""),"")</f>
        <v/>
      </c>
      <c r="V1603" s="1" t="str">
        <f>IFERROR(__xludf.DUMMYFUNCTION("""COMPUTED_VALUE"""),"")</f>
        <v/>
      </c>
      <c r="W1603" s="1" t="str">
        <f>IFERROR(__xludf.DUMMYFUNCTION("""COMPUTED_VALUE"""),"230")</f>
        <v>230</v>
      </c>
      <c r="X1603" s="1" t="str">
        <f>IFERROR(__xludf.DUMMYFUNCTION("""COMPUTED_VALUE"""),"")</f>
        <v/>
      </c>
      <c r="Y1603" s="1" t="str">
        <f>IFERROR(__xludf.DUMMYFUNCTION("""COMPUTED_VALUE"""),"")</f>
        <v/>
      </c>
      <c r="Z1603" s="1" t="str">
        <f>IFERROR(__xludf.DUMMYFUNCTION("""COMPUTED_VALUE"""),"Unknown")</f>
        <v>Unknown</v>
      </c>
      <c r="AA1603" s="1" t="str">
        <f>IFERROR(__xludf.DUMMYFUNCTION("""COMPUTED_VALUE"""),"")</f>
        <v/>
      </c>
      <c r="AB1603" s="1" t="str">
        <f>IFERROR(__xludf.DUMMYFUNCTION("""COMPUTED_VALUE"""),"")</f>
        <v/>
      </c>
      <c r="AC1603" s="1" t="str">
        <f>IFERROR(__xludf.DUMMYFUNCTION("""COMPUTED_VALUE"""),"")</f>
        <v/>
      </c>
      <c r="AD1603" s="1" t="str">
        <f>IFERROR(__xludf.DUMMYFUNCTION("""COMPUTED_VALUE"""),"")</f>
        <v/>
      </c>
      <c r="AE1603" s="1" t="str">
        <f>IFERROR(__xludf.DUMMYFUNCTION("""COMPUTED_VALUE"""),"")</f>
        <v/>
      </c>
      <c r="AF1603" s="1" t="str">
        <f>IFERROR(__xludf.DUMMYFUNCTION("""COMPUTED_VALUE"""),"")</f>
        <v/>
      </c>
      <c r="AG1603" s="1" t="str">
        <f>IFERROR(__xludf.DUMMYFUNCTION("""COMPUTED_VALUE"""),"")</f>
        <v/>
      </c>
      <c r="AH1603" s="1" t="str">
        <f>IFERROR(__xludf.DUMMYFUNCTION("""COMPUTED_VALUE"""),"Media Monitoring")</f>
        <v>Media Monitoring</v>
      </c>
      <c r="AI1603" s="2" t="str">
        <f>IFERROR(__xludf.DUMMYFUNCTION("""COMPUTED_VALUE"""),"https://www.datacenterdynamics.com/en/news/microsoft-buys-another-160-acres-in-racine-county-wisconsin-for-mount-pleasant-data-center-campus/")</f>
        <v>https://www.datacenterdynamics.com/en/news/microsoft-buys-another-160-acres-in-racine-county-wisconsin-for-mount-pleasant-data-center-campus/</v>
      </c>
      <c r="AJ1603" s="2" t="str">
        <f>IFERROR(__xludf.DUMMYFUNCTION("""COMPUTED_VALUE"""),"https://www.datacenterdynamics.com/en/news/microsoft-buys-another-70-acres-in-mount-pleasant-wisconsin/")</f>
        <v>https://www.datacenterdynamics.com/en/news/microsoft-buys-another-70-acres-in-mount-pleasant-wisconsin/</v>
      </c>
      <c r="AK1603" s="2" t="str">
        <f>IFERROR(__xludf.DUMMYFUNCTION("""COMPUTED_VALUE"""),"https://www.jsonline.com/story/money/real-estate/commercial/2024/07/29/microsoft-buys-more-land-near-milwaukee-area-data-center-development/74557810007/")</f>
        <v>https://www.jsonline.com/story/money/real-estate/commercial/2024/07/29/microsoft-buys-more-land-near-milwaukee-area-data-center-development/74557810007/</v>
      </c>
      <c r="AL1603" s="1" t="str">
        <f>IFERROR(__xludf.DUMMYFUNCTION("""COMPUTED_VALUE"""),"")</f>
        <v/>
      </c>
      <c r="AM1603" s="1" t="str">
        <f>IFERROR(__xludf.DUMMYFUNCTION("""COMPUTED_VALUE"""),"")</f>
        <v/>
      </c>
      <c r="AN1603" s="1" t="str">
        <f>IFERROR(__xludf.DUMMYFUNCTION("""COMPUTED_VALUE"""),"")</f>
        <v/>
      </c>
      <c r="AO1603" s="1" t="str">
        <f>IFERROR(__xludf.DUMMYFUNCTION("""COMPUTED_VALUE"""),"")</f>
        <v/>
      </c>
      <c r="AP1603" s="1" t="str">
        <f>IFERROR(__xludf.DUMMYFUNCTION("""COMPUTED_VALUE"""),"")</f>
        <v/>
      </c>
      <c r="AQ1603" s="1" t="str">
        <f>IFERROR(__xludf.DUMMYFUNCTION("""COMPUTED_VALUE"""),"09/20/2025")</f>
        <v>09/20/2025</v>
      </c>
      <c r="AR1603" s="1" t="str">
        <f>IFERROR(__xludf.DUMMYFUNCTION("""COMPUTED_VALUE"""),"09/20/2025")</f>
        <v>09/20/2025</v>
      </c>
    </row>
    <row r="1604">
      <c r="A1604" s="1" t="str">
        <f>IFERROR(__xludf.DUMMYFUNCTION("""COMPUTED_VALUE"""),"Digital Power Optimization")</f>
        <v>Digital Power Optimization</v>
      </c>
      <c r="B1604" s="1" t="str">
        <f>IFERROR(__xludf.DUMMYFUNCTION("""COMPUTED_VALUE"""),"west of Hwy 34 near water quality plant")</f>
        <v>west of Hwy 34 near water quality plant</v>
      </c>
      <c r="C1604" s="1" t="str">
        <f>IFERROR(__xludf.DUMMYFUNCTION("""COMPUTED_VALUE"""),"Wisconsin Rapids")</f>
        <v>Wisconsin Rapids</v>
      </c>
      <c r="D1604" s="1" t="str">
        <f>IFERROR(__xludf.DUMMYFUNCTION("""COMPUTED_VALUE"""),"WI")</f>
        <v>WI</v>
      </c>
      <c r="E1604" s="1" t="str">
        <f>IFERROR(__xludf.DUMMYFUNCTION("""COMPUTED_VALUE"""),"94495")</f>
        <v>94495</v>
      </c>
      <c r="F1604" s="1" t="str">
        <f>IFERROR(__xludf.DUMMYFUNCTION("""COMPUTED_VALUE"""),"Wood")</f>
        <v>Wood</v>
      </c>
      <c r="G1604" s="1" t="str">
        <f>IFERROR(__xludf.DUMMYFUNCTION("""COMPUTED_VALUE"""),"44.41945")</f>
        <v>44.41945</v>
      </c>
      <c r="H1604" s="1" t="str">
        <f>IFERROR(__xludf.DUMMYFUNCTION("""COMPUTED_VALUE"""),"-89.8253")</f>
        <v>-89.8253</v>
      </c>
      <c r="I1604" s="1" t="str">
        <f>IFERROR(__xludf.DUMMYFUNCTION("""COMPUTED_VALUE"""),"Cancelled")</f>
        <v>Cancelled</v>
      </c>
      <c r="J1604" s="1" t="str">
        <f>IFERROR(__xludf.DUMMYFUNCTION("""COMPUTED_VALUE"""),"Medium")</f>
        <v>Medium</v>
      </c>
      <c r="K1604" s="1" t="str">
        <f>IFERROR(__xludf.DUMMYFUNCTION("""COMPUTED_VALUE"""),"")</f>
        <v/>
      </c>
      <c r="L1604" s="1" t="str">
        <f>IFERROR(__xludf.DUMMYFUNCTION("""COMPUTED_VALUE"""),"")</f>
        <v/>
      </c>
      <c r="M1604" s="1" t="str">
        <f>IFERROR(__xludf.DUMMYFUNCTION("""COMPUTED_VALUE"""),"")</f>
        <v/>
      </c>
      <c r="N1604" s="1" t="str">
        <f>IFERROR(__xludf.DUMMYFUNCTION("""COMPUTED_VALUE"""),"20")</f>
        <v>20</v>
      </c>
      <c r="O1604" s="1" t="str">
        <f>IFERROR(__xludf.DUMMYFUNCTION("""COMPUTED_VALUE"""),"Medium (11-50 MW)")</f>
        <v>Medium (11-50 MW)</v>
      </c>
      <c r="P1604" s="1" t="str">
        <f>IFERROR(__xludf.DUMMYFUNCTION("""COMPUTED_VALUE"""),"")</f>
        <v/>
      </c>
      <c r="Q1604" s="1" t="str">
        <f>IFERROR(__xludf.DUMMYFUNCTION("""COMPUTED_VALUE"""),"")</f>
        <v/>
      </c>
      <c r="R1604" s="1" t="str">
        <f>IFERROR(__xludf.DUMMYFUNCTION("""COMPUTED_VALUE"""),"")</f>
        <v/>
      </c>
      <c r="S1604" s="1" t="str">
        <f>IFERROR(__xludf.DUMMYFUNCTION("""COMPUTED_VALUE"""),"")</f>
        <v/>
      </c>
      <c r="T1604" s="1" t="str">
        <f>IFERROR(__xludf.DUMMYFUNCTION("""COMPUTED_VALUE"""),"")</f>
        <v/>
      </c>
      <c r="U1604" s="1" t="str">
        <f>IFERROR(__xludf.DUMMYFUNCTION("""COMPUTED_VALUE"""),"")</f>
        <v/>
      </c>
      <c r="V1604" s="1" t="str">
        <f>IFERROR(__xludf.DUMMYFUNCTION("""COMPUTED_VALUE"""),"")</f>
        <v/>
      </c>
      <c r="W1604" s="1" t="str">
        <f>IFERROR(__xludf.DUMMYFUNCTION("""COMPUTED_VALUE"""),"15")</f>
        <v>15</v>
      </c>
      <c r="X1604" s="1" t="str">
        <f>IFERROR(__xludf.DUMMYFUNCTION("""COMPUTED_VALUE"""),"$200 million")</f>
        <v>$200 million</v>
      </c>
      <c r="Y1604" s="1" t="str">
        <f>IFERROR(__xludf.DUMMYFUNCTION("""COMPUTED_VALUE"""),"")</f>
        <v/>
      </c>
      <c r="Z1604" s="1" t="str">
        <f>IFERROR(__xludf.DUMMYFUNCTION("""COMPUTED_VALUE"""),"Unknown")</f>
        <v>Unknown</v>
      </c>
      <c r="AA1604" s="1" t="str">
        <f>IFERROR(__xludf.DUMMYFUNCTION("""COMPUTED_VALUE"""),"")</f>
        <v/>
      </c>
      <c r="AB1604" s="1" t="str">
        <f>IFERROR(__xludf.DUMMYFUNCTION("""COMPUTED_VALUE"""),"")</f>
        <v/>
      </c>
      <c r="AC1604" s="1" t="str">
        <f>IFERROR(__xludf.DUMMYFUNCTION("""COMPUTED_VALUE"""),"")</f>
        <v/>
      </c>
      <c r="AD1604" s="1" t="str">
        <f>IFERROR(__xludf.DUMMYFUNCTION("""COMPUTED_VALUE"""),"")</f>
        <v/>
      </c>
      <c r="AE1604" s="1" t="str">
        <f>IFERROR(__xludf.DUMMYFUNCTION("""COMPUTED_VALUE"""),"")</f>
        <v/>
      </c>
      <c r="AF1604" s="1" t="str">
        <f>IFERROR(__xludf.DUMMYFUNCTION("""COMPUTED_VALUE"""),"")</f>
        <v/>
      </c>
      <c r="AG1604" s="1" t="str">
        <f>IFERROR(__xludf.DUMMYFUNCTION("""COMPUTED_VALUE"""),"")</f>
        <v/>
      </c>
      <c r="AH1604" s="1" t="str">
        <f>IFERROR(__xludf.DUMMYFUNCTION("""COMPUTED_VALUE"""),"Media Monitoring")</f>
        <v>Media Monitoring</v>
      </c>
      <c r="AI1604" s="2" t="str">
        <f>IFERROR(__xludf.DUMMYFUNCTION("""COMPUTED_VALUE"""),"https://www.datacenterdynamics.com/en/news/dpo-secures-land-and-power-supply-for-20mw-hpc-data-center-in-wisconsin/")</f>
        <v>https://www.datacenterdynamics.com/en/news/dpo-secures-land-and-power-supply-for-20mw-hpc-data-center-in-wisconsin/</v>
      </c>
      <c r="AJ1604" s="2" t="str">
        <f>IFERROR(__xludf.DUMMYFUNCTION("""COMPUTED_VALUE"""),"https://www.wisconsinrapidstribune.com/story/money/2025/01/27/ai-computing-facility-wisconsin-rapids-digital-power-optimization/77969465007/")</f>
        <v>https://www.wisconsinrapidstribune.com/story/money/2025/01/27/ai-computing-facility-wisconsin-rapids-digital-power-optimization/77969465007/</v>
      </c>
      <c r="AK1604" s="2" t="str">
        <f>IFERROR(__xludf.DUMMYFUNCTION("""COMPUTED_VALUE"""),"https://www.wisconsinrapidstribune.com/story/money/2025/07/23/digital-power-optimization-no-longer-plans-to-open-200-million-ai-data-center-in-wisconsin-rapids/85340839007/")</f>
        <v>https://www.wisconsinrapidstribune.com/story/money/2025/07/23/digital-power-optimization-no-longer-plans-to-open-200-million-ai-data-center-in-wisconsin-rapids/85340839007/</v>
      </c>
      <c r="AL1604" s="1" t="str">
        <f>IFERROR(__xludf.DUMMYFUNCTION("""COMPUTED_VALUE"""),"")</f>
        <v/>
      </c>
      <c r="AM1604" s="1" t="str">
        <f>IFERROR(__xludf.DUMMYFUNCTION("""COMPUTED_VALUE"""),"")</f>
        <v/>
      </c>
      <c r="AN1604" s="1" t="str">
        <f>IFERROR(__xludf.DUMMYFUNCTION("""COMPUTED_VALUE"""),"")</f>
        <v/>
      </c>
      <c r="AO1604" s="1" t="str">
        <f>IFERROR(__xludf.DUMMYFUNCTION("""COMPUTED_VALUE"""),"")</f>
        <v/>
      </c>
      <c r="AP1604" s="1" t="str">
        <f>IFERROR(__xludf.DUMMYFUNCTION("""COMPUTED_VALUE"""),"")</f>
        <v/>
      </c>
      <c r="AQ1604" s="1" t="str">
        <f>IFERROR(__xludf.DUMMYFUNCTION("""COMPUTED_VALUE"""),"07/24/2025")</f>
        <v>07/24/2025</v>
      </c>
      <c r="AR1604" s="1" t="str">
        <f>IFERROR(__xludf.DUMMYFUNCTION("""COMPUTED_VALUE"""),"07/24/2025")</f>
        <v>07/24/2025</v>
      </c>
    </row>
    <row r="1605">
      <c r="A1605" s="1" t="str">
        <f>IFERROR(__xludf.DUMMYFUNCTION("""COMPUTED_VALUE"""),"Google Buffalo Data Center")</f>
        <v>Google Buffalo Data Center</v>
      </c>
      <c r="B1605" s="1" t="str">
        <f>IFERROR(__xludf.DUMMYFUNCTION("""COMPUTED_VALUE"""),"Charleston Rd")</f>
        <v>Charleston Rd</v>
      </c>
      <c r="C1605" s="1" t="str">
        <f>IFERROR(__xludf.DUMMYFUNCTION("""COMPUTED_VALUE"""),"Buffalo")</f>
        <v>Buffalo</v>
      </c>
      <c r="D1605" s="1" t="str">
        <f>IFERROR(__xludf.DUMMYFUNCTION("""COMPUTED_VALUE"""),"WV")</f>
        <v>WV</v>
      </c>
      <c r="E1605" s="1" t="str">
        <f>IFERROR(__xludf.DUMMYFUNCTION("""COMPUTED_VALUE"""),"25033")</f>
        <v>25033</v>
      </c>
      <c r="F1605" s="1" t="str">
        <f>IFERROR(__xludf.DUMMYFUNCTION("""COMPUTED_VALUE"""),"Putnam")</f>
        <v>Putnam</v>
      </c>
      <c r="G1605" s="1" t="str">
        <f>IFERROR(__xludf.DUMMYFUNCTION("""COMPUTED_VALUE"""),"38.635235")</f>
        <v>38.635235</v>
      </c>
      <c r="H1605" s="1" t="str">
        <f>IFERROR(__xludf.DUMMYFUNCTION("""COMPUTED_VALUE"""),"-81.96641")</f>
        <v>-81.96641</v>
      </c>
      <c r="I1605" s="1" t="str">
        <f>IFERROR(__xludf.DUMMYFUNCTION("""COMPUTED_VALUE"""),"Proposed")</f>
        <v>Proposed</v>
      </c>
      <c r="J1605" s="1" t="str">
        <f>IFERROR(__xludf.DUMMYFUNCTION("""COMPUTED_VALUE"""),"Medium")</f>
        <v>Medium</v>
      </c>
      <c r="K1605" s="1" t="str">
        <f>IFERROR(__xludf.DUMMYFUNCTION("""COMPUTED_VALUE"""),"")</f>
        <v/>
      </c>
      <c r="L1605" s="1" t="str">
        <f>IFERROR(__xludf.DUMMYFUNCTION("""COMPUTED_VALUE"""),"Google")</f>
        <v>Google</v>
      </c>
      <c r="M1605" s="1" t="str">
        <f>IFERROR(__xludf.DUMMYFUNCTION("""COMPUTED_VALUE"""),"")</f>
        <v/>
      </c>
      <c r="N1605" s="1" t="str">
        <f>IFERROR(__xludf.DUMMYFUNCTION("""COMPUTED_VALUE"""),"")</f>
        <v/>
      </c>
      <c r="O1605" s="1" t="str">
        <f>IFERROR(__xludf.DUMMYFUNCTION("""COMPUTED_VALUE"""),"Unknown")</f>
        <v>Unknown</v>
      </c>
      <c r="P1605" s="1" t="str">
        <f>IFERROR(__xludf.DUMMYFUNCTION("""COMPUTED_VALUE"""),"")</f>
        <v/>
      </c>
      <c r="Q1605" s="1" t="str">
        <f>IFERROR(__xludf.DUMMYFUNCTION("""COMPUTED_VALUE"""),"")</f>
        <v/>
      </c>
      <c r="R1605" s="1" t="str">
        <f>IFERROR(__xludf.DUMMYFUNCTION("""COMPUTED_VALUE"""),"")</f>
        <v/>
      </c>
      <c r="S1605" s="1" t="str">
        <f>IFERROR(__xludf.DUMMYFUNCTION("""COMPUTED_VALUE"""),"")</f>
        <v/>
      </c>
      <c r="T1605" s="1" t="str">
        <f>IFERROR(__xludf.DUMMYFUNCTION("""COMPUTED_VALUE"""),"")</f>
        <v/>
      </c>
      <c r="U1605" s="1" t="str">
        <f>IFERROR(__xludf.DUMMYFUNCTION("""COMPUTED_VALUE"""),"")</f>
        <v/>
      </c>
      <c r="V1605" s="1" t="str">
        <f>IFERROR(__xludf.DUMMYFUNCTION("""COMPUTED_VALUE"""),"")</f>
        <v/>
      </c>
      <c r="W1605" s="1" t="str">
        <f>IFERROR(__xludf.DUMMYFUNCTION("""COMPUTED_VALUE"""),"1700")</f>
        <v>1700</v>
      </c>
      <c r="X1605" s="1" t="str">
        <f>IFERROR(__xludf.DUMMYFUNCTION("""COMPUTED_VALUE"""),"")</f>
        <v/>
      </c>
      <c r="Y1605" s="1" t="str">
        <f>IFERROR(__xludf.DUMMYFUNCTION("""COMPUTED_VALUE"""),"")</f>
        <v/>
      </c>
      <c r="Z1605" s="1" t="str">
        <f>IFERROR(__xludf.DUMMYFUNCTION("""COMPUTED_VALUE"""),"Unknown")</f>
        <v>Unknown</v>
      </c>
      <c r="AA1605" s="1" t="str">
        <f>IFERROR(__xludf.DUMMYFUNCTION("""COMPUTED_VALUE"""),"")</f>
        <v/>
      </c>
      <c r="AB1605" s="1" t="str">
        <f>IFERROR(__xludf.DUMMYFUNCTION("""COMPUTED_VALUE"""),"")</f>
        <v/>
      </c>
      <c r="AC1605" s="1" t="str">
        <f>IFERROR(__xludf.DUMMYFUNCTION("""COMPUTED_VALUE"""),"")</f>
        <v/>
      </c>
      <c r="AD1605" s="1" t="str">
        <f>IFERROR(__xludf.DUMMYFUNCTION("""COMPUTED_VALUE"""),"")</f>
        <v/>
      </c>
      <c r="AE1605" s="1" t="str">
        <f>IFERROR(__xludf.DUMMYFUNCTION("""COMPUTED_VALUE"""),"")</f>
        <v/>
      </c>
      <c r="AF1605" s="1" t="str">
        <f>IFERROR(__xludf.DUMMYFUNCTION("""COMPUTED_VALUE"""),"")</f>
        <v/>
      </c>
      <c r="AG1605" s="1" t="str">
        <f>IFERROR(__xludf.DUMMYFUNCTION("""COMPUTED_VALUE"""),"Likely tax incentives")</f>
        <v>Likely tax incentives</v>
      </c>
      <c r="AH1605" s="1" t="str">
        <f>IFERROR(__xludf.DUMMYFUNCTION("""COMPUTED_VALUE"""),"Media Monitoring")</f>
        <v>Media Monitoring</v>
      </c>
      <c r="AI1605" s="2" t="str">
        <f>IFERROR(__xludf.DUMMYFUNCTION("""COMPUTED_VALUE"""),"https://www.datacenterdynamics.com/en/news/google-purchases-land-for-data-center-in-putnam-county-west-virginia/")</f>
        <v>https://www.datacenterdynamics.com/en/news/google-purchases-land-for-data-center-in-putnam-county-west-virginia/</v>
      </c>
      <c r="AJ1605" s="2" t="str">
        <f>IFERROR(__xludf.DUMMYFUNCTION("""COMPUTED_VALUE"""),"https://wchstv.com/news/local/google-has-acquired-land-for-potential-data-center-in-putnam-county-officials-announce")</f>
        <v>https://wchstv.com/news/local/google-has-acquired-land-for-potential-data-center-in-putnam-county-officials-announce</v>
      </c>
      <c r="AK1605" s="2" t="str">
        <f>IFERROR(__xludf.DUMMYFUNCTION("""COMPUTED_VALUE"""),"https://www.newsandsentinel.com/news/business/2026/03/feeling-lucky-google-data-center-project-in-the-works-for-putnam-county/")</f>
        <v>https://www.newsandsentinel.com/news/business/2026/03/feeling-lucky-google-data-center-project-in-the-works-for-putnam-county/</v>
      </c>
      <c r="AL1605" s="1" t="str">
        <f>IFERROR(__xludf.DUMMYFUNCTION("""COMPUTED_VALUE"""),"")</f>
        <v/>
      </c>
      <c r="AM1605" s="1" t="str">
        <f>IFERROR(__xludf.DUMMYFUNCTION("""COMPUTED_VALUE"""),"")</f>
        <v/>
      </c>
      <c r="AN1605" s="1" t="str">
        <f>IFERROR(__xludf.DUMMYFUNCTION("""COMPUTED_VALUE"""),"")</f>
        <v/>
      </c>
      <c r="AO1605" s="1" t="str">
        <f>IFERROR(__xludf.DUMMYFUNCTION("""COMPUTED_VALUE"""),"")</f>
        <v/>
      </c>
      <c r="AP1605" s="1" t="str">
        <f>IFERROR(__xludf.DUMMYFUNCTION("""COMPUTED_VALUE"""),"")</f>
        <v/>
      </c>
      <c r="AQ1605" s="1" t="str">
        <f>IFERROR(__xludf.DUMMYFUNCTION("""COMPUTED_VALUE"""),"03/28/2026")</f>
        <v>03/28/2026</v>
      </c>
      <c r="AR1605" s="1" t="str">
        <f>IFERROR(__xludf.DUMMYFUNCTION("""COMPUTED_VALUE"""),"03/28/2026")</f>
        <v>03/28/2026</v>
      </c>
    </row>
    <row r="1606">
      <c r="A1606" s="1" t="str">
        <f>IFERROR(__xludf.DUMMYFUNCTION("""COMPUTED_VALUE"""),"Ridgeline Microgrid")</f>
        <v>Ridgeline Microgrid</v>
      </c>
      <c r="B1606" s="1" t="str">
        <f>IFERROR(__xludf.DUMMYFUNCTION("""COMPUTED_VALUE"""),"Off of US-48, near the City of Thomas")</f>
        <v>Off of US-48, near the City of Thomas</v>
      </c>
      <c r="C1606" s="1" t="str">
        <f>IFERROR(__xludf.DUMMYFUNCTION("""COMPUTED_VALUE"""),"Davis")</f>
        <v>Davis</v>
      </c>
      <c r="D1606" s="1" t="str">
        <f>IFERROR(__xludf.DUMMYFUNCTION("""COMPUTED_VALUE"""),"WV")</f>
        <v>WV</v>
      </c>
      <c r="E1606" s="1" t="str">
        <f>IFERROR(__xludf.DUMMYFUNCTION("""COMPUTED_VALUE"""),"26260")</f>
        <v>26260</v>
      </c>
      <c r="F1606" s="1" t="str">
        <f>IFERROR(__xludf.DUMMYFUNCTION("""COMPUTED_VALUE"""),"Tucker")</f>
        <v>Tucker</v>
      </c>
      <c r="G1606" s="1" t="str">
        <f>IFERROR(__xludf.DUMMYFUNCTION("""COMPUTED_VALUE"""),"39.13851")</f>
        <v>39.13851</v>
      </c>
      <c r="H1606" s="1" t="str">
        <f>IFERROR(__xludf.DUMMYFUNCTION("""COMPUTED_VALUE"""),"-79.4867")</f>
        <v>-79.4867</v>
      </c>
      <c r="I1606" s="1" t="str">
        <f>IFERROR(__xludf.DUMMYFUNCTION("""COMPUTED_VALUE"""),"Approved/Permitted/Under construction")</f>
        <v>Approved/Permitted/Under construction</v>
      </c>
      <c r="J1606" s="1" t="str">
        <f>IFERROR(__xludf.DUMMYFUNCTION("""COMPUTED_VALUE"""),"Medium")</f>
        <v>Medium</v>
      </c>
      <c r="K1606" s="1" t="str">
        <f>IFERROR(__xludf.DUMMYFUNCTION("""COMPUTED_VALUE"""),"")</f>
        <v/>
      </c>
      <c r="L1606" s="1" t="str">
        <f>IFERROR(__xludf.DUMMYFUNCTION("""COMPUTED_VALUE"""),"Fundamental Data LLC")</f>
        <v>Fundamental Data LLC</v>
      </c>
      <c r="M1606" s="1" t="str">
        <f>IFERROR(__xludf.DUMMYFUNCTION("""COMPUTED_VALUE"""),"")</f>
        <v/>
      </c>
      <c r="N1606" s="1" t="str">
        <f>IFERROR(__xludf.DUMMYFUNCTION("""COMPUTED_VALUE"""),"1,656")</f>
        <v>1,656</v>
      </c>
      <c r="O1606" s="1" t="str">
        <f>IFERROR(__xludf.DUMMYFUNCTION("""COMPUTED_VALUE"""),"Mega campus (&gt;1,000 MW)")</f>
        <v>Mega campus (&gt;1,000 MW)</v>
      </c>
      <c r="P1606" s="1" t="str">
        <f>IFERROR(__xludf.DUMMYFUNCTION("""COMPUTED_VALUE"""),"Natural gas")</f>
        <v>Natural gas</v>
      </c>
      <c r="Q1606" s="1" t="str">
        <f>IFERROR(__xludf.DUMMYFUNCTION("""COMPUTED_VALUE"""),"Yes")</f>
        <v>Yes</v>
      </c>
      <c r="R1606" s="1" t="str">
        <f>IFERROR(__xludf.DUMMYFUNCTION("""COMPUTED_VALUE"""),"")</f>
        <v/>
      </c>
      <c r="S1606" s="1" t="str">
        <f>IFERROR(__xludf.DUMMYFUNCTION("""COMPUTED_VALUE"""),"")</f>
        <v/>
      </c>
      <c r="T1606" s="1" t="str">
        <f>IFERROR(__xludf.DUMMYFUNCTION("""COMPUTED_VALUE"""),"")</f>
        <v/>
      </c>
      <c r="U1606" s="1" t="str">
        <f>IFERROR(__xludf.DUMMYFUNCTION("""COMPUTED_VALUE"""),"")</f>
        <v/>
      </c>
      <c r="V1606" s="1" t="str">
        <f>IFERROR(__xludf.DUMMYFUNCTION("""COMPUTED_VALUE"""),"")</f>
        <v/>
      </c>
      <c r="W1606" s="1" t="str">
        <f>IFERROR(__xludf.DUMMYFUNCTION("""COMPUTED_VALUE"""),"10000")</f>
        <v>10000</v>
      </c>
      <c r="X1606" s="1" t="str">
        <f>IFERROR(__xludf.DUMMYFUNCTION("""COMPUTED_VALUE"""),"")</f>
        <v/>
      </c>
      <c r="Y1606" s="1" t="str">
        <f>IFERROR(__xludf.DUMMYFUNCTION("""COMPUTED_VALUE"""),"")</f>
        <v/>
      </c>
      <c r="Z1606" s="1" t="str">
        <f>IFERROR(__xludf.DUMMYFUNCTION("""COMPUTED_VALUE"""),"Yes")</f>
        <v>Yes</v>
      </c>
      <c r="AA1606" s="1" t="str">
        <f>IFERROR(__xludf.DUMMYFUNCTION("""COMPUTED_VALUE"""),"Petition targets WV microgrid bill enabling Ridgeline project. Project has generated significant organized opposition from local residents and environmental groups concerned about air pollution, tourism impacts, and microgrid legislation enabling the deve"&amp;"lopment.")</f>
        <v>Petition targets WV microgrid bill enabling Ridgeline project. Project has generated significant organized opposition from local residents and environmental groups concerned about air pollution, tourism impacts, and microgrid legislation enabling the development.</v>
      </c>
      <c r="AB1606" s="1" t="str">
        <f>IFERROR(__xludf.DUMMYFUNCTION("""COMPUTED_VALUE"""),"Organized Advocacy")</f>
        <v>Organized Advocacy</v>
      </c>
      <c r="AC1606" s="1" t="str">
        <f>IFERROR(__xludf.DUMMYFUNCTION("""COMPUTED_VALUE"""),"")</f>
        <v/>
      </c>
      <c r="AD1606" s="2" t="str">
        <f>IFERROR(__xludf.DUMMYFUNCTION("""COMPUTED_VALUE"""),"https://www.tuckerunited.com/")</f>
        <v>https://www.tuckerunited.com/</v>
      </c>
      <c r="AE1606" s="2" t="str">
        <f>IFERROR(__xludf.DUMMYFUNCTION("""COMPUTED_VALUE"""),"https://friendsofblackwater.org/")</f>
        <v>https://friendsofblackwater.org/</v>
      </c>
      <c r="AF1606" s="1" t="str">
        <f>IFERROR(__xludf.DUMMYFUNCTION("""COMPUTED_VALUE"""),"https://www.change.org/p/protect-local-freedom-urge-governor-morrisey-to-veto-data-center-bill, https://actionnetwork.org/letters/fundamental-data-llcs-air-permit-application-r13-3713/")</f>
        <v>https://www.change.org/p/protect-local-freedom-urge-governor-morrisey-to-veto-data-center-bill, https://actionnetwork.org/letters/fundamental-data-llcs-air-permit-application-r13-3713/</v>
      </c>
      <c r="AG1606" s="1" t="str">
        <f>IFERROR(__xludf.DUMMYFUNCTION("""COMPUTED_VALUE"""),"Proposed Fundamental Data data-center campus paired with the Ridgeline Power Station gas plant near Davis, WV.")</f>
        <v>Proposed Fundamental Data data-center campus paired with the Ridgeline Power Station gas plant near Davis, WV.</v>
      </c>
      <c r="AH1606" s="1" t="str">
        <f>IFERROR(__xludf.DUMMYFUNCTION("""COMPUTED_VALUE"""),"Crowdsourced")</f>
        <v>Crowdsourced</v>
      </c>
      <c r="AI1606" s="2" t="str">
        <f>IFERROR(__xludf.DUMMYFUNCTION("""COMPUTED_VALUE"""),"https://wvmetronews.com/2025/07/01/tucker-county-residents-rise-up-to-oppose-data-center/")</f>
        <v>https://wvmetronews.com/2025/07/01/tucker-county-residents-rise-up-to-oppose-data-center/</v>
      </c>
      <c r="AJ1606" s="2" t="str">
        <f>IFERROR(__xludf.DUMMYFUNCTION("""COMPUTED_VALUE"""),"https://westvirginiawatch.com/2025/05/28/it-will-destroy-this-place-tucker-county-residents-fight-for-future-against-proposed-data-center/")</f>
        <v>https://westvirginiawatch.com/2025/05/28/it-will-destroy-this-place-tucker-county-residents-fight-for-future-against-proposed-data-center/</v>
      </c>
      <c r="AK1606" s="2" t="str">
        <f>IFERROR(__xludf.DUMMYFUNCTION("""COMPUTED_VALUE"""),"https://steadystate.org/tucker-county-yellowstone-of-the-east-or-appalachias-cancer-valley/")</f>
        <v>https://steadystate.org/tucker-county-yellowstone-of-the-east-or-appalachias-cancer-valley/</v>
      </c>
      <c r="AL1606" s="2" t="str">
        <f>IFERROR(__xludf.DUMMYFUNCTION("""COMPUTED_VALUE"""),"https://wvmetronews.com/2025/09/17/environmental-groups-mount-a-challenge-to-data-center-power-permit/")</f>
        <v>https://wvmetronews.com/2025/09/17/environmental-groups-mount-a-challenge-to-data-center-power-permit/</v>
      </c>
      <c r="AM1606" s="2" t="str">
        <f>IFERROR(__xludf.DUMMYFUNCTION("""COMPUTED_VALUE"""),"https://www.yahoo.com/news/articles/hope-rest-wv-watching-tucker-110032778.html")</f>
        <v>https://www.yahoo.com/news/articles/hope-rest-wv-watching-tucker-110032778.html</v>
      </c>
      <c r="AN1606" s="2" t="str">
        <f>IFERROR(__xludf.DUMMYFUNCTION("""COMPUTED_VALUE"""),"https://dep.wv.gov/daq/permitting/Documents/Fundamental%20Data%20LLC;%20Ridgeline%20Facility/093-00034_APPL_13-3713.pdf")</f>
        <v>https://dep.wv.gov/daq/permitting/Documents/Fundamental%20Data%20LLC;%20Ridgeline%20Facility/093-00034_APPL_13-3713.pdf</v>
      </c>
      <c r="AO1606" s="1" t="str">
        <f>IFERROR(__xludf.DUMMYFUNCTION("""COMPUTED_VALUE"""),"")</f>
        <v/>
      </c>
      <c r="AP1606" s="1" t="str">
        <f>IFERROR(__xludf.DUMMYFUNCTION("""COMPUTED_VALUE"""),"")</f>
        <v/>
      </c>
      <c r="AQ1606" s="1" t="str">
        <f>IFERROR(__xludf.DUMMYFUNCTION("""COMPUTED_VALUE"""),"08/24/2025")</f>
        <v>08/24/2025</v>
      </c>
      <c r="AR1606" s="1" t="str">
        <f>IFERROR(__xludf.DUMMYFUNCTION("""COMPUTED_VALUE"""),"12/08/2025")</f>
        <v>12/08/2025</v>
      </c>
    </row>
    <row r="1607">
      <c r="A1607" s="1" t="str">
        <f>IFERROR(__xludf.DUMMYFUNCTION("""COMPUTED_VALUE"""),"Hog Lick Aggregates ")</f>
        <v>Hog Lick Aggregates </v>
      </c>
      <c r="B1607" s="1" t="str">
        <f>IFERROR(__xludf.DUMMYFUNCTION("""COMPUTED_VALUE"""),"Hoglick Hollow Run")</f>
        <v>Hoglick Hollow Run</v>
      </c>
      <c r="C1607" s="1" t="str">
        <f>IFERROR(__xludf.DUMMYFUNCTION("""COMPUTED_VALUE"""),"Fairmont")</f>
        <v>Fairmont</v>
      </c>
      <c r="D1607" s="1" t="str">
        <f>IFERROR(__xludf.DUMMYFUNCTION("""COMPUTED_VALUE"""),"WV")</f>
        <v>WV</v>
      </c>
      <c r="E1607" s="1" t="str">
        <f>IFERROR(__xludf.DUMMYFUNCTION("""COMPUTED_VALUE"""),"26554")</f>
        <v>26554</v>
      </c>
      <c r="F1607" s="1" t="str">
        <f>IFERROR(__xludf.DUMMYFUNCTION("""COMPUTED_VALUE"""),"Marion")</f>
        <v>Marion</v>
      </c>
      <c r="G1607" s="1" t="str">
        <f>IFERROR(__xludf.DUMMYFUNCTION("""COMPUTED_VALUE"""),"39.420273")</f>
        <v>39.420273</v>
      </c>
      <c r="H1607" s="1" t="str">
        <f>IFERROR(__xludf.DUMMYFUNCTION("""COMPUTED_VALUE"""),"-80.213455")</f>
        <v>-80.213455</v>
      </c>
      <c r="I1607" s="1" t="str">
        <f>IFERROR(__xludf.DUMMYFUNCTION("""COMPUTED_VALUE"""),"Proposed")</f>
        <v>Proposed</v>
      </c>
      <c r="J1607" s="1" t="str">
        <f>IFERROR(__xludf.DUMMYFUNCTION("""COMPUTED_VALUE"""),"High")</f>
        <v>High</v>
      </c>
      <c r="K1607" s="1" t="str">
        <f>IFERROR(__xludf.DUMMYFUNCTION("""COMPUTED_VALUE"""),"")</f>
        <v/>
      </c>
      <c r="L1607" s="1" t="str">
        <f>IFERROR(__xludf.DUMMYFUNCTION("""COMPUTED_VALUE"""),"Hog Lick Aggregates")</f>
        <v>Hog Lick Aggregates</v>
      </c>
      <c r="M1607" s="1" t="str">
        <f>IFERROR(__xludf.DUMMYFUNCTION("""COMPUTED_VALUE"""),"")</f>
        <v/>
      </c>
      <c r="N1607" s="1" t="str">
        <f>IFERROR(__xludf.DUMMYFUNCTION("""COMPUTED_VALUE"""),"200")</f>
        <v>200</v>
      </c>
      <c r="O1607" s="1" t="str">
        <f>IFERROR(__xludf.DUMMYFUNCTION("""COMPUTED_VALUE"""),"Hyperscale (100-999 MW)")</f>
        <v>Hyperscale (100-999 MW)</v>
      </c>
      <c r="P1607" s="1" t="str">
        <f>IFERROR(__xludf.DUMMYFUNCTION("""COMPUTED_VALUE"""),"Natural gas")</f>
        <v>Natural gas</v>
      </c>
      <c r="Q1607" s="1" t="str">
        <f>IFERROR(__xludf.DUMMYFUNCTION("""COMPUTED_VALUE"""),"Possibly")</f>
        <v>Possibly</v>
      </c>
      <c r="R1607" s="1" t="str">
        <f>IFERROR(__xludf.DUMMYFUNCTION("""COMPUTED_VALUE"""),"")</f>
        <v/>
      </c>
      <c r="S1607" s="1" t="str">
        <f>IFERROR(__xludf.DUMMYFUNCTION("""COMPUTED_VALUE"""),"14")</f>
        <v>14</v>
      </c>
      <c r="T1607" s="1" t="str">
        <f>IFERROR(__xludf.DUMMYFUNCTION("""COMPUTED_VALUE"""),"")</f>
        <v/>
      </c>
      <c r="U1607" s="1" t="str">
        <f>IFERROR(__xludf.DUMMYFUNCTION("""COMPUTED_VALUE"""),"Closed loop")</f>
        <v>Closed loop</v>
      </c>
      <c r="V1607" s="1" t="str">
        <f>IFERROR(__xludf.DUMMYFUNCTION("""COMPUTED_VALUE"""),"3,220,000")</f>
        <v>3,220,000</v>
      </c>
      <c r="W1607" s="1" t="str">
        <f>IFERROR(__xludf.DUMMYFUNCTION("""COMPUTED_VALUE"""),"277")</f>
        <v>277</v>
      </c>
      <c r="X1607" s="1" t="str">
        <f>IFERROR(__xludf.DUMMYFUNCTION("""COMPUTED_VALUE"""),"")</f>
        <v/>
      </c>
      <c r="Y1607" s="1" t="str">
        <f>IFERROR(__xludf.DUMMYFUNCTION("""COMPUTED_VALUE"""),"")</f>
        <v/>
      </c>
      <c r="Z1607" s="1" t="str">
        <f>IFERROR(__xludf.DUMMYFUNCTION("""COMPUTED_VALUE"""),"Unknown")</f>
        <v>Unknown</v>
      </c>
      <c r="AA1607" s="1" t="str">
        <f>IFERROR(__xludf.DUMMYFUNCTION("""COMPUTED_VALUE"""),"")</f>
        <v/>
      </c>
      <c r="AB1607" s="1" t="str">
        <f>IFERROR(__xludf.DUMMYFUNCTION("""COMPUTED_VALUE"""),"")</f>
        <v/>
      </c>
      <c r="AC1607" s="1" t="str">
        <f>IFERROR(__xludf.DUMMYFUNCTION("""COMPUTED_VALUE"""),"")</f>
        <v/>
      </c>
      <c r="AD1607" s="1" t="str">
        <f>IFERROR(__xludf.DUMMYFUNCTION("""COMPUTED_VALUE"""),"")</f>
        <v/>
      </c>
      <c r="AE1607" s="1" t="str">
        <f>IFERROR(__xludf.DUMMYFUNCTION("""COMPUTED_VALUE"""),"")</f>
        <v/>
      </c>
      <c r="AF1607" s="1" t="str">
        <f>IFERROR(__xludf.DUMMYFUNCTION("""COMPUTED_VALUE"""),"")</f>
        <v/>
      </c>
      <c r="AG1607" s="1" t="str">
        <f>IFERROR(__xludf.DUMMYFUNCTION("""COMPUTED_VALUE"""),"Redevelopment of former quarry. Also NASA supercomputer facility, Rhea, proposed at nearby I-79 Tech Park")</f>
        <v>Redevelopment of former quarry. Also NASA supercomputer facility, Rhea, proposed at nearby I-79 Tech Park</v>
      </c>
      <c r="AH1607" s="1" t="str">
        <f>IFERROR(__xludf.DUMMYFUNCTION("""COMPUTED_VALUE"""),"Crowdsourced")</f>
        <v>Crowdsourced</v>
      </c>
      <c r="AI1607" s="2" t="str">
        <f>IFERROR(__xludf.DUMMYFUNCTION("""COMPUTED_VALUE"""),"https://wajr.com/2026/05/06/data-center-study-underway-in-marion-county/")</f>
        <v>https://wajr.com/2026/05/06/data-center-study-underway-in-marion-county/</v>
      </c>
      <c r="AJ1607" s="2" t="str">
        <f>IFERROR(__xludf.DUMMYFUNCTION("""COMPUTED_VALUE"""),"https://www.wboy.com/news/marion/local-company-looking-at-developing-data-center-near-white-hall/")</f>
        <v>https://www.wboy.com/news/marion/local-company-looking-at-developing-data-center-near-white-hall/</v>
      </c>
      <c r="AK1607" s="2" t="str">
        <f>IFERROR(__xludf.DUMMYFUNCTION("""COMPUTED_VALUE"""),"https://images.zoomprospector.com/client/properties/WESTVIRGINIA/fa9b81d6-cded-431e-bf70-975c6ccf3111.pdf")</f>
        <v>https://images.zoomprospector.com/client/properties/WESTVIRGINIA/fa9b81d6-cded-431e-bf70-975c6ccf3111.pdf</v>
      </c>
      <c r="AL1607" s="2" t="str">
        <f>IFERROR(__xludf.DUMMYFUNCTION("""COMPUTED_VALUE"""),"https://www.wvnews.com/statejournal/news/noaa-s-100m-rhea-supercomputer-coming-to-fairmont-boosting-west-virginia-tech-growth/article_5726208a-d3d7-404b-9eed-4cbb10cd26eb.html")</f>
        <v>https://www.wvnews.com/statejournal/news/noaa-s-100m-rhea-supercomputer-coming-to-fairmont-boosting-west-virginia-tech-growth/article_5726208a-d3d7-404b-9eed-4cbb10cd26eb.html</v>
      </c>
      <c r="AM1607" s="1" t="str">
        <f>IFERROR(__xludf.DUMMYFUNCTION("""COMPUTED_VALUE"""),"")</f>
        <v/>
      </c>
      <c r="AN1607" s="1" t="str">
        <f>IFERROR(__xludf.DUMMYFUNCTION("""COMPUTED_VALUE"""),"")</f>
        <v/>
      </c>
      <c r="AO1607" s="1" t="str">
        <f>IFERROR(__xludf.DUMMYFUNCTION("""COMPUTED_VALUE"""),"")</f>
        <v/>
      </c>
      <c r="AP1607" s="1" t="str">
        <f>IFERROR(__xludf.DUMMYFUNCTION("""COMPUTED_VALUE"""),"")</f>
        <v/>
      </c>
      <c r="AQ1607" s="1" t="str">
        <f>IFERROR(__xludf.DUMMYFUNCTION("""COMPUTED_VALUE"""),"05/11/2026")</f>
        <v>05/11/2026</v>
      </c>
      <c r="AR1607" s="1" t="str">
        <f>IFERROR(__xludf.DUMMYFUNCTION("""COMPUTED_VALUE"""),"05/11/2026")</f>
        <v>05/11/2026</v>
      </c>
    </row>
    <row r="1608">
      <c r="A1608" s="1" t="str">
        <f>IFERROR(__xludf.DUMMYFUNCTION("""COMPUTED_VALUE"""),"Rhea super computing facility (NASA)")</f>
        <v>Rhea super computing facility (NASA)</v>
      </c>
      <c r="B1608" s="1" t="str">
        <f>IFERROR(__xludf.DUMMYFUNCTION("""COMPUTED_VALUE"""),"NASA Blvd, I-79 Technology Park")</f>
        <v>NASA Blvd, I-79 Technology Park</v>
      </c>
      <c r="C1608" s="1" t="str">
        <f>IFERROR(__xludf.DUMMYFUNCTION("""COMPUTED_VALUE"""),"Fairmont")</f>
        <v>Fairmont</v>
      </c>
      <c r="D1608" s="1" t="str">
        <f>IFERROR(__xludf.DUMMYFUNCTION("""COMPUTED_VALUE"""),"WV")</f>
        <v>WV</v>
      </c>
      <c r="E1608" s="1" t="str">
        <f>IFERROR(__xludf.DUMMYFUNCTION("""COMPUTED_VALUE"""),"26554")</f>
        <v>26554</v>
      </c>
      <c r="F1608" s="1" t="str">
        <f>IFERROR(__xludf.DUMMYFUNCTION("""COMPUTED_VALUE"""),"Marion")</f>
        <v>Marion</v>
      </c>
      <c r="G1608" s="1" t="str">
        <f>IFERROR(__xludf.DUMMYFUNCTION("""COMPUTED_VALUE"""),"39.430576")</f>
        <v>39.430576</v>
      </c>
      <c r="H1608" s="1" t="str">
        <f>IFERROR(__xludf.DUMMYFUNCTION("""COMPUTED_VALUE"""),"-80.196")</f>
        <v>-80.196</v>
      </c>
      <c r="I1608" s="1" t="str">
        <f>IFERROR(__xludf.DUMMYFUNCTION("""COMPUTED_VALUE"""),"Proposed")</f>
        <v>Proposed</v>
      </c>
      <c r="J1608" s="1" t="str">
        <f>IFERROR(__xludf.DUMMYFUNCTION("""COMPUTED_VALUE"""),"Medium")</f>
        <v>Medium</v>
      </c>
      <c r="K1608" s="1" t="str">
        <f>IFERROR(__xludf.DUMMYFUNCTION("""COMPUTED_VALUE"""),"")</f>
        <v/>
      </c>
      <c r="L1608" s="1" t="str">
        <f>IFERROR(__xludf.DUMMYFUNCTION("""COMPUTED_VALUE"""),"")</f>
        <v/>
      </c>
      <c r="M1608" s="1" t="str">
        <f>IFERROR(__xludf.DUMMYFUNCTION("""COMPUTED_VALUE"""),"")</f>
        <v/>
      </c>
      <c r="N1608" s="1" t="str">
        <f>IFERROR(__xludf.DUMMYFUNCTION("""COMPUTED_VALUE"""),"")</f>
        <v/>
      </c>
      <c r="O1608" s="1" t="str">
        <f>IFERROR(__xludf.DUMMYFUNCTION("""COMPUTED_VALUE"""),"Unknown")</f>
        <v>Unknown</v>
      </c>
      <c r="P1608" s="1" t="str">
        <f>IFERROR(__xludf.DUMMYFUNCTION("""COMPUTED_VALUE"""),"")</f>
        <v/>
      </c>
      <c r="Q1608" s="1" t="str">
        <f>IFERROR(__xludf.DUMMYFUNCTION("""COMPUTED_VALUE"""),"")</f>
        <v/>
      </c>
      <c r="R1608" s="1" t="str">
        <f>IFERROR(__xludf.DUMMYFUNCTION("""COMPUTED_VALUE"""),"")</f>
        <v/>
      </c>
      <c r="S1608" s="1" t="str">
        <f>IFERROR(__xludf.DUMMYFUNCTION("""COMPUTED_VALUE"""),"")</f>
        <v/>
      </c>
      <c r="T1608" s="1" t="str">
        <f>IFERROR(__xludf.DUMMYFUNCTION("""COMPUTED_VALUE"""),"")</f>
        <v/>
      </c>
      <c r="U1608" s="1" t="str">
        <f>IFERROR(__xludf.DUMMYFUNCTION("""COMPUTED_VALUE"""),"")</f>
        <v/>
      </c>
      <c r="V1608" s="1" t="str">
        <f>IFERROR(__xludf.DUMMYFUNCTION("""COMPUTED_VALUE"""),"")</f>
        <v/>
      </c>
      <c r="W1608" s="1" t="str">
        <f>IFERROR(__xludf.DUMMYFUNCTION("""COMPUTED_VALUE"""),"")</f>
        <v/>
      </c>
      <c r="X1608" s="1" t="str">
        <f>IFERROR(__xludf.DUMMYFUNCTION("""COMPUTED_VALUE"""),"$100 million")</f>
        <v>$100 million</v>
      </c>
      <c r="Y1608" s="1" t="str">
        <f>IFERROR(__xludf.DUMMYFUNCTION("""COMPUTED_VALUE"""),"2026")</f>
        <v>2026</v>
      </c>
      <c r="Z1608" s="1" t="str">
        <f>IFERROR(__xludf.DUMMYFUNCTION("""COMPUTED_VALUE"""),"Unknown")</f>
        <v>Unknown</v>
      </c>
      <c r="AA1608" s="1" t="str">
        <f>IFERROR(__xludf.DUMMYFUNCTION("""COMPUTED_VALUE"""),"")</f>
        <v/>
      </c>
      <c r="AB1608" s="1" t="str">
        <f>IFERROR(__xludf.DUMMYFUNCTION("""COMPUTED_VALUE"""),"")</f>
        <v/>
      </c>
      <c r="AC1608" s="1" t="str">
        <f>IFERROR(__xludf.DUMMYFUNCTION("""COMPUTED_VALUE"""),"")</f>
        <v/>
      </c>
      <c r="AD1608" s="1" t="str">
        <f>IFERROR(__xludf.DUMMYFUNCTION("""COMPUTED_VALUE"""),"")</f>
        <v/>
      </c>
      <c r="AE1608" s="1" t="str">
        <f>IFERROR(__xludf.DUMMYFUNCTION("""COMPUTED_VALUE"""),"")</f>
        <v/>
      </c>
      <c r="AF1608" s="1" t="str">
        <f>IFERROR(__xludf.DUMMYFUNCTION("""COMPUTED_VALUE"""),"")</f>
        <v/>
      </c>
      <c r="AG1608" s="1" t="str">
        <f>IFERROR(__xludf.DUMMYFUNCTION("""COMPUTED_VALUE"""),"")</f>
        <v/>
      </c>
      <c r="AH1608" s="1" t="str">
        <f>IFERROR(__xludf.DUMMYFUNCTION("""COMPUTED_VALUE"""),"Crowdsourced")</f>
        <v>Crowdsourced</v>
      </c>
      <c r="AI1608" s="2" t="str">
        <f>IFERROR(__xludf.DUMMYFUNCTION("""COMPUTED_VALUE"""),"https://www.wvnews.com/statejournal/news/noaa-s-100m-rhea-supercomputer-coming-to-fairmont-boosting-west-virginia-tech-growth/article_5726208a-d3d7-404b-9eed-4cbb10cd26eb.html")</f>
        <v>https://www.wvnews.com/statejournal/news/noaa-s-100m-rhea-supercomputer-coming-to-fairmont-boosting-west-virginia-tech-growth/article_5726208a-d3d7-404b-9eed-4cbb10cd26eb.html</v>
      </c>
      <c r="AJ1608" s="1" t="str">
        <f>IFERROR(__xludf.DUMMYFUNCTION("""COMPUTED_VALUE"""),"")</f>
        <v/>
      </c>
      <c r="AK1608" s="1" t="str">
        <f>IFERROR(__xludf.DUMMYFUNCTION("""COMPUTED_VALUE"""),"")</f>
        <v/>
      </c>
      <c r="AL1608" s="1" t="str">
        <f>IFERROR(__xludf.DUMMYFUNCTION("""COMPUTED_VALUE"""),"")</f>
        <v/>
      </c>
      <c r="AM1608" s="1" t="str">
        <f>IFERROR(__xludf.DUMMYFUNCTION("""COMPUTED_VALUE"""),"")</f>
        <v/>
      </c>
      <c r="AN1608" s="1" t="str">
        <f>IFERROR(__xludf.DUMMYFUNCTION("""COMPUTED_VALUE"""),"")</f>
        <v/>
      </c>
      <c r="AO1608" s="1" t="str">
        <f>IFERROR(__xludf.DUMMYFUNCTION("""COMPUTED_VALUE"""),"")</f>
        <v/>
      </c>
      <c r="AP1608" s="1" t="str">
        <f>IFERROR(__xludf.DUMMYFUNCTION("""COMPUTED_VALUE"""),"")</f>
        <v/>
      </c>
      <c r="AQ1608" s="1" t="str">
        <f>IFERROR(__xludf.DUMMYFUNCTION("""COMPUTED_VALUE"""),"05/11/2026")</f>
        <v>05/11/2026</v>
      </c>
      <c r="AR1608" s="1" t="str">
        <f>IFERROR(__xludf.DUMMYFUNCTION("""COMPUTED_VALUE"""),"05/11/2026")</f>
        <v>05/11/2026</v>
      </c>
    </row>
    <row r="1609">
      <c r="A1609" s="1" t="str">
        <f>IFERROR(__xludf.DUMMYFUNCTION("""COMPUTED_VALUE"""),"Adams Fork Harless Data Center")</f>
        <v>Adams Fork Harless Data Center</v>
      </c>
      <c r="B1609" s="1" t="str">
        <f>IFERROR(__xludf.DUMMYFUNCTION("""COMPUTED_VALUE"""),"Off Twentytwo Mine Rd")</f>
        <v>Off Twentytwo Mine Rd</v>
      </c>
      <c r="C1609" s="1" t="str">
        <f>IFERROR(__xludf.DUMMYFUNCTION("""COMPUTED_VALUE"""),"Holden")</f>
        <v>Holden</v>
      </c>
      <c r="D1609" s="1" t="str">
        <f>IFERROR(__xludf.DUMMYFUNCTION("""COMPUTED_VALUE"""),"WV")</f>
        <v>WV</v>
      </c>
      <c r="E1609" s="1" t="str">
        <f>IFERROR(__xludf.DUMMYFUNCTION("""COMPUTED_VALUE"""),"25625")</f>
        <v>25625</v>
      </c>
      <c r="F1609" s="1" t="str">
        <f>IFERROR(__xludf.DUMMYFUNCTION("""COMPUTED_VALUE"""),"Mingo")</f>
        <v>Mingo</v>
      </c>
      <c r="G1609" s="1" t="str">
        <f>IFERROR(__xludf.DUMMYFUNCTION("""COMPUTED_VALUE"""),"37.75417")</f>
        <v>37.75417</v>
      </c>
      <c r="H1609" s="1" t="str">
        <f>IFERROR(__xludf.DUMMYFUNCTION("""COMPUTED_VALUE"""),"-82.1179")</f>
        <v>-82.1179</v>
      </c>
      <c r="I1609" s="1" t="str">
        <f>IFERROR(__xludf.DUMMYFUNCTION("""COMPUTED_VALUE"""),"Proposed")</f>
        <v>Proposed</v>
      </c>
      <c r="J1609" s="1" t="str">
        <f>IFERROR(__xludf.DUMMYFUNCTION("""COMPUTED_VALUE"""),"High")</f>
        <v>High</v>
      </c>
      <c r="K1609" s="1" t="str">
        <f>IFERROR(__xludf.DUMMYFUNCTION("""COMPUTED_VALUE"""),"")</f>
        <v/>
      </c>
      <c r="L1609" s="1" t="str">
        <f>IFERROR(__xludf.DUMMYFUNCTION("""COMPUTED_VALUE"""),"TransGas Development, LLC")</f>
        <v>TransGas Development, LLC</v>
      </c>
      <c r="M1609" s="1" t="str">
        <f>IFERROR(__xludf.DUMMYFUNCTION("""COMPUTED_VALUE"""),"")</f>
        <v/>
      </c>
      <c r="N1609" s="1" t="str">
        <f>IFERROR(__xludf.DUMMYFUNCTION("""COMPUTED_VALUE"""),"2398.5")</f>
        <v>2398.5</v>
      </c>
      <c r="O1609" s="1" t="str">
        <f>IFERROR(__xludf.DUMMYFUNCTION("""COMPUTED_VALUE"""),"Mega campus (&gt;1,000 MW)")</f>
        <v>Mega campus (&gt;1,000 MW)</v>
      </c>
      <c r="P1609" s="1" t="str">
        <f>IFERROR(__xludf.DUMMYFUNCTION("""COMPUTED_VALUE"""),"Natural gas")</f>
        <v>Natural gas</v>
      </c>
      <c r="Q1609" s="1" t="str">
        <f>IFERROR(__xludf.DUMMYFUNCTION("""COMPUTED_VALUE"""),"Yes - Adams Fork Energy Project Power Station 2")</f>
        <v>Yes - Adams Fork Energy Project Power Station 2</v>
      </c>
      <c r="R1609" s="1" t="str">
        <f>IFERROR(__xludf.DUMMYFUNCTION("""COMPUTED_VALUE"""),"")</f>
        <v/>
      </c>
      <c r="S1609" s="1" t="str">
        <f>IFERROR(__xludf.DUMMYFUNCTION("""COMPUTED_VALUE"""),"")</f>
        <v/>
      </c>
      <c r="T1609" s="1" t="str">
        <f>IFERROR(__xludf.DUMMYFUNCTION("""COMPUTED_VALUE"""),"")</f>
        <v/>
      </c>
      <c r="U1609" s="1" t="str">
        <f>IFERROR(__xludf.DUMMYFUNCTION("""COMPUTED_VALUE"""),"")</f>
        <v/>
      </c>
      <c r="V1609" s="1" t="str">
        <f>IFERROR(__xludf.DUMMYFUNCTION("""COMPUTED_VALUE"""),"")</f>
        <v/>
      </c>
      <c r="W1609" s="1" t="str">
        <f>IFERROR(__xludf.DUMMYFUNCTION("""COMPUTED_VALUE"""),"")</f>
        <v/>
      </c>
      <c r="X1609" s="1" t="str">
        <f>IFERROR(__xludf.DUMMYFUNCTION("""COMPUTED_VALUE"""),"")</f>
        <v/>
      </c>
      <c r="Y1609" s="1" t="str">
        <f>IFERROR(__xludf.DUMMYFUNCTION("""COMPUTED_VALUE"""),"")</f>
        <v/>
      </c>
      <c r="Z1609" s="1" t="str">
        <f>IFERROR(__xludf.DUMMYFUNCTION("""COMPUTED_VALUE"""),"Yes")</f>
        <v>Yes</v>
      </c>
      <c r="AA1609" s="1" t="str">
        <f>IFERROR(__xludf.DUMMYFUNCTION("""COMPUTED_VALUE"""),"https://www.wvhighlands.org/article/despite-public-pushback-west-virginia-approves-air-quality-permits-for-data-center-energy-campus-in-mingo-county/?
https://westvirginiawatch.com/2025/05/28/it-will-destroy-this-place-tucker-county-residents-fight-for-fu"&amp;"ture-against-proposed-data-center/")</f>
        <v>https://www.wvhighlands.org/article/despite-public-pushback-west-virginia-approves-air-quality-permits-for-data-center-energy-campus-in-mingo-county/?
https://westvirginiawatch.com/2025/05/28/it-will-destroy-this-place-tucker-county-residents-fight-for-future-against-proposed-data-center/</v>
      </c>
      <c r="AB1609" s="1" t="str">
        <f>IFERROR(__xludf.DUMMYFUNCTION("""COMPUTED_VALUE"""),"Organized Advocacy")</f>
        <v>Organized Advocacy</v>
      </c>
      <c r="AC1609" s="1" t="str">
        <f>IFERROR(__xludf.DUMMYFUNCTION("""COMPUTED_VALUE"""),"")</f>
        <v/>
      </c>
      <c r="AD1609" s="2" t="str">
        <f>IFERROR(__xludf.DUMMYFUNCTION("""COMPUTED_VALUE"""),"https://wvcag.org/")</f>
        <v>https://wvcag.org/</v>
      </c>
      <c r="AE1609" s="2" t="str">
        <f>IFERROR(__xludf.DUMMYFUNCTION("""COMPUTED_VALUE"""),"https://wvrivers.org/")</f>
        <v>https://wvrivers.org/</v>
      </c>
      <c r="AF1609" s="1" t="str">
        <f>IFERROR(__xludf.DUMMYFUNCTION("""COMPUTED_VALUE"""),"")</f>
        <v/>
      </c>
      <c r="AG1609" s="1" t="str">
        <f>IFERROR(__xludf.DUMMYFUNCTION("""COMPUTED_VALUE"""),"Identical proposal to the Adams Form Data Center Energy Camus in Wharncliffe. Each facility would house 117 engines powered by natural gas, with 114 of those running full-time. If no gas is available, the engines would run on diesel that is stored in 40 t"&amp;"anks on site. Total of 7 pods attached to the 117 power plant engines. Each pod holds two large buildings on the outer side, housing the data centers. In a May 2025 presentation posted to their website, parent company TransGas Development Systems, LLC sta"&amp;"ted that it plans to expand data center capacity between this site and  it's sister site to 9.8 GW.")</f>
        <v>Identical proposal to the Adams Form Data Center Energy Camus in Wharncliffe. Each facility would house 117 engines powered by natural gas, with 114 of those running full-time. If no gas is available, the engines would run on diesel that is stored in 40 tanks on site. Total of 7 pods attached to the 117 power plant engines. Each pod holds two large buildings on the outer side, housing the data centers. In a May 2025 presentation posted to their website, parent company TransGas Development Systems, LLC stated that it plans to expand data center capacity between this site and  it's sister site to 9.8 GW.</v>
      </c>
      <c r="AH1609" s="1" t="str">
        <f>IFERROR(__xludf.DUMMYFUNCTION("""COMPUTED_VALUE"""),"Crowdsourced")</f>
        <v>Crowdsourced</v>
      </c>
      <c r="AI1609" s="2" t="str">
        <f>IFERROR(__xludf.DUMMYFUNCTION("""COMPUTED_VALUE"""),"https://dep.wv.gov/daq/permitting/Documents/Transgas-Adams-Fork-Harless/059-00133_APPL_13-3714%20rev.pdf")</f>
        <v>https://dep.wv.gov/daq/permitting/Documents/Transgas-Adams-Fork-Harless/059-00133_APPL_13-3714%20rev.pdf</v>
      </c>
      <c r="AJ1609" s="2" t="str">
        <f>IFERROR(__xludf.DUMMYFUNCTION("""COMPUTED_VALUE"""),"https://ohiorivervalleyinstitute.org/adams-fork-is-a-giant-waste-of-energy/")</f>
        <v>https://ohiorivervalleyinstitute.org/adams-fork-is-a-giant-waste-of-energy/</v>
      </c>
      <c r="AK1609" s="2" t="str">
        <f>IFERROR(__xludf.DUMMYFUNCTION("""COMPUTED_VALUE"""),"https://www.newsfromthestates.com/article/enough-devastation-mingo-logan-residents-worry-about-proposed-power-plants-data-centers-wv")</f>
        <v>https://www.newsfromthestates.com/article/enough-devastation-mingo-logan-residents-worry-about-proposed-power-plants-data-centers-wv</v>
      </c>
      <c r="AL1609" s="1" t="str">
        <f>IFERROR(__xludf.DUMMYFUNCTION("""COMPUTED_VALUE"""),"")</f>
        <v/>
      </c>
      <c r="AM1609" s="1" t="str">
        <f>IFERROR(__xludf.DUMMYFUNCTION("""COMPUTED_VALUE"""),"")</f>
        <v/>
      </c>
      <c r="AN1609" s="1" t="str">
        <f>IFERROR(__xludf.DUMMYFUNCTION("""COMPUTED_VALUE"""),"")</f>
        <v/>
      </c>
      <c r="AO1609" s="1" t="str">
        <f>IFERROR(__xludf.DUMMYFUNCTION("""COMPUTED_VALUE"""),"")</f>
        <v/>
      </c>
      <c r="AP1609" s="1" t="str">
        <f>IFERROR(__xludf.DUMMYFUNCTION("""COMPUTED_VALUE"""),"")</f>
        <v/>
      </c>
      <c r="AQ1609" s="1" t="str">
        <f>IFERROR(__xludf.DUMMYFUNCTION("""COMPUTED_VALUE"""),"08/05/2025")</f>
        <v>08/05/2025</v>
      </c>
      <c r="AR1609" s="1" t="str">
        <f>IFERROR(__xludf.DUMMYFUNCTION("""COMPUTED_VALUE"""),"04/22/2026")</f>
        <v>04/22/2026</v>
      </c>
    </row>
    <row r="1610">
      <c r="A1610" s="1" t="str">
        <f>IFERROR(__xludf.DUMMYFUNCTION("""COMPUTED_VALUE"""),"Alpha Technologies Data Center")</f>
        <v>Alpha Technologies Data Center</v>
      </c>
      <c r="B1610" s="1" t="str">
        <f>IFERROR(__xludf.DUMMYFUNCTION("""COMPUTED_VALUE"""),"1125 6th Ave")</f>
        <v>1125 6th Ave</v>
      </c>
      <c r="C1610" s="1" t="str">
        <f>IFERROR(__xludf.DUMMYFUNCTION("""COMPUTED_VALUE"""),"Huntington")</f>
        <v>Huntington</v>
      </c>
      <c r="D1610" s="1" t="str">
        <f>IFERROR(__xludf.DUMMYFUNCTION("""COMPUTED_VALUE"""),"WV")</f>
        <v>WV</v>
      </c>
      <c r="E1610" s="1" t="str">
        <f>IFERROR(__xludf.DUMMYFUNCTION("""COMPUTED_VALUE"""),"25701")</f>
        <v>25701</v>
      </c>
      <c r="F1610" s="1" t="str">
        <f>IFERROR(__xludf.DUMMYFUNCTION("""COMPUTED_VALUE"""),"Cabell")</f>
        <v>Cabell</v>
      </c>
      <c r="G1610" s="1" t="str">
        <f>IFERROR(__xludf.DUMMYFUNCTION("""COMPUTED_VALUE"""),"38.41845")</f>
        <v>38.41845</v>
      </c>
      <c r="H1610" s="1" t="str">
        <f>IFERROR(__xludf.DUMMYFUNCTION("""COMPUTED_VALUE"""),"-82.4386")</f>
        <v>-82.4386</v>
      </c>
      <c r="I1610" s="1" t="str">
        <f>IFERROR(__xludf.DUMMYFUNCTION("""COMPUTED_VALUE"""),"Approved/Permitted/Under construction")</f>
        <v>Approved/Permitted/Under construction</v>
      </c>
      <c r="J1610" s="1" t="str">
        <f>IFERROR(__xludf.DUMMYFUNCTION("""COMPUTED_VALUE"""),"High")</f>
        <v>High</v>
      </c>
      <c r="K1610" s="1" t="str">
        <f>IFERROR(__xludf.DUMMYFUNCTION("""COMPUTED_VALUE"""),"")</f>
        <v/>
      </c>
      <c r="L1610" s="1" t="str">
        <f>IFERROR(__xludf.DUMMYFUNCTION("""COMPUTED_VALUE"""),"")</f>
        <v/>
      </c>
      <c r="M1610" s="1" t="str">
        <f>IFERROR(__xludf.DUMMYFUNCTION("""COMPUTED_VALUE"""),"")</f>
        <v/>
      </c>
      <c r="N1610" s="1" t="str">
        <f>IFERROR(__xludf.DUMMYFUNCTION("""COMPUTED_VALUE"""),"")</f>
        <v/>
      </c>
      <c r="O1610" s="1" t="str">
        <f>IFERROR(__xludf.DUMMYFUNCTION("""COMPUTED_VALUE"""),"Unknown")</f>
        <v>Unknown</v>
      </c>
      <c r="P1610" s="1" t="str">
        <f>IFERROR(__xludf.DUMMYFUNCTION("""COMPUTED_VALUE"""),"")</f>
        <v/>
      </c>
      <c r="Q1610" s="1" t="str">
        <f>IFERROR(__xludf.DUMMYFUNCTION("""COMPUTED_VALUE"""),"")</f>
        <v/>
      </c>
      <c r="R1610" s="1" t="str">
        <f>IFERROR(__xludf.DUMMYFUNCTION("""COMPUTED_VALUE"""),"")</f>
        <v/>
      </c>
      <c r="S1610" s="1" t="str">
        <f>IFERROR(__xludf.DUMMYFUNCTION("""COMPUTED_VALUE"""),"")</f>
        <v/>
      </c>
      <c r="T1610" s="1" t="str">
        <f>IFERROR(__xludf.DUMMYFUNCTION("""COMPUTED_VALUE"""),"")</f>
        <v/>
      </c>
      <c r="U1610" s="1" t="str">
        <f>IFERROR(__xludf.DUMMYFUNCTION("""COMPUTED_VALUE"""),"")</f>
        <v/>
      </c>
      <c r="V1610" s="1" t="str">
        <f>IFERROR(__xludf.DUMMYFUNCTION("""COMPUTED_VALUE"""),"60,000")</f>
        <v>60,000</v>
      </c>
      <c r="W1610" s="1" t="str">
        <f>IFERROR(__xludf.DUMMYFUNCTION("""COMPUTED_VALUE"""),"")</f>
        <v/>
      </c>
      <c r="X1610" s="1" t="str">
        <f>IFERROR(__xludf.DUMMYFUNCTION("""COMPUTED_VALUE"""),"")</f>
        <v/>
      </c>
      <c r="Y1610" s="1" t="str">
        <f>IFERROR(__xludf.DUMMYFUNCTION("""COMPUTED_VALUE"""),"")</f>
        <v/>
      </c>
      <c r="Z1610" s="1" t="str">
        <f>IFERROR(__xludf.DUMMYFUNCTION("""COMPUTED_VALUE"""),"Unknown")</f>
        <v>Unknown</v>
      </c>
      <c r="AA1610" s="1" t="str">
        <f>IFERROR(__xludf.DUMMYFUNCTION("""COMPUTED_VALUE"""),"")</f>
        <v/>
      </c>
      <c r="AB1610" s="1" t="str">
        <f>IFERROR(__xludf.DUMMYFUNCTION("""COMPUTED_VALUE"""),"")</f>
        <v/>
      </c>
      <c r="AC1610" s="1" t="str">
        <f>IFERROR(__xludf.DUMMYFUNCTION("""COMPUTED_VALUE"""),"")</f>
        <v/>
      </c>
      <c r="AD1610" s="1" t="str">
        <f>IFERROR(__xludf.DUMMYFUNCTION("""COMPUTED_VALUE"""),"")</f>
        <v/>
      </c>
      <c r="AE1610" s="1" t="str">
        <f>IFERROR(__xludf.DUMMYFUNCTION("""COMPUTED_VALUE"""),"")</f>
        <v/>
      </c>
      <c r="AF1610" s="1" t="str">
        <f>IFERROR(__xludf.DUMMYFUNCTION("""COMPUTED_VALUE"""),"")</f>
        <v/>
      </c>
      <c r="AG1610" s="1" t="str">
        <f>IFERROR(__xludf.DUMMYFUNCTION("""COMPUTED_VALUE"""),"")</f>
        <v/>
      </c>
      <c r="AH1610" s="1" t="str">
        <f>IFERROR(__xludf.DUMMYFUNCTION("""COMPUTED_VALUE"""),"Media Monitoring")</f>
        <v>Media Monitoring</v>
      </c>
      <c r="AI1610" s="2" t="str">
        <f>IFERROR(__xludf.DUMMYFUNCTION("""COMPUTED_VALUE"""),"https://www.datacenterdynamics.com/en/news/alpha-technologies-to-convert-office-to-data-center-in-west-virginia/")</f>
        <v>https://www.datacenterdynamics.com/en/news/alpha-technologies-to-convert-office-to-data-center-in-west-virginia/</v>
      </c>
      <c r="AJ1610" s="1" t="str">
        <f>IFERROR(__xludf.DUMMYFUNCTION("""COMPUTED_VALUE"""),"")</f>
        <v/>
      </c>
      <c r="AK1610" s="1" t="str">
        <f>IFERROR(__xludf.DUMMYFUNCTION("""COMPUTED_VALUE"""),"")</f>
        <v/>
      </c>
      <c r="AL1610" s="1" t="str">
        <f>IFERROR(__xludf.DUMMYFUNCTION("""COMPUTED_VALUE"""),"")</f>
        <v/>
      </c>
      <c r="AM1610" s="1" t="str">
        <f>IFERROR(__xludf.DUMMYFUNCTION("""COMPUTED_VALUE"""),"")</f>
        <v/>
      </c>
      <c r="AN1610" s="1" t="str">
        <f>IFERROR(__xludf.DUMMYFUNCTION("""COMPUTED_VALUE"""),"")</f>
        <v/>
      </c>
      <c r="AO1610" s="1" t="str">
        <f>IFERROR(__xludf.DUMMYFUNCTION("""COMPUTED_VALUE"""),"")</f>
        <v/>
      </c>
      <c r="AP1610" s="1" t="str">
        <f>IFERROR(__xludf.DUMMYFUNCTION("""COMPUTED_VALUE"""),"")</f>
        <v/>
      </c>
      <c r="AQ1610" s="1" t="str">
        <f>IFERROR(__xludf.DUMMYFUNCTION("""COMPUTED_VALUE"""),"08/05/2025")</f>
        <v>08/05/2025</v>
      </c>
      <c r="AR1610" s="1" t="str">
        <f>IFERROR(__xludf.DUMMYFUNCTION("""COMPUTED_VALUE"""),"08/05/2025")</f>
        <v>08/05/2025</v>
      </c>
    </row>
    <row r="1611">
      <c r="A1611" s="1" t="str">
        <f>IFERROR(__xludf.DUMMYFUNCTION("""COMPUTED_VALUE"""),"QTS Kearneysville Data Center")</f>
        <v>QTS Kearneysville Data Center</v>
      </c>
      <c r="B1611" s="1" t="str">
        <f>IFERROR(__xludf.DUMMYFUNCTION("""COMPUTED_VALUE"""),"between Route 115 and CSX railroad")</f>
        <v>between Route 115 and CSX railroad</v>
      </c>
      <c r="C1611" s="1" t="str">
        <f>IFERROR(__xludf.DUMMYFUNCTION("""COMPUTED_VALUE"""),"Kearneysville")</f>
        <v>Kearneysville</v>
      </c>
      <c r="D1611" s="1" t="str">
        <f>IFERROR(__xludf.DUMMYFUNCTION("""COMPUTED_VALUE"""),"WV")</f>
        <v>WV</v>
      </c>
      <c r="E1611" s="1" t="str">
        <f>IFERROR(__xludf.DUMMYFUNCTION("""COMPUTED_VALUE"""),"25438")</f>
        <v>25438</v>
      </c>
      <c r="F1611" s="1" t="str">
        <f>IFERROR(__xludf.DUMMYFUNCTION("""COMPUTED_VALUE"""),"Jefferson")</f>
        <v>Jefferson</v>
      </c>
      <c r="G1611" s="1" t="str">
        <f>IFERROR(__xludf.DUMMYFUNCTION("""COMPUTED_VALUE"""),"39.33659")</f>
        <v>39.33659</v>
      </c>
      <c r="H1611" s="1" t="str">
        <f>IFERROR(__xludf.DUMMYFUNCTION("""COMPUTED_VALUE"""),"-77.85235")</f>
        <v>-77.85235</v>
      </c>
      <c r="I1611" s="1" t="str">
        <f>IFERROR(__xludf.DUMMYFUNCTION("""COMPUTED_VALUE"""),"Proposed")</f>
        <v>Proposed</v>
      </c>
      <c r="J1611" s="1" t="str">
        <f>IFERROR(__xludf.DUMMYFUNCTION("""COMPUTED_VALUE"""),"Medium")</f>
        <v>Medium</v>
      </c>
      <c r="K1611" s="1" t="str">
        <f>IFERROR(__xludf.DUMMYFUNCTION("""COMPUTED_VALUE"""),"")</f>
        <v/>
      </c>
      <c r="L1611" s="1" t="str">
        <f>IFERROR(__xludf.DUMMYFUNCTION("""COMPUTED_VALUE"""),"QTS Data Centers")</f>
        <v>QTS Data Centers</v>
      </c>
      <c r="M1611" s="1" t="str">
        <f>IFERROR(__xludf.DUMMYFUNCTION("""COMPUTED_VALUE"""),"")</f>
        <v/>
      </c>
      <c r="N1611" s="1" t="str">
        <f>IFERROR(__xludf.DUMMYFUNCTION("""COMPUTED_VALUE"""),"")</f>
        <v/>
      </c>
      <c r="O1611" s="1" t="str">
        <f>IFERROR(__xludf.DUMMYFUNCTION("""COMPUTED_VALUE"""),"Unknown")</f>
        <v>Unknown</v>
      </c>
      <c r="P1611" s="1" t="str">
        <f>IFERROR(__xludf.DUMMYFUNCTION("""COMPUTED_VALUE"""),"")</f>
        <v/>
      </c>
      <c r="Q1611" s="1" t="str">
        <f>IFERROR(__xludf.DUMMYFUNCTION("""COMPUTED_VALUE"""),"")</f>
        <v/>
      </c>
      <c r="R1611" s="1" t="str">
        <f>IFERROR(__xludf.DUMMYFUNCTION("""COMPUTED_VALUE"""),"")</f>
        <v/>
      </c>
      <c r="S1611" s="1" t="str">
        <f>IFERROR(__xludf.DUMMYFUNCTION("""COMPUTED_VALUE"""),"2")</f>
        <v>2</v>
      </c>
      <c r="T1611" s="1" t="str">
        <f>IFERROR(__xludf.DUMMYFUNCTION("""COMPUTED_VALUE"""),"")</f>
        <v/>
      </c>
      <c r="U1611" s="1" t="str">
        <f>IFERROR(__xludf.DUMMYFUNCTION("""COMPUTED_VALUE"""),"")</f>
        <v/>
      </c>
      <c r="V1611" s="1" t="str">
        <f>IFERROR(__xludf.DUMMYFUNCTION("""COMPUTED_VALUE"""),"")</f>
        <v/>
      </c>
      <c r="W1611" s="1" t="str">
        <f>IFERROR(__xludf.DUMMYFUNCTION("""COMPUTED_VALUE"""),"90")</f>
        <v>90</v>
      </c>
      <c r="X1611" s="1" t="str">
        <f>IFERROR(__xludf.DUMMYFUNCTION("""COMPUTED_VALUE"""),"")</f>
        <v/>
      </c>
      <c r="Y1611" s="1" t="str">
        <f>IFERROR(__xludf.DUMMYFUNCTION("""COMPUTED_VALUE"""),"")</f>
        <v/>
      </c>
      <c r="Z1611" s="1" t="str">
        <f>IFERROR(__xludf.DUMMYFUNCTION("""COMPUTED_VALUE"""),"Unknown")</f>
        <v>Unknown</v>
      </c>
      <c r="AA1611" s="1" t="str">
        <f>IFERROR(__xludf.DUMMYFUNCTION("""COMPUTED_VALUE"""),"")</f>
        <v/>
      </c>
      <c r="AB1611" s="1" t="str">
        <f>IFERROR(__xludf.DUMMYFUNCTION("""COMPUTED_VALUE"""),"")</f>
        <v/>
      </c>
      <c r="AC1611" s="1" t="str">
        <f>IFERROR(__xludf.DUMMYFUNCTION("""COMPUTED_VALUE"""),"")</f>
        <v/>
      </c>
      <c r="AD1611" s="1" t="str">
        <f>IFERROR(__xludf.DUMMYFUNCTION("""COMPUTED_VALUE"""),"")</f>
        <v/>
      </c>
      <c r="AE1611" s="1" t="str">
        <f>IFERROR(__xludf.DUMMYFUNCTION("""COMPUTED_VALUE"""),"")</f>
        <v/>
      </c>
      <c r="AF1611" s="1" t="str">
        <f>IFERROR(__xludf.DUMMYFUNCTION("""COMPUTED_VALUE"""),"")</f>
        <v/>
      </c>
      <c r="AG1611" s="1" t="str">
        <f>IFERROR(__xludf.DUMMYFUNCTION("""COMPUTED_VALUE"""),"")</f>
        <v/>
      </c>
      <c r="AH1611" s="1" t="str">
        <f>IFERROR(__xludf.DUMMYFUNCTION("""COMPUTED_VALUE"""),"Other")</f>
        <v>Other</v>
      </c>
      <c r="AI1611" s="2" t="str">
        <f>IFERROR(__xludf.DUMMYFUNCTION("""COMPUTED_VALUE"""),"https://observerwv.com/plan-for-data-center-complex-near-kearneysville-approved/")</f>
        <v>https://observerwv.com/plan-for-data-center-complex-near-kearneysville-approved/</v>
      </c>
      <c r="AJ1611" s="1" t="str">
        <f>IFERROR(__xludf.DUMMYFUNCTION("""COMPUTED_VALUE"""),"")</f>
        <v/>
      </c>
      <c r="AK1611" s="1" t="str">
        <f>IFERROR(__xludf.DUMMYFUNCTION("""COMPUTED_VALUE"""),"")</f>
        <v/>
      </c>
      <c r="AL1611" s="1" t="str">
        <f>IFERROR(__xludf.DUMMYFUNCTION("""COMPUTED_VALUE"""),"")</f>
        <v/>
      </c>
      <c r="AM1611" s="1" t="str">
        <f>IFERROR(__xludf.DUMMYFUNCTION("""COMPUTED_VALUE"""),"")</f>
        <v/>
      </c>
      <c r="AN1611" s="1" t="str">
        <f>IFERROR(__xludf.DUMMYFUNCTION("""COMPUTED_VALUE"""),"")</f>
        <v/>
      </c>
      <c r="AO1611" s="1" t="str">
        <f>IFERROR(__xludf.DUMMYFUNCTION("""COMPUTED_VALUE"""),"")</f>
        <v/>
      </c>
      <c r="AP1611" s="1" t="str">
        <f>IFERROR(__xludf.DUMMYFUNCTION("""COMPUTED_VALUE"""),"")</f>
        <v/>
      </c>
      <c r="AQ1611" s="1" t="str">
        <f>IFERROR(__xludf.DUMMYFUNCTION("""COMPUTED_VALUE"""),"11/24/2025")</f>
        <v>11/24/2025</v>
      </c>
      <c r="AR1611" s="1" t="str">
        <f>IFERROR(__xludf.DUMMYFUNCTION("""COMPUTED_VALUE"""),"11/24/2025")</f>
        <v>11/24/2025</v>
      </c>
    </row>
    <row r="1612">
      <c r="A1612" s="1" t="str">
        <f>IFERROR(__xludf.DUMMYFUNCTION("""COMPUTED_VALUE"""),"Penzance Management ")</f>
        <v>Penzance Management </v>
      </c>
      <c r="B1612" s="1" t="str">
        <f>IFERROR(__xludf.DUMMYFUNCTION("""COMPUTED_VALUE"""),"near Bedington and Berkeley Station Rds")</f>
        <v>near Bedington and Berkeley Station Rds</v>
      </c>
      <c r="C1612" s="1" t="str">
        <f>IFERROR(__xludf.DUMMYFUNCTION("""COMPUTED_VALUE"""),"Martinsburg")</f>
        <v>Martinsburg</v>
      </c>
      <c r="D1612" s="1" t="str">
        <f>IFERROR(__xludf.DUMMYFUNCTION("""COMPUTED_VALUE"""),"WV")</f>
        <v>WV</v>
      </c>
      <c r="E1612" s="1" t="str">
        <f>IFERROR(__xludf.DUMMYFUNCTION("""COMPUTED_VALUE"""),"25404")</f>
        <v>25404</v>
      </c>
      <c r="F1612" s="1" t="str">
        <f>IFERROR(__xludf.DUMMYFUNCTION("""COMPUTED_VALUE"""),"Berkeley")</f>
        <v>Berkeley</v>
      </c>
      <c r="G1612" s="1" t="str">
        <f>IFERROR(__xludf.DUMMYFUNCTION("""COMPUTED_VALUE"""),"39.526875")</f>
        <v>39.526875</v>
      </c>
      <c r="H1612" s="1" t="str">
        <f>IFERROR(__xludf.DUMMYFUNCTION("""COMPUTED_VALUE"""),"-77.89455")</f>
        <v>-77.89455</v>
      </c>
      <c r="I1612" s="1" t="str">
        <f>IFERROR(__xludf.DUMMYFUNCTION("""COMPUTED_VALUE"""),"Proposed")</f>
        <v>Proposed</v>
      </c>
      <c r="J1612" s="1" t="str">
        <f>IFERROR(__xludf.DUMMYFUNCTION("""COMPUTED_VALUE"""),"Medium")</f>
        <v>Medium</v>
      </c>
      <c r="K1612" s="1" t="str">
        <f>IFERROR(__xludf.DUMMYFUNCTION("""COMPUTED_VALUE"""),"")</f>
        <v/>
      </c>
      <c r="L1612" s="1" t="str">
        <f>IFERROR(__xludf.DUMMYFUNCTION("""COMPUTED_VALUE"""),"")</f>
        <v/>
      </c>
      <c r="M1612" s="1" t="str">
        <f>IFERROR(__xludf.DUMMYFUNCTION("""COMPUTED_VALUE"""),"")</f>
        <v/>
      </c>
      <c r="N1612" s="1" t="str">
        <f>IFERROR(__xludf.DUMMYFUNCTION("""COMPUTED_VALUE"""),"600")</f>
        <v>600</v>
      </c>
      <c r="O1612" s="1" t="str">
        <f>IFERROR(__xludf.DUMMYFUNCTION("""COMPUTED_VALUE"""),"Hyperscale (100-999 MW)")</f>
        <v>Hyperscale (100-999 MW)</v>
      </c>
      <c r="P1612" s="1" t="str">
        <f>IFERROR(__xludf.DUMMYFUNCTION("""COMPUTED_VALUE"""),"")</f>
        <v/>
      </c>
      <c r="Q1612" s="1" t="str">
        <f>IFERROR(__xludf.DUMMYFUNCTION("""COMPUTED_VALUE"""),"")</f>
        <v/>
      </c>
      <c r="R1612" s="1" t="str">
        <f>IFERROR(__xludf.DUMMYFUNCTION("""COMPUTED_VALUE"""),"")</f>
        <v/>
      </c>
      <c r="S1612" s="1" t="str">
        <f>IFERROR(__xludf.DUMMYFUNCTION("""COMPUTED_VALUE"""),"")</f>
        <v/>
      </c>
      <c r="T1612" s="1" t="str">
        <f>IFERROR(__xludf.DUMMYFUNCTION("""COMPUTED_VALUE"""),"")</f>
        <v/>
      </c>
      <c r="U1612" s="1" t="str">
        <f>IFERROR(__xludf.DUMMYFUNCTION("""COMPUTED_VALUE"""),"")</f>
        <v/>
      </c>
      <c r="V1612" s="1" t="str">
        <f>IFERROR(__xludf.DUMMYFUNCTION("""COMPUTED_VALUE"""),"1,900,000")</f>
        <v>1,900,000</v>
      </c>
      <c r="W1612" s="1" t="str">
        <f>IFERROR(__xludf.DUMMYFUNCTION("""COMPUTED_VALUE"""),"518")</f>
        <v>518</v>
      </c>
      <c r="X1612" s="1" t="str">
        <f>IFERROR(__xludf.DUMMYFUNCTION("""COMPUTED_VALUE"""),"$4 billion")</f>
        <v>$4 billion</v>
      </c>
      <c r="Y1612" s="1" t="str">
        <f>IFERROR(__xludf.DUMMYFUNCTION("""COMPUTED_VALUE"""),"")</f>
        <v/>
      </c>
      <c r="Z1612" s="1" t="str">
        <f>IFERROR(__xludf.DUMMYFUNCTION("""COMPUTED_VALUE"""),"Unknown")</f>
        <v>Unknown</v>
      </c>
      <c r="AA1612" s="1" t="str">
        <f>IFERROR(__xludf.DUMMYFUNCTION("""COMPUTED_VALUE"""),"")</f>
        <v/>
      </c>
      <c r="AB1612" s="1" t="str">
        <f>IFERROR(__xludf.DUMMYFUNCTION("""COMPUTED_VALUE"""),"")</f>
        <v/>
      </c>
      <c r="AC1612" s="1" t="str">
        <f>IFERROR(__xludf.DUMMYFUNCTION("""COMPUTED_VALUE"""),"")</f>
        <v/>
      </c>
      <c r="AD1612" s="1" t="str">
        <f>IFERROR(__xludf.DUMMYFUNCTION("""COMPUTED_VALUE"""),"")</f>
        <v/>
      </c>
      <c r="AE1612" s="1" t="str">
        <f>IFERROR(__xludf.DUMMYFUNCTION("""COMPUTED_VALUE"""),"")</f>
        <v/>
      </c>
      <c r="AF1612" s="1" t="str">
        <f>IFERROR(__xludf.DUMMYFUNCTION("""COMPUTED_VALUE"""),"")</f>
        <v/>
      </c>
      <c r="AG1612" s="1" t="str">
        <f>IFERROR(__xludf.DUMMYFUNCTION("""COMPUTED_VALUE"""),"")</f>
        <v/>
      </c>
      <c r="AH1612" s="1" t="str">
        <f>IFERROR(__xludf.DUMMYFUNCTION("""COMPUTED_VALUE"""),"Media Monitoring")</f>
        <v>Media Monitoring</v>
      </c>
      <c r="AI1612" s="2" t="str">
        <f>IFERROR(__xludf.DUMMYFUNCTION("""COMPUTED_VALUE"""),"https://www.datacenterdynamics.com/en/news/penzance-targets-600mw-data-center-campus-in-west-virginia/")</f>
        <v>https://www.datacenterdynamics.com/en/news/penzance-targets-600mw-data-center-campus-in-west-virginia/</v>
      </c>
      <c r="AJ1612" s="1" t="str">
        <f>IFERROR(__xludf.DUMMYFUNCTION("""COMPUTED_VALUE"""),"")</f>
        <v/>
      </c>
      <c r="AK1612" s="1" t="str">
        <f>IFERROR(__xludf.DUMMYFUNCTION("""COMPUTED_VALUE"""),"")</f>
        <v/>
      </c>
      <c r="AL1612" s="1" t="str">
        <f>IFERROR(__xludf.DUMMYFUNCTION("""COMPUTED_VALUE"""),"")</f>
        <v/>
      </c>
      <c r="AM1612" s="1" t="str">
        <f>IFERROR(__xludf.DUMMYFUNCTION("""COMPUTED_VALUE"""),"")</f>
        <v/>
      </c>
      <c r="AN1612" s="1" t="str">
        <f>IFERROR(__xludf.DUMMYFUNCTION("""COMPUTED_VALUE"""),"")</f>
        <v/>
      </c>
      <c r="AO1612" s="1" t="str">
        <f>IFERROR(__xludf.DUMMYFUNCTION("""COMPUTED_VALUE"""),"")</f>
        <v/>
      </c>
      <c r="AP1612" s="1" t="str">
        <f>IFERROR(__xludf.DUMMYFUNCTION("""COMPUTED_VALUE"""),"")</f>
        <v/>
      </c>
      <c r="AQ1612" s="1" t="str">
        <f>IFERROR(__xludf.DUMMYFUNCTION("""COMPUTED_VALUE"""),"03/14/2026")</f>
        <v>03/14/2026</v>
      </c>
      <c r="AR1612" s="1" t="str">
        <f>IFERROR(__xludf.DUMMYFUNCTION("""COMPUTED_VALUE"""),"03/14/2026")</f>
        <v>03/14/2026</v>
      </c>
    </row>
    <row r="1613">
      <c r="A1613" s="1" t="str">
        <f>IFERROR(__xludf.DUMMYFUNCTION("""COMPUTED_VALUE"""),"NETL’s Computational Science &amp; Engineering Center")</f>
        <v>NETL’s Computational Science &amp; Engineering Center</v>
      </c>
      <c r="B1613" s="1" t="str">
        <f>IFERROR(__xludf.DUMMYFUNCTION("""COMPUTED_VALUE"""),"3610 Collins Ferry Rd")</f>
        <v>3610 Collins Ferry Rd</v>
      </c>
      <c r="C1613" s="1" t="str">
        <f>IFERROR(__xludf.DUMMYFUNCTION("""COMPUTED_VALUE"""),"Morgantown")</f>
        <v>Morgantown</v>
      </c>
      <c r="D1613" s="1" t="str">
        <f>IFERROR(__xludf.DUMMYFUNCTION("""COMPUTED_VALUE"""),"WV")</f>
        <v>WV</v>
      </c>
      <c r="E1613" s="1" t="str">
        <f>IFERROR(__xludf.DUMMYFUNCTION("""COMPUTED_VALUE"""),"26505")</f>
        <v>26505</v>
      </c>
      <c r="F1613" s="1" t="str">
        <f>IFERROR(__xludf.DUMMYFUNCTION("""COMPUTED_VALUE"""),"Monongalia")</f>
        <v>Monongalia</v>
      </c>
      <c r="G1613" s="1" t="str">
        <f>IFERROR(__xludf.DUMMYFUNCTION("""COMPUTED_VALUE"""),"39.67102")</f>
        <v>39.67102</v>
      </c>
      <c r="H1613" s="1" t="str">
        <f>IFERROR(__xludf.DUMMYFUNCTION("""COMPUTED_VALUE"""),"-79.975006")</f>
        <v>-79.975006</v>
      </c>
      <c r="I1613" s="1" t="str">
        <f>IFERROR(__xludf.DUMMYFUNCTION("""COMPUTED_VALUE"""),"Approved/Permitted/Under construction")</f>
        <v>Approved/Permitted/Under construction</v>
      </c>
      <c r="J1613" s="1" t="str">
        <f>IFERROR(__xludf.DUMMYFUNCTION("""COMPUTED_VALUE"""),"High")</f>
        <v>High</v>
      </c>
      <c r="K1613" s="1" t="str">
        <f>IFERROR(__xludf.DUMMYFUNCTION("""COMPUTED_VALUE"""),"AI")</f>
        <v>AI</v>
      </c>
      <c r="L1613" s="1" t="str">
        <f>IFERROR(__xludf.DUMMYFUNCTION("""COMPUTED_VALUE"""),"National Energy Technology Laboratory")</f>
        <v>National Energy Technology Laboratory</v>
      </c>
      <c r="M1613" s="1" t="str">
        <f>IFERROR(__xludf.DUMMYFUNCTION("""COMPUTED_VALUE"""),"")</f>
        <v/>
      </c>
      <c r="N1613" s="1" t="str">
        <f>IFERROR(__xludf.DUMMYFUNCTION("""COMPUTED_VALUE"""),"")</f>
        <v/>
      </c>
      <c r="O1613" s="1" t="str">
        <f>IFERROR(__xludf.DUMMYFUNCTION("""COMPUTED_VALUE"""),"Unknown")</f>
        <v>Unknown</v>
      </c>
      <c r="P1613" s="1" t="str">
        <f>IFERROR(__xludf.DUMMYFUNCTION("""COMPUTED_VALUE"""),"")</f>
        <v/>
      </c>
      <c r="Q1613" s="1" t="str">
        <f>IFERROR(__xludf.DUMMYFUNCTION("""COMPUTED_VALUE"""),"")</f>
        <v/>
      </c>
      <c r="R1613" s="1" t="str">
        <f>IFERROR(__xludf.DUMMYFUNCTION("""COMPUTED_VALUE"""),"")</f>
        <v/>
      </c>
      <c r="S1613" s="1" t="str">
        <f>IFERROR(__xludf.DUMMYFUNCTION("""COMPUTED_VALUE"""),"")</f>
        <v/>
      </c>
      <c r="T1613" s="1" t="str">
        <f>IFERROR(__xludf.DUMMYFUNCTION("""COMPUTED_VALUE"""),"")</f>
        <v/>
      </c>
      <c r="U1613" s="1" t="str">
        <f>IFERROR(__xludf.DUMMYFUNCTION("""COMPUTED_VALUE"""),"")</f>
        <v/>
      </c>
      <c r="V1613" s="1" t="str">
        <f>IFERROR(__xludf.DUMMYFUNCTION("""COMPUTED_VALUE"""),"")</f>
        <v/>
      </c>
      <c r="W1613" s="1" t="str">
        <f>IFERROR(__xludf.DUMMYFUNCTION("""COMPUTED_VALUE"""),"50")</f>
        <v>50</v>
      </c>
      <c r="X1613" s="1" t="str">
        <f>IFERROR(__xludf.DUMMYFUNCTION("""COMPUTED_VALUE"""),"")</f>
        <v/>
      </c>
      <c r="Y1613" s="1" t="str">
        <f>IFERROR(__xludf.DUMMYFUNCTION("""COMPUTED_VALUE"""),"")</f>
        <v/>
      </c>
      <c r="Z1613" s="1" t="str">
        <f>IFERROR(__xludf.DUMMYFUNCTION("""COMPUTED_VALUE"""),"Unknown")</f>
        <v>Unknown</v>
      </c>
      <c r="AA1613" s="1" t="str">
        <f>IFERROR(__xludf.DUMMYFUNCTION("""COMPUTED_VALUE"""),"")</f>
        <v/>
      </c>
      <c r="AB1613" s="1" t="str">
        <f>IFERROR(__xludf.DUMMYFUNCTION("""COMPUTED_VALUE"""),"")</f>
        <v/>
      </c>
      <c r="AC1613" s="1" t="str">
        <f>IFERROR(__xludf.DUMMYFUNCTION("""COMPUTED_VALUE"""),"")</f>
        <v/>
      </c>
      <c r="AD1613" s="1" t="str">
        <f>IFERROR(__xludf.DUMMYFUNCTION("""COMPUTED_VALUE"""),"")</f>
        <v/>
      </c>
      <c r="AE1613" s="1" t="str">
        <f>IFERROR(__xludf.DUMMYFUNCTION("""COMPUTED_VALUE"""),"")</f>
        <v/>
      </c>
      <c r="AF1613" s="1" t="str">
        <f>IFERROR(__xludf.DUMMYFUNCTION("""COMPUTED_VALUE"""),"")</f>
        <v/>
      </c>
      <c r="AG1613" s="1" t="str">
        <f>IFERROR(__xludf.DUMMYFUNCTION("""COMPUTED_VALUE"""),"Laboratory already conducting research on AI and advanced computing, this project will consolidate data centers at the Morgantown Campus into a single facility and allow decommissioning of less-efficient data center space")</f>
        <v>Laboratory already conducting research on AI and advanced computing, this project will consolidate data centers at the Morgantown Campus into a single facility and allow decommissioning of less-efficient data center space</v>
      </c>
      <c r="AH1613" s="1" t="str">
        <f>IFERROR(__xludf.DUMMYFUNCTION("""COMPUTED_VALUE"""),"Other")</f>
        <v>Other</v>
      </c>
      <c r="AI1613" s="2" t="str">
        <f>IFERROR(__xludf.DUMMYFUNCTION("""COMPUTED_VALUE"""),"https://wvpublic.org/story/energy-environment/morgantown-federal-energy-lab-could-host-data-center-for-ai/")</f>
        <v>https://wvpublic.org/story/energy-environment/morgantown-federal-energy-lab-could-host-data-center-for-ai/</v>
      </c>
      <c r="AJ1613" s="2" t="str">
        <f>IFERROR(__xludf.DUMMYFUNCTION("""COMPUTED_VALUE"""),"https://netl.doe.gov/node/14819")</f>
        <v>https://netl.doe.gov/node/14819</v>
      </c>
      <c r="AK1613" s="1" t="str">
        <f>IFERROR(__xludf.DUMMYFUNCTION("""COMPUTED_VALUE"""),"")</f>
        <v/>
      </c>
      <c r="AL1613" s="1" t="str">
        <f>IFERROR(__xludf.DUMMYFUNCTION("""COMPUTED_VALUE"""),"")</f>
        <v/>
      </c>
      <c r="AM1613" s="1" t="str">
        <f>IFERROR(__xludf.DUMMYFUNCTION("""COMPUTED_VALUE"""),"")</f>
        <v/>
      </c>
      <c r="AN1613" s="1" t="str">
        <f>IFERROR(__xludf.DUMMYFUNCTION("""COMPUTED_VALUE"""),"")</f>
        <v/>
      </c>
      <c r="AO1613" s="1" t="str">
        <f>IFERROR(__xludf.DUMMYFUNCTION("""COMPUTED_VALUE"""),"")</f>
        <v/>
      </c>
      <c r="AP1613" s="1" t="str">
        <f>IFERROR(__xludf.DUMMYFUNCTION("""COMPUTED_VALUE"""),"")</f>
        <v/>
      </c>
      <c r="AQ1613" s="1" t="str">
        <f>IFERROR(__xludf.DUMMYFUNCTION("""COMPUTED_VALUE"""),"11/24/2025")</f>
        <v>11/24/2025</v>
      </c>
      <c r="AR1613" s="1" t="str">
        <f>IFERROR(__xludf.DUMMYFUNCTION("""COMPUTED_VALUE"""),"11/24/2025")</f>
        <v>11/24/2025</v>
      </c>
    </row>
    <row r="1614">
      <c r="A1614" s="1" t="str">
        <f>IFERROR(__xludf.DUMMYFUNCTION("""COMPUTED_VALUE"""),"Mountaineer Gigasystem/ Monarch Cloud Campus")</f>
        <v>Mountaineer Gigasystem/ Monarch Cloud Campus</v>
      </c>
      <c r="B1614" s="1" t="str">
        <f>IFERROR(__xludf.DUMMYFUNCTION("""COMPUTED_VALUE"""),"Airport Rd and Hwy 62")</f>
        <v>Airport Rd and Hwy 62</v>
      </c>
      <c r="C1614" s="1" t="str">
        <f>IFERROR(__xludf.DUMMYFUNCTION("""COMPUTED_VALUE"""),"Point Pleasant")</f>
        <v>Point Pleasant</v>
      </c>
      <c r="D1614" s="1" t="str">
        <f>IFERROR(__xludf.DUMMYFUNCTION("""COMPUTED_VALUE"""),"WV")</f>
        <v>WV</v>
      </c>
      <c r="E1614" s="1" t="str">
        <f>IFERROR(__xludf.DUMMYFUNCTION("""COMPUTED_VALUE"""),"25550")</f>
        <v>25550</v>
      </c>
      <c r="F1614" s="1" t="str">
        <f>IFERROR(__xludf.DUMMYFUNCTION("""COMPUTED_VALUE"""),"Mason")</f>
        <v>Mason</v>
      </c>
      <c r="G1614" s="1" t="str">
        <f>IFERROR(__xludf.DUMMYFUNCTION("""COMPUTED_VALUE"""),"38.9132")</f>
        <v>38.9132</v>
      </c>
      <c r="H1614" s="1" t="str">
        <f>IFERROR(__xludf.DUMMYFUNCTION("""COMPUTED_VALUE"""),"-82.1103")</f>
        <v>-82.1103</v>
      </c>
      <c r="I1614" s="1" t="str">
        <f>IFERROR(__xludf.DUMMYFUNCTION("""COMPUTED_VALUE"""),"Proposed")</f>
        <v>Proposed</v>
      </c>
      <c r="J1614" s="1" t="str">
        <f>IFERROR(__xludf.DUMMYFUNCTION("""COMPUTED_VALUE"""),"High")</f>
        <v>High</v>
      </c>
      <c r="K1614" s="1" t="str">
        <f>IFERROR(__xludf.DUMMYFUNCTION("""COMPUTED_VALUE"""),"")</f>
        <v/>
      </c>
      <c r="L1614" s="1" t="str">
        <f>IFERROR(__xludf.DUMMYFUNCTION("""COMPUTED_VALUE"""),"Fidelis/Nscale")</f>
        <v>Fidelis/Nscale</v>
      </c>
      <c r="M1614" s="1" t="str">
        <f>IFERROR(__xludf.DUMMYFUNCTION("""COMPUTED_VALUE"""),"")</f>
        <v/>
      </c>
      <c r="N1614" s="1" t="str">
        <f>IFERROR(__xludf.DUMMYFUNCTION("""COMPUTED_VALUE"""),"2000-8000")</f>
        <v>2000-8000</v>
      </c>
      <c r="O1614" s="1" t="str">
        <f>IFERROR(__xludf.DUMMYFUNCTION("""COMPUTED_VALUE"""),"Mega campus (&gt;1,000 MW)")</f>
        <v>Mega campus (&gt;1,000 MW)</v>
      </c>
      <c r="P1614" s="1" t="str">
        <f>IFERROR(__xludf.DUMMYFUNCTION("""COMPUTED_VALUE"""),"Coal, Natural gas, Biomass")</f>
        <v>Coal, Natural gas, Biomass</v>
      </c>
      <c r="Q1614" s="1" t="str">
        <f>IFERROR(__xludf.DUMMYFUNCTION("""COMPUTED_VALUE"""),"Yes - Brightloop Hyrogen Plant / Monarch")</f>
        <v>Yes - Brightloop Hyrogen Plant / Monarch</v>
      </c>
      <c r="R1614" s="1" t="str">
        <f>IFERROR(__xludf.DUMMYFUNCTION("""COMPUTED_VALUE"""),"")</f>
        <v/>
      </c>
      <c r="S1614" s="1" t="str">
        <f>IFERROR(__xludf.DUMMYFUNCTION("""COMPUTED_VALUE"""),"")</f>
        <v/>
      </c>
      <c r="T1614" s="1" t="str">
        <f>IFERROR(__xludf.DUMMYFUNCTION("""COMPUTED_VALUE"""),"")</f>
        <v/>
      </c>
      <c r="U1614" s="1" t="str">
        <f>IFERROR(__xludf.DUMMYFUNCTION("""COMPUTED_VALUE"""),"")</f>
        <v/>
      </c>
      <c r="V1614" s="1" t="str">
        <f>IFERROR(__xludf.DUMMYFUNCTION("""COMPUTED_VALUE"""),"")</f>
        <v/>
      </c>
      <c r="W1614" s="1" t="str">
        <f>IFERROR(__xludf.DUMMYFUNCTION("""COMPUTED_VALUE"""),"2250")</f>
        <v>2250</v>
      </c>
      <c r="X1614" s="1" t="str">
        <f>IFERROR(__xludf.DUMMYFUNCTION("""COMPUTED_VALUE"""),"$5 billion")</f>
        <v>$5 billion</v>
      </c>
      <c r="Y1614" s="1" t="str">
        <f>IFERROR(__xludf.DUMMYFUNCTION("""COMPUTED_VALUE"""),"2028")</f>
        <v>2028</v>
      </c>
      <c r="Z1614" s="1" t="str">
        <f>IFERROR(__xludf.DUMMYFUNCTION("""COMPUTED_VALUE"""),"Unknown")</f>
        <v>Unknown</v>
      </c>
      <c r="AA1614" s="1" t="str">
        <f>IFERROR(__xludf.DUMMYFUNCTION("""COMPUTED_VALUE"""),"")</f>
        <v/>
      </c>
      <c r="AB1614" s="1" t="str">
        <f>IFERROR(__xludf.DUMMYFUNCTION("""COMPUTED_VALUE"""),"")</f>
        <v/>
      </c>
      <c r="AC1614" s="1" t="str">
        <f>IFERROR(__xludf.DUMMYFUNCTION("""COMPUTED_VALUE"""),"")</f>
        <v/>
      </c>
      <c r="AD1614" s="1" t="str">
        <f>IFERROR(__xludf.DUMMYFUNCTION("""COMPUTED_VALUE"""),"")</f>
        <v/>
      </c>
      <c r="AE1614" s="1" t="str">
        <f>IFERROR(__xludf.DUMMYFUNCTION("""COMPUTED_VALUE"""),"")</f>
        <v/>
      </c>
      <c r="AF1614" s="1" t="str">
        <f>IFERROR(__xludf.DUMMYFUNCTION("""COMPUTED_VALUE"""),"")</f>
        <v/>
      </c>
      <c r="AG1614" s="1" t="str">
        <f>IFERROR(__xludf.DUMMYFUNCTION("""COMPUTED_VALUE"""),"Brightloop onsite power generation (2000 GW) includes carbon capture and storage plans, hydrogen fuel production.")</f>
        <v>Brightloop onsite power generation (2000 GW) includes carbon capture and storage plans, hydrogen fuel production.</v>
      </c>
      <c r="AH1614" s="1" t="str">
        <f>IFERROR(__xludf.DUMMYFUNCTION("""COMPUTED_VALUE"""),"Crowdsourced")</f>
        <v>Crowdsourced</v>
      </c>
      <c r="AI1614" s="2" t="str">
        <f>IFERROR(__xludf.DUMMYFUNCTION("""COMPUTED_VALUE"""),"https://www.wsaz.com/2025/03/04/new-facility-set-bring-thousands-jobs-mason-county/")</f>
        <v>https://www.wsaz.com/2025/03/04/new-facility-set-bring-thousands-jobs-mason-county/</v>
      </c>
      <c r="AJ1614" s="2" t="str">
        <f>IFERROR(__xludf.DUMMYFUNCTION("""COMPUTED_VALUE"""),"https://fidelisinfra.com/project/monarch-compute-campus/#")</f>
        <v>https://fidelisinfra.com/project/monarch-compute-campus/#</v>
      </c>
      <c r="AK1614" s="2" t="str">
        <f>IFERROR(__xludf.DUMMYFUNCTION("""COMPUTED_VALUE"""),"https://eda.wv.gov/wp-content/uploads/2024/01/Mountaineer-GigaSystem-LLC-Final-Approval-8-16-2023-High-Impact.pdf")</f>
        <v>https://eda.wv.gov/wp-content/uploads/2024/01/Mountaineer-GigaSystem-LLC-Final-Approval-8-16-2023-High-Impact.pdf</v>
      </c>
      <c r="AL1614" s="2" t="str">
        <f>IFERROR(__xludf.DUMMYFUNCTION("""COMPUTED_VALUE"""),"https://www.prnewswire.com/news-releases/fidelis-and-bw-join-forces-at-mountaineer-gigasystem-site-for-brightloop-facility-to-process-coal-into-low-carbon-energy-302382849.html")</f>
        <v>https://www.prnewswire.com/news-releases/fidelis-and-bw-join-forces-at-mountaineer-gigasystem-site-for-brightloop-facility-to-process-coal-into-low-carbon-energy-302382849.html</v>
      </c>
      <c r="AM1614" s="2" t="str">
        <f>IFERROR(__xludf.DUMMYFUNCTION("""COMPUTED_VALUE"""),"https://www.datacenterdynamics.com/en/news/nscale-in-talks-to-acquire-8gw-monarch-compute-campus-in-west-virginia-report/")</f>
        <v>https://www.datacenterdynamics.com/en/news/nscale-in-talks-to-acquire-8gw-monarch-compute-campus-in-west-virginia-report/</v>
      </c>
      <c r="AN1614" s="2" t="str">
        <f>IFERROR(__xludf.DUMMYFUNCTION("""COMPUTED_VALUE"""),"https://www.prnewswire.com/news-releases/american-intelligence--power-forms-strategic-alliance-with-caterpillar-and-boyd-cat-to-deploy-2-gigawatts-of-dedicated-power-for-hyperscale-ai-infrastructure-302673060.html")</f>
        <v>https://www.prnewswire.com/news-releases/american-intelligence--power-forms-strategic-alliance-with-caterpillar-and-boyd-cat-to-deploy-2-gigawatts-of-dedicated-power-for-hyperscale-ai-infrastructure-302673060.html</v>
      </c>
      <c r="AO1614" s="1" t="str">
        <f>IFERROR(__xludf.DUMMYFUNCTION("""COMPUTED_VALUE"""),"")</f>
        <v/>
      </c>
      <c r="AP1614" s="1" t="str">
        <f>IFERROR(__xludf.DUMMYFUNCTION("""COMPUTED_VALUE"""),"")</f>
        <v/>
      </c>
      <c r="AQ1614" s="1" t="str">
        <f>IFERROR(__xludf.DUMMYFUNCTION("""COMPUTED_VALUE"""),"08/05/2025")</f>
        <v>08/05/2025</v>
      </c>
      <c r="AR1614" s="1" t="str">
        <f>IFERROR(__xludf.DUMMYFUNCTION("""COMPUTED_VALUE"""),"04/22/2026")</f>
        <v>04/22/2026</v>
      </c>
    </row>
    <row r="1615">
      <c r="A1615" s="1" t="str">
        <f>IFERROR(__xludf.DUMMYFUNCTION("""COMPUTED_VALUE"""),"Adams Fork Wharncliffe Data Center")</f>
        <v>Adams Fork Wharncliffe Data Center</v>
      </c>
      <c r="B1615" s="1" t="str">
        <f>IFERROR(__xludf.DUMMYFUNCTION("""COMPUTED_VALUE"""),"2002 Twisted Gun Rd")</f>
        <v>2002 Twisted Gun Rd</v>
      </c>
      <c r="C1615" s="1" t="str">
        <f>IFERROR(__xludf.DUMMYFUNCTION("""COMPUTED_VALUE"""),"Wharncliffe")</f>
        <v>Wharncliffe</v>
      </c>
      <c r="D1615" s="1" t="str">
        <f>IFERROR(__xludf.DUMMYFUNCTION("""COMPUTED_VALUE"""),"WV")</f>
        <v>WV</v>
      </c>
      <c r="E1615" s="1" t="str">
        <f>IFERROR(__xludf.DUMMYFUNCTION("""COMPUTED_VALUE"""),"25651")</f>
        <v>25651</v>
      </c>
      <c r="F1615" s="1" t="str">
        <f>IFERROR(__xludf.DUMMYFUNCTION("""COMPUTED_VALUE"""),"Mingo")</f>
        <v>Mingo</v>
      </c>
      <c r="G1615" s="1" t="str">
        <f>IFERROR(__xludf.DUMMYFUNCTION("""COMPUTED_VALUE"""),"37.59904")</f>
        <v>37.59904</v>
      </c>
      <c r="H1615" s="1" t="str">
        <f>IFERROR(__xludf.DUMMYFUNCTION("""COMPUTED_VALUE"""),"-81.9545")</f>
        <v>-81.9545</v>
      </c>
      <c r="I1615" s="1" t="str">
        <f>IFERROR(__xludf.DUMMYFUNCTION("""COMPUTED_VALUE"""),"Proposed")</f>
        <v>Proposed</v>
      </c>
      <c r="J1615" s="1" t="str">
        <f>IFERROR(__xludf.DUMMYFUNCTION("""COMPUTED_VALUE"""),"High")</f>
        <v>High</v>
      </c>
      <c r="K1615" s="1" t="str">
        <f>IFERROR(__xludf.DUMMYFUNCTION("""COMPUTED_VALUE"""),"")</f>
        <v/>
      </c>
      <c r="L1615" s="1" t="str">
        <f>IFERROR(__xludf.DUMMYFUNCTION("""COMPUTED_VALUE"""),"TransGas Development, LLC")</f>
        <v>TransGas Development, LLC</v>
      </c>
      <c r="M1615" s="1" t="str">
        <f>IFERROR(__xludf.DUMMYFUNCTION("""COMPUTED_VALUE"""),"")</f>
        <v/>
      </c>
      <c r="N1615" s="1" t="str">
        <f>IFERROR(__xludf.DUMMYFUNCTION("""COMPUTED_VALUE"""),"2398.5")</f>
        <v>2398.5</v>
      </c>
      <c r="O1615" s="1" t="str">
        <f>IFERROR(__xludf.DUMMYFUNCTION("""COMPUTED_VALUE"""),"Mega campus (&gt;1,000 MW)")</f>
        <v>Mega campus (&gt;1,000 MW)</v>
      </c>
      <c r="P1615" s="1" t="str">
        <f>IFERROR(__xludf.DUMMYFUNCTION("""COMPUTED_VALUE"""),"Natural gas")</f>
        <v>Natural gas</v>
      </c>
      <c r="Q1615" s="1" t="str">
        <f>IFERROR(__xludf.DUMMYFUNCTION("""COMPUTED_VALUE"""),"Yes - Adams Fork Energy Project Power Station 1")</f>
        <v>Yes - Adams Fork Energy Project Power Station 1</v>
      </c>
      <c r="R1615" s="1" t="str">
        <f>IFERROR(__xludf.DUMMYFUNCTION("""COMPUTED_VALUE"""),"")</f>
        <v/>
      </c>
      <c r="S1615" s="1" t="str">
        <f>IFERROR(__xludf.DUMMYFUNCTION("""COMPUTED_VALUE"""),"")</f>
        <v/>
      </c>
      <c r="T1615" s="1" t="str">
        <f>IFERROR(__xludf.DUMMYFUNCTION("""COMPUTED_VALUE"""),"")</f>
        <v/>
      </c>
      <c r="U1615" s="1" t="str">
        <f>IFERROR(__xludf.DUMMYFUNCTION("""COMPUTED_VALUE"""),"")</f>
        <v/>
      </c>
      <c r="V1615" s="1" t="str">
        <f>IFERROR(__xludf.DUMMYFUNCTION("""COMPUTED_VALUE"""),"")</f>
        <v/>
      </c>
      <c r="W1615" s="1" t="str">
        <f>IFERROR(__xludf.DUMMYFUNCTION("""COMPUTED_VALUE"""),"")</f>
        <v/>
      </c>
      <c r="X1615" s="1" t="str">
        <f>IFERROR(__xludf.DUMMYFUNCTION("""COMPUTED_VALUE"""),"")</f>
        <v/>
      </c>
      <c r="Y1615" s="1" t="str">
        <f>IFERROR(__xludf.DUMMYFUNCTION("""COMPUTED_VALUE"""),"")</f>
        <v/>
      </c>
      <c r="Z1615" s="1" t="str">
        <f>IFERROR(__xludf.DUMMYFUNCTION("""COMPUTED_VALUE"""),"Yes")</f>
        <v>Yes</v>
      </c>
      <c r="AA1615" s="1" t="str">
        <f>IFERROR(__xludf.DUMMYFUNCTION("""COMPUTED_VALUE"""),"")</f>
        <v/>
      </c>
      <c r="AB1615" s="1" t="str">
        <f>IFERROR(__xludf.DUMMYFUNCTION("""COMPUTED_VALUE"""),"Organized Advocacy")</f>
        <v>Organized Advocacy</v>
      </c>
      <c r="AC1615" s="1" t="str">
        <f>IFERROR(__xludf.DUMMYFUNCTION("""COMPUTED_VALUE"""),"")</f>
        <v/>
      </c>
      <c r="AD1615" s="2" t="str">
        <f>IFERROR(__xludf.DUMMYFUNCTION("""COMPUTED_VALUE"""),"https://wvcag.org/")</f>
        <v>https://wvcag.org/</v>
      </c>
      <c r="AE1615" s="2" t="str">
        <f>IFERROR(__xludf.DUMMYFUNCTION("""COMPUTED_VALUE"""),"https://wvrivers.org/")</f>
        <v>https://wvrivers.org/</v>
      </c>
      <c r="AF1615" s="1" t="str">
        <f>IFERROR(__xludf.DUMMYFUNCTION("""COMPUTED_VALUE"""),"")</f>
        <v/>
      </c>
      <c r="AG1615" s="1" t="str">
        <f>IFERROR(__xludf.DUMMYFUNCTION("""COMPUTED_VALUE"""),"Identical proposal to the Adams Fork Harless Data Center. Each facility would house 117 engines powered by natural gas, with 114 of those running full-time. If no gas is available, the engines would run on diesel that is stored in 40 tanks on site. In a M"&amp;"ay 2025 presentation posted to their website, parent company TransGas Development Systems, LLC stated that it plans to expand data center capacity between this site and  it's sister site to 9.8 GW.")</f>
        <v>Identical proposal to the Adams Fork Harless Data Center. Each facility would house 117 engines powered by natural gas, with 114 of those running full-time. If no gas is available, the engines would run on diesel that is stored in 40 tanks on site. In a May 2025 presentation posted to their website, parent company TransGas Development Systems, LLC stated that it plans to expand data center capacity between this site and  it's sister site to 9.8 GW.</v>
      </c>
      <c r="AH1615" s="1" t="str">
        <f>IFERROR(__xludf.DUMMYFUNCTION("""COMPUTED_VALUE"""),"Crowdsourced")</f>
        <v>Crowdsourced</v>
      </c>
      <c r="AI1615" s="2" t="str">
        <f>IFERROR(__xludf.DUMMYFUNCTION("""COMPUTED_VALUE"""),"https://dep-auth.wv.gov/daq/permitting/Documents/Transgas-Adams-Fork/059-00134_EVAL_13-3715%20draft.pdf")</f>
        <v>https://dep-auth.wv.gov/daq/permitting/Documents/Transgas-Adams-Fork/059-00134_EVAL_13-3715%20draft.pdf</v>
      </c>
      <c r="AJ1615" s="2" t="str">
        <f>IFERROR(__xludf.DUMMYFUNCTION("""COMPUTED_VALUE"""),"https://ohiorivervalleyinstitute.org/adams-fork-energy-whats-happening-with-the-worlds-largest-proposed-ammonia-plant/")</f>
        <v>https://ohiorivervalleyinstitute.org/adams-fork-energy-whats-happening-with-the-worlds-largest-proposed-ammonia-plant/</v>
      </c>
      <c r="AK1615" s="2" t="str">
        <f>IFERROR(__xludf.DUMMYFUNCTION("""COMPUTED_VALUE"""),"https://ohiorivervalleyinstitute.org/adams-fork-is-a-giant-waste-of-energy/")</f>
        <v>https://ohiorivervalleyinstitute.org/adams-fork-is-a-giant-waste-of-energy/</v>
      </c>
      <c r="AL1615" s="2" t="str">
        <f>IFERROR(__xludf.DUMMYFUNCTION("""COMPUTED_VALUE"""),"https://www.newsfromthestates.com/article/enough-devastation-mingo-logan-residents-worry-about-proposed-power-plants-data-centers-wv")</f>
        <v>https://www.newsfromthestates.com/article/enough-devastation-mingo-logan-residents-worry-about-proposed-power-plants-data-centers-wv</v>
      </c>
      <c r="AM1615" s="1" t="str">
        <f>IFERROR(__xludf.DUMMYFUNCTION("""COMPUTED_VALUE"""),"")</f>
        <v/>
      </c>
      <c r="AN1615" s="1" t="str">
        <f>IFERROR(__xludf.DUMMYFUNCTION("""COMPUTED_VALUE"""),"")</f>
        <v/>
      </c>
      <c r="AO1615" s="1" t="str">
        <f>IFERROR(__xludf.DUMMYFUNCTION("""COMPUTED_VALUE"""),"")</f>
        <v/>
      </c>
      <c r="AP1615" s="1" t="str">
        <f>IFERROR(__xludf.DUMMYFUNCTION("""COMPUTED_VALUE"""),"")</f>
        <v/>
      </c>
      <c r="AQ1615" s="1" t="str">
        <f>IFERROR(__xludf.DUMMYFUNCTION("""COMPUTED_VALUE"""),"08/04/2025")</f>
        <v>08/04/2025</v>
      </c>
      <c r="AR1615" s="1" t="str">
        <f>IFERROR(__xludf.DUMMYFUNCTION("""COMPUTED_VALUE"""),"04/22/2026")</f>
        <v>04/22/2026</v>
      </c>
    </row>
    <row r="1616">
      <c r="A1616" s="1" t="str">
        <f>IFERROR(__xludf.DUMMYFUNCTION("""COMPUTED_VALUE"""),"Stokes Data Center")</f>
        <v>Stokes Data Center</v>
      </c>
      <c r="B1616" s="1" t="str">
        <f>IFERROR(__xludf.DUMMYFUNCTION("""COMPUTED_VALUE"""),"74 Warwood Ave")</f>
        <v>74 Warwood Ave</v>
      </c>
      <c r="C1616" s="1" t="str">
        <f>IFERROR(__xludf.DUMMYFUNCTION("""COMPUTED_VALUE"""),"Wheeling")</f>
        <v>Wheeling</v>
      </c>
      <c r="D1616" s="1" t="str">
        <f>IFERROR(__xludf.DUMMYFUNCTION("""COMPUTED_VALUE"""),"WV")</f>
        <v>WV</v>
      </c>
      <c r="E1616" s="1" t="str">
        <f>IFERROR(__xludf.DUMMYFUNCTION("""COMPUTED_VALUE"""),"26003")</f>
        <v>26003</v>
      </c>
      <c r="F1616" s="1" t="str">
        <f>IFERROR(__xludf.DUMMYFUNCTION("""COMPUTED_VALUE"""),"Ohio")</f>
        <v>Ohio</v>
      </c>
      <c r="G1616" s="1" t="str">
        <f>IFERROR(__xludf.DUMMYFUNCTION("""COMPUTED_VALUE"""),"40.101234")</f>
        <v>40.101234</v>
      </c>
      <c r="H1616" s="1" t="str">
        <f>IFERROR(__xludf.DUMMYFUNCTION("""COMPUTED_VALUE"""),"-80.70349")</f>
        <v>-80.70349</v>
      </c>
      <c r="I1616" s="1" t="str">
        <f>IFERROR(__xludf.DUMMYFUNCTION("""COMPUTED_VALUE"""),"Proposed")</f>
        <v>Proposed</v>
      </c>
      <c r="J1616" s="1" t="str">
        <f>IFERROR(__xludf.DUMMYFUNCTION("""COMPUTED_VALUE"""),"High")</f>
        <v>High</v>
      </c>
      <c r="K1616" s="1" t="str">
        <f>IFERROR(__xludf.DUMMYFUNCTION("""COMPUTED_VALUE"""),"")</f>
        <v/>
      </c>
      <c r="L1616" s="1" t="str">
        <f>IFERROR(__xludf.DUMMYFUNCTION("""COMPUTED_VALUE"""),"")</f>
        <v/>
      </c>
      <c r="M1616" s="1" t="str">
        <f>IFERROR(__xludf.DUMMYFUNCTION("""COMPUTED_VALUE"""),"")</f>
        <v/>
      </c>
      <c r="N1616" s="1" t="str">
        <f>IFERROR(__xludf.DUMMYFUNCTION("""COMPUTED_VALUE"""),"100")</f>
        <v>100</v>
      </c>
      <c r="O1616" s="1" t="str">
        <f>IFERROR(__xludf.DUMMYFUNCTION("""COMPUTED_VALUE"""),"Hyperscale (100-999 MW)")</f>
        <v>Hyperscale (100-999 MW)</v>
      </c>
      <c r="P1616" s="1" t="str">
        <f>IFERROR(__xludf.DUMMYFUNCTION("""COMPUTED_VALUE"""),"")</f>
        <v/>
      </c>
      <c r="Q1616" s="1" t="str">
        <f>IFERROR(__xludf.DUMMYFUNCTION("""COMPUTED_VALUE"""),"")</f>
        <v/>
      </c>
      <c r="R1616" s="1" t="str">
        <f>IFERROR(__xludf.DUMMYFUNCTION("""COMPUTED_VALUE"""),"")</f>
        <v/>
      </c>
      <c r="S1616" s="1" t="str">
        <f>IFERROR(__xludf.DUMMYFUNCTION("""COMPUTED_VALUE"""),"")</f>
        <v/>
      </c>
      <c r="T1616" s="1" t="str">
        <f>IFERROR(__xludf.DUMMYFUNCTION("""COMPUTED_VALUE"""),"")</f>
        <v/>
      </c>
      <c r="U1616" s="1" t="str">
        <f>IFERROR(__xludf.DUMMYFUNCTION("""COMPUTED_VALUE"""),"")</f>
        <v/>
      </c>
      <c r="V1616" s="1" t="str">
        <f>IFERROR(__xludf.DUMMYFUNCTION("""COMPUTED_VALUE"""),"60000")</f>
        <v>60000</v>
      </c>
      <c r="W1616" s="1" t="str">
        <f>IFERROR(__xludf.DUMMYFUNCTION("""COMPUTED_VALUE"""),"15")</f>
        <v>15</v>
      </c>
      <c r="X1616" s="1" t="str">
        <f>IFERROR(__xludf.DUMMYFUNCTION("""COMPUTED_VALUE"""),"")</f>
        <v/>
      </c>
      <c r="Y1616" s="1" t="str">
        <f>IFERROR(__xludf.DUMMYFUNCTION("""COMPUTED_VALUE"""),"2026")</f>
        <v>2026</v>
      </c>
      <c r="Z1616" s="1" t="str">
        <f>IFERROR(__xludf.DUMMYFUNCTION("""COMPUTED_VALUE"""),"Unknown")</f>
        <v>Unknown</v>
      </c>
      <c r="AA1616" s="1" t="str">
        <f>IFERROR(__xludf.DUMMYFUNCTION("""COMPUTED_VALUE"""),"")</f>
        <v/>
      </c>
      <c r="AB1616" s="1" t="str">
        <f>IFERROR(__xludf.DUMMYFUNCTION("""COMPUTED_VALUE"""),"")</f>
        <v/>
      </c>
      <c r="AC1616" s="1" t="str">
        <f>IFERROR(__xludf.DUMMYFUNCTION("""COMPUTED_VALUE"""),"")</f>
        <v/>
      </c>
      <c r="AD1616" s="1" t="str">
        <f>IFERROR(__xludf.DUMMYFUNCTION("""COMPUTED_VALUE"""),"")</f>
        <v/>
      </c>
      <c r="AE1616" s="1" t="str">
        <f>IFERROR(__xludf.DUMMYFUNCTION("""COMPUTED_VALUE"""),"")</f>
        <v/>
      </c>
      <c r="AF1616" s="1" t="str">
        <f>IFERROR(__xludf.DUMMYFUNCTION("""COMPUTED_VALUE"""),"")</f>
        <v/>
      </c>
      <c r="AG1616" s="1" t="str">
        <f>IFERROR(__xludf.DUMMYFUNCTION("""COMPUTED_VALUE"""),"")</f>
        <v/>
      </c>
      <c r="AH1616" s="1" t="str">
        <f>IFERROR(__xludf.DUMMYFUNCTION("""COMPUTED_VALUE"""),"Media Monitoring")</f>
        <v>Media Monitoring</v>
      </c>
      <c r="AI1616" s="2" t="str">
        <f>IFERROR(__xludf.DUMMYFUNCTION("""COMPUTED_VALUE"""),"https://www.datacenterdynamics.com/en/news/100mw-data-center-could-be-built-in-wheeling-west-virginia/")</f>
        <v>https://www.datacenterdynamics.com/en/news/100mw-data-center-could-be-built-in-wheeling-west-virginia/</v>
      </c>
      <c r="AJ1616" s="2" t="str">
        <f>IFERROR(__xludf.DUMMYFUNCTION("""COMPUTED_VALUE"""),"https://silicon.foundation/datacenter.html")</f>
        <v>https://silicon.foundation/datacenter.html</v>
      </c>
      <c r="AK1616" s="1" t="str">
        <f>IFERROR(__xludf.DUMMYFUNCTION("""COMPUTED_VALUE"""),"")</f>
        <v/>
      </c>
      <c r="AL1616" s="1" t="str">
        <f>IFERROR(__xludf.DUMMYFUNCTION("""COMPUTED_VALUE"""),"")</f>
        <v/>
      </c>
      <c r="AM1616" s="1" t="str">
        <f>IFERROR(__xludf.DUMMYFUNCTION("""COMPUTED_VALUE"""),"")</f>
        <v/>
      </c>
      <c r="AN1616" s="1" t="str">
        <f>IFERROR(__xludf.DUMMYFUNCTION("""COMPUTED_VALUE"""),"")</f>
        <v/>
      </c>
      <c r="AO1616" s="1" t="str">
        <f>IFERROR(__xludf.DUMMYFUNCTION("""COMPUTED_VALUE"""),"")</f>
        <v/>
      </c>
      <c r="AP1616" s="1" t="str">
        <f>IFERROR(__xludf.DUMMYFUNCTION("""COMPUTED_VALUE"""),"")</f>
        <v/>
      </c>
      <c r="AQ1616" s="1" t="str">
        <f>IFERROR(__xludf.DUMMYFUNCTION("""COMPUTED_VALUE"""),"06/24/2026")</f>
        <v>06/24/2026</v>
      </c>
      <c r="AR1616" s="1" t="str">
        <f>IFERROR(__xludf.DUMMYFUNCTION("""COMPUTED_VALUE"""),"06/24/2026")</f>
        <v>06/24/2026</v>
      </c>
    </row>
    <row r="1617">
      <c r="A1617" s="1" t="str">
        <f>IFERROR(__xludf.DUMMYFUNCTION("""COMPUTED_VALUE"""),"Meta Data Center")</f>
        <v>Meta Data Center</v>
      </c>
      <c r="B1617" s="1" t="str">
        <f>IFERROR(__xludf.DUMMYFUNCTION("""COMPUTED_VALUE"""),"High Plains Business Park")</f>
        <v>High Plains Business Park</v>
      </c>
      <c r="C1617" s="1" t="str">
        <f>IFERROR(__xludf.DUMMYFUNCTION("""COMPUTED_VALUE"""),"Cheyenne")</f>
        <v>Cheyenne</v>
      </c>
      <c r="D1617" s="1" t="str">
        <f>IFERROR(__xludf.DUMMYFUNCTION("""COMPUTED_VALUE"""),"WY")</f>
        <v>WY</v>
      </c>
      <c r="E1617" s="1" t="str">
        <f>IFERROR(__xludf.DUMMYFUNCTION("""COMPUTED_VALUE"""),"82007")</f>
        <v>82007</v>
      </c>
      <c r="F1617" s="1" t="str">
        <f>IFERROR(__xludf.DUMMYFUNCTION("""COMPUTED_VALUE"""),"Laramie")</f>
        <v>Laramie</v>
      </c>
      <c r="G1617" s="1" t="str">
        <f>IFERROR(__xludf.DUMMYFUNCTION("""COMPUTED_VALUE"""),"41.08515")</f>
        <v>41.08515</v>
      </c>
      <c r="H1617" s="1" t="str">
        <f>IFERROR(__xludf.DUMMYFUNCTION("""COMPUTED_VALUE"""),"-104.833")</f>
        <v>-104.833</v>
      </c>
      <c r="I1617" s="1" t="str">
        <f>IFERROR(__xludf.DUMMYFUNCTION("""COMPUTED_VALUE"""),"Proposed")</f>
        <v>Proposed</v>
      </c>
      <c r="J1617" s="1" t="str">
        <f>IFERROR(__xludf.DUMMYFUNCTION("""COMPUTED_VALUE"""),"Medium")</f>
        <v>Medium</v>
      </c>
      <c r="K1617" s="1" t="str">
        <f>IFERROR(__xludf.DUMMYFUNCTION("""COMPUTED_VALUE"""),"")</f>
        <v/>
      </c>
      <c r="L1617" s="1" t="str">
        <f>IFERROR(__xludf.DUMMYFUNCTION("""COMPUTED_VALUE"""),"Meta")</f>
        <v>Meta</v>
      </c>
      <c r="M1617" s="1" t="str">
        <f>IFERROR(__xludf.DUMMYFUNCTION("""COMPUTED_VALUE"""),"")</f>
        <v/>
      </c>
      <c r="N1617" s="1" t="str">
        <f>IFERROR(__xludf.DUMMYFUNCTION("""COMPUTED_VALUE"""),"")</f>
        <v/>
      </c>
      <c r="O1617" s="1" t="str">
        <f>IFERROR(__xludf.DUMMYFUNCTION("""COMPUTED_VALUE"""),"Unknown")</f>
        <v>Unknown</v>
      </c>
      <c r="P1617" s="1" t="str">
        <f>IFERROR(__xludf.DUMMYFUNCTION("""COMPUTED_VALUE"""),"")</f>
        <v/>
      </c>
      <c r="Q1617" s="1" t="str">
        <f>IFERROR(__xludf.DUMMYFUNCTION("""COMPUTED_VALUE"""),"")</f>
        <v/>
      </c>
      <c r="R1617" s="1" t="str">
        <f>IFERROR(__xludf.DUMMYFUNCTION("""COMPUTED_VALUE"""),"")</f>
        <v/>
      </c>
      <c r="S1617" s="1" t="str">
        <f>IFERROR(__xludf.DUMMYFUNCTION("""COMPUTED_VALUE"""),"")</f>
        <v/>
      </c>
      <c r="T1617" s="1" t="str">
        <f>IFERROR(__xludf.DUMMYFUNCTION("""COMPUTED_VALUE"""),"")</f>
        <v/>
      </c>
      <c r="U1617" s="1" t="str">
        <f>IFERROR(__xludf.DUMMYFUNCTION("""COMPUTED_VALUE"""),"")</f>
        <v/>
      </c>
      <c r="V1617" s="1" t="str">
        <f>IFERROR(__xludf.DUMMYFUNCTION("""COMPUTED_VALUE"""),"800,000")</f>
        <v>800,000</v>
      </c>
      <c r="W1617" s="1" t="str">
        <f>IFERROR(__xludf.DUMMYFUNCTION("""COMPUTED_VALUE"""),"945")</f>
        <v>945</v>
      </c>
      <c r="X1617" s="1" t="str">
        <f>IFERROR(__xludf.DUMMYFUNCTION("""COMPUTED_VALUE"""),"")</f>
        <v/>
      </c>
      <c r="Y1617" s="1" t="str">
        <f>IFERROR(__xludf.DUMMYFUNCTION("""COMPUTED_VALUE"""),"")</f>
        <v/>
      </c>
      <c r="Z1617" s="1" t="str">
        <f>IFERROR(__xludf.DUMMYFUNCTION("""COMPUTED_VALUE"""),"Unknown")</f>
        <v>Unknown</v>
      </c>
      <c r="AA1617" s="1" t="str">
        <f>IFERROR(__xludf.DUMMYFUNCTION("""COMPUTED_VALUE"""),"")</f>
        <v/>
      </c>
      <c r="AB1617" s="1" t="str">
        <f>IFERROR(__xludf.DUMMYFUNCTION("""COMPUTED_VALUE"""),"")</f>
        <v/>
      </c>
      <c r="AC1617" s="1" t="str">
        <f>IFERROR(__xludf.DUMMYFUNCTION("""COMPUTED_VALUE"""),"")</f>
        <v/>
      </c>
      <c r="AD1617" s="1" t="str">
        <f>IFERROR(__xludf.DUMMYFUNCTION("""COMPUTED_VALUE"""),"")</f>
        <v/>
      </c>
      <c r="AE1617" s="1" t="str">
        <f>IFERROR(__xludf.DUMMYFUNCTION("""COMPUTED_VALUE"""),"")</f>
        <v/>
      </c>
      <c r="AF1617" s="1" t="str">
        <f>IFERROR(__xludf.DUMMYFUNCTION("""COMPUTED_VALUE"""),"")</f>
        <v/>
      </c>
      <c r="AG1617" s="1" t="str">
        <f>IFERROR(__xludf.DUMMYFUNCTION("""COMPUTED_VALUE"""),"")</f>
        <v/>
      </c>
      <c r="AH1617" s="1" t="str">
        <f>IFERROR(__xludf.DUMMYFUNCTION("""COMPUTED_VALUE"""),"Media Monitoring")</f>
        <v>Media Monitoring</v>
      </c>
      <c r="AI1617" s="2" t="str">
        <f>IFERROR(__xludf.DUMMYFUNCTION("""COMPUTED_VALUE"""),"https://www.datacenterdynamics.com/en/news/meta-named-as-company-behind-945-acre-data-center-development-in-cheyenne-wyoming/")</f>
        <v>https://www.datacenterdynamics.com/en/news/meta-named-as-company-behind-945-acre-data-center-development-in-cheyenne-wyoming/</v>
      </c>
      <c r="AJ1617" s="1" t="str">
        <f>IFERROR(__xludf.DUMMYFUNCTION("""COMPUTED_VALUE"""),"")</f>
        <v/>
      </c>
      <c r="AK1617" s="1" t="str">
        <f>IFERROR(__xludf.DUMMYFUNCTION("""COMPUTED_VALUE"""),"")</f>
        <v/>
      </c>
      <c r="AL1617" s="1" t="str">
        <f>IFERROR(__xludf.DUMMYFUNCTION("""COMPUTED_VALUE"""),"")</f>
        <v/>
      </c>
      <c r="AM1617" s="1" t="str">
        <f>IFERROR(__xludf.DUMMYFUNCTION("""COMPUTED_VALUE"""),"")</f>
        <v/>
      </c>
      <c r="AN1617" s="1" t="str">
        <f>IFERROR(__xludf.DUMMYFUNCTION("""COMPUTED_VALUE"""),"")</f>
        <v/>
      </c>
      <c r="AO1617" s="1" t="str">
        <f>IFERROR(__xludf.DUMMYFUNCTION("""COMPUTED_VALUE"""),"")</f>
        <v/>
      </c>
      <c r="AP1617" s="1" t="str">
        <f>IFERROR(__xludf.DUMMYFUNCTION("""COMPUTED_VALUE"""),"")</f>
        <v/>
      </c>
      <c r="AQ1617" s="1" t="str">
        <f>IFERROR(__xludf.DUMMYFUNCTION("""COMPUTED_VALUE"""),"08/11/2025")</f>
        <v>08/11/2025</v>
      </c>
      <c r="AR1617" s="1" t="str">
        <f>IFERROR(__xludf.DUMMYFUNCTION("""COMPUTED_VALUE"""),"08/11/2025")</f>
        <v>08/11/2025</v>
      </c>
    </row>
    <row r="1618">
      <c r="A1618" s="1" t="str">
        <f>IFERROR(__xludf.DUMMYFUNCTION("""COMPUTED_VALUE"""),"Microsoft Azure Data Center")</f>
        <v>Microsoft Azure Data Center</v>
      </c>
      <c r="B1618" s="1" t="str">
        <f>IFERROR(__xludf.DUMMYFUNCTION("""COMPUTED_VALUE"""),"644 Logistics Dr")</f>
        <v>644 Logistics Dr</v>
      </c>
      <c r="C1618" s="1" t="str">
        <f>IFERROR(__xludf.DUMMYFUNCTION("""COMPUTED_VALUE"""),"Cheyenne")</f>
        <v>Cheyenne</v>
      </c>
      <c r="D1618" s="1" t="str">
        <f>IFERROR(__xludf.DUMMYFUNCTION("""COMPUTED_VALUE"""),"WY")</f>
        <v>WY</v>
      </c>
      <c r="E1618" s="1" t="str">
        <f>IFERROR(__xludf.DUMMYFUNCTION("""COMPUTED_VALUE"""),"82009")</f>
        <v>82009</v>
      </c>
      <c r="F1618" s="1" t="str">
        <f>IFERROR(__xludf.DUMMYFUNCTION("""COMPUTED_VALUE"""),"Laramie")</f>
        <v>Laramie</v>
      </c>
      <c r="G1618" s="1" t="str">
        <f>IFERROR(__xludf.DUMMYFUNCTION("""COMPUTED_VALUE"""),"41.12372")</f>
        <v>41.12372</v>
      </c>
      <c r="H1618" s="1" t="str">
        <f>IFERROR(__xludf.DUMMYFUNCTION("""COMPUTED_VALUE"""),"-104.901")</f>
        <v>-104.901</v>
      </c>
      <c r="I1618" s="1" t="str">
        <f>IFERROR(__xludf.DUMMYFUNCTION("""COMPUTED_VALUE"""),"Approved/Permitted/Under construction")</f>
        <v>Approved/Permitted/Under construction</v>
      </c>
      <c r="J1618" s="1" t="str">
        <f>IFERROR(__xludf.DUMMYFUNCTION("""COMPUTED_VALUE"""),"High")</f>
        <v>High</v>
      </c>
      <c r="K1618" s="1" t="str">
        <f>IFERROR(__xludf.DUMMYFUNCTION("""COMPUTED_VALUE"""),"")</f>
        <v/>
      </c>
      <c r="L1618" s="1" t="str">
        <f>IFERROR(__xludf.DUMMYFUNCTION("""COMPUTED_VALUE"""),"Microsoft")</f>
        <v>Microsoft</v>
      </c>
      <c r="M1618" s="1" t="str">
        <f>IFERROR(__xludf.DUMMYFUNCTION("""COMPUTED_VALUE"""),"")</f>
        <v/>
      </c>
      <c r="N1618" s="1" t="str">
        <f>IFERROR(__xludf.DUMMYFUNCTION("""COMPUTED_VALUE"""),"")</f>
        <v/>
      </c>
      <c r="O1618" s="1" t="str">
        <f>IFERROR(__xludf.DUMMYFUNCTION("""COMPUTED_VALUE"""),"Unknown")</f>
        <v>Unknown</v>
      </c>
      <c r="P1618" s="1" t="str">
        <f>IFERROR(__xludf.DUMMYFUNCTION("""COMPUTED_VALUE"""),"")</f>
        <v/>
      </c>
      <c r="Q1618" s="1" t="str">
        <f>IFERROR(__xludf.DUMMYFUNCTION("""COMPUTED_VALUE"""),"")</f>
        <v/>
      </c>
      <c r="R1618" s="1" t="str">
        <f>IFERROR(__xludf.DUMMYFUNCTION("""COMPUTED_VALUE"""),"")</f>
        <v/>
      </c>
      <c r="S1618" s="1" t="str">
        <f>IFERROR(__xludf.DUMMYFUNCTION("""COMPUTED_VALUE"""),"")</f>
        <v/>
      </c>
      <c r="T1618" s="1" t="str">
        <f>IFERROR(__xludf.DUMMYFUNCTION("""COMPUTED_VALUE"""),"")</f>
        <v/>
      </c>
      <c r="U1618" s="1" t="str">
        <f>IFERROR(__xludf.DUMMYFUNCTION("""COMPUTED_VALUE"""),"")</f>
        <v/>
      </c>
      <c r="V1618" s="1" t="str">
        <f>IFERROR(__xludf.DUMMYFUNCTION("""COMPUTED_VALUE"""),"")</f>
        <v/>
      </c>
      <c r="W1618" s="1" t="str">
        <f>IFERROR(__xludf.DUMMYFUNCTION("""COMPUTED_VALUE"""),"")</f>
        <v/>
      </c>
      <c r="X1618" s="1" t="str">
        <f>IFERROR(__xludf.DUMMYFUNCTION("""COMPUTED_VALUE"""),"")</f>
        <v/>
      </c>
      <c r="Y1618" s="1" t="str">
        <f>IFERROR(__xludf.DUMMYFUNCTION("""COMPUTED_VALUE"""),"")</f>
        <v/>
      </c>
      <c r="Z1618" s="1" t="str">
        <f>IFERROR(__xludf.DUMMYFUNCTION("""COMPUTED_VALUE"""),"Unknown")</f>
        <v>Unknown</v>
      </c>
      <c r="AA1618" s="1" t="str">
        <f>IFERROR(__xludf.DUMMYFUNCTION("""COMPUTED_VALUE"""),"")</f>
        <v/>
      </c>
      <c r="AB1618" s="1" t="str">
        <f>IFERROR(__xludf.DUMMYFUNCTION("""COMPUTED_VALUE"""),"")</f>
        <v/>
      </c>
      <c r="AC1618" s="1" t="str">
        <f>IFERROR(__xludf.DUMMYFUNCTION("""COMPUTED_VALUE"""),"")</f>
        <v/>
      </c>
      <c r="AD1618" s="1" t="str">
        <f>IFERROR(__xludf.DUMMYFUNCTION("""COMPUTED_VALUE"""),"")</f>
        <v/>
      </c>
      <c r="AE1618" s="1" t="str">
        <f>IFERROR(__xludf.DUMMYFUNCTION("""COMPUTED_VALUE"""),"")</f>
        <v/>
      </c>
      <c r="AF1618" s="1" t="str">
        <f>IFERROR(__xludf.DUMMYFUNCTION("""COMPUTED_VALUE"""),"")</f>
        <v/>
      </c>
      <c r="AG1618" s="1" t="str">
        <f>IFERROR(__xludf.DUMMYFUNCTION("""COMPUTED_VALUE"""),"")</f>
        <v/>
      </c>
      <c r="AH1618" s="1" t="str">
        <f>IFERROR(__xludf.DUMMYFUNCTION("""COMPUTED_VALUE"""),"Media Monitoring")</f>
        <v>Media Monitoring</v>
      </c>
      <c r="AI1618" s="1" t="str">
        <f>IFERROR(__xludf.DUMMYFUNCTION("""COMPUTED_VALUE"""),"")</f>
        <v/>
      </c>
      <c r="AJ1618" s="1" t="str">
        <f>IFERROR(__xludf.DUMMYFUNCTION("""COMPUTED_VALUE"""),"")</f>
        <v/>
      </c>
      <c r="AK1618" s="1" t="str">
        <f>IFERROR(__xludf.DUMMYFUNCTION("""COMPUTED_VALUE"""),"")</f>
        <v/>
      </c>
      <c r="AL1618" s="1" t="str">
        <f>IFERROR(__xludf.DUMMYFUNCTION("""COMPUTED_VALUE"""),"")</f>
        <v/>
      </c>
      <c r="AM1618" s="1" t="str">
        <f>IFERROR(__xludf.DUMMYFUNCTION("""COMPUTED_VALUE"""),"")</f>
        <v/>
      </c>
      <c r="AN1618" s="1" t="str">
        <f>IFERROR(__xludf.DUMMYFUNCTION("""COMPUTED_VALUE"""),"")</f>
        <v/>
      </c>
      <c r="AO1618" s="1" t="str">
        <f>IFERROR(__xludf.DUMMYFUNCTION("""COMPUTED_VALUE"""),"")</f>
        <v/>
      </c>
      <c r="AP1618" s="1" t="str">
        <f>IFERROR(__xludf.DUMMYFUNCTION("""COMPUTED_VALUE"""),"")</f>
        <v/>
      </c>
      <c r="AQ1618" s="1" t="str">
        <f>IFERROR(__xludf.DUMMYFUNCTION("""COMPUTED_VALUE"""),"08/11/2025")</f>
        <v>08/11/2025</v>
      </c>
      <c r="AR1618" s="1" t="str">
        <f>IFERROR(__xludf.DUMMYFUNCTION("""COMPUTED_VALUE"""),"08/11/2025")</f>
        <v>08/11/2025</v>
      </c>
    </row>
    <row r="1619">
      <c r="A1619" s="1" t="str">
        <f>IFERROR(__xludf.DUMMYFUNCTION("""COMPUTED_VALUE"""),"Microsoft Cheyenne Data Center")</f>
        <v>Microsoft Cheyenne Data Center</v>
      </c>
      <c r="B1619" s="1" t="str">
        <f>IFERROR(__xludf.DUMMYFUNCTION("""COMPUTED_VALUE"""),"Near Wapiti Trail")</f>
        <v>Near Wapiti Trail</v>
      </c>
      <c r="C1619" s="1" t="str">
        <f>IFERROR(__xludf.DUMMYFUNCTION("""COMPUTED_VALUE"""),"Cheyenne")</f>
        <v>Cheyenne</v>
      </c>
      <c r="D1619" s="1" t="str">
        <f>IFERROR(__xludf.DUMMYFUNCTION("""COMPUTED_VALUE"""),"WY")</f>
        <v>WY</v>
      </c>
      <c r="E1619" s="1" t="str">
        <f>IFERROR(__xludf.DUMMYFUNCTION("""COMPUTED_VALUE"""),"82007")</f>
        <v>82007</v>
      </c>
      <c r="F1619" s="1" t="str">
        <f>IFERROR(__xludf.DUMMYFUNCTION("""COMPUTED_VALUE"""),"Laramie")</f>
        <v>Laramie</v>
      </c>
      <c r="G1619" s="1" t="str">
        <f>IFERROR(__xludf.DUMMYFUNCTION("""COMPUTED_VALUE"""),"41.06447")</f>
        <v>41.06447</v>
      </c>
      <c r="H1619" s="1" t="str">
        <f>IFERROR(__xludf.DUMMYFUNCTION("""COMPUTED_VALUE"""),"-104.77278")</f>
        <v>-104.77278</v>
      </c>
      <c r="I1619" s="1" t="str">
        <f>IFERROR(__xludf.DUMMYFUNCTION("""COMPUTED_VALUE"""),"Proposed")</f>
        <v>Proposed</v>
      </c>
      <c r="J1619" s="1" t="str">
        <f>IFERROR(__xludf.DUMMYFUNCTION("""COMPUTED_VALUE"""),"Medium")</f>
        <v>Medium</v>
      </c>
      <c r="K1619" s="1" t="str">
        <f>IFERROR(__xludf.DUMMYFUNCTION("""COMPUTED_VALUE"""),"")</f>
        <v/>
      </c>
      <c r="L1619" s="1" t="str">
        <f>IFERROR(__xludf.DUMMYFUNCTION("""COMPUTED_VALUE"""),"Microsoft")</f>
        <v>Microsoft</v>
      </c>
      <c r="M1619" s="1" t="str">
        <f>IFERROR(__xludf.DUMMYFUNCTION("""COMPUTED_VALUE"""),"")</f>
        <v/>
      </c>
      <c r="N1619" s="1" t="str">
        <f>IFERROR(__xludf.DUMMYFUNCTION("""COMPUTED_VALUE"""),"")</f>
        <v/>
      </c>
      <c r="O1619" s="1" t="str">
        <f>IFERROR(__xludf.DUMMYFUNCTION("""COMPUTED_VALUE"""),"Hyperscale (100-999 MW)")</f>
        <v>Hyperscale (100-999 MW)</v>
      </c>
      <c r="P1619" s="1" t="str">
        <f>IFERROR(__xludf.DUMMYFUNCTION("""COMPUTED_VALUE"""),"")</f>
        <v/>
      </c>
      <c r="Q1619" s="1" t="str">
        <f>IFERROR(__xludf.DUMMYFUNCTION("""COMPUTED_VALUE"""),"")</f>
        <v/>
      </c>
      <c r="R1619" s="1" t="str">
        <f>IFERROR(__xludf.DUMMYFUNCTION("""COMPUTED_VALUE"""),"")</f>
        <v/>
      </c>
      <c r="S1619" s="1" t="str">
        <f>IFERROR(__xludf.DUMMYFUNCTION("""COMPUTED_VALUE"""),"")</f>
        <v/>
      </c>
      <c r="T1619" s="1" t="str">
        <f>IFERROR(__xludf.DUMMYFUNCTION("""COMPUTED_VALUE"""),"")</f>
        <v/>
      </c>
      <c r="U1619" s="1" t="str">
        <f>IFERROR(__xludf.DUMMYFUNCTION("""COMPUTED_VALUE"""),"")</f>
        <v/>
      </c>
      <c r="V1619" s="1" t="str">
        <f>IFERROR(__xludf.DUMMYFUNCTION("""COMPUTED_VALUE"""),"")</f>
        <v/>
      </c>
      <c r="W1619" s="1" t="str">
        <f>IFERROR(__xludf.DUMMYFUNCTION("""COMPUTED_VALUE"""),"3200")</f>
        <v>3200</v>
      </c>
      <c r="X1619" s="1" t="str">
        <f>IFERROR(__xludf.DUMMYFUNCTION("""COMPUTED_VALUE"""),"")</f>
        <v/>
      </c>
      <c r="Y1619" s="1" t="str">
        <f>IFERROR(__xludf.DUMMYFUNCTION("""COMPUTED_VALUE"""),"")</f>
        <v/>
      </c>
      <c r="Z1619" s="1" t="str">
        <f>IFERROR(__xludf.DUMMYFUNCTION("""COMPUTED_VALUE"""),"Unknown")</f>
        <v>Unknown</v>
      </c>
      <c r="AA1619" s="1" t="str">
        <f>IFERROR(__xludf.DUMMYFUNCTION("""COMPUTED_VALUE"""),"")</f>
        <v/>
      </c>
      <c r="AB1619" s="1" t="str">
        <f>IFERROR(__xludf.DUMMYFUNCTION("""COMPUTED_VALUE"""),"")</f>
        <v/>
      </c>
      <c r="AC1619" s="1" t="str">
        <f>IFERROR(__xludf.DUMMYFUNCTION("""COMPUTED_VALUE"""),"")</f>
        <v/>
      </c>
      <c r="AD1619" s="1" t="str">
        <f>IFERROR(__xludf.DUMMYFUNCTION("""COMPUTED_VALUE"""),"")</f>
        <v/>
      </c>
      <c r="AE1619" s="1" t="str">
        <f>IFERROR(__xludf.DUMMYFUNCTION("""COMPUTED_VALUE"""),"")</f>
        <v/>
      </c>
      <c r="AF1619" s="1" t="str">
        <f>IFERROR(__xludf.DUMMYFUNCTION("""COMPUTED_VALUE"""),"")</f>
        <v/>
      </c>
      <c r="AG1619" s="1" t="str">
        <f>IFERROR(__xludf.DUMMYFUNCTION("""COMPUTED_VALUE"""),"")</f>
        <v/>
      </c>
      <c r="AH1619" s="1" t="str">
        <f>IFERROR(__xludf.DUMMYFUNCTION("""COMPUTED_VALUE"""),"Media Monitoring")</f>
        <v>Media Monitoring</v>
      </c>
      <c r="AI1619" s="2" t="str">
        <f>IFERROR(__xludf.DUMMYFUNCTION("""COMPUTED_VALUE"""),"https://www.datacenterdynamics.com/en/news/microsoft-plans-to-buy-3200-acres-of-land-for-data-center-project-in-cheyenne-wyoming/")</f>
        <v>https://www.datacenterdynamics.com/en/news/microsoft-plans-to-buy-3200-acres-of-land-for-data-center-project-in-cheyenne-wyoming/</v>
      </c>
      <c r="AJ1619" s="1" t="str">
        <f>IFERROR(__xludf.DUMMYFUNCTION("""COMPUTED_VALUE"""),"")</f>
        <v/>
      </c>
      <c r="AK1619" s="1" t="str">
        <f>IFERROR(__xludf.DUMMYFUNCTION("""COMPUTED_VALUE"""),"")</f>
        <v/>
      </c>
      <c r="AL1619" s="1" t="str">
        <f>IFERROR(__xludf.DUMMYFUNCTION("""COMPUTED_VALUE"""),"")</f>
        <v/>
      </c>
      <c r="AM1619" s="1" t="str">
        <f>IFERROR(__xludf.DUMMYFUNCTION("""COMPUTED_VALUE"""),"")</f>
        <v/>
      </c>
      <c r="AN1619" s="1" t="str">
        <f>IFERROR(__xludf.DUMMYFUNCTION("""COMPUTED_VALUE"""),"")</f>
        <v/>
      </c>
      <c r="AO1619" s="1" t="str">
        <f>IFERROR(__xludf.DUMMYFUNCTION("""COMPUTED_VALUE"""),"")</f>
        <v/>
      </c>
      <c r="AP1619" s="1" t="str">
        <f>IFERROR(__xludf.DUMMYFUNCTION("""COMPUTED_VALUE"""),"")</f>
        <v/>
      </c>
      <c r="AQ1619" s="1" t="str">
        <f>IFERROR(__xludf.DUMMYFUNCTION("""COMPUTED_VALUE"""),"04/15/2026")</f>
        <v>04/15/2026</v>
      </c>
      <c r="AR1619" s="1" t="str">
        <f>IFERROR(__xludf.DUMMYFUNCTION("""COMPUTED_VALUE"""),"04/15/2026")</f>
        <v>04/15/2026</v>
      </c>
    </row>
    <row r="1620">
      <c r="A1620" s="1" t="str">
        <f>IFERROR(__xludf.DUMMYFUNCTION("""COMPUTED_VALUE"""),"Project Tembo (Previously ""Project Jade"")")</f>
        <v>Project Tembo (Previously "Project Jade")</v>
      </c>
      <c r="B1620" s="1" t="str">
        <f>IFERROR(__xludf.DUMMYFUNCTION("""COMPUTED_VALUE"""),"Switchgrass Industrial Park, west of I-85. 2 miles south of Terry Ranch Rd")</f>
        <v>Switchgrass Industrial Park, west of I-85. 2 miles south of Terry Ranch Rd</v>
      </c>
      <c r="C1620" s="1" t="str">
        <f>IFERROR(__xludf.DUMMYFUNCTION("""COMPUTED_VALUE"""),"Cheyenne")</f>
        <v>Cheyenne</v>
      </c>
      <c r="D1620" s="1" t="str">
        <f>IFERROR(__xludf.DUMMYFUNCTION("""COMPUTED_VALUE"""),"WY")</f>
        <v>WY</v>
      </c>
      <c r="E1620" s="1" t="str">
        <f>IFERROR(__xludf.DUMMYFUNCTION("""COMPUTED_VALUE"""),"82007")</f>
        <v>82007</v>
      </c>
      <c r="F1620" s="1" t="str">
        <f>IFERROR(__xludf.DUMMYFUNCTION("""COMPUTED_VALUE"""),"Laramie")</f>
        <v>Laramie</v>
      </c>
      <c r="G1620" s="1" t="str">
        <f>IFERROR(__xludf.DUMMYFUNCTION("""COMPUTED_VALUE"""),"41.031693")</f>
        <v>41.031693</v>
      </c>
      <c r="H1620" s="1" t="str">
        <f>IFERROR(__xludf.DUMMYFUNCTION("""COMPUTED_VALUE"""),"-104.7964")</f>
        <v>-104.7964</v>
      </c>
      <c r="I1620" s="1" t="str">
        <f>IFERROR(__xludf.DUMMYFUNCTION("""COMPUTED_VALUE"""),"Suspended")</f>
        <v>Suspended</v>
      </c>
      <c r="J1620" s="1" t="str">
        <f>IFERROR(__xludf.DUMMYFUNCTION("""COMPUTED_VALUE"""),"High")</f>
        <v>High</v>
      </c>
      <c r="K1620" s="1" t="str">
        <f>IFERROR(__xludf.DUMMYFUNCTION("""COMPUTED_VALUE"""),"")</f>
        <v/>
      </c>
      <c r="L1620" s="1" t="str">
        <f>IFERROR(__xludf.DUMMYFUNCTION("""COMPUTED_VALUE"""),"Crusoe")</f>
        <v>Crusoe</v>
      </c>
      <c r="M1620" s="1" t="str">
        <f>IFERROR(__xludf.DUMMYFUNCTION("""COMPUTED_VALUE"""),"Google")</f>
        <v>Google</v>
      </c>
      <c r="N1620" s="1" t="str">
        <f>IFERROR(__xludf.DUMMYFUNCTION("""COMPUTED_VALUE"""),"10,000")</f>
        <v>10,000</v>
      </c>
      <c r="O1620" s="1" t="str">
        <f>IFERROR(__xludf.DUMMYFUNCTION("""COMPUTED_VALUE"""),"Mega campus (&gt;1,000 MW)")</f>
        <v>Mega campus (&gt;1,000 MW)</v>
      </c>
      <c r="P1620" s="1" t="str">
        <f>IFERROR(__xludf.DUMMYFUNCTION("""COMPUTED_VALUE"""),"Natural gas")</f>
        <v>Natural gas</v>
      </c>
      <c r="Q1620" s="1" t="str">
        <f>IFERROR(__xludf.DUMMYFUNCTION("""COMPUTED_VALUE"""),"")</f>
        <v/>
      </c>
      <c r="R1620" s="1" t="str">
        <f>IFERROR(__xludf.DUMMYFUNCTION("""COMPUTED_VALUE"""),"")</f>
        <v/>
      </c>
      <c r="S1620" s="1" t="str">
        <f>IFERROR(__xludf.DUMMYFUNCTION("""COMPUTED_VALUE"""),"5")</f>
        <v>5</v>
      </c>
      <c r="T1620" s="1" t="str">
        <f>IFERROR(__xludf.DUMMYFUNCTION("""COMPUTED_VALUE"""),"")</f>
        <v/>
      </c>
      <c r="U1620" s="1" t="str">
        <f>IFERROR(__xludf.DUMMYFUNCTION("""COMPUTED_VALUE"""),"Closed loop")</f>
        <v>Closed loop</v>
      </c>
      <c r="V1620" s="1" t="str">
        <f>IFERROR(__xludf.DUMMYFUNCTION("""COMPUTED_VALUE"""),"")</f>
        <v/>
      </c>
      <c r="W1620" s="1" t="str">
        <f>IFERROR(__xludf.DUMMYFUNCTION("""COMPUTED_VALUE"""),"1375")</f>
        <v>1375</v>
      </c>
      <c r="X1620" s="1" t="str">
        <f>IFERROR(__xludf.DUMMYFUNCTION("""COMPUTED_VALUE"""),"")</f>
        <v/>
      </c>
      <c r="Y1620" s="1" t="str">
        <f>IFERROR(__xludf.DUMMYFUNCTION("""COMPUTED_VALUE"""),"2027")</f>
        <v>2027</v>
      </c>
      <c r="Z1620" s="1" t="str">
        <f>IFERROR(__xludf.DUMMYFUNCTION("""COMPUTED_VALUE"""),"Yes")</f>
        <v>Yes</v>
      </c>
      <c r="AA1620" s="1" t="str">
        <f>IFERROR(__xludf.DUMMYFUNCTION("""COMPUTED_VALUE"""),"")</f>
        <v/>
      </c>
      <c r="AB1620" s="1" t="str">
        <f>IFERROR(__xludf.DUMMYFUNCTION("""COMPUTED_VALUE"""),"")</f>
        <v/>
      </c>
      <c r="AC1620" s="1" t="str">
        <f>IFERROR(__xludf.DUMMYFUNCTION("""COMPUTED_VALUE"""),"")</f>
        <v/>
      </c>
      <c r="AD1620" s="1" t="str">
        <f>IFERROR(__xludf.DUMMYFUNCTION("""COMPUTED_VALUE"""),"")</f>
        <v/>
      </c>
      <c r="AE1620" s="1" t="str">
        <f>IFERROR(__xludf.DUMMYFUNCTION("""COMPUTED_VALUE"""),"")</f>
        <v/>
      </c>
      <c r="AF1620" s="1" t="str">
        <f>IFERROR(__xludf.DUMMYFUNCTION("""COMPUTED_VALUE"""),"")</f>
        <v/>
      </c>
      <c r="AG1620" s="1" t="str">
        <f>IFERROR(__xludf.DUMMYFUNCTION("""COMPUTED_VALUE"""),"")</f>
        <v/>
      </c>
      <c r="AH1620" s="1" t="str">
        <f>IFERROR(__xludf.DUMMYFUNCTION("""COMPUTED_VALUE"""),"Crowdsourced")</f>
        <v>Crowdsourced</v>
      </c>
      <c r="AI1620" s="2" t="str">
        <f>IFERROR(__xludf.DUMMYFUNCTION("""COMPUTED_VALUE"""),"https://capcity.news/community/county-community/county-government/2025/10/09/laramie-county-oks-zoning-to-allow-massive-switchgrass-industrial-park-for-data-center-power-plant/")</f>
        <v>https://capcity.news/community/county-community/county-government/2025/10/09/laramie-county-oks-zoning-to-allow-massive-switchgrass-industrial-park-for-data-center-power-plant/</v>
      </c>
      <c r="AJ1620" s="2" t="str">
        <f>IFERROR(__xludf.DUMMYFUNCTION("""COMPUTED_VALUE"""),"https://www.washingtonpost.com/climate-environment/interactive/2025/giant-data-centers-energy-pollution")</f>
        <v>https://www.washingtonpost.com/climate-environment/interactive/2025/giant-data-centers-energy-pollution</v>
      </c>
      <c r="AK1620" s="2" t="str">
        <f>IFERROR(__xludf.DUMMYFUNCTION("""COMPUTED_VALUE"""),"https://www.crusoe.ai/resources/newsroom/crusoe-and-tallgrass-announce-ai-data-center-in-wyoming")</f>
        <v>https://www.crusoe.ai/resources/newsroom/crusoe-and-tallgrass-announce-ai-data-center-in-wyoming</v>
      </c>
      <c r="AL1620" s="2" t="str">
        <f>IFERROR(__xludf.DUMMYFUNCTION("""COMPUTED_VALUE"""),"https://www.wyomingnews.com/news/local_news/county-commissioners-approve-data-center-power-plant-facilities-south-of-cheyenne/article_8dd9c94a-32c0-4ab5-9ea4-066936c81562.html")</f>
        <v>https://www.wyomingnews.com/news/local_news/county-commissioners-approve-data-center-power-plant-facilities-south-of-cheyenne/article_8dd9c94a-32c0-4ab5-9ea4-066936c81562.html</v>
      </c>
      <c r="AM1620" s="2" t="str">
        <f>IFERROR(__xludf.DUMMYFUNCTION("""COMPUTED_VALUE"""),"https://www.datacenterdynamics.com/en/news/crusoe-gets-go-ahead-for-18gw-data-center-campus-and-power-plant-in-cheyenne-wyoming/")</f>
        <v>https://www.datacenterdynamics.com/en/news/crusoe-gets-go-ahead-for-18gw-data-center-campus-and-power-plant-in-cheyenne-wyoming/</v>
      </c>
      <c r="AN1620" s="2" t="str">
        <f>IFERROR(__xludf.DUMMYFUNCTION("""COMPUTED_VALUE"""),"https://www.datacenterdynamics.com/en/news/crusoe-pauses-work-on-18gw-cheyenne-wyoming-data-center-at-the-request-of-our-customer/")</f>
        <v>https://www.datacenterdynamics.com/en/news/crusoe-pauses-work-on-18gw-cheyenne-wyoming-data-center-at-the-request-of-our-customer/</v>
      </c>
      <c r="AO1620" s="2" t="str">
        <f>IFERROR(__xludf.DUMMYFUNCTION("""COMPUTED_VALUE"""),"https://www.datacenterdynamics.com/en/news/google-is-customer-behind-27gw-data-center-campus-near-cheyenne-wyoming/")</f>
        <v>https://www.datacenterdynamics.com/en/news/google-is-customer-behind-27gw-data-center-campus-near-cheyenne-wyoming/</v>
      </c>
      <c r="AP1620" s="1" t="str">
        <f>IFERROR(__xludf.DUMMYFUNCTION("""COMPUTED_VALUE"""),"")</f>
        <v/>
      </c>
      <c r="AQ1620" s="1" t="str">
        <f>IFERROR(__xludf.DUMMYFUNCTION("""COMPUTED_VALUE"""),"12/08/2025")</f>
        <v>12/08/2025</v>
      </c>
      <c r="AR1620" s="1" t="str">
        <f>IFERROR(__xludf.DUMMYFUNCTION("""COMPUTED_VALUE"""),"07/14/2026")</f>
        <v>07/14/2026</v>
      </c>
    </row>
    <row r="1621">
      <c r="A1621" s="1" t="str">
        <f>IFERROR(__xludf.DUMMYFUNCTION("""COMPUTED_VALUE"""),"Related Digital Cheyenne Data Center")</f>
        <v>Related Digital Cheyenne Data Center</v>
      </c>
      <c r="B1621" s="1" t="str">
        <f>IFERROR(__xludf.DUMMYFUNCTION("""COMPUTED_VALUE"""),"Cheyenne Business Parkway, Campstool Rd, north side of I-80")</f>
        <v>Cheyenne Business Parkway, Campstool Rd, north side of I-80</v>
      </c>
      <c r="C1621" s="1" t="str">
        <f>IFERROR(__xludf.DUMMYFUNCTION("""COMPUTED_VALUE"""),"Cheyenne")</f>
        <v>Cheyenne</v>
      </c>
      <c r="D1621" s="1" t="str">
        <f>IFERROR(__xludf.DUMMYFUNCTION("""COMPUTED_VALUE"""),"WY")</f>
        <v>WY</v>
      </c>
      <c r="E1621" s="1" t="str">
        <f>IFERROR(__xludf.DUMMYFUNCTION("""COMPUTED_VALUE"""),"82007")</f>
        <v>82007</v>
      </c>
      <c r="F1621" s="1" t="str">
        <f>IFERROR(__xludf.DUMMYFUNCTION("""COMPUTED_VALUE"""),"Laramie")</f>
        <v>Laramie</v>
      </c>
      <c r="G1621" s="1" t="str">
        <f>IFERROR(__xludf.DUMMYFUNCTION("""COMPUTED_VALUE"""),"41.137573")</f>
        <v>41.137573</v>
      </c>
      <c r="H1621" s="1" t="str">
        <f>IFERROR(__xludf.DUMMYFUNCTION("""COMPUTED_VALUE"""),"-104.71874")</f>
        <v>-104.71874</v>
      </c>
      <c r="I1621" s="1" t="str">
        <f>IFERROR(__xludf.DUMMYFUNCTION("""COMPUTED_VALUE"""),"Proposed")</f>
        <v>Proposed</v>
      </c>
      <c r="J1621" s="1" t="str">
        <f>IFERROR(__xludf.DUMMYFUNCTION("""COMPUTED_VALUE"""),"Medium")</f>
        <v>Medium</v>
      </c>
      <c r="K1621" s="1" t="str">
        <f>IFERROR(__xludf.DUMMYFUNCTION("""COMPUTED_VALUE"""),"")</f>
        <v/>
      </c>
      <c r="L1621" s="1" t="str">
        <f>IFERROR(__xludf.DUMMYFUNCTION("""COMPUTED_VALUE"""),"Related Digital/CoreWeave")</f>
        <v>Related Digital/CoreWeave</v>
      </c>
      <c r="M1621" s="1" t="str">
        <f>IFERROR(__xludf.DUMMYFUNCTION("""COMPUTED_VALUE"""),"")</f>
        <v/>
      </c>
      <c r="N1621" s="1" t="str">
        <f>IFERROR(__xludf.DUMMYFUNCTION("""COMPUTED_VALUE"""),"250")</f>
        <v>250</v>
      </c>
      <c r="O1621" s="1" t="str">
        <f>IFERROR(__xludf.DUMMYFUNCTION("""COMPUTED_VALUE"""),"Hyperscale (100-999 MW)")</f>
        <v>Hyperscale (100-999 MW)</v>
      </c>
      <c r="P1621" s="1" t="str">
        <f>IFERROR(__xludf.DUMMYFUNCTION("""COMPUTED_VALUE"""),"Natural gas")</f>
        <v>Natural gas</v>
      </c>
      <c r="Q1621" s="1" t="str">
        <f>IFERROR(__xludf.DUMMYFUNCTION("""COMPUTED_VALUE"""),"")</f>
        <v/>
      </c>
      <c r="R1621" s="1" t="str">
        <f>IFERROR(__xludf.DUMMYFUNCTION("""COMPUTED_VALUE"""),"")</f>
        <v/>
      </c>
      <c r="S1621" s="1" t="str">
        <f>IFERROR(__xludf.DUMMYFUNCTION("""COMPUTED_VALUE"""),"")</f>
        <v/>
      </c>
      <c r="T1621" s="1" t="str">
        <f>IFERROR(__xludf.DUMMYFUNCTION("""COMPUTED_VALUE"""),"")</f>
        <v/>
      </c>
      <c r="U1621" s="1" t="str">
        <f>IFERROR(__xludf.DUMMYFUNCTION("""COMPUTED_VALUE"""),"")</f>
        <v/>
      </c>
      <c r="V1621" s="1" t="str">
        <f>IFERROR(__xludf.DUMMYFUNCTION("""COMPUTED_VALUE"""),"")</f>
        <v/>
      </c>
      <c r="W1621" s="1" t="str">
        <f>IFERROR(__xludf.DUMMYFUNCTION("""COMPUTED_VALUE"""),"113")</f>
        <v>113</v>
      </c>
      <c r="X1621" s="1" t="str">
        <f>IFERROR(__xludf.DUMMYFUNCTION("""COMPUTED_VALUE"""),"$1.2 billion")</f>
        <v>$1.2 billion</v>
      </c>
      <c r="Y1621" s="1" t="str">
        <f>IFERROR(__xludf.DUMMYFUNCTION("""COMPUTED_VALUE"""),"")</f>
        <v/>
      </c>
      <c r="Z1621" s="1" t="str">
        <f>IFERROR(__xludf.DUMMYFUNCTION("""COMPUTED_VALUE"""),"Unknown")</f>
        <v>Unknown</v>
      </c>
      <c r="AA1621" s="1" t="str">
        <f>IFERROR(__xludf.DUMMYFUNCTION("""COMPUTED_VALUE"""),"")</f>
        <v/>
      </c>
      <c r="AB1621" s="1" t="str">
        <f>IFERROR(__xludf.DUMMYFUNCTION("""COMPUTED_VALUE"""),"")</f>
        <v/>
      </c>
      <c r="AC1621" s="1" t="str">
        <f>IFERROR(__xludf.DUMMYFUNCTION("""COMPUTED_VALUE"""),"")</f>
        <v/>
      </c>
      <c r="AD1621" s="1" t="str">
        <f>IFERROR(__xludf.DUMMYFUNCTION("""COMPUTED_VALUE"""),"")</f>
        <v/>
      </c>
      <c r="AE1621" s="1" t="str">
        <f>IFERROR(__xludf.DUMMYFUNCTION("""COMPUTED_VALUE"""),"")</f>
        <v/>
      </c>
      <c r="AF1621" s="1" t="str">
        <f>IFERROR(__xludf.DUMMYFUNCTION("""COMPUTED_VALUE"""),"")</f>
        <v/>
      </c>
      <c r="AG1621" s="1" t="str">
        <f>IFERROR(__xludf.DUMMYFUNCTION("""COMPUTED_VALUE"""),"Starting with 88 MW/ 184,00 sq ft building, and building out from there")</f>
        <v>Starting with 88 MW/ 184,00 sq ft building, and building out from there</v>
      </c>
      <c r="AH1621" s="1" t="str">
        <f>IFERROR(__xludf.DUMMYFUNCTION("""COMPUTED_VALUE"""),"Crowdsourced")</f>
        <v>Crowdsourced</v>
      </c>
      <c r="AI1621" s="2" t="str">
        <f>IFERROR(__xludf.DUMMYFUNCTION("""COMPUTED_VALUE"""),"https://oilcity.news/statewide/2025/10/07/1-2-billion-data-center-breaks-ground-in-cheyenne-promises-water-free-operations/")</f>
        <v>https://oilcity.news/statewide/2025/10/07/1-2-billion-data-center-breaks-ground-in-cheyenne-promises-water-free-operations/</v>
      </c>
      <c r="AJ1621" s="2" t="str">
        <f>IFERROR(__xludf.DUMMYFUNCTION("""COMPUTED_VALUE"""),"https://www.datacenterdynamics.com/en/news/related-digital-breaks-ground-on-12bn-data-center-in-cheyenne-wyoming-will-host-coreweave-servers/")</f>
        <v>https://www.datacenterdynamics.com/en/news/related-digital-breaks-ground-on-12bn-data-center-in-cheyenne-wyoming-will-host-coreweave-servers/</v>
      </c>
      <c r="AK1621" s="2" t="str">
        <f>IFERROR(__xludf.DUMMYFUNCTION("""COMPUTED_VALUE"""),"https://cheyenneleads.org/wp-content/uploads/2025/03/11x17-Business-Parks-Map-2024.jpg")</f>
        <v>https://cheyenneleads.org/wp-content/uploads/2025/03/11x17-Business-Parks-Map-2024.jpg</v>
      </c>
      <c r="AL1621" s="1" t="str">
        <f>IFERROR(__xludf.DUMMYFUNCTION("""COMPUTED_VALUE"""),"")</f>
        <v/>
      </c>
      <c r="AM1621" s="1" t="str">
        <f>IFERROR(__xludf.DUMMYFUNCTION("""COMPUTED_VALUE"""),"")</f>
        <v/>
      </c>
      <c r="AN1621" s="1" t="str">
        <f>IFERROR(__xludf.DUMMYFUNCTION("""COMPUTED_VALUE"""),"")</f>
        <v/>
      </c>
      <c r="AO1621" s="1" t="str">
        <f>IFERROR(__xludf.DUMMYFUNCTION("""COMPUTED_VALUE"""),"")</f>
        <v/>
      </c>
      <c r="AP1621" s="1" t="str">
        <f>IFERROR(__xludf.DUMMYFUNCTION("""COMPUTED_VALUE"""),"")</f>
        <v/>
      </c>
      <c r="AQ1621" s="1" t="str">
        <f>IFERROR(__xludf.DUMMYFUNCTION("""COMPUTED_VALUE"""),"12/08/2025")</f>
        <v>12/08/2025</v>
      </c>
      <c r="AR1621" s="1" t="str">
        <f>IFERROR(__xludf.DUMMYFUNCTION("""COMPUTED_VALUE"""),"12/08/2025")</f>
        <v>12/08/2025</v>
      </c>
    </row>
    <row r="1622">
      <c r="A1622" s="1" t="str">
        <f>IFERROR(__xludf.DUMMYFUNCTION("""COMPUTED_VALUE"""),"Wyoming Hyperscale Whitebox")</f>
        <v>Wyoming Hyperscale Whitebox</v>
      </c>
      <c r="B1622" s="1" t="str">
        <f>IFERROR(__xludf.DUMMYFUNCTION("""COMPUTED_VALUE"""),"north face of Aspen Mountain")</f>
        <v>north face of Aspen Mountain</v>
      </c>
      <c r="C1622" s="1" t="str">
        <f>IFERROR(__xludf.DUMMYFUNCTION("""COMPUTED_VALUE"""),"Evanston")</f>
        <v>Evanston</v>
      </c>
      <c r="D1622" s="1" t="str">
        <f>IFERROR(__xludf.DUMMYFUNCTION("""COMPUTED_VALUE"""),"WY")</f>
        <v>WY</v>
      </c>
      <c r="E1622" s="1" t="str">
        <f>IFERROR(__xludf.DUMMYFUNCTION("""COMPUTED_VALUE"""),"82930")</f>
        <v>82930</v>
      </c>
      <c r="F1622" s="1" t="str">
        <f>IFERROR(__xludf.DUMMYFUNCTION("""COMPUTED_VALUE"""),"Uinta")</f>
        <v>Uinta</v>
      </c>
      <c r="G1622" s="1" t="str">
        <f>IFERROR(__xludf.DUMMYFUNCTION("""COMPUTED_VALUE"""),"41.18535")</f>
        <v>41.18535</v>
      </c>
      <c r="H1622" s="1" t="str">
        <f>IFERROR(__xludf.DUMMYFUNCTION("""COMPUTED_VALUE"""),"-110.7719")</f>
        <v>-110.7719</v>
      </c>
      <c r="I1622" s="1" t="str">
        <f>IFERROR(__xludf.DUMMYFUNCTION("""COMPUTED_VALUE"""),"Approved/Permitted/Under construction")</f>
        <v>Approved/Permitted/Under construction</v>
      </c>
      <c r="J1622" s="1" t="str">
        <f>IFERROR(__xludf.DUMMYFUNCTION("""COMPUTED_VALUE"""),"Medium")</f>
        <v>Medium</v>
      </c>
      <c r="K1622" s="1" t="str">
        <f>IFERROR(__xludf.DUMMYFUNCTION("""COMPUTED_VALUE"""),"")</f>
        <v/>
      </c>
      <c r="L1622" s="1" t="str">
        <f>IFERROR(__xludf.DUMMYFUNCTION("""COMPUTED_VALUE"""),"Prometheus Hyperscale")</f>
        <v>Prometheus Hyperscale</v>
      </c>
      <c r="M1622" s="1" t="str">
        <f>IFERROR(__xludf.DUMMYFUNCTION("""COMPUTED_VALUE"""),"")</f>
        <v/>
      </c>
      <c r="N1622" s="1" t="str">
        <f>IFERROR(__xludf.DUMMYFUNCTION("""COMPUTED_VALUE"""),"1250")</f>
        <v>1250</v>
      </c>
      <c r="O1622" s="1" t="str">
        <f>IFERROR(__xludf.DUMMYFUNCTION("""COMPUTED_VALUE"""),"Mega campus (&gt;1,000 MW)")</f>
        <v>Mega campus (&gt;1,000 MW)</v>
      </c>
      <c r="P1622" s="1" t="str">
        <f>IFERROR(__xludf.DUMMYFUNCTION("""COMPUTED_VALUE"""),"")</f>
        <v/>
      </c>
      <c r="Q1622" s="1" t="str">
        <f>IFERROR(__xludf.DUMMYFUNCTION("""COMPUTED_VALUE"""),"")</f>
        <v/>
      </c>
      <c r="R1622" s="1" t="str">
        <f>IFERROR(__xludf.DUMMYFUNCTION("""COMPUTED_VALUE"""),"")</f>
        <v/>
      </c>
      <c r="S1622" s="1" t="str">
        <f>IFERROR(__xludf.DUMMYFUNCTION("""COMPUTED_VALUE"""),"")</f>
        <v/>
      </c>
      <c r="T1622" s="1" t="str">
        <f>IFERROR(__xludf.DUMMYFUNCTION("""COMPUTED_VALUE"""),"")</f>
        <v/>
      </c>
      <c r="U1622" s="1" t="str">
        <f>IFERROR(__xludf.DUMMYFUNCTION("""COMPUTED_VALUE"""),"")</f>
        <v/>
      </c>
      <c r="V1622" s="1" t="str">
        <f>IFERROR(__xludf.DUMMYFUNCTION("""COMPUTED_VALUE"""),"")</f>
        <v/>
      </c>
      <c r="W1622" s="1" t="str">
        <f>IFERROR(__xludf.DUMMYFUNCTION("""COMPUTED_VALUE"""),"506")</f>
        <v>506</v>
      </c>
      <c r="X1622" s="1" t="str">
        <f>IFERROR(__xludf.DUMMYFUNCTION("""COMPUTED_VALUE"""),"")</f>
        <v/>
      </c>
      <c r="Y1622" s="1" t="str">
        <f>IFERROR(__xludf.DUMMYFUNCTION("""COMPUTED_VALUE"""),"2030")</f>
        <v>2030</v>
      </c>
      <c r="Z1622" s="1" t="str">
        <f>IFERROR(__xludf.DUMMYFUNCTION("""COMPUTED_VALUE"""),"Unknown")</f>
        <v>Unknown</v>
      </c>
      <c r="AA1622" s="1" t="str">
        <f>IFERROR(__xludf.DUMMYFUNCTION("""COMPUTED_VALUE"""),"")</f>
        <v/>
      </c>
      <c r="AB1622" s="1" t="str">
        <f>IFERROR(__xludf.DUMMYFUNCTION("""COMPUTED_VALUE"""),"")</f>
        <v/>
      </c>
      <c r="AC1622" s="1" t="str">
        <f>IFERROR(__xludf.DUMMYFUNCTION("""COMPUTED_VALUE"""),"")</f>
        <v/>
      </c>
      <c r="AD1622" s="1" t="str">
        <f>IFERROR(__xludf.DUMMYFUNCTION("""COMPUTED_VALUE"""),"")</f>
        <v/>
      </c>
      <c r="AE1622" s="1" t="str">
        <f>IFERROR(__xludf.DUMMYFUNCTION("""COMPUTED_VALUE"""),"")</f>
        <v/>
      </c>
      <c r="AF1622" s="1" t="str">
        <f>IFERROR(__xludf.DUMMYFUNCTION("""COMPUTED_VALUE"""),"")</f>
        <v/>
      </c>
      <c r="AG1622" s="1" t="str">
        <f>IFERROR(__xludf.DUMMYFUNCTION("""COMPUTED_VALUE"""),"")</f>
        <v/>
      </c>
      <c r="AH1622" s="1" t="str">
        <f>IFERROR(__xludf.DUMMYFUNCTION("""COMPUTED_VALUE"""),"Media Monitoring")</f>
        <v>Media Monitoring</v>
      </c>
      <c r="AI1622" s="2" t="str">
        <f>IFERROR(__xludf.DUMMYFUNCTION("""COMPUTED_VALUE"""),"https://www.datacenterdynamics.com/en/news/prometheus-hyperscale-secures-planning-approval-for-gigawatt-data-center-campus-in-wyoming/")</f>
        <v>https://www.datacenterdynamics.com/en/news/prometheus-hyperscale-secures-planning-approval-for-gigawatt-data-center-campus-in-wyoming/</v>
      </c>
      <c r="AJ1622" s="2" t="str">
        <f>IFERROR(__xludf.DUMMYFUNCTION("""COMPUTED_VALUE"""),"https://www.datacenterfrontier.com/hyperscale/article/21437203/wyoming-hyperscale-the-future-of-the-data-center")</f>
        <v>https://www.datacenterfrontier.com/hyperscale/article/21437203/wyoming-hyperscale-the-future-of-the-data-center</v>
      </c>
      <c r="AK1622" s="1" t="str">
        <f>IFERROR(__xludf.DUMMYFUNCTION("""COMPUTED_VALUE"""),"")</f>
        <v/>
      </c>
      <c r="AL1622" s="1" t="str">
        <f>IFERROR(__xludf.DUMMYFUNCTION("""COMPUTED_VALUE"""),"")</f>
        <v/>
      </c>
      <c r="AM1622" s="1" t="str">
        <f>IFERROR(__xludf.DUMMYFUNCTION("""COMPUTED_VALUE"""),"")</f>
        <v/>
      </c>
      <c r="AN1622" s="1" t="str">
        <f>IFERROR(__xludf.DUMMYFUNCTION("""COMPUTED_VALUE"""),"")</f>
        <v/>
      </c>
      <c r="AO1622" s="1" t="str">
        <f>IFERROR(__xludf.DUMMYFUNCTION("""COMPUTED_VALUE"""),"")</f>
        <v/>
      </c>
      <c r="AP1622" s="1" t="str">
        <f>IFERROR(__xludf.DUMMYFUNCTION("""COMPUTED_VALUE"""),"")</f>
        <v/>
      </c>
      <c r="AQ1622" s="1" t="str">
        <f>IFERROR(__xludf.DUMMYFUNCTION("""COMPUTED_VALUE"""),"06/22/2026")</f>
        <v>06/22/2026</v>
      </c>
      <c r="AR1622" s="1" t="str">
        <f>IFERROR(__xludf.DUMMYFUNCTION("""COMPUTED_VALUE"""),"06/22/2026")</f>
        <v>06/22/2026</v>
      </c>
    </row>
  </sheetData>
  <hyperlinks>
    <hyperlink r:id="rId1" ref="AI2"/>
    <hyperlink r:id="rId2" ref="AJ2"/>
    <hyperlink r:id="rId3" ref="AI3"/>
    <hyperlink r:id="rId4" ref="AJ3"/>
    <hyperlink r:id="rId5" ref="AI4"/>
    <hyperlink r:id="rId6" ref="AJ4"/>
    <hyperlink r:id="rId7" ref="AD5"/>
    <hyperlink r:id="rId8" ref="AF5"/>
    <hyperlink r:id="rId9" ref="AI5"/>
    <hyperlink r:id="rId10" ref="AJ5"/>
    <hyperlink r:id="rId11" location=":~:text=In%20October%2C%20the%20Grant%20County,be%20built%20in%20West%20Memphis" ref="AK5"/>
    <hyperlink r:id="rId12" ref="AL5"/>
    <hyperlink r:id="rId13" location=":~:text=Pruitt%20emphasized%20that%20the%20resolution,large%20names%2C%E2%80%9D%20Pruitt%20said." ref="AM5"/>
    <hyperlink r:id="rId14" ref="AD6"/>
    <hyperlink r:id="rId15" ref="AE6"/>
    <hyperlink r:id="rId16" ref="AI6"/>
    <hyperlink r:id="rId17" ref="AJ6"/>
    <hyperlink r:id="rId18" ref="AK6"/>
    <hyperlink r:id="rId19" ref="AL6"/>
    <hyperlink r:id="rId20" ref="AM6"/>
    <hyperlink r:id="rId21" ref="AN6"/>
    <hyperlink r:id="rId22" ref="AO6"/>
    <hyperlink r:id="rId23" ref="AP6"/>
    <hyperlink r:id="rId24" ref="AI7"/>
    <hyperlink r:id="rId25" ref="AJ7"/>
    <hyperlink r:id="rId26" ref="AI9"/>
    <hyperlink r:id="rId27" ref="AJ9"/>
    <hyperlink r:id="rId28" ref="AD10"/>
    <hyperlink r:id="rId29" ref="AI10"/>
    <hyperlink r:id="rId30" ref="AJ10"/>
    <hyperlink r:id="rId31" ref="AK10"/>
    <hyperlink r:id="rId32" ref="AI12"/>
    <hyperlink r:id="rId33" ref="AI13"/>
    <hyperlink r:id="rId34" ref="AI14"/>
    <hyperlink r:id="rId35" ref="AI15"/>
    <hyperlink r:id="rId36" ref="AD16"/>
    <hyperlink r:id="rId37" ref="AI16"/>
    <hyperlink r:id="rId38" ref="AJ16"/>
    <hyperlink r:id="rId39" ref="AF17"/>
    <hyperlink r:id="rId40" ref="AI17"/>
    <hyperlink r:id="rId41" ref="AI18"/>
    <hyperlink r:id="rId42" ref="AI19"/>
    <hyperlink r:id="rId43" ref="AJ19"/>
    <hyperlink r:id="rId44" ref="AD20"/>
    <hyperlink r:id="rId45" ref="AE20"/>
    <hyperlink r:id="rId46" ref="AF20"/>
    <hyperlink r:id="rId47" ref="AI20"/>
    <hyperlink r:id="rId48" ref="AJ20"/>
    <hyperlink r:id="rId49" ref="AK20"/>
    <hyperlink r:id="rId50" ref="AI21"/>
    <hyperlink r:id="rId51" ref="AJ21"/>
    <hyperlink r:id="rId52" ref="AK21"/>
    <hyperlink r:id="rId53" ref="AL21"/>
    <hyperlink r:id="rId54" ref="AI22"/>
    <hyperlink r:id="rId55" ref="AI23"/>
    <hyperlink r:id="rId56" ref="AJ23"/>
    <hyperlink r:id="rId57" ref="AK23"/>
    <hyperlink r:id="rId58" ref="AF24"/>
    <hyperlink r:id="rId59" ref="AI24"/>
    <hyperlink r:id="rId60" ref="AI25"/>
    <hyperlink r:id="rId61" ref="AI26"/>
    <hyperlink r:id="rId62" ref="AJ26"/>
    <hyperlink r:id="rId63" ref="AI27"/>
    <hyperlink r:id="rId64" ref="AJ27"/>
    <hyperlink r:id="rId65" ref="AI28"/>
    <hyperlink r:id="rId66" ref="AI29"/>
    <hyperlink r:id="rId67" ref="AJ29"/>
    <hyperlink r:id="rId68" ref="AI30"/>
    <hyperlink r:id="rId69" ref="AD31"/>
    <hyperlink r:id="rId70" ref="AI31"/>
    <hyperlink r:id="rId71" ref="AJ31"/>
    <hyperlink r:id="rId72" ref="AK31"/>
    <hyperlink r:id="rId73" ref="AL31"/>
    <hyperlink r:id="rId74" ref="AM31"/>
    <hyperlink r:id="rId75" ref="AI32"/>
    <hyperlink r:id="rId76" ref="AI33"/>
    <hyperlink r:id="rId77" ref="AI34"/>
    <hyperlink r:id="rId78" ref="AJ34"/>
    <hyperlink r:id="rId79" ref="AI35"/>
    <hyperlink r:id="rId80" ref="AI36"/>
    <hyperlink r:id="rId81" ref="AI37"/>
    <hyperlink r:id="rId82" ref="AJ37"/>
    <hyperlink r:id="rId83" ref="AK37"/>
    <hyperlink r:id="rId84" ref="AI38"/>
    <hyperlink r:id="rId85" ref="AJ38"/>
    <hyperlink r:id="rId86" ref="AD39"/>
    <hyperlink r:id="rId87" ref="AE39"/>
    <hyperlink r:id="rId88" ref="AF39"/>
    <hyperlink r:id="rId89" ref="AI39"/>
    <hyperlink r:id="rId90" ref="AJ39"/>
    <hyperlink r:id="rId91" ref="AK39"/>
    <hyperlink r:id="rId92" ref="AI40"/>
    <hyperlink r:id="rId93" ref="AI41"/>
    <hyperlink r:id="rId94" ref="AI42"/>
    <hyperlink r:id="rId95" ref="AI43"/>
    <hyperlink r:id="rId96" ref="AI44"/>
    <hyperlink r:id="rId97" ref="AI45"/>
    <hyperlink r:id="rId98" ref="AJ45"/>
    <hyperlink r:id="rId99" ref="AD46"/>
    <hyperlink r:id="rId100" ref="AI46"/>
    <hyperlink r:id="rId101" ref="AJ46"/>
    <hyperlink r:id="rId102" ref="AI47"/>
    <hyperlink r:id="rId103" ref="AJ47"/>
    <hyperlink r:id="rId104" ref="AK47"/>
    <hyperlink r:id="rId105" ref="AL47"/>
    <hyperlink r:id="rId106" ref="AI48"/>
    <hyperlink r:id="rId107" ref="AJ48"/>
    <hyperlink r:id="rId108" ref="AI49"/>
    <hyperlink r:id="rId109" ref="AJ49"/>
    <hyperlink r:id="rId110" ref="AI50"/>
    <hyperlink r:id="rId111" ref="AJ50"/>
    <hyperlink r:id="rId112" ref="AI51"/>
    <hyperlink r:id="rId113" ref="AJ51"/>
    <hyperlink r:id="rId114" ref="AK51"/>
    <hyperlink r:id="rId115" ref="AL51"/>
    <hyperlink r:id="rId116" ref="AM51"/>
    <hyperlink r:id="rId117" ref="AN51"/>
    <hyperlink r:id="rId118" ref="AI52"/>
    <hyperlink r:id="rId119" ref="AD53"/>
    <hyperlink r:id="rId120" ref="AI53"/>
    <hyperlink r:id="rId121" ref="AJ53"/>
    <hyperlink r:id="rId122" ref="AI54"/>
    <hyperlink r:id="rId123" ref="AF55"/>
    <hyperlink r:id="rId124" ref="AI55"/>
    <hyperlink r:id="rId125" ref="AJ55"/>
    <hyperlink r:id="rId126" ref="AI56"/>
    <hyperlink r:id="rId127" ref="AI57"/>
    <hyperlink r:id="rId128" ref="AD58"/>
    <hyperlink r:id="rId129" ref="AE58"/>
    <hyperlink r:id="rId130" ref="AF58"/>
    <hyperlink r:id="rId131" ref="AI58"/>
    <hyperlink r:id="rId132" ref="AJ58"/>
    <hyperlink r:id="rId133" ref="AK58"/>
    <hyperlink r:id="rId134" ref="AD59"/>
    <hyperlink r:id="rId135" ref="AF59"/>
    <hyperlink r:id="rId136" ref="AI59"/>
    <hyperlink r:id="rId137" ref="AJ59"/>
    <hyperlink r:id="rId138" ref="AK59"/>
    <hyperlink r:id="rId139" ref="AL59"/>
    <hyperlink r:id="rId140" ref="AF60"/>
    <hyperlink r:id="rId141" ref="AI60"/>
    <hyperlink r:id="rId142" ref="AI61"/>
    <hyperlink r:id="rId143" ref="AD62"/>
    <hyperlink r:id="rId144" ref="AE62"/>
    <hyperlink r:id="rId145" ref="AF62"/>
    <hyperlink r:id="rId146" ref="AI62"/>
    <hyperlink r:id="rId147" ref="AJ62"/>
    <hyperlink r:id="rId148" ref="AK62"/>
    <hyperlink r:id="rId149" ref="AL62"/>
    <hyperlink r:id="rId150" ref="AM62"/>
    <hyperlink r:id="rId151" ref="AI64"/>
    <hyperlink r:id="rId152" ref="AJ64"/>
    <hyperlink r:id="rId153" ref="AK64"/>
    <hyperlink r:id="rId154" ref="AI65"/>
    <hyperlink r:id="rId155" ref="AF66"/>
    <hyperlink r:id="rId156" ref="AI66"/>
    <hyperlink r:id="rId157" ref="AJ66"/>
    <hyperlink r:id="rId158" ref="AK66"/>
    <hyperlink r:id="rId159" ref="AI67"/>
    <hyperlink r:id="rId160" ref="AI68"/>
    <hyperlink r:id="rId161" ref="AI69"/>
    <hyperlink r:id="rId162" ref="AJ69"/>
    <hyperlink r:id="rId163" ref="AI70"/>
    <hyperlink r:id="rId164" ref="AI71"/>
    <hyperlink r:id="rId165" ref="AI72"/>
    <hyperlink r:id="rId166" ref="AI73"/>
    <hyperlink r:id="rId167" ref="AI74"/>
    <hyperlink r:id="rId168" ref="AI75"/>
    <hyperlink r:id="rId169" ref="AI76"/>
    <hyperlink r:id="rId170" ref="AI77"/>
    <hyperlink r:id="rId171" ref="AJ77"/>
    <hyperlink r:id="rId172" ref="AI78"/>
    <hyperlink r:id="rId173" ref="AI79"/>
    <hyperlink r:id="rId174" ref="AI80"/>
    <hyperlink r:id="rId175" ref="AI81"/>
    <hyperlink r:id="rId176" ref="AI82"/>
    <hyperlink r:id="rId177" ref="AJ82"/>
    <hyperlink r:id="rId178" ref="AI83"/>
    <hyperlink r:id="rId179" ref="AI84"/>
    <hyperlink r:id="rId180" ref="AI85"/>
    <hyperlink r:id="rId181" ref="AI86"/>
    <hyperlink r:id="rId182" ref="AJ86"/>
    <hyperlink r:id="rId183" ref="AK86"/>
    <hyperlink r:id="rId184" ref="AI87"/>
    <hyperlink r:id="rId185" ref="AI88"/>
    <hyperlink r:id="rId186" ref="AJ88"/>
    <hyperlink r:id="rId187" ref="AA89"/>
    <hyperlink r:id="rId188" ref="AD89"/>
    <hyperlink r:id="rId189" ref="AE89"/>
    <hyperlink r:id="rId190" ref="AI89"/>
    <hyperlink r:id="rId191" ref="AJ89"/>
    <hyperlink r:id="rId192" ref="AI90"/>
    <hyperlink r:id="rId193" ref="AI91"/>
    <hyperlink r:id="rId194" ref="AD92"/>
    <hyperlink r:id="rId195" ref="AI92"/>
    <hyperlink r:id="rId196" ref="AJ92"/>
    <hyperlink r:id="rId197" ref="AK92"/>
    <hyperlink r:id="rId198" ref="AL92"/>
    <hyperlink r:id="rId199" ref="AI93"/>
    <hyperlink r:id="rId200" ref="AD94"/>
    <hyperlink r:id="rId201" ref="AI94"/>
    <hyperlink r:id="rId202" ref="AJ94"/>
    <hyperlink r:id="rId203" ref="AI95"/>
    <hyperlink r:id="rId204" ref="AI96"/>
    <hyperlink r:id="rId205" ref="AI97"/>
    <hyperlink r:id="rId206" ref="AJ97"/>
    <hyperlink r:id="rId207" ref="AF98"/>
    <hyperlink r:id="rId208" ref="AI98"/>
    <hyperlink r:id="rId209" ref="AJ98"/>
    <hyperlink r:id="rId210" ref="AI99"/>
    <hyperlink r:id="rId211" ref="AJ99"/>
    <hyperlink r:id="rId212" ref="AI100"/>
    <hyperlink r:id="rId213" ref="AJ100"/>
    <hyperlink r:id="rId214" ref="AK100"/>
    <hyperlink r:id="rId215" ref="AL100"/>
    <hyperlink r:id="rId216" ref="AM100"/>
    <hyperlink r:id="rId217" ref="AD101"/>
    <hyperlink r:id="rId218" ref="AE101"/>
    <hyperlink r:id="rId219" ref="AI101"/>
    <hyperlink r:id="rId220" ref="AJ101"/>
    <hyperlink r:id="rId221" ref="AI102"/>
    <hyperlink r:id="rId222" ref="AJ102"/>
    <hyperlink r:id="rId223" ref="AK102"/>
    <hyperlink r:id="rId224" ref="AI103"/>
    <hyperlink r:id="rId225" ref="AJ103"/>
    <hyperlink r:id="rId226" ref="AI104"/>
    <hyperlink r:id="rId227" ref="AI105"/>
    <hyperlink r:id="rId228" ref="AD106"/>
    <hyperlink r:id="rId229" ref="AE106"/>
    <hyperlink r:id="rId230" ref="AF106"/>
    <hyperlink r:id="rId231" ref="AI106"/>
    <hyperlink r:id="rId232" ref="AJ106"/>
    <hyperlink r:id="rId233" ref="AK106"/>
    <hyperlink r:id="rId234" ref="AI107"/>
    <hyperlink r:id="rId235" ref="AI108"/>
    <hyperlink r:id="rId236" ref="AI109"/>
    <hyperlink r:id="rId237" ref="AJ109"/>
    <hyperlink r:id="rId238" ref="AK109"/>
    <hyperlink r:id="rId239" ref="AI110"/>
    <hyperlink r:id="rId240" ref="AD111"/>
    <hyperlink r:id="rId241" ref="AI111"/>
    <hyperlink r:id="rId242" ref="AI112"/>
    <hyperlink r:id="rId243" ref="AD113"/>
    <hyperlink r:id="rId244" ref="AI113"/>
    <hyperlink r:id="rId245" ref="AJ113"/>
    <hyperlink r:id="rId246" ref="AK113"/>
    <hyperlink r:id="rId247" ref="AI114"/>
    <hyperlink r:id="rId248" ref="AI115"/>
    <hyperlink r:id="rId249" ref="AI116"/>
    <hyperlink r:id="rId250" ref="AI117"/>
    <hyperlink r:id="rId251" ref="AI118"/>
    <hyperlink r:id="rId252" ref="AI119"/>
    <hyperlink r:id="rId253" ref="AF120"/>
    <hyperlink r:id="rId254" ref="AI120"/>
    <hyperlink r:id="rId255" ref="AE121"/>
    <hyperlink r:id="rId256" location="h.yivmfousiz5i" ref="AF121"/>
    <hyperlink r:id="rId257" ref="AI121"/>
    <hyperlink r:id="rId258" ref="AI123"/>
    <hyperlink r:id="rId259" ref="AI124"/>
    <hyperlink r:id="rId260" ref="AI125"/>
    <hyperlink r:id="rId261" ref="AI126"/>
    <hyperlink r:id="rId262" ref="AI127"/>
    <hyperlink r:id="rId263" ref="AI128"/>
    <hyperlink r:id="rId264" ref="AJ128"/>
    <hyperlink r:id="rId265" ref="AK128"/>
    <hyperlink r:id="rId266" ref="AI129"/>
    <hyperlink r:id="rId267" ref="AJ129"/>
    <hyperlink r:id="rId268" ref="AI130"/>
    <hyperlink r:id="rId269" ref="AJ130"/>
    <hyperlink r:id="rId270" ref="AI131"/>
    <hyperlink r:id="rId271" ref="AJ131"/>
    <hyperlink r:id="rId272" ref="AI132"/>
    <hyperlink r:id="rId273" ref="AJ132"/>
    <hyperlink r:id="rId274" ref="AI133"/>
    <hyperlink r:id="rId275" ref="AJ133"/>
    <hyperlink r:id="rId276" ref="AI134"/>
    <hyperlink r:id="rId277" ref="AI135"/>
    <hyperlink r:id="rId278" ref="AI136"/>
    <hyperlink r:id="rId279" ref="AI139"/>
    <hyperlink r:id="rId280" ref="AI140"/>
    <hyperlink r:id="rId281" ref="AI141"/>
    <hyperlink r:id="rId282" ref="AI142"/>
    <hyperlink r:id="rId283" ref="AI143"/>
    <hyperlink r:id="rId284" ref="AI144"/>
    <hyperlink r:id="rId285" ref="AI145"/>
    <hyperlink r:id="rId286" ref="AI146"/>
    <hyperlink r:id="rId287" ref="AI147"/>
    <hyperlink r:id="rId288" ref="AI148"/>
    <hyperlink r:id="rId289" ref="AI149"/>
    <hyperlink r:id="rId290" ref="AI150"/>
    <hyperlink r:id="rId291" ref="AJ150"/>
    <hyperlink r:id="rId292" ref="AI151"/>
    <hyperlink r:id="rId293" ref="AI152"/>
    <hyperlink r:id="rId294" ref="AJ152"/>
    <hyperlink r:id="rId295" ref="AK152"/>
    <hyperlink r:id="rId296" ref="AI153"/>
    <hyperlink r:id="rId297" ref="AI154"/>
    <hyperlink r:id="rId298" ref="AI156"/>
    <hyperlink r:id="rId299" ref="AI157"/>
    <hyperlink r:id="rId300" ref="AI159"/>
    <hyperlink r:id="rId301" ref="AI160"/>
    <hyperlink r:id="rId302" ref="AI161"/>
    <hyperlink r:id="rId303" ref="AI162"/>
    <hyperlink r:id="rId304" ref="AI164"/>
    <hyperlink r:id="rId305" ref="AI165"/>
    <hyperlink r:id="rId306" ref="AI166"/>
    <hyperlink r:id="rId307" ref="AI168"/>
    <hyperlink r:id="rId308" ref="AI169"/>
    <hyperlink r:id="rId309" ref="AI170"/>
    <hyperlink r:id="rId310" ref="AI172"/>
    <hyperlink r:id="rId311" ref="AI173"/>
    <hyperlink r:id="rId312" ref="AJ173"/>
    <hyperlink r:id="rId313" ref="AI174"/>
    <hyperlink r:id="rId314" ref="AJ174"/>
    <hyperlink r:id="rId315" ref="AI175"/>
    <hyperlink r:id="rId316" ref="AJ175"/>
    <hyperlink r:id="rId317" ref="AK175"/>
    <hyperlink r:id="rId318" ref="AL175"/>
    <hyperlink r:id="rId319" ref="AI176"/>
    <hyperlink r:id="rId320" ref="AJ176"/>
    <hyperlink r:id="rId321" ref="AI177"/>
    <hyperlink r:id="rId322" ref="AJ177"/>
    <hyperlink r:id="rId323" ref="AI179"/>
    <hyperlink r:id="rId324" ref="AJ179"/>
    <hyperlink r:id="rId325" ref="AK179"/>
    <hyperlink r:id="rId326" ref="AI180"/>
    <hyperlink r:id="rId327" ref="AI181"/>
    <hyperlink r:id="rId328" ref="AJ181"/>
    <hyperlink r:id="rId329" ref="AK181"/>
    <hyperlink r:id="rId330" ref="AI184"/>
    <hyperlink r:id="rId331" ref="AJ184"/>
    <hyperlink r:id="rId332" ref="AK184"/>
    <hyperlink r:id="rId333" ref="AI185"/>
    <hyperlink r:id="rId334" ref="AI187"/>
    <hyperlink r:id="rId335" ref="AJ187"/>
    <hyperlink r:id="rId336" ref="AI188"/>
    <hyperlink r:id="rId337" ref="AI189"/>
    <hyperlink r:id="rId338" ref="AI190"/>
    <hyperlink r:id="rId339" ref="AJ190"/>
    <hyperlink r:id="rId340" ref="AK190"/>
    <hyperlink r:id="rId341" ref="AI191"/>
    <hyperlink r:id="rId342" ref="AJ191"/>
    <hyperlink r:id="rId343" ref="AK191"/>
    <hyperlink r:id="rId344" ref="AI192"/>
    <hyperlink r:id="rId345" ref="AJ192"/>
    <hyperlink r:id="rId346" ref="AI193"/>
    <hyperlink r:id="rId347" ref="AD194"/>
    <hyperlink r:id="rId348" ref="AI194"/>
    <hyperlink r:id="rId349" ref="AI195"/>
    <hyperlink r:id="rId350" ref="AI196"/>
    <hyperlink r:id="rId351" ref="AI197"/>
    <hyperlink r:id="rId352" ref="AI200"/>
    <hyperlink r:id="rId353" ref="AI201"/>
    <hyperlink r:id="rId354" ref="AI202"/>
    <hyperlink r:id="rId355" ref="AJ202"/>
    <hyperlink r:id="rId356" ref="AK202"/>
    <hyperlink r:id="rId357" ref="AL202"/>
    <hyperlink r:id="rId358" ref="AM202"/>
    <hyperlink r:id="rId359" ref="AN202"/>
    <hyperlink r:id="rId360" ref="AO202"/>
    <hyperlink r:id="rId361" ref="AP202"/>
    <hyperlink r:id="rId362" ref="AI203"/>
    <hyperlink r:id="rId363" ref="AI204"/>
    <hyperlink r:id="rId364" ref="AJ204"/>
    <hyperlink r:id="rId365" ref="AF205"/>
    <hyperlink r:id="rId366" ref="AI205"/>
    <hyperlink r:id="rId367" ref="AJ205"/>
    <hyperlink r:id="rId368" ref="AK205"/>
    <hyperlink r:id="rId369" ref="AI206"/>
    <hyperlink r:id="rId370" ref="AI207"/>
    <hyperlink r:id="rId371" ref="AI208"/>
    <hyperlink r:id="rId372" ref="AI209"/>
    <hyperlink r:id="rId373" ref="AJ209"/>
    <hyperlink r:id="rId374" ref="AK209"/>
    <hyperlink r:id="rId375" ref="AL209"/>
    <hyperlink r:id="rId376" ref="AM209"/>
    <hyperlink r:id="rId377" ref="AI210"/>
    <hyperlink r:id="rId378" ref="AJ210"/>
    <hyperlink r:id="rId379" ref="AK210"/>
    <hyperlink r:id="rId380" ref="AL210"/>
    <hyperlink r:id="rId381" ref="AI211"/>
    <hyperlink r:id="rId382" ref="AJ211"/>
    <hyperlink r:id="rId383" ref="AI213"/>
    <hyperlink r:id="rId384" ref="AJ213"/>
    <hyperlink r:id="rId385" ref="AK213"/>
    <hyperlink r:id="rId386" location=":~:text=A%20company%20called%20Project%20Turbo,relied%20substantially%20on%20evaporative%20cooling." ref="AD214"/>
    <hyperlink r:id="rId387" ref="AI214"/>
    <hyperlink r:id="rId388" ref="AJ214"/>
    <hyperlink r:id="rId389" ref="AK214"/>
    <hyperlink r:id="rId390" ref="AI215"/>
    <hyperlink r:id="rId391" ref="AD216"/>
    <hyperlink r:id="rId392" ref="AI216"/>
    <hyperlink r:id="rId393" ref="AJ216"/>
    <hyperlink r:id="rId394" ref="AI217"/>
    <hyperlink r:id="rId395" ref="AJ217"/>
    <hyperlink r:id="rId396" ref="AK217"/>
    <hyperlink r:id="rId397" ref="AI218"/>
    <hyperlink r:id="rId398" ref="AJ218"/>
    <hyperlink r:id="rId399" ref="AK218"/>
    <hyperlink r:id="rId400" ref="AL218"/>
    <hyperlink r:id="rId401" ref="AI219"/>
    <hyperlink r:id="rId402" ref="AI220"/>
    <hyperlink r:id="rId403" ref="AJ220"/>
    <hyperlink r:id="rId404" ref="AI221"/>
    <hyperlink r:id="rId405" ref="AF222"/>
    <hyperlink r:id="rId406" ref="AI222"/>
    <hyperlink r:id="rId407" ref="AF223"/>
    <hyperlink r:id="rId408" ref="AD224"/>
    <hyperlink r:id="rId409" ref="AE224"/>
    <hyperlink r:id="rId410" ref="AI224"/>
    <hyperlink r:id="rId411" ref="AD225"/>
    <hyperlink r:id="rId412" ref="AI225"/>
    <hyperlink r:id="rId413" ref="AJ225"/>
    <hyperlink r:id="rId414" ref="AK225"/>
    <hyperlink r:id="rId415" ref="AI226"/>
    <hyperlink r:id="rId416" ref="AI227"/>
    <hyperlink r:id="rId417" ref="AJ227"/>
    <hyperlink r:id="rId418" ref="AK227"/>
    <hyperlink r:id="rId419" ref="AI228"/>
    <hyperlink r:id="rId420" ref="AI229"/>
    <hyperlink r:id="rId421" ref="AI230"/>
    <hyperlink r:id="rId422" ref="AI232"/>
    <hyperlink r:id="rId423" ref="AI235"/>
    <hyperlink r:id="rId424" ref="AJ235"/>
    <hyperlink r:id="rId425" ref="AI236"/>
    <hyperlink r:id="rId426" ref="AI237"/>
    <hyperlink r:id="rId427" ref="AI238"/>
    <hyperlink r:id="rId428" ref="AI239"/>
    <hyperlink r:id="rId429" ref="AJ239"/>
    <hyperlink r:id="rId430" ref="AI240"/>
    <hyperlink r:id="rId431" ref="AJ240"/>
    <hyperlink r:id="rId432" ref="AK240"/>
    <hyperlink r:id="rId433" ref="AI241"/>
    <hyperlink r:id="rId434" ref="AI242"/>
    <hyperlink r:id="rId435" ref="AJ242"/>
    <hyperlink r:id="rId436" ref="AI243"/>
    <hyperlink r:id="rId437" ref="AJ243"/>
    <hyperlink r:id="rId438" ref="AK243"/>
    <hyperlink r:id="rId439" ref="AI245"/>
    <hyperlink r:id="rId440" ref="AI246"/>
    <hyperlink r:id="rId441" ref="AI247"/>
    <hyperlink r:id="rId442" ref="AI248"/>
    <hyperlink r:id="rId443" ref="AD249"/>
    <hyperlink r:id="rId444" ref="AE249"/>
    <hyperlink r:id="rId445" ref="AI249"/>
    <hyperlink r:id="rId446" ref="AJ249"/>
    <hyperlink r:id="rId447" ref="AK249"/>
    <hyperlink r:id="rId448" ref="AI250"/>
    <hyperlink r:id="rId449" ref="AD251"/>
    <hyperlink r:id="rId450" ref="AI251"/>
    <hyperlink r:id="rId451" ref="AJ251"/>
    <hyperlink r:id="rId452" ref="AK251"/>
    <hyperlink r:id="rId453" ref="AI252"/>
    <hyperlink r:id="rId454" ref="AI253"/>
    <hyperlink r:id="rId455" ref="AI255"/>
    <hyperlink r:id="rId456" ref="AJ255"/>
    <hyperlink r:id="rId457" ref="AK255"/>
    <hyperlink r:id="rId458" ref="AI256"/>
    <hyperlink r:id="rId459" ref="AI257"/>
    <hyperlink r:id="rId460" ref="AI258"/>
    <hyperlink r:id="rId461" ref="AJ258"/>
    <hyperlink r:id="rId462" ref="AI259"/>
    <hyperlink r:id="rId463" ref="AD260"/>
    <hyperlink r:id="rId464" ref="AI260"/>
    <hyperlink r:id="rId465" ref="AJ260"/>
    <hyperlink r:id="rId466" ref="AK260"/>
    <hyperlink r:id="rId467" ref="AI261"/>
    <hyperlink r:id="rId468" ref="AI262"/>
    <hyperlink r:id="rId469" ref="AI263"/>
    <hyperlink r:id="rId470" ref="AI264"/>
    <hyperlink r:id="rId471" ref="AI265"/>
    <hyperlink r:id="rId472" ref="AI266"/>
    <hyperlink r:id="rId473" ref="AI267"/>
    <hyperlink r:id="rId474" ref="AI270"/>
    <hyperlink r:id="rId475" ref="AJ270"/>
    <hyperlink r:id="rId476" ref="AI271"/>
    <hyperlink r:id="rId477" ref="AI273"/>
    <hyperlink r:id="rId478" ref="AI274"/>
    <hyperlink r:id="rId479" ref="AJ274"/>
    <hyperlink r:id="rId480" ref="AI275"/>
    <hyperlink r:id="rId481" ref="AJ275"/>
    <hyperlink r:id="rId482" ref="AI276"/>
    <hyperlink r:id="rId483" ref="AD277"/>
    <hyperlink r:id="rId484" ref="AE277"/>
    <hyperlink r:id="rId485" ref="AF277"/>
    <hyperlink r:id="rId486" ref="AI277"/>
    <hyperlink r:id="rId487" ref="AJ277"/>
    <hyperlink r:id="rId488" ref="AK277"/>
    <hyperlink r:id="rId489" ref="AI278"/>
    <hyperlink r:id="rId490" ref="AI279"/>
    <hyperlink r:id="rId491" ref="AJ279"/>
    <hyperlink r:id="rId492" ref="AI280"/>
    <hyperlink r:id="rId493" ref="AI281"/>
    <hyperlink r:id="rId494" ref="AI282"/>
    <hyperlink r:id="rId495" ref="AJ282"/>
    <hyperlink r:id="rId496" ref="AI283"/>
    <hyperlink r:id="rId497" ref="AI285"/>
    <hyperlink r:id="rId498" ref="AI286"/>
    <hyperlink r:id="rId499" ref="AJ286"/>
    <hyperlink r:id="rId500" ref="AI287"/>
    <hyperlink r:id="rId501" ref="AJ287"/>
    <hyperlink r:id="rId502" ref="AI288"/>
    <hyperlink r:id="rId503" ref="AI289"/>
    <hyperlink r:id="rId504" ref="AI290"/>
    <hyperlink r:id="rId505" ref="AJ290"/>
    <hyperlink r:id="rId506" ref="AI291"/>
    <hyperlink r:id="rId507" ref="AI292"/>
    <hyperlink r:id="rId508" ref="AI293"/>
    <hyperlink r:id="rId509" ref="AJ293"/>
    <hyperlink r:id="rId510" ref="AI294"/>
    <hyperlink r:id="rId511" ref="AI295"/>
    <hyperlink r:id="rId512" ref="AI296"/>
    <hyperlink r:id="rId513" ref="AJ296"/>
    <hyperlink r:id="rId514" ref="AI297"/>
    <hyperlink r:id="rId515" ref="AI298"/>
    <hyperlink r:id="rId516" ref="AI300"/>
    <hyperlink r:id="rId517" ref="AJ300"/>
    <hyperlink r:id="rId518" ref="AI301"/>
    <hyperlink r:id="rId519" ref="AJ301"/>
    <hyperlink r:id="rId520" ref="AI302"/>
    <hyperlink r:id="rId521" ref="AI303"/>
    <hyperlink r:id="rId522" ref="AI304"/>
    <hyperlink r:id="rId523" ref="AJ304"/>
    <hyperlink r:id="rId524" ref="AI305"/>
    <hyperlink r:id="rId525" ref="AJ305"/>
    <hyperlink r:id="rId526" ref="AK305"/>
    <hyperlink r:id="rId527" ref="AI306"/>
    <hyperlink r:id="rId528" ref="AJ306"/>
    <hyperlink r:id="rId529" ref="AF307"/>
    <hyperlink r:id="rId530" ref="AI307"/>
    <hyperlink r:id="rId531" ref="AI308"/>
    <hyperlink r:id="rId532" ref="AJ308"/>
    <hyperlink r:id="rId533" ref="AK308"/>
    <hyperlink r:id="rId534" ref="AI309"/>
    <hyperlink r:id="rId535" ref="AJ309"/>
    <hyperlink r:id="rId536" ref="AI310"/>
    <hyperlink r:id="rId537" ref="AI311"/>
    <hyperlink r:id="rId538" ref="AJ311"/>
    <hyperlink r:id="rId539" ref="AI312"/>
    <hyperlink r:id="rId540" ref="AJ312"/>
    <hyperlink r:id="rId541" ref="AI313"/>
    <hyperlink r:id="rId542" ref="AF314"/>
    <hyperlink r:id="rId543" ref="AI314"/>
    <hyperlink r:id="rId544" ref="AI315"/>
    <hyperlink r:id="rId545" ref="AI316"/>
    <hyperlink r:id="rId546" ref="AI317"/>
    <hyperlink r:id="rId547" ref="AD318"/>
    <hyperlink r:id="rId548" ref="AF318"/>
    <hyperlink r:id="rId549" ref="AI318"/>
    <hyperlink r:id="rId550" ref="AJ318"/>
    <hyperlink r:id="rId551" ref="AI319"/>
    <hyperlink r:id="rId552" ref="AF320"/>
    <hyperlink r:id="rId553" ref="AI320"/>
    <hyperlink r:id="rId554" ref="AI321"/>
    <hyperlink r:id="rId555" ref="AI322"/>
    <hyperlink r:id="rId556" ref="AI323"/>
    <hyperlink r:id="rId557" ref="AJ323"/>
    <hyperlink r:id="rId558" ref="AI324"/>
    <hyperlink r:id="rId559" ref="AI325"/>
    <hyperlink r:id="rId560" ref="AJ325"/>
    <hyperlink r:id="rId561" ref="AK325"/>
    <hyperlink r:id="rId562" ref="AI326"/>
    <hyperlink r:id="rId563" ref="AJ326"/>
    <hyperlink r:id="rId564" ref="AI327"/>
    <hyperlink r:id="rId565" ref="AI328"/>
    <hyperlink r:id="rId566" ref="AI329"/>
    <hyperlink r:id="rId567" ref="AI330"/>
    <hyperlink r:id="rId568" ref="AI331"/>
    <hyperlink r:id="rId569" ref="AI332"/>
    <hyperlink r:id="rId570" ref="AI333"/>
    <hyperlink r:id="rId571" ref="AI334"/>
    <hyperlink r:id="rId572" ref="AJ334"/>
    <hyperlink r:id="rId573" ref="AK334"/>
    <hyperlink r:id="rId574" ref="AI335"/>
    <hyperlink r:id="rId575" ref="AI336"/>
    <hyperlink r:id="rId576" ref="AI337"/>
    <hyperlink r:id="rId577" ref="AJ337"/>
    <hyperlink r:id="rId578" ref="AK337"/>
    <hyperlink r:id="rId579" ref="AI338"/>
    <hyperlink r:id="rId580" ref="AJ338"/>
    <hyperlink r:id="rId581" ref="AI339"/>
    <hyperlink r:id="rId582" ref="AI340"/>
    <hyperlink r:id="rId583" ref="AI341"/>
    <hyperlink r:id="rId584" ref="AJ341"/>
    <hyperlink r:id="rId585" ref="AF342"/>
    <hyperlink r:id="rId586" ref="AI342"/>
    <hyperlink r:id="rId587" ref="AJ342"/>
    <hyperlink r:id="rId588" ref="AK342"/>
    <hyperlink r:id="rId589" ref="AL342"/>
    <hyperlink r:id="rId590" ref="AI343"/>
    <hyperlink r:id="rId591" ref="AI344"/>
    <hyperlink r:id="rId592" ref="AI345"/>
    <hyperlink r:id="rId593" ref="AI346"/>
    <hyperlink r:id="rId594" ref="AI347"/>
    <hyperlink r:id="rId595" ref="AI348"/>
    <hyperlink r:id="rId596" ref="AI349"/>
    <hyperlink r:id="rId597" ref="AF350"/>
    <hyperlink r:id="rId598" ref="AI350"/>
    <hyperlink r:id="rId599" ref="AJ350"/>
    <hyperlink r:id="rId600" ref="AI351"/>
    <hyperlink r:id="rId601" ref="AJ351"/>
    <hyperlink r:id="rId602" ref="AI352"/>
    <hyperlink r:id="rId603" ref="AI353"/>
    <hyperlink r:id="rId604" ref="AI354"/>
    <hyperlink r:id="rId605" ref="AI355"/>
    <hyperlink r:id="rId606" ref="AJ355"/>
    <hyperlink r:id="rId607" ref="AI356"/>
    <hyperlink r:id="rId608" ref="AJ356"/>
    <hyperlink r:id="rId609" ref="AI358"/>
    <hyperlink r:id="rId610" ref="AJ358"/>
    <hyperlink r:id="rId611" ref="AI359"/>
    <hyperlink r:id="rId612" ref="AI360"/>
    <hyperlink r:id="rId613" ref="AI361"/>
    <hyperlink r:id="rId614" ref="AJ361"/>
    <hyperlink r:id="rId615" ref="AK361"/>
    <hyperlink r:id="rId616" ref="AL361"/>
    <hyperlink r:id="rId617" ref="AI362"/>
    <hyperlink r:id="rId618" ref="AI363"/>
    <hyperlink r:id="rId619" ref="AD364"/>
    <hyperlink r:id="rId620" ref="AF364"/>
    <hyperlink r:id="rId621" ref="AI364"/>
    <hyperlink r:id="rId622" ref="AJ364"/>
    <hyperlink r:id="rId623" ref="AK364"/>
    <hyperlink r:id="rId624" ref="AI365"/>
    <hyperlink r:id="rId625" ref="AI366"/>
    <hyperlink r:id="rId626" ref="AI367"/>
    <hyperlink r:id="rId627" ref="AI368"/>
    <hyperlink r:id="rId628" ref="AJ368"/>
    <hyperlink r:id="rId629" ref="AK368"/>
    <hyperlink r:id="rId630" ref="AD369"/>
    <hyperlink r:id="rId631" ref="AE369"/>
    <hyperlink r:id="rId632" ref="AF369"/>
    <hyperlink r:id="rId633" ref="AI369"/>
    <hyperlink r:id="rId634" ref="AJ369"/>
    <hyperlink r:id="rId635" ref="AK369"/>
    <hyperlink r:id="rId636" ref="AL369"/>
    <hyperlink r:id="rId637" ref="AD370"/>
    <hyperlink r:id="rId638" ref="AI370"/>
    <hyperlink r:id="rId639" ref="AD371"/>
    <hyperlink r:id="rId640" ref="AI371"/>
    <hyperlink r:id="rId641" ref="AJ371"/>
    <hyperlink r:id="rId642" ref="AK371"/>
    <hyperlink r:id="rId643" ref="AL371"/>
    <hyperlink r:id="rId644" ref="AI372"/>
    <hyperlink r:id="rId645" ref="AI373"/>
    <hyperlink r:id="rId646" ref="AF374"/>
    <hyperlink r:id="rId647" ref="AI374"/>
    <hyperlink r:id="rId648" ref="AJ374"/>
    <hyperlink r:id="rId649" ref="AI375"/>
    <hyperlink r:id="rId650" ref="AI376"/>
    <hyperlink r:id="rId651" ref="AJ376"/>
    <hyperlink r:id="rId652" ref="AI377"/>
    <hyperlink r:id="rId653" ref="AJ377"/>
    <hyperlink r:id="rId654" ref="AK377"/>
    <hyperlink r:id="rId655" ref="AI378"/>
    <hyperlink r:id="rId656" ref="AJ378"/>
    <hyperlink r:id="rId657" ref="AK378"/>
    <hyperlink r:id="rId658" ref="AI379"/>
    <hyperlink r:id="rId659" ref="AJ379"/>
    <hyperlink r:id="rId660" ref="AI380"/>
    <hyperlink r:id="rId661" ref="AJ380"/>
    <hyperlink r:id="rId662" ref="AI381"/>
    <hyperlink r:id="rId663" ref="AJ381"/>
    <hyperlink r:id="rId664" ref="AI382"/>
    <hyperlink r:id="rId665" ref="AJ382"/>
    <hyperlink r:id="rId666" ref="AI383"/>
    <hyperlink r:id="rId667" ref="AJ383"/>
    <hyperlink r:id="rId668" ref="AK383"/>
    <hyperlink r:id="rId669" ref="AL383"/>
    <hyperlink r:id="rId670" ref="AM383"/>
    <hyperlink r:id="rId671" ref="AI384"/>
    <hyperlink r:id="rId672" ref="AJ384"/>
    <hyperlink r:id="rId673" ref="AI385"/>
    <hyperlink r:id="rId674" ref="AJ385"/>
    <hyperlink r:id="rId675" ref="AK385"/>
    <hyperlink r:id="rId676" ref="AL385"/>
    <hyperlink r:id="rId677" ref="AM385"/>
    <hyperlink r:id="rId678" ref="AN385"/>
    <hyperlink r:id="rId679" ref="AI386"/>
    <hyperlink r:id="rId680" ref="AJ386"/>
    <hyperlink r:id="rId681" ref="AK386"/>
    <hyperlink r:id="rId682" ref="AL386"/>
    <hyperlink r:id="rId683" ref="AM386"/>
    <hyperlink r:id="rId684" ref="AN386"/>
    <hyperlink r:id="rId685" ref="AI387"/>
    <hyperlink r:id="rId686" ref="AJ387"/>
    <hyperlink r:id="rId687" ref="AK387"/>
    <hyperlink r:id="rId688" ref="AL387"/>
    <hyperlink r:id="rId689" ref="AM387"/>
    <hyperlink r:id="rId690" ref="AN387"/>
    <hyperlink r:id="rId691" ref="AF388"/>
    <hyperlink r:id="rId692" ref="AI388"/>
    <hyperlink r:id="rId693" ref="AJ388"/>
    <hyperlink r:id="rId694" ref="AI389"/>
    <hyperlink r:id="rId695" ref="AF390"/>
    <hyperlink r:id="rId696" ref="AI390"/>
    <hyperlink r:id="rId697" ref="AI391"/>
    <hyperlink r:id="rId698" ref="AJ391"/>
    <hyperlink r:id="rId699" ref="AI392"/>
    <hyperlink r:id="rId700" ref="AJ392"/>
    <hyperlink r:id="rId701" ref="AI393"/>
    <hyperlink r:id="rId702" ref="AJ393"/>
    <hyperlink r:id="rId703" ref="AI394"/>
    <hyperlink r:id="rId704" ref="AI395"/>
    <hyperlink r:id="rId705" ref="AJ395"/>
    <hyperlink r:id="rId706" ref="AK395"/>
    <hyperlink r:id="rId707" ref="AI396"/>
    <hyperlink r:id="rId708" ref="AI397"/>
    <hyperlink r:id="rId709" ref="AJ397"/>
    <hyperlink r:id="rId710" ref="AK397"/>
    <hyperlink r:id="rId711" ref="AL397"/>
    <hyperlink r:id="rId712" ref="AI398"/>
    <hyperlink r:id="rId713" ref="AJ398"/>
    <hyperlink r:id="rId714" ref="AI399"/>
    <hyperlink r:id="rId715" ref="AD400"/>
    <hyperlink r:id="rId716" ref="AI400"/>
    <hyperlink r:id="rId717" ref="AJ400"/>
    <hyperlink r:id="rId718" ref="AK400"/>
    <hyperlink r:id="rId719" ref="AI401"/>
    <hyperlink r:id="rId720" ref="AI402"/>
    <hyperlink r:id="rId721" ref="AJ402"/>
    <hyperlink r:id="rId722" ref="AI403"/>
    <hyperlink r:id="rId723" ref="AI404"/>
    <hyperlink r:id="rId724" ref="AI405"/>
    <hyperlink r:id="rId725" ref="AJ405"/>
    <hyperlink r:id="rId726" ref="AK405"/>
    <hyperlink r:id="rId727" ref="AI406"/>
    <hyperlink r:id="rId728" ref="AJ406"/>
    <hyperlink r:id="rId729" ref="AK406"/>
    <hyperlink r:id="rId730" ref="AI407"/>
    <hyperlink r:id="rId731" ref="AF408"/>
    <hyperlink r:id="rId732" ref="AI408"/>
    <hyperlink r:id="rId733" ref="AI409"/>
    <hyperlink r:id="rId734" ref="AJ409"/>
    <hyperlink r:id="rId735" ref="AK409"/>
    <hyperlink r:id="rId736" ref="AD410"/>
    <hyperlink r:id="rId737" ref="AF410"/>
    <hyperlink r:id="rId738" ref="AI410"/>
    <hyperlink r:id="rId739" ref="AJ410"/>
    <hyperlink r:id="rId740" ref="AK410"/>
    <hyperlink r:id="rId741" ref="AL410"/>
    <hyperlink r:id="rId742" ref="AI411"/>
    <hyperlink r:id="rId743" ref="AJ411"/>
    <hyperlink r:id="rId744" ref="AK411"/>
    <hyperlink r:id="rId745" ref="AD412"/>
    <hyperlink r:id="rId746" ref="AI412"/>
    <hyperlink r:id="rId747" ref="AI413"/>
    <hyperlink r:id="rId748" ref="AJ413"/>
    <hyperlink r:id="rId749" ref="AK413"/>
    <hyperlink r:id="rId750" ref="AL413"/>
    <hyperlink r:id="rId751" ref="AM413"/>
    <hyperlink r:id="rId752" ref="AN413"/>
    <hyperlink r:id="rId753" ref="AI414"/>
    <hyperlink r:id="rId754" ref="AI415"/>
    <hyperlink r:id="rId755" ref="AJ415"/>
    <hyperlink r:id="rId756" ref="AK415"/>
    <hyperlink r:id="rId757" ref="AI416"/>
    <hyperlink r:id="rId758" ref="AJ416"/>
    <hyperlink r:id="rId759" ref="AK416"/>
    <hyperlink r:id="rId760" ref="AI417"/>
    <hyperlink r:id="rId761" ref="AJ417"/>
    <hyperlink r:id="rId762" ref="AK417"/>
    <hyperlink r:id="rId763" ref="AL417"/>
    <hyperlink r:id="rId764" ref="AI418"/>
    <hyperlink r:id="rId765" ref="AJ418"/>
    <hyperlink r:id="rId766" ref="AI419"/>
    <hyperlink r:id="rId767" ref="AJ419"/>
    <hyperlink r:id="rId768" ref="AI420"/>
    <hyperlink r:id="rId769" ref="AI421"/>
    <hyperlink r:id="rId770" ref="AI422"/>
    <hyperlink r:id="rId771" ref="AD423"/>
    <hyperlink r:id="rId772" ref="AI423"/>
    <hyperlink r:id="rId773" ref="AJ423"/>
    <hyperlink r:id="rId774" ref="AK423"/>
    <hyperlink r:id="rId775" ref="AL423"/>
    <hyperlink r:id="rId776" ref="AE424"/>
    <hyperlink r:id="rId777" ref="AI424"/>
    <hyperlink r:id="rId778" ref="AJ424"/>
    <hyperlink r:id="rId779" ref="AK424"/>
    <hyperlink r:id="rId780" ref="AL424"/>
    <hyperlink r:id="rId781" ref="AM424"/>
    <hyperlink r:id="rId782" ref="AN424"/>
    <hyperlink r:id="rId783" ref="AO424"/>
    <hyperlink r:id="rId784" ref="AP424"/>
    <hyperlink r:id="rId785" ref="AI425"/>
    <hyperlink r:id="rId786" ref="AI426"/>
    <hyperlink r:id="rId787" ref="AI427"/>
    <hyperlink r:id="rId788" ref="AJ427"/>
    <hyperlink r:id="rId789" ref="AK427"/>
    <hyperlink r:id="rId790" ref="AI428"/>
    <hyperlink r:id="rId791" ref="AI429"/>
    <hyperlink r:id="rId792" ref="AJ429"/>
    <hyperlink r:id="rId793" ref="AI430"/>
    <hyperlink r:id="rId794" ref="AI431"/>
    <hyperlink r:id="rId795" ref="AJ431"/>
    <hyperlink r:id="rId796" ref="AK431"/>
    <hyperlink r:id="rId797" ref="AL431"/>
    <hyperlink r:id="rId798" ref="AM431"/>
    <hyperlink r:id="rId799" ref="AN431"/>
    <hyperlink r:id="rId800" ref="AI432"/>
    <hyperlink r:id="rId801" ref="AI433"/>
    <hyperlink r:id="rId802" ref="AJ433"/>
    <hyperlink r:id="rId803" ref="AI434"/>
    <hyperlink r:id="rId804" ref="AI435"/>
    <hyperlink r:id="rId805" ref="AD436"/>
    <hyperlink r:id="rId806" ref="AE436"/>
    <hyperlink r:id="rId807" ref="AI436"/>
    <hyperlink r:id="rId808" ref="AJ436"/>
    <hyperlink r:id="rId809" ref="AI437"/>
    <hyperlink r:id="rId810" ref="AD438"/>
    <hyperlink r:id="rId811" ref="AF438"/>
    <hyperlink r:id="rId812" ref="AI438"/>
    <hyperlink r:id="rId813" ref="AJ438"/>
    <hyperlink r:id="rId814" ref="AK438"/>
    <hyperlink r:id="rId815" ref="AF439"/>
    <hyperlink r:id="rId816" ref="AI439"/>
    <hyperlink r:id="rId817" ref="AJ439"/>
    <hyperlink r:id="rId818" ref="AK439"/>
    <hyperlink r:id="rId819" ref="AL439"/>
    <hyperlink r:id="rId820" ref="AI440"/>
    <hyperlink r:id="rId821" ref="AI441"/>
    <hyperlink r:id="rId822" ref="AD442"/>
    <hyperlink r:id="rId823" ref="AF442"/>
    <hyperlink r:id="rId824" ref="AI442"/>
    <hyperlink r:id="rId825" ref="AI443"/>
    <hyperlink r:id="rId826" ref="AI444"/>
    <hyperlink r:id="rId827" ref="AI445"/>
    <hyperlink r:id="rId828" ref="AI446"/>
    <hyperlink r:id="rId829" ref="AI447"/>
    <hyperlink r:id="rId830" ref="AD448"/>
    <hyperlink r:id="rId831" ref="AI448"/>
    <hyperlink r:id="rId832" ref="AD449"/>
    <hyperlink r:id="rId833" ref="AI449"/>
    <hyperlink r:id="rId834" ref="AJ449"/>
    <hyperlink r:id="rId835" ref="AK449"/>
    <hyperlink r:id="rId836" ref="AI450"/>
    <hyperlink r:id="rId837" ref="AI451"/>
    <hyperlink r:id="rId838" ref="AD452"/>
    <hyperlink r:id="rId839" ref="AF452"/>
    <hyperlink r:id="rId840" ref="AI452"/>
    <hyperlink r:id="rId841" location="collapse23880b2" ref="AJ452"/>
    <hyperlink r:id="rId842" ref="AK452"/>
    <hyperlink r:id="rId843" ref="AL452"/>
    <hyperlink r:id="rId844" ref="AM452"/>
    <hyperlink r:id="rId845" ref="AI453"/>
    <hyperlink r:id="rId846" ref="AI454"/>
    <hyperlink r:id="rId847" ref="AJ454"/>
    <hyperlink r:id="rId848" ref="AK454"/>
    <hyperlink r:id="rId849" ref="AL454"/>
    <hyperlink r:id="rId850" ref="AI455"/>
    <hyperlink r:id="rId851" ref="AJ455"/>
    <hyperlink r:id="rId852" ref="AK455"/>
    <hyperlink r:id="rId853" ref="AI456"/>
    <hyperlink r:id="rId854" ref="AI457"/>
    <hyperlink r:id="rId855" ref="AI458"/>
    <hyperlink r:id="rId856" ref="AD459"/>
    <hyperlink r:id="rId857" ref="AI459"/>
    <hyperlink r:id="rId858" ref="AJ459"/>
    <hyperlink r:id="rId859" ref="AK459"/>
    <hyperlink r:id="rId860" ref="AI460"/>
    <hyperlink r:id="rId861" ref="AI461"/>
    <hyperlink r:id="rId862" ref="AJ461"/>
    <hyperlink r:id="rId863" ref="AK461"/>
    <hyperlink r:id="rId864" ref="AL461"/>
    <hyperlink r:id="rId865" ref="AM461"/>
    <hyperlink r:id="rId866" ref="AF462"/>
    <hyperlink r:id="rId867" ref="AI462"/>
    <hyperlink r:id="rId868" ref="AI463"/>
    <hyperlink r:id="rId869" ref="AJ463"/>
    <hyperlink r:id="rId870" ref="AK463"/>
    <hyperlink r:id="rId871" ref="AL463"/>
    <hyperlink r:id="rId872" ref="AD464"/>
    <hyperlink r:id="rId873" ref="AE464"/>
    <hyperlink r:id="rId874" ref="AF464"/>
    <hyperlink r:id="rId875" ref="AI464"/>
    <hyperlink r:id="rId876" ref="AJ464"/>
    <hyperlink r:id="rId877" ref="AK464"/>
    <hyperlink r:id="rId878" ref="AL464"/>
    <hyperlink r:id="rId879" ref="AM464"/>
    <hyperlink r:id="rId880" ref="AN464"/>
    <hyperlink r:id="rId881" ref="AO464"/>
    <hyperlink r:id="rId882" ref="AP464"/>
    <hyperlink r:id="rId883" ref="AI465"/>
    <hyperlink r:id="rId884" ref="AI466"/>
    <hyperlink r:id="rId885" ref="AD467"/>
    <hyperlink r:id="rId886" ref="AI467"/>
    <hyperlink r:id="rId887" ref="AJ467"/>
    <hyperlink r:id="rId888" ref="AI468"/>
    <hyperlink r:id="rId889" ref="AJ468"/>
    <hyperlink r:id="rId890" ref="AK468"/>
    <hyperlink r:id="rId891" ref="AI469"/>
    <hyperlink r:id="rId892" ref="AJ469"/>
    <hyperlink r:id="rId893" ref="AK469"/>
    <hyperlink r:id="rId894" ref="AL469"/>
    <hyperlink r:id="rId895" ref="AD470"/>
    <hyperlink r:id="rId896" ref="AE470"/>
    <hyperlink r:id="rId897" ref="AF470"/>
    <hyperlink r:id="rId898" ref="AI470"/>
    <hyperlink r:id="rId899" ref="AJ470"/>
    <hyperlink r:id="rId900" ref="AK470"/>
    <hyperlink r:id="rId901" ref="AL470"/>
    <hyperlink r:id="rId902" ref="AM470"/>
    <hyperlink r:id="rId903" ref="AI471"/>
    <hyperlink r:id="rId904" ref="AI472"/>
    <hyperlink r:id="rId905" ref="AJ472"/>
    <hyperlink r:id="rId906" ref="AD473"/>
    <hyperlink r:id="rId907" ref="AI473"/>
    <hyperlink r:id="rId908" ref="AJ473"/>
    <hyperlink r:id="rId909" ref="AK473"/>
    <hyperlink r:id="rId910" ref="AL473"/>
    <hyperlink r:id="rId911" ref="AM473"/>
    <hyperlink r:id="rId912" ref="AN473"/>
    <hyperlink r:id="rId913" ref="AO473"/>
    <hyperlink r:id="rId914" ref="AI474"/>
    <hyperlink r:id="rId915" ref="AJ474"/>
    <hyperlink r:id="rId916" ref="AD475"/>
    <hyperlink r:id="rId917" ref="AE475"/>
    <hyperlink r:id="rId918" ref="AI475"/>
    <hyperlink r:id="rId919" ref="AJ475"/>
    <hyperlink r:id="rId920" ref="AK475"/>
    <hyperlink r:id="rId921" ref="AL475"/>
    <hyperlink r:id="rId922" ref="AM475"/>
    <hyperlink r:id="rId923" ref="AN475"/>
    <hyperlink r:id="rId924" ref="AO475"/>
    <hyperlink r:id="rId925" ref="AF476"/>
    <hyperlink r:id="rId926" ref="AI476"/>
    <hyperlink r:id="rId927" ref="AJ476"/>
    <hyperlink r:id="rId928" ref="AK476"/>
    <hyperlink r:id="rId929" ref="AL476"/>
    <hyperlink r:id="rId930" ref="AM476"/>
    <hyperlink r:id="rId931" ref="AN476"/>
    <hyperlink r:id="rId932" ref="AO476"/>
    <hyperlink r:id="rId933" ref="AD477"/>
    <hyperlink r:id="rId934" ref="AI477"/>
    <hyperlink r:id="rId935" ref="AI478"/>
    <hyperlink r:id="rId936" ref="AJ478"/>
    <hyperlink r:id="rId937" ref="AK478"/>
    <hyperlink r:id="rId938" ref="AL478"/>
    <hyperlink r:id="rId939" ref="AM478"/>
    <hyperlink r:id="rId940" ref="AI479"/>
    <hyperlink r:id="rId941" ref="AJ479"/>
    <hyperlink r:id="rId942" ref="AK479"/>
    <hyperlink r:id="rId943" ref="AI480"/>
    <hyperlink r:id="rId944" ref="AJ480"/>
    <hyperlink r:id="rId945" ref="AI481"/>
    <hyperlink r:id="rId946" ref="AI482"/>
    <hyperlink r:id="rId947" ref="AI483"/>
    <hyperlink r:id="rId948" ref="AI484"/>
    <hyperlink r:id="rId949" ref="AD485"/>
    <hyperlink r:id="rId950" ref="AF485"/>
    <hyperlink r:id="rId951" ref="AI485"/>
    <hyperlink r:id="rId952" location="1760042903195-d604f6bd-60cc" ref="AJ485"/>
    <hyperlink r:id="rId953" ref="AK485"/>
    <hyperlink r:id="rId954" ref="AL485"/>
    <hyperlink r:id="rId955" ref="AM485"/>
    <hyperlink r:id="rId956" ref="AN485"/>
    <hyperlink r:id="rId957" ref="AO485"/>
    <hyperlink r:id="rId958" ref="AP485"/>
    <hyperlink r:id="rId959" ref="AI486"/>
    <hyperlink r:id="rId960" ref="AF487"/>
    <hyperlink r:id="rId961" ref="AI487"/>
    <hyperlink r:id="rId962" ref="AJ487"/>
    <hyperlink r:id="rId963" ref="AD488"/>
    <hyperlink r:id="rId964" ref="AF488"/>
    <hyperlink r:id="rId965" ref="AI488"/>
    <hyperlink r:id="rId966" ref="AJ488"/>
    <hyperlink r:id="rId967" ref="AK488"/>
    <hyperlink r:id="rId968" ref="AL488"/>
    <hyperlink r:id="rId969" ref="AI489"/>
    <hyperlink r:id="rId970" ref="AJ489"/>
    <hyperlink r:id="rId971" ref="AI490"/>
    <hyperlink r:id="rId972" ref="AJ490"/>
    <hyperlink r:id="rId973" ref="AI491"/>
    <hyperlink r:id="rId974" ref="AJ491"/>
    <hyperlink r:id="rId975" ref="AK491"/>
    <hyperlink r:id="rId976" ref="AF492"/>
    <hyperlink r:id="rId977" ref="AI492"/>
    <hyperlink r:id="rId978" ref="AJ492"/>
    <hyperlink r:id="rId979" ref="AK492"/>
    <hyperlink r:id="rId980" ref="AL492"/>
    <hyperlink r:id="rId981" ref="AM492"/>
    <hyperlink r:id="rId982" ref="AI493"/>
    <hyperlink r:id="rId983" ref="AF494"/>
    <hyperlink r:id="rId984" ref="AI494"/>
    <hyperlink r:id="rId985" ref="AI495"/>
    <hyperlink r:id="rId986" ref="AI496"/>
    <hyperlink r:id="rId987" ref="AJ496"/>
    <hyperlink r:id="rId988" ref="AK496"/>
    <hyperlink r:id="rId989" ref="AI497"/>
    <hyperlink r:id="rId990" ref="AJ497"/>
    <hyperlink r:id="rId991" ref="AK497"/>
    <hyperlink r:id="rId992" ref="AL497"/>
    <hyperlink r:id="rId993" ref="AI498"/>
    <hyperlink r:id="rId994" ref="AJ498"/>
    <hyperlink r:id="rId995" ref="AK498"/>
    <hyperlink r:id="rId996" ref="AL498"/>
    <hyperlink r:id="rId997" ref="AM498"/>
    <hyperlink r:id="rId998" ref="AI499"/>
    <hyperlink r:id="rId999" ref="AI500"/>
    <hyperlink r:id="rId1000" ref="AI501"/>
    <hyperlink r:id="rId1001" ref="AI502"/>
    <hyperlink r:id="rId1002" ref="AJ502"/>
    <hyperlink r:id="rId1003" ref="AI503"/>
    <hyperlink r:id="rId1004" ref="AJ503"/>
    <hyperlink r:id="rId1005" ref="AI504"/>
    <hyperlink r:id="rId1006" ref="AF505"/>
    <hyperlink r:id="rId1007" ref="AI505"/>
    <hyperlink r:id="rId1008" ref="AJ505"/>
    <hyperlink r:id="rId1009" ref="AI506"/>
    <hyperlink r:id="rId1010" ref="AJ506"/>
    <hyperlink r:id="rId1011" ref="AF507"/>
    <hyperlink r:id="rId1012" ref="AI507"/>
    <hyperlink r:id="rId1013" ref="AJ507"/>
    <hyperlink r:id="rId1014" ref="AK507"/>
    <hyperlink r:id="rId1015" ref="AL507"/>
    <hyperlink r:id="rId1016" ref="AM507"/>
    <hyperlink r:id="rId1017" ref="AI508"/>
    <hyperlink r:id="rId1018" ref="AJ508"/>
    <hyperlink r:id="rId1019" ref="AK508"/>
    <hyperlink r:id="rId1020" ref="AF509"/>
    <hyperlink r:id="rId1021" ref="AI509"/>
    <hyperlink r:id="rId1022" ref="AJ509"/>
    <hyperlink r:id="rId1023" ref="AK509"/>
    <hyperlink r:id="rId1024" ref="AI510"/>
    <hyperlink r:id="rId1025" ref="AJ510"/>
    <hyperlink r:id="rId1026" ref="AK510"/>
    <hyperlink r:id="rId1027" ref="AD511"/>
    <hyperlink r:id="rId1028" ref="AI511"/>
    <hyperlink r:id="rId1029" ref="AJ511"/>
    <hyperlink r:id="rId1030" ref="AK511"/>
    <hyperlink r:id="rId1031" ref="AI512"/>
    <hyperlink r:id="rId1032" ref="AJ512"/>
    <hyperlink r:id="rId1033" ref="AK512"/>
    <hyperlink r:id="rId1034" ref="AI513"/>
    <hyperlink r:id="rId1035" ref="AI514"/>
    <hyperlink r:id="rId1036" ref="AJ514"/>
    <hyperlink r:id="rId1037" ref="AI515"/>
    <hyperlink r:id="rId1038" ref="AI516"/>
    <hyperlink r:id="rId1039" ref="AI517"/>
    <hyperlink r:id="rId1040" ref="AI518"/>
    <hyperlink r:id="rId1041" ref="AI519"/>
    <hyperlink r:id="rId1042" ref="AI520"/>
    <hyperlink r:id="rId1043" ref="AF521"/>
    <hyperlink r:id="rId1044" ref="AI521"/>
    <hyperlink r:id="rId1045" ref="AJ521"/>
    <hyperlink r:id="rId1046" ref="AK521"/>
    <hyperlink r:id="rId1047" ref="AI522"/>
    <hyperlink r:id="rId1048" ref="AF523"/>
    <hyperlink r:id="rId1049" ref="AI523"/>
    <hyperlink r:id="rId1050" ref="AJ523"/>
    <hyperlink r:id="rId1051" ref="AK523"/>
    <hyperlink r:id="rId1052" ref="AI524"/>
    <hyperlink r:id="rId1053" ref="AI525"/>
    <hyperlink r:id="rId1054" ref="AI526"/>
    <hyperlink r:id="rId1055" ref="AI527"/>
    <hyperlink r:id="rId1056" ref="AJ527"/>
    <hyperlink r:id="rId1057" ref="AK527"/>
    <hyperlink r:id="rId1058" ref="AL527"/>
    <hyperlink r:id="rId1059" ref="AI528"/>
    <hyperlink r:id="rId1060" ref="AJ528"/>
    <hyperlink r:id="rId1061" ref="AF529"/>
    <hyperlink r:id="rId1062" ref="AI529"/>
    <hyperlink r:id="rId1063" ref="AJ529"/>
    <hyperlink r:id="rId1064" ref="AF530"/>
    <hyperlink r:id="rId1065" ref="AI530"/>
    <hyperlink r:id="rId1066" ref="AI531"/>
    <hyperlink r:id="rId1067" ref="AJ531"/>
    <hyperlink r:id="rId1068" ref="AF532"/>
    <hyperlink r:id="rId1069" ref="AI532"/>
    <hyperlink r:id="rId1070" ref="AI533"/>
    <hyperlink r:id="rId1071" ref="AJ533"/>
    <hyperlink r:id="rId1072" ref="AK533"/>
    <hyperlink r:id="rId1073" ref="AD534"/>
    <hyperlink r:id="rId1074" ref="AI534"/>
    <hyperlink r:id="rId1075" ref="AJ534"/>
    <hyperlink r:id="rId1076" ref="AI535"/>
    <hyperlink r:id="rId1077" ref="AI536"/>
    <hyperlink r:id="rId1078" ref="AJ536"/>
    <hyperlink r:id="rId1079" ref="AK536"/>
    <hyperlink r:id="rId1080" ref="AI537"/>
    <hyperlink r:id="rId1081" ref="AJ537"/>
    <hyperlink r:id="rId1082" ref="AK537"/>
    <hyperlink r:id="rId1083" ref="AI538"/>
    <hyperlink r:id="rId1084" ref="AI539"/>
    <hyperlink r:id="rId1085" ref="AI540"/>
    <hyperlink r:id="rId1086" ref="AJ540"/>
    <hyperlink r:id="rId1087" ref="AI541"/>
    <hyperlink r:id="rId1088" ref="AI543"/>
    <hyperlink r:id="rId1089" ref="AI544"/>
    <hyperlink r:id="rId1090" ref="AI545"/>
    <hyperlink r:id="rId1091" ref="AJ545"/>
    <hyperlink r:id="rId1092" ref="AF546"/>
    <hyperlink r:id="rId1093" ref="AI546"/>
    <hyperlink r:id="rId1094" ref="AI548"/>
    <hyperlink r:id="rId1095" ref="AI549"/>
    <hyperlink r:id="rId1096" ref="AJ549"/>
    <hyperlink r:id="rId1097" ref="AI551"/>
    <hyperlink r:id="rId1098" ref="AJ551"/>
    <hyperlink r:id="rId1099" ref="AI552"/>
    <hyperlink r:id="rId1100" ref="AI553"/>
    <hyperlink r:id="rId1101" ref="AJ553"/>
    <hyperlink r:id="rId1102" ref="AK553"/>
    <hyperlink r:id="rId1103" ref="AL553"/>
    <hyperlink r:id="rId1104" ref="AI554"/>
    <hyperlink r:id="rId1105" ref="AJ554"/>
    <hyperlink r:id="rId1106" ref="AI555"/>
    <hyperlink r:id="rId1107" ref="AJ555"/>
    <hyperlink r:id="rId1108" ref="AK555"/>
    <hyperlink r:id="rId1109" ref="AD556"/>
    <hyperlink r:id="rId1110" ref="AI556"/>
    <hyperlink r:id="rId1111" ref="AI557"/>
    <hyperlink r:id="rId1112" ref="AI558"/>
    <hyperlink r:id="rId1113" ref="AI559"/>
    <hyperlink r:id="rId1114" ref="AJ559"/>
    <hyperlink r:id="rId1115" ref="AI560"/>
    <hyperlink r:id="rId1116" ref="AJ560"/>
    <hyperlink r:id="rId1117" ref="AK560"/>
    <hyperlink r:id="rId1118" ref="AI561"/>
    <hyperlink r:id="rId1119" ref="AF562"/>
    <hyperlink r:id="rId1120" ref="AI562"/>
    <hyperlink r:id="rId1121" ref="AI563"/>
    <hyperlink r:id="rId1122" ref="AJ563"/>
    <hyperlink r:id="rId1123" ref="AF564"/>
    <hyperlink r:id="rId1124" ref="AI564"/>
    <hyperlink r:id="rId1125" ref="AJ564"/>
    <hyperlink r:id="rId1126" ref="AK564"/>
    <hyperlink r:id="rId1127" ref="AL564"/>
    <hyperlink r:id="rId1128" ref="AD565"/>
    <hyperlink r:id="rId1129" ref="AE565"/>
    <hyperlink r:id="rId1130" ref="AF565"/>
    <hyperlink r:id="rId1131" ref="AI565"/>
    <hyperlink r:id="rId1132" ref="AJ565"/>
    <hyperlink r:id="rId1133" ref="AK565"/>
    <hyperlink r:id="rId1134" ref="AL565"/>
    <hyperlink r:id="rId1135" ref="AM565"/>
    <hyperlink r:id="rId1136" ref="AD566"/>
    <hyperlink r:id="rId1137" ref="AE566"/>
    <hyperlink r:id="rId1138" ref="AF566"/>
    <hyperlink r:id="rId1139" ref="AI566"/>
    <hyperlink r:id="rId1140" ref="AJ566"/>
    <hyperlink r:id="rId1141" ref="AI567"/>
    <hyperlink r:id="rId1142" ref="AI568"/>
    <hyperlink r:id="rId1143" ref="AJ568"/>
    <hyperlink r:id="rId1144" ref="AK568"/>
    <hyperlink r:id="rId1145" ref="AL568"/>
    <hyperlink r:id="rId1146" ref="AM568"/>
    <hyperlink r:id="rId1147" ref="AI569"/>
    <hyperlink r:id="rId1148" ref="AI570"/>
    <hyperlink r:id="rId1149" ref="AJ570"/>
    <hyperlink r:id="rId1150" ref="AK570"/>
    <hyperlink r:id="rId1151" ref="AL570"/>
    <hyperlink r:id="rId1152" ref="AI571"/>
    <hyperlink r:id="rId1153" ref="AI572"/>
    <hyperlink r:id="rId1154" ref="AJ572"/>
    <hyperlink r:id="rId1155" ref="AK572"/>
    <hyperlink r:id="rId1156" ref="AL572"/>
    <hyperlink r:id="rId1157" ref="AI573"/>
    <hyperlink r:id="rId1158" ref="AI575"/>
    <hyperlink r:id="rId1159" ref="AI576"/>
    <hyperlink r:id="rId1160" location="gid=1159825851" ref="AJ576"/>
    <hyperlink r:id="rId1161" ref="AI577"/>
    <hyperlink r:id="rId1162" ref="AI578"/>
    <hyperlink r:id="rId1163" ref="AJ578"/>
    <hyperlink r:id="rId1164" ref="AI580"/>
    <hyperlink r:id="rId1165" ref="AI583"/>
    <hyperlink r:id="rId1166" ref="AF584"/>
    <hyperlink r:id="rId1167" ref="AI584"/>
    <hyperlink r:id="rId1168" ref="AI585"/>
    <hyperlink r:id="rId1169" ref="AD586"/>
    <hyperlink r:id="rId1170" location=":~:text=company%20Blackstone%20had%20plans%20to,CMBSs%20deals%20combined%20in%202024." ref="AE586"/>
    <hyperlink r:id="rId1171" ref="AI586"/>
    <hyperlink r:id="rId1172" ref="AJ586"/>
    <hyperlink r:id="rId1173" ref="AK586"/>
    <hyperlink r:id="rId1174" ref="AL586"/>
    <hyperlink r:id="rId1175" ref="AI587"/>
    <hyperlink r:id="rId1176" ref="AI588"/>
    <hyperlink r:id="rId1177" ref="AI589"/>
    <hyperlink r:id="rId1178" ref="AI590"/>
    <hyperlink r:id="rId1179" ref="AF591"/>
    <hyperlink r:id="rId1180" ref="AI591"/>
    <hyperlink r:id="rId1181" ref="AD592"/>
    <hyperlink r:id="rId1182" ref="AI592"/>
    <hyperlink r:id="rId1183" ref="AI593"/>
    <hyperlink r:id="rId1184" ref="AJ593"/>
    <hyperlink r:id="rId1185" ref="AK593"/>
    <hyperlink r:id="rId1186" ref="AI594"/>
    <hyperlink r:id="rId1187" ref="AI595"/>
    <hyperlink r:id="rId1188" ref="AF596"/>
    <hyperlink r:id="rId1189" ref="AI596"/>
    <hyperlink r:id="rId1190" ref="AJ596"/>
    <hyperlink r:id="rId1191" ref="AK596"/>
    <hyperlink r:id="rId1192" ref="AL596"/>
    <hyperlink r:id="rId1193" ref="AI597"/>
    <hyperlink r:id="rId1194" ref="AI601"/>
    <hyperlink r:id="rId1195" ref="AI603"/>
    <hyperlink r:id="rId1196" ref="AI604"/>
    <hyperlink r:id="rId1197" ref="AD605"/>
    <hyperlink r:id="rId1198" ref="AE605"/>
    <hyperlink r:id="rId1199" ref="AF605"/>
    <hyperlink r:id="rId1200" ref="AI605"/>
    <hyperlink r:id="rId1201" ref="AJ605"/>
    <hyperlink r:id="rId1202" ref="AK605"/>
    <hyperlink r:id="rId1203" ref="AL605"/>
    <hyperlink r:id="rId1204" ref="AM605"/>
    <hyperlink r:id="rId1205" ref="AN605"/>
    <hyperlink r:id="rId1206" ref="AO605"/>
    <hyperlink r:id="rId1207" ref="AP605"/>
    <hyperlink r:id="rId1208" ref="AE606"/>
    <hyperlink r:id="rId1209" ref="AF606"/>
    <hyperlink r:id="rId1210" ref="AI606"/>
    <hyperlink r:id="rId1211" ref="AJ606"/>
    <hyperlink r:id="rId1212" ref="AF607"/>
    <hyperlink r:id="rId1213" ref="AI607"/>
    <hyperlink r:id="rId1214" ref="AJ607"/>
    <hyperlink r:id="rId1215" ref="AI608"/>
    <hyperlink r:id="rId1216" ref="AI609"/>
    <hyperlink r:id="rId1217" ref="AJ609"/>
    <hyperlink r:id="rId1218" ref="AI610"/>
    <hyperlink r:id="rId1219" ref="AI612"/>
    <hyperlink r:id="rId1220" ref="A613"/>
    <hyperlink r:id="rId1221" ref="AI613"/>
    <hyperlink r:id="rId1222" ref="AI614"/>
    <hyperlink r:id="rId1223" ref="AI615"/>
    <hyperlink r:id="rId1224" ref="AI616"/>
    <hyperlink r:id="rId1225" ref="AI617"/>
    <hyperlink r:id="rId1226" ref="AJ617"/>
    <hyperlink r:id="rId1227" ref="AI618"/>
    <hyperlink r:id="rId1228" ref="AJ618"/>
    <hyperlink r:id="rId1229" ref="AK618"/>
    <hyperlink r:id="rId1230" ref="AI619"/>
    <hyperlink r:id="rId1231" ref="AI621"/>
    <hyperlink r:id="rId1232" ref="AI622"/>
    <hyperlink r:id="rId1233" ref="AJ622"/>
    <hyperlink r:id="rId1234" ref="AK622"/>
    <hyperlink r:id="rId1235" ref="AL622"/>
    <hyperlink r:id="rId1236" ref="AM622"/>
    <hyperlink r:id="rId1237" ref="AI623"/>
    <hyperlink r:id="rId1238" ref="AJ623"/>
    <hyperlink r:id="rId1239" ref="AD624"/>
    <hyperlink r:id="rId1240" ref="AF624"/>
    <hyperlink r:id="rId1241" ref="AI624"/>
    <hyperlink r:id="rId1242" ref="AJ624"/>
    <hyperlink r:id="rId1243" ref="AK624"/>
    <hyperlink r:id="rId1244" ref="AL624"/>
    <hyperlink r:id="rId1245" ref="AM624"/>
    <hyperlink r:id="rId1246" ref="AN624"/>
    <hyperlink r:id="rId1247" ref="AO624"/>
    <hyperlink r:id="rId1248" ref="AP624"/>
    <hyperlink r:id="rId1249" ref="AI625"/>
    <hyperlink r:id="rId1250" ref="AI626"/>
    <hyperlink r:id="rId1251" ref="AJ626"/>
    <hyperlink r:id="rId1252" ref="AK626"/>
    <hyperlink r:id="rId1253" ref="AL626"/>
    <hyperlink r:id="rId1254" ref="AM626"/>
    <hyperlink r:id="rId1255" ref="AN626"/>
    <hyperlink r:id="rId1256" ref="AI627"/>
    <hyperlink r:id="rId1257" ref="AI628"/>
    <hyperlink r:id="rId1258" ref="AI629"/>
    <hyperlink r:id="rId1259" ref="AJ629"/>
    <hyperlink r:id="rId1260" ref="AI630"/>
    <hyperlink r:id="rId1261" ref="AJ630"/>
    <hyperlink r:id="rId1262" ref="AK630"/>
    <hyperlink r:id="rId1263" ref="AI631"/>
    <hyperlink r:id="rId1264" ref="AJ631"/>
    <hyperlink r:id="rId1265" ref="AD632"/>
    <hyperlink r:id="rId1266" ref="AI632"/>
    <hyperlink r:id="rId1267" ref="AJ632"/>
    <hyperlink r:id="rId1268" ref="AK632"/>
    <hyperlink r:id="rId1269" ref="AI633"/>
    <hyperlink r:id="rId1270" ref="AI634"/>
    <hyperlink r:id="rId1271" ref="AJ634"/>
    <hyperlink r:id="rId1272" ref="AK634"/>
    <hyperlink r:id="rId1273" ref="AL634"/>
    <hyperlink r:id="rId1274" ref="AF635"/>
    <hyperlink r:id="rId1275" ref="AI635"/>
    <hyperlink r:id="rId1276" ref="AD636"/>
    <hyperlink r:id="rId1277" ref="AF636"/>
    <hyperlink r:id="rId1278" ref="AI636"/>
    <hyperlink r:id="rId1279" location="page=25" ref="AJ636"/>
    <hyperlink r:id="rId1280" ref="AK636"/>
    <hyperlink r:id="rId1281" ref="AL636"/>
    <hyperlink r:id="rId1282" ref="AM636"/>
    <hyperlink r:id="rId1283" ref="AN636"/>
    <hyperlink r:id="rId1284" ref="AO636"/>
    <hyperlink r:id="rId1285" ref="AI637"/>
    <hyperlink r:id="rId1286" ref="AF638"/>
    <hyperlink r:id="rId1287" ref="AI638"/>
    <hyperlink r:id="rId1288" ref="AJ638"/>
    <hyperlink r:id="rId1289" ref="AK638"/>
    <hyperlink r:id="rId1290" ref="AI639"/>
    <hyperlink r:id="rId1291" ref="AJ639"/>
    <hyperlink r:id="rId1292" ref="AK639"/>
    <hyperlink r:id="rId1293" ref="AI640"/>
    <hyperlink r:id="rId1294" ref="AI641"/>
    <hyperlink r:id="rId1295" ref="AJ641"/>
    <hyperlink r:id="rId1296" ref="AK641"/>
    <hyperlink r:id="rId1297" ref="AI642"/>
    <hyperlink r:id="rId1298" ref="AJ642"/>
    <hyperlink r:id="rId1299" ref="AI643"/>
    <hyperlink r:id="rId1300" ref="AI644"/>
    <hyperlink r:id="rId1301" ref="AI645"/>
    <hyperlink r:id="rId1302" ref="AI647"/>
    <hyperlink r:id="rId1303" ref="AI648"/>
    <hyperlink r:id="rId1304" ref="AJ648"/>
    <hyperlink r:id="rId1305" ref="AI649"/>
    <hyperlink r:id="rId1306" ref="AJ649"/>
    <hyperlink r:id="rId1307" ref="AK649"/>
    <hyperlink r:id="rId1308" ref="AL649"/>
    <hyperlink r:id="rId1309" ref="AM649"/>
    <hyperlink r:id="rId1310" ref="AD650"/>
    <hyperlink r:id="rId1311" ref="AF650"/>
    <hyperlink r:id="rId1312" ref="AI650"/>
    <hyperlink r:id="rId1313" ref="AJ650"/>
    <hyperlink r:id="rId1314" ref="AD651"/>
    <hyperlink r:id="rId1315" ref="AE651"/>
    <hyperlink r:id="rId1316" ref="AI651"/>
    <hyperlink r:id="rId1317" ref="AI652"/>
    <hyperlink r:id="rId1318" ref="AJ652"/>
    <hyperlink r:id="rId1319" ref="AI653"/>
    <hyperlink r:id="rId1320" ref="AJ653"/>
    <hyperlink r:id="rId1321" ref="AK653"/>
    <hyperlink r:id="rId1322" ref="AI655"/>
    <hyperlink r:id="rId1323" ref="AD657"/>
    <hyperlink r:id="rId1324" ref="AE657"/>
    <hyperlink r:id="rId1325" ref="AI657"/>
    <hyperlink r:id="rId1326" ref="AJ657"/>
    <hyperlink r:id="rId1327" ref="AK657"/>
    <hyperlink r:id="rId1328" ref="AI658"/>
    <hyperlink r:id="rId1329" ref="AI659"/>
    <hyperlink r:id="rId1330" ref="AJ659"/>
    <hyperlink r:id="rId1331" ref="AI660"/>
    <hyperlink r:id="rId1332" ref="AA661"/>
    <hyperlink r:id="rId1333" ref="AI661"/>
    <hyperlink r:id="rId1334" ref="AJ661"/>
    <hyperlink r:id="rId1335" ref="AK661"/>
    <hyperlink r:id="rId1336" ref="AF662"/>
    <hyperlink r:id="rId1337" ref="AI662"/>
    <hyperlink r:id="rId1338" ref="AJ662"/>
    <hyperlink r:id="rId1339" ref="AK662"/>
    <hyperlink r:id="rId1340" ref="AL662"/>
    <hyperlink r:id="rId1341" ref="AM662"/>
    <hyperlink r:id="rId1342" ref="AI663"/>
    <hyperlink r:id="rId1343" ref="AJ663"/>
    <hyperlink r:id="rId1344" ref="AK663"/>
    <hyperlink r:id="rId1345" ref="AL663"/>
    <hyperlink r:id="rId1346" ref="AM663"/>
    <hyperlink r:id="rId1347" ref="AN663"/>
    <hyperlink r:id="rId1348" ref="AO663"/>
    <hyperlink r:id="rId1349" ref="AP663"/>
    <hyperlink r:id="rId1350" ref="AF664"/>
    <hyperlink r:id="rId1351" ref="AI664"/>
    <hyperlink r:id="rId1352" ref="AJ664"/>
    <hyperlink r:id="rId1353" ref="AI665"/>
    <hyperlink r:id="rId1354" ref="AI666"/>
    <hyperlink r:id="rId1355" ref="AI667"/>
    <hyperlink r:id="rId1356" ref="AI668"/>
    <hyperlink r:id="rId1357" ref="AI669"/>
    <hyperlink r:id="rId1358" ref="AJ669"/>
    <hyperlink r:id="rId1359" ref="AI670"/>
    <hyperlink r:id="rId1360" ref="AJ670"/>
    <hyperlink r:id="rId1361" ref="AI671"/>
    <hyperlink r:id="rId1362" ref="AJ671"/>
    <hyperlink r:id="rId1363" ref="AK671"/>
    <hyperlink r:id="rId1364" ref="AI672"/>
    <hyperlink r:id="rId1365" ref="AI673"/>
    <hyperlink r:id="rId1366" ref="AI674"/>
    <hyperlink r:id="rId1367" ref="AI675"/>
    <hyperlink r:id="rId1368" ref="AI676"/>
    <hyperlink r:id="rId1369" ref="AJ676"/>
    <hyperlink r:id="rId1370" ref="AI677"/>
    <hyperlink r:id="rId1371" ref="AJ677"/>
    <hyperlink r:id="rId1372" ref="AI678"/>
    <hyperlink r:id="rId1373" ref="AJ678"/>
    <hyperlink r:id="rId1374" ref="AI679"/>
    <hyperlink r:id="rId1375" ref="AI680"/>
    <hyperlink r:id="rId1376" ref="AI681"/>
    <hyperlink r:id="rId1377" ref="AJ681"/>
    <hyperlink r:id="rId1378" ref="AF682"/>
    <hyperlink r:id="rId1379" ref="AI682"/>
    <hyperlink r:id="rId1380" ref="AI683"/>
    <hyperlink r:id="rId1381" ref="AA684"/>
    <hyperlink r:id="rId1382" ref="AI684"/>
    <hyperlink r:id="rId1383" ref="AJ684"/>
    <hyperlink r:id="rId1384" ref="AK684"/>
    <hyperlink r:id="rId1385" ref="AL684"/>
    <hyperlink r:id="rId1386" ref="AM684"/>
    <hyperlink r:id="rId1387" ref="AN684"/>
    <hyperlink r:id="rId1388" ref="AO684"/>
    <hyperlink r:id="rId1389" ref="AP684"/>
    <hyperlink r:id="rId1390" ref="AI685"/>
    <hyperlink r:id="rId1391" ref="AD686"/>
    <hyperlink r:id="rId1392" ref="AI686"/>
    <hyperlink r:id="rId1393" ref="AJ686"/>
    <hyperlink r:id="rId1394" ref="AK686"/>
    <hyperlink r:id="rId1395" ref="AL686"/>
    <hyperlink r:id="rId1396" ref="AF687"/>
    <hyperlink r:id="rId1397" ref="AI687"/>
    <hyperlink r:id="rId1398" ref="AI688"/>
    <hyperlink r:id="rId1399" ref="AJ688"/>
    <hyperlink r:id="rId1400" ref="AK688"/>
    <hyperlink r:id="rId1401" ref="AL688"/>
    <hyperlink r:id="rId1402" ref="AI689"/>
    <hyperlink r:id="rId1403" ref="AI690"/>
    <hyperlink r:id="rId1404" ref="AJ690"/>
    <hyperlink r:id="rId1405" ref="AI691"/>
    <hyperlink r:id="rId1406" ref="AI692"/>
    <hyperlink r:id="rId1407" ref="AI693"/>
    <hyperlink r:id="rId1408" ref="AI694"/>
    <hyperlink r:id="rId1409" ref="AI695"/>
    <hyperlink r:id="rId1410" ref="AI696"/>
    <hyperlink r:id="rId1411" ref="AI697"/>
    <hyperlink r:id="rId1412" ref="AI698"/>
    <hyperlink r:id="rId1413" ref="AI699"/>
    <hyperlink r:id="rId1414" ref="AI700"/>
    <hyperlink r:id="rId1415" ref="AI701"/>
    <hyperlink r:id="rId1416" ref="AJ701"/>
    <hyperlink r:id="rId1417" ref="AK701"/>
    <hyperlink r:id="rId1418" ref="AI702"/>
    <hyperlink r:id="rId1419" ref="AJ702"/>
    <hyperlink r:id="rId1420" ref="AF703"/>
    <hyperlink r:id="rId1421" ref="AI703"/>
    <hyperlink r:id="rId1422" ref="AI704"/>
    <hyperlink r:id="rId1423" ref="AI705"/>
    <hyperlink r:id="rId1424" ref="AJ705"/>
    <hyperlink r:id="rId1425" ref="AK705"/>
    <hyperlink r:id="rId1426" ref="AL705"/>
    <hyperlink r:id="rId1427" ref="AD706"/>
    <hyperlink r:id="rId1428" location=":~:text=Monclova%20Township%20residents%20wary%20of,data%20centers%20in%20their%20backyard&amp;text=To%20continue%20reading%2C%20try%20unlimited" ref="AI706"/>
    <hyperlink r:id="rId1429" ref="AD707"/>
    <hyperlink r:id="rId1430" ref="AI707"/>
    <hyperlink r:id="rId1431" ref="AI708"/>
    <hyperlink r:id="rId1432" ref="AI709"/>
    <hyperlink r:id="rId1433" ref="AJ709"/>
    <hyperlink r:id="rId1434" ref="AK709"/>
    <hyperlink r:id="rId1435" ref="AL709"/>
    <hyperlink r:id="rId1436" ref="AM709"/>
    <hyperlink r:id="rId1437" ref="AN709"/>
    <hyperlink r:id="rId1438" ref="AO709"/>
    <hyperlink r:id="rId1439" ref="AI710"/>
    <hyperlink r:id="rId1440" ref="AI711"/>
    <hyperlink r:id="rId1441" ref="AI712"/>
    <hyperlink r:id="rId1442" ref="AI713"/>
    <hyperlink r:id="rId1443" ref="AJ713"/>
    <hyperlink r:id="rId1444" ref="AK713"/>
    <hyperlink r:id="rId1445" ref="AL713"/>
    <hyperlink r:id="rId1446" ref="AM713"/>
    <hyperlink r:id="rId1447" ref="AI714"/>
    <hyperlink r:id="rId1448" ref="AJ714"/>
    <hyperlink r:id="rId1449" ref="AK714"/>
    <hyperlink r:id="rId1450" ref="AI715"/>
    <hyperlink r:id="rId1451" ref="AI716"/>
    <hyperlink r:id="rId1452" ref="AJ716"/>
    <hyperlink r:id="rId1453" ref="AD717"/>
    <hyperlink r:id="rId1454" ref="AI717"/>
    <hyperlink r:id="rId1455" ref="AJ717"/>
    <hyperlink r:id="rId1456" ref="AK717"/>
    <hyperlink r:id="rId1457" ref="AL717"/>
    <hyperlink r:id="rId1458" ref="AI718"/>
    <hyperlink r:id="rId1459" ref="AF719"/>
    <hyperlink r:id="rId1460" ref="AI719"/>
    <hyperlink r:id="rId1461" location="fact-vs-fiction" ref="AJ719"/>
    <hyperlink r:id="rId1462" ref="AA720"/>
    <hyperlink r:id="rId1463" ref="AI720"/>
    <hyperlink r:id="rId1464" ref="AJ720"/>
    <hyperlink r:id="rId1465" ref="AK720"/>
    <hyperlink r:id="rId1466" ref="AL720"/>
    <hyperlink r:id="rId1467" ref="AD721"/>
    <hyperlink r:id="rId1468" ref="AE721"/>
    <hyperlink r:id="rId1469" ref="AI721"/>
    <hyperlink r:id="rId1470" ref="AJ721"/>
    <hyperlink r:id="rId1471" ref="AK721"/>
    <hyperlink r:id="rId1472" ref="AM721"/>
    <hyperlink r:id="rId1473" ref="AI722"/>
    <hyperlink r:id="rId1474" ref="AD723"/>
    <hyperlink r:id="rId1475" ref="AI723"/>
    <hyperlink r:id="rId1476" ref="AI724"/>
    <hyperlink r:id="rId1477" ref="AI725"/>
    <hyperlink r:id="rId1478" ref="AJ725"/>
    <hyperlink r:id="rId1479" ref="AK725"/>
    <hyperlink r:id="rId1480" ref="AL725"/>
    <hyperlink r:id="rId1481" ref="AD726"/>
    <hyperlink r:id="rId1482" ref="AF726"/>
    <hyperlink r:id="rId1483" ref="AI726"/>
    <hyperlink r:id="rId1484" ref="AJ726"/>
    <hyperlink r:id="rId1485" ref="AK726"/>
    <hyperlink r:id="rId1486" ref="AI727"/>
    <hyperlink r:id="rId1487" location="gid=2132985834" ref="AJ727"/>
    <hyperlink r:id="rId1488" ref="AA728"/>
    <hyperlink r:id="rId1489" ref="AI728"/>
    <hyperlink r:id="rId1490" ref="AJ728"/>
    <hyperlink r:id="rId1491" ref="AK728"/>
    <hyperlink r:id="rId1492" ref="AI729"/>
    <hyperlink r:id="rId1493" ref="AI730"/>
    <hyperlink r:id="rId1494" ref="AJ730"/>
    <hyperlink r:id="rId1495" ref="AA731"/>
    <hyperlink r:id="rId1496" ref="AD731"/>
    <hyperlink r:id="rId1497" ref="AF731"/>
    <hyperlink r:id="rId1498" ref="AI731"/>
    <hyperlink r:id="rId1499" ref="AJ731"/>
    <hyperlink r:id="rId1500" ref="AK731"/>
    <hyperlink r:id="rId1501" ref="AD732"/>
    <hyperlink r:id="rId1502" ref="AF732"/>
    <hyperlink r:id="rId1503" ref="AI732"/>
    <hyperlink r:id="rId1504" ref="AJ732"/>
    <hyperlink r:id="rId1505" location=":~:text=SAND%20SPRINGS%2C%20Okla.,showing%20up%20made%20a%20difference." ref="AK732"/>
    <hyperlink r:id="rId1506" ref="AL732"/>
    <hyperlink r:id="rId1507" ref="AM732"/>
    <hyperlink r:id="rId1508" ref="AI733"/>
    <hyperlink r:id="rId1509" ref="AJ733"/>
    <hyperlink r:id="rId1510" ref="AK733"/>
    <hyperlink r:id="rId1511" ref="AL733"/>
    <hyperlink r:id="rId1512" ref="AI735"/>
    <hyperlink r:id="rId1513" ref="AI736"/>
    <hyperlink r:id="rId1514" ref="AI737"/>
    <hyperlink r:id="rId1515" ref="AJ737"/>
    <hyperlink r:id="rId1516" ref="AA738"/>
    <hyperlink r:id="rId1517" ref="AI738"/>
    <hyperlink r:id="rId1518" ref="AJ738"/>
    <hyperlink r:id="rId1519" ref="AK738"/>
    <hyperlink r:id="rId1520" ref="AI739"/>
    <hyperlink r:id="rId1521" ref="AJ739"/>
    <hyperlink r:id="rId1522" ref="AI740"/>
    <hyperlink r:id="rId1523" ref="AJ740"/>
    <hyperlink r:id="rId1524" ref="AI742"/>
    <hyperlink r:id="rId1525" ref="AI743"/>
    <hyperlink r:id="rId1526" ref="AI744"/>
    <hyperlink r:id="rId1527" ref="AI745"/>
    <hyperlink r:id="rId1528" ref="AI746"/>
    <hyperlink r:id="rId1529" ref="AI747"/>
    <hyperlink r:id="rId1530" ref="AI748"/>
    <hyperlink r:id="rId1531" ref="AI749"/>
    <hyperlink r:id="rId1532" ref="AI750"/>
    <hyperlink r:id="rId1533" ref="AJ750"/>
    <hyperlink r:id="rId1534" ref="AI751"/>
    <hyperlink r:id="rId1535" ref="AJ751"/>
    <hyperlink r:id="rId1536" ref="AK751"/>
    <hyperlink r:id="rId1537" ref="AI753"/>
    <hyperlink r:id="rId1538" ref="AI754"/>
    <hyperlink r:id="rId1539" ref="AI755"/>
    <hyperlink r:id="rId1540" ref="AI756"/>
    <hyperlink r:id="rId1541" ref="AJ756"/>
    <hyperlink r:id="rId1542" ref="AD757"/>
    <hyperlink r:id="rId1543" ref="AF757"/>
    <hyperlink r:id="rId1544" ref="AI757"/>
    <hyperlink r:id="rId1545" ref="AJ757"/>
    <hyperlink r:id="rId1546" ref="AK757"/>
    <hyperlink r:id="rId1547" ref="AF758"/>
    <hyperlink r:id="rId1548" ref="AI758"/>
    <hyperlink r:id="rId1549" ref="AJ758"/>
    <hyperlink r:id="rId1550" ref="AI759"/>
    <hyperlink r:id="rId1551" ref="AA760"/>
    <hyperlink r:id="rId1552" ref="AI760"/>
    <hyperlink r:id="rId1553" ref="AJ760"/>
    <hyperlink r:id="rId1554" ref="AK760"/>
    <hyperlink r:id="rId1555" ref="AL760"/>
    <hyperlink r:id="rId1556" ref="AM760"/>
    <hyperlink r:id="rId1557" ref="AN760"/>
    <hyperlink r:id="rId1558" ref="AO760"/>
    <hyperlink r:id="rId1559" ref="AP760"/>
    <hyperlink r:id="rId1560" ref="AI761"/>
    <hyperlink r:id="rId1561" ref="AJ761"/>
    <hyperlink r:id="rId1562" ref="AI762"/>
    <hyperlink r:id="rId1563" ref="AJ762"/>
    <hyperlink r:id="rId1564" ref="AJ763"/>
    <hyperlink r:id="rId1565" ref="AK763"/>
    <hyperlink r:id="rId1566" ref="AA764"/>
    <hyperlink r:id="rId1567" ref="AI764"/>
    <hyperlink r:id="rId1568" ref="AJ764"/>
    <hyperlink r:id="rId1569" ref="AK764"/>
    <hyperlink r:id="rId1570" ref="AL764"/>
    <hyperlink r:id="rId1571" ref="AM764"/>
    <hyperlink r:id="rId1572" ref="AN764"/>
    <hyperlink r:id="rId1573" ref="AO764"/>
    <hyperlink r:id="rId1574" ref="AI765"/>
    <hyperlink r:id="rId1575" ref="AI766"/>
    <hyperlink r:id="rId1576" location="BET" ref="AI767"/>
    <hyperlink r:id="rId1577" ref="AI768"/>
    <hyperlink r:id="rId1578" ref="AI769"/>
    <hyperlink r:id="rId1579" ref="AJ769"/>
    <hyperlink r:id="rId1580" ref="AK769"/>
    <hyperlink r:id="rId1581" ref="AL769"/>
    <hyperlink r:id="rId1582" ref="AM769"/>
    <hyperlink r:id="rId1583" ref="AN769"/>
    <hyperlink r:id="rId1584" ref="AO769"/>
    <hyperlink r:id="rId1585" ref="AI770"/>
    <hyperlink r:id="rId1586" ref="AJ770"/>
    <hyperlink r:id="rId1587" ref="AI771"/>
    <hyperlink r:id="rId1588" ref="AI772"/>
    <hyperlink r:id="rId1589" ref="AJ772"/>
    <hyperlink r:id="rId1590" ref="AK772"/>
    <hyperlink r:id="rId1591" ref="AI773"/>
    <hyperlink r:id="rId1592" ref="AJ773"/>
    <hyperlink r:id="rId1593" ref="AK773"/>
    <hyperlink r:id="rId1594" ref="AL773"/>
    <hyperlink r:id="rId1595" ref="AM773"/>
    <hyperlink r:id="rId1596" ref="AN773"/>
    <hyperlink r:id="rId1597" ref="AO773"/>
    <hyperlink r:id="rId1598" ref="AI774"/>
    <hyperlink r:id="rId1599" ref="AJ774"/>
    <hyperlink r:id="rId1600" ref="AD775"/>
    <hyperlink r:id="rId1601" ref="AI775"/>
    <hyperlink r:id="rId1602" ref="AJ775"/>
    <hyperlink r:id="rId1603" ref="AK775"/>
    <hyperlink r:id="rId1604" ref="AI776"/>
    <hyperlink r:id="rId1605" ref="AF777"/>
    <hyperlink r:id="rId1606" ref="AI777"/>
    <hyperlink r:id="rId1607" ref="AJ777"/>
    <hyperlink r:id="rId1608" ref="AK777"/>
    <hyperlink r:id="rId1609" ref="AL777"/>
    <hyperlink r:id="rId1610" ref="AM777"/>
    <hyperlink r:id="rId1611" ref="AI778"/>
    <hyperlink r:id="rId1612" ref="AJ778"/>
    <hyperlink r:id="rId1613" ref="AI779"/>
    <hyperlink r:id="rId1614" ref="AF780"/>
    <hyperlink r:id="rId1615" ref="AI780"/>
    <hyperlink r:id="rId1616" ref="AJ780"/>
    <hyperlink r:id="rId1617" ref="AI781"/>
    <hyperlink r:id="rId1618" ref="AI782"/>
    <hyperlink r:id="rId1619" ref="AA783"/>
    <hyperlink r:id="rId1620" ref="AI783"/>
    <hyperlink r:id="rId1621" ref="AJ783"/>
    <hyperlink r:id="rId1622" ref="AK783"/>
    <hyperlink r:id="rId1623" ref="AI784"/>
    <hyperlink r:id="rId1624" ref="AJ784"/>
    <hyperlink r:id="rId1625" ref="AK784"/>
    <hyperlink r:id="rId1626" ref="AL784"/>
    <hyperlink r:id="rId1627" ref="AI785"/>
    <hyperlink r:id="rId1628" ref="AI786"/>
    <hyperlink r:id="rId1629" ref="AI787"/>
    <hyperlink r:id="rId1630" ref="AJ787"/>
    <hyperlink r:id="rId1631" ref="AK787"/>
    <hyperlink r:id="rId1632" ref="AA788"/>
    <hyperlink r:id="rId1633" ref="AD788"/>
    <hyperlink r:id="rId1634" ref="AG788"/>
    <hyperlink r:id="rId1635" ref="AI788"/>
    <hyperlink r:id="rId1636" ref="AJ788"/>
    <hyperlink r:id="rId1637" ref="AK788"/>
    <hyperlink r:id="rId1638" ref="AL788"/>
    <hyperlink r:id="rId1639" ref="AD789"/>
    <hyperlink r:id="rId1640" ref="AE789"/>
    <hyperlink r:id="rId1641" ref="AI789"/>
    <hyperlink r:id="rId1642" ref="AJ789"/>
    <hyperlink r:id="rId1643" ref="AK789"/>
    <hyperlink r:id="rId1644" ref="AL789"/>
    <hyperlink r:id="rId1645" ref="AM789"/>
    <hyperlink r:id="rId1646" ref="AN789"/>
    <hyperlink r:id="rId1647" ref="AO789"/>
    <hyperlink r:id="rId1648" ref="AI790"/>
    <hyperlink r:id="rId1649" ref="AI791"/>
    <hyperlink r:id="rId1650" ref="AJ791"/>
    <hyperlink r:id="rId1651" ref="AK791"/>
    <hyperlink r:id="rId1652" ref="AI792"/>
    <hyperlink r:id="rId1653" ref="AD793"/>
    <hyperlink r:id="rId1654" ref="AI793"/>
    <hyperlink r:id="rId1655" ref="AJ793"/>
    <hyperlink r:id="rId1656" ref="AI794"/>
    <hyperlink r:id="rId1657" ref="AJ794"/>
    <hyperlink r:id="rId1658" location="horizon" ref="AI795"/>
    <hyperlink r:id="rId1659" ref="AI796"/>
    <hyperlink r:id="rId1660" ref="AJ796"/>
    <hyperlink r:id="rId1661" ref="AK796"/>
    <hyperlink r:id="rId1662" ref="AI797"/>
    <hyperlink r:id="rId1663" ref="AJ797"/>
    <hyperlink r:id="rId1664" ref="AI799"/>
    <hyperlink r:id="rId1665" ref="AI800"/>
    <hyperlink r:id="rId1666" ref="AD801"/>
    <hyperlink r:id="rId1667" ref="AE801"/>
    <hyperlink r:id="rId1668" ref="AI801"/>
    <hyperlink r:id="rId1669" ref="AJ801"/>
    <hyperlink r:id="rId1670" ref="AI802"/>
    <hyperlink r:id="rId1671" ref="AI803"/>
    <hyperlink r:id="rId1672" ref="AJ803"/>
    <hyperlink r:id="rId1673" ref="AK803"/>
    <hyperlink r:id="rId1674" ref="AD804"/>
    <hyperlink r:id="rId1675" ref="AI804"/>
    <hyperlink r:id="rId1676" ref="AJ804"/>
    <hyperlink r:id="rId1677" ref="AK804"/>
    <hyperlink r:id="rId1678" ref="AI805"/>
    <hyperlink r:id="rId1679" ref="AJ805"/>
    <hyperlink r:id="rId1680" ref="AK805"/>
    <hyperlink r:id="rId1681" ref="AD806"/>
    <hyperlink r:id="rId1682" ref="AI806"/>
    <hyperlink r:id="rId1683" ref="AJ806"/>
    <hyperlink r:id="rId1684" ref="AK806"/>
    <hyperlink r:id="rId1685" location="google_vignette" ref="AI807"/>
    <hyperlink r:id="rId1686" ref="AJ807"/>
    <hyperlink r:id="rId1687" ref="AK807"/>
    <hyperlink r:id="rId1688" ref="AI808"/>
    <hyperlink r:id="rId1689" ref="AJ808"/>
    <hyperlink r:id="rId1690" ref="AK808"/>
    <hyperlink r:id="rId1691" ref="AL808"/>
    <hyperlink r:id="rId1692" ref="AI809"/>
    <hyperlink r:id="rId1693" ref="AF810"/>
    <hyperlink r:id="rId1694" ref="AI810"/>
    <hyperlink r:id="rId1695" ref="AI811"/>
    <hyperlink r:id="rId1696" ref="AD812"/>
    <hyperlink r:id="rId1697" ref="AI812"/>
    <hyperlink r:id="rId1698" ref="AJ812"/>
    <hyperlink r:id="rId1699" ref="AK812"/>
    <hyperlink r:id="rId1700" ref="AL812"/>
    <hyperlink r:id="rId1701" location="solutions-newkensington" ref="AM812"/>
    <hyperlink r:id="rId1702" ref="AN812"/>
    <hyperlink r:id="rId1703" ref="AI813"/>
    <hyperlink r:id="rId1704" ref="AI814"/>
    <hyperlink r:id="rId1705" ref="AI815"/>
    <hyperlink r:id="rId1706" ref="AJ815"/>
    <hyperlink r:id="rId1707" ref="AI816"/>
    <hyperlink r:id="rId1708" ref="AI817"/>
    <hyperlink r:id="rId1709" ref="AI818"/>
    <hyperlink r:id="rId1710" ref="AI819"/>
    <hyperlink r:id="rId1711" ref="AI820"/>
    <hyperlink r:id="rId1712" ref="AI821"/>
    <hyperlink r:id="rId1713" ref="AI822"/>
    <hyperlink r:id="rId1714" location="PHI" ref="AI823"/>
    <hyperlink r:id="rId1715" ref="AI824"/>
    <hyperlink r:id="rId1716" ref="AI826"/>
    <hyperlink r:id="rId1717" ref="AI827"/>
    <hyperlink r:id="rId1718" ref="AI828"/>
    <hyperlink r:id="rId1719" ref="AI829"/>
    <hyperlink r:id="rId1720" ref="AI830"/>
    <hyperlink r:id="rId1721" ref="AI831"/>
    <hyperlink r:id="rId1722" ref="AI834"/>
    <hyperlink r:id="rId1723" ref="AJ834"/>
    <hyperlink r:id="rId1724" ref="AF835"/>
    <hyperlink r:id="rId1725" ref="AI835"/>
    <hyperlink r:id="rId1726" ref="AJ835"/>
    <hyperlink r:id="rId1727" ref="AD836"/>
    <hyperlink r:id="rId1728" ref="AI836"/>
    <hyperlink r:id="rId1729" ref="AI837"/>
    <hyperlink r:id="rId1730" ref="AI838"/>
    <hyperlink r:id="rId1731" ref="AI839"/>
    <hyperlink r:id="rId1732" ref="AI840"/>
    <hyperlink r:id="rId1733" ref="AJ840"/>
    <hyperlink r:id="rId1734" ref="AI841"/>
    <hyperlink r:id="rId1735" ref="AJ841"/>
    <hyperlink r:id="rId1736" ref="AK841"/>
    <hyperlink r:id="rId1737" ref="AI842"/>
    <hyperlink r:id="rId1738" ref="AJ842"/>
    <hyperlink r:id="rId1739" ref="AI843"/>
    <hyperlink r:id="rId1740" ref="AJ843"/>
    <hyperlink r:id="rId1741" ref="AK843"/>
    <hyperlink r:id="rId1742" ref="AL843"/>
    <hyperlink r:id="rId1743" ref="AD844"/>
    <hyperlink r:id="rId1744" ref="AI844"/>
    <hyperlink r:id="rId1745" ref="AJ844"/>
    <hyperlink r:id="rId1746" ref="AK844"/>
    <hyperlink r:id="rId1747" ref="AL844"/>
    <hyperlink r:id="rId1748" ref="AM844"/>
    <hyperlink r:id="rId1749" ref="AN844"/>
    <hyperlink r:id="rId1750" ref="AO844"/>
    <hyperlink r:id="rId1751" ref="AP844"/>
    <hyperlink r:id="rId1752" ref="AI845"/>
    <hyperlink r:id="rId1753" ref="AJ845"/>
    <hyperlink r:id="rId1754" ref="AD846"/>
    <hyperlink r:id="rId1755" ref="AI846"/>
    <hyperlink r:id="rId1756" ref="AJ846"/>
    <hyperlink r:id="rId1757" ref="AK846"/>
    <hyperlink r:id="rId1758" ref="AL846"/>
    <hyperlink r:id="rId1759" ref="AF847"/>
    <hyperlink r:id="rId1760" ref="AI847"/>
    <hyperlink r:id="rId1761" ref="AJ847"/>
    <hyperlink r:id="rId1762" ref="AK847"/>
    <hyperlink r:id="rId1763" ref="AL847"/>
    <hyperlink r:id="rId1764" ref="AD848"/>
    <hyperlink r:id="rId1765" ref="AI848"/>
    <hyperlink r:id="rId1766" ref="AJ848"/>
    <hyperlink r:id="rId1767" ref="AK848"/>
    <hyperlink r:id="rId1768" ref="AL848"/>
    <hyperlink r:id="rId1769" ref="AM848"/>
    <hyperlink r:id="rId1770" ref="AN848"/>
    <hyperlink r:id="rId1771" ref="AO848"/>
    <hyperlink r:id="rId1772" ref="AI850"/>
    <hyperlink r:id="rId1773" ref="AI851"/>
    <hyperlink r:id="rId1774" ref="AI852"/>
    <hyperlink r:id="rId1775" ref="AI853"/>
    <hyperlink r:id="rId1776" ref="AI854"/>
    <hyperlink r:id="rId1777" ref="AJ854"/>
    <hyperlink r:id="rId1778" ref="AK854"/>
    <hyperlink r:id="rId1779" ref="AL854"/>
    <hyperlink r:id="rId1780" ref="AF855"/>
    <hyperlink r:id="rId1781" ref="AI855"/>
    <hyperlink r:id="rId1782" ref="AJ855"/>
    <hyperlink r:id="rId1783" ref="AK855"/>
    <hyperlink r:id="rId1784" ref="AD856"/>
    <hyperlink r:id="rId1785" ref="AI856"/>
    <hyperlink r:id="rId1786" ref="AJ856"/>
    <hyperlink r:id="rId1787" ref="AK856"/>
    <hyperlink r:id="rId1788" ref="AL856"/>
    <hyperlink r:id="rId1789" ref="AM856"/>
    <hyperlink r:id="rId1790" ref="AN856"/>
    <hyperlink r:id="rId1791" ref="AA857"/>
    <hyperlink r:id="rId1792" ref="AD857"/>
    <hyperlink r:id="rId1793" ref="AI857"/>
    <hyperlink r:id="rId1794" ref="AJ857"/>
    <hyperlink r:id="rId1795" ref="AI858"/>
    <hyperlink r:id="rId1796" ref="AI859"/>
    <hyperlink r:id="rId1797" ref="AJ859"/>
    <hyperlink r:id="rId1798" ref="AI861"/>
    <hyperlink r:id="rId1799" ref="AJ861"/>
    <hyperlink r:id="rId1800" ref="AK861"/>
    <hyperlink r:id="rId1801" ref="AI862"/>
    <hyperlink r:id="rId1802" ref="AI863"/>
    <hyperlink r:id="rId1803" ref="AI864"/>
    <hyperlink r:id="rId1804" ref="AJ864"/>
    <hyperlink r:id="rId1805" ref="AK864"/>
    <hyperlink r:id="rId1806" ref="AD865"/>
    <hyperlink r:id="rId1807" ref="AD866"/>
    <hyperlink r:id="rId1808" ref="AI866"/>
    <hyperlink r:id="rId1809" ref="AJ866"/>
    <hyperlink r:id="rId1810" ref="AK866"/>
    <hyperlink r:id="rId1811" ref="AL866"/>
    <hyperlink r:id="rId1812" ref="AM866"/>
    <hyperlink r:id="rId1813" ref="AD867"/>
    <hyperlink r:id="rId1814" ref="AF867"/>
    <hyperlink r:id="rId1815" ref="AI867"/>
    <hyperlink r:id="rId1816" ref="AJ867"/>
    <hyperlink r:id="rId1817" ref="AK867"/>
    <hyperlink r:id="rId1818" ref="AL867"/>
    <hyperlink r:id="rId1819" ref="AM867"/>
    <hyperlink r:id="rId1820" ref="AI868"/>
    <hyperlink r:id="rId1821" ref="AF870"/>
    <hyperlink r:id="rId1822" ref="AI870"/>
    <hyperlink r:id="rId1823" ref="AJ870"/>
    <hyperlink r:id="rId1824" ref="AK870"/>
    <hyperlink r:id="rId1825" ref="AF871"/>
    <hyperlink r:id="rId1826" ref="AI871"/>
    <hyperlink r:id="rId1827" ref="AJ871"/>
    <hyperlink r:id="rId1828" ref="AK871"/>
    <hyperlink r:id="rId1829" ref="AL871"/>
    <hyperlink r:id="rId1830" ref="AI872"/>
    <hyperlink r:id="rId1831" ref="AI873"/>
    <hyperlink r:id="rId1832" ref="AJ873"/>
    <hyperlink r:id="rId1833" ref="AK873"/>
    <hyperlink r:id="rId1834" ref="AD874"/>
    <hyperlink r:id="rId1835" ref="AI874"/>
    <hyperlink r:id="rId1836" ref="AJ874"/>
    <hyperlink r:id="rId1837" ref="AF876"/>
    <hyperlink r:id="rId1838" ref="AI876"/>
    <hyperlink r:id="rId1839" ref="AJ876"/>
    <hyperlink r:id="rId1840" ref="AK876"/>
    <hyperlink r:id="rId1841" ref="AI877"/>
    <hyperlink r:id="rId1842" ref="AI879"/>
    <hyperlink r:id="rId1843" ref="AI880"/>
    <hyperlink r:id="rId1844" ref="AI881"/>
    <hyperlink r:id="rId1845" ref="AJ881"/>
    <hyperlink r:id="rId1846" ref="AK881"/>
    <hyperlink r:id="rId1847" ref="AI882"/>
    <hyperlink r:id="rId1848" ref="AJ882"/>
    <hyperlink r:id="rId1849" ref="AK882"/>
    <hyperlink r:id="rId1850" ref="AD883"/>
    <hyperlink r:id="rId1851" ref="AE883"/>
    <hyperlink r:id="rId1852" ref="AF883"/>
    <hyperlink r:id="rId1853" ref="AI883"/>
    <hyperlink r:id="rId1854" ref="AJ883"/>
    <hyperlink r:id="rId1855" ref="AK883"/>
    <hyperlink r:id="rId1856" ref="AL883"/>
    <hyperlink r:id="rId1857" ref="AM883"/>
    <hyperlink r:id="rId1858" ref="AF884"/>
    <hyperlink r:id="rId1859" ref="AI884"/>
    <hyperlink r:id="rId1860" ref="AJ884"/>
    <hyperlink r:id="rId1861" ref="AK884"/>
    <hyperlink r:id="rId1862" ref="AI885"/>
    <hyperlink r:id="rId1863" ref="AI886"/>
    <hyperlink r:id="rId1864" ref="AI887"/>
    <hyperlink r:id="rId1865" ref="AJ887"/>
    <hyperlink r:id="rId1866" ref="AI888"/>
    <hyperlink r:id="rId1867" ref="AJ888"/>
    <hyperlink r:id="rId1868" ref="AI889"/>
    <hyperlink r:id="rId1869" ref="AJ889"/>
    <hyperlink r:id="rId1870" ref="AK889"/>
    <hyperlink r:id="rId1871" ref="AL889"/>
    <hyperlink r:id="rId1872" ref="AM889"/>
    <hyperlink r:id="rId1873" ref="AI890"/>
    <hyperlink r:id="rId1874" ref="AJ890"/>
    <hyperlink r:id="rId1875" ref="AK890"/>
    <hyperlink r:id="rId1876" ref="AL890"/>
    <hyperlink r:id="rId1877" ref="AM890"/>
    <hyperlink r:id="rId1878" ref="AN890"/>
    <hyperlink r:id="rId1879" ref="AO890"/>
    <hyperlink r:id="rId1880" ref="AI891"/>
    <hyperlink r:id="rId1881" ref="AJ891"/>
    <hyperlink r:id="rId1882" ref="AK891"/>
    <hyperlink r:id="rId1883" ref="AL891"/>
    <hyperlink r:id="rId1884" ref="AM891"/>
    <hyperlink r:id="rId1885" ref="AN891"/>
    <hyperlink r:id="rId1886" ref="AI892"/>
    <hyperlink r:id="rId1887" ref="AI893"/>
    <hyperlink r:id="rId1888" ref="AF894"/>
    <hyperlink r:id="rId1889" ref="AI894"/>
    <hyperlink r:id="rId1890" ref="AJ894"/>
    <hyperlink r:id="rId1891" ref="AK894"/>
    <hyperlink r:id="rId1892" ref="AL894"/>
    <hyperlink r:id="rId1893" ref="AM894"/>
    <hyperlink r:id="rId1894" ref="AN894"/>
    <hyperlink r:id="rId1895" ref="AI895"/>
    <hyperlink r:id="rId1896" ref="AI896"/>
    <hyperlink r:id="rId1897" ref="AI898"/>
    <hyperlink r:id="rId1898" ref="AI899"/>
    <hyperlink r:id="rId1899" ref="AJ899"/>
    <hyperlink r:id="rId1900" ref="AI900"/>
    <hyperlink r:id="rId1901" ref="AI901"/>
    <hyperlink r:id="rId1902" ref="AI902"/>
    <hyperlink r:id="rId1903" ref="AI903"/>
    <hyperlink r:id="rId1904" ref="AI904"/>
    <hyperlink r:id="rId1905" ref="AF905"/>
    <hyperlink r:id="rId1906" ref="AI905"/>
    <hyperlink r:id="rId1907" ref="AI906"/>
    <hyperlink r:id="rId1908" ref="AJ906"/>
    <hyperlink r:id="rId1909" ref="AK906"/>
    <hyperlink r:id="rId1910" ref="AI907"/>
    <hyperlink r:id="rId1911" ref="AI908"/>
    <hyperlink r:id="rId1912" ref="AI909"/>
    <hyperlink r:id="rId1913" ref="AI910"/>
    <hyperlink r:id="rId1914" ref="AI911"/>
    <hyperlink r:id="rId1915" ref="AI912"/>
    <hyperlink r:id="rId1916" ref="AJ912"/>
    <hyperlink r:id="rId1917" ref="AK912"/>
    <hyperlink r:id="rId1918" ref="AI913"/>
    <hyperlink r:id="rId1919" ref="AJ913"/>
    <hyperlink r:id="rId1920" ref="AK913"/>
    <hyperlink r:id="rId1921" ref="AI914"/>
    <hyperlink r:id="rId1922" ref="AJ914"/>
    <hyperlink r:id="rId1923" ref="AI915"/>
    <hyperlink r:id="rId1924" ref="AJ915"/>
    <hyperlink r:id="rId1925" ref="AI916"/>
    <hyperlink r:id="rId1926" ref="AI917"/>
    <hyperlink r:id="rId1927" ref="AJ917"/>
    <hyperlink r:id="rId1928" ref="AI918"/>
    <hyperlink r:id="rId1929" ref="AJ918"/>
    <hyperlink r:id="rId1930" ref="AK918"/>
    <hyperlink r:id="rId1931" ref="AL918"/>
    <hyperlink r:id="rId1932" ref="AM918"/>
    <hyperlink r:id="rId1933" ref="AN918"/>
    <hyperlink r:id="rId1934" ref="AO918"/>
    <hyperlink r:id="rId1935" ref="AP918"/>
    <hyperlink r:id="rId1936" ref="AI919"/>
    <hyperlink r:id="rId1937" ref="AI922"/>
    <hyperlink r:id="rId1938" ref="AI923"/>
    <hyperlink r:id="rId1939" ref="AI926"/>
    <hyperlink r:id="rId1940" ref="AI927"/>
    <hyperlink r:id="rId1941" ref="AI929"/>
    <hyperlink r:id="rId1942" ref="AJ929"/>
    <hyperlink r:id="rId1943" ref="AK929"/>
    <hyperlink r:id="rId1944" ref="AI930"/>
    <hyperlink r:id="rId1945" ref="AJ930"/>
    <hyperlink r:id="rId1946" ref="AI931"/>
    <hyperlink r:id="rId1947" ref="AI932"/>
    <hyperlink r:id="rId1948" ref="AI933"/>
    <hyperlink r:id="rId1949" ref="AI934"/>
    <hyperlink r:id="rId1950" ref="AJ934"/>
    <hyperlink r:id="rId1951" ref="AI935"/>
    <hyperlink r:id="rId1952" ref="AI936"/>
    <hyperlink r:id="rId1953" ref="AI937"/>
    <hyperlink r:id="rId1954" ref="AJ937"/>
    <hyperlink r:id="rId1955" ref="AK937"/>
    <hyperlink r:id="rId1956" ref="AI938"/>
    <hyperlink r:id="rId1957" ref="AJ938"/>
    <hyperlink r:id="rId1958" ref="AF940"/>
    <hyperlink r:id="rId1959" ref="AI940"/>
    <hyperlink r:id="rId1960" ref="AI941"/>
    <hyperlink r:id="rId1961" ref="AI942"/>
    <hyperlink r:id="rId1962" ref="AI943"/>
    <hyperlink r:id="rId1963" ref="AI944"/>
    <hyperlink r:id="rId1964" ref="AI946"/>
    <hyperlink r:id="rId1965" ref="AJ946"/>
    <hyperlink r:id="rId1966" ref="AI947"/>
    <hyperlink r:id="rId1967" ref="AI948"/>
    <hyperlink r:id="rId1968" ref="AI949"/>
    <hyperlink r:id="rId1969" ref="AD950"/>
    <hyperlink r:id="rId1970" ref="AI950"/>
    <hyperlink r:id="rId1971" ref="AI951"/>
    <hyperlink r:id="rId1972" ref="AJ951"/>
    <hyperlink r:id="rId1973" ref="AK951"/>
    <hyperlink r:id="rId1974" ref="AI952"/>
    <hyperlink r:id="rId1975" ref="AI953"/>
    <hyperlink r:id="rId1976" ref="AJ953"/>
    <hyperlink r:id="rId1977" ref="AI954"/>
    <hyperlink r:id="rId1978" ref="AJ954"/>
    <hyperlink r:id="rId1979" ref="AI955"/>
    <hyperlink r:id="rId1980" ref="AI956"/>
    <hyperlink r:id="rId1981" ref="AJ956"/>
    <hyperlink r:id="rId1982" ref="AI957"/>
    <hyperlink r:id="rId1983" ref="AI958"/>
    <hyperlink r:id="rId1984" ref="AJ958"/>
    <hyperlink r:id="rId1985" ref="AK958"/>
    <hyperlink r:id="rId1986" ref="AI959"/>
    <hyperlink r:id="rId1987" ref="AI960"/>
    <hyperlink r:id="rId1988" ref="AJ960"/>
    <hyperlink r:id="rId1989" ref="AK960"/>
    <hyperlink r:id="rId1990" ref="AI961"/>
    <hyperlink r:id="rId1991" ref="AF962"/>
    <hyperlink r:id="rId1992" ref="AI962"/>
    <hyperlink r:id="rId1993" ref="AJ962"/>
    <hyperlink r:id="rId1994" ref="AI963"/>
    <hyperlink r:id="rId1995" ref="AI964"/>
    <hyperlink r:id="rId1996" ref="AA965"/>
    <hyperlink r:id="rId1997" ref="AF965"/>
    <hyperlink r:id="rId1998" ref="AI965"/>
    <hyperlink r:id="rId1999" ref="AJ965"/>
    <hyperlink r:id="rId2000" ref="AK965"/>
    <hyperlink r:id="rId2001" ref="AI966"/>
    <hyperlink r:id="rId2002" ref="AJ966"/>
    <hyperlink r:id="rId2003" ref="AI967"/>
    <hyperlink r:id="rId2004" ref="AJ967"/>
    <hyperlink r:id="rId2005" ref="AK967"/>
    <hyperlink r:id="rId2006" ref="AL967"/>
    <hyperlink r:id="rId2007" ref="AA968"/>
    <hyperlink r:id="rId2008" ref="AF968"/>
    <hyperlink r:id="rId2009" ref="AI968"/>
    <hyperlink r:id="rId2010" ref="AJ968"/>
    <hyperlink r:id="rId2011" ref="AI969"/>
    <hyperlink r:id="rId2012" ref="AI970"/>
    <hyperlink r:id="rId2013" ref="AJ970"/>
    <hyperlink r:id="rId2014" ref="AI971"/>
    <hyperlink r:id="rId2015" ref="AI972"/>
    <hyperlink r:id="rId2016" ref="AI973"/>
    <hyperlink r:id="rId2017" ref="AI975"/>
    <hyperlink r:id="rId2018" ref="AJ976"/>
    <hyperlink r:id="rId2019" ref="AK976"/>
    <hyperlink r:id="rId2020" ref="AI978"/>
    <hyperlink r:id="rId2021" ref="AI979"/>
    <hyperlink r:id="rId2022" ref="AI980"/>
    <hyperlink r:id="rId2023" ref="AJ980"/>
    <hyperlink r:id="rId2024" ref="AI981"/>
    <hyperlink r:id="rId2025" ref="AJ981"/>
    <hyperlink r:id="rId2026" ref="AI982"/>
    <hyperlink r:id="rId2027" ref="AI983"/>
    <hyperlink r:id="rId2028" ref="AJ983"/>
    <hyperlink r:id="rId2029" ref="AI984"/>
    <hyperlink r:id="rId2030" ref="AJ984"/>
    <hyperlink r:id="rId2031" ref="AI985"/>
    <hyperlink r:id="rId2032" ref="AI986"/>
    <hyperlink r:id="rId2033" ref="AI987"/>
    <hyperlink r:id="rId2034" ref="AI988"/>
    <hyperlink r:id="rId2035" ref="AI989"/>
    <hyperlink r:id="rId2036" ref="AI990"/>
    <hyperlink r:id="rId2037" ref="AI991"/>
    <hyperlink r:id="rId2038" ref="AJ991"/>
    <hyperlink r:id="rId2039" ref="AK991"/>
    <hyperlink r:id="rId2040" ref="AI992"/>
    <hyperlink r:id="rId2041" ref="AI993"/>
    <hyperlink r:id="rId2042" ref="AJ993"/>
    <hyperlink r:id="rId2043" ref="AI994"/>
    <hyperlink r:id="rId2044" ref="AJ994"/>
    <hyperlink r:id="rId2045" ref="AK994"/>
    <hyperlink r:id="rId2046" ref="AI995"/>
    <hyperlink r:id="rId2047" ref="AI996"/>
    <hyperlink r:id="rId2048" ref="AJ996"/>
    <hyperlink r:id="rId2049" ref="AI997"/>
    <hyperlink r:id="rId2050" ref="AI998"/>
    <hyperlink r:id="rId2051" ref="AI999"/>
    <hyperlink r:id="rId2052" ref="AI1000"/>
    <hyperlink r:id="rId2053" ref="AI1001"/>
    <hyperlink r:id="rId2054" ref="AI1002"/>
    <hyperlink r:id="rId2055" ref="AI1003"/>
    <hyperlink r:id="rId2056" ref="AJ1003"/>
    <hyperlink r:id="rId2057" ref="AK1003"/>
    <hyperlink r:id="rId2058" ref="AI1004"/>
    <hyperlink r:id="rId2059" ref="AI1005"/>
    <hyperlink r:id="rId2060" ref="AJ1005"/>
    <hyperlink r:id="rId2061" ref="AI1006"/>
    <hyperlink r:id="rId2062" ref="AI1007"/>
    <hyperlink r:id="rId2063" ref="AJ1007"/>
    <hyperlink r:id="rId2064" ref="AK1007"/>
    <hyperlink r:id="rId2065" ref="AI1008"/>
    <hyperlink r:id="rId2066" ref="AJ1008"/>
    <hyperlink r:id="rId2067" ref="AI1009"/>
    <hyperlink r:id="rId2068" ref="AI1010"/>
    <hyperlink r:id="rId2069" ref="AI1011"/>
    <hyperlink r:id="rId2070" ref="AI1013"/>
    <hyperlink r:id="rId2071" ref="AJ1013"/>
    <hyperlink r:id="rId2072" ref="AK1013"/>
    <hyperlink r:id="rId2073" ref="AI1017"/>
    <hyperlink r:id="rId2074" ref="AI1018"/>
    <hyperlink r:id="rId2075" ref="AI1019"/>
    <hyperlink r:id="rId2076" ref="AI1020"/>
    <hyperlink r:id="rId2077" ref="AI1021"/>
    <hyperlink r:id="rId2078" ref="AJ1021"/>
    <hyperlink r:id="rId2079" ref="AI1022"/>
    <hyperlink r:id="rId2080" ref="AJ1022"/>
    <hyperlink r:id="rId2081" ref="AI1027"/>
    <hyperlink r:id="rId2082" ref="AI1028"/>
    <hyperlink r:id="rId2083" ref="AI1029"/>
    <hyperlink r:id="rId2084" ref="AI1030"/>
    <hyperlink r:id="rId2085" ref="AD1033"/>
    <hyperlink r:id="rId2086" ref="AI1033"/>
    <hyperlink r:id="rId2087" ref="AJ1033"/>
    <hyperlink r:id="rId2088" ref="AI1034"/>
    <hyperlink r:id="rId2089" ref="AI1035"/>
    <hyperlink r:id="rId2090" ref="AI1036"/>
    <hyperlink r:id="rId2091" ref="AI1037"/>
    <hyperlink r:id="rId2092" ref="AJ1037"/>
    <hyperlink r:id="rId2093" ref="AI1038"/>
    <hyperlink r:id="rId2094" ref="AI1040"/>
    <hyperlink r:id="rId2095" ref="AI1043"/>
    <hyperlink r:id="rId2096" ref="AI1044"/>
    <hyperlink r:id="rId2097" ref="AI1045"/>
    <hyperlink r:id="rId2098" ref="AI1046"/>
    <hyperlink r:id="rId2099" ref="AI1047"/>
    <hyperlink r:id="rId2100" ref="AJ1047"/>
    <hyperlink r:id="rId2101" ref="AK1047"/>
    <hyperlink r:id="rId2102" ref="AI1048"/>
    <hyperlink r:id="rId2103" ref="AI1049"/>
    <hyperlink r:id="rId2104" ref="AI1052"/>
    <hyperlink r:id="rId2105" ref="AI1054"/>
    <hyperlink r:id="rId2106" ref="AJ1054"/>
    <hyperlink r:id="rId2107" ref="AI1055"/>
    <hyperlink r:id="rId2108" ref="AI1056"/>
    <hyperlink r:id="rId2109" ref="AI1057"/>
    <hyperlink r:id="rId2110" ref="AJ1057"/>
    <hyperlink r:id="rId2111" ref="AI1058"/>
    <hyperlink r:id="rId2112" ref="AI1059"/>
    <hyperlink r:id="rId2113" ref="AJ1059"/>
    <hyperlink r:id="rId2114" ref="AI1060"/>
    <hyperlink r:id="rId2115" ref="AJ1060"/>
    <hyperlink r:id="rId2116" ref="AI1061"/>
    <hyperlink r:id="rId2117" ref="AI1062"/>
    <hyperlink r:id="rId2118" ref="AI1063"/>
    <hyperlink r:id="rId2119" ref="AI1064"/>
    <hyperlink r:id="rId2120" ref="AI1065"/>
    <hyperlink r:id="rId2121" ref="AJ1065"/>
    <hyperlink r:id="rId2122" ref="AI1066"/>
    <hyperlink r:id="rId2123" ref="AI1067"/>
    <hyperlink r:id="rId2124" ref="AJ1067"/>
    <hyperlink r:id="rId2125" ref="AK1067"/>
    <hyperlink r:id="rId2126" ref="AL1067"/>
    <hyperlink r:id="rId2127" ref="AI1068"/>
    <hyperlink r:id="rId2128" ref="AJ1068"/>
    <hyperlink r:id="rId2129" ref="AI1069"/>
    <hyperlink r:id="rId2130" ref="AJ1069"/>
    <hyperlink r:id="rId2131" ref="AK1069"/>
    <hyperlink r:id="rId2132" ref="AI1070"/>
    <hyperlink r:id="rId2133" ref="AJ1070"/>
    <hyperlink r:id="rId2134" ref="AI1071"/>
    <hyperlink r:id="rId2135" ref="AJ1071"/>
    <hyperlink r:id="rId2136" ref="AK1071"/>
    <hyperlink r:id="rId2137" ref="AL1071"/>
    <hyperlink r:id="rId2138" ref="AM1071"/>
    <hyperlink r:id="rId2139" ref="AI1072"/>
    <hyperlink r:id="rId2140" ref="AJ1072"/>
    <hyperlink r:id="rId2141" ref="AI1073"/>
    <hyperlink r:id="rId2142" ref="AI1074"/>
    <hyperlink r:id="rId2143" ref="AI1075"/>
    <hyperlink r:id="rId2144" ref="AJ1075"/>
    <hyperlink r:id="rId2145" ref="AK1075"/>
    <hyperlink r:id="rId2146" ref="AL1075"/>
    <hyperlink r:id="rId2147" ref="AI1076"/>
    <hyperlink r:id="rId2148" ref="AI1077"/>
    <hyperlink r:id="rId2149" ref="AJ1077"/>
    <hyperlink r:id="rId2150" ref="AI1078"/>
    <hyperlink r:id="rId2151" ref="AI1079"/>
    <hyperlink r:id="rId2152" ref="AI1080"/>
    <hyperlink r:id="rId2153" ref="AI1081"/>
    <hyperlink r:id="rId2154" ref="AI1082"/>
    <hyperlink r:id="rId2155" ref="AI1083"/>
    <hyperlink r:id="rId2156" ref="AI1084"/>
    <hyperlink r:id="rId2157" ref="AI1085"/>
    <hyperlink r:id="rId2158" ref="AI1086"/>
    <hyperlink r:id="rId2159" ref="AI1087"/>
    <hyperlink r:id="rId2160" ref="AJ1087"/>
    <hyperlink r:id="rId2161" ref="AI1088"/>
    <hyperlink r:id="rId2162" ref="AJ1088"/>
    <hyperlink r:id="rId2163" ref="AK1088"/>
    <hyperlink r:id="rId2164" ref="AI1089"/>
    <hyperlink r:id="rId2165" ref="AJ1089"/>
    <hyperlink r:id="rId2166" ref="AI1090"/>
    <hyperlink r:id="rId2167" ref="AJ1090"/>
    <hyperlink r:id="rId2168" ref="AI1091"/>
    <hyperlink r:id="rId2169" ref="AJ1091"/>
    <hyperlink r:id="rId2170" ref="AK1091"/>
    <hyperlink r:id="rId2171" ref="AL1091"/>
    <hyperlink r:id="rId2172" ref="AI1092"/>
    <hyperlink r:id="rId2173" ref="AI1093"/>
    <hyperlink r:id="rId2174" ref="AJ1093"/>
    <hyperlink r:id="rId2175" ref="AI1094"/>
    <hyperlink r:id="rId2176" ref="AI1095"/>
    <hyperlink r:id="rId2177" ref="AJ1095"/>
    <hyperlink r:id="rId2178" ref="AK1095"/>
    <hyperlink r:id="rId2179" ref="AI1096"/>
    <hyperlink r:id="rId2180" location=":~:text=A%20proposed%20artificial%20intelligence%20data,concern%2C%20as%20reported%20by%20ABC4." ref="AA1098"/>
    <hyperlink r:id="rId2181" ref="AF1098"/>
    <hyperlink r:id="rId2182" location=":~:text=4%2C000%20acres%20owned%2C%20located%20in%20Millard%20County%2C,Buildings%20Phase%20I:%206%20facilities%20%C2%B7%20Power" ref="AI1098"/>
    <hyperlink r:id="rId2183" ref="AJ1098"/>
    <hyperlink r:id="rId2184" ref="AK1098"/>
    <hyperlink r:id="rId2185" ref="AI1099"/>
    <hyperlink r:id="rId2186" ref="AJ1099"/>
    <hyperlink r:id="rId2187" ref="AI1100"/>
    <hyperlink r:id="rId2188" ref="AI1101"/>
    <hyperlink r:id="rId2189" ref="AJ1101"/>
    <hyperlink r:id="rId2190" ref="AK1101"/>
    <hyperlink r:id="rId2191" ref="AL1101"/>
    <hyperlink r:id="rId2192" ref="AM1101"/>
    <hyperlink r:id="rId2193" ref="AI1102"/>
    <hyperlink r:id="rId2194" ref="AJ1102"/>
    <hyperlink r:id="rId2195" ref="AK1102"/>
    <hyperlink r:id="rId2196" ref="AL1102"/>
    <hyperlink r:id="rId2197" ref="AM1102"/>
    <hyperlink r:id="rId2198" ref="AI1103"/>
    <hyperlink r:id="rId2199" ref="AJ1103"/>
    <hyperlink r:id="rId2200" ref="AI1104"/>
    <hyperlink r:id="rId2201" ref="AI1105"/>
    <hyperlink r:id="rId2202" ref="AI1106"/>
    <hyperlink r:id="rId2203" ref="AJ1107"/>
    <hyperlink r:id="rId2204" location="/plan/c8b47962-6627-4998-a318-03e49ce25ef7?tab=locations" ref="AI1108"/>
    <hyperlink r:id="rId2205" ref="AJ1108"/>
    <hyperlink r:id="rId2206" ref="AJ1109"/>
    <hyperlink r:id="rId2207" ref="AI1110"/>
    <hyperlink r:id="rId2208" ref="AJ1110"/>
    <hyperlink r:id="rId2209" location="projects" ref="AG1111"/>
    <hyperlink r:id="rId2210" ref="AI1111"/>
    <hyperlink r:id="rId2211" location="/mwl?location=-78.823814_37.355265&amp;zoom=18" ref="AJ1111"/>
    <hyperlink r:id="rId2212" ref="AI1112"/>
    <hyperlink r:id="rId2213" ref="AJ1112"/>
    <hyperlink r:id="rId2214" ref="AJ1113"/>
    <hyperlink r:id="rId2215" ref="AK1113"/>
    <hyperlink r:id="rId2216" ref="AI1114"/>
    <hyperlink r:id="rId2217" ref="AJ1114"/>
    <hyperlink r:id="rId2218" ref="AI1115"/>
    <hyperlink r:id="rId2219" ref="AJ1115"/>
    <hyperlink r:id="rId2220" ref="AJ1116"/>
    <hyperlink r:id="rId2221" ref="AK1116"/>
    <hyperlink r:id="rId2222" ref="AJ1117"/>
    <hyperlink r:id="rId2223" ref="AJ1118"/>
    <hyperlink r:id="rId2224" ref="AJ1119"/>
    <hyperlink r:id="rId2225" ref="AJ1120"/>
    <hyperlink r:id="rId2226" ref="AJ1121"/>
    <hyperlink r:id="rId2227" ref="AJ1122"/>
    <hyperlink r:id="rId2228" ref="AJ1123"/>
    <hyperlink r:id="rId2229" location="/plan/72E98EAA-F26D-4639-B064-77C8BF2DFEA6?tab=attachments" ref="AI1124"/>
    <hyperlink r:id="rId2230" ref="AJ1124"/>
    <hyperlink r:id="rId2231" ref="AJ1125"/>
    <hyperlink r:id="rId2232" ref="AJ1126"/>
    <hyperlink r:id="rId2233" ref="AJ1127"/>
    <hyperlink r:id="rId2234" location="/plan/bb5f1aed-1eda-4c62-8c86-d8e940d94a8c?tab=locations" ref="AI1128"/>
    <hyperlink r:id="rId2235" ref="AJ1128"/>
    <hyperlink r:id="rId2236" ref="AK1128"/>
    <hyperlink r:id="rId2237" ref="AJ1129"/>
    <hyperlink r:id="rId2238" ref="AJ1130"/>
    <hyperlink r:id="rId2239" location="/plan/4501aa59-679f-4081-89ab-1b1324e19725?tab=attachments" ref="AI1131"/>
    <hyperlink r:id="rId2240" ref="AJ1131"/>
    <hyperlink r:id="rId2241" ref="AJ1132"/>
    <hyperlink r:id="rId2242" location="/plan/f2ea6049-532c-4cf9-b48c-f45534a9f87d?tab=attachments" ref="AI1133"/>
    <hyperlink r:id="rId2243" ref="AJ1133"/>
    <hyperlink r:id="rId2244" ref="AJ1134"/>
    <hyperlink r:id="rId2245" ref="AJ1135"/>
    <hyperlink r:id="rId2246" ref="AI1136"/>
    <hyperlink r:id="rId2247" ref="AJ1136"/>
    <hyperlink r:id="rId2248" ref="AJ1137"/>
    <hyperlink r:id="rId2249" location="/plan/3ABB5C2A-93A6-4300-92BE-548EFC9CF34C?tab=attachments" ref="AI1138"/>
    <hyperlink r:id="rId2250" ref="AJ1138"/>
    <hyperlink r:id="rId2251" ref="AI1139"/>
    <hyperlink r:id="rId2252" location="/plan/A3CFB06B-5F39-4218-A8C5-D494E4ABAB9B?tab=locations" ref="AI1140"/>
    <hyperlink r:id="rId2253" ref="AJ1140"/>
    <hyperlink r:id="rId2254" location="/plan/CE0FA648-33FE-41A8-AFF4-5DD4C9FAB100" ref="AI1141"/>
    <hyperlink r:id="rId2255" ref="AJ1141"/>
    <hyperlink r:id="rId2256" ref="AI1142"/>
    <hyperlink r:id="rId2257" ref="AI1143"/>
    <hyperlink r:id="rId2258" location="/plan/f74213d7-0302-43fe-be04-0b7241e37af4?tab=attachments" ref="AI1144"/>
    <hyperlink r:id="rId2259" ref="AJ1144"/>
    <hyperlink r:id="rId2260" ref="AI1145"/>
    <hyperlink r:id="rId2261" ref="AI1146"/>
    <hyperlink r:id="rId2262" ref="AI1147"/>
    <hyperlink r:id="rId2263" ref="AI1148"/>
    <hyperlink r:id="rId2264" location="/plan/bd36a7c3-e836-4275-a899-347180318c33?tab=attachments" ref="AI1149"/>
    <hyperlink r:id="rId2265" ref="AJ1149"/>
    <hyperlink r:id="rId2266" ref="AJ1150"/>
    <hyperlink r:id="rId2267" ref="AI1151"/>
    <hyperlink r:id="rId2268" ref="AI1152"/>
    <hyperlink r:id="rId2269" ref="AI1153"/>
    <hyperlink r:id="rId2270" ref="AJ1153"/>
    <hyperlink r:id="rId2271" ref="AI1154"/>
    <hyperlink r:id="rId2272" ref="AI1155"/>
    <hyperlink r:id="rId2273" ref="AI1156"/>
    <hyperlink r:id="rId2274" ref="AI1157"/>
    <hyperlink r:id="rId2275" ref="AI1158"/>
    <hyperlink r:id="rId2276" ref="AI1159"/>
    <hyperlink r:id="rId2277" ref="AI1160"/>
    <hyperlink r:id="rId2278" ref="AI1161"/>
    <hyperlink r:id="rId2279" ref="AI1162"/>
    <hyperlink r:id="rId2280" ref="AI1163"/>
    <hyperlink r:id="rId2281" location="/plan/D44DB647-CD20-4FAD-8BEF-A0CDEBD6372B?tab=attachments" ref="AI1164"/>
    <hyperlink r:id="rId2282" ref="AJ1164"/>
    <hyperlink r:id="rId2283" ref="AI1165"/>
    <hyperlink r:id="rId2284" ref="AJ1166"/>
    <hyperlink r:id="rId2285" ref="AJ1167"/>
    <hyperlink r:id="rId2286" ref="AJ1168"/>
    <hyperlink r:id="rId2287" ref="AI1169"/>
    <hyperlink r:id="rId2288" ref="AI1170"/>
    <hyperlink r:id="rId2289" ref="AJ1170"/>
    <hyperlink r:id="rId2290" ref="AK1170"/>
    <hyperlink r:id="rId2291" location="/plan/0cdca2e2-c29e-4a7a-ab35-862bad8566e3?tab=attachments" ref="AI1171"/>
    <hyperlink r:id="rId2292" ref="AJ1171"/>
    <hyperlink r:id="rId2293" location="/plan/3e234d9f-412a-41f5-94e3-475b94214980?tab=attachments" ref="AI1172"/>
    <hyperlink r:id="rId2294" ref="AJ1172"/>
    <hyperlink r:id="rId2295" location="/plan/3e234d9f-412a-41f5-94e3-475b94214980?tab=attachments" ref="AI1173"/>
    <hyperlink r:id="rId2296" ref="AJ1173"/>
    <hyperlink r:id="rId2297" location="/plan/3e234d9f-412a-41f5-94e3-475b94214980?tab=attachments" ref="AI1174"/>
    <hyperlink r:id="rId2298" ref="AJ1174"/>
    <hyperlink r:id="rId2299" ref="AI1175"/>
    <hyperlink r:id="rId2300" ref="AJ1175"/>
    <hyperlink r:id="rId2301" location="/plan/D476DA12-5225-4CDE-B20E-0115B3DEC520?tab=locations" ref="AI1176"/>
    <hyperlink r:id="rId2302" location="/plan/950F3AEF-A90A-44A7-9963-3B20A7A8A394?tab=attachments" ref="AI1177"/>
    <hyperlink r:id="rId2303" ref="AJ1177"/>
    <hyperlink r:id="rId2304" ref="AI1178"/>
    <hyperlink r:id="rId2305" ref="AI1179"/>
    <hyperlink r:id="rId2306" location="/plan/BD994C24-2C84-49FF-8D7B-B619C548E517?tab=attachments" ref="AI1180"/>
    <hyperlink r:id="rId2307" ref="AJ1180"/>
    <hyperlink r:id="rId2308" location="/plan/c34be238-7d4b-4f9b-9b80-152afd7a05d4?tab=locations" ref="AI1181"/>
    <hyperlink r:id="rId2309" ref="AJ1181"/>
    <hyperlink r:id="rId2310" ref="AI1182"/>
    <hyperlink r:id="rId2311" ref="AJ1182"/>
    <hyperlink r:id="rId2312" ref="AI1183"/>
    <hyperlink r:id="rId2313" ref="AJ1183"/>
    <hyperlink r:id="rId2314" ref="AI1184"/>
    <hyperlink r:id="rId2315" ref="AI1185"/>
    <hyperlink r:id="rId2316" ref="AI1186"/>
    <hyperlink r:id="rId2317" ref="AI1187"/>
    <hyperlink r:id="rId2318" ref="AI1188"/>
    <hyperlink r:id="rId2319" ref="AI1189"/>
    <hyperlink r:id="rId2320" location="/plan/1f301435-5cb5-4515-95c7-0dc1844362ea?tab=moreinfo" ref="AI1192"/>
    <hyperlink r:id="rId2321" ref="AJ1192"/>
    <hyperlink r:id="rId2322" location="/plan/323d298e-a0ad-4dc7-accd-f6b27b404c50" ref="AI1193"/>
    <hyperlink r:id="rId2323" ref="AJ1193"/>
    <hyperlink r:id="rId2324" location="/plan/01fffe17-1fdc-46e3-bd5c-f5795320e7e6?tab=attachments" ref="AI1194"/>
    <hyperlink r:id="rId2325" ref="AJ1194"/>
    <hyperlink r:id="rId2326" ref="AI1195"/>
    <hyperlink r:id="rId2327" ref="AJ1195"/>
    <hyperlink r:id="rId2328" location="/plan/99b2ba0d-f246-4c99-b44a-b4b2ccda56bf" ref="AI1196"/>
    <hyperlink r:id="rId2329" ref="AJ1196"/>
    <hyperlink r:id="rId2330" ref="AI1197"/>
    <hyperlink r:id="rId2331" location="/plan/71a5c10e-0a22-4286-a5c9-b05bff0d3e5f?tab=attachments" ref="AI1198"/>
    <hyperlink r:id="rId2332" ref="AJ1198"/>
    <hyperlink r:id="rId2333" ref="AI1199"/>
    <hyperlink r:id="rId2334" ref="AI1200"/>
    <hyperlink r:id="rId2335" ref="AJ1200"/>
    <hyperlink r:id="rId2336" ref="AI1201"/>
    <hyperlink r:id="rId2337" ref="AI1202"/>
    <hyperlink r:id="rId2338" location="/plan/30cd92af-9b69-425c-924d-b7653f1e009e?tab=attachments" ref="AI1203"/>
    <hyperlink r:id="rId2339" ref="AJ1203"/>
    <hyperlink r:id="rId2340" ref="AI1204"/>
    <hyperlink r:id="rId2341" location="/plan/8f168f14-7317-41b8-9a51-0fb7fc218ac1?tab=attachments" ref="AI1205"/>
    <hyperlink r:id="rId2342" ref="AJ1205"/>
    <hyperlink r:id="rId2343" ref="AI1206"/>
    <hyperlink r:id="rId2344" ref="AF1207"/>
    <hyperlink r:id="rId2345" ref="AI1207"/>
    <hyperlink r:id="rId2346" ref="AJ1207"/>
    <hyperlink r:id="rId2347" location="page=1" ref="AI1208"/>
    <hyperlink r:id="rId2348" ref="AJ1208"/>
    <hyperlink r:id="rId2349" ref="AK1208"/>
    <hyperlink r:id="rId2350" ref="AI1209"/>
    <hyperlink r:id="rId2351" ref="AI1210"/>
    <hyperlink r:id="rId2352" ref="AJ1210"/>
    <hyperlink r:id="rId2353" ref="AI1211"/>
    <hyperlink r:id="rId2354" ref="AJ1211"/>
    <hyperlink r:id="rId2355" ref="AI1212"/>
    <hyperlink r:id="rId2356" ref="AJ1212"/>
    <hyperlink r:id="rId2357" ref="AI1213"/>
    <hyperlink r:id="rId2358" ref="AI1214"/>
    <hyperlink r:id="rId2359" ref="AI1215"/>
    <hyperlink r:id="rId2360" location="page=1" ref="AI1216"/>
    <hyperlink r:id="rId2361" ref="AJ1216"/>
    <hyperlink r:id="rId2362" location="page=1" ref="AI1217"/>
    <hyperlink r:id="rId2363" ref="AJ1217"/>
    <hyperlink r:id="rId2364" ref="AI1218"/>
    <hyperlink r:id="rId2365" ref="AI1219"/>
    <hyperlink r:id="rId2366" ref="AI1220"/>
    <hyperlink r:id="rId2367" ref="AJ1220"/>
    <hyperlink r:id="rId2368" ref="AA1221"/>
    <hyperlink r:id="rId2369" ref="AI1221"/>
    <hyperlink r:id="rId2370" ref="AJ1221"/>
    <hyperlink r:id="rId2371" location="google_vignette" ref="AI1222"/>
    <hyperlink r:id="rId2372" ref="AJ1222"/>
    <hyperlink r:id="rId2373" ref="AK1222"/>
    <hyperlink r:id="rId2374" ref="AL1222"/>
    <hyperlink r:id="rId2375" ref="AM1222"/>
    <hyperlink r:id="rId2376" ref="AN1222"/>
    <hyperlink r:id="rId2377" ref="AI1223"/>
    <hyperlink r:id="rId2378" location="/Details/823657720300000" ref="AI1224"/>
    <hyperlink r:id="rId2379" ref="AI1225"/>
    <hyperlink r:id="rId2380" location="/Details/830651308400000" ref="AJ1225"/>
    <hyperlink r:id="rId2381" ref="AI1226"/>
    <hyperlink r:id="rId2382" location="/Details/822656429800000" ref="AI1227"/>
    <hyperlink r:id="rId2383" ref="AI1228"/>
    <hyperlink r:id="rId2384" ref="AI1229"/>
    <hyperlink r:id="rId2385" ref="AJ1229"/>
    <hyperlink r:id="rId2386" location=":~:text=CloudHQ%2C%20a%20global%20data%20center,of%20critical%20IT%20load%20power." ref="AI1230"/>
    <hyperlink r:id="rId2387" ref="AJ1230"/>
    <hyperlink r:id="rId2388" ref="AI1231"/>
    <hyperlink r:id="rId2389" ref="AJ1231"/>
    <hyperlink r:id="rId2390" ref="AI1232"/>
    <hyperlink r:id="rId2391" ref="AI1233"/>
    <hyperlink r:id="rId2392" ref="AJ1233"/>
    <hyperlink r:id="rId2393" ref="AI1234"/>
    <hyperlink r:id="rId2394" ref="AJ1234"/>
    <hyperlink r:id="rId2395" ref="AI1235"/>
    <hyperlink r:id="rId2396" ref="AI1236"/>
    <hyperlink r:id="rId2397" ref="AI1237"/>
    <hyperlink r:id="rId2398" ref="AI1238"/>
    <hyperlink r:id="rId2399" ref="AI1239"/>
    <hyperlink r:id="rId2400" ref="AJ1239"/>
    <hyperlink r:id="rId2401" ref="AI1240"/>
    <hyperlink r:id="rId2402" ref="AJ1240"/>
    <hyperlink r:id="rId2403" ref="AI1241"/>
    <hyperlink r:id="rId2404" ref="AJ1241"/>
    <hyperlink r:id="rId2405" ref="AI1242"/>
    <hyperlink r:id="rId2406" ref="AI1243"/>
    <hyperlink r:id="rId2407" location="/plan/67e8f7f1-74de-4d91-8514-f6be79d00e61?tab=locations" ref="AI1244"/>
    <hyperlink r:id="rId2408" ref="AJ1244"/>
    <hyperlink r:id="rId2409" ref="AI1245"/>
    <hyperlink r:id="rId2410" location="/plan/3399a93f-9e75-48d2-a377-ecd0d9be35c1?tab=attachments" ref="AI1246"/>
    <hyperlink r:id="rId2411" ref="AJ1246"/>
    <hyperlink r:id="rId2412" ref="AI1247"/>
    <hyperlink r:id="rId2413" ref="AI1248"/>
    <hyperlink r:id="rId2414" location="/plan/ceb6d3e2-f4d6-4a2f-a791-50cd5a6d03f3?tab=attachments" ref="AI1249"/>
    <hyperlink r:id="rId2415" ref="AJ1249"/>
    <hyperlink r:id="rId2416" ref="AI1250"/>
    <hyperlink r:id="rId2417" ref="AJ1250"/>
    <hyperlink r:id="rId2418" ref="AI1251"/>
    <hyperlink r:id="rId2419" ref="AI1252"/>
    <hyperlink r:id="rId2420" ref="AI1253"/>
    <hyperlink r:id="rId2421" ref="AI1254"/>
    <hyperlink r:id="rId2422" ref="AI1255"/>
    <hyperlink r:id="rId2423" ref="AI1256"/>
    <hyperlink r:id="rId2424" ref="AJ1256"/>
    <hyperlink r:id="rId2425" ref="AI1257"/>
    <hyperlink r:id="rId2426" ref="AI1258"/>
    <hyperlink r:id="rId2427" ref="AI1259"/>
    <hyperlink r:id="rId2428" ref="AI1260"/>
    <hyperlink r:id="rId2429" ref="AJ1260"/>
    <hyperlink r:id="rId2430" ref="AI1261"/>
    <hyperlink r:id="rId2431" ref="AI1262"/>
    <hyperlink r:id="rId2432" ref="AI1263"/>
    <hyperlink r:id="rId2433" ref="AJ1263"/>
    <hyperlink r:id="rId2434" ref="AI1264"/>
    <hyperlink r:id="rId2435" ref="AJ1264"/>
    <hyperlink r:id="rId2436" ref="AI1265"/>
    <hyperlink r:id="rId2437" location="/folder/45768/share/528-njPyo32MePFy87Z5AbBoo0pC540" ref="AJ1265"/>
    <hyperlink r:id="rId2438" ref="AK1265"/>
    <hyperlink r:id="rId2439" ref="AI1266"/>
    <hyperlink r:id="rId2440" ref="AJ1266"/>
    <hyperlink r:id="rId2441" ref="AI1267"/>
    <hyperlink r:id="rId2442" ref="AI1268"/>
    <hyperlink r:id="rId2443" location="/mwl?zoom=16&amp;location=-77.475132_38.214893" ref="AJ1268"/>
    <hyperlink r:id="rId2444" ref="AI1269"/>
    <hyperlink r:id="rId2445" ref="AJ1269"/>
    <hyperlink r:id="rId2446" ref="AI1270"/>
    <hyperlink r:id="rId2447" location="/mwl?zoom=16&amp;location=-77.515419_38.317444" ref="AJ1270"/>
    <hyperlink r:id="rId2448" ref="AI1271"/>
    <hyperlink r:id="rId2449" ref="AJ1271"/>
    <hyperlink r:id="rId2450" ref="AI1272"/>
    <hyperlink r:id="rId2451" ref="AI1273"/>
    <hyperlink r:id="rId2452" location="/mwl?zoom=15&amp;location=-77.473518_38.223581" ref="AJ1273"/>
    <hyperlink r:id="rId2453" ref="AK1273"/>
    <hyperlink r:id="rId2454" ref="AL1273"/>
    <hyperlink r:id="rId2455" location="/folder/25961/share/528-yQozqmn5XpbUDzV-NPVaxs9--JIo" ref="AI1274"/>
    <hyperlink r:id="rId2456" ref="AJ1274"/>
    <hyperlink r:id="rId2457" ref="AI1275"/>
    <hyperlink r:id="rId2458" ref="AI1276"/>
    <hyperlink r:id="rId2459" ref="AJ1276"/>
    <hyperlink r:id="rId2460" ref="AI1277"/>
    <hyperlink r:id="rId2461" location="/mwl?zoom=15&amp;location=-77.432007_38.188576" ref="AJ1277"/>
    <hyperlink r:id="rId2462" ref="AI1278"/>
    <hyperlink r:id="rId2463" location="/mwl?zoom=16&amp;location=-77.428204_38.194825" ref="AJ1278"/>
    <hyperlink r:id="rId2464" ref="AI1279"/>
    <hyperlink r:id="rId2465" ref="AI1280"/>
    <hyperlink r:id="rId2466" ref="AI1281"/>
    <hyperlink r:id="rId2467" ref="AJ1281"/>
    <hyperlink r:id="rId2468" ref="AI1282"/>
    <hyperlink r:id="rId2469" ref="AJ1282"/>
    <hyperlink r:id="rId2470" ref="AJ1283"/>
    <hyperlink r:id="rId2471" ref="AI1284"/>
    <hyperlink r:id="rId2472" ref="AI1285"/>
    <hyperlink r:id="rId2473" ref="AJ1285"/>
    <hyperlink r:id="rId2474" location="/plan/823a2554-aa0a-47c1-8c5f-010ff3d947ce" ref="AI1286"/>
    <hyperlink r:id="rId2475" ref="AJ1286"/>
    <hyperlink r:id="rId2476" ref="AI1287"/>
    <hyperlink r:id="rId2477" ref="AI1288"/>
    <hyperlink r:id="rId2478" location="/plan/b0fcafed-a7f4-4ea1-8f83-e71a94ebf4f9?tab=attachments" ref="AI1289"/>
    <hyperlink r:id="rId2479" ref="AJ1289"/>
    <hyperlink r:id="rId2480" ref="AK1289"/>
    <hyperlink r:id="rId2481" ref="AL1289"/>
    <hyperlink r:id="rId2482" ref="AM1289"/>
    <hyperlink r:id="rId2483" ref="AN1289"/>
    <hyperlink r:id="rId2484" location="/plan/dba835c0-d92e-4f81-aca7-df3546eddf60" ref="AI1290"/>
    <hyperlink r:id="rId2485" ref="AJ1290"/>
    <hyperlink r:id="rId2486" ref="AI1291"/>
    <hyperlink r:id="rId2487" ref="AJ1291"/>
    <hyperlink r:id="rId2488" ref="AI1292"/>
    <hyperlink r:id="rId2489" ref="AD1293"/>
    <hyperlink r:id="rId2490" ref="AE1293"/>
    <hyperlink r:id="rId2491" ref="AI1293"/>
    <hyperlink r:id="rId2492" ref="AJ1293"/>
    <hyperlink r:id="rId2493" ref="AK1293"/>
    <hyperlink r:id="rId2494" ref="AD1294"/>
    <hyperlink r:id="rId2495" ref="AI1294"/>
    <hyperlink r:id="rId2496" location="data_s=id%3AdataSource_4-18e66caa3c0-layer-48%3A1299%2Cid%3Awidget_251_output_config_9%3A0&amp;widget_101=active_datasource_id:dataSource_4,center:-8833175.170597687%2C4436226.724131098%2C102100,scale:3328.2265114471415,rotation:0,viewpoint:%7B%22rotation%22%3A0%2C%22scale%22%3A3328.2265114471415%2C%22targetGeometry%22%3A%7B%22spatialReference%22%3A%7B%22latestWkid%22%3A3857%2C%22wkid%22%3A102100%7D%2C%22x%22%3A-8833175.170597687%2C%22y%22%3A4436226.724131098%7D%7D" ref="AI1295"/>
    <hyperlink r:id="rId2497" location="data_s=id%3AdataSource_4-18e66caa3c0-layer-48%3A1299%2Cid%3Awidget_251_output_config_9%3A0&amp;widget_101=active_datasource_id:dataSource_4,center:-8833175.170597687%2C4436226.724131098%2C102100,scale:3328.2265114471415,rotation:0,viewpoint:%7B%22rotation%22%3A0%2C%22scale%22%3A3328.2265114471415%2C%22targetGeometry%22%3A%7B%22spatialReference%22%3A%7B%22latestWkid%22%3A3857%2C%22wkid%22%3A102100%7D%2C%22x%22%3A-8833175.170597687%2C%22y%22%3A4436226.724131098%7D%7D" ref="AJ1295"/>
    <hyperlink r:id="rId2498" ref="AI1296"/>
    <hyperlink r:id="rId2499" ref="AI1297"/>
    <hyperlink r:id="rId2500" ref="AJ1297"/>
    <hyperlink r:id="rId2501" ref="AI1298"/>
    <hyperlink r:id="rId2502" ref="AI1299"/>
    <hyperlink r:id="rId2503" ref="AI1300"/>
    <hyperlink r:id="rId2504" ref="AI1301"/>
    <hyperlink r:id="rId2505" ref="AJ1301"/>
    <hyperlink r:id="rId2506" ref="AI1302"/>
    <hyperlink r:id="rId2507" location="page=1" ref="AI1303"/>
    <hyperlink r:id="rId2508" ref="AJ1303"/>
    <hyperlink r:id="rId2509" ref="AI1304"/>
    <hyperlink r:id="rId2510" location="/project/323efe8c-4e6b-4a44-87b8-c7cd7e5487ba" ref="AI1305"/>
    <hyperlink r:id="rId2511" ref="AJ1305"/>
    <hyperlink r:id="rId2512" ref="AI1306"/>
    <hyperlink r:id="rId2513" ref="AI1307"/>
    <hyperlink r:id="rId2514" ref="AI1308"/>
    <hyperlink r:id="rId2515" location="/plan/308CC962-0022-4914-AE51-DC263552E62C?tab=attachments" ref="AI1309"/>
    <hyperlink r:id="rId2516" ref="AI1310"/>
    <hyperlink r:id="rId2517" location="/plan/CD62CC69-C15B-4904-B924-014D7E4659E6" ref="AI1311"/>
    <hyperlink r:id="rId2518" ref="AJ1311"/>
    <hyperlink r:id="rId2519" ref="AI1312"/>
    <hyperlink r:id="rId2520" ref="AJ1312"/>
    <hyperlink r:id="rId2521" ref="AI1313"/>
    <hyperlink r:id="rId2522" location="/plan/F4C18E37-B411-4D35-8027-7822DF69FCE9?tab=attachments" ref="AI1314"/>
    <hyperlink r:id="rId2523" ref="AJ1314"/>
    <hyperlink r:id="rId2524" location="/plan/e48043e8-fdbb-4e91-aa87-60d35cb71173?tab=attachments" ref="AI1315"/>
    <hyperlink r:id="rId2525" ref="AJ1315"/>
    <hyperlink r:id="rId2526" ref="AI1316"/>
    <hyperlink r:id="rId2527" ref="AI1317"/>
    <hyperlink r:id="rId2528" ref="AI1318"/>
    <hyperlink r:id="rId2529" ref="AJ1318"/>
    <hyperlink r:id="rId2530" ref="AD1319"/>
    <hyperlink r:id="rId2531" ref="AI1319"/>
    <hyperlink r:id="rId2532" location="/permit/c5987365-88d6-4775-92c7-1ee4c5fdc8d3?tab=attachments" ref="AI1320"/>
    <hyperlink r:id="rId2533" ref="AJ1320"/>
    <hyperlink r:id="rId2534" location="/permit/c5987365-88d6-4775-92c7-1ee4c5fdc8d3?tab=attachments" ref="AI1321"/>
    <hyperlink r:id="rId2535" ref="AJ1321"/>
    <hyperlink r:id="rId2536" ref="AI1322"/>
    <hyperlink r:id="rId2537" ref="AJ1322"/>
    <hyperlink r:id="rId2538" location="/plan/1E44BC95-A7BA-4323-86B8-C41ADFE4A88E?tab=attachments" ref="AI1323"/>
    <hyperlink r:id="rId2539" ref="AJ1323"/>
    <hyperlink r:id="rId2540" location="/plan/4b096fd7-53cd-49a4-a1c0-32e42413c3c9?tab=attachments" ref="AI1324"/>
    <hyperlink r:id="rId2541" ref="AJ1324"/>
    <hyperlink r:id="rId2542" location="/plan/4b096fd7-53cd-49a4-a1c0-32e42413c3c9?tab=attachments" ref="AI1325"/>
    <hyperlink r:id="rId2543" ref="AJ1325"/>
    <hyperlink r:id="rId2544" ref="AI1326"/>
    <hyperlink r:id="rId2545" ref="AJ1326"/>
    <hyperlink r:id="rId2546" ref="AK1326"/>
    <hyperlink r:id="rId2547" location=":~:text=0-,A%20map%20shows%20the%2034%2Dacre%20property%20in%20the%20Village,by%20the%20Leesburg%20Town%20Council.&amp;text=The%20Leesburg%20Town%20Council%20voted%206%2D1%20Feb." ref="AI1327"/>
    <hyperlink r:id="rId2548" ref="AJ1327"/>
    <hyperlink r:id="rId2549" location="/plan/0167b7d9-e074-4e2e-bf05-e0599cdea1f5?tab=attachments" ref="AI1328"/>
    <hyperlink r:id="rId2550" ref="AJ1328"/>
    <hyperlink r:id="rId2551" ref="AI1329"/>
    <hyperlink r:id="rId2552" ref="AJ1329"/>
    <hyperlink r:id="rId2553" ref="AI1330"/>
    <hyperlink r:id="rId2554" ref="AI1331"/>
    <hyperlink r:id="rId2555" ref="AI1332"/>
    <hyperlink r:id="rId2556" ref="AJ1332"/>
    <hyperlink r:id="rId2557" ref="AK1332"/>
    <hyperlink r:id="rId2558" ref="AI1333"/>
    <hyperlink r:id="rId2559" ref="AI1334"/>
    <hyperlink r:id="rId2560" ref="AJ1334"/>
    <hyperlink r:id="rId2561" ref="AK1334"/>
    <hyperlink r:id="rId2562" location="/plan/a0b0e2d0-2ccb-47b1-ab3f-3275db071d01?tab=attachments" ref="AI1335"/>
    <hyperlink r:id="rId2563" ref="AJ1335"/>
    <hyperlink r:id="rId2564" ref="AI1336"/>
    <hyperlink r:id="rId2565" ref="AI1337"/>
    <hyperlink r:id="rId2566" ref="AJ1337"/>
    <hyperlink r:id="rId2567" location="/project/a44840d1-befb-4b5c-93ee-0485a9dc4f84" ref="AI1338"/>
    <hyperlink r:id="rId2568" ref="AI1339"/>
    <hyperlink r:id="rId2569" ref="AJ1339"/>
    <hyperlink r:id="rId2570" location="/plan/5c7da087-98bf-4549-8e76-1e6eb1934083?tab=attachments" ref="AI1340"/>
    <hyperlink r:id="rId2571" ref="AJ1340"/>
    <hyperlink r:id="rId2572" ref="AI1341"/>
    <hyperlink r:id="rId2573" ref="AJ1341"/>
    <hyperlink r:id="rId2574" ref="AI1342"/>
    <hyperlink r:id="rId2575" ref="AJ1342"/>
    <hyperlink r:id="rId2576" ref="AI1343"/>
    <hyperlink r:id="rId2577" ref="AI1344"/>
    <hyperlink r:id="rId2578" ref="AI1345"/>
    <hyperlink r:id="rId2579" ref="AI1346"/>
    <hyperlink r:id="rId2580" ref="AI1347"/>
    <hyperlink r:id="rId2581" ref="AI1348"/>
    <hyperlink r:id="rId2582" ref="AI1349"/>
    <hyperlink r:id="rId2583" ref="AJ1349"/>
    <hyperlink r:id="rId2584" ref="AI1350"/>
    <hyperlink r:id="rId2585" ref="AI1351"/>
    <hyperlink r:id="rId2586" ref="AI1352"/>
    <hyperlink r:id="rId2587" ref="AI1353"/>
    <hyperlink r:id="rId2588" ref="AI1354"/>
    <hyperlink r:id="rId2589" ref="AJ1354"/>
    <hyperlink r:id="rId2590" ref="AI1355"/>
    <hyperlink r:id="rId2591" ref="AI1356"/>
    <hyperlink r:id="rId2592" location="/project/aa699c84-7dd0-4bb1-aaec-7712d020a74b" ref="AI1357"/>
    <hyperlink r:id="rId2593" ref="AI1358"/>
    <hyperlink r:id="rId2594" ref="AJ1358"/>
    <hyperlink r:id="rId2595" ref="AI1359"/>
    <hyperlink r:id="rId2596" ref="AJ1359"/>
    <hyperlink r:id="rId2597" ref="AI1360"/>
    <hyperlink r:id="rId2598" ref="AJ1360"/>
    <hyperlink r:id="rId2599" ref="AK1360"/>
    <hyperlink r:id="rId2600" ref="AI1361"/>
    <hyperlink r:id="rId2601" ref="AJ1361"/>
    <hyperlink r:id="rId2602" ref="AI1362"/>
    <hyperlink r:id="rId2603" location="/plan/96c7aacf-964e-419b-ae82-f9f97a86808d?tab=attachments" ref="AI1363"/>
    <hyperlink r:id="rId2604" ref="AD1364"/>
    <hyperlink r:id="rId2605" ref="AI1364"/>
    <hyperlink r:id="rId2606" ref="AJ1364"/>
    <hyperlink r:id="rId2607" location="/plan/005eaa9c-a822-4dad-b14e-35d804a4f532" ref="AK1364"/>
    <hyperlink r:id="rId2608" ref="AL1364"/>
    <hyperlink r:id="rId2609" ref="AI1365"/>
    <hyperlink r:id="rId2610" location="/plan/112446d3-3458-4c10-9081-42d87805d421?tab=attachments" ref="AI1366"/>
    <hyperlink r:id="rId2611" ref="AJ1366"/>
    <hyperlink r:id="rId2612" ref="AI1367"/>
    <hyperlink r:id="rId2613" ref="AI1368"/>
    <hyperlink r:id="rId2614" ref="AJ1368"/>
    <hyperlink r:id="rId2615" ref="AI1369"/>
    <hyperlink r:id="rId2616" location="/plan/3dd0c08d-d7fa-483c-8e0f-1913eb303cd0" ref="AI1370"/>
    <hyperlink r:id="rId2617" ref="AJ1370"/>
    <hyperlink r:id="rId2618" location="/plan/19004ff1-7e88-4661-9d3f-ad33ecaa1da2" ref="AI1371"/>
    <hyperlink r:id="rId2619" ref="AJ1371"/>
    <hyperlink r:id="rId2620" ref="AI1372"/>
    <hyperlink r:id="rId2621" ref="AJ1372"/>
    <hyperlink r:id="rId2622" ref="AI1373"/>
    <hyperlink r:id="rId2623" ref="AJ1373"/>
    <hyperlink r:id="rId2624" location="/plan/f202a52f-d21d-48eb-ab3e-8577eaaaff93?tab=attachments" ref="AI1374"/>
    <hyperlink r:id="rId2625" ref="AJ1374"/>
    <hyperlink r:id="rId2626" location="/plan/a6ee77bc-ded4-40cd-ab62-1a962feb18a1?tab=attachments" ref="AI1375"/>
    <hyperlink r:id="rId2627" ref="AJ1375"/>
    <hyperlink r:id="rId2628" ref="AK1375"/>
    <hyperlink r:id="rId2629" ref="AI1376"/>
    <hyperlink r:id="rId2630" location="/plan/f91d05d2-9f16-4321-8d9d-8c28831b0c2d?tab=attachments" ref="AI1377"/>
    <hyperlink r:id="rId2631" ref="AJ1377"/>
    <hyperlink r:id="rId2632" ref="AI1378"/>
    <hyperlink r:id="rId2633" ref="AI1379"/>
    <hyperlink r:id="rId2634" ref="AI1380"/>
    <hyperlink r:id="rId2635" ref="AJ1380"/>
    <hyperlink r:id="rId2636" location="/project/bf056fe5-a489-4e3f-ac62-1a4449179c33?tab=locations" ref="AK1380"/>
    <hyperlink r:id="rId2637" location="/project/0c44cca2-aaaa-4c97-8b2b-e2bb17ee1980?tab=moreinfo" ref="AI1381"/>
    <hyperlink r:id="rId2638" ref="AJ1381"/>
    <hyperlink r:id="rId2639" ref="AI1382"/>
    <hyperlink r:id="rId2640" ref="AI1383"/>
    <hyperlink r:id="rId2641" ref="AI1384"/>
    <hyperlink r:id="rId2642" ref="AI1385"/>
    <hyperlink r:id="rId2643" ref="AI1386"/>
    <hyperlink r:id="rId2644" ref="AI1387"/>
    <hyperlink r:id="rId2645" ref="AI1388"/>
    <hyperlink r:id="rId2646" ref="AI1389"/>
    <hyperlink r:id="rId2647" ref="AJ1389"/>
    <hyperlink r:id="rId2648" location="/plan/3f012be5-4a81-4341-8710-e239efdb3b1e" ref="AI1390"/>
    <hyperlink r:id="rId2649" ref="AJ1390"/>
    <hyperlink r:id="rId2650" location="/project/d91b5451-7721-4963-b450-05f269c503e5" ref="AI1391"/>
    <hyperlink r:id="rId2651" ref="AJ1391"/>
    <hyperlink r:id="rId2652" location="/project/e9a346de-2f59-4bf0-97e6-98b81a0869e6" ref="AI1392"/>
    <hyperlink r:id="rId2653" ref="AJ1392"/>
    <hyperlink r:id="rId2654" location="/plan/f322379d-0301-4028-9ba5-e23724a6cb51" ref="AI1393"/>
    <hyperlink r:id="rId2655" ref="AJ1393"/>
    <hyperlink r:id="rId2656" location="/plan/c31952ca-2934-4acc-ab29-9db4ec01e339?tab=attachments" ref="AI1394"/>
    <hyperlink r:id="rId2657" location="/plan/55087cda-4790-4f98-be5d-2a054fe2c464?tab=attachments" ref="AI1395"/>
    <hyperlink r:id="rId2658" ref="AI1396"/>
    <hyperlink r:id="rId2659" ref="AJ1396"/>
    <hyperlink r:id="rId2660" location="/plan/ec71ba9b-8783-4bd2-ab90-57a68d5f7d0c?tab=locations" ref="AI1397"/>
    <hyperlink r:id="rId2661" location="page=1" ref="AI1398"/>
    <hyperlink r:id="rId2662" ref="AJ1398"/>
    <hyperlink r:id="rId2663" ref="AI1399"/>
    <hyperlink r:id="rId2664" ref="AI1400"/>
    <hyperlink r:id="rId2665" location="/Details/716706972000002" ref="AJ1400"/>
    <hyperlink r:id="rId2666" ref="AI1401"/>
    <hyperlink r:id="rId2667" ref="AJ1401"/>
    <hyperlink r:id="rId2668" ref="AK1401"/>
    <hyperlink r:id="rId2669" ref="AL1401"/>
    <hyperlink r:id="rId2670" ref="AM1401"/>
    <hyperlink r:id="rId2671" ref="AI1402"/>
    <hyperlink r:id="rId2672" ref="AJ1402"/>
    <hyperlink r:id="rId2673" ref="AI1403"/>
    <hyperlink r:id="rId2674" ref="AI1404"/>
    <hyperlink r:id="rId2675" ref="AJ1404"/>
    <hyperlink r:id="rId2676" ref="AI1405"/>
    <hyperlink r:id="rId2677" location="/Details/698680060200000" ref="AJ1405"/>
    <hyperlink r:id="rId2678" ref="AI1406"/>
    <hyperlink r:id="rId2679" location="/Details/693685201900000" ref="AJ1406"/>
    <hyperlink r:id="rId2680" location="/property/46178100" ref="AI1407"/>
    <hyperlink r:id="rId2681" location="page=1" ref="AI1408"/>
    <hyperlink r:id="rId2682" ref="AJ1408"/>
    <hyperlink r:id="rId2683" location="/plan/4370817a-ce39-47d9-994b-1a0548fa9fa2?tab=attachments" ref="AI1409"/>
    <hyperlink r:id="rId2684" location="/plan/4370817a-ce39-47d9-994b-1a0548fa9fa2?tab=attachments" ref="AJ1409"/>
    <hyperlink r:id="rId2685" ref="AI1410"/>
    <hyperlink r:id="rId2686" ref="AJ1410"/>
    <hyperlink r:id="rId2687" location="tncms-source=Front%20Page%20Top%20Headlines%201-4" ref="AI1411"/>
    <hyperlink r:id="rId2688" ref="AJ1411"/>
    <hyperlink r:id="rId2689" location="/plan/418c4f35-ec88-4631-97e8-6b53bf810a32" ref="AI1412"/>
    <hyperlink r:id="rId2690" ref="AJ1412"/>
    <hyperlink r:id="rId2691" location="/plan/e3d99e5d-0689-4369-9a48-015f450b6517" ref="AI1413"/>
    <hyperlink r:id="rId2692" ref="AJ1413"/>
    <hyperlink r:id="rId2693" location="/plan/e900e88c-2070-4bb5-81ff-23e7be27ca04?tab=locations" ref="AI1414"/>
    <hyperlink r:id="rId2694" ref="AJ1414"/>
    <hyperlink r:id="rId2695" location="page=1" ref="AI1415"/>
    <hyperlink r:id="rId2696" ref="AJ1415"/>
    <hyperlink r:id="rId2697" location="page=1" ref="AI1416"/>
    <hyperlink r:id="rId2698" ref="AJ1416"/>
    <hyperlink r:id="rId2699" ref="AI1417"/>
    <hyperlink r:id="rId2700" ref="AI1418"/>
    <hyperlink r:id="rId2701" location="page=1" ref="AI1419"/>
    <hyperlink r:id="rId2702" ref="AJ1419"/>
    <hyperlink r:id="rId2703" ref="AI1420"/>
    <hyperlink r:id="rId2704" ref="AJ1420"/>
    <hyperlink r:id="rId2705" ref="AI1421"/>
    <hyperlink r:id="rId2706" ref="AI1422"/>
    <hyperlink r:id="rId2707" ref="AI1423"/>
    <hyperlink r:id="rId2708" ref="AI1424"/>
    <hyperlink r:id="rId2709" ref="AI1425"/>
    <hyperlink r:id="rId2710" ref="AJ1425"/>
    <hyperlink r:id="rId2711" ref="AI1426"/>
    <hyperlink r:id="rId2712" ref="AJ1426"/>
    <hyperlink r:id="rId2713" ref="AK1426"/>
    <hyperlink r:id="rId2714" ref="AI1427"/>
    <hyperlink r:id="rId2715" ref="AI1428"/>
    <hyperlink r:id="rId2716" ref="AI1429"/>
    <hyperlink r:id="rId2717" ref="AI1430"/>
    <hyperlink r:id="rId2718" ref="AI1431"/>
    <hyperlink r:id="rId2719" ref="AI1432"/>
    <hyperlink r:id="rId2720" ref="AI1433"/>
    <hyperlink r:id="rId2721" ref="AI1434"/>
    <hyperlink r:id="rId2722" ref="AJ1434"/>
    <hyperlink r:id="rId2723" ref="AK1434"/>
    <hyperlink r:id="rId2724" ref="AI1435"/>
    <hyperlink r:id="rId2725" ref="AI1436"/>
    <hyperlink r:id="rId2726" ref="AI1437"/>
    <hyperlink r:id="rId2727" ref="AI1438"/>
    <hyperlink r:id="rId2728" ref="AI1439"/>
    <hyperlink r:id="rId2729" ref="AI1440"/>
    <hyperlink r:id="rId2730" ref="AJ1440"/>
    <hyperlink r:id="rId2731" ref="AI1441"/>
    <hyperlink r:id="rId2732" ref="AI1442"/>
    <hyperlink r:id="rId2733" ref="AI1443"/>
    <hyperlink r:id="rId2734" ref="AI1444"/>
    <hyperlink r:id="rId2735" ref="AJ1444"/>
    <hyperlink r:id="rId2736" ref="AI1445"/>
    <hyperlink r:id="rId2737" ref="AJ1445"/>
    <hyperlink r:id="rId2738" ref="AI1446"/>
    <hyperlink r:id="rId2739" ref="AJ1446"/>
    <hyperlink r:id="rId2740" ref="AK1446"/>
    <hyperlink r:id="rId2741" ref="AI1447"/>
    <hyperlink r:id="rId2742" ref="AJ1447"/>
    <hyperlink r:id="rId2743" ref="AI1448"/>
    <hyperlink r:id="rId2744" ref="AI1449"/>
    <hyperlink r:id="rId2745" ref="AI1450"/>
    <hyperlink r:id="rId2746" ref="AJ1450"/>
    <hyperlink r:id="rId2747" location="/plan/4922d1ce-97e0-4321-ade6-f449aace6208?tab=moreinfo" ref="AK1450"/>
    <hyperlink r:id="rId2748" location="/plan/78E3A554-EEDF-454D-B64F-9980B4A2E471?tab=attachments" ref="AI1451"/>
    <hyperlink r:id="rId2749" ref="AJ1451"/>
    <hyperlink r:id="rId2750" ref="AI1452"/>
    <hyperlink r:id="rId2751" ref="AI1453"/>
    <hyperlink r:id="rId2752" location="/mwl?zoom=16&amp;location=-77.529108_38.165611" ref="AJ1453"/>
    <hyperlink r:id="rId2753" ref="AI1454"/>
    <hyperlink r:id="rId2754" ref="AJ1454"/>
    <hyperlink r:id="rId2755" location="page=1" ref="AI1455"/>
    <hyperlink r:id="rId2756" ref="AJ1455"/>
    <hyperlink r:id="rId2757" ref="AI1456"/>
    <hyperlink r:id="rId2758" ref="AI1457"/>
    <hyperlink r:id="rId2759" ref="AJ1457"/>
    <hyperlink r:id="rId2760" ref="AI1458"/>
    <hyperlink r:id="rId2761" ref="AJ1458"/>
    <hyperlink r:id="rId2762" ref="AI1459"/>
    <hyperlink r:id="rId2763" ref="AJ1459"/>
    <hyperlink r:id="rId2764" ref="AI1460"/>
    <hyperlink r:id="rId2765" ref="AI1461"/>
    <hyperlink r:id="rId2766" ref="AI1462"/>
    <hyperlink r:id="rId2767" ref="AI1463"/>
    <hyperlink r:id="rId2768" ref="AJ1463"/>
    <hyperlink r:id="rId2769" ref="AI1464"/>
    <hyperlink r:id="rId2770" ref="AJ1464"/>
    <hyperlink r:id="rId2771" location="/plan/49535f6c-c976-4052-b47c-bc3f6488a7aa?tab=attachments" ref="AI1465"/>
    <hyperlink r:id="rId2772" ref="AJ1465"/>
    <hyperlink r:id="rId2773" ref="AI1466"/>
    <hyperlink r:id="rId2774" ref="AI1467"/>
    <hyperlink r:id="rId2775" ref="AI1468"/>
    <hyperlink r:id="rId2776" ref="AI1469"/>
    <hyperlink r:id="rId2777" ref="AJ1469"/>
    <hyperlink r:id="rId2778" ref="AI1470"/>
    <hyperlink r:id="rId2779" ref="AI1471"/>
    <hyperlink r:id="rId2780" ref="AI1472"/>
    <hyperlink r:id="rId2781" ref="AJ1472"/>
    <hyperlink r:id="rId2782" ref="AI1473"/>
    <hyperlink r:id="rId2783" location="/plan/1EA54DC9-FFF0-40F8-AF9A-F9F78538C9FA?tab=locations" ref="AJ1473"/>
    <hyperlink r:id="rId2784" ref="AK1473"/>
    <hyperlink r:id="rId2785" ref="AI1474"/>
    <hyperlink r:id="rId2786" ref="AJ1474"/>
    <hyperlink r:id="rId2787" ref="AI1475"/>
    <hyperlink r:id="rId2788" location="/plan/F79A57A3-38E2-4887-BD02-B5B691CD8ABF?tab=attachments" ref="AI1476"/>
    <hyperlink r:id="rId2789" ref="AJ1476"/>
    <hyperlink r:id="rId2790" ref="AI1477"/>
    <hyperlink r:id="rId2791" ref="AI1478"/>
    <hyperlink r:id="rId2792" ref="AJ1478"/>
    <hyperlink r:id="rId2793" ref="AI1479"/>
    <hyperlink r:id="rId2794" ref="AJ1479"/>
    <hyperlink r:id="rId2795" ref="AI1480"/>
    <hyperlink r:id="rId2796" ref="AI1481"/>
    <hyperlink r:id="rId2797" location="/plan/dd507a64-937f-48d0-9d28-0357c26a6a7e?tab=attachments" ref="AI1482"/>
    <hyperlink r:id="rId2798" ref="AJ1482"/>
    <hyperlink r:id="rId2799" location="/plan/dd507a64-937f-48d0-9d28-0357c26a6a7e?tab=attachments" ref="AI1483"/>
    <hyperlink r:id="rId2800" ref="AJ1483"/>
    <hyperlink r:id="rId2801" ref="AI1484"/>
    <hyperlink r:id="rId2802" ref="AI1485"/>
    <hyperlink r:id="rId2803" ref="AI1486"/>
    <hyperlink r:id="rId2804" location="/plan/06089816-10BD-4D2E-8A91-826D008AA2C4?tab=attachments" ref="AI1487"/>
    <hyperlink r:id="rId2805" ref="AJ1487"/>
    <hyperlink r:id="rId2806" ref="AI1488"/>
    <hyperlink r:id="rId2807" ref="AJ1488"/>
    <hyperlink r:id="rId2808" location="/plan/f6c352b4-2c45-42eb-8aa1-1f4aa98da3b9?tab=attachments" ref="AI1489"/>
    <hyperlink r:id="rId2809" ref="AJ1489"/>
    <hyperlink r:id="rId2810" ref="AI1490"/>
    <hyperlink r:id="rId2811" ref="AI1491"/>
    <hyperlink r:id="rId2812" ref="AJ1491"/>
    <hyperlink r:id="rId2813" location="/plan/1623A063-96C6-448D-91CC-B7B3E9DA7B8B?tab=attachments" ref="AI1492"/>
    <hyperlink r:id="rId2814" ref="AJ1492"/>
    <hyperlink r:id="rId2815" ref="AI1493"/>
    <hyperlink r:id="rId2816" ref="AI1494"/>
    <hyperlink r:id="rId2817" location="/plan/8628ddc2-6e18-48aa-af54-fec33b62c2c2?tab=attachments" ref="AI1495"/>
    <hyperlink r:id="rId2818" ref="AJ1495"/>
    <hyperlink r:id="rId2819" ref="AI1496"/>
    <hyperlink r:id="rId2820" ref="AJ1496"/>
    <hyperlink r:id="rId2821" ref="AI1497"/>
    <hyperlink r:id="rId2822" ref="AI1498"/>
    <hyperlink r:id="rId2823" ref="AJ1498"/>
    <hyperlink r:id="rId2824" ref="AI1499"/>
    <hyperlink r:id="rId2825" ref="AI1500"/>
    <hyperlink r:id="rId2826" ref="AI1501"/>
    <hyperlink r:id="rId2827" location="/plan/c87c4b0c-a3aa-4261-9954-8cc95f06f912?tab=locations" ref="AI1502"/>
    <hyperlink r:id="rId2828" ref="AJ1502"/>
    <hyperlink r:id="rId2829" ref="AI1503"/>
    <hyperlink r:id="rId2830" ref="AJ1503"/>
    <hyperlink r:id="rId2831" ref="AI1504"/>
    <hyperlink r:id="rId2832" ref="AJ1504"/>
    <hyperlink r:id="rId2833" ref="AI1505"/>
    <hyperlink r:id="rId2834" ref="AI1506"/>
    <hyperlink r:id="rId2835" ref="AJ1506"/>
    <hyperlink r:id="rId2836" ref="AI1507"/>
    <hyperlink r:id="rId2837" ref="AJ1507"/>
    <hyperlink r:id="rId2838" ref="AI1508"/>
    <hyperlink r:id="rId2839" ref="AJ1508"/>
    <hyperlink r:id="rId2840" ref="AI1509"/>
    <hyperlink r:id="rId2841" ref="AJ1509"/>
    <hyperlink r:id="rId2842" location="/plan/ec1e84d1-de53-45a8-917e-34be6c131039?tab=attachments" ref="AI1510"/>
    <hyperlink r:id="rId2843" ref="AJ1510"/>
    <hyperlink r:id="rId2844" ref="AI1511"/>
    <hyperlink r:id="rId2845" ref="AI1512"/>
    <hyperlink r:id="rId2846" location="/plan/E6B940CA-E483-458E-A83C-1C54477A8FA5?tab=attachments" ref="AI1513"/>
    <hyperlink r:id="rId2847" ref="AJ1513"/>
    <hyperlink r:id="rId2848" ref="AI1514"/>
    <hyperlink r:id="rId2849" location="/plan/D175A1D3-E983-41D9-B593-3D5C69B1B3E4?tab=attachments" ref="AI1515"/>
    <hyperlink r:id="rId2850" ref="AJ1515"/>
    <hyperlink r:id="rId2851" location="/plan/f6c352b4-2c45-42eb-8aa1-1f4aa98da3b9?tab=attachments" ref="AI1516"/>
    <hyperlink r:id="rId2852" ref="AJ1516"/>
    <hyperlink r:id="rId2853" ref="AI1517"/>
    <hyperlink r:id="rId2854" ref="AI1518"/>
    <hyperlink r:id="rId2855" ref="AJ1518"/>
    <hyperlink r:id="rId2856" ref="AI1519"/>
    <hyperlink r:id="rId2857" ref="AJ1519"/>
    <hyperlink r:id="rId2858" ref="AI1520"/>
    <hyperlink r:id="rId2859" ref="AI1521"/>
    <hyperlink r:id="rId2860" ref="AI1522"/>
    <hyperlink r:id="rId2861" ref="AI1523"/>
    <hyperlink r:id="rId2862" location="/plan/4A8DECD0-B1EF-4677-B44F-A8C04C863B62?tab=locations" ref="AI1524"/>
    <hyperlink r:id="rId2863" ref="AJ1524"/>
    <hyperlink r:id="rId2864" location="/plan/61643009-52F9-4C98-9F52-3FB4D2263170?tab=attachments" ref="AI1525"/>
    <hyperlink r:id="rId2865" ref="AJ1525"/>
    <hyperlink r:id="rId2866" ref="AI1526"/>
    <hyperlink r:id="rId2867" ref="AI1527"/>
    <hyperlink r:id="rId2868" location="/plan/93bd1580-f8d3-4bb1-845e-4b6d0c970645?tab=locations" ref="AI1528"/>
    <hyperlink r:id="rId2869" ref="AJ1528"/>
    <hyperlink r:id="rId2870" ref="AK1528"/>
    <hyperlink r:id="rId2871" ref="AI1529"/>
    <hyperlink r:id="rId2872" ref="AJ1529"/>
    <hyperlink r:id="rId2873" ref="AI1530"/>
    <hyperlink r:id="rId2874" ref="AI1531"/>
    <hyperlink r:id="rId2875" ref="AJ1531"/>
    <hyperlink r:id="rId2876" ref="AI1532"/>
    <hyperlink r:id="rId2877" ref="AI1533"/>
    <hyperlink r:id="rId2878" ref="AJ1533"/>
    <hyperlink r:id="rId2879" location="/plan/c649938c-a42c-43c1-af23-ac3e7ece8a37?tab=locations" ref="AI1534"/>
    <hyperlink r:id="rId2880" ref="AJ1534"/>
    <hyperlink r:id="rId2881" location="/plan/5A916D29-F069-42AE-A0B4-5181165CB8A7" ref="AI1535"/>
    <hyperlink r:id="rId2882" ref="AJ1535"/>
    <hyperlink r:id="rId2883" ref="AI1536"/>
    <hyperlink r:id="rId2884" ref="AJ1536"/>
    <hyperlink r:id="rId2885" location="/plan/5a05cbbe-77b4-40ec-a02a-df67cd82d9dc?tab=locations" ref="AI1537"/>
    <hyperlink r:id="rId2886" ref="AJ1537"/>
    <hyperlink r:id="rId2887" location="/plan/5a05cbbe-77b4-40ec-a02a-df67cd82d9dc?tab=locations" ref="AI1538"/>
    <hyperlink r:id="rId2888" ref="AJ1538"/>
    <hyperlink r:id="rId2889" location="/plan/4cd42209-0022-4472-aa5c-9cc46413da23?tab=locations" ref="AI1539"/>
    <hyperlink r:id="rId2890" ref="AJ1539"/>
    <hyperlink r:id="rId2891" location="/plan/0c62c1ce-2e62-4e22-9dd0-a540956ff321?tab=locations" ref="AI1540"/>
    <hyperlink r:id="rId2892" ref="AJ1540"/>
    <hyperlink r:id="rId2893" location="/plan/a037a799-691c-42c4-a3fa-dd41c9dfa911?tab=attachments" ref="AI1541"/>
    <hyperlink r:id="rId2894" ref="AJ1541"/>
    <hyperlink r:id="rId2895" location="/plan/78825fb5-186a-4f08-ad04-930ece5b609e?tab=attachments" ref="AI1542"/>
    <hyperlink r:id="rId2896" ref="AJ1542"/>
    <hyperlink r:id="rId2897" location="/plan/306dbd90-969b-4e70-ac97-be032ae24344?tab=attachments" ref="AI1543"/>
    <hyperlink r:id="rId2898" ref="AJ1543"/>
    <hyperlink r:id="rId2899" location="/plan/16f9b8bf-7683-4adb-8ad2-f46dda6fda9f?tab=locations" ref="AI1544"/>
    <hyperlink r:id="rId2900" ref="AJ1544"/>
    <hyperlink r:id="rId2901" ref="AI1545"/>
    <hyperlink r:id="rId2902" ref="AJ1545"/>
    <hyperlink r:id="rId2903" location="/plan/d3a1ae33-a03c-43b5-9b3f-6918ec841049?tab=attachments" ref="AI1546"/>
    <hyperlink r:id="rId2904" ref="AJ1546"/>
    <hyperlink r:id="rId2905" ref="AI1547"/>
    <hyperlink r:id="rId2906" ref="AI1548"/>
    <hyperlink r:id="rId2907" ref="AJ1548"/>
    <hyperlink r:id="rId2908" ref="AF1549"/>
    <hyperlink r:id="rId2909" ref="AI1549"/>
    <hyperlink r:id="rId2910" ref="AJ1549"/>
    <hyperlink r:id="rId2911" ref="AI1550"/>
    <hyperlink r:id="rId2912" ref="AJ1550"/>
    <hyperlink r:id="rId2913" ref="AK1550"/>
    <hyperlink r:id="rId2914" location="page=1" ref="AI1551"/>
    <hyperlink r:id="rId2915" ref="AJ1551"/>
    <hyperlink r:id="rId2916" location="page=1" ref="AI1552"/>
    <hyperlink r:id="rId2917" ref="AJ1552"/>
    <hyperlink r:id="rId2918" location="/property/24152434460000" ref="AI1553"/>
    <hyperlink r:id="rId2919" ref="AI1554"/>
    <hyperlink r:id="rId2920" location="/property/24152291580000" ref="AJ1554"/>
    <hyperlink r:id="rId2921" ref="AI1555"/>
    <hyperlink r:id="rId2922" ref="AJ1555"/>
    <hyperlink r:id="rId2923" location="/map?search=7915-88-3261-000" ref="AK1555"/>
    <hyperlink r:id="rId2924" ref="AI1556"/>
    <hyperlink r:id="rId2925" ref="AI1557"/>
    <hyperlink r:id="rId2926" ref="AJ1557"/>
    <hyperlink r:id="rId2927" location="/plan/ff86bd94-573b-462d-bf75-777ee3093d58?tab=attachments" ref="AI1558"/>
    <hyperlink r:id="rId2928" location="/map?search=7915-53-3758-000" ref="AJ1558"/>
    <hyperlink r:id="rId2929" ref="AI1559"/>
    <hyperlink r:id="rId2930" ref="AJ1559"/>
    <hyperlink r:id="rId2931" ref="AI1560"/>
    <hyperlink r:id="rId2932" ref="AI1561"/>
    <hyperlink r:id="rId2933" ref="AI1562"/>
    <hyperlink r:id="rId2934" ref="AI1563"/>
    <hyperlink r:id="rId2935" ref="AI1569"/>
    <hyperlink r:id="rId2936" ref="AJ1569"/>
    <hyperlink r:id="rId2937" ref="AI1570"/>
    <hyperlink r:id="rId2938" ref="AJ1570"/>
    <hyperlink r:id="rId2939" ref="AK1570"/>
    <hyperlink r:id="rId2940" ref="AI1574"/>
    <hyperlink r:id="rId2941" ref="AI1576"/>
    <hyperlink r:id="rId2942" ref="AI1578"/>
    <hyperlink r:id="rId2943" ref="AI1579"/>
    <hyperlink r:id="rId2944" ref="AI1581"/>
    <hyperlink r:id="rId2945" ref="AI1582"/>
    <hyperlink r:id="rId2946" ref="AD1585"/>
    <hyperlink r:id="rId2947" ref="AI1585"/>
    <hyperlink r:id="rId2948" ref="AJ1585"/>
    <hyperlink r:id="rId2949" ref="AK1585"/>
    <hyperlink r:id="rId2950" ref="AL1585"/>
    <hyperlink r:id="rId2951" ref="AM1585"/>
    <hyperlink r:id="rId2952" ref="AN1585"/>
    <hyperlink r:id="rId2953" ref="AO1585"/>
    <hyperlink r:id="rId2954" ref="AI1586"/>
    <hyperlink r:id="rId2955" ref="AD1587"/>
    <hyperlink r:id="rId2956" ref="AI1587"/>
    <hyperlink r:id="rId2957" ref="AI1588"/>
    <hyperlink r:id="rId2958" ref="AJ1588"/>
    <hyperlink r:id="rId2959" ref="AI1589"/>
    <hyperlink r:id="rId2960" ref="AJ1589"/>
    <hyperlink r:id="rId2961" ref="AK1589"/>
    <hyperlink r:id="rId2962" ref="AD1590"/>
    <hyperlink r:id="rId2963" ref="AE1590"/>
    <hyperlink r:id="rId2964" ref="AI1590"/>
    <hyperlink r:id="rId2965" ref="AJ1590"/>
    <hyperlink r:id="rId2966" ref="AK1590"/>
    <hyperlink r:id="rId2967" ref="AL1590"/>
    <hyperlink r:id="rId2968" ref="AM1590"/>
    <hyperlink r:id="rId2969" ref="AN1590"/>
    <hyperlink r:id="rId2970" ref="AO1590"/>
    <hyperlink r:id="rId2971" ref="AI1591"/>
    <hyperlink r:id="rId2972" ref="AI1592"/>
    <hyperlink r:id="rId2973" ref="AJ1592"/>
    <hyperlink r:id="rId2974" ref="AD1593"/>
    <hyperlink r:id="rId2975" ref="AI1593"/>
    <hyperlink r:id="rId2976" ref="AJ1593"/>
    <hyperlink r:id="rId2977" ref="AK1593"/>
    <hyperlink r:id="rId2978" ref="AF1594"/>
    <hyperlink r:id="rId2979" ref="AI1594"/>
    <hyperlink r:id="rId2980" ref="AJ1594"/>
    <hyperlink r:id="rId2981" ref="AD1595"/>
    <hyperlink r:id="rId2982" ref="AF1595"/>
    <hyperlink r:id="rId2983" ref="AI1595"/>
    <hyperlink r:id="rId2984" ref="AD1596"/>
    <hyperlink r:id="rId2985" ref="AF1596"/>
    <hyperlink r:id="rId2986" ref="AI1596"/>
    <hyperlink r:id="rId2987" ref="AJ1596"/>
    <hyperlink r:id="rId2988" ref="AI1597"/>
    <hyperlink r:id="rId2989" ref="AJ1597"/>
    <hyperlink r:id="rId2990" ref="AI1598"/>
    <hyperlink r:id="rId2991" ref="AJ1598"/>
    <hyperlink r:id="rId2992" ref="AK1598"/>
    <hyperlink r:id="rId2993" ref="AL1598"/>
    <hyperlink r:id="rId2994" ref="AM1598"/>
    <hyperlink r:id="rId2995" ref="AN1598"/>
    <hyperlink r:id="rId2996" ref="AO1598"/>
    <hyperlink r:id="rId2997" ref="AP1598"/>
    <hyperlink r:id="rId2998" ref="AD1599"/>
    <hyperlink r:id="rId2999" ref="AF1599"/>
    <hyperlink r:id="rId3000" ref="AI1599"/>
    <hyperlink r:id="rId3001" ref="AJ1599"/>
    <hyperlink r:id="rId3002" ref="AK1599"/>
    <hyperlink r:id="rId3003" ref="AL1599"/>
    <hyperlink r:id="rId3004" ref="AM1599"/>
    <hyperlink r:id="rId3005" ref="AN1599"/>
    <hyperlink r:id="rId3006" ref="AO1599"/>
    <hyperlink r:id="rId3007" ref="AP1599"/>
    <hyperlink r:id="rId3008" ref="AD1600"/>
    <hyperlink r:id="rId3009" ref="AI1600"/>
    <hyperlink r:id="rId3010" ref="AJ1600"/>
    <hyperlink r:id="rId3011" ref="AK1600"/>
    <hyperlink r:id="rId3012" ref="AD1601"/>
    <hyperlink r:id="rId3013" ref="AI1601"/>
    <hyperlink r:id="rId3014" ref="AJ1601"/>
    <hyperlink r:id="rId3015" ref="AK1601"/>
    <hyperlink r:id="rId3016" ref="AL1601"/>
    <hyperlink r:id="rId3017" ref="AM1601"/>
    <hyperlink r:id="rId3018" ref="AN1601"/>
    <hyperlink r:id="rId3019" ref="AI1602"/>
    <hyperlink r:id="rId3020" ref="AI1603"/>
    <hyperlink r:id="rId3021" ref="AJ1603"/>
    <hyperlink r:id="rId3022" ref="AK1603"/>
    <hyperlink r:id="rId3023" ref="AI1604"/>
    <hyperlink r:id="rId3024" ref="AJ1604"/>
    <hyperlink r:id="rId3025" ref="AK1604"/>
    <hyperlink r:id="rId3026" ref="AI1605"/>
    <hyperlink r:id="rId3027" ref="AJ1605"/>
    <hyperlink r:id="rId3028" ref="AK1605"/>
    <hyperlink r:id="rId3029" ref="AD1606"/>
    <hyperlink r:id="rId3030" ref="AE1606"/>
    <hyperlink r:id="rId3031" ref="AI1606"/>
    <hyperlink r:id="rId3032" ref="AJ1606"/>
    <hyperlink r:id="rId3033" ref="AK1606"/>
    <hyperlink r:id="rId3034" ref="AL1606"/>
    <hyperlink r:id="rId3035" ref="AM1606"/>
    <hyperlink r:id="rId3036" ref="AN1606"/>
    <hyperlink r:id="rId3037" ref="AI1607"/>
    <hyperlink r:id="rId3038" ref="AJ1607"/>
    <hyperlink r:id="rId3039" ref="AK1607"/>
    <hyperlink r:id="rId3040" ref="AL1607"/>
    <hyperlink r:id="rId3041" ref="AI1608"/>
    <hyperlink r:id="rId3042" ref="AD1609"/>
    <hyperlink r:id="rId3043" ref="AE1609"/>
    <hyperlink r:id="rId3044" ref="AI1609"/>
    <hyperlink r:id="rId3045" ref="AJ1609"/>
    <hyperlink r:id="rId3046" ref="AK1609"/>
    <hyperlink r:id="rId3047" ref="AI1610"/>
    <hyperlink r:id="rId3048" ref="AI1611"/>
    <hyperlink r:id="rId3049" ref="AI1612"/>
    <hyperlink r:id="rId3050" ref="AI1613"/>
    <hyperlink r:id="rId3051" ref="AJ1613"/>
    <hyperlink r:id="rId3052" ref="AI1614"/>
    <hyperlink r:id="rId3053" ref="AJ1614"/>
    <hyperlink r:id="rId3054" ref="AK1614"/>
    <hyperlink r:id="rId3055" ref="AL1614"/>
    <hyperlink r:id="rId3056" ref="AM1614"/>
    <hyperlink r:id="rId3057" ref="AN1614"/>
    <hyperlink r:id="rId3058" ref="AD1615"/>
    <hyperlink r:id="rId3059" ref="AE1615"/>
    <hyperlink r:id="rId3060" ref="AI1615"/>
    <hyperlink r:id="rId3061" ref="AJ1615"/>
    <hyperlink r:id="rId3062" ref="AK1615"/>
    <hyperlink r:id="rId3063" ref="AL1615"/>
    <hyperlink r:id="rId3064" ref="AI1616"/>
    <hyperlink r:id="rId3065" ref="AJ1616"/>
    <hyperlink r:id="rId3066" ref="AI1617"/>
    <hyperlink r:id="rId3067" ref="AI1619"/>
    <hyperlink r:id="rId3068" ref="AI1620"/>
    <hyperlink r:id="rId3069" ref="AJ1620"/>
    <hyperlink r:id="rId3070" ref="AK1620"/>
    <hyperlink r:id="rId3071" ref="AL1620"/>
    <hyperlink r:id="rId3072" ref="AM1620"/>
    <hyperlink r:id="rId3073" ref="AN1620"/>
    <hyperlink r:id="rId3074" ref="AO1620"/>
    <hyperlink r:id="rId3075" ref="AI1621"/>
    <hyperlink r:id="rId3076" ref="AJ1621"/>
    <hyperlink r:id="rId3077" ref="AK1621"/>
    <hyperlink r:id="rId3078" ref="AI1622"/>
    <hyperlink r:id="rId3079" ref="AJ1622"/>
  </hyperlinks>
  <drawing r:id="rId3080"/>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7.25"/>
  </cols>
  <sheetData>
    <row r="1">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row>
    <row r="2">
      <c r="A2" s="3" t="s">
        <v>44</v>
      </c>
      <c r="B2" s="3" t="s">
        <v>45</v>
      </c>
      <c r="C2" s="3" t="s">
        <v>45</v>
      </c>
      <c r="D2" s="3" t="s">
        <v>45</v>
      </c>
      <c r="E2" s="3" t="s">
        <v>45</v>
      </c>
      <c r="F2" s="3" t="s">
        <v>46</v>
      </c>
      <c r="G2" s="4" t="s">
        <v>47</v>
      </c>
      <c r="H2" s="4" t="s">
        <v>48</v>
      </c>
      <c r="I2" s="3" t="s">
        <v>49</v>
      </c>
      <c r="J2" s="3" t="s">
        <v>50</v>
      </c>
      <c r="K2" s="3" t="s">
        <v>45</v>
      </c>
      <c r="L2" s="3" t="s">
        <v>51</v>
      </c>
      <c r="M2" s="3" t="s">
        <v>45</v>
      </c>
      <c r="N2" s="4" t="s">
        <v>52</v>
      </c>
      <c r="O2" s="3" t="s">
        <v>53</v>
      </c>
      <c r="P2" s="3" t="s">
        <v>45</v>
      </c>
      <c r="Q2" s="3" t="s">
        <v>45</v>
      </c>
      <c r="R2" s="3" t="s">
        <v>45</v>
      </c>
      <c r="S2" s="3" t="s">
        <v>45</v>
      </c>
      <c r="T2" s="3" t="s">
        <v>45</v>
      </c>
      <c r="U2" s="3" t="s">
        <v>45</v>
      </c>
      <c r="V2" s="3" t="s">
        <v>45</v>
      </c>
      <c r="W2" s="4" t="s">
        <v>54</v>
      </c>
      <c r="X2" s="3" t="s">
        <v>45</v>
      </c>
      <c r="Y2" s="3" t="s">
        <v>45</v>
      </c>
      <c r="Z2" s="3" t="s">
        <v>55</v>
      </c>
      <c r="AA2" s="3" t="s">
        <v>45</v>
      </c>
      <c r="AB2" s="3" t="s">
        <v>56</v>
      </c>
      <c r="AC2" s="3" t="s">
        <v>45</v>
      </c>
      <c r="AD2" s="3" t="s">
        <v>45</v>
      </c>
      <c r="AE2" s="3" t="s">
        <v>45</v>
      </c>
      <c r="AF2" s="3" t="s">
        <v>45</v>
      </c>
      <c r="AG2" s="3" t="s">
        <v>45</v>
      </c>
      <c r="AH2" s="3" t="s">
        <v>57</v>
      </c>
      <c r="AI2" s="5" t="s">
        <v>58</v>
      </c>
      <c r="AJ2" s="5" t="s">
        <v>59</v>
      </c>
      <c r="AK2" s="3" t="s">
        <v>45</v>
      </c>
      <c r="AL2" s="3" t="s">
        <v>45</v>
      </c>
      <c r="AM2" s="3" t="s">
        <v>45</v>
      </c>
      <c r="AN2" s="3" t="s">
        <v>45</v>
      </c>
      <c r="AO2" s="3" t="s">
        <v>45</v>
      </c>
      <c r="AP2" s="3" t="s">
        <v>45</v>
      </c>
      <c r="AQ2" s="4" t="s">
        <v>60</v>
      </c>
      <c r="AR2" s="4" t="s">
        <v>60</v>
      </c>
    </row>
    <row r="3">
      <c r="A3" s="3" t="s">
        <v>61</v>
      </c>
      <c r="B3" s="3" t="s">
        <v>62</v>
      </c>
      <c r="C3" s="3" t="s">
        <v>63</v>
      </c>
      <c r="D3" s="3" t="s">
        <v>64</v>
      </c>
      <c r="E3" s="3" t="s">
        <v>45</v>
      </c>
      <c r="F3" s="3" t="s">
        <v>65</v>
      </c>
      <c r="G3" s="4" t="s">
        <v>66</v>
      </c>
      <c r="H3" s="4" t="s">
        <v>67</v>
      </c>
      <c r="I3" s="3" t="s">
        <v>49</v>
      </c>
      <c r="J3" s="3" t="s">
        <v>50</v>
      </c>
      <c r="K3" s="3" t="s">
        <v>45</v>
      </c>
      <c r="L3" s="3" t="s">
        <v>68</v>
      </c>
      <c r="M3" s="3" t="s">
        <v>45</v>
      </c>
      <c r="N3" s="4" t="s">
        <v>69</v>
      </c>
      <c r="O3" s="3" t="s">
        <v>70</v>
      </c>
      <c r="P3" s="3" t="s">
        <v>71</v>
      </c>
      <c r="Q3" s="3" t="s">
        <v>55</v>
      </c>
      <c r="R3" s="3" t="s">
        <v>45</v>
      </c>
      <c r="S3" s="3" t="s">
        <v>45</v>
      </c>
      <c r="T3" s="3" t="s">
        <v>45</v>
      </c>
      <c r="U3" s="3" t="s">
        <v>45</v>
      </c>
      <c r="V3" s="3" t="s">
        <v>45</v>
      </c>
      <c r="W3" s="4" t="s">
        <v>72</v>
      </c>
      <c r="X3" s="3" t="s">
        <v>45</v>
      </c>
      <c r="Y3" s="4" t="s">
        <v>73</v>
      </c>
      <c r="Z3" s="3" t="s">
        <v>74</v>
      </c>
      <c r="AA3" s="3" t="s">
        <v>45</v>
      </c>
      <c r="AB3" s="3" t="s">
        <v>45</v>
      </c>
      <c r="AC3" s="3" t="s">
        <v>45</v>
      </c>
      <c r="AD3" s="3" t="s">
        <v>45</v>
      </c>
      <c r="AE3" s="3" t="s">
        <v>45</v>
      </c>
      <c r="AF3" s="3" t="s">
        <v>45</v>
      </c>
      <c r="AG3" s="3" t="s">
        <v>45</v>
      </c>
      <c r="AH3" s="3" t="s">
        <v>57</v>
      </c>
      <c r="AI3" s="5" t="s">
        <v>75</v>
      </c>
      <c r="AJ3" s="5" t="s">
        <v>76</v>
      </c>
      <c r="AK3" s="3" t="s">
        <v>45</v>
      </c>
      <c r="AL3" s="3" t="s">
        <v>45</v>
      </c>
      <c r="AM3" s="3" t="s">
        <v>45</v>
      </c>
      <c r="AN3" s="3" t="s">
        <v>45</v>
      </c>
      <c r="AO3" s="3" t="s">
        <v>45</v>
      </c>
      <c r="AP3" s="3" t="s">
        <v>45</v>
      </c>
      <c r="AQ3" s="4" t="s">
        <v>77</v>
      </c>
      <c r="AR3" s="4" t="s">
        <v>78</v>
      </c>
    </row>
    <row r="4">
      <c r="A4" s="3" t="s">
        <v>79</v>
      </c>
      <c r="B4" s="3" t="s">
        <v>80</v>
      </c>
      <c r="C4" s="3" t="s">
        <v>81</v>
      </c>
      <c r="D4" s="3" t="s">
        <v>64</v>
      </c>
      <c r="E4" s="4" t="s">
        <v>82</v>
      </c>
      <c r="F4" s="3" t="s">
        <v>65</v>
      </c>
      <c r="G4" s="4" t="s">
        <v>83</v>
      </c>
      <c r="H4" s="4" t="s">
        <v>84</v>
      </c>
      <c r="I4" s="3" t="s">
        <v>85</v>
      </c>
      <c r="J4" s="3" t="s">
        <v>50</v>
      </c>
      <c r="K4" s="3" t="s">
        <v>45</v>
      </c>
      <c r="L4" s="3" t="s">
        <v>86</v>
      </c>
      <c r="M4" s="3" t="s">
        <v>45</v>
      </c>
      <c r="N4" s="4" t="s">
        <v>87</v>
      </c>
      <c r="O4" s="3" t="s">
        <v>88</v>
      </c>
      <c r="P4" s="3" t="s">
        <v>45</v>
      </c>
      <c r="Q4" s="3" t="s">
        <v>45</v>
      </c>
      <c r="R4" s="3" t="s">
        <v>45</v>
      </c>
      <c r="S4" s="3" t="s">
        <v>45</v>
      </c>
      <c r="T4" s="3" t="s">
        <v>89</v>
      </c>
      <c r="U4" s="3" t="s">
        <v>45</v>
      </c>
      <c r="V4" s="3" t="s">
        <v>45</v>
      </c>
      <c r="W4" s="4" t="s">
        <v>90</v>
      </c>
      <c r="X4" s="3" t="s">
        <v>45</v>
      </c>
      <c r="Y4" s="3" t="s">
        <v>45</v>
      </c>
      <c r="Z4" s="3" t="s">
        <v>74</v>
      </c>
      <c r="AA4" s="3" t="s">
        <v>45</v>
      </c>
      <c r="AB4" s="3" t="s">
        <v>45</v>
      </c>
      <c r="AC4" s="3" t="s">
        <v>45</v>
      </c>
      <c r="AD4" s="3" t="s">
        <v>45</v>
      </c>
      <c r="AE4" s="3" t="s">
        <v>45</v>
      </c>
      <c r="AF4" s="3" t="s">
        <v>45</v>
      </c>
      <c r="AG4" s="3" t="s">
        <v>45</v>
      </c>
      <c r="AH4" s="3" t="s">
        <v>57</v>
      </c>
      <c r="AI4" s="5" t="s">
        <v>91</v>
      </c>
      <c r="AJ4" s="5" t="s">
        <v>75</v>
      </c>
      <c r="AK4" s="3" t="s">
        <v>45</v>
      </c>
      <c r="AL4" s="3" t="s">
        <v>45</v>
      </c>
      <c r="AM4" s="3" t="s">
        <v>45</v>
      </c>
      <c r="AN4" s="3" t="s">
        <v>45</v>
      </c>
      <c r="AO4" s="3" t="s">
        <v>45</v>
      </c>
      <c r="AP4" s="3" t="s">
        <v>45</v>
      </c>
      <c r="AQ4" s="4" t="s">
        <v>77</v>
      </c>
      <c r="AR4" s="4" t="s">
        <v>77</v>
      </c>
    </row>
    <row r="5">
      <c r="A5" s="3" t="s">
        <v>92</v>
      </c>
      <c r="B5" s="3" t="s">
        <v>93</v>
      </c>
      <c r="C5" s="3" t="s">
        <v>94</v>
      </c>
      <c r="D5" s="3" t="s">
        <v>64</v>
      </c>
      <c r="E5" s="4" t="s">
        <v>95</v>
      </c>
      <c r="F5" s="3" t="s">
        <v>96</v>
      </c>
      <c r="G5" s="4" t="s">
        <v>97</v>
      </c>
      <c r="H5" s="4" t="s">
        <v>98</v>
      </c>
      <c r="I5" s="3" t="s">
        <v>49</v>
      </c>
      <c r="J5" s="3" t="s">
        <v>99</v>
      </c>
      <c r="K5" s="3" t="s">
        <v>100</v>
      </c>
      <c r="L5" s="3" t="s">
        <v>101</v>
      </c>
      <c r="M5" s="3" t="s">
        <v>45</v>
      </c>
      <c r="N5" s="4" t="s">
        <v>102</v>
      </c>
      <c r="O5" s="3" t="s">
        <v>88</v>
      </c>
      <c r="P5" s="3" t="s">
        <v>103</v>
      </c>
      <c r="Q5" s="3" t="s">
        <v>45</v>
      </c>
      <c r="R5" s="3" t="s">
        <v>45</v>
      </c>
      <c r="S5" s="4" t="s">
        <v>104</v>
      </c>
      <c r="T5" s="3" t="s">
        <v>105</v>
      </c>
      <c r="U5" s="3" t="s">
        <v>45</v>
      </c>
      <c r="V5" s="4" t="s">
        <v>106</v>
      </c>
      <c r="W5" s="4" t="s">
        <v>107</v>
      </c>
      <c r="X5" s="3" t="s">
        <v>108</v>
      </c>
      <c r="Y5" s="3" t="s">
        <v>45</v>
      </c>
      <c r="Z5" s="3" t="s">
        <v>55</v>
      </c>
      <c r="AA5" s="3" t="s">
        <v>45</v>
      </c>
      <c r="AB5" s="3" t="s">
        <v>109</v>
      </c>
      <c r="AC5" s="3" t="s">
        <v>45</v>
      </c>
      <c r="AD5" s="5" t="s">
        <v>110</v>
      </c>
      <c r="AE5" s="3" t="s">
        <v>45</v>
      </c>
      <c r="AF5" s="5" t="s">
        <v>111</v>
      </c>
      <c r="AG5" s="3" t="s">
        <v>45</v>
      </c>
      <c r="AH5" s="3" t="s">
        <v>57</v>
      </c>
      <c r="AI5" s="5" t="s">
        <v>112</v>
      </c>
      <c r="AJ5" s="5" t="s">
        <v>113</v>
      </c>
      <c r="AK5" s="5" t="s">
        <v>114</v>
      </c>
      <c r="AL5" s="5" t="s">
        <v>115</v>
      </c>
      <c r="AM5" s="5" t="s">
        <v>116</v>
      </c>
      <c r="AN5" s="3" t="s">
        <v>45</v>
      </c>
      <c r="AO5" s="3" t="s">
        <v>45</v>
      </c>
      <c r="AP5" s="3" t="s">
        <v>45</v>
      </c>
      <c r="AQ5" s="4" t="s">
        <v>117</v>
      </c>
      <c r="AR5" s="4" t="s">
        <v>117</v>
      </c>
    </row>
    <row r="6">
      <c r="A6" s="3" t="s">
        <v>118</v>
      </c>
      <c r="B6" s="3" t="s">
        <v>119</v>
      </c>
      <c r="C6" s="3" t="s">
        <v>120</v>
      </c>
      <c r="D6" s="3" t="s">
        <v>121</v>
      </c>
      <c r="E6" s="4" t="s">
        <v>122</v>
      </c>
      <c r="F6" s="3" t="s">
        <v>123</v>
      </c>
      <c r="G6" s="4" t="s">
        <v>124</v>
      </c>
      <c r="H6" s="4" t="s">
        <v>125</v>
      </c>
      <c r="I6" s="3" t="s">
        <v>49</v>
      </c>
      <c r="J6" s="3" t="s">
        <v>126</v>
      </c>
      <c r="K6" s="3" t="s">
        <v>45</v>
      </c>
      <c r="L6" s="3" t="s">
        <v>127</v>
      </c>
      <c r="M6" s="3" t="s">
        <v>45</v>
      </c>
      <c r="N6" s="4" t="s">
        <v>128</v>
      </c>
      <c r="O6" s="3" t="s">
        <v>70</v>
      </c>
      <c r="P6" s="3" t="s">
        <v>45</v>
      </c>
      <c r="Q6" s="3" t="s">
        <v>45</v>
      </c>
      <c r="R6" s="3" t="s">
        <v>45</v>
      </c>
      <c r="S6" s="4" t="s">
        <v>129</v>
      </c>
      <c r="T6" s="3" t="s">
        <v>45</v>
      </c>
      <c r="U6" s="3" t="s">
        <v>45</v>
      </c>
      <c r="V6" s="4" t="s">
        <v>130</v>
      </c>
      <c r="W6" s="4" t="s">
        <v>131</v>
      </c>
      <c r="X6" s="3" t="s">
        <v>132</v>
      </c>
      <c r="Y6" s="4" t="s">
        <v>133</v>
      </c>
      <c r="Z6" s="3" t="s">
        <v>55</v>
      </c>
      <c r="AA6" s="3" t="s">
        <v>134</v>
      </c>
      <c r="AB6" s="3" t="s">
        <v>109</v>
      </c>
      <c r="AC6" s="3" t="s">
        <v>135</v>
      </c>
      <c r="AD6" s="5" t="s">
        <v>136</v>
      </c>
      <c r="AE6" s="5" t="s">
        <v>137</v>
      </c>
      <c r="AF6" s="3" t="s">
        <v>45</v>
      </c>
      <c r="AG6" s="3" t="s">
        <v>138</v>
      </c>
      <c r="AH6" s="3" t="s">
        <v>57</v>
      </c>
      <c r="AI6" s="5" t="s">
        <v>139</v>
      </c>
      <c r="AJ6" s="5" t="s">
        <v>140</v>
      </c>
      <c r="AK6" s="5" t="s">
        <v>141</v>
      </c>
      <c r="AL6" s="5" t="s">
        <v>142</v>
      </c>
      <c r="AM6" s="5" t="s">
        <v>143</v>
      </c>
      <c r="AN6" s="5" t="s">
        <v>144</v>
      </c>
      <c r="AO6" s="5" t="s">
        <v>145</v>
      </c>
      <c r="AP6" s="5" t="s">
        <v>146</v>
      </c>
      <c r="AQ6" s="4" t="s">
        <v>147</v>
      </c>
      <c r="AR6" s="4" t="s">
        <v>148</v>
      </c>
    </row>
    <row r="7">
      <c r="A7" s="3" t="s">
        <v>149</v>
      </c>
      <c r="B7" s="3" t="s">
        <v>150</v>
      </c>
      <c r="C7" s="3" t="s">
        <v>151</v>
      </c>
      <c r="D7" s="3" t="s">
        <v>121</v>
      </c>
      <c r="E7" s="4" t="s">
        <v>152</v>
      </c>
      <c r="F7" s="3" t="s">
        <v>123</v>
      </c>
      <c r="G7" s="4" t="s">
        <v>153</v>
      </c>
      <c r="H7" s="4" t="s">
        <v>154</v>
      </c>
      <c r="I7" s="3" t="s">
        <v>49</v>
      </c>
      <c r="J7" s="3" t="s">
        <v>126</v>
      </c>
      <c r="K7" s="3" t="s">
        <v>45</v>
      </c>
      <c r="L7" s="3" t="s">
        <v>155</v>
      </c>
      <c r="M7" s="3" t="s">
        <v>45</v>
      </c>
      <c r="N7" s="4" t="s">
        <v>156</v>
      </c>
      <c r="O7" s="3" t="s">
        <v>88</v>
      </c>
      <c r="P7" s="3" t="s">
        <v>45</v>
      </c>
      <c r="Q7" s="3" t="s">
        <v>45</v>
      </c>
      <c r="R7" s="3" t="s">
        <v>45</v>
      </c>
      <c r="S7" s="3" t="s">
        <v>45</v>
      </c>
      <c r="T7" s="3" t="s">
        <v>45</v>
      </c>
      <c r="U7" s="3" t="s">
        <v>45</v>
      </c>
      <c r="V7" s="3" t="s">
        <v>45</v>
      </c>
      <c r="W7" s="4" t="s">
        <v>157</v>
      </c>
      <c r="X7" s="3" t="s">
        <v>158</v>
      </c>
      <c r="Y7" s="3" t="s">
        <v>45</v>
      </c>
      <c r="Z7" s="3" t="s">
        <v>74</v>
      </c>
      <c r="AA7" s="3" t="s">
        <v>45</v>
      </c>
      <c r="AB7" s="3" t="s">
        <v>45</v>
      </c>
      <c r="AC7" s="3" t="s">
        <v>45</v>
      </c>
      <c r="AD7" s="3" t="s">
        <v>45</v>
      </c>
      <c r="AE7" s="3" t="s">
        <v>45</v>
      </c>
      <c r="AF7" s="3" t="s">
        <v>45</v>
      </c>
      <c r="AG7" s="3" t="s">
        <v>159</v>
      </c>
      <c r="AH7" s="3" t="s">
        <v>57</v>
      </c>
      <c r="AI7" s="5" t="s">
        <v>160</v>
      </c>
      <c r="AJ7" s="5" t="s">
        <v>161</v>
      </c>
      <c r="AK7" s="3" t="s">
        <v>45</v>
      </c>
      <c r="AL7" s="3" t="s">
        <v>45</v>
      </c>
      <c r="AM7" s="3" t="s">
        <v>45</v>
      </c>
      <c r="AN7" s="3" t="s">
        <v>45</v>
      </c>
      <c r="AO7" s="3" t="s">
        <v>45</v>
      </c>
      <c r="AP7" s="3" t="s">
        <v>45</v>
      </c>
      <c r="AQ7" s="4" t="s">
        <v>162</v>
      </c>
      <c r="AR7" s="4" t="s">
        <v>162</v>
      </c>
    </row>
    <row r="8">
      <c r="A8" s="3" t="s">
        <v>163</v>
      </c>
      <c r="B8" s="3" t="s">
        <v>164</v>
      </c>
      <c r="C8" s="3" t="s">
        <v>151</v>
      </c>
      <c r="D8" s="3" t="s">
        <v>121</v>
      </c>
      <c r="E8" s="4" t="s">
        <v>165</v>
      </c>
      <c r="F8" s="3" t="s">
        <v>123</v>
      </c>
      <c r="G8" s="4" t="s">
        <v>166</v>
      </c>
      <c r="H8" s="4" t="s">
        <v>167</v>
      </c>
      <c r="I8" s="3" t="s">
        <v>85</v>
      </c>
      <c r="J8" s="3" t="s">
        <v>126</v>
      </c>
      <c r="K8" s="3" t="s">
        <v>45</v>
      </c>
      <c r="L8" s="3" t="s">
        <v>45</v>
      </c>
      <c r="M8" s="3" t="s">
        <v>45</v>
      </c>
      <c r="N8" s="3" t="s">
        <v>45</v>
      </c>
      <c r="O8" s="3" t="s">
        <v>74</v>
      </c>
      <c r="P8" s="3" t="s">
        <v>45</v>
      </c>
      <c r="Q8" s="3" t="s">
        <v>45</v>
      </c>
      <c r="R8" s="3" t="s">
        <v>45</v>
      </c>
      <c r="S8" s="3" t="s">
        <v>45</v>
      </c>
      <c r="T8" s="3" t="s">
        <v>45</v>
      </c>
      <c r="U8" s="3" t="s">
        <v>45</v>
      </c>
      <c r="V8" s="3" t="s">
        <v>45</v>
      </c>
      <c r="W8" s="3" t="s">
        <v>45</v>
      </c>
      <c r="X8" s="3" t="s">
        <v>45</v>
      </c>
      <c r="Y8" s="3" t="s">
        <v>45</v>
      </c>
      <c r="Z8" s="3" t="s">
        <v>74</v>
      </c>
      <c r="AA8" s="3" t="s">
        <v>45</v>
      </c>
      <c r="AB8" s="3" t="s">
        <v>45</v>
      </c>
      <c r="AC8" s="3" t="s">
        <v>45</v>
      </c>
      <c r="AD8" s="3" t="s">
        <v>45</v>
      </c>
      <c r="AE8" s="3" t="s">
        <v>45</v>
      </c>
      <c r="AF8" s="3" t="s">
        <v>45</v>
      </c>
      <c r="AG8" s="3" t="s">
        <v>45</v>
      </c>
      <c r="AH8" s="3" t="s">
        <v>57</v>
      </c>
      <c r="AI8" s="3" t="s">
        <v>45</v>
      </c>
      <c r="AJ8" s="3" t="s">
        <v>45</v>
      </c>
      <c r="AK8" s="3" t="s">
        <v>45</v>
      </c>
      <c r="AL8" s="3" t="s">
        <v>45</v>
      </c>
      <c r="AM8" s="3" t="s">
        <v>45</v>
      </c>
      <c r="AN8" s="3" t="s">
        <v>45</v>
      </c>
      <c r="AO8" s="3" t="s">
        <v>45</v>
      </c>
      <c r="AP8" s="3" t="s">
        <v>45</v>
      </c>
      <c r="AQ8" s="4" t="s">
        <v>168</v>
      </c>
      <c r="AR8" s="4" t="s">
        <v>168</v>
      </c>
    </row>
    <row r="9">
      <c r="A9" s="3" t="s">
        <v>169</v>
      </c>
      <c r="B9" s="3" t="s">
        <v>170</v>
      </c>
      <c r="C9" s="3" t="s">
        <v>171</v>
      </c>
      <c r="D9" s="3" t="s">
        <v>121</v>
      </c>
      <c r="E9" s="4" t="s">
        <v>172</v>
      </c>
      <c r="F9" s="3" t="s">
        <v>173</v>
      </c>
      <c r="G9" s="4" t="s">
        <v>174</v>
      </c>
      <c r="H9" s="4" t="s">
        <v>175</v>
      </c>
      <c r="I9" s="3" t="s">
        <v>85</v>
      </c>
      <c r="J9" s="3" t="s">
        <v>126</v>
      </c>
      <c r="K9" s="3" t="s">
        <v>45</v>
      </c>
      <c r="L9" s="3" t="s">
        <v>176</v>
      </c>
      <c r="M9" s="3" t="s">
        <v>45</v>
      </c>
      <c r="N9" s="3" t="s">
        <v>45</v>
      </c>
      <c r="O9" s="3" t="s">
        <v>88</v>
      </c>
      <c r="P9" s="3" t="s">
        <v>45</v>
      </c>
      <c r="Q9" s="3" t="s">
        <v>45</v>
      </c>
      <c r="R9" s="3" t="s">
        <v>45</v>
      </c>
      <c r="S9" s="3" t="s">
        <v>45</v>
      </c>
      <c r="T9" s="3" t="s">
        <v>45</v>
      </c>
      <c r="U9" s="3" t="s">
        <v>45</v>
      </c>
      <c r="V9" s="4" t="s">
        <v>177</v>
      </c>
      <c r="W9" s="4" t="s">
        <v>178</v>
      </c>
      <c r="X9" s="3" t="s">
        <v>179</v>
      </c>
      <c r="Y9" s="3" t="s">
        <v>45</v>
      </c>
      <c r="Z9" s="3" t="s">
        <v>74</v>
      </c>
      <c r="AA9" s="3" t="s">
        <v>45</v>
      </c>
      <c r="AB9" s="3" t="s">
        <v>45</v>
      </c>
      <c r="AC9" s="3" t="s">
        <v>45</v>
      </c>
      <c r="AD9" s="3" t="s">
        <v>45</v>
      </c>
      <c r="AE9" s="3" t="s">
        <v>45</v>
      </c>
      <c r="AF9" s="3" t="s">
        <v>45</v>
      </c>
      <c r="AG9" s="3" t="s">
        <v>45</v>
      </c>
      <c r="AH9" s="3" t="s">
        <v>57</v>
      </c>
      <c r="AI9" s="5" t="s">
        <v>180</v>
      </c>
      <c r="AJ9" s="5" t="s">
        <v>181</v>
      </c>
      <c r="AK9" s="3" t="s">
        <v>45</v>
      </c>
      <c r="AL9" s="3" t="s">
        <v>45</v>
      </c>
      <c r="AM9" s="3" t="s">
        <v>45</v>
      </c>
      <c r="AN9" s="3" t="s">
        <v>45</v>
      </c>
      <c r="AO9" s="3" t="s">
        <v>45</v>
      </c>
      <c r="AP9" s="3" t="s">
        <v>45</v>
      </c>
      <c r="AQ9" s="4" t="s">
        <v>182</v>
      </c>
      <c r="AR9" s="4" t="s">
        <v>183</v>
      </c>
    </row>
    <row r="10">
      <c r="A10" s="3" t="s">
        <v>184</v>
      </c>
      <c r="B10" s="3" t="s">
        <v>185</v>
      </c>
      <c r="C10" s="3" t="s">
        <v>186</v>
      </c>
      <c r="D10" s="3" t="s">
        <v>121</v>
      </c>
      <c r="E10" s="4" t="s">
        <v>187</v>
      </c>
      <c r="F10" s="3" t="s">
        <v>188</v>
      </c>
      <c r="G10" s="4" t="s">
        <v>189</v>
      </c>
      <c r="H10" s="4" t="s">
        <v>190</v>
      </c>
      <c r="I10" s="3" t="s">
        <v>49</v>
      </c>
      <c r="J10" s="3" t="s">
        <v>50</v>
      </c>
      <c r="K10" s="3" t="s">
        <v>45</v>
      </c>
      <c r="L10" s="3" t="s">
        <v>45</v>
      </c>
      <c r="M10" s="3" t="s">
        <v>45</v>
      </c>
      <c r="N10" s="4" t="s">
        <v>102</v>
      </c>
      <c r="O10" s="3" t="s">
        <v>88</v>
      </c>
      <c r="P10" s="3" t="s">
        <v>45</v>
      </c>
      <c r="Q10" s="3" t="s">
        <v>45</v>
      </c>
      <c r="R10" s="3" t="s">
        <v>45</v>
      </c>
      <c r="S10" s="3" t="s">
        <v>45</v>
      </c>
      <c r="T10" s="3" t="s">
        <v>45</v>
      </c>
      <c r="U10" s="3" t="s">
        <v>45</v>
      </c>
      <c r="V10" s="3" t="s">
        <v>45</v>
      </c>
      <c r="W10" s="4" t="s">
        <v>191</v>
      </c>
      <c r="X10" s="3" t="s">
        <v>192</v>
      </c>
      <c r="Y10" s="3" t="s">
        <v>45</v>
      </c>
      <c r="Z10" s="3" t="s">
        <v>55</v>
      </c>
      <c r="AA10" s="3" t="s">
        <v>45</v>
      </c>
      <c r="AB10" s="3" t="s">
        <v>109</v>
      </c>
      <c r="AC10" s="3" t="s">
        <v>45</v>
      </c>
      <c r="AD10" s="5" t="s">
        <v>193</v>
      </c>
      <c r="AE10" s="3" t="s">
        <v>45</v>
      </c>
      <c r="AF10" s="3" t="s">
        <v>45</v>
      </c>
      <c r="AG10" s="3" t="s">
        <v>45</v>
      </c>
      <c r="AH10" s="3" t="s">
        <v>57</v>
      </c>
      <c r="AI10" s="5" t="s">
        <v>194</v>
      </c>
      <c r="AJ10" s="5" t="s">
        <v>195</v>
      </c>
      <c r="AK10" s="5" t="s">
        <v>196</v>
      </c>
      <c r="AL10" s="3" t="s">
        <v>45</v>
      </c>
      <c r="AM10" s="3" t="s">
        <v>45</v>
      </c>
      <c r="AN10" s="3" t="s">
        <v>45</v>
      </c>
      <c r="AO10" s="3" t="s">
        <v>45</v>
      </c>
      <c r="AP10" s="3" t="s">
        <v>45</v>
      </c>
      <c r="AQ10" s="4" t="s">
        <v>197</v>
      </c>
      <c r="AR10" s="4" t="s">
        <v>198</v>
      </c>
    </row>
    <row r="11">
      <c r="A11" s="3" t="s">
        <v>163</v>
      </c>
      <c r="B11" s="3" t="s">
        <v>199</v>
      </c>
      <c r="C11" s="3" t="s">
        <v>200</v>
      </c>
      <c r="D11" s="3" t="s">
        <v>121</v>
      </c>
      <c r="E11" s="4" t="s">
        <v>201</v>
      </c>
      <c r="F11" s="3" t="s">
        <v>202</v>
      </c>
      <c r="G11" s="4" t="s">
        <v>203</v>
      </c>
      <c r="H11" s="4" t="s">
        <v>204</v>
      </c>
      <c r="I11" s="3" t="s">
        <v>85</v>
      </c>
      <c r="J11" s="3" t="s">
        <v>126</v>
      </c>
      <c r="K11" s="3" t="s">
        <v>45</v>
      </c>
      <c r="L11" s="3" t="s">
        <v>45</v>
      </c>
      <c r="M11" s="3" t="s">
        <v>45</v>
      </c>
      <c r="N11" s="3" t="s">
        <v>45</v>
      </c>
      <c r="O11" s="3" t="s">
        <v>74</v>
      </c>
      <c r="P11" s="3" t="s">
        <v>45</v>
      </c>
      <c r="Q11" s="3" t="s">
        <v>45</v>
      </c>
      <c r="R11" s="3" t="s">
        <v>45</v>
      </c>
      <c r="S11" s="3" t="s">
        <v>45</v>
      </c>
      <c r="T11" s="3" t="s">
        <v>45</v>
      </c>
      <c r="U11" s="3" t="s">
        <v>45</v>
      </c>
      <c r="V11" s="3" t="s">
        <v>45</v>
      </c>
      <c r="W11" s="3" t="s">
        <v>45</v>
      </c>
      <c r="X11" s="3" t="s">
        <v>45</v>
      </c>
      <c r="Y11" s="3" t="s">
        <v>45</v>
      </c>
      <c r="Z11" s="3" t="s">
        <v>74</v>
      </c>
      <c r="AA11" s="3" t="s">
        <v>45</v>
      </c>
      <c r="AB11" s="3" t="s">
        <v>45</v>
      </c>
      <c r="AC11" s="3" t="s">
        <v>45</v>
      </c>
      <c r="AD11" s="3" t="s">
        <v>45</v>
      </c>
      <c r="AE11" s="3" t="s">
        <v>45</v>
      </c>
      <c r="AF11" s="3" t="s">
        <v>45</v>
      </c>
      <c r="AG11" s="3" t="s">
        <v>45</v>
      </c>
      <c r="AH11" s="3" t="s">
        <v>57</v>
      </c>
      <c r="AI11" s="3" t="s">
        <v>45</v>
      </c>
      <c r="AJ11" s="3" t="s">
        <v>45</v>
      </c>
      <c r="AK11" s="3" t="s">
        <v>45</v>
      </c>
      <c r="AL11" s="3" t="s">
        <v>45</v>
      </c>
      <c r="AM11" s="3" t="s">
        <v>45</v>
      </c>
      <c r="AN11" s="3" t="s">
        <v>45</v>
      </c>
      <c r="AO11" s="3" t="s">
        <v>45</v>
      </c>
      <c r="AP11" s="3" t="s">
        <v>45</v>
      </c>
      <c r="AQ11" s="4" t="s">
        <v>168</v>
      </c>
      <c r="AR11" s="4" t="s">
        <v>168</v>
      </c>
    </row>
    <row r="12">
      <c r="A12" s="3" t="s">
        <v>205</v>
      </c>
      <c r="B12" s="3" t="s">
        <v>206</v>
      </c>
      <c r="C12" s="3" t="s">
        <v>200</v>
      </c>
      <c r="D12" s="3" t="s">
        <v>121</v>
      </c>
      <c r="E12" s="4" t="s">
        <v>207</v>
      </c>
      <c r="F12" s="3" t="s">
        <v>202</v>
      </c>
      <c r="G12" s="4" t="s">
        <v>208</v>
      </c>
      <c r="H12" s="4" t="s">
        <v>209</v>
      </c>
      <c r="I12" s="3" t="s">
        <v>85</v>
      </c>
      <c r="J12" s="3" t="s">
        <v>126</v>
      </c>
      <c r="K12" s="3" t="s">
        <v>45</v>
      </c>
      <c r="L12" s="3" t="s">
        <v>210</v>
      </c>
      <c r="M12" s="3" t="s">
        <v>45</v>
      </c>
      <c r="N12" s="3" t="s">
        <v>45</v>
      </c>
      <c r="O12" s="3" t="s">
        <v>74</v>
      </c>
      <c r="P12" s="3" t="s">
        <v>45</v>
      </c>
      <c r="Q12" s="3" t="s">
        <v>45</v>
      </c>
      <c r="R12" s="3" t="s">
        <v>45</v>
      </c>
      <c r="S12" s="3" t="s">
        <v>45</v>
      </c>
      <c r="T12" s="3" t="s">
        <v>45</v>
      </c>
      <c r="U12" s="3" t="s">
        <v>45</v>
      </c>
      <c r="V12" s="3" t="s">
        <v>45</v>
      </c>
      <c r="W12" s="3" t="s">
        <v>45</v>
      </c>
      <c r="X12" s="3" t="s">
        <v>45</v>
      </c>
      <c r="Y12" s="3" t="s">
        <v>45</v>
      </c>
      <c r="Z12" s="3" t="s">
        <v>74</v>
      </c>
      <c r="AA12" s="3" t="s">
        <v>45</v>
      </c>
      <c r="AB12" s="3" t="s">
        <v>45</v>
      </c>
      <c r="AC12" s="3" t="s">
        <v>45</v>
      </c>
      <c r="AD12" s="3" t="s">
        <v>45</v>
      </c>
      <c r="AE12" s="3" t="s">
        <v>45</v>
      </c>
      <c r="AF12" s="3" t="s">
        <v>45</v>
      </c>
      <c r="AG12" s="3" t="s">
        <v>45</v>
      </c>
      <c r="AH12" s="3" t="s">
        <v>57</v>
      </c>
      <c r="AI12" s="5" t="s">
        <v>211</v>
      </c>
      <c r="AJ12" s="3" t="s">
        <v>45</v>
      </c>
      <c r="AK12" s="3" t="s">
        <v>45</v>
      </c>
      <c r="AL12" s="3" t="s">
        <v>45</v>
      </c>
      <c r="AM12" s="3" t="s">
        <v>45</v>
      </c>
      <c r="AN12" s="3" t="s">
        <v>45</v>
      </c>
      <c r="AO12" s="3" t="s">
        <v>45</v>
      </c>
      <c r="AP12" s="3" t="s">
        <v>45</v>
      </c>
      <c r="AQ12" s="4" t="s">
        <v>212</v>
      </c>
      <c r="AR12" s="4" t="s">
        <v>212</v>
      </c>
    </row>
    <row r="13">
      <c r="A13" s="3" t="s">
        <v>205</v>
      </c>
      <c r="B13" s="3" t="s">
        <v>213</v>
      </c>
      <c r="C13" s="3" t="s">
        <v>214</v>
      </c>
      <c r="D13" s="3" t="s">
        <v>121</v>
      </c>
      <c r="E13" s="4" t="s">
        <v>215</v>
      </c>
      <c r="F13" s="3" t="s">
        <v>214</v>
      </c>
      <c r="G13" s="4" t="s">
        <v>216</v>
      </c>
      <c r="H13" s="4" t="s">
        <v>217</v>
      </c>
      <c r="I13" s="3" t="s">
        <v>218</v>
      </c>
      <c r="J13" s="3" t="s">
        <v>50</v>
      </c>
      <c r="K13" s="3" t="s">
        <v>45</v>
      </c>
      <c r="L13" s="3" t="s">
        <v>210</v>
      </c>
      <c r="M13" s="3" t="s">
        <v>45</v>
      </c>
      <c r="N13" s="3" t="s">
        <v>219</v>
      </c>
      <c r="O13" s="3" t="s">
        <v>88</v>
      </c>
      <c r="P13" s="3" t="s">
        <v>220</v>
      </c>
      <c r="Q13" s="3" t="s">
        <v>45</v>
      </c>
      <c r="R13" s="3" t="s">
        <v>45</v>
      </c>
      <c r="S13" s="4" t="s">
        <v>104</v>
      </c>
      <c r="T13" s="3" t="s">
        <v>105</v>
      </c>
      <c r="U13" s="3" t="s">
        <v>221</v>
      </c>
      <c r="V13" s="4" t="s">
        <v>222</v>
      </c>
      <c r="W13" s="3" t="s">
        <v>45</v>
      </c>
      <c r="X13" s="3" t="s">
        <v>223</v>
      </c>
      <c r="Y13" s="3" t="s">
        <v>45</v>
      </c>
      <c r="Z13" s="3" t="s">
        <v>74</v>
      </c>
      <c r="AA13" s="3" t="s">
        <v>45</v>
      </c>
      <c r="AB13" s="3" t="s">
        <v>45</v>
      </c>
      <c r="AC13" s="3" t="s">
        <v>45</v>
      </c>
      <c r="AD13" s="3" t="s">
        <v>45</v>
      </c>
      <c r="AE13" s="3" t="s">
        <v>45</v>
      </c>
      <c r="AF13" s="3" t="s">
        <v>45</v>
      </c>
      <c r="AG13" s="3" t="s">
        <v>45</v>
      </c>
      <c r="AH13" s="3" t="s">
        <v>57</v>
      </c>
      <c r="AI13" s="5" t="s">
        <v>211</v>
      </c>
      <c r="AJ13" s="3" t="s">
        <v>45</v>
      </c>
      <c r="AK13" s="3" t="s">
        <v>45</v>
      </c>
      <c r="AL13" s="3" t="s">
        <v>45</v>
      </c>
      <c r="AM13" s="3" t="s">
        <v>45</v>
      </c>
      <c r="AN13" s="3" t="s">
        <v>45</v>
      </c>
      <c r="AO13" s="3" t="s">
        <v>45</v>
      </c>
      <c r="AP13" s="3" t="s">
        <v>45</v>
      </c>
      <c r="AQ13" s="4" t="s">
        <v>212</v>
      </c>
      <c r="AR13" s="4" t="s">
        <v>224</v>
      </c>
    </row>
    <row r="14">
      <c r="A14" s="3" t="s">
        <v>225</v>
      </c>
      <c r="B14" s="3" t="s">
        <v>226</v>
      </c>
      <c r="C14" s="3" t="s">
        <v>227</v>
      </c>
      <c r="D14" s="3" t="s">
        <v>121</v>
      </c>
      <c r="E14" s="4" t="s">
        <v>228</v>
      </c>
      <c r="F14" s="3" t="s">
        <v>229</v>
      </c>
      <c r="G14" s="4" t="s">
        <v>230</v>
      </c>
      <c r="H14" s="4" t="s">
        <v>231</v>
      </c>
      <c r="I14" s="3" t="s">
        <v>49</v>
      </c>
      <c r="J14" s="3" t="s">
        <v>50</v>
      </c>
      <c r="K14" s="3" t="s">
        <v>45</v>
      </c>
      <c r="L14" s="3" t="s">
        <v>232</v>
      </c>
      <c r="M14" s="3" t="s">
        <v>45</v>
      </c>
      <c r="N14" s="3" t="s">
        <v>45</v>
      </c>
      <c r="O14" s="3" t="s">
        <v>74</v>
      </c>
      <c r="P14" s="3" t="s">
        <v>45</v>
      </c>
      <c r="Q14" s="3" t="s">
        <v>45</v>
      </c>
      <c r="R14" s="3" t="s">
        <v>45</v>
      </c>
      <c r="S14" s="4" t="s">
        <v>233</v>
      </c>
      <c r="T14" s="3" t="s">
        <v>45</v>
      </c>
      <c r="U14" s="3" t="s">
        <v>221</v>
      </c>
      <c r="V14" s="3" t="s">
        <v>45</v>
      </c>
      <c r="W14" s="4" t="s">
        <v>234</v>
      </c>
      <c r="X14" s="3" t="s">
        <v>45</v>
      </c>
      <c r="Y14" s="3" t="s">
        <v>45</v>
      </c>
      <c r="Z14" s="3" t="s">
        <v>45</v>
      </c>
      <c r="AA14" s="3" t="s">
        <v>45</v>
      </c>
      <c r="AB14" s="3" t="s">
        <v>45</v>
      </c>
      <c r="AC14" s="3" t="s">
        <v>45</v>
      </c>
      <c r="AD14" s="3" t="s">
        <v>45</v>
      </c>
      <c r="AE14" s="3" t="s">
        <v>45</v>
      </c>
      <c r="AF14" s="3" t="s">
        <v>45</v>
      </c>
      <c r="AG14" s="3" t="s">
        <v>235</v>
      </c>
      <c r="AH14" s="3" t="s">
        <v>57</v>
      </c>
      <c r="AI14" s="5" t="s">
        <v>236</v>
      </c>
      <c r="AJ14" s="3" t="s">
        <v>45</v>
      </c>
      <c r="AK14" s="3" t="s">
        <v>45</v>
      </c>
      <c r="AL14" s="3" t="s">
        <v>45</v>
      </c>
      <c r="AM14" s="3" t="s">
        <v>45</v>
      </c>
      <c r="AN14" s="3" t="s">
        <v>45</v>
      </c>
      <c r="AO14" s="3" t="s">
        <v>45</v>
      </c>
      <c r="AP14" s="3" t="s">
        <v>45</v>
      </c>
      <c r="AQ14" s="4" t="s">
        <v>237</v>
      </c>
      <c r="AR14" s="4" t="s">
        <v>237</v>
      </c>
    </row>
    <row r="15">
      <c r="A15" s="3" t="s">
        <v>238</v>
      </c>
      <c r="B15" s="3" t="s">
        <v>239</v>
      </c>
      <c r="C15" s="3" t="s">
        <v>240</v>
      </c>
      <c r="D15" s="3" t="s">
        <v>121</v>
      </c>
      <c r="E15" s="4" t="s">
        <v>241</v>
      </c>
      <c r="F15" s="3" t="s">
        <v>242</v>
      </c>
      <c r="G15" s="4" t="s">
        <v>243</v>
      </c>
      <c r="H15" s="4" t="s">
        <v>244</v>
      </c>
      <c r="I15" s="3" t="s">
        <v>245</v>
      </c>
      <c r="J15" s="3" t="s">
        <v>50</v>
      </c>
      <c r="K15" s="3" t="s">
        <v>246</v>
      </c>
      <c r="L15" s="3" t="s">
        <v>45</v>
      </c>
      <c r="M15" s="3" t="s">
        <v>45</v>
      </c>
      <c r="N15" s="3" t="s">
        <v>45</v>
      </c>
      <c r="O15" s="3" t="s">
        <v>74</v>
      </c>
      <c r="P15" s="3" t="s">
        <v>45</v>
      </c>
      <c r="Q15" s="3" t="s">
        <v>45</v>
      </c>
      <c r="R15" s="3" t="s">
        <v>45</v>
      </c>
      <c r="S15" s="3" t="s">
        <v>45</v>
      </c>
      <c r="T15" s="3" t="s">
        <v>45</v>
      </c>
      <c r="U15" s="3" t="s">
        <v>45</v>
      </c>
      <c r="V15" s="3" t="s">
        <v>45</v>
      </c>
      <c r="W15" s="4" t="s">
        <v>247</v>
      </c>
      <c r="X15" s="3" t="s">
        <v>45</v>
      </c>
      <c r="Y15" s="3" t="s">
        <v>45</v>
      </c>
      <c r="Z15" s="3" t="s">
        <v>55</v>
      </c>
      <c r="AA15" s="3" t="s">
        <v>45</v>
      </c>
      <c r="AB15" s="3" t="s">
        <v>109</v>
      </c>
      <c r="AC15" s="3" t="s">
        <v>45</v>
      </c>
      <c r="AD15" s="3" t="s">
        <v>45</v>
      </c>
      <c r="AE15" s="3" t="s">
        <v>45</v>
      </c>
      <c r="AF15" s="3" t="s">
        <v>45</v>
      </c>
      <c r="AG15" s="3" t="s">
        <v>248</v>
      </c>
      <c r="AH15" s="3" t="s">
        <v>57</v>
      </c>
      <c r="AI15" s="5" t="s">
        <v>249</v>
      </c>
      <c r="AJ15" s="3" t="s">
        <v>45</v>
      </c>
      <c r="AK15" s="3" t="s">
        <v>45</v>
      </c>
      <c r="AL15" s="3" t="s">
        <v>45</v>
      </c>
      <c r="AM15" s="3" t="s">
        <v>45</v>
      </c>
      <c r="AN15" s="3" t="s">
        <v>45</v>
      </c>
      <c r="AO15" s="3" t="s">
        <v>45</v>
      </c>
      <c r="AP15" s="3" t="s">
        <v>45</v>
      </c>
      <c r="AQ15" s="4" t="s">
        <v>60</v>
      </c>
      <c r="AR15" s="4" t="s">
        <v>60</v>
      </c>
    </row>
    <row r="16">
      <c r="A16" s="3" t="s">
        <v>250</v>
      </c>
      <c r="B16" s="3" t="s">
        <v>251</v>
      </c>
      <c r="C16" s="3" t="s">
        <v>252</v>
      </c>
      <c r="D16" s="3" t="s">
        <v>121</v>
      </c>
      <c r="E16" s="4" t="s">
        <v>253</v>
      </c>
      <c r="F16" s="3" t="s">
        <v>254</v>
      </c>
      <c r="G16" s="4" t="s">
        <v>255</v>
      </c>
      <c r="H16" s="4" t="s">
        <v>256</v>
      </c>
      <c r="I16" s="3" t="s">
        <v>49</v>
      </c>
      <c r="J16" s="3" t="s">
        <v>50</v>
      </c>
      <c r="K16" s="3" t="s">
        <v>45</v>
      </c>
      <c r="L16" s="3" t="s">
        <v>257</v>
      </c>
      <c r="M16" s="3" t="s">
        <v>45</v>
      </c>
      <c r="N16" s="4" t="s">
        <v>258</v>
      </c>
      <c r="O16" s="3" t="s">
        <v>70</v>
      </c>
      <c r="P16" s="3" t="s">
        <v>45</v>
      </c>
      <c r="Q16" s="3" t="s">
        <v>45</v>
      </c>
      <c r="R16" s="3" t="s">
        <v>45</v>
      </c>
      <c r="S16" s="4" t="s">
        <v>259</v>
      </c>
      <c r="T16" s="3" t="s">
        <v>45</v>
      </c>
      <c r="U16" s="3" t="s">
        <v>45</v>
      </c>
      <c r="V16" s="4" t="s">
        <v>260</v>
      </c>
      <c r="W16" s="4" t="s">
        <v>261</v>
      </c>
      <c r="X16" s="3" t="s">
        <v>45</v>
      </c>
      <c r="Y16" s="3" t="s">
        <v>45</v>
      </c>
      <c r="Z16" s="3" t="s">
        <v>55</v>
      </c>
      <c r="AA16" s="3" t="s">
        <v>45</v>
      </c>
      <c r="AB16" s="3" t="s">
        <v>109</v>
      </c>
      <c r="AC16" s="3" t="s">
        <v>262</v>
      </c>
      <c r="AD16" s="5" t="s">
        <v>263</v>
      </c>
      <c r="AE16" s="3" t="s">
        <v>45</v>
      </c>
      <c r="AF16" s="3" t="s">
        <v>45</v>
      </c>
      <c r="AG16" s="3" t="s">
        <v>45</v>
      </c>
      <c r="AH16" s="3" t="s">
        <v>57</v>
      </c>
      <c r="AI16" s="5" t="s">
        <v>264</v>
      </c>
      <c r="AJ16" s="5" t="s">
        <v>265</v>
      </c>
      <c r="AK16" s="3" t="s">
        <v>45</v>
      </c>
      <c r="AL16" s="3" t="s">
        <v>45</v>
      </c>
      <c r="AM16" s="3" t="s">
        <v>45</v>
      </c>
      <c r="AN16" s="3" t="s">
        <v>45</v>
      </c>
      <c r="AO16" s="3" t="s">
        <v>45</v>
      </c>
      <c r="AP16" s="3" t="s">
        <v>45</v>
      </c>
      <c r="AQ16" s="4" t="s">
        <v>198</v>
      </c>
      <c r="AR16" s="4" t="s">
        <v>198</v>
      </c>
    </row>
    <row r="17">
      <c r="A17" s="3" t="s">
        <v>266</v>
      </c>
      <c r="B17" s="3" t="s">
        <v>267</v>
      </c>
      <c r="C17" s="3" t="s">
        <v>268</v>
      </c>
      <c r="D17" s="3" t="s">
        <v>269</v>
      </c>
      <c r="E17" s="4" t="s">
        <v>270</v>
      </c>
      <c r="F17" s="3" t="s">
        <v>271</v>
      </c>
      <c r="G17" s="4" t="s">
        <v>272</v>
      </c>
      <c r="H17" s="4" t="s">
        <v>273</v>
      </c>
      <c r="I17" s="3" t="s">
        <v>49</v>
      </c>
      <c r="J17" s="3" t="s">
        <v>50</v>
      </c>
      <c r="K17" s="3" t="s">
        <v>45</v>
      </c>
      <c r="L17" s="3" t="s">
        <v>274</v>
      </c>
      <c r="M17" s="3" t="s">
        <v>45</v>
      </c>
      <c r="N17" s="3" t="s">
        <v>45</v>
      </c>
      <c r="O17" s="3" t="s">
        <v>88</v>
      </c>
      <c r="P17" s="3" t="s">
        <v>220</v>
      </c>
      <c r="Q17" s="3" t="s">
        <v>45</v>
      </c>
      <c r="R17" s="3" t="s">
        <v>45</v>
      </c>
      <c r="S17" s="4" t="s">
        <v>275</v>
      </c>
      <c r="T17" s="3" t="s">
        <v>105</v>
      </c>
      <c r="U17" s="3" t="s">
        <v>221</v>
      </c>
      <c r="V17" s="4" t="s">
        <v>276</v>
      </c>
      <c r="W17" s="4" t="s">
        <v>277</v>
      </c>
      <c r="X17" s="3" t="s">
        <v>278</v>
      </c>
      <c r="Y17" s="3" t="s">
        <v>45</v>
      </c>
      <c r="Z17" s="3" t="s">
        <v>55</v>
      </c>
      <c r="AA17" s="3" t="s">
        <v>45</v>
      </c>
      <c r="AB17" s="3" t="s">
        <v>45</v>
      </c>
      <c r="AC17" s="3" t="s">
        <v>45</v>
      </c>
      <c r="AD17" s="3" t="s">
        <v>45</v>
      </c>
      <c r="AE17" s="3" t="s">
        <v>45</v>
      </c>
      <c r="AF17" s="5" t="s">
        <v>279</v>
      </c>
      <c r="AG17" s="3" t="s">
        <v>280</v>
      </c>
      <c r="AH17" s="3" t="s">
        <v>57</v>
      </c>
      <c r="AI17" s="5" t="s">
        <v>281</v>
      </c>
      <c r="AJ17" s="3" t="s">
        <v>45</v>
      </c>
      <c r="AK17" s="3" t="s">
        <v>45</v>
      </c>
      <c r="AL17" s="3" t="s">
        <v>45</v>
      </c>
      <c r="AM17" s="3" t="s">
        <v>45</v>
      </c>
      <c r="AN17" s="3" t="s">
        <v>45</v>
      </c>
      <c r="AO17" s="3" t="s">
        <v>45</v>
      </c>
      <c r="AP17" s="3" t="s">
        <v>45</v>
      </c>
      <c r="AQ17" s="4" t="s">
        <v>282</v>
      </c>
      <c r="AR17" s="4" t="s">
        <v>148</v>
      </c>
    </row>
    <row r="18">
      <c r="A18" s="3" t="s">
        <v>283</v>
      </c>
      <c r="B18" s="3" t="s">
        <v>284</v>
      </c>
      <c r="C18" s="3" t="s">
        <v>285</v>
      </c>
      <c r="D18" s="3" t="s">
        <v>269</v>
      </c>
      <c r="E18" s="4" t="s">
        <v>286</v>
      </c>
      <c r="F18" s="3" t="s">
        <v>287</v>
      </c>
      <c r="G18" s="4" t="s">
        <v>288</v>
      </c>
      <c r="H18" s="4" t="s">
        <v>289</v>
      </c>
      <c r="I18" s="3" t="s">
        <v>85</v>
      </c>
      <c r="J18" s="3" t="s">
        <v>126</v>
      </c>
      <c r="K18" s="3" t="s">
        <v>290</v>
      </c>
      <c r="L18" s="3" t="s">
        <v>291</v>
      </c>
      <c r="M18" s="3" t="s">
        <v>45</v>
      </c>
      <c r="N18" s="3" t="s">
        <v>45</v>
      </c>
      <c r="O18" s="3" t="s">
        <v>53</v>
      </c>
      <c r="P18" s="3" t="s">
        <v>45</v>
      </c>
      <c r="Q18" s="3" t="s">
        <v>45</v>
      </c>
      <c r="R18" s="3" t="s">
        <v>45</v>
      </c>
      <c r="S18" s="3" t="s">
        <v>45</v>
      </c>
      <c r="T18" s="3" t="s">
        <v>45</v>
      </c>
      <c r="U18" s="3" t="s">
        <v>45</v>
      </c>
      <c r="V18" s="4" t="s">
        <v>292</v>
      </c>
      <c r="W18" s="3" t="s">
        <v>45</v>
      </c>
      <c r="X18" s="3" t="s">
        <v>45</v>
      </c>
      <c r="Y18" s="3" t="s">
        <v>45</v>
      </c>
      <c r="Z18" s="3" t="s">
        <v>74</v>
      </c>
      <c r="AA18" s="3" t="s">
        <v>45</v>
      </c>
      <c r="AB18" s="3" t="s">
        <v>45</v>
      </c>
      <c r="AC18" s="3" t="s">
        <v>45</v>
      </c>
      <c r="AD18" s="3" t="s">
        <v>45</v>
      </c>
      <c r="AE18" s="3" t="s">
        <v>45</v>
      </c>
      <c r="AF18" s="3" t="s">
        <v>45</v>
      </c>
      <c r="AG18" s="3" t="s">
        <v>293</v>
      </c>
      <c r="AH18" s="3" t="s">
        <v>57</v>
      </c>
      <c r="AI18" s="5" t="s">
        <v>294</v>
      </c>
      <c r="AJ18" s="3" t="s">
        <v>45</v>
      </c>
      <c r="AK18" s="3" t="s">
        <v>45</v>
      </c>
      <c r="AL18" s="3" t="s">
        <v>45</v>
      </c>
      <c r="AM18" s="3" t="s">
        <v>45</v>
      </c>
      <c r="AN18" s="3" t="s">
        <v>45</v>
      </c>
      <c r="AO18" s="3" t="s">
        <v>45</v>
      </c>
      <c r="AP18" s="3" t="s">
        <v>45</v>
      </c>
      <c r="AQ18" s="4" t="s">
        <v>295</v>
      </c>
      <c r="AR18" s="4" t="s">
        <v>296</v>
      </c>
    </row>
    <row r="19">
      <c r="A19" s="3" t="s">
        <v>297</v>
      </c>
      <c r="B19" s="3" t="s">
        <v>298</v>
      </c>
      <c r="C19" s="3" t="s">
        <v>299</v>
      </c>
      <c r="D19" s="3" t="s">
        <v>269</v>
      </c>
      <c r="E19" s="4" t="s">
        <v>300</v>
      </c>
      <c r="F19" s="3" t="s">
        <v>301</v>
      </c>
      <c r="G19" s="4" t="s">
        <v>302</v>
      </c>
      <c r="H19" s="4" t="s">
        <v>303</v>
      </c>
      <c r="I19" s="3" t="s">
        <v>49</v>
      </c>
      <c r="J19" s="3" t="s">
        <v>50</v>
      </c>
      <c r="K19" s="3" t="s">
        <v>45</v>
      </c>
      <c r="L19" s="3" t="s">
        <v>304</v>
      </c>
      <c r="M19" s="3" t="s">
        <v>45</v>
      </c>
      <c r="N19" s="3" t="s">
        <v>45</v>
      </c>
      <c r="O19" s="3" t="s">
        <v>74</v>
      </c>
      <c r="P19" s="3" t="s">
        <v>45</v>
      </c>
      <c r="Q19" s="3" t="s">
        <v>45</v>
      </c>
      <c r="R19" s="3" t="s">
        <v>45</v>
      </c>
      <c r="S19" s="3" t="s">
        <v>45</v>
      </c>
      <c r="T19" s="3" t="s">
        <v>45</v>
      </c>
      <c r="U19" s="3" t="s">
        <v>45</v>
      </c>
      <c r="V19" s="3" t="s">
        <v>45</v>
      </c>
      <c r="W19" s="3" t="s">
        <v>45</v>
      </c>
      <c r="X19" s="3" t="s">
        <v>305</v>
      </c>
      <c r="Y19" s="3" t="s">
        <v>45</v>
      </c>
      <c r="Z19" s="3" t="s">
        <v>74</v>
      </c>
      <c r="AA19" s="3" t="s">
        <v>45</v>
      </c>
      <c r="AB19" s="3" t="s">
        <v>45</v>
      </c>
      <c r="AC19" s="3" t="s">
        <v>45</v>
      </c>
      <c r="AD19" s="3" t="s">
        <v>45</v>
      </c>
      <c r="AE19" s="3" t="s">
        <v>45</v>
      </c>
      <c r="AF19" s="3" t="s">
        <v>45</v>
      </c>
      <c r="AG19" s="3" t="s">
        <v>306</v>
      </c>
      <c r="AH19" s="3" t="s">
        <v>57</v>
      </c>
      <c r="AI19" s="5" t="s">
        <v>307</v>
      </c>
      <c r="AJ19" s="5" t="s">
        <v>308</v>
      </c>
      <c r="AK19" s="3" t="s">
        <v>45</v>
      </c>
      <c r="AL19" s="3" t="s">
        <v>45</v>
      </c>
      <c r="AM19" s="3" t="s">
        <v>45</v>
      </c>
      <c r="AN19" s="3" t="s">
        <v>45</v>
      </c>
      <c r="AO19" s="3" t="s">
        <v>45</v>
      </c>
      <c r="AP19" s="3" t="s">
        <v>45</v>
      </c>
      <c r="AQ19" s="4" t="s">
        <v>295</v>
      </c>
      <c r="AR19" s="4" t="s">
        <v>309</v>
      </c>
    </row>
    <row r="20">
      <c r="A20" s="3" t="s">
        <v>310</v>
      </c>
      <c r="B20" s="3" t="s">
        <v>311</v>
      </c>
      <c r="C20" s="3" t="s">
        <v>299</v>
      </c>
      <c r="D20" s="3" t="s">
        <v>269</v>
      </c>
      <c r="E20" s="4" t="s">
        <v>300</v>
      </c>
      <c r="F20" s="3" t="s">
        <v>301</v>
      </c>
      <c r="G20" s="4" t="s">
        <v>312</v>
      </c>
      <c r="H20" s="4" t="s">
        <v>313</v>
      </c>
      <c r="I20" s="3" t="s">
        <v>49</v>
      </c>
      <c r="J20" s="3" t="s">
        <v>50</v>
      </c>
      <c r="K20" s="3" t="s">
        <v>45</v>
      </c>
      <c r="L20" s="3" t="s">
        <v>314</v>
      </c>
      <c r="M20" s="3" t="s">
        <v>45</v>
      </c>
      <c r="N20" s="3" t="s">
        <v>315</v>
      </c>
      <c r="O20" s="3" t="s">
        <v>88</v>
      </c>
      <c r="P20" s="3" t="s">
        <v>71</v>
      </c>
      <c r="Q20" s="3" t="s">
        <v>45</v>
      </c>
      <c r="R20" s="3" t="s">
        <v>45</v>
      </c>
      <c r="S20" s="3" t="s">
        <v>45</v>
      </c>
      <c r="T20" s="3" t="s">
        <v>45</v>
      </c>
      <c r="U20" s="3" t="s">
        <v>45</v>
      </c>
      <c r="V20" s="3" t="s">
        <v>45</v>
      </c>
      <c r="W20" s="4" t="s">
        <v>316</v>
      </c>
      <c r="X20" s="3" t="s">
        <v>192</v>
      </c>
      <c r="Y20" s="4" t="s">
        <v>317</v>
      </c>
      <c r="Z20" s="3" t="s">
        <v>55</v>
      </c>
      <c r="AA20" s="3" t="s">
        <v>45</v>
      </c>
      <c r="AB20" s="3" t="s">
        <v>109</v>
      </c>
      <c r="AC20" s="3" t="s">
        <v>45</v>
      </c>
      <c r="AD20" s="5" t="s">
        <v>318</v>
      </c>
      <c r="AE20" s="5" t="s">
        <v>319</v>
      </c>
      <c r="AF20" s="5" t="s">
        <v>320</v>
      </c>
      <c r="AG20" s="3" t="s">
        <v>321</v>
      </c>
      <c r="AH20" s="3" t="s">
        <v>57</v>
      </c>
      <c r="AI20" s="5" t="s">
        <v>322</v>
      </c>
      <c r="AJ20" s="5" t="s">
        <v>323</v>
      </c>
      <c r="AK20" s="5" t="s">
        <v>308</v>
      </c>
      <c r="AL20" s="3" t="s">
        <v>45</v>
      </c>
      <c r="AM20" s="3" t="s">
        <v>45</v>
      </c>
      <c r="AN20" s="3" t="s">
        <v>45</v>
      </c>
      <c r="AO20" s="3" t="s">
        <v>45</v>
      </c>
      <c r="AP20" s="3" t="s">
        <v>45</v>
      </c>
      <c r="AQ20" s="4" t="s">
        <v>324</v>
      </c>
      <c r="AR20" s="4" t="s">
        <v>309</v>
      </c>
    </row>
    <row r="21">
      <c r="A21" s="3" t="s">
        <v>325</v>
      </c>
      <c r="B21" s="3" t="s">
        <v>326</v>
      </c>
      <c r="C21" s="3" t="s">
        <v>327</v>
      </c>
      <c r="D21" s="3" t="s">
        <v>269</v>
      </c>
      <c r="E21" s="4" t="s">
        <v>328</v>
      </c>
      <c r="F21" s="3" t="s">
        <v>329</v>
      </c>
      <c r="G21" s="4" t="s">
        <v>330</v>
      </c>
      <c r="H21" s="4" t="s">
        <v>331</v>
      </c>
      <c r="I21" s="3" t="s">
        <v>49</v>
      </c>
      <c r="J21" s="3" t="s">
        <v>50</v>
      </c>
      <c r="K21" s="3" t="s">
        <v>45</v>
      </c>
      <c r="L21" s="3" t="s">
        <v>332</v>
      </c>
      <c r="M21" s="3" t="s">
        <v>45</v>
      </c>
      <c r="N21" s="3" t="s">
        <v>45</v>
      </c>
      <c r="O21" s="3" t="s">
        <v>74</v>
      </c>
      <c r="P21" s="3" t="s">
        <v>220</v>
      </c>
      <c r="Q21" s="3" t="s">
        <v>45</v>
      </c>
      <c r="R21" s="3" t="s">
        <v>45</v>
      </c>
      <c r="S21" s="3" t="s">
        <v>45</v>
      </c>
      <c r="T21" s="3" t="s">
        <v>45</v>
      </c>
      <c r="U21" s="3" t="s">
        <v>45</v>
      </c>
      <c r="V21" s="4" t="s">
        <v>333</v>
      </c>
      <c r="W21" s="4" t="s">
        <v>334</v>
      </c>
      <c r="X21" s="3" t="s">
        <v>305</v>
      </c>
      <c r="Y21" s="3" t="s">
        <v>45</v>
      </c>
      <c r="Z21" s="3" t="s">
        <v>55</v>
      </c>
      <c r="AA21" s="3" t="s">
        <v>45</v>
      </c>
      <c r="AB21" s="3" t="s">
        <v>56</v>
      </c>
      <c r="AC21" s="3" t="s">
        <v>45</v>
      </c>
      <c r="AD21" s="3" t="s">
        <v>45</v>
      </c>
      <c r="AE21" s="3" t="s">
        <v>45</v>
      </c>
      <c r="AF21" s="3" t="s">
        <v>45</v>
      </c>
      <c r="AG21" s="3" t="s">
        <v>45</v>
      </c>
      <c r="AH21" s="3" t="s">
        <v>57</v>
      </c>
      <c r="AI21" s="5" t="s">
        <v>335</v>
      </c>
      <c r="AJ21" s="5" t="s">
        <v>336</v>
      </c>
      <c r="AK21" s="5" t="s">
        <v>337</v>
      </c>
      <c r="AL21" s="5" t="s">
        <v>338</v>
      </c>
      <c r="AM21" s="3" t="s">
        <v>45</v>
      </c>
      <c r="AN21" s="3" t="s">
        <v>45</v>
      </c>
      <c r="AO21" s="3" t="s">
        <v>45</v>
      </c>
      <c r="AP21" s="3" t="s">
        <v>45</v>
      </c>
      <c r="AQ21" s="4" t="s">
        <v>339</v>
      </c>
      <c r="AR21" s="4" t="s">
        <v>339</v>
      </c>
    </row>
    <row r="22">
      <c r="A22" s="3" t="s">
        <v>340</v>
      </c>
      <c r="B22" s="3" t="s">
        <v>341</v>
      </c>
      <c r="C22" s="3" t="s">
        <v>342</v>
      </c>
      <c r="D22" s="3" t="s">
        <v>269</v>
      </c>
      <c r="E22" s="4" t="s">
        <v>343</v>
      </c>
      <c r="F22" s="3" t="s">
        <v>344</v>
      </c>
      <c r="G22" s="4" t="s">
        <v>345</v>
      </c>
      <c r="H22" s="4" t="s">
        <v>346</v>
      </c>
      <c r="I22" s="3" t="s">
        <v>85</v>
      </c>
      <c r="J22" s="3" t="s">
        <v>126</v>
      </c>
      <c r="K22" s="3" t="s">
        <v>45</v>
      </c>
      <c r="L22" s="3" t="s">
        <v>45</v>
      </c>
      <c r="M22" s="3" t="s">
        <v>45</v>
      </c>
      <c r="N22" s="3" t="s">
        <v>45</v>
      </c>
      <c r="O22" s="3" t="s">
        <v>74</v>
      </c>
      <c r="P22" s="3" t="s">
        <v>45</v>
      </c>
      <c r="Q22" s="3" t="s">
        <v>45</v>
      </c>
      <c r="R22" s="3" t="s">
        <v>45</v>
      </c>
      <c r="S22" s="3" t="s">
        <v>45</v>
      </c>
      <c r="T22" s="3" t="s">
        <v>45</v>
      </c>
      <c r="U22" s="3" t="s">
        <v>45</v>
      </c>
      <c r="V22" s="4" t="s">
        <v>347</v>
      </c>
      <c r="W22" s="3" t="s">
        <v>45</v>
      </c>
      <c r="X22" s="3" t="s">
        <v>45</v>
      </c>
      <c r="Y22" s="3" t="s">
        <v>45</v>
      </c>
      <c r="Z22" s="3" t="s">
        <v>74</v>
      </c>
      <c r="AA22" s="3" t="s">
        <v>45</v>
      </c>
      <c r="AB22" s="3" t="s">
        <v>45</v>
      </c>
      <c r="AC22" s="3" t="s">
        <v>45</v>
      </c>
      <c r="AD22" s="3" t="s">
        <v>45</v>
      </c>
      <c r="AE22" s="3" t="s">
        <v>45</v>
      </c>
      <c r="AF22" s="3" t="s">
        <v>45</v>
      </c>
      <c r="AG22" s="3" t="s">
        <v>348</v>
      </c>
      <c r="AH22" s="3" t="s">
        <v>57</v>
      </c>
      <c r="AI22" s="5" t="s">
        <v>349</v>
      </c>
      <c r="AJ22" s="3" t="s">
        <v>45</v>
      </c>
      <c r="AK22" s="3" t="s">
        <v>45</v>
      </c>
      <c r="AL22" s="3" t="s">
        <v>45</v>
      </c>
      <c r="AM22" s="3" t="s">
        <v>45</v>
      </c>
      <c r="AN22" s="3" t="s">
        <v>45</v>
      </c>
      <c r="AO22" s="3" t="s">
        <v>45</v>
      </c>
      <c r="AP22" s="3" t="s">
        <v>45</v>
      </c>
      <c r="AQ22" s="4" t="s">
        <v>295</v>
      </c>
      <c r="AR22" s="4" t="s">
        <v>295</v>
      </c>
    </row>
    <row r="23">
      <c r="A23" s="3" t="s">
        <v>350</v>
      </c>
      <c r="B23" s="3" t="s">
        <v>351</v>
      </c>
      <c r="C23" s="3" t="s">
        <v>352</v>
      </c>
      <c r="D23" s="3" t="s">
        <v>269</v>
      </c>
      <c r="E23" s="4" t="s">
        <v>353</v>
      </c>
      <c r="F23" s="3" t="s">
        <v>354</v>
      </c>
      <c r="G23" s="4" t="s">
        <v>355</v>
      </c>
      <c r="H23" s="4" t="s">
        <v>356</v>
      </c>
      <c r="I23" s="3" t="s">
        <v>218</v>
      </c>
      <c r="J23" s="3" t="s">
        <v>126</v>
      </c>
      <c r="K23" s="3" t="s">
        <v>357</v>
      </c>
      <c r="L23" s="3" t="s">
        <v>358</v>
      </c>
      <c r="M23" s="3" t="s">
        <v>45</v>
      </c>
      <c r="N23" s="3" t="s">
        <v>45</v>
      </c>
      <c r="O23" s="3" t="s">
        <v>88</v>
      </c>
      <c r="P23" s="3" t="s">
        <v>45</v>
      </c>
      <c r="Q23" s="3" t="s">
        <v>45</v>
      </c>
      <c r="R23" s="3" t="s">
        <v>45</v>
      </c>
      <c r="S23" s="3" t="s">
        <v>45</v>
      </c>
      <c r="T23" s="3" t="s">
        <v>45</v>
      </c>
      <c r="U23" s="3" t="s">
        <v>45</v>
      </c>
      <c r="V23" s="3" t="s">
        <v>45</v>
      </c>
      <c r="W23" s="4" t="s">
        <v>359</v>
      </c>
      <c r="X23" s="3" t="s">
        <v>360</v>
      </c>
      <c r="Y23" s="3" t="s">
        <v>45</v>
      </c>
      <c r="Z23" s="3" t="s">
        <v>74</v>
      </c>
      <c r="AA23" s="3" t="s">
        <v>45</v>
      </c>
      <c r="AB23" s="3" t="s">
        <v>45</v>
      </c>
      <c r="AC23" s="3" t="s">
        <v>45</v>
      </c>
      <c r="AD23" s="3" t="s">
        <v>45</v>
      </c>
      <c r="AE23" s="3" t="s">
        <v>45</v>
      </c>
      <c r="AF23" s="3" t="s">
        <v>45</v>
      </c>
      <c r="AG23" s="3" t="s">
        <v>45</v>
      </c>
      <c r="AH23" s="3" t="s">
        <v>57</v>
      </c>
      <c r="AI23" s="5" t="s">
        <v>361</v>
      </c>
      <c r="AJ23" s="5" t="s">
        <v>362</v>
      </c>
      <c r="AK23" s="5" t="s">
        <v>363</v>
      </c>
      <c r="AL23" s="3" t="s">
        <v>45</v>
      </c>
      <c r="AM23" s="3" t="s">
        <v>45</v>
      </c>
      <c r="AN23" s="3" t="s">
        <v>45</v>
      </c>
      <c r="AO23" s="3" t="s">
        <v>45</v>
      </c>
      <c r="AP23" s="3" t="s">
        <v>45</v>
      </c>
      <c r="AQ23" s="4" t="s">
        <v>364</v>
      </c>
      <c r="AR23" s="4" t="s">
        <v>365</v>
      </c>
    </row>
    <row r="24">
      <c r="A24" s="3" t="s">
        <v>366</v>
      </c>
      <c r="B24" s="3" t="s">
        <v>367</v>
      </c>
      <c r="C24" s="3" t="s">
        <v>368</v>
      </c>
      <c r="D24" s="3" t="s">
        <v>369</v>
      </c>
      <c r="E24" s="4" t="s">
        <v>370</v>
      </c>
      <c r="F24" s="3" t="s">
        <v>371</v>
      </c>
      <c r="G24" s="4" t="s">
        <v>372</v>
      </c>
      <c r="H24" s="4" t="s">
        <v>373</v>
      </c>
      <c r="I24" s="3" t="s">
        <v>49</v>
      </c>
      <c r="J24" s="3" t="s">
        <v>126</v>
      </c>
      <c r="K24" s="3" t="s">
        <v>45</v>
      </c>
      <c r="L24" s="3" t="s">
        <v>374</v>
      </c>
      <c r="M24" s="3" t="s">
        <v>45</v>
      </c>
      <c r="N24" s="3" t="s">
        <v>45</v>
      </c>
      <c r="O24" s="3" t="s">
        <v>74</v>
      </c>
      <c r="P24" s="3" t="s">
        <v>45</v>
      </c>
      <c r="Q24" s="3" t="s">
        <v>45</v>
      </c>
      <c r="R24" s="3" t="s">
        <v>45</v>
      </c>
      <c r="S24" s="3" t="s">
        <v>45</v>
      </c>
      <c r="T24" s="3" t="s">
        <v>45</v>
      </c>
      <c r="U24" s="3" t="s">
        <v>45</v>
      </c>
      <c r="V24" s="3" t="s">
        <v>45</v>
      </c>
      <c r="W24" s="4" t="s">
        <v>375</v>
      </c>
      <c r="X24" s="3" t="s">
        <v>45</v>
      </c>
      <c r="Y24" s="3" t="s">
        <v>45</v>
      </c>
      <c r="Z24" s="3" t="s">
        <v>55</v>
      </c>
      <c r="AA24" s="3" t="s">
        <v>45</v>
      </c>
      <c r="AB24" s="3" t="s">
        <v>45</v>
      </c>
      <c r="AC24" s="3" t="s">
        <v>45</v>
      </c>
      <c r="AD24" s="3" t="s">
        <v>45</v>
      </c>
      <c r="AE24" s="3" t="s">
        <v>45</v>
      </c>
      <c r="AF24" s="5" t="s">
        <v>376</v>
      </c>
      <c r="AG24" s="3" t="s">
        <v>377</v>
      </c>
      <c r="AH24" s="3" t="s">
        <v>57</v>
      </c>
      <c r="AI24" s="5" t="s">
        <v>378</v>
      </c>
      <c r="AJ24" s="3" t="s">
        <v>45</v>
      </c>
      <c r="AK24" s="3" t="s">
        <v>45</v>
      </c>
      <c r="AL24" s="3" t="s">
        <v>45</v>
      </c>
      <c r="AM24" s="3" t="s">
        <v>45</v>
      </c>
      <c r="AN24" s="3" t="s">
        <v>45</v>
      </c>
      <c r="AO24" s="3" t="s">
        <v>45</v>
      </c>
      <c r="AP24" s="3" t="s">
        <v>45</v>
      </c>
      <c r="AQ24" s="4" t="s">
        <v>379</v>
      </c>
      <c r="AR24" s="4" t="s">
        <v>380</v>
      </c>
    </row>
    <row r="25">
      <c r="A25" s="3" t="s">
        <v>381</v>
      </c>
      <c r="B25" s="3" t="s">
        <v>382</v>
      </c>
      <c r="C25" s="3" t="s">
        <v>383</v>
      </c>
      <c r="D25" s="3" t="s">
        <v>369</v>
      </c>
      <c r="E25" s="4" t="s">
        <v>384</v>
      </c>
      <c r="F25" s="3" t="s">
        <v>371</v>
      </c>
      <c r="G25" s="4" t="s">
        <v>385</v>
      </c>
      <c r="H25" s="4" t="s">
        <v>386</v>
      </c>
      <c r="I25" s="3" t="s">
        <v>85</v>
      </c>
      <c r="J25" s="3" t="s">
        <v>126</v>
      </c>
      <c r="K25" s="3" t="s">
        <v>45</v>
      </c>
      <c r="L25" s="3" t="s">
        <v>387</v>
      </c>
      <c r="M25" s="3" t="s">
        <v>388</v>
      </c>
      <c r="N25" s="4" t="s">
        <v>389</v>
      </c>
      <c r="O25" s="3" t="s">
        <v>390</v>
      </c>
      <c r="P25" s="3" t="s">
        <v>45</v>
      </c>
      <c r="Q25" s="3" t="s">
        <v>45</v>
      </c>
      <c r="R25" s="3" t="s">
        <v>45</v>
      </c>
      <c r="S25" s="3" t="s">
        <v>45</v>
      </c>
      <c r="T25" s="3" t="s">
        <v>45</v>
      </c>
      <c r="U25" s="3" t="s">
        <v>45</v>
      </c>
      <c r="V25" s="4" t="s">
        <v>391</v>
      </c>
      <c r="W25" s="3" t="s">
        <v>45</v>
      </c>
      <c r="X25" s="3" t="s">
        <v>45</v>
      </c>
      <c r="Y25" s="3" t="s">
        <v>45</v>
      </c>
      <c r="Z25" s="3" t="s">
        <v>74</v>
      </c>
      <c r="AA25" s="3" t="s">
        <v>45</v>
      </c>
      <c r="AB25" s="3" t="s">
        <v>45</v>
      </c>
      <c r="AC25" s="3" t="s">
        <v>45</v>
      </c>
      <c r="AD25" s="3" t="s">
        <v>45</v>
      </c>
      <c r="AE25" s="3" t="s">
        <v>45</v>
      </c>
      <c r="AF25" s="3" t="s">
        <v>45</v>
      </c>
      <c r="AG25" s="3" t="s">
        <v>45</v>
      </c>
      <c r="AH25" s="3" t="s">
        <v>57</v>
      </c>
      <c r="AI25" s="5" t="s">
        <v>392</v>
      </c>
      <c r="AJ25" s="3" t="s">
        <v>45</v>
      </c>
      <c r="AK25" s="3" t="s">
        <v>45</v>
      </c>
      <c r="AL25" s="3" t="s">
        <v>45</v>
      </c>
      <c r="AM25" s="3" t="s">
        <v>45</v>
      </c>
      <c r="AN25" s="3" t="s">
        <v>45</v>
      </c>
      <c r="AO25" s="3" t="s">
        <v>45</v>
      </c>
      <c r="AP25" s="3" t="s">
        <v>45</v>
      </c>
      <c r="AQ25" s="4" t="s">
        <v>393</v>
      </c>
      <c r="AR25" s="4" t="s">
        <v>394</v>
      </c>
    </row>
    <row r="26">
      <c r="A26" s="3" t="s">
        <v>395</v>
      </c>
      <c r="B26" s="3" t="s">
        <v>396</v>
      </c>
      <c r="C26" s="3" t="s">
        <v>397</v>
      </c>
      <c r="D26" s="3" t="s">
        <v>369</v>
      </c>
      <c r="E26" s="4" t="s">
        <v>398</v>
      </c>
      <c r="F26" s="3" t="s">
        <v>371</v>
      </c>
      <c r="G26" s="4" t="s">
        <v>399</v>
      </c>
      <c r="H26" s="4" t="s">
        <v>400</v>
      </c>
      <c r="I26" s="3" t="s">
        <v>218</v>
      </c>
      <c r="J26" s="3" t="s">
        <v>126</v>
      </c>
      <c r="K26" s="3" t="s">
        <v>45</v>
      </c>
      <c r="L26" s="3" t="s">
        <v>401</v>
      </c>
      <c r="M26" s="3" t="s">
        <v>45</v>
      </c>
      <c r="N26" s="3" t="s">
        <v>45</v>
      </c>
      <c r="O26" s="3" t="s">
        <v>88</v>
      </c>
      <c r="P26" s="3" t="s">
        <v>45</v>
      </c>
      <c r="Q26" s="3" t="s">
        <v>45</v>
      </c>
      <c r="R26" s="3" t="s">
        <v>45</v>
      </c>
      <c r="S26" s="3" t="s">
        <v>45</v>
      </c>
      <c r="T26" s="3" t="s">
        <v>45</v>
      </c>
      <c r="U26" s="3" t="s">
        <v>45</v>
      </c>
      <c r="V26" s="3" t="s">
        <v>45</v>
      </c>
      <c r="W26" s="3" t="s">
        <v>45</v>
      </c>
      <c r="X26" s="3" t="s">
        <v>45</v>
      </c>
      <c r="Y26" s="3" t="s">
        <v>45</v>
      </c>
      <c r="Z26" s="3" t="s">
        <v>74</v>
      </c>
      <c r="AA26" s="3" t="s">
        <v>45</v>
      </c>
      <c r="AB26" s="3" t="s">
        <v>45</v>
      </c>
      <c r="AC26" s="3" t="s">
        <v>45</v>
      </c>
      <c r="AD26" s="3" t="s">
        <v>45</v>
      </c>
      <c r="AE26" s="3" t="s">
        <v>45</v>
      </c>
      <c r="AF26" s="3" t="s">
        <v>45</v>
      </c>
      <c r="AG26" s="3" t="s">
        <v>45</v>
      </c>
      <c r="AH26" s="3" t="s">
        <v>57</v>
      </c>
      <c r="AI26" s="5" t="s">
        <v>402</v>
      </c>
      <c r="AJ26" s="5" t="s">
        <v>403</v>
      </c>
      <c r="AK26" s="3" t="s">
        <v>45</v>
      </c>
      <c r="AL26" s="3" t="s">
        <v>45</v>
      </c>
      <c r="AM26" s="3" t="s">
        <v>45</v>
      </c>
      <c r="AN26" s="3" t="s">
        <v>45</v>
      </c>
      <c r="AO26" s="3" t="s">
        <v>45</v>
      </c>
      <c r="AP26" s="3" t="s">
        <v>45</v>
      </c>
      <c r="AQ26" s="4" t="s">
        <v>393</v>
      </c>
      <c r="AR26" s="4" t="s">
        <v>393</v>
      </c>
    </row>
    <row r="27">
      <c r="A27" s="3" t="s">
        <v>404</v>
      </c>
      <c r="B27" s="3" t="s">
        <v>405</v>
      </c>
      <c r="C27" s="3" t="s">
        <v>397</v>
      </c>
      <c r="D27" s="3" t="s">
        <v>369</v>
      </c>
      <c r="E27" s="4" t="s">
        <v>398</v>
      </c>
      <c r="F27" s="3" t="s">
        <v>371</v>
      </c>
      <c r="G27" s="4" t="s">
        <v>406</v>
      </c>
      <c r="H27" s="4" t="s">
        <v>407</v>
      </c>
      <c r="I27" s="3" t="s">
        <v>408</v>
      </c>
      <c r="J27" s="3" t="s">
        <v>126</v>
      </c>
      <c r="K27" s="3" t="s">
        <v>45</v>
      </c>
      <c r="L27" s="3" t="s">
        <v>409</v>
      </c>
      <c r="M27" s="3" t="s">
        <v>45</v>
      </c>
      <c r="N27" s="3" t="s">
        <v>45</v>
      </c>
      <c r="O27" s="3" t="s">
        <v>74</v>
      </c>
      <c r="P27" s="3" t="s">
        <v>45</v>
      </c>
      <c r="Q27" s="3" t="s">
        <v>45</v>
      </c>
      <c r="R27" s="3" t="s">
        <v>45</v>
      </c>
      <c r="S27" s="3" t="s">
        <v>45</v>
      </c>
      <c r="T27" s="3" t="s">
        <v>45</v>
      </c>
      <c r="U27" s="3" t="s">
        <v>45</v>
      </c>
      <c r="V27" s="3" t="s">
        <v>45</v>
      </c>
      <c r="W27" s="4" t="s">
        <v>410</v>
      </c>
      <c r="X27" s="3" t="s">
        <v>45</v>
      </c>
      <c r="Y27" s="3" t="s">
        <v>45</v>
      </c>
      <c r="Z27" s="3" t="s">
        <v>74</v>
      </c>
      <c r="AA27" s="3" t="s">
        <v>45</v>
      </c>
      <c r="AB27" s="3" t="s">
        <v>45</v>
      </c>
      <c r="AC27" s="3" t="s">
        <v>45</v>
      </c>
      <c r="AD27" s="3" t="s">
        <v>45</v>
      </c>
      <c r="AE27" s="3" t="s">
        <v>45</v>
      </c>
      <c r="AF27" s="3" t="s">
        <v>45</v>
      </c>
      <c r="AG27" s="3" t="s">
        <v>45</v>
      </c>
      <c r="AH27" s="3" t="s">
        <v>57</v>
      </c>
      <c r="AI27" s="5" t="s">
        <v>411</v>
      </c>
      <c r="AJ27" s="5" t="s">
        <v>412</v>
      </c>
      <c r="AK27" s="3" t="s">
        <v>45</v>
      </c>
      <c r="AL27" s="3" t="s">
        <v>45</v>
      </c>
      <c r="AM27" s="3" t="s">
        <v>45</v>
      </c>
      <c r="AN27" s="3" t="s">
        <v>45</v>
      </c>
      <c r="AO27" s="3" t="s">
        <v>45</v>
      </c>
      <c r="AP27" s="3" t="s">
        <v>45</v>
      </c>
      <c r="AQ27" s="4" t="s">
        <v>147</v>
      </c>
      <c r="AR27" s="4" t="s">
        <v>413</v>
      </c>
    </row>
    <row r="28">
      <c r="A28" s="3" t="s">
        <v>414</v>
      </c>
      <c r="B28" s="3" t="s">
        <v>415</v>
      </c>
      <c r="C28" s="3" t="s">
        <v>397</v>
      </c>
      <c r="D28" s="3" t="s">
        <v>369</v>
      </c>
      <c r="E28" s="4" t="s">
        <v>398</v>
      </c>
      <c r="F28" s="3" t="s">
        <v>371</v>
      </c>
      <c r="G28" s="4" t="s">
        <v>416</v>
      </c>
      <c r="H28" s="4" t="s">
        <v>417</v>
      </c>
      <c r="I28" s="3" t="s">
        <v>218</v>
      </c>
      <c r="J28" s="3" t="s">
        <v>126</v>
      </c>
      <c r="K28" s="3" t="s">
        <v>45</v>
      </c>
      <c r="L28" s="3" t="s">
        <v>418</v>
      </c>
      <c r="M28" s="3" t="s">
        <v>45</v>
      </c>
      <c r="N28" s="4" t="s">
        <v>419</v>
      </c>
      <c r="O28" s="3" t="s">
        <v>88</v>
      </c>
      <c r="P28" s="3" t="s">
        <v>45</v>
      </c>
      <c r="Q28" s="3" t="s">
        <v>45</v>
      </c>
      <c r="R28" s="3" t="s">
        <v>45</v>
      </c>
      <c r="S28" s="3" t="s">
        <v>45</v>
      </c>
      <c r="T28" s="3" t="s">
        <v>45</v>
      </c>
      <c r="U28" s="3" t="s">
        <v>45</v>
      </c>
      <c r="V28" s="4" t="s">
        <v>420</v>
      </c>
      <c r="W28" s="3" t="s">
        <v>45</v>
      </c>
      <c r="X28" s="3" t="s">
        <v>45</v>
      </c>
      <c r="Y28" s="3" t="s">
        <v>45</v>
      </c>
      <c r="Z28" s="3" t="s">
        <v>74</v>
      </c>
      <c r="AA28" s="3" t="s">
        <v>45</v>
      </c>
      <c r="AB28" s="3" t="s">
        <v>45</v>
      </c>
      <c r="AC28" s="3" t="s">
        <v>45</v>
      </c>
      <c r="AD28" s="3" t="s">
        <v>45</v>
      </c>
      <c r="AE28" s="3" t="s">
        <v>45</v>
      </c>
      <c r="AF28" s="3" t="s">
        <v>45</v>
      </c>
      <c r="AG28" s="3" t="s">
        <v>45</v>
      </c>
      <c r="AH28" s="3" t="s">
        <v>57</v>
      </c>
      <c r="AI28" s="5" t="s">
        <v>421</v>
      </c>
      <c r="AJ28" s="3" t="s">
        <v>45</v>
      </c>
      <c r="AK28" s="3" t="s">
        <v>45</v>
      </c>
      <c r="AL28" s="3" t="s">
        <v>45</v>
      </c>
      <c r="AM28" s="3" t="s">
        <v>45</v>
      </c>
      <c r="AN28" s="3" t="s">
        <v>45</v>
      </c>
      <c r="AO28" s="3" t="s">
        <v>45</v>
      </c>
      <c r="AP28" s="3" t="s">
        <v>45</v>
      </c>
      <c r="AQ28" s="4" t="s">
        <v>393</v>
      </c>
      <c r="AR28" s="4" t="s">
        <v>393</v>
      </c>
    </row>
    <row r="29">
      <c r="A29" s="3" t="s">
        <v>422</v>
      </c>
      <c r="B29" s="3" t="s">
        <v>423</v>
      </c>
      <c r="C29" s="3" t="s">
        <v>397</v>
      </c>
      <c r="D29" s="3" t="s">
        <v>369</v>
      </c>
      <c r="E29" s="4" t="s">
        <v>398</v>
      </c>
      <c r="F29" s="3" t="s">
        <v>371</v>
      </c>
      <c r="G29" s="4" t="s">
        <v>424</v>
      </c>
      <c r="H29" s="4" t="s">
        <v>425</v>
      </c>
      <c r="I29" s="3" t="s">
        <v>218</v>
      </c>
      <c r="J29" s="3" t="s">
        <v>126</v>
      </c>
      <c r="K29" s="3" t="s">
        <v>45</v>
      </c>
      <c r="L29" s="3" t="s">
        <v>426</v>
      </c>
      <c r="M29" s="3" t="s">
        <v>45</v>
      </c>
      <c r="N29" s="4" t="s">
        <v>427</v>
      </c>
      <c r="O29" s="3" t="s">
        <v>88</v>
      </c>
      <c r="P29" s="3" t="s">
        <v>45</v>
      </c>
      <c r="Q29" s="3" t="s">
        <v>45</v>
      </c>
      <c r="R29" s="3" t="s">
        <v>45</v>
      </c>
      <c r="S29" s="3" t="s">
        <v>45</v>
      </c>
      <c r="T29" s="3" t="s">
        <v>45</v>
      </c>
      <c r="U29" s="3" t="s">
        <v>45</v>
      </c>
      <c r="V29" s="3" t="s">
        <v>45</v>
      </c>
      <c r="W29" s="3" t="s">
        <v>45</v>
      </c>
      <c r="X29" s="3" t="s">
        <v>45</v>
      </c>
      <c r="Y29" s="3" t="s">
        <v>45</v>
      </c>
      <c r="Z29" s="3" t="s">
        <v>74</v>
      </c>
      <c r="AA29" s="3" t="s">
        <v>45</v>
      </c>
      <c r="AB29" s="3" t="s">
        <v>45</v>
      </c>
      <c r="AC29" s="3" t="s">
        <v>45</v>
      </c>
      <c r="AD29" s="3" t="s">
        <v>45</v>
      </c>
      <c r="AE29" s="3" t="s">
        <v>45</v>
      </c>
      <c r="AF29" s="3" t="s">
        <v>45</v>
      </c>
      <c r="AG29" s="3" t="s">
        <v>45</v>
      </c>
      <c r="AH29" s="3" t="s">
        <v>57</v>
      </c>
      <c r="AI29" s="5" t="s">
        <v>428</v>
      </c>
      <c r="AJ29" s="5" t="s">
        <v>429</v>
      </c>
      <c r="AK29" s="3" t="s">
        <v>45</v>
      </c>
      <c r="AL29" s="3" t="s">
        <v>45</v>
      </c>
      <c r="AM29" s="3" t="s">
        <v>45</v>
      </c>
      <c r="AN29" s="3" t="s">
        <v>45</v>
      </c>
      <c r="AO29" s="3" t="s">
        <v>45</v>
      </c>
      <c r="AP29" s="3" t="s">
        <v>45</v>
      </c>
      <c r="AQ29" s="4" t="s">
        <v>393</v>
      </c>
      <c r="AR29" s="4" t="s">
        <v>393</v>
      </c>
    </row>
    <row r="30">
      <c r="A30" s="3" t="s">
        <v>430</v>
      </c>
      <c r="B30" s="3" t="s">
        <v>431</v>
      </c>
      <c r="C30" s="3" t="s">
        <v>432</v>
      </c>
      <c r="D30" s="3" t="s">
        <v>369</v>
      </c>
      <c r="E30" s="4" t="s">
        <v>433</v>
      </c>
      <c r="F30" s="3" t="s">
        <v>371</v>
      </c>
      <c r="G30" s="4" t="s">
        <v>434</v>
      </c>
      <c r="H30" s="4" t="s">
        <v>435</v>
      </c>
      <c r="I30" s="3" t="s">
        <v>436</v>
      </c>
      <c r="J30" s="3" t="s">
        <v>50</v>
      </c>
      <c r="K30" s="3" t="s">
        <v>45</v>
      </c>
      <c r="L30" s="3" t="s">
        <v>45</v>
      </c>
      <c r="M30" s="3" t="s">
        <v>45</v>
      </c>
      <c r="N30" s="3" t="s">
        <v>45</v>
      </c>
      <c r="O30" s="3" t="s">
        <v>74</v>
      </c>
      <c r="P30" s="3" t="s">
        <v>45</v>
      </c>
      <c r="Q30" s="3" t="s">
        <v>45</v>
      </c>
      <c r="R30" s="3" t="s">
        <v>45</v>
      </c>
      <c r="S30" s="3" t="s">
        <v>45</v>
      </c>
      <c r="T30" s="3" t="s">
        <v>45</v>
      </c>
      <c r="U30" s="3" t="s">
        <v>45</v>
      </c>
      <c r="V30" s="3" t="s">
        <v>45</v>
      </c>
      <c r="W30" s="4" t="s">
        <v>437</v>
      </c>
      <c r="X30" s="3" t="s">
        <v>45</v>
      </c>
      <c r="Y30" s="3" t="s">
        <v>45</v>
      </c>
      <c r="Z30" s="3" t="s">
        <v>74</v>
      </c>
      <c r="AA30" s="3" t="s">
        <v>45</v>
      </c>
      <c r="AB30" s="3" t="s">
        <v>45</v>
      </c>
      <c r="AC30" s="3" t="s">
        <v>45</v>
      </c>
      <c r="AD30" s="3" t="s">
        <v>45</v>
      </c>
      <c r="AE30" s="3" t="s">
        <v>45</v>
      </c>
      <c r="AF30" s="3" t="s">
        <v>45</v>
      </c>
      <c r="AG30" s="3" t="s">
        <v>438</v>
      </c>
      <c r="AH30" s="3" t="s">
        <v>57</v>
      </c>
      <c r="AI30" s="5" t="s">
        <v>439</v>
      </c>
      <c r="AJ30" s="3" t="s">
        <v>45</v>
      </c>
      <c r="AK30" s="3" t="s">
        <v>45</v>
      </c>
      <c r="AL30" s="3" t="s">
        <v>45</v>
      </c>
      <c r="AM30" s="3" t="s">
        <v>45</v>
      </c>
      <c r="AN30" s="3" t="s">
        <v>45</v>
      </c>
      <c r="AO30" s="3" t="s">
        <v>45</v>
      </c>
      <c r="AP30" s="3" t="s">
        <v>45</v>
      </c>
      <c r="AQ30" s="4" t="s">
        <v>380</v>
      </c>
      <c r="AR30" s="4" t="s">
        <v>380</v>
      </c>
    </row>
    <row r="31">
      <c r="A31" s="3" t="s">
        <v>440</v>
      </c>
      <c r="B31" s="3" t="s">
        <v>441</v>
      </c>
      <c r="C31" s="3" t="s">
        <v>442</v>
      </c>
      <c r="D31" s="3" t="s">
        <v>369</v>
      </c>
      <c r="E31" s="4" t="s">
        <v>443</v>
      </c>
      <c r="F31" s="3" t="s">
        <v>444</v>
      </c>
      <c r="G31" s="4" t="s">
        <v>445</v>
      </c>
      <c r="H31" s="4" t="s">
        <v>446</v>
      </c>
      <c r="I31" s="3" t="s">
        <v>49</v>
      </c>
      <c r="J31" s="3" t="s">
        <v>126</v>
      </c>
      <c r="K31" s="3" t="s">
        <v>45</v>
      </c>
      <c r="L31" s="3" t="s">
        <v>447</v>
      </c>
      <c r="M31" s="3" t="s">
        <v>45</v>
      </c>
      <c r="N31" s="3" t="s">
        <v>448</v>
      </c>
      <c r="O31" s="3" t="s">
        <v>88</v>
      </c>
      <c r="P31" s="3" t="s">
        <v>45</v>
      </c>
      <c r="Q31" s="3" t="s">
        <v>45</v>
      </c>
      <c r="R31" s="3" t="s">
        <v>45</v>
      </c>
      <c r="S31" s="3" t="s">
        <v>45</v>
      </c>
      <c r="T31" s="3" t="s">
        <v>89</v>
      </c>
      <c r="U31" s="3" t="s">
        <v>45</v>
      </c>
      <c r="V31" s="3" t="s">
        <v>45</v>
      </c>
      <c r="W31" s="4" t="s">
        <v>449</v>
      </c>
      <c r="X31" s="3" t="s">
        <v>45</v>
      </c>
      <c r="Y31" s="4" t="s">
        <v>317</v>
      </c>
      <c r="Z31" s="3" t="s">
        <v>55</v>
      </c>
      <c r="AA31" s="3" t="s">
        <v>45</v>
      </c>
      <c r="AB31" s="3" t="s">
        <v>56</v>
      </c>
      <c r="AC31" s="3" t="s">
        <v>45</v>
      </c>
      <c r="AD31" s="5" t="s">
        <v>450</v>
      </c>
      <c r="AE31" s="3" t="s">
        <v>45</v>
      </c>
      <c r="AF31" s="3" t="s">
        <v>45</v>
      </c>
      <c r="AG31" s="3" t="s">
        <v>45</v>
      </c>
      <c r="AH31" s="3" t="s">
        <v>57</v>
      </c>
      <c r="AI31" s="5" t="s">
        <v>451</v>
      </c>
      <c r="AJ31" s="5" t="s">
        <v>452</v>
      </c>
      <c r="AK31" s="5" t="s">
        <v>453</v>
      </c>
      <c r="AL31" s="5" t="s">
        <v>454</v>
      </c>
      <c r="AM31" s="5" t="s">
        <v>455</v>
      </c>
      <c r="AN31" s="3" t="s">
        <v>45</v>
      </c>
      <c r="AO31" s="3" t="s">
        <v>45</v>
      </c>
      <c r="AP31" s="3" t="s">
        <v>45</v>
      </c>
      <c r="AQ31" s="4" t="s">
        <v>456</v>
      </c>
      <c r="AR31" s="4" t="s">
        <v>457</v>
      </c>
    </row>
    <row r="32">
      <c r="A32" s="3" t="s">
        <v>458</v>
      </c>
      <c r="B32" s="3" t="s">
        <v>459</v>
      </c>
      <c r="C32" s="3" t="s">
        <v>460</v>
      </c>
      <c r="D32" s="3" t="s">
        <v>369</v>
      </c>
      <c r="E32" s="4" t="s">
        <v>461</v>
      </c>
      <c r="F32" s="3" t="s">
        <v>371</v>
      </c>
      <c r="G32" s="4" t="s">
        <v>462</v>
      </c>
      <c r="H32" s="4" t="s">
        <v>463</v>
      </c>
      <c r="I32" s="3" t="s">
        <v>85</v>
      </c>
      <c r="J32" s="3" t="s">
        <v>126</v>
      </c>
      <c r="K32" s="3" t="s">
        <v>45</v>
      </c>
      <c r="L32" s="3" t="s">
        <v>45</v>
      </c>
      <c r="M32" s="3" t="s">
        <v>45</v>
      </c>
      <c r="N32" s="3" t="s">
        <v>45</v>
      </c>
      <c r="O32" s="3" t="s">
        <v>74</v>
      </c>
      <c r="P32" s="3" t="s">
        <v>45</v>
      </c>
      <c r="Q32" s="3" t="s">
        <v>45</v>
      </c>
      <c r="R32" s="3" t="s">
        <v>45</v>
      </c>
      <c r="S32" s="3" t="s">
        <v>45</v>
      </c>
      <c r="T32" s="3" t="s">
        <v>45</v>
      </c>
      <c r="U32" s="3" t="s">
        <v>45</v>
      </c>
      <c r="V32" s="3" t="s">
        <v>45</v>
      </c>
      <c r="W32" s="3" t="s">
        <v>45</v>
      </c>
      <c r="X32" s="3" t="s">
        <v>45</v>
      </c>
      <c r="Y32" s="3" t="s">
        <v>45</v>
      </c>
      <c r="Z32" s="3" t="s">
        <v>74</v>
      </c>
      <c r="AA32" s="3" t="s">
        <v>45</v>
      </c>
      <c r="AB32" s="3" t="s">
        <v>45</v>
      </c>
      <c r="AC32" s="3" t="s">
        <v>45</v>
      </c>
      <c r="AD32" s="3" t="s">
        <v>45</v>
      </c>
      <c r="AE32" s="3" t="s">
        <v>45</v>
      </c>
      <c r="AF32" s="3" t="s">
        <v>45</v>
      </c>
      <c r="AG32" s="3" t="s">
        <v>45</v>
      </c>
      <c r="AH32" s="3" t="s">
        <v>57</v>
      </c>
      <c r="AI32" s="5" t="s">
        <v>464</v>
      </c>
      <c r="AJ32" s="3" t="s">
        <v>45</v>
      </c>
      <c r="AK32" s="3" t="s">
        <v>45</v>
      </c>
      <c r="AL32" s="3" t="s">
        <v>45</v>
      </c>
      <c r="AM32" s="3" t="s">
        <v>45</v>
      </c>
      <c r="AN32" s="3" t="s">
        <v>45</v>
      </c>
      <c r="AO32" s="3" t="s">
        <v>45</v>
      </c>
      <c r="AP32" s="3" t="s">
        <v>45</v>
      </c>
      <c r="AQ32" s="4" t="s">
        <v>465</v>
      </c>
      <c r="AR32" s="4" t="s">
        <v>465</v>
      </c>
    </row>
    <row r="33">
      <c r="A33" s="3" t="s">
        <v>466</v>
      </c>
      <c r="B33" s="3" t="s">
        <v>467</v>
      </c>
      <c r="C33" s="3" t="s">
        <v>460</v>
      </c>
      <c r="D33" s="3" t="s">
        <v>369</v>
      </c>
      <c r="E33" s="4" t="s">
        <v>461</v>
      </c>
      <c r="F33" s="3" t="s">
        <v>371</v>
      </c>
      <c r="G33" s="4" t="s">
        <v>468</v>
      </c>
      <c r="H33" s="4" t="s">
        <v>469</v>
      </c>
      <c r="I33" s="3" t="s">
        <v>85</v>
      </c>
      <c r="J33" s="3" t="s">
        <v>126</v>
      </c>
      <c r="K33" s="3" t="s">
        <v>45</v>
      </c>
      <c r="L33" s="3" t="s">
        <v>470</v>
      </c>
      <c r="M33" s="3" t="s">
        <v>45</v>
      </c>
      <c r="N33" s="4" t="s">
        <v>471</v>
      </c>
      <c r="O33" s="3" t="s">
        <v>390</v>
      </c>
      <c r="P33" s="3" t="s">
        <v>45</v>
      </c>
      <c r="Q33" s="3" t="s">
        <v>45</v>
      </c>
      <c r="R33" s="3" t="s">
        <v>45</v>
      </c>
      <c r="S33" s="3" t="s">
        <v>45</v>
      </c>
      <c r="T33" s="3" t="s">
        <v>45</v>
      </c>
      <c r="U33" s="3" t="s">
        <v>45</v>
      </c>
      <c r="V33" s="4" t="s">
        <v>391</v>
      </c>
      <c r="W33" s="4" t="s">
        <v>472</v>
      </c>
      <c r="X33" s="3" t="s">
        <v>45</v>
      </c>
      <c r="Y33" s="3" t="s">
        <v>45</v>
      </c>
      <c r="Z33" s="3" t="s">
        <v>74</v>
      </c>
      <c r="AA33" s="3" t="s">
        <v>45</v>
      </c>
      <c r="AB33" s="3" t="s">
        <v>45</v>
      </c>
      <c r="AC33" s="3" t="s">
        <v>45</v>
      </c>
      <c r="AD33" s="3" t="s">
        <v>45</v>
      </c>
      <c r="AE33" s="3" t="s">
        <v>45</v>
      </c>
      <c r="AF33" s="3" t="s">
        <v>45</v>
      </c>
      <c r="AG33" s="3" t="s">
        <v>45</v>
      </c>
      <c r="AH33" s="3" t="s">
        <v>57</v>
      </c>
      <c r="AI33" s="5" t="s">
        <v>473</v>
      </c>
      <c r="AJ33" s="3" t="s">
        <v>45</v>
      </c>
      <c r="AK33" s="3" t="s">
        <v>45</v>
      </c>
      <c r="AL33" s="3" t="s">
        <v>45</v>
      </c>
      <c r="AM33" s="3" t="s">
        <v>45</v>
      </c>
      <c r="AN33" s="3" t="s">
        <v>45</v>
      </c>
      <c r="AO33" s="3" t="s">
        <v>45</v>
      </c>
      <c r="AP33" s="3" t="s">
        <v>45</v>
      </c>
      <c r="AQ33" s="4" t="s">
        <v>474</v>
      </c>
      <c r="AR33" s="4" t="s">
        <v>474</v>
      </c>
    </row>
    <row r="34">
      <c r="A34" s="3" t="s">
        <v>475</v>
      </c>
      <c r="B34" s="3" t="s">
        <v>476</v>
      </c>
      <c r="C34" s="3" t="s">
        <v>460</v>
      </c>
      <c r="D34" s="3" t="s">
        <v>369</v>
      </c>
      <c r="E34" s="4" t="s">
        <v>461</v>
      </c>
      <c r="F34" s="3" t="s">
        <v>371</v>
      </c>
      <c r="G34" s="4" t="s">
        <v>477</v>
      </c>
      <c r="H34" s="4" t="s">
        <v>478</v>
      </c>
      <c r="I34" s="3" t="s">
        <v>49</v>
      </c>
      <c r="J34" s="3" t="s">
        <v>126</v>
      </c>
      <c r="K34" s="3" t="s">
        <v>45</v>
      </c>
      <c r="L34" s="3" t="s">
        <v>479</v>
      </c>
      <c r="M34" s="3" t="s">
        <v>45</v>
      </c>
      <c r="N34" s="3" t="s">
        <v>45</v>
      </c>
      <c r="O34" s="3" t="s">
        <v>88</v>
      </c>
      <c r="P34" s="3" t="s">
        <v>220</v>
      </c>
      <c r="Q34" s="3" t="s">
        <v>45</v>
      </c>
      <c r="R34" s="3" t="s">
        <v>45</v>
      </c>
      <c r="S34" s="4" t="s">
        <v>480</v>
      </c>
      <c r="T34" s="3" t="s">
        <v>45</v>
      </c>
      <c r="U34" s="3" t="s">
        <v>45</v>
      </c>
      <c r="V34" s="3" t="s">
        <v>45</v>
      </c>
      <c r="W34" s="4" t="s">
        <v>481</v>
      </c>
      <c r="X34" s="3" t="s">
        <v>482</v>
      </c>
      <c r="Y34" s="3" t="s">
        <v>45</v>
      </c>
      <c r="Z34" s="3" t="s">
        <v>74</v>
      </c>
      <c r="AA34" s="3" t="s">
        <v>45</v>
      </c>
      <c r="AB34" s="3" t="s">
        <v>45</v>
      </c>
      <c r="AC34" s="3" t="s">
        <v>45</v>
      </c>
      <c r="AD34" s="3" t="s">
        <v>45</v>
      </c>
      <c r="AE34" s="3" t="s">
        <v>45</v>
      </c>
      <c r="AF34" s="3" t="s">
        <v>45</v>
      </c>
      <c r="AG34" s="3" t="s">
        <v>45</v>
      </c>
      <c r="AH34" s="3" t="s">
        <v>57</v>
      </c>
      <c r="AI34" s="5" t="s">
        <v>464</v>
      </c>
      <c r="AJ34" s="5" t="s">
        <v>483</v>
      </c>
      <c r="AK34" s="3" t="s">
        <v>45</v>
      </c>
      <c r="AL34" s="3" t="s">
        <v>45</v>
      </c>
      <c r="AM34" s="3" t="s">
        <v>45</v>
      </c>
      <c r="AN34" s="3" t="s">
        <v>45</v>
      </c>
      <c r="AO34" s="3" t="s">
        <v>45</v>
      </c>
      <c r="AP34" s="3" t="s">
        <v>45</v>
      </c>
      <c r="AQ34" s="4" t="s">
        <v>465</v>
      </c>
      <c r="AR34" s="4" t="s">
        <v>224</v>
      </c>
    </row>
    <row r="35">
      <c r="A35" s="3" t="s">
        <v>484</v>
      </c>
      <c r="B35" s="3" t="s">
        <v>485</v>
      </c>
      <c r="C35" s="3" t="s">
        <v>460</v>
      </c>
      <c r="D35" s="3" t="s">
        <v>369</v>
      </c>
      <c r="E35" s="4" t="s">
        <v>461</v>
      </c>
      <c r="F35" s="3" t="s">
        <v>371</v>
      </c>
      <c r="G35" s="4" t="s">
        <v>486</v>
      </c>
      <c r="H35" s="4" t="s">
        <v>463</v>
      </c>
      <c r="I35" s="3" t="s">
        <v>49</v>
      </c>
      <c r="J35" s="3" t="s">
        <v>50</v>
      </c>
      <c r="K35" s="3" t="s">
        <v>45</v>
      </c>
      <c r="L35" s="3" t="s">
        <v>479</v>
      </c>
      <c r="M35" s="3" t="s">
        <v>45</v>
      </c>
      <c r="N35" s="3" t="s">
        <v>45</v>
      </c>
      <c r="O35" s="3" t="s">
        <v>74</v>
      </c>
      <c r="P35" s="3" t="s">
        <v>45</v>
      </c>
      <c r="Q35" s="3" t="s">
        <v>45</v>
      </c>
      <c r="R35" s="3" t="s">
        <v>45</v>
      </c>
      <c r="S35" s="3" t="s">
        <v>45</v>
      </c>
      <c r="T35" s="3" t="s">
        <v>45</v>
      </c>
      <c r="U35" s="3" t="s">
        <v>45</v>
      </c>
      <c r="V35" s="3" t="s">
        <v>45</v>
      </c>
      <c r="W35" s="4" t="s">
        <v>487</v>
      </c>
      <c r="X35" s="3" t="s">
        <v>488</v>
      </c>
      <c r="Y35" s="3" t="s">
        <v>45</v>
      </c>
      <c r="Z35" s="3" t="s">
        <v>74</v>
      </c>
      <c r="AA35" s="3" t="s">
        <v>45</v>
      </c>
      <c r="AB35" s="3" t="s">
        <v>45</v>
      </c>
      <c r="AC35" s="3" t="s">
        <v>45</v>
      </c>
      <c r="AD35" s="3" t="s">
        <v>45</v>
      </c>
      <c r="AE35" s="3" t="s">
        <v>45</v>
      </c>
      <c r="AF35" s="3" t="s">
        <v>45</v>
      </c>
      <c r="AG35" s="3" t="s">
        <v>45</v>
      </c>
      <c r="AH35" s="3" t="s">
        <v>57</v>
      </c>
      <c r="AI35" s="5" t="s">
        <v>464</v>
      </c>
      <c r="AJ35" s="3" t="s">
        <v>45</v>
      </c>
      <c r="AK35" s="3" t="s">
        <v>45</v>
      </c>
      <c r="AL35" s="3" t="s">
        <v>45</v>
      </c>
      <c r="AM35" s="3" t="s">
        <v>45</v>
      </c>
      <c r="AN35" s="3" t="s">
        <v>45</v>
      </c>
      <c r="AO35" s="3" t="s">
        <v>45</v>
      </c>
      <c r="AP35" s="3" t="s">
        <v>45</v>
      </c>
      <c r="AQ35" s="4" t="s">
        <v>465</v>
      </c>
      <c r="AR35" s="4" t="s">
        <v>465</v>
      </c>
    </row>
    <row r="36">
      <c r="A36" s="3" t="s">
        <v>205</v>
      </c>
      <c r="B36" s="3" t="s">
        <v>489</v>
      </c>
      <c r="C36" s="3" t="s">
        <v>460</v>
      </c>
      <c r="D36" s="3" t="s">
        <v>369</v>
      </c>
      <c r="E36" s="4" t="s">
        <v>461</v>
      </c>
      <c r="F36" s="3" t="s">
        <v>371</v>
      </c>
      <c r="G36" s="4" t="s">
        <v>490</v>
      </c>
      <c r="H36" s="4" t="s">
        <v>491</v>
      </c>
      <c r="I36" s="3" t="s">
        <v>218</v>
      </c>
      <c r="J36" s="3" t="s">
        <v>50</v>
      </c>
      <c r="K36" s="3" t="s">
        <v>45</v>
      </c>
      <c r="L36" s="3" t="s">
        <v>210</v>
      </c>
      <c r="M36" s="3" t="s">
        <v>45</v>
      </c>
      <c r="N36" s="3" t="s">
        <v>45</v>
      </c>
      <c r="O36" s="3" t="s">
        <v>74</v>
      </c>
      <c r="P36" s="3" t="s">
        <v>45</v>
      </c>
      <c r="Q36" s="3" t="s">
        <v>45</v>
      </c>
      <c r="R36" s="3" t="s">
        <v>45</v>
      </c>
      <c r="S36" s="3" t="s">
        <v>45</v>
      </c>
      <c r="T36" s="3" t="s">
        <v>45</v>
      </c>
      <c r="U36" s="3" t="s">
        <v>45</v>
      </c>
      <c r="V36" s="4" t="s">
        <v>492</v>
      </c>
      <c r="W36" s="4" t="s">
        <v>493</v>
      </c>
      <c r="X36" s="3" t="s">
        <v>45</v>
      </c>
      <c r="Y36" s="3" t="s">
        <v>45</v>
      </c>
      <c r="Z36" s="3" t="s">
        <v>74</v>
      </c>
      <c r="AA36" s="3" t="s">
        <v>45</v>
      </c>
      <c r="AB36" s="3" t="s">
        <v>45</v>
      </c>
      <c r="AC36" s="3" t="s">
        <v>45</v>
      </c>
      <c r="AD36" s="3" t="s">
        <v>45</v>
      </c>
      <c r="AE36" s="3" t="s">
        <v>45</v>
      </c>
      <c r="AF36" s="3" t="s">
        <v>45</v>
      </c>
      <c r="AG36" s="3" t="s">
        <v>45</v>
      </c>
      <c r="AH36" s="3" t="s">
        <v>57</v>
      </c>
      <c r="AI36" s="5" t="s">
        <v>494</v>
      </c>
      <c r="AJ36" s="3" t="s">
        <v>45</v>
      </c>
      <c r="AK36" s="3" t="s">
        <v>45</v>
      </c>
      <c r="AL36" s="3" t="s">
        <v>45</v>
      </c>
      <c r="AM36" s="3" t="s">
        <v>45</v>
      </c>
      <c r="AN36" s="3" t="s">
        <v>45</v>
      </c>
      <c r="AO36" s="3" t="s">
        <v>45</v>
      </c>
      <c r="AP36" s="3" t="s">
        <v>45</v>
      </c>
      <c r="AQ36" s="4" t="s">
        <v>465</v>
      </c>
      <c r="AR36" s="4" t="s">
        <v>465</v>
      </c>
    </row>
    <row r="37">
      <c r="A37" s="3" t="s">
        <v>495</v>
      </c>
      <c r="B37" s="3" t="s">
        <v>496</v>
      </c>
      <c r="C37" s="3" t="s">
        <v>460</v>
      </c>
      <c r="D37" s="3" t="s">
        <v>369</v>
      </c>
      <c r="E37" s="4" t="s">
        <v>461</v>
      </c>
      <c r="F37" s="3" t="s">
        <v>371</v>
      </c>
      <c r="G37" s="4" t="s">
        <v>497</v>
      </c>
      <c r="H37" s="4" t="s">
        <v>498</v>
      </c>
      <c r="I37" s="3" t="s">
        <v>85</v>
      </c>
      <c r="J37" s="3" t="s">
        <v>126</v>
      </c>
      <c r="K37" s="3" t="s">
        <v>45</v>
      </c>
      <c r="L37" s="3" t="s">
        <v>45</v>
      </c>
      <c r="M37" s="3" t="s">
        <v>45</v>
      </c>
      <c r="N37" s="4" t="s">
        <v>499</v>
      </c>
      <c r="O37" s="3" t="s">
        <v>88</v>
      </c>
      <c r="P37" s="3" t="s">
        <v>45</v>
      </c>
      <c r="Q37" s="3" t="s">
        <v>45</v>
      </c>
      <c r="R37" s="3" t="s">
        <v>45</v>
      </c>
      <c r="S37" s="4" t="s">
        <v>275</v>
      </c>
      <c r="T37" s="3" t="s">
        <v>45</v>
      </c>
      <c r="U37" s="3" t="s">
        <v>45</v>
      </c>
      <c r="V37" s="3" t="s">
        <v>45</v>
      </c>
      <c r="W37" s="4" t="s">
        <v>500</v>
      </c>
      <c r="X37" s="3" t="s">
        <v>45</v>
      </c>
      <c r="Y37" s="3" t="s">
        <v>45</v>
      </c>
      <c r="Z37" s="3" t="s">
        <v>74</v>
      </c>
      <c r="AA37" s="3" t="s">
        <v>45</v>
      </c>
      <c r="AB37" s="3" t="s">
        <v>45</v>
      </c>
      <c r="AC37" s="3" t="s">
        <v>45</v>
      </c>
      <c r="AD37" s="3" t="s">
        <v>45</v>
      </c>
      <c r="AE37" s="3" t="s">
        <v>45</v>
      </c>
      <c r="AF37" s="3" t="s">
        <v>45</v>
      </c>
      <c r="AG37" s="3" t="s">
        <v>501</v>
      </c>
      <c r="AH37" s="3" t="s">
        <v>57</v>
      </c>
      <c r="AI37" s="5" t="s">
        <v>502</v>
      </c>
      <c r="AJ37" s="5" t="s">
        <v>503</v>
      </c>
      <c r="AK37" s="5" t="s">
        <v>504</v>
      </c>
      <c r="AL37" s="3" t="s">
        <v>45</v>
      </c>
      <c r="AM37" s="3" t="s">
        <v>45</v>
      </c>
      <c r="AN37" s="3" t="s">
        <v>45</v>
      </c>
      <c r="AO37" s="3" t="s">
        <v>45</v>
      </c>
      <c r="AP37" s="3" t="s">
        <v>45</v>
      </c>
      <c r="AQ37" s="4" t="s">
        <v>393</v>
      </c>
      <c r="AR37" s="4" t="s">
        <v>505</v>
      </c>
    </row>
    <row r="38">
      <c r="A38" s="3" t="s">
        <v>495</v>
      </c>
      <c r="B38" s="3" t="s">
        <v>506</v>
      </c>
      <c r="C38" s="3" t="s">
        <v>460</v>
      </c>
      <c r="D38" s="3" t="s">
        <v>369</v>
      </c>
      <c r="E38" s="4" t="s">
        <v>461</v>
      </c>
      <c r="F38" s="3" t="s">
        <v>371</v>
      </c>
      <c r="G38" s="4" t="s">
        <v>507</v>
      </c>
      <c r="H38" s="4" t="s">
        <v>508</v>
      </c>
      <c r="I38" s="3" t="s">
        <v>218</v>
      </c>
      <c r="J38" s="3" t="s">
        <v>126</v>
      </c>
      <c r="K38" s="3" t="s">
        <v>45</v>
      </c>
      <c r="L38" s="3" t="s">
        <v>509</v>
      </c>
      <c r="M38" s="3" t="s">
        <v>45</v>
      </c>
      <c r="N38" s="4" t="s">
        <v>419</v>
      </c>
      <c r="O38" s="3" t="s">
        <v>88</v>
      </c>
      <c r="P38" s="3" t="s">
        <v>45</v>
      </c>
      <c r="Q38" s="3" t="s">
        <v>45</v>
      </c>
      <c r="R38" s="3" t="s">
        <v>45</v>
      </c>
      <c r="S38" s="3" t="s">
        <v>45</v>
      </c>
      <c r="T38" s="3" t="s">
        <v>45</v>
      </c>
      <c r="U38" s="3" t="s">
        <v>45</v>
      </c>
      <c r="V38" s="3" t="s">
        <v>45</v>
      </c>
      <c r="W38" s="4" t="s">
        <v>510</v>
      </c>
      <c r="X38" s="3" t="s">
        <v>511</v>
      </c>
      <c r="Y38" s="3" t="s">
        <v>45</v>
      </c>
      <c r="Z38" s="3" t="s">
        <v>74</v>
      </c>
      <c r="AA38" s="3" t="s">
        <v>45</v>
      </c>
      <c r="AB38" s="3" t="s">
        <v>45</v>
      </c>
      <c r="AC38" s="3" t="s">
        <v>45</v>
      </c>
      <c r="AD38" s="3" t="s">
        <v>45</v>
      </c>
      <c r="AE38" s="3" t="s">
        <v>45</v>
      </c>
      <c r="AF38" s="3" t="s">
        <v>45</v>
      </c>
      <c r="AG38" s="3" t="s">
        <v>45</v>
      </c>
      <c r="AH38" s="3" t="s">
        <v>57</v>
      </c>
      <c r="AI38" s="5" t="s">
        <v>502</v>
      </c>
      <c r="AJ38" s="5" t="s">
        <v>503</v>
      </c>
      <c r="AK38" s="3" t="s">
        <v>45</v>
      </c>
      <c r="AL38" s="3" t="s">
        <v>45</v>
      </c>
      <c r="AM38" s="3" t="s">
        <v>45</v>
      </c>
      <c r="AN38" s="3" t="s">
        <v>45</v>
      </c>
      <c r="AO38" s="3" t="s">
        <v>45</v>
      </c>
      <c r="AP38" s="3" t="s">
        <v>45</v>
      </c>
      <c r="AQ38" s="4" t="s">
        <v>393</v>
      </c>
      <c r="AR38" s="4" t="s">
        <v>296</v>
      </c>
    </row>
    <row r="39">
      <c r="A39" s="3" t="s">
        <v>512</v>
      </c>
      <c r="B39" s="3" t="s">
        <v>513</v>
      </c>
      <c r="C39" s="3" t="s">
        <v>514</v>
      </c>
      <c r="D39" s="3" t="s">
        <v>369</v>
      </c>
      <c r="E39" s="4" t="s">
        <v>515</v>
      </c>
      <c r="F39" s="3" t="s">
        <v>516</v>
      </c>
      <c r="G39" s="4" t="s">
        <v>517</v>
      </c>
      <c r="H39" s="4" t="s">
        <v>518</v>
      </c>
      <c r="I39" s="3" t="s">
        <v>49</v>
      </c>
      <c r="J39" s="3" t="s">
        <v>126</v>
      </c>
      <c r="K39" s="3" t="s">
        <v>45</v>
      </c>
      <c r="L39" s="3" t="s">
        <v>519</v>
      </c>
      <c r="M39" s="3" t="s">
        <v>45</v>
      </c>
      <c r="N39" s="3" t="s">
        <v>45</v>
      </c>
      <c r="O39" s="3" t="s">
        <v>88</v>
      </c>
      <c r="P39" s="3" t="s">
        <v>520</v>
      </c>
      <c r="Q39" s="3" t="s">
        <v>45</v>
      </c>
      <c r="R39" s="3" t="s">
        <v>45</v>
      </c>
      <c r="S39" s="3" t="s">
        <v>45</v>
      </c>
      <c r="T39" s="3" t="s">
        <v>45</v>
      </c>
      <c r="U39" s="3" t="s">
        <v>45</v>
      </c>
      <c r="V39" s="3" t="s">
        <v>45</v>
      </c>
      <c r="W39" s="4" t="s">
        <v>102</v>
      </c>
      <c r="X39" s="3" t="s">
        <v>45</v>
      </c>
      <c r="Y39" s="3" t="s">
        <v>45</v>
      </c>
      <c r="Z39" s="3" t="s">
        <v>55</v>
      </c>
      <c r="AA39" s="3" t="s">
        <v>521</v>
      </c>
      <c r="AB39" s="3" t="s">
        <v>109</v>
      </c>
      <c r="AC39" s="3" t="s">
        <v>45</v>
      </c>
      <c r="AD39" s="5" t="s">
        <v>522</v>
      </c>
      <c r="AE39" s="5" t="s">
        <v>523</v>
      </c>
      <c r="AF39" s="5" t="s">
        <v>524</v>
      </c>
      <c r="AG39" s="3" t="s">
        <v>525</v>
      </c>
      <c r="AH39" s="3" t="s">
        <v>57</v>
      </c>
      <c r="AI39" s="5" t="s">
        <v>526</v>
      </c>
      <c r="AJ39" s="5" t="s">
        <v>527</v>
      </c>
      <c r="AK39" s="5" t="s">
        <v>528</v>
      </c>
      <c r="AL39" s="3" t="s">
        <v>45</v>
      </c>
      <c r="AM39" s="3" t="s">
        <v>45</v>
      </c>
      <c r="AN39" s="3" t="s">
        <v>45</v>
      </c>
      <c r="AO39" s="3" t="s">
        <v>45</v>
      </c>
      <c r="AP39" s="3" t="s">
        <v>45</v>
      </c>
      <c r="AQ39" s="4" t="s">
        <v>282</v>
      </c>
      <c r="AR39" s="4" t="s">
        <v>198</v>
      </c>
    </row>
    <row r="40">
      <c r="A40" s="3" t="s">
        <v>529</v>
      </c>
      <c r="B40" s="3" t="s">
        <v>530</v>
      </c>
      <c r="C40" s="3" t="s">
        <v>531</v>
      </c>
      <c r="D40" s="3" t="s">
        <v>369</v>
      </c>
      <c r="E40" s="4" t="s">
        <v>532</v>
      </c>
      <c r="F40" s="3" t="s">
        <v>371</v>
      </c>
      <c r="G40" s="4" t="s">
        <v>533</v>
      </c>
      <c r="H40" s="4" t="s">
        <v>534</v>
      </c>
      <c r="I40" s="3" t="s">
        <v>85</v>
      </c>
      <c r="J40" s="3" t="s">
        <v>126</v>
      </c>
      <c r="K40" s="3" t="s">
        <v>45</v>
      </c>
      <c r="L40" s="3" t="s">
        <v>45</v>
      </c>
      <c r="M40" s="3" t="s">
        <v>45</v>
      </c>
      <c r="N40" s="4" t="s">
        <v>535</v>
      </c>
      <c r="O40" s="3" t="s">
        <v>88</v>
      </c>
      <c r="P40" s="3" t="s">
        <v>45</v>
      </c>
      <c r="Q40" s="3" t="s">
        <v>45</v>
      </c>
      <c r="R40" s="3" t="s">
        <v>45</v>
      </c>
      <c r="S40" s="3" t="s">
        <v>45</v>
      </c>
      <c r="T40" s="3" t="s">
        <v>45</v>
      </c>
      <c r="U40" s="3" t="s">
        <v>45</v>
      </c>
      <c r="V40" s="4" t="s">
        <v>536</v>
      </c>
      <c r="W40" s="3" t="s">
        <v>45</v>
      </c>
      <c r="X40" s="3" t="s">
        <v>45</v>
      </c>
      <c r="Y40" s="3" t="s">
        <v>45</v>
      </c>
      <c r="Z40" s="3" t="s">
        <v>74</v>
      </c>
      <c r="AA40" s="3" t="s">
        <v>45</v>
      </c>
      <c r="AB40" s="3" t="s">
        <v>45</v>
      </c>
      <c r="AC40" s="3" t="s">
        <v>45</v>
      </c>
      <c r="AD40" s="3" t="s">
        <v>45</v>
      </c>
      <c r="AE40" s="3" t="s">
        <v>45</v>
      </c>
      <c r="AF40" s="3" t="s">
        <v>45</v>
      </c>
      <c r="AG40" s="3" t="s">
        <v>45</v>
      </c>
      <c r="AH40" s="3" t="s">
        <v>57</v>
      </c>
      <c r="AI40" s="5" t="s">
        <v>537</v>
      </c>
      <c r="AJ40" s="3" t="s">
        <v>45</v>
      </c>
      <c r="AK40" s="3" t="s">
        <v>45</v>
      </c>
      <c r="AL40" s="3" t="s">
        <v>45</v>
      </c>
      <c r="AM40" s="3" t="s">
        <v>45</v>
      </c>
      <c r="AN40" s="3" t="s">
        <v>45</v>
      </c>
      <c r="AO40" s="3" t="s">
        <v>45</v>
      </c>
      <c r="AP40" s="3" t="s">
        <v>45</v>
      </c>
      <c r="AQ40" s="4" t="s">
        <v>393</v>
      </c>
      <c r="AR40" s="4" t="s">
        <v>183</v>
      </c>
    </row>
    <row r="41">
      <c r="A41" s="3" t="s">
        <v>538</v>
      </c>
      <c r="B41" s="3" t="s">
        <v>539</v>
      </c>
      <c r="C41" s="3" t="s">
        <v>531</v>
      </c>
      <c r="D41" s="3" t="s">
        <v>369</v>
      </c>
      <c r="E41" s="4" t="s">
        <v>540</v>
      </c>
      <c r="F41" s="3" t="s">
        <v>371</v>
      </c>
      <c r="G41" s="4" t="s">
        <v>541</v>
      </c>
      <c r="H41" s="4" t="s">
        <v>542</v>
      </c>
      <c r="I41" s="3" t="s">
        <v>85</v>
      </c>
      <c r="J41" s="3" t="s">
        <v>126</v>
      </c>
      <c r="K41" s="3" t="s">
        <v>45</v>
      </c>
      <c r="L41" s="3" t="s">
        <v>543</v>
      </c>
      <c r="M41" s="3" t="s">
        <v>45</v>
      </c>
      <c r="N41" s="4" t="s">
        <v>233</v>
      </c>
      <c r="O41" s="3" t="s">
        <v>390</v>
      </c>
      <c r="P41" s="3" t="s">
        <v>45</v>
      </c>
      <c r="Q41" s="3" t="s">
        <v>45</v>
      </c>
      <c r="R41" s="3" t="s">
        <v>45</v>
      </c>
      <c r="S41" s="3" t="s">
        <v>45</v>
      </c>
      <c r="T41" s="3" t="s">
        <v>45</v>
      </c>
      <c r="U41" s="3" t="s">
        <v>45</v>
      </c>
      <c r="V41" s="4" t="s">
        <v>544</v>
      </c>
      <c r="W41" s="3" t="s">
        <v>45</v>
      </c>
      <c r="X41" s="3" t="s">
        <v>45</v>
      </c>
      <c r="Y41" s="3" t="s">
        <v>45</v>
      </c>
      <c r="Z41" s="3" t="s">
        <v>74</v>
      </c>
      <c r="AA41" s="3" t="s">
        <v>45</v>
      </c>
      <c r="AB41" s="3" t="s">
        <v>45</v>
      </c>
      <c r="AC41" s="3" t="s">
        <v>45</v>
      </c>
      <c r="AD41" s="3" t="s">
        <v>45</v>
      </c>
      <c r="AE41" s="3" t="s">
        <v>45</v>
      </c>
      <c r="AF41" s="3" t="s">
        <v>45</v>
      </c>
      <c r="AG41" s="3" t="s">
        <v>45</v>
      </c>
      <c r="AH41" s="3" t="s">
        <v>57</v>
      </c>
      <c r="AI41" s="5" t="s">
        <v>545</v>
      </c>
      <c r="AJ41" s="3" t="s">
        <v>45</v>
      </c>
      <c r="AK41" s="3" t="s">
        <v>45</v>
      </c>
      <c r="AL41" s="3" t="s">
        <v>45</v>
      </c>
      <c r="AM41" s="3" t="s">
        <v>45</v>
      </c>
      <c r="AN41" s="3" t="s">
        <v>45</v>
      </c>
      <c r="AO41" s="3" t="s">
        <v>45</v>
      </c>
      <c r="AP41" s="3" t="s">
        <v>45</v>
      </c>
      <c r="AQ41" s="4" t="s">
        <v>393</v>
      </c>
      <c r="AR41" s="4" t="s">
        <v>296</v>
      </c>
    </row>
    <row r="42">
      <c r="A42" s="3" t="s">
        <v>546</v>
      </c>
      <c r="B42" s="3" t="s">
        <v>547</v>
      </c>
      <c r="C42" s="3" t="s">
        <v>531</v>
      </c>
      <c r="D42" s="3" t="s">
        <v>369</v>
      </c>
      <c r="E42" s="4" t="s">
        <v>540</v>
      </c>
      <c r="F42" s="3" t="s">
        <v>371</v>
      </c>
      <c r="G42" s="4" t="s">
        <v>548</v>
      </c>
      <c r="H42" s="4" t="s">
        <v>542</v>
      </c>
      <c r="I42" s="3" t="s">
        <v>85</v>
      </c>
      <c r="J42" s="3" t="s">
        <v>126</v>
      </c>
      <c r="K42" s="3" t="s">
        <v>45</v>
      </c>
      <c r="L42" s="3" t="s">
        <v>45</v>
      </c>
      <c r="M42" s="3" t="s">
        <v>45</v>
      </c>
      <c r="N42" s="4" t="s">
        <v>104</v>
      </c>
      <c r="O42" s="3" t="s">
        <v>53</v>
      </c>
      <c r="P42" s="3" t="s">
        <v>45</v>
      </c>
      <c r="Q42" s="3" t="s">
        <v>45</v>
      </c>
      <c r="R42" s="3" t="s">
        <v>45</v>
      </c>
      <c r="S42" s="3" t="s">
        <v>45</v>
      </c>
      <c r="T42" s="3" t="s">
        <v>45</v>
      </c>
      <c r="U42" s="3" t="s">
        <v>45</v>
      </c>
      <c r="V42" s="4" t="s">
        <v>549</v>
      </c>
      <c r="W42" s="3" t="s">
        <v>45</v>
      </c>
      <c r="X42" s="3" t="s">
        <v>45</v>
      </c>
      <c r="Y42" s="3" t="s">
        <v>45</v>
      </c>
      <c r="Z42" s="3" t="s">
        <v>74</v>
      </c>
      <c r="AA42" s="3" t="s">
        <v>45</v>
      </c>
      <c r="AB42" s="3" t="s">
        <v>45</v>
      </c>
      <c r="AC42" s="3" t="s">
        <v>45</v>
      </c>
      <c r="AD42" s="3" t="s">
        <v>45</v>
      </c>
      <c r="AE42" s="3" t="s">
        <v>45</v>
      </c>
      <c r="AF42" s="3" t="s">
        <v>45</v>
      </c>
      <c r="AG42" s="3" t="s">
        <v>45</v>
      </c>
      <c r="AH42" s="3" t="s">
        <v>57</v>
      </c>
      <c r="AI42" s="5" t="s">
        <v>550</v>
      </c>
      <c r="AJ42" s="3" t="s">
        <v>45</v>
      </c>
      <c r="AK42" s="3" t="s">
        <v>45</v>
      </c>
      <c r="AL42" s="3" t="s">
        <v>45</v>
      </c>
      <c r="AM42" s="3" t="s">
        <v>45</v>
      </c>
      <c r="AN42" s="3" t="s">
        <v>45</v>
      </c>
      <c r="AO42" s="3" t="s">
        <v>45</v>
      </c>
      <c r="AP42" s="3" t="s">
        <v>45</v>
      </c>
      <c r="AQ42" s="4" t="s">
        <v>551</v>
      </c>
      <c r="AR42" s="4" t="s">
        <v>296</v>
      </c>
    </row>
    <row r="43">
      <c r="A43" s="3" t="s">
        <v>552</v>
      </c>
      <c r="B43" s="3" t="s">
        <v>553</v>
      </c>
      <c r="C43" s="3" t="s">
        <v>531</v>
      </c>
      <c r="D43" s="3" t="s">
        <v>369</v>
      </c>
      <c r="E43" s="4" t="s">
        <v>554</v>
      </c>
      <c r="F43" s="3" t="s">
        <v>371</v>
      </c>
      <c r="G43" s="4" t="s">
        <v>555</v>
      </c>
      <c r="H43" s="4" t="s">
        <v>556</v>
      </c>
      <c r="I43" s="3" t="s">
        <v>85</v>
      </c>
      <c r="J43" s="3" t="s">
        <v>126</v>
      </c>
      <c r="K43" s="3" t="s">
        <v>45</v>
      </c>
      <c r="L43" s="3" t="s">
        <v>557</v>
      </c>
      <c r="M43" s="3" t="s">
        <v>45</v>
      </c>
      <c r="N43" s="4" t="s">
        <v>389</v>
      </c>
      <c r="O43" s="3" t="s">
        <v>390</v>
      </c>
      <c r="P43" s="3" t="s">
        <v>45</v>
      </c>
      <c r="Q43" s="3" t="s">
        <v>45</v>
      </c>
      <c r="R43" s="3" t="s">
        <v>45</v>
      </c>
      <c r="S43" s="3" t="s">
        <v>45</v>
      </c>
      <c r="T43" s="3" t="s">
        <v>45</v>
      </c>
      <c r="U43" s="3" t="s">
        <v>45</v>
      </c>
      <c r="V43" s="4" t="s">
        <v>558</v>
      </c>
      <c r="W43" s="3" t="s">
        <v>45</v>
      </c>
      <c r="X43" s="3" t="s">
        <v>45</v>
      </c>
      <c r="Y43" s="3" t="s">
        <v>45</v>
      </c>
      <c r="Z43" s="3" t="s">
        <v>74</v>
      </c>
      <c r="AA43" s="3" t="s">
        <v>45</v>
      </c>
      <c r="AB43" s="3" t="s">
        <v>45</v>
      </c>
      <c r="AC43" s="3" t="s">
        <v>45</v>
      </c>
      <c r="AD43" s="3" t="s">
        <v>45</v>
      </c>
      <c r="AE43" s="3" t="s">
        <v>45</v>
      </c>
      <c r="AF43" s="3" t="s">
        <v>45</v>
      </c>
      <c r="AG43" s="3" t="s">
        <v>45</v>
      </c>
      <c r="AH43" s="3" t="s">
        <v>57</v>
      </c>
      <c r="AI43" s="5" t="s">
        <v>559</v>
      </c>
      <c r="AJ43" s="3" t="s">
        <v>45</v>
      </c>
      <c r="AK43" s="3" t="s">
        <v>45</v>
      </c>
      <c r="AL43" s="3" t="s">
        <v>45</v>
      </c>
      <c r="AM43" s="3" t="s">
        <v>45</v>
      </c>
      <c r="AN43" s="3" t="s">
        <v>45</v>
      </c>
      <c r="AO43" s="3" t="s">
        <v>45</v>
      </c>
      <c r="AP43" s="3" t="s">
        <v>45</v>
      </c>
      <c r="AQ43" s="4" t="s">
        <v>393</v>
      </c>
      <c r="AR43" s="4" t="s">
        <v>296</v>
      </c>
    </row>
    <row r="44">
      <c r="A44" s="3" t="s">
        <v>552</v>
      </c>
      <c r="B44" s="3" t="s">
        <v>560</v>
      </c>
      <c r="C44" s="3" t="s">
        <v>531</v>
      </c>
      <c r="D44" s="3" t="s">
        <v>369</v>
      </c>
      <c r="E44" s="4" t="s">
        <v>561</v>
      </c>
      <c r="F44" s="3" t="s">
        <v>371</v>
      </c>
      <c r="G44" s="4" t="s">
        <v>562</v>
      </c>
      <c r="H44" s="4" t="s">
        <v>563</v>
      </c>
      <c r="I44" s="3" t="s">
        <v>85</v>
      </c>
      <c r="J44" s="3" t="s">
        <v>126</v>
      </c>
      <c r="K44" s="3" t="s">
        <v>45</v>
      </c>
      <c r="L44" s="3" t="s">
        <v>557</v>
      </c>
      <c r="M44" s="3" t="s">
        <v>45</v>
      </c>
      <c r="N44" s="4" t="s">
        <v>564</v>
      </c>
      <c r="O44" s="3" t="s">
        <v>88</v>
      </c>
      <c r="P44" s="3" t="s">
        <v>45</v>
      </c>
      <c r="Q44" s="3" t="s">
        <v>45</v>
      </c>
      <c r="R44" s="3" t="s">
        <v>45</v>
      </c>
      <c r="S44" s="3" t="s">
        <v>45</v>
      </c>
      <c r="T44" s="3" t="s">
        <v>45</v>
      </c>
      <c r="U44" s="3" t="s">
        <v>45</v>
      </c>
      <c r="V44" s="4" t="s">
        <v>565</v>
      </c>
      <c r="W44" s="3" t="s">
        <v>45</v>
      </c>
      <c r="X44" s="3" t="s">
        <v>45</v>
      </c>
      <c r="Y44" s="3" t="s">
        <v>45</v>
      </c>
      <c r="Z44" s="3" t="s">
        <v>74</v>
      </c>
      <c r="AA44" s="3" t="s">
        <v>45</v>
      </c>
      <c r="AB44" s="3" t="s">
        <v>45</v>
      </c>
      <c r="AC44" s="3" t="s">
        <v>45</v>
      </c>
      <c r="AD44" s="3" t="s">
        <v>45</v>
      </c>
      <c r="AE44" s="3" t="s">
        <v>45</v>
      </c>
      <c r="AF44" s="3" t="s">
        <v>45</v>
      </c>
      <c r="AG44" s="3" t="s">
        <v>45</v>
      </c>
      <c r="AH44" s="3" t="s">
        <v>57</v>
      </c>
      <c r="AI44" s="5" t="s">
        <v>559</v>
      </c>
      <c r="AJ44" s="3" t="s">
        <v>45</v>
      </c>
      <c r="AK44" s="3" t="s">
        <v>45</v>
      </c>
      <c r="AL44" s="3" t="s">
        <v>45</v>
      </c>
      <c r="AM44" s="3" t="s">
        <v>45</v>
      </c>
      <c r="AN44" s="3" t="s">
        <v>45</v>
      </c>
      <c r="AO44" s="3" t="s">
        <v>45</v>
      </c>
      <c r="AP44" s="3" t="s">
        <v>45</v>
      </c>
      <c r="AQ44" s="4" t="s">
        <v>393</v>
      </c>
      <c r="AR44" s="4" t="s">
        <v>296</v>
      </c>
    </row>
    <row r="45">
      <c r="A45" s="3" t="s">
        <v>566</v>
      </c>
      <c r="B45" s="3" t="s">
        <v>567</v>
      </c>
      <c r="C45" s="3" t="s">
        <v>531</v>
      </c>
      <c r="D45" s="3" t="s">
        <v>369</v>
      </c>
      <c r="E45" s="4" t="s">
        <v>370</v>
      </c>
      <c r="F45" s="3" t="s">
        <v>371</v>
      </c>
      <c r="G45" s="4" t="s">
        <v>568</v>
      </c>
      <c r="H45" s="4" t="s">
        <v>569</v>
      </c>
      <c r="I45" s="3" t="s">
        <v>218</v>
      </c>
      <c r="J45" s="3" t="s">
        <v>126</v>
      </c>
      <c r="K45" s="3" t="s">
        <v>45</v>
      </c>
      <c r="L45" s="3" t="s">
        <v>570</v>
      </c>
      <c r="M45" s="3" t="s">
        <v>45</v>
      </c>
      <c r="N45" s="3" t="s">
        <v>45</v>
      </c>
      <c r="O45" s="3" t="s">
        <v>70</v>
      </c>
      <c r="P45" s="3" t="s">
        <v>45</v>
      </c>
      <c r="Q45" s="3" t="s">
        <v>45</v>
      </c>
      <c r="R45" s="3" t="s">
        <v>45</v>
      </c>
      <c r="S45" s="3" t="s">
        <v>45</v>
      </c>
      <c r="T45" s="3" t="s">
        <v>45</v>
      </c>
      <c r="U45" s="3" t="s">
        <v>45</v>
      </c>
      <c r="V45" s="3" t="s">
        <v>45</v>
      </c>
      <c r="W45" s="4" t="s">
        <v>571</v>
      </c>
      <c r="X45" s="3" t="s">
        <v>45</v>
      </c>
      <c r="Y45" s="3" t="s">
        <v>45</v>
      </c>
      <c r="Z45" s="3" t="s">
        <v>74</v>
      </c>
      <c r="AA45" s="3" t="s">
        <v>45</v>
      </c>
      <c r="AB45" s="3" t="s">
        <v>45</v>
      </c>
      <c r="AC45" s="3" t="s">
        <v>45</v>
      </c>
      <c r="AD45" s="3" t="s">
        <v>45</v>
      </c>
      <c r="AE45" s="3" t="s">
        <v>45</v>
      </c>
      <c r="AF45" s="3" t="s">
        <v>45</v>
      </c>
      <c r="AG45" s="3" t="s">
        <v>45</v>
      </c>
      <c r="AH45" s="3" t="s">
        <v>57</v>
      </c>
      <c r="AI45" s="5" t="s">
        <v>572</v>
      </c>
      <c r="AJ45" s="5" t="s">
        <v>573</v>
      </c>
      <c r="AK45" s="3" t="s">
        <v>45</v>
      </c>
      <c r="AL45" s="3" t="s">
        <v>45</v>
      </c>
      <c r="AM45" s="3" t="s">
        <v>45</v>
      </c>
      <c r="AN45" s="3" t="s">
        <v>45</v>
      </c>
      <c r="AO45" s="3" t="s">
        <v>45</v>
      </c>
      <c r="AP45" s="3" t="s">
        <v>45</v>
      </c>
      <c r="AQ45" s="4" t="s">
        <v>364</v>
      </c>
      <c r="AR45" s="4" t="s">
        <v>296</v>
      </c>
    </row>
    <row r="46">
      <c r="A46" s="3" t="s">
        <v>574</v>
      </c>
      <c r="B46" s="3" t="s">
        <v>575</v>
      </c>
      <c r="C46" s="3" t="s">
        <v>576</v>
      </c>
      <c r="D46" s="3" t="s">
        <v>369</v>
      </c>
      <c r="E46" s="4" t="s">
        <v>577</v>
      </c>
      <c r="F46" s="3" t="s">
        <v>371</v>
      </c>
      <c r="G46" s="4" t="s">
        <v>578</v>
      </c>
      <c r="H46" s="4" t="s">
        <v>579</v>
      </c>
      <c r="I46" s="3" t="s">
        <v>49</v>
      </c>
      <c r="J46" s="3" t="s">
        <v>126</v>
      </c>
      <c r="K46" s="3" t="s">
        <v>45</v>
      </c>
      <c r="L46" s="3" t="s">
        <v>580</v>
      </c>
      <c r="M46" s="3" t="s">
        <v>45</v>
      </c>
      <c r="N46" s="4" t="s">
        <v>535</v>
      </c>
      <c r="O46" s="3" t="s">
        <v>88</v>
      </c>
      <c r="P46" s="3" t="s">
        <v>45</v>
      </c>
      <c r="Q46" s="3" t="s">
        <v>581</v>
      </c>
      <c r="R46" s="3" t="s">
        <v>45</v>
      </c>
      <c r="S46" s="4" t="s">
        <v>582</v>
      </c>
      <c r="T46" s="3" t="s">
        <v>45</v>
      </c>
      <c r="U46" s="3" t="s">
        <v>45</v>
      </c>
      <c r="V46" s="4" t="s">
        <v>106</v>
      </c>
      <c r="W46" s="4" t="s">
        <v>583</v>
      </c>
      <c r="X46" s="3" t="s">
        <v>584</v>
      </c>
      <c r="Y46" s="3" t="s">
        <v>45</v>
      </c>
      <c r="Z46" s="3" t="s">
        <v>55</v>
      </c>
      <c r="AA46" s="3" t="s">
        <v>45</v>
      </c>
      <c r="AB46" s="3" t="s">
        <v>45</v>
      </c>
      <c r="AC46" s="3" t="s">
        <v>45</v>
      </c>
      <c r="AD46" s="5" t="s">
        <v>585</v>
      </c>
      <c r="AE46" s="3" t="s">
        <v>45</v>
      </c>
      <c r="AF46" s="3" t="s">
        <v>45</v>
      </c>
      <c r="AG46" s="3" t="s">
        <v>45</v>
      </c>
      <c r="AH46" s="3" t="s">
        <v>57</v>
      </c>
      <c r="AI46" s="5" t="s">
        <v>586</v>
      </c>
      <c r="AJ46" s="5" t="s">
        <v>587</v>
      </c>
      <c r="AK46" s="3" t="s">
        <v>45</v>
      </c>
      <c r="AL46" s="3" t="s">
        <v>45</v>
      </c>
      <c r="AM46" s="3" t="s">
        <v>45</v>
      </c>
      <c r="AN46" s="3" t="s">
        <v>45</v>
      </c>
      <c r="AO46" s="3" t="s">
        <v>45</v>
      </c>
      <c r="AP46" s="3" t="s">
        <v>45</v>
      </c>
      <c r="AQ46" s="4" t="s">
        <v>588</v>
      </c>
      <c r="AR46" s="4" t="s">
        <v>588</v>
      </c>
    </row>
    <row r="47">
      <c r="A47" s="3" t="s">
        <v>589</v>
      </c>
      <c r="B47" s="3" t="s">
        <v>590</v>
      </c>
      <c r="C47" s="3" t="s">
        <v>591</v>
      </c>
      <c r="D47" s="3" t="s">
        <v>369</v>
      </c>
      <c r="E47" s="4" t="s">
        <v>592</v>
      </c>
      <c r="F47" s="3" t="s">
        <v>593</v>
      </c>
      <c r="G47" s="4" t="s">
        <v>594</v>
      </c>
      <c r="H47" s="4" t="s">
        <v>595</v>
      </c>
      <c r="I47" s="3" t="s">
        <v>49</v>
      </c>
      <c r="J47" s="3" t="s">
        <v>126</v>
      </c>
      <c r="K47" s="3" t="s">
        <v>45</v>
      </c>
      <c r="L47" s="3" t="s">
        <v>596</v>
      </c>
      <c r="M47" s="3" t="s">
        <v>45</v>
      </c>
      <c r="N47" s="4" t="s">
        <v>69</v>
      </c>
      <c r="O47" s="3" t="s">
        <v>70</v>
      </c>
      <c r="P47" s="3" t="s">
        <v>45</v>
      </c>
      <c r="Q47" s="3" t="s">
        <v>45</v>
      </c>
      <c r="R47" s="3" t="s">
        <v>45</v>
      </c>
      <c r="S47" s="3" t="s">
        <v>45</v>
      </c>
      <c r="T47" s="3" t="s">
        <v>45</v>
      </c>
      <c r="U47" s="3" t="s">
        <v>45</v>
      </c>
      <c r="V47" s="3" t="s">
        <v>45</v>
      </c>
      <c r="W47" s="4" t="s">
        <v>597</v>
      </c>
      <c r="X47" s="3" t="s">
        <v>598</v>
      </c>
      <c r="Y47" s="3" t="s">
        <v>45</v>
      </c>
      <c r="Z47" s="3" t="s">
        <v>74</v>
      </c>
      <c r="AA47" s="3" t="s">
        <v>45</v>
      </c>
      <c r="AB47" s="3" t="s">
        <v>45</v>
      </c>
      <c r="AC47" s="3" t="s">
        <v>45</v>
      </c>
      <c r="AD47" s="3" t="s">
        <v>45</v>
      </c>
      <c r="AE47" s="3" t="s">
        <v>45</v>
      </c>
      <c r="AF47" s="3" t="s">
        <v>45</v>
      </c>
      <c r="AG47" s="3" t="s">
        <v>45</v>
      </c>
      <c r="AH47" s="3" t="s">
        <v>57</v>
      </c>
      <c r="AI47" s="5" t="s">
        <v>599</v>
      </c>
      <c r="AJ47" s="5" t="s">
        <v>600</v>
      </c>
      <c r="AK47" s="5" t="s">
        <v>601</v>
      </c>
      <c r="AL47" s="5" t="s">
        <v>602</v>
      </c>
      <c r="AM47" s="3" t="s">
        <v>45</v>
      </c>
      <c r="AN47" s="3" t="s">
        <v>45</v>
      </c>
      <c r="AO47" s="3" t="s">
        <v>45</v>
      </c>
      <c r="AP47" s="3" t="s">
        <v>45</v>
      </c>
      <c r="AQ47" s="4" t="s">
        <v>603</v>
      </c>
      <c r="AR47" s="4" t="s">
        <v>296</v>
      </c>
    </row>
    <row r="48">
      <c r="A48" s="3" t="s">
        <v>604</v>
      </c>
      <c r="B48" s="3" t="s">
        <v>605</v>
      </c>
      <c r="C48" s="3" t="s">
        <v>606</v>
      </c>
      <c r="D48" s="3" t="s">
        <v>369</v>
      </c>
      <c r="E48" s="4" t="s">
        <v>607</v>
      </c>
      <c r="F48" s="3" t="s">
        <v>371</v>
      </c>
      <c r="G48" s="4" t="s">
        <v>608</v>
      </c>
      <c r="H48" s="4" t="s">
        <v>609</v>
      </c>
      <c r="I48" s="3" t="s">
        <v>218</v>
      </c>
      <c r="J48" s="3" t="s">
        <v>126</v>
      </c>
      <c r="K48" s="3" t="s">
        <v>45</v>
      </c>
      <c r="L48" s="3" t="s">
        <v>610</v>
      </c>
      <c r="M48" s="3" t="s">
        <v>45</v>
      </c>
      <c r="N48" s="4" t="s">
        <v>499</v>
      </c>
      <c r="O48" s="3" t="s">
        <v>88</v>
      </c>
      <c r="P48" s="3" t="s">
        <v>45</v>
      </c>
      <c r="Q48" s="3" t="s">
        <v>45</v>
      </c>
      <c r="R48" s="3" t="s">
        <v>45</v>
      </c>
      <c r="S48" s="4" t="s">
        <v>582</v>
      </c>
      <c r="T48" s="3" t="s">
        <v>45</v>
      </c>
      <c r="U48" s="3" t="s">
        <v>45</v>
      </c>
      <c r="V48" s="4" t="s">
        <v>611</v>
      </c>
      <c r="W48" s="4" t="s">
        <v>612</v>
      </c>
      <c r="X48" s="3" t="s">
        <v>613</v>
      </c>
      <c r="Y48" s="3" t="s">
        <v>45</v>
      </c>
      <c r="Z48" s="3" t="s">
        <v>74</v>
      </c>
      <c r="AA48" s="3" t="s">
        <v>45</v>
      </c>
      <c r="AB48" s="3" t="s">
        <v>45</v>
      </c>
      <c r="AC48" s="3" t="s">
        <v>45</v>
      </c>
      <c r="AD48" s="3" t="s">
        <v>45</v>
      </c>
      <c r="AE48" s="3" t="s">
        <v>45</v>
      </c>
      <c r="AF48" s="3" t="s">
        <v>45</v>
      </c>
      <c r="AG48" s="3" t="s">
        <v>45</v>
      </c>
      <c r="AH48" s="3" t="s">
        <v>57</v>
      </c>
      <c r="AI48" s="5" t="s">
        <v>614</v>
      </c>
      <c r="AJ48" s="5" t="s">
        <v>615</v>
      </c>
      <c r="AK48" s="3" t="s">
        <v>45</v>
      </c>
      <c r="AL48" s="3" t="s">
        <v>45</v>
      </c>
      <c r="AM48" s="3" t="s">
        <v>45</v>
      </c>
      <c r="AN48" s="3" t="s">
        <v>45</v>
      </c>
      <c r="AO48" s="3" t="s">
        <v>45</v>
      </c>
      <c r="AP48" s="3" t="s">
        <v>45</v>
      </c>
      <c r="AQ48" s="4" t="s">
        <v>393</v>
      </c>
      <c r="AR48" s="4" t="s">
        <v>339</v>
      </c>
    </row>
    <row r="49">
      <c r="A49" s="3" t="s">
        <v>616</v>
      </c>
      <c r="B49" s="3" t="s">
        <v>617</v>
      </c>
      <c r="C49" s="3" t="s">
        <v>618</v>
      </c>
      <c r="D49" s="3" t="s">
        <v>369</v>
      </c>
      <c r="E49" s="4" t="s">
        <v>619</v>
      </c>
      <c r="F49" s="3" t="s">
        <v>371</v>
      </c>
      <c r="G49" s="4" t="s">
        <v>620</v>
      </c>
      <c r="H49" s="4" t="s">
        <v>621</v>
      </c>
      <c r="I49" s="3" t="s">
        <v>49</v>
      </c>
      <c r="J49" s="3" t="s">
        <v>126</v>
      </c>
      <c r="K49" s="3" t="s">
        <v>45</v>
      </c>
      <c r="L49" s="3" t="s">
        <v>45</v>
      </c>
      <c r="M49" s="3" t="s">
        <v>45</v>
      </c>
      <c r="N49" s="4" t="s">
        <v>622</v>
      </c>
      <c r="O49" s="3" t="s">
        <v>70</v>
      </c>
      <c r="P49" s="3" t="s">
        <v>45</v>
      </c>
      <c r="Q49" s="3" t="s">
        <v>45</v>
      </c>
      <c r="R49" s="3" t="s">
        <v>45</v>
      </c>
      <c r="S49" s="3" t="s">
        <v>45</v>
      </c>
      <c r="T49" s="3" t="s">
        <v>45</v>
      </c>
      <c r="U49" s="3" t="s">
        <v>45</v>
      </c>
      <c r="V49" s="3" t="s">
        <v>45</v>
      </c>
      <c r="W49" s="4" t="s">
        <v>623</v>
      </c>
      <c r="X49" s="3" t="s">
        <v>624</v>
      </c>
      <c r="Y49" s="3" t="s">
        <v>45</v>
      </c>
      <c r="Z49" s="3" t="s">
        <v>74</v>
      </c>
      <c r="AA49" s="3" t="s">
        <v>45</v>
      </c>
      <c r="AB49" s="3" t="s">
        <v>45</v>
      </c>
      <c r="AC49" s="3" t="s">
        <v>45</v>
      </c>
      <c r="AD49" s="3" t="s">
        <v>45</v>
      </c>
      <c r="AE49" s="3" t="s">
        <v>45</v>
      </c>
      <c r="AF49" s="3" t="s">
        <v>45</v>
      </c>
      <c r="AG49" s="3" t="s">
        <v>45</v>
      </c>
      <c r="AH49" s="3" t="s">
        <v>57</v>
      </c>
      <c r="AI49" s="5" t="s">
        <v>625</v>
      </c>
      <c r="AJ49" s="5" t="s">
        <v>626</v>
      </c>
      <c r="AK49" s="3" t="s">
        <v>45</v>
      </c>
      <c r="AL49" s="3" t="s">
        <v>45</v>
      </c>
      <c r="AM49" s="3" t="s">
        <v>45</v>
      </c>
      <c r="AN49" s="3" t="s">
        <v>45</v>
      </c>
      <c r="AO49" s="3" t="s">
        <v>45</v>
      </c>
      <c r="AP49" s="3" t="s">
        <v>45</v>
      </c>
      <c r="AQ49" s="4" t="s">
        <v>627</v>
      </c>
      <c r="AR49" s="4" t="s">
        <v>627</v>
      </c>
    </row>
    <row r="50">
      <c r="A50" s="3" t="s">
        <v>628</v>
      </c>
      <c r="B50" s="3" t="s">
        <v>45</v>
      </c>
      <c r="C50" s="3" t="s">
        <v>629</v>
      </c>
      <c r="D50" s="3" t="s">
        <v>369</v>
      </c>
      <c r="E50" s="4" t="s">
        <v>630</v>
      </c>
      <c r="F50" s="3" t="s">
        <v>444</v>
      </c>
      <c r="G50" s="4" t="s">
        <v>631</v>
      </c>
      <c r="H50" s="4" t="s">
        <v>632</v>
      </c>
      <c r="I50" s="3" t="s">
        <v>49</v>
      </c>
      <c r="J50" s="3" t="s">
        <v>50</v>
      </c>
      <c r="K50" s="3" t="s">
        <v>45</v>
      </c>
      <c r="L50" s="3" t="s">
        <v>45</v>
      </c>
      <c r="M50" s="3" t="s">
        <v>45</v>
      </c>
      <c r="N50" s="3" t="s">
        <v>45</v>
      </c>
      <c r="O50" s="3" t="s">
        <v>74</v>
      </c>
      <c r="P50" s="3" t="s">
        <v>45</v>
      </c>
      <c r="Q50" s="3" t="s">
        <v>633</v>
      </c>
      <c r="R50" s="3" t="s">
        <v>45</v>
      </c>
      <c r="S50" s="3" t="s">
        <v>45</v>
      </c>
      <c r="T50" s="3" t="s">
        <v>45</v>
      </c>
      <c r="U50" s="3" t="s">
        <v>45</v>
      </c>
      <c r="V50" s="3" t="s">
        <v>45</v>
      </c>
      <c r="W50" s="4" t="s">
        <v>156</v>
      </c>
      <c r="X50" s="3" t="s">
        <v>45</v>
      </c>
      <c r="Y50" s="3" t="s">
        <v>45</v>
      </c>
      <c r="Z50" s="3" t="s">
        <v>74</v>
      </c>
      <c r="AA50" s="3" t="s">
        <v>45</v>
      </c>
      <c r="AB50" s="3" t="s">
        <v>45</v>
      </c>
      <c r="AC50" s="3" t="s">
        <v>45</v>
      </c>
      <c r="AD50" s="3" t="s">
        <v>45</v>
      </c>
      <c r="AE50" s="3" t="s">
        <v>45</v>
      </c>
      <c r="AF50" s="3" t="s">
        <v>45</v>
      </c>
      <c r="AG50" s="3" t="s">
        <v>45</v>
      </c>
      <c r="AH50" s="3" t="s">
        <v>57</v>
      </c>
      <c r="AI50" s="5" t="s">
        <v>634</v>
      </c>
      <c r="AJ50" s="5" t="s">
        <v>635</v>
      </c>
      <c r="AK50" s="3" t="s">
        <v>45</v>
      </c>
      <c r="AL50" s="3" t="s">
        <v>45</v>
      </c>
      <c r="AM50" s="3" t="s">
        <v>45</v>
      </c>
      <c r="AN50" s="3" t="s">
        <v>45</v>
      </c>
      <c r="AO50" s="3" t="s">
        <v>45</v>
      </c>
      <c r="AP50" s="3" t="s">
        <v>45</v>
      </c>
      <c r="AQ50" s="4" t="s">
        <v>636</v>
      </c>
      <c r="AR50" s="4" t="s">
        <v>636</v>
      </c>
    </row>
    <row r="51">
      <c r="A51" s="3" t="s">
        <v>637</v>
      </c>
      <c r="B51" s="3" t="s">
        <v>638</v>
      </c>
      <c r="C51" s="3" t="s">
        <v>629</v>
      </c>
      <c r="D51" s="3" t="s">
        <v>369</v>
      </c>
      <c r="E51" s="4" t="s">
        <v>639</v>
      </c>
      <c r="F51" s="3" t="s">
        <v>444</v>
      </c>
      <c r="G51" s="4" t="s">
        <v>640</v>
      </c>
      <c r="H51" s="4" t="s">
        <v>641</v>
      </c>
      <c r="I51" s="3" t="s">
        <v>218</v>
      </c>
      <c r="J51" s="3" t="s">
        <v>126</v>
      </c>
      <c r="K51" s="3" t="s">
        <v>45</v>
      </c>
      <c r="L51" s="3" t="s">
        <v>447</v>
      </c>
      <c r="M51" s="3" t="s">
        <v>45</v>
      </c>
      <c r="N51" s="3" t="s">
        <v>45</v>
      </c>
      <c r="O51" s="3" t="s">
        <v>74</v>
      </c>
      <c r="P51" s="3" t="s">
        <v>45</v>
      </c>
      <c r="Q51" s="3" t="s">
        <v>45</v>
      </c>
      <c r="R51" s="3" t="s">
        <v>45</v>
      </c>
      <c r="S51" s="3" t="s">
        <v>45</v>
      </c>
      <c r="T51" s="3" t="s">
        <v>89</v>
      </c>
      <c r="U51" s="3" t="s">
        <v>221</v>
      </c>
      <c r="V51" s="3" t="s">
        <v>45</v>
      </c>
      <c r="W51" s="4" t="s">
        <v>642</v>
      </c>
      <c r="X51" s="3" t="s">
        <v>643</v>
      </c>
      <c r="Y51" s="3" t="s">
        <v>45</v>
      </c>
      <c r="Z51" s="3" t="s">
        <v>55</v>
      </c>
      <c r="AA51" s="3" t="s">
        <v>45</v>
      </c>
      <c r="AB51" s="3" t="s">
        <v>45</v>
      </c>
      <c r="AC51" s="3" t="s">
        <v>45</v>
      </c>
      <c r="AD51" s="3" t="s">
        <v>45</v>
      </c>
      <c r="AE51" s="3" t="s">
        <v>45</v>
      </c>
      <c r="AF51" s="3" t="s">
        <v>45</v>
      </c>
      <c r="AG51" s="3" t="s">
        <v>644</v>
      </c>
      <c r="AH51" s="3" t="s">
        <v>57</v>
      </c>
      <c r="AI51" s="5" t="s">
        <v>645</v>
      </c>
      <c r="AJ51" s="5" t="s">
        <v>646</v>
      </c>
      <c r="AK51" s="5" t="s">
        <v>647</v>
      </c>
      <c r="AL51" s="5" t="s">
        <v>648</v>
      </c>
      <c r="AM51" s="5" t="s">
        <v>649</v>
      </c>
      <c r="AN51" s="5" t="s">
        <v>650</v>
      </c>
      <c r="AO51" s="3" t="s">
        <v>45</v>
      </c>
      <c r="AP51" s="3" t="s">
        <v>45</v>
      </c>
      <c r="AQ51" s="4" t="s">
        <v>651</v>
      </c>
      <c r="AR51" s="4" t="s">
        <v>652</v>
      </c>
    </row>
    <row r="52">
      <c r="A52" s="3" t="s">
        <v>653</v>
      </c>
      <c r="B52" s="3" t="s">
        <v>654</v>
      </c>
      <c r="C52" s="3" t="s">
        <v>655</v>
      </c>
      <c r="D52" s="3" t="s">
        <v>369</v>
      </c>
      <c r="E52" s="4" t="s">
        <v>656</v>
      </c>
      <c r="F52" s="3" t="s">
        <v>371</v>
      </c>
      <c r="G52" s="4" t="s">
        <v>657</v>
      </c>
      <c r="H52" s="4" t="s">
        <v>658</v>
      </c>
      <c r="I52" s="3" t="s">
        <v>218</v>
      </c>
      <c r="J52" s="3" t="s">
        <v>126</v>
      </c>
      <c r="K52" s="3" t="s">
        <v>45</v>
      </c>
      <c r="L52" s="3" t="s">
        <v>659</v>
      </c>
      <c r="M52" s="3" t="s">
        <v>45</v>
      </c>
      <c r="N52" s="3" t="s">
        <v>45</v>
      </c>
      <c r="O52" s="3" t="s">
        <v>88</v>
      </c>
      <c r="P52" s="3" t="s">
        <v>45</v>
      </c>
      <c r="Q52" s="3" t="s">
        <v>45</v>
      </c>
      <c r="R52" s="3" t="s">
        <v>45</v>
      </c>
      <c r="S52" s="3" t="s">
        <v>45</v>
      </c>
      <c r="T52" s="3" t="s">
        <v>45</v>
      </c>
      <c r="U52" s="3" t="s">
        <v>45</v>
      </c>
      <c r="V52" s="4" t="s">
        <v>106</v>
      </c>
      <c r="W52" s="4" t="s">
        <v>90</v>
      </c>
      <c r="X52" s="3" t="s">
        <v>45</v>
      </c>
      <c r="Y52" s="3" t="s">
        <v>45</v>
      </c>
      <c r="Z52" s="3" t="s">
        <v>74</v>
      </c>
      <c r="AA52" s="3" t="s">
        <v>45</v>
      </c>
      <c r="AB52" s="3" t="s">
        <v>45</v>
      </c>
      <c r="AC52" s="3" t="s">
        <v>45</v>
      </c>
      <c r="AD52" s="3" t="s">
        <v>45</v>
      </c>
      <c r="AE52" s="3" t="s">
        <v>45</v>
      </c>
      <c r="AF52" s="3" t="s">
        <v>45</v>
      </c>
      <c r="AG52" s="3" t="s">
        <v>45</v>
      </c>
      <c r="AH52" s="3" t="s">
        <v>57</v>
      </c>
      <c r="AI52" s="5" t="s">
        <v>660</v>
      </c>
      <c r="AJ52" s="3" t="s">
        <v>45</v>
      </c>
      <c r="AK52" s="3" t="s">
        <v>45</v>
      </c>
      <c r="AL52" s="3" t="s">
        <v>45</v>
      </c>
      <c r="AM52" s="3" t="s">
        <v>45</v>
      </c>
      <c r="AN52" s="3" t="s">
        <v>45</v>
      </c>
      <c r="AO52" s="3" t="s">
        <v>45</v>
      </c>
      <c r="AP52" s="3" t="s">
        <v>45</v>
      </c>
      <c r="AQ52" s="4" t="s">
        <v>661</v>
      </c>
      <c r="AR52" s="4" t="s">
        <v>296</v>
      </c>
    </row>
    <row r="53">
      <c r="A53" s="3" t="s">
        <v>662</v>
      </c>
      <c r="B53" s="3" t="s">
        <v>663</v>
      </c>
      <c r="C53" s="3" t="s">
        <v>655</v>
      </c>
      <c r="D53" s="3" t="s">
        <v>369</v>
      </c>
      <c r="E53" s="4" t="s">
        <v>656</v>
      </c>
      <c r="F53" s="3" t="s">
        <v>371</v>
      </c>
      <c r="G53" s="4" t="s">
        <v>664</v>
      </c>
      <c r="H53" s="4" t="s">
        <v>665</v>
      </c>
      <c r="I53" s="3" t="s">
        <v>49</v>
      </c>
      <c r="J53" s="3" t="s">
        <v>126</v>
      </c>
      <c r="K53" s="3" t="s">
        <v>45</v>
      </c>
      <c r="L53" s="3" t="s">
        <v>666</v>
      </c>
      <c r="M53" s="3" t="s">
        <v>45</v>
      </c>
      <c r="N53" s="4" t="s">
        <v>667</v>
      </c>
      <c r="O53" s="3" t="s">
        <v>88</v>
      </c>
      <c r="P53" s="3" t="s">
        <v>45</v>
      </c>
      <c r="Q53" s="3" t="s">
        <v>55</v>
      </c>
      <c r="R53" s="3" t="s">
        <v>45</v>
      </c>
      <c r="S53" s="4" t="s">
        <v>233</v>
      </c>
      <c r="T53" s="3" t="s">
        <v>45</v>
      </c>
      <c r="U53" s="3" t="s">
        <v>45</v>
      </c>
      <c r="V53" s="4" t="s">
        <v>420</v>
      </c>
      <c r="W53" s="4" t="s">
        <v>668</v>
      </c>
      <c r="X53" s="3" t="s">
        <v>45</v>
      </c>
      <c r="Y53" s="4" t="s">
        <v>73</v>
      </c>
      <c r="Z53" s="3" t="s">
        <v>55</v>
      </c>
      <c r="AA53" s="3" t="s">
        <v>45</v>
      </c>
      <c r="AB53" s="3" t="s">
        <v>109</v>
      </c>
      <c r="AC53" s="3" t="s">
        <v>45</v>
      </c>
      <c r="AD53" s="5" t="s">
        <v>669</v>
      </c>
      <c r="AE53" s="3" t="s">
        <v>45</v>
      </c>
      <c r="AF53" s="3" t="s">
        <v>45</v>
      </c>
      <c r="AG53" s="3" t="s">
        <v>45</v>
      </c>
      <c r="AH53" s="3" t="s">
        <v>57</v>
      </c>
      <c r="AI53" s="5" t="s">
        <v>503</v>
      </c>
      <c r="AJ53" s="5" t="s">
        <v>670</v>
      </c>
      <c r="AK53" s="3" t="s">
        <v>45</v>
      </c>
      <c r="AL53" s="3" t="s">
        <v>45</v>
      </c>
      <c r="AM53" s="3" t="s">
        <v>45</v>
      </c>
      <c r="AN53" s="3" t="s">
        <v>45</v>
      </c>
      <c r="AO53" s="3" t="s">
        <v>45</v>
      </c>
      <c r="AP53" s="3" t="s">
        <v>45</v>
      </c>
      <c r="AQ53" s="4" t="s">
        <v>671</v>
      </c>
      <c r="AR53" s="4" t="s">
        <v>474</v>
      </c>
    </row>
    <row r="54">
      <c r="A54" s="3" t="s">
        <v>672</v>
      </c>
      <c r="B54" s="3" t="s">
        <v>673</v>
      </c>
      <c r="C54" s="3" t="s">
        <v>674</v>
      </c>
      <c r="D54" s="3" t="s">
        <v>675</v>
      </c>
      <c r="E54" s="4" t="s">
        <v>676</v>
      </c>
      <c r="F54" s="3" t="s">
        <v>677</v>
      </c>
      <c r="G54" s="4" t="s">
        <v>678</v>
      </c>
      <c r="H54" s="4" t="s">
        <v>679</v>
      </c>
      <c r="I54" s="3" t="s">
        <v>49</v>
      </c>
      <c r="J54" s="3" t="s">
        <v>50</v>
      </c>
      <c r="K54" s="3" t="s">
        <v>45</v>
      </c>
      <c r="L54" s="3" t="s">
        <v>45</v>
      </c>
      <c r="M54" s="3" t="s">
        <v>45</v>
      </c>
      <c r="N54" s="3" t="s">
        <v>45</v>
      </c>
      <c r="O54" s="3" t="s">
        <v>74</v>
      </c>
      <c r="P54" s="3" t="s">
        <v>45</v>
      </c>
      <c r="Q54" s="3" t="s">
        <v>45</v>
      </c>
      <c r="R54" s="3" t="s">
        <v>45</v>
      </c>
      <c r="S54" s="3" t="s">
        <v>45</v>
      </c>
      <c r="T54" s="3" t="s">
        <v>45</v>
      </c>
      <c r="U54" s="3" t="s">
        <v>45</v>
      </c>
      <c r="V54" s="4" t="s">
        <v>680</v>
      </c>
      <c r="W54" s="4" t="s">
        <v>681</v>
      </c>
      <c r="X54" s="3" t="s">
        <v>45</v>
      </c>
      <c r="Y54" s="3" t="s">
        <v>45</v>
      </c>
      <c r="Z54" s="3" t="s">
        <v>74</v>
      </c>
      <c r="AA54" s="3" t="s">
        <v>45</v>
      </c>
      <c r="AB54" s="3" t="s">
        <v>45</v>
      </c>
      <c r="AC54" s="3" t="s">
        <v>45</v>
      </c>
      <c r="AD54" s="3" t="s">
        <v>45</v>
      </c>
      <c r="AE54" s="3" t="s">
        <v>45</v>
      </c>
      <c r="AF54" s="3" t="s">
        <v>45</v>
      </c>
      <c r="AG54" s="3" t="s">
        <v>45</v>
      </c>
      <c r="AH54" s="3" t="s">
        <v>57</v>
      </c>
      <c r="AI54" s="5" t="s">
        <v>682</v>
      </c>
      <c r="AJ54" s="3" t="s">
        <v>45</v>
      </c>
      <c r="AK54" s="3" t="s">
        <v>45</v>
      </c>
      <c r="AL54" s="3" t="s">
        <v>45</v>
      </c>
      <c r="AM54" s="3" t="s">
        <v>45</v>
      </c>
      <c r="AN54" s="3" t="s">
        <v>45</v>
      </c>
      <c r="AO54" s="3" t="s">
        <v>45</v>
      </c>
      <c r="AP54" s="3" t="s">
        <v>45</v>
      </c>
      <c r="AQ54" s="4" t="s">
        <v>683</v>
      </c>
      <c r="AR54" s="4" t="s">
        <v>683</v>
      </c>
    </row>
    <row r="55">
      <c r="A55" s="3" t="s">
        <v>684</v>
      </c>
      <c r="B55" s="3" t="s">
        <v>685</v>
      </c>
      <c r="C55" s="3" t="s">
        <v>686</v>
      </c>
      <c r="D55" s="3" t="s">
        <v>675</v>
      </c>
      <c r="E55" s="4" t="s">
        <v>687</v>
      </c>
      <c r="F55" s="3" t="s">
        <v>688</v>
      </c>
      <c r="G55" s="4" t="s">
        <v>689</v>
      </c>
      <c r="H55" s="4" t="s">
        <v>690</v>
      </c>
      <c r="I55" s="3" t="s">
        <v>49</v>
      </c>
      <c r="J55" s="3" t="s">
        <v>126</v>
      </c>
      <c r="K55" s="3" t="s">
        <v>45</v>
      </c>
      <c r="L55" s="3" t="s">
        <v>45</v>
      </c>
      <c r="M55" s="3" t="s">
        <v>45</v>
      </c>
      <c r="N55" s="3" t="s">
        <v>691</v>
      </c>
      <c r="O55" s="3" t="s">
        <v>88</v>
      </c>
      <c r="P55" s="3" t="s">
        <v>45</v>
      </c>
      <c r="Q55" s="3" t="s">
        <v>45</v>
      </c>
      <c r="R55" s="3" t="s">
        <v>45</v>
      </c>
      <c r="S55" s="4" t="s">
        <v>275</v>
      </c>
      <c r="T55" s="3" t="s">
        <v>45</v>
      </c>
      <c r="U55" s="3" t="s">
        <v>45</v>
      </c>
      <c r="V55" s="3" t="s">
        <v>45</v>
      </c>
      <c r="W55" s="4" t="s">
        <v>499</v>
      </c>
      <c r="X55" s="3" t="s">
        <v>45</v>
      </c>
      <c r="Y55" s="3" t="s">
        <v>45</v>
      </c>
      <c r="Z55" s="3" t="s">
        <v>55</v>
      </c>
      <c r="AA55" s="3" t="s">
        <v>45</v>
      </c>
      <c r="AB55" s="3" t="s">
        <v>109</v>
      </c>
      <c r="AC55" s="3" t="s">
        <v>45</v>
      </c>
      <c r="AD55" s="3" t="s">
        <v>45</v>
      </c>
      <c r="AE55" s="3" t="s">
        <v>45</v>
      </c>
      <c r="AF55" s="5" t="s">
        <v>692</v>
      </c>
      <c r="AG55" s="3" t="s">
        <v>45</v>
      </c>
      <c r="AH55" s="3" t="s">
        <v>57</v>
      </c>
      <c r="AI55" s="5" t="s">
        <v>693</v>
      </c>
      <c r="AJ55" s="5" t="s">
        <v>694</v>
      </c>
      <c r="AK55" s="3" t="s">
        <v>45</v>
      </c>
      <c r="AL55" s="3" t="s">
        <v>45</v>
      </c>
      <c r="AM55" s="3" t="s">
        <v>45</v>
      </c>
      <c r="AN55" s="3" t="s">
        <v>45</v>
      </c>
      <c r="AO55" s="3" t="s">
        <v>45</v>
      </c>
      <c r="AP55" s="3" t="s">
        <v>45</v>
      </c>
      <c r="AQ55" s="4" t="s">
        <v>474</v>
      </c>
      <c r="AR55" s="4" t="s">
        <v>695</v>
      </c>
    </row>
    <row r="56">
      <c r="A56" s="3" t="s">
        <v>696</v>
      </c>
      <c r="B56" s="3" t="s">
        <v>45</v>
      </c>
      <c r="C56" s="3" t="s">
        <v>697</v>
      </c>
      <c r="D56" s="3" t="s">
        <v>675</v>
      </c>
      <c r="E56" s="4" t="s">
        <v>698</v>
      </c>
      <c r="F56" s="3" t="s">
        <v>699</v>
      </c>
      <c r="G56" s="4" t="s">
        <v>700</v>
      </c>
      <c r="H56" s="4" t="s">
        <v>701</v>
      </c>
      <c r="I56" s="3" t="s">
        <v>49</v>
      </c>
      <c r="J56" s="3" t="s">
        <v>50</v>
      </c>
      <c r="K56" s="3" t="s">
        <v>45</v>
      </c>
      <c r="L56" s="3" t="s">
        <v>45</v>
      </c>
      <c r="M56" s="3" t="s">
        <v>45</v>
      </c>
      <c r="N56" s="3" t="s">
        <v>45</v>
      </c>
      <c r="O56" s="3" t="s">
        <v>74</v>
      </c>
      <c r="P56" s="3" t="s">
        <v>45</v>
      </c>
      <c r="Q56" s="3" t="s">
        <v>45</v>
      </c>
      <c r="R56" s="3" t="s">
        <v>45</v>
      </c>
      <c r="S56" s="3" t="s">
        <v>45</v>
      </c>
      <c r="T56" s="3" t="s">
        <v>45</v>
      </c>
      <c r="U56" s="3" t="s">
        <v>45</v>
      </c>
      <c r="V56" s="3" t="s">
        <v>45</v>
      </c>
      <c r="W56" s="3" t="s">
        <v>45</v>
      </c>
      <c r="X56" s="3" t="s">
        <v>45</v>
      </c>
      <c r="Y56" s="3" t="s">
        <v>45</v>
      </c>
      <c r="Z56" s="3" t="s">
        <v>74</v>
      </c>
      <c r="AA56" s="3" t="s">
        <v>45</v>
      </c>
      <c r="AB56" s="3" t="s">
        <v>45</v>
      </c>
      <c r="AC56" s="3" t="s">
        <v>45</v>
      </c>
      <c r="AD56" s="3" t="s">
        <v>45</v>
      </c>
      <c r="AE56" s="3" t="s">
        <v>45</v>
      </c>
      <c r="AF56" s="3" t="s">
        <v>45</v>
      </c>
      <c r="AG56" s="3" t="s">
        <v>45</v>
      </c>
      <c r="AH56" s="3" t="s">
        <v>57</v>
      </c>
      <c r="AI56" s="5" t="s">
        <v>634</v>
      </c>
      <c r="AJ56" s="3" t="s">
        <v>45</v>
      </c>
      <c r="AK56" s="3" t="s">
        <v>45</v>
      </c>
      <c r="AL56" s="3" t="s">
        <v>45</v>
      </c>
      <c r="AM56" s="3" t="s">
        <v>45</v>
      </c>
      <c r="AN56" s="3" t="s">
        <v>45</v>
      </c>
      <c r="AO56" s="3" t="s">
        <v>45</v>
      </c>
      <c r="AP56" s="3" t="s">
        <v>45</v>
      </c>
      <c r="AQ56" s="4" t="s">
        <v>636</v>
      </c>
      <c r="AR56" s="4" t="s">
        <v>636</v>
      </c>
    </row>
    <row r="57">
      <c r="A57" s="3" t="s">
        <v>702</v>
      </c>
      <c r="B57" s="3" t="s">
        <v>703</v>
      </c>
      <c r="C57" s="3" t="s">
        <v>704</v>
      </c>
      <c r="D57" s="3" t="s">
        <v>675</v>
      </c>
      <c r="E57" s="4" t="s">
        <v>705</v>
      </c>
      <c r="F57" s="3" t="s">
        <v>706</v>
      </c>
      <c r="G57" s="4" t="s">
        <v>707</v>
      </c>
      <c r="H57" s="4" t="s">
        <v>708</v>
      </c>
      <c r="I57" s="3" t="s">
        <v>436</v>
      </c>
      <c r="J57" s="3" t="s">
        <v>45</v>
      </c>
      <c r="K57" s="3" t="s">
        <v>45</v>
      </c>
      <c r="L57" s="3" t="s">
        <v>45</v>
      </c>
      <c r="M57" s="3" t="s">
        <v>45</v>
      </c>
      <c r="N57" s="4" t="s">
        <v>709</v>
      </c>
      <c r="O57" s="3" t="s">
        <v>390</v>
      </c>
      <c r="P57" s="3" t="s">
        <v>220</v>
      </c>
      <c r="Q57" s="3" t="s">
        <v>45</v>
      </c>
      <c r="R57" s="3" t="s">
        <v>45</v>
      </c>
      <c r="S57" s="3" t="s">
        <v>45</v>
      </c>
      <c r="T57" s="3" t="s">
        <v>45</v>
      </c>
      <c r="U57" s="3" t="s">
        <v>45</v>
      </c>
      <c r="V57" s="4" t="s">
        <v>710</v>
      </c>
      <c r="W57" s="3" t="s">
        <v>45</v>
      </c>
      <c r="X57" s="3" t="s">
        <v>45</v>
      </c>
      <c r="Y57" s="3" t="s">
        <v>45</v>
      </c>
      <c r="Z57" s="3" t="s">
        <v>55</v>
      </c>
      <c r="AA57" s="3" t="s">
        <v>45</v>
      </c>
      <c r="AB57" s="3" t="s">
        <v>109</v>
      </c>
      <c r="AC57" s="3" t="s">
        <v>45</v>
      </c>
      <c r="AD57" s="3" t="s">
        <v>45</v>
      </c>
      <c r="AE57" s="3" t="s">
        <v>45</v>
      </c>
      <c r="AF57" s="3" t="s">
        <v>45</v>
      </c>
      <c r="AG57" s="3" t="s">
        <v>45</v>
      </c>
      <c r="AH57" s="3" t="s">
        <v>57</v>
      </c>
      <c r="AI57" s="5" t="s">
        <v>711</v>
      </c>
      <c r="AJ57" s="3" t="s">
        <v>45</v>
      </c>
      <c r="AK57" s="3" t="s">
        <v>45</v>
      </c>
      <c r="AL57" s="3" t="s">
        <v>45</v>
      </c>
      <c r="AM57" s="3" t="s">
        <v>45</v>
      </c>
      <c r="AN57" s="3" t="s">
        <v>45</v>
      </c>
      <c r="AO57" s="3" t="s">
        <v>45</v>
      </c>
      <c r="AP57" s="3" t="s">
        <v>45</v>
      </c>
      <c r="AQ57" s="4" t="s">
        <v>712</v>
      </c>
      <c r="AR57" s="4" t="s">
        <v>712</v>
      </c>
    </row>
    <row r="58">
      <c r="A58" s="3" t="s">
        <v>713</v>
      </c>
      <c r="B58" s="3" t="s">
        <v>714</v>
      </c>
      <c r="C58" s="3" t="s">
        <v>715</v>
      </c>
      <c r="D58" s="3" t="s">
        <v>675</v>
      </c>
      <c r="E58" s="4" t="s">
        <v>716</v>
      </c>
      <c r="F58" s="3" t="s">
        <v>717</v>
      </c>
      <c r="G58" s="4" t="s">
        <v>718</v>
      </c>
      <c r="H58" s="4" t="s">
        <v>719</v>
      </c>
      <c r="I58" s="3" t="s">
        <v>218</v>
      </c>
      <c r="J58" s="3" t="s">
        <v>126</v>
      </c>
      <c r="K58" s="3" t="s">
        <v>720</v>
      </c>
      <c r="L58" s="3" t="s">
        <v>479</v>
      </c>
      <c r="M58" s="3" t="s">
        <v>45</v>
      </c>
      <c r="N58" s="3" t="s">
        <v>721</v>
      </c>
      <c r="O58" s="3" t="s">
        <v>722</v>
      </c>
      <c r="P58" s="3" t="s">
        <v>71</v>
      </c>
      <c r="Q58" s="3" t="s">
        <v>45</v>
      </c>
      <c r="R58" s="3" t="s">
        <v>723</v>
      </c>
      <c r="S58" s="4" t="s">
        <v>233</v>
      </c>
      <c r="T58" s="3" t="s">
        <v>724</v>
      </c>
      <c r="U58" s="3" t="s">
        <v>45</v>
      </c>
      <c r="V58" s="4" t="s">
        <v>725</v>
      </c>
      <c r="W58" s="4" t="s">
        <v>726</v>
      </c>
      <c r="X58" s="3" t="s">
        <v>45</v>
      </c>
      <c r="Y58" s="4" t="s">
        <v>727</v>
      </c>
      <c r="Z58" s="3" t="s">
        <v>55</v>
      </c>
      <c r="AA58" s="3" t="s">
        <v>728</v>
      </c>
      <c r="AB58" s="3" t="s">
        <v>109</v>
      </c>
      <c r="AC58" s="3" t="s">
        <v>45</v>
      </c>
      <c r="AD58" s="5" t="s">
        <v>729</v>
      </c>
      <c r="AE58" s="5" t="s">
        <v>730</v>
      </c>
      <c r="AF58" s="5" t="s">
        <v>731</v>
      </c>
      <c r="AG58" s="3" t="s">
        <v>732</v>
      </c>
      <c r="AH58" s="3" t="s">
        <v>57</v>
      </c>
      <c r="AI58" s="5" t="s">
        <v>733</v>
      </c>
      <c r="AJ58" s="5" t="s">
        <v>734</v>
      </c>
      <c r="AK58" s="5" t="s">
        <v>735</v>
      </c>
      <c r="AL58" s="3" t="s">
        <v>45</v>
      </c>
      <c r="AM58" s="3" t="s">
        <v>45</v>
      </c>
      <c r="AN58" s="3" t="s">
        <v>45</v>
      </c>
      <c r="AO58" s="3" t="s">
        <v>45</v>
      </c>
      <c r="AP58" s="3" t="s">
        <v>45</v>
      </c>
      <c r="AQ58" s="4" t="s">
        <v>736</v>
      </c>
      <c r="AR58" s="4" t="s">
        <v>380</v>
      </c>
    </row>
    <row r="59">
      <c r="A59" s="3" t="s">
        <v>737</v>
      </c>
      <c r="B59" s="3" t="s">
        <v>738</v>
      </c>
      <c r="C59" s="3" t="s">
        <v>739</v>
      </c>
      <c r="D59" s="3" t="s">
        <v>675</v>
      </c>
      <c r="E59" s="4" t="s">
        <v>740</v>
      </c>
      <c r="F59" s="3" t="s">
        <v>739</v>
      </c>
      <c r="G59" s="4" t="s">
        <v>741</v>
      </c>
      <c r="H59" s="4" t="s">
        <v>742</v>
      </c>
      <c r="I59" s="3" t="s">
        <v>218</v>
      </c>
      <c r="J59" s="3" t="s">
        <v>126</v>
      </c>
      <c r="K59" s="3" t="s">
        <v>743</v>
      </c>
      <c r="L59" s="3" t="s">
        <v>744</v>
      </c>
      <c r="M59" s="3" t="s">
        <v>45</v>
      </c>
      <c r="N59" s="4" t="s">
        <v>745</v>
      </c>
      <c r="O59" s="3" t="s">
        <v>88</v>
      </c>
      <c r="P59" s="3" t="s">
        <v>45</v>
      </c>
      <c r="Q59" s="3" t="s">
        <v>45</v>
      </c>
      <c r="R59" s="3" t="s">
        <v>746</v>
      </c>
      <c r="S59" s="4" t="s">
        <v>480</v>
      </c>
      <c r="T59" s="3" t="s">
        <v>45</v>
      </c>
      <c r="U59" s="3" t="s">
        <v>45</v>
      </c>
      <c r="V59" s="4" t="s">
        <v>747</v>
      </c>
      <c r="W59" s="4" t="s">
        <v>748</v>
      </c>
      <c r="X59" s="3" t="s">
        <v>360</v>
      </c>
      <c r="Y59" s="4" t="s">
        <v>317</v>
      </c>
      <c r="Z59" s="3" t="s">
        <v>55</v>
      </c>
      <c r="AA59" s="3" t="s">
        <v>749</v>
      </c>
      <c r="AB59" s="3" t="s">
        <v>109</v>
      </c>
      <c r="AC59" s="3" t="s">
        <v>45</v>
      </c>
      <c r="AD59" s="5" t="s">
        <v>750</v>
      </c>
      <c r="AE59" s="3" t="s">
        <v>45</v>
      </c>
      <c r="AF59" s="5" t="s">
        <v>751</v>
      </c>
      <c r="AG59" s="3" t="s">
        <v>752</v>
      </c>
      <c r="AH59" s="3" t="s">
        <v>57</v>
      </c>
      <c r="AI59" s="5" t="s">
        <v>753</v>
      </c>
      <c r="AJ59" s="5" t="s">
        <v>754</v>
      </c>
      <c r="AK59" s="5" t="s">
        <v>755</v>
      </c>
      <c r="AL59" s="5" t="s">
        <v>756</v>
      </c>
      <c r="AM59" s="3" t="s">
        <v>45</v>
      </c>
      <c r="AN59" s="3" t="s">
        <v>45</v>
      </c>
      <c r="AO59" s="3" t="s">
        <v>45</v>
      </c>
      <c r="AP59" s="3" t="s">
        <v>45</v>
      </c>
      <c r="AQ59" s="4" t="s">
        <v>324</v>
      </c>
      <c r="AR59" s="4" t="s">
        <v>757</v>
      </c>
    </row>
    <row r="60">
      <c r="A60" s="3" t="s">
        <v>758</v>
      </c>
      <c r="B60" s="3" t="s">
        <v>759</v>
      </c>
      <c r="C60" s="3" t="s">
        <v>760</v>
      </c>
      <c r="D60" s="3" t="s">
        <v>675</v>
      </c>
      <c r="E60" s="4" t="s">
        <v>761</v>
      </c>
      <c r="F60" s="3" t="s">
        <v>699</v>
      </c>
      <c r="G60" s="4" t="s">
        <v>762</v>
      </c>
      <c r="H60" s="4" t="s">
        <v>763</v>
      </c>
      <c r="I60" s="3" t="s">
        <v>49</v>
      </c>
      <c r="J60" s="3" t="s">
        <v>50</v>
      </c>
      <c r="K60" s="3" t="s">
        <v>45</v>
      </c>
      <c r="L60" s="3" t="s">
        <v>45</v>
      </c>
      <c r="M60" s="3" t="s">
        <v>45</v>
      </c>
      <c r="N60" s="4" t="s">
        <v>764</v>
      </c>
      <c r="O60" s="3" t="s">
        <v>722</v>
      </c>
      <c r="P60" s="3" t="s">
        <v>45</v>
      </c>
      <c r="Q60" s="3" t="s">
        <v>45</v>
      </c>
      <c r="R60" s="3" t="s">
        <v>45</v>
      </c>
      <c r="S60" s="3" t="s">
        <v>45</v>
      </c>
      <c r="T60" s="3" t="s">
        <v>724</v>
      </c>
      <c r="U60" s="3" t="s">
        <v>45</v>
      </c>
      <c r="V60" s="4" t="s">
        <v>765</v>
      </c>
      <c r="W60" s="4" t="s">
        <v>709</v>
      </c>
      <c r="X60" s="3" t="s">
        <v>45</v>
      </c>
      <c r="Y60" s="4" t="s">
        <v>73</v>
      </c>
      <c r="Z60" s="3" t="s">
        <v>55</v>
      </c>
      <c r="AA60" s="3" t="s">
        <v>45</v>
      </c>
      <c r="AB60" s="3" t="s">
        <v>109</v>
      </c>
      <c r="AC60" s="3" t="s">
        <v>45</v>
      </c>
      <c r="AD60" s="3" t="s">
        <v>45</v>
      </c>
      <c r="AE60" s="3" t="s">
        <v>45</v>
      </c>
      <c r="AF60" s="5" t="s">
        <v>766</v>
      </c>
      <c r="AG60" s="3" t="s">
        <v>767</v>
      </c>
      <c r="AH60" s="3" t="s">
        <v>57</v>
      </c>
      <c r="AI60" s="5" t="s">
        <v>768</v>
      </c>
      <c r="AJ60" s="3" t="s">
        <v>45</v>
      </c>
      <c r="AK60" s="3" t="s">
        <v>45</v>
      </c>
      <c r="AL60" s="3" t="s">
        <v>45</v>
      </c>
      <c r="AM60" s="3" t="s">
        <v>45</v>
      </c>
      <c r="AN60" s="3" t="s">
        <v>45</v>
      </c>
      <c r="AO60" s="3" t="s">
        <v>45</v>
      </c>
      <c r="AP60" s="3" t="s">
        <v>45</v>
      </c>
      <c r="AQ60" s="4" t="s">
        <v>237</v>
      </c>
      <c r="AR60" s="4" t="s">
        <v>237</v>
      </c>
    </row>
    <row r="61">
      <c r="A61" s="3" t="s">
        <v>769</v>
      </c>
      <c r="B61" s="3" t="s">
        <v>770</v>
      </c>
      <c r="C61" s="3" t="s">
        <v>771</v>
      </c>
      <c r="D61" s="3" t="s">
        <v>675</v>
      </c>
      <c r="E61" s="4" t="s">
        <v>772</v>
      </c>
      <c r="F61" s="3" t="s">
        <v>773</v>
      </c>
      <c r="G61" s="4" t="s">
        <v>774</v>
      </c>
      <c r="H61" s="4" t="s">
        <v>775</v>
      </c>
      <c r="I61" s="3" t="s">
        <v>49</v>
      </c>
      <c r="J61" s="3" t="s">
        <v>126</v>
      </c>
      <c r="K61" s="3" t="s">
        <v>743</v>
      </c>
      <c r="L61" s="3" t="s">
        <v>45</v>
      </c>
      <c r="M61" s="3" t="s">
        <v>45</v>
      </c>
      <c r="N61" s="4" t="s">
        <v>776</v>
      </c>
      <c r="O61" s="3" t="s">
        <v>390</v>
      </c>
      <c r="P61" s="3" t="s">
        <v>777</v>
      </c>
      <c r="Q61" s="3" t="s">
        <v>45</v>
      </c>
      <c r="R61" s="3" t="s">
        <v>45</v>
      </c>
      <c r="S61" s="3" t="s">
        <v>45</v>
      </c>
      <c r="T61" s="3" t="s">
        <v>45</v>
      </c>
      <c r="U61" s="3" t="s">
        <v>45</v>
      </c>
      <c r="V61" s="3" t="s">
        <v>45</v>
      </c>
      <c r="W61" s="3" t="s">
        <v>45</v>
      </c>
      <c r="X61" s="3" t="s">
        <v>45</v>
      </c>
      <c r="Y61" s="3" t="s">
        <v>45</v>
      </c>
      <c r="Z61" s="3" t="s">
        <v>74</v>
      </c>
      <c r="AA61" s="3" t="s">
        <v>45</v>
      </c>
      <c r="AB61" s="3" t="s">
        <v>45</v>
      </c>
      <c r="AC61" s="3" t="s">
        <v>45</v>
      </c>
      <c r="AD61" s="3" t="s">
        <v>45</v>
      </c>
      <c r="AE61" s="3" t="s">
        <v>45</v>
      </c>
      <c r="AF61" s="3" t="s">
        <v>45</v>
      </c>
      <c r="AG61" s="3" t="s">
        <v>778</v>
      </c>
      <c r="AH61" s="3" t="s">
        <v>57</v>
      </c>
      <c r="AI61" s="5" t="s">
        <v>779</v>
      </c>
      <c r="AJ61" s="3" t="s">
        <v>45</v>
      </c>
      <c r="AK61" s="3" t="s">
        <v>45</v>
      </c>
      <c r="AL61" s="3" t="s">
        <v>45</v>
      </c>
      <c r="AM61" s="3" t="s">
        <v>45</v>
      </c>
      <c r="AN61" s="3" t="s">
        <v>45</v>
      </c>
      <c r="AO61" s="3" t="s">
        <v>45</v>
      </c>
      <c r="AP61" s="3" t="s">
        <v>45</v>
      </c>
      <c r="AQ61" s="4" t="s">
        <v>671</v>
      </c>
      <c r="AR61" s="4" t="s">
        <v>671</v>
      </c>
    </row>
    <row r="62">
      <c r="A62" s="3" t="s">
        <v>780</v>
      </c>
      <c r="B62" s="3" t="s">
        <v>781</v>
      </c>
      <c r="C62" s="3" t="s">
        <v>782</v>
      </c>
      <c r="D62" s="3" t="s">
        <v>675</v>
      </c>
      <c r="E62" s="4" t="s">
        <v>783</v>
      </c>
      <c r="F62" s="3" t="s">
        <v>706</v>
      </c>
      <c r="G62" s="4" t="s">
        <v>784</v>
      </c>
      <c r="H62" s="4" t="s">
        <v>785</v>
      </c>
      <c r="I62" s="3" t="s">
        <v>245</v>
      </c>
      <c r="J62" s="3" t="s">
        <v>126</v>
      </c>
      <c r="K62" s="3" t="s">
        <v>45</v>
      </c>
      <c r="L62" s="3" t="s">
        <v>786</v>
      </c>
      <c r="M62" s="3" t="s">
        <v>45</v>
      </c>
      <c r="N62" s="3" t="s">
        <v>45</v>
      </c>
      <c r="O62" s="3" t="s">
        <v>88</v>
      </c>
      <c r="P62" s="3" t="s">
        <v>45</v>
      </c>
      <c r="Q62" s="3" t="s">
        <v>45</v>
      </c>
      <c r="R62" s="3" t="s">
        <v>787</v>
      </c>
      <c r="S62" s="3" t="s">
        <v>45</v>
      </c>
      <c r="T62" s="3" t="s">
        <v>45</v>
      </c>
      <c r="U62" s="3" t="s">
        <v>45</v>
      </c>
      <c r="V62" s="4" t="s">
        <v>788</v>
      </c>
      <c r="W62" s="4" t="s">
        <v>789</v>
      </c>
      <c r="X62" s="3" t="s">
        <v>45</v>
      </c>
      <c r="Y62" s="3" t="s">
        <v>45</v>
      </c>
      <c r="Z62" s="3" t="s">
        <v>55</v>
      </c>
      <c r="AA62" s="3" t="s">
        <v>790</v>
      </c>
      <c r="AB62" s="3" t="s">
        <v>109</v>
      </c>
      <c r="AC62" s="3" t="s">
        <v>45</v>
      </c>
      <c r="AD62" s="5" t="s">
        <v>791</v>
      </c>
      <c r="AE62" s="5" t="s">
        <v>792</v>
      </c>
      <c r="AF62" s="5" t="s">
        <v>793</v>
      </c>
      <c r="AG62" s="3" t="s">
        <v>45</v>
      </c>
      <c r="AH62" s="3" t="s">
        <v>57</v>
      </c>
      <c r="AI62" s="5" t="s">
        <v>794</v>
      </c>
      <c r="AJ62" s="5" t="s">
        <v>795</v>
      </c>
      <c r="AK62" s="5" t="s">
        <v>796</v>
      </c>
      <c r="AL62" s="5" t="s">
        <v>797</v>
      </c>
      <c r="AM62" s="5" t="s">
        <v>798</v>
      </c>
      <c r="AN62" s="3" t="s">
        <v>45</v>
      </c>
      <c r="AO62" s="3" t="s">
        <v>45</v>
      </c>
      <c r="AP62" s="3" t="s">
        <v>45</v>
      </c>
      <c r="AQ62" s="4" t="s">
        <v>799</v>
      </c>
      <c r="AR62" s="4" t="s">
        <v>457</v>
      </c>
    </row>
    <row r="63">
      <c r="A63" s="3" t="s">
        <v>800</v>
      </c>
      <c r="B63" s="3" t="s">
        <v>801</v>
      </c>
      <c r="C63" s="3" t="s">
        <v>802</v>
      </c>
      <c r="D63" s="3" t="s">
        <v>675</v>
      </c>
      <c r="E63" s="4" t="s">
        <v>803</v>
      </c>
      <c r="F63" s="3" t="s">
        <v>717</v>
      </c>
      <c r="G63" s="4" t="s">
        <v>804</v>
      </c>
      <c r="H63" s="4" t="s">
        <v>805</v>
      </c>
      <c r="I63" s="3" t="s">
        <v>85</v>
      </c>
      <c r="J63" s="3" t="s">
        <v>126</v>
      </c>
      <c r="K63" s="3" t="s">
        <v>45</v>
      </c>
      <c r="L63" s="3" t="s">
        <v>45</v>
      </c>
      <c r="M63" s="3" t="s">
        <v>45</v>
      </c>
      <c r="N63" s="3" t="s">
        <v>45</v>
      </c>
      <c r="O63" s="3" t="s">
        <v>74</v>
      </c>
      <c r="P63" s="3" t="s">
        <v>45</v>
      </c>
      <c r="Q63" s="3" t="s">
        <v>45</v>
      </c>
      <c r="R63" s="3" t="s">
        <v>45</v>
      </c>
      <c r="S63" s="3" t="s">
        <v>45</v>
      </c>
      <c r="T63" s="3" t="s">
        <v>45</v>
      </c>
      <c r="U63" s="3" t="s">
        <v>45</v>
      </c>
      <c r="V63" s="3" t="s">
        <v>45</v>
      </c>
      <c r="W63" s="3" t="s">
        <v>45</v>
      </c>
      <c r="X63" s="3" t="s">
        <v>45</v>
      </c>
      <c r="Y63" s="3" t="s">
        <v>45</v>
      </c>
      <c r="Z63" s="3" t="s">
        <v>74</v>
      </c>
      <c r="AA63" s="3" t="s">
        <v>45</v>
      </c>
      <c r="AB63" s="3" t="s">
        <v>45</v>
      </c>
      <c r="AC63" s="3" t="s">
        <v>45</v>
      </c>
      <c r="AD63" s="3" t="s">
        <v>45</v>
      </c>
      <c r="AE63" s="3" t="s">
        <v>45</v>
      </c>
      <c r="AF63" s="3" t="s">
        <v>45</v>
      </c>
      <c r="AG63" s="3" t="s">
        <v>806</v>
      </c>
      <c r="AH63" s="3" t="s">
        <v>57</v>
      </c>
      <c r="AI63" s="3" t="s">
        <v>45</v>
      </c>
      <c r="AJ63" s="3" t="s">
        <v>45</v>
      </c>
      <c r="AK63" s="3" t="s">
        <v>45</v>
      </c>
      <c r="AL63" s="3" t="s">
        <v>45</v>
      </c>
      <c r="AM63" s="3" t="s">
        <v>45</v>
      </c>
      <c r="AN63" s="3" t="s">
        <v>45</v>
      </c>
      <c r="AO63" s="3" t="s">
        <v>45</v>
      </c>
      <c r="AP63" s="3" t="s">
        <v>45</v>
      </c>
      <c r="AQ63" s="4" t="s">
        <v>807</v>
      </c>
      <c r="AR63" s="4" t="s">
        <v>807</v>
      </c>
    </row>
    <row r="64">
      <c r="A64" s="3" t="s">
        <v>808</v>
      </c>
      <c r="B64" s="3" t="s">
        <v>809</v>
      </c>
      <c r="C64" s="3" t="s">
        <v>810</v>
      </c>
      <c r="D64" s="3" t="s">
        <v>675</v>
      </c>
      <c r="E64" s="4" t="s">
        <v>811</v>
      </c>
      <c r="F64" s="3" t="s">
        <v>812</v>
      </c>
      <c r="G64" s="4" t="s">
        <v>813</v>
      </c>
      <c r="H64" s="4" t="s">
        <v>814</v>
      </c>
      <c r="I64" s="3" t="s">
        <v>436</v>
      </c>
      <c r="J64" s="3" t="s">
        <v>126</v>
      </c>
      <c r="K64" s="3" t="s">
        <v>45</v>
      </c>
      <c r="L64" s="3" t="s">
        <v>45</v>
      </c>
      <c r="M64" s="3" t="s">
        <v>45</v>
      </c>
      <c r="N64" s="3" t="s">
        <v>45</v>
      </c>
      <c r="O64" s="3" t="s">
        <v>74</v>
      </c>
      <c r="P64" s="3" t="s">
        <v>45</v>
      </c>
      <c r="Q64" s="3" t="s">
        <v>45</v>
      </c>
      <c r="R64" s="3" t="s">
        <v>45</v>
      </c>
      <c r="S64" s="3" t="s">
        <v>45</v>
      </c>
      <c r="T64" s="3" t="s">
        <v>45</v>
      </c>
      <c r="U64" s="3" t="s">
        <v>45</v>
      </c>
      <c r="V64" s="3" t="s">
        <v>45</v>
      </c>
      <c r="W64" s="3" t="s">
        <v>45</v>
      </c>
      <c r="X64" s="3" t="s">
        <v>45</v>
      </c>
      <c r="Y64" s="3" t="s">
        <v>45</v>
      </c>
      <c r="Z64" s="3" t="s">
        <v>55</v>
      </c>
      <c r="AA64" s="3" t="s">
        <v>45</v>
      </c>
      <c r="AB64" s="3" t="s">
        <v>56</v>
      </c>
      <c r="AC64" s="3" t="s">
        <v>45</v>
      </c>
      <c r="AD64" s="3" t="s">
        <v>45</v>
      </c>
      <c r="AE64" s="3" t="s">
        <v>45</v>
      </c>
      <c r="AF64" s="3" t="s">
        <v>45</v>
      </c>
      <c r="AG64" s="3" t="s">
        <v>815</v>
      </c>
      <c r="AH64" s="3" t="s">
        <v>57</v>
      </c>
      <c r="AI64" s="5" t="s">
        <v>816</v>
      </c>
      <c r="AJ64" s="5" t="s">
        <v>817</v>
      </c>
      <c r="AK64" s="5" t="s">
        <v>818</v>
      </c>
      <c r="AL64" s="3" t="s">
        <v>45</v>
      </c>
      <c r="AM64" s="3" t="s">
        <v>45</v>
      </c>
      <c r="AN64" s="3" t="s">
        <v>45</v>
      </c>
      <c r="AO64" s="3" t="s">
        <v>45</v>
      </c>
      <c r="AP64" s="3" t="s">
        <v>45</v>
      </c>
      <c r="AQ64" s="4" t="s">
        <v>60</v>
      </c>
      <c r="AR64" s="4" t="s">
        <v>60</v>
      </c>
    </row>
    <row r="65">
      <c r="A65" s="3" t="s">
        <v>819</v>
      </c>
      <c r="B65" s="3" t="s">
        <v>820</v>
      </c>
      <c r="C65" s="3" t="s">
        <v>821</v>
      </c>
      <c r="D65" s="3" t="s">
        <v>675</v>
      </c>
      <c r="E65" s="4" t="s">
        <v>822</v>
      </c>
      <c r="F65" s="3" t="s">
        <v>706</v>
      </c>
      <c r="G65" s="4" t="s">
        <v>823</v>
      </c>
      <c r="H65" s="4" t="s">
        <v>824</v>
      </c>
      <c r="I65" s="3" t="s">
        <v>49</v>
      </c>
      <c r="J65" s="3" t="s">
        <v>126</v>
      </c>
      <c r="K65" s="3" t="s">
        <v>45</v>
      </c>
      <c r="L65" s="3" t="s">
        <v>45</v>
      </c>
      <c r="M65" s="3" t="s">
        <v>45</v>
      </c>
      <c r="N65" s="3" t="s">
        <v>45</v>
      </c>
      <c r="O65" s="3" t="s">
        <v>74</v>
      </c>
      <c r="P65" s="3" t="s">
        <v>45</v>
      </c>
      <c r="Q65" s="3" t="s">
        <v>45</v>
      </c>
      <c r="R65" s="3" t="s">
        <v>45</v>
      </c>
      <c r="S65" s="3" t="s">
        <v>45</v>
      </c>
      <c r="T65" s="3" t="s">
        <v>45</v>
      </c>
      <c r="U65" s="3" t="s">
        <v>45</v>
      </c>
      <c r="V65" s="4" t="s">
        <v>825</v>
      </c>
      <c r="W65" s="3" t="s">
        <v>45</v>
      </c>
      <c r="X65" s="3" t="s">
        <v>826</v>
      </c>
      <c r="Y65" s="3" t="s">
        <v>45</v>
      </c>
      <c r="Z65" s="3" t="s">
        <v>74</v>
      </c>
      <c r="AA65" s="3" t="s">
        <v>45</v>
      </c>
      <c r="AB65" s="3" t="s">
        <v>45</v>
      </c>
      <c r="AC65" s="3" t="s">
        <v>45</v>
      </c>
      <c r="AD65" s="3" t="s">
        <v>45</v>
      </c>
      <c r="AE65" s="3" t="s">
        <v>45</v>
      </c>
      <c r="AF65" s="3" t="s">
        <v>45</v>
      </c>
      <c r="AG65" s="3" t="s">
        <v>45</v>
      </c>
      <c r="AH65" s="3" t="s">
        <v>57</v>
      </c>
      <c r="AI65" s="5" t="s">
        <v>827</v>
      </c>
      <c r="AJ65" s="3" t="s">
        <v>45</v>
      </c>
      <c r="AK65" s="3" t="s">
        <v>45</v>
      </c>
      <c r="AL65" s="3" t="s">
        <v>45</v>
      </c>
      <c r="AM65" s="3" t="s">
        <v>45</v>
      </c>
      <c r="AN65" s="3" t="s">
        <v>45</v>
      </c>
      <c r="AO65" s="3" t="s">
        <v>45</v>
      </c>
      <c r="AP65" s="3" t="s">
        <v>45</v>
      </c>
      <c r="AQ65" s="4" t="s">
        <v>148</v>
      </c>
      <c r="AR65" s="4" t="s">
        <v>148</v>
      </c>
    </row>
    <row r="66">
      <c r="A66" s="3" t="s">
        <v>828</v>
      </c>
      <c r="B66" s="3" t="s">
        <v>829</v>
      </c>
      <c r="C66" s="3" t="s">
        <v>830</v>
      </c>
      <c r="D66" s="3" t="s">
        <v>675</v>
      </c>
      <c r="E66" s="4" t="s">
        <v>831</v>
      </c>
      <c r="F66" s="3" t="s">
        <v>832</v>
      </c>
      <c r="G66" s="4" t="s">
        <v>833</v>
      </c>
      <c r="H66" s="4" t="s">
        <v>834</v>
      </c>
      <c r="I66" s="3" t="s">
        <v>218</v>
      </c>
      <c r="J66" s="3" t="s">
        <v>126</v>
      </c>
      <c r="K66" s="3" t="s">
        <v>45</v>
      </c>
      <c r="L66" s="3" t="s">
        <v>45</v>
      </c>
      <c r="M66" s="3" t="s">
        <v>45</v>
      </c>
      <c r="N66" s="4" t="s">
        <v>764</v>
      </c>
      <c r="O66" s="3" t="s">
        <v>88</v>
      </c>
      <c r="P66" s="3" t="s">
        <v>45</v>
      </c>
      <c r="Q66" s="3" t="s">
        <v>45</v>
      </c>
      <c r="R66" s="3" t="s">
        <v>45</v>
      </c>
      <c r="S66" s="4" t="s">
        <v>835</v>
      </c>
      <c r="T66" s="3" t="s">
        <v>45</v>
      </c>
      <c r="U66" s="3" t="s">
        <v>45</v>
      </c>
      <c r="V66" s="4" t="s">
        <v>836</v>
      </c>
      <c r="W66" s="4" t="s">
        <v>837</v>
      </c>
      <c r="X66" s="3" t="s">
        <v>45</v>
      </c>
      <c r="Y66" s="4" t="s">
        <v>317</v>
      </c>
      <c r="Z66" s="3" t="s">
        <v>55</v>
      </c>
      <c r="AA66" s="3" t="s">
        <v>45</v>
      </c>
      <c r="AB66" s="3" t="s">
        <v>109</v>
      </c>
      <c r="AC66" s="3" t="s">
        <v>45</v>
      </c>
      <c r="AD66" s="3" t="s">
        <v>45</v>
      </c>
      <c r="AE66" s="3" t="s">
        <v>45</v>
      </c>
      <c r="AF66" s="5" t="s">
        <v>838</v>
      </c>
      <c r="AG66" s="3" t="s">
        <v>839</v>
      </c>
      <c r="AH66" s="3" t="s">
        <v>840</v>
      </c>
      <c r="AI66" s="5" t="s">
        <v>841</v>
      </c>
      <c r="AJ66" s="5" t="s">
        <v>842</v>
      </c>
      <c r="AK66" s="5" t="s">
        <v>843</v>
      </c>
      <c r="AL66" s="3" t="s">
        <v>45</v>
      </c>
      <c r="AM66" s="3" t="s">
        <v>45</v>
      </c>
      <c r="AN66" s="3" t="s">
        <v>45</v>
      </c>
      <c r="AO66" s="3" t="s">
        <v>45</v>
      </c>
      <c r="AP66" s="3" t="s">
        <v>45</v>
      </c>
      <c r="AQ66" s="4" t="s">
        <v>413</v>
      </c>
      <c r="AR66" s="4" t="s">
        <v>413</v>
      </c>
    </row>
    <row r="67">
      <c r="A67" s="3" t="s">
        <v>844</v>
      </c>
      <c r="B67" s="3" t="s">
        <v>845</v>
      </c>
      <c r="C67" s="3" t="s">
        <v>846</v>
      </c>
      <c r="D67" s="3" t="s">
        <v>675</v>
      </c>
      <c r="E67" s="4" t="s">
        <v>847</v>
      </c>
      <c r="F67" s="3" t="s">
        <v>848</v>
      </c>
      <c r="G67" s="4" t="s">
        <v>849</v>
      </c>
      <c r="H67" s="4" t="s">
        <v>850</v>
      </c>
      <c r="I67" s="3" t="s">
        <v>85</v>
      </c>
      <c r="J67" s="3" t="s">
        <v>126</v>
      </c>
      <c r="K67" s="3" t="s">
        <v>45</v>
      </c>
      <c r="L67" s="3" t="s">
        <v>45</v>
      </c>
      <c r="M67" s="3" t="s">
        <v>45</v>
      </c>
      <c r="N67" s="4" t="s">
        <v>851</v>
      </c>
      <c r="O67" s="3" t="s">
        <v>53</v>
      </c>
      <c r="P67" s="3" t="s">
        <v>45</v>
      </c>
      <c r="Q67" s="3" t="s">
        <v>45</v>
      </c>
      <c r="R67" s="3" t="s">
        <v>45</v>
      </c>
      <c r="S67" s="3" t="s">
        <v>45</v>
      </c>
      <c r="T67" s="3" t="s">
        <v>45</v>
      </c>
      <c r="U67" s="3" t="s">
        <v>45</v>
      </c>
      <c r="V67" s="4" t="s">
        <v>852</v>
      </c>
      <c r="W67" s="3" t="s">
        <v>45</v>
      </c>
      <c r="X67" s="3" t="s">
        <v>45</v>
      </c>
      <c r="Y67" s="3" t="s">
        <v>45</v>
      </c>
      <c r="Z67" s="3" t="s">
        <v>74</v>
      </c>
      <c r="AA67" s="3" t="s">
        <v>45</v>
      </c>
      <c r="AB67" s="3" t="s">
        <v>45</v>
      </c>
      <c r="AC67" s="3" t="s">
        <v>45</v>
      </c>
      <c r="AD67" s="3" t="s">
        <v>45</v>
      </c>
      <c r="AE67" s="3" t="s">
        <v>45</v>
      </c>
      <c r="AF67" s="3" t="s">
        <v>45</v>
      </c>
      <c r="AG67" s="3" t="s">
        <v>45</v>
      </c>
      <c r="AH67" s="3" t="s">
        <v>57</v>
      </c>
      <c r="AI67" s="5" t="s">
        <v>853</v>
      </c>
      <c r="AJ67" s="3" t="s">
        <v>45</v>
      </c>
      <c r="AK67" s="3" t="s">
        <v>45</v>
      </c>
      <c r="AL67" s="3" t="s">
        <v>45</v>
      </c>
      <c r="AM67" s="3" t="s">
        <v>45</v>
      </c>
      <c r="AN67" s="3" t="s">
        <v>45</v>
      </c>
      <c r="AO67" s="3" t="s">
        <v>45</v>
      </c>
      <c r="AP67" s="3" t="s">
        <v>45</v>
      </c>
      <c r="AQ67" s="4" t="s">
        <v>854</v>
      </c>
      <c r="AR67" s="4" t="s">
        <v>854</v>
      </c>
    </row>
    <row r="68">
      <c r="A68" s="3" t="s">
        <v>855</v>
      </c>
      <c r="B68" s="3" t="s">
        <v>856</v>
      </c>
      <c r="C68" s="3" t="s">
        <v>857</v>
      </c>
      <c r="D68" s="3" t="s">
        <v>675</v>
      </c>
      <c r="E68" s="4" t="s">
        <v>858</v>
      </c>
      <c r="F68" s="3" t="s">
        <v>717</v>
      </c>
      <c r="G68" s="4" t="s">
        <v>859</v>
      </c>
      <c r="H68" s="4" t="s">
        <v>860</v>
      </c>
      <c r="I68" s="3" t="s">
        <v>218</v>
      </c>
      <c r="J68" s="3" t="s">
        <v>126</v>
      </c>
      <c r="K68" s="3" t="s">
        <v>45</v>
      </c>
      <c r="L68" s="3" t="s">
        <v>855</v>
      </c>
      <c r="M68" s="3" t="s">
        <v>45</v>
      </c>
      <c r="N68" s="4" t="s">
        <v>861</v>
      </c>
      <c r="O68" s="3" t="s">
        <v>390</v>
      </c>
      <c r="P68" s="3" t="s">
        <v>45</v>
      </c>
      <c r="Q68" s="3" t="s">
        <v>45</v>
      </c>
      <c r="R68" s="3" t="s">
        <v>45</v>
      </c>
      <c r="S68" s="3" t="s">
        <v>45</v>
      </c>
      <c r="T68" s="3" t="s">
        <v>45</v>
      </c>
      <c r="U68" s="3" t="s">
        <v>45</v>
      </c>
      <c r="V68" s="4" t="s">
        <v>862</v>
      </c>
      <c r="W68" s="3" t="s">
        <v>45</v>
      </c>
      <c r="X68" s="3" t="s">
        <v>45</v>
      </c>
      <c r="Y68" s="3" t="s">
        <v>45</v>
      </c>
      <c r="Z68" s="3" t="s">
        <v>74</v>
      </c>
      <c r="AA68" s="3" t="s">
        <v>45</v>
      </c>
      <c r="AB68" s="3" t="s">
        <v>45</v>
      </c>
      <c r="AC68" s="3" t="s">
        <v>45</v>
      </c>
      <c r="AD68" s="3" t="s">
        <v>45</v>
      </c>
      <c r="AE68" s="3" t="s">
        <v>45</v>
      </c>
      <c r="AF68" s="3" t="s">
        <v>45</v>
      </c>
      <c r="AG68" s="3" t="s">
        <v>45</v>
      </c>
      <c r="AH68" s="3" t="s">
        <v>57</v>
      </c>
      <c r="AI68" s="5" t="s">
        <v>863</v>
      </c>
      <c r="AJ68" s="3" t="s">
        <v>45</v>
      </c>
      <c r="AK68" s="3" t="s">
        <v>45</v>
      </c>
      <c r="AL68" s="3" t="s">
        <v>45</v>
      </c>
      <c r="AM68" s="3" t="s">
        <v>45</v>
      </c>
      <c r="AN68" s="3" t="s">
        <v>45</v>
      </c>
      <c r="AO68" s="3" t="s">
        <v>45</v>
      </c>
      <c r="AP68" s="3" t="s">
        <v>45</v>
      </c>
      <c r="AQ68" s="4" t="s">
        <v>864</v>
      </c>
      <c r="AR68" s="4" t="s">
        <v>864</v>
      </c>
    </row>
    <row r="69">
      <c r="A69" s="3" t="s">
        <v>865</v>
      </c>
      <c r="B69" s="3" t="s">
        <v>866</v>
      </c>
      <c r="C69" s="3" t="s">
        <v>857</v>
      </c>
      <c r="D69" s="3" t="s">
        <v>675</v>
      </c>
      <c r="E69" s="4" t="s">
        <v>867</v>
      </c>
      <c r="F69" s="3" t="s">
        <v>717</v>
      </c>
      <c r="G69" s="4" t="s">
        <v>868</v>
      </c>
      <c r="H69" s="4" t="s">
        <v>869</v>
      </c>
      <c r="I69" s="3" t="s">
        <v>49</v>
      </c>
      <c r="J69" s="3" t="s">
        <v>126</v>
      </c>
      <c r="K69" s="3" t="s">
        <v>45</v>
      </c>
      <c r="L69" s="3" t="s">
        <v>45</v>
      </c>
      <c r="M69" s="3" t="s">
        <v>45</v>
      </c>
      <c r="N69" s="3" t="s">
        <v>45</v>
      </c>
      <c r="O69" s="3" t="s">
        <v>74</v>
      </c>
      <c r="P69" s="3" t="s">
        <v>45</v>
      </c>
      <c r="Q69" s="3" t="s">
        <v>45</v>
      </c>
      <c r="R69" s="3" t="s">
        <v>45</v>
      </c>
      <c r="S69" s="3" t="s">
        <v>45</v>
      </c>
      <c r="T69" s="3" t="s">
        <v>45</v>
      </c>
      <c r="U69" s="3" t="s">
        <v>45</v>
      </c>
      <c r="V69" s="4" t="s">
        <v>870</v>
      </c>
      <c r="W69" s="4" t="s">
        <v>871</v>
      </c>
      <c r="X69" s="3" t="s">
        <v>45</v>
      </c>
      <c r="Y69" s="3" t="s">
        <v>45</v>
      </c>
      <c r="Z69" s="3" t="s">
        <v>74</v>
      </c>
      <c r="AA69" s="3" t="s">
        <v>45</v>
      </c>
      <c r="AB69" s="3" t="s">
        <v>45</v>
      </c>
      <c r="AC69" s="3" t="s">
        <v>45</v>
      </c>
      <c r="AD69" s="3" t="s">
        <v>45</v>
      </c>
      <c r="AE69" s="3" t="s">
        <v>45</v>
      </c>
      <c r="AF69" s="3" t="s">
        <v>45</v>
      </c>
      <c r="AG69" s="3" t="s">
        <v>45</v>
      </c>
      <c r="AH69" s="3" t="s">
        <v>57</v>
      </c>
      <c r="AI69" s="5" t="s">
        <v>872</v>
      </c>
      <c r="AJ69" s="5" t="s">
        <v>873</v>
      </c>
      <c r="AK69" s="3" t="s">
        <v>45</v>
      </c>
      <c r="AL69" s="3" t="s">
        <v>45</v>
      </c>
      <c r="AM69" s="3" t="s">
        <v>45</v>
      </c>
      <c r="AN69" s="3" t="s">
        <v>45</v>
      </c>
      <c r="AO69" s="3" t="s">
        <v>45</v>
      </c>
      <c r="AP69" s="3" t="s">
        <v>45</v>
      </c>
      <c r="AQ69" s="4" t="s">
        <v>182</v>
      </c>
      <c r="AR69" s="4" t="s">
        <v>182</v>
      </c>
    </row>
    <row r="70">
      <c r="A70" s="3" t="s">
        <v>874</v>
      </c>
      <c r="B70" s="3" t="s">
        <v>875</v>
      </c>
      <c r="C70" s="3" t="s">
        <v>857</v>
      </c>
      <c r="D70" s="3" t="s">
        <v>675</v>
      </c>
      <c r="E70" s="4" t="s">
        <v>876</v>
      </c>
      <c r="F70" s="3" t="s">
        <v>717</v>
      </c>
      <c r="G70" s="4" t="s">
        <v>877</v>
      </c>
      <c r="H70" s="4" t="s">
        <v>878</v>
      </c>
      <c r="I70" s="3" t="s">
        <v>218</v>
      </c>
      <c r="J70" s="3" t="s">
        <v>126</v>
      </c>
      <c r="K70" s="3" t="s">
        <v>45</v>
      </c>
      <c r="L70" s="3" t="s">
        <v>409</v>
      </c>
      <c r="M70" s="3" t="s">
        <v>45</v>
      </c>
      <c r="N70" s="4" t="s">
        <v>879</v>
      </c>
      <c r="O70" s="3" t="s">
        <v>390</v>
      </c>
      <c r="P70" s="3" t="s">
        <v>45</v>
      </c>
      <c r="Q70" s="3" t="s">
        <v>45</v>
      </c>
      <c r="R70" s="3" t="s">
        <v>45</v>
      </c>
      <c r="S70" s="4" t="s">
        <v>233</v>
      </c>
      <c r="T70" s="3" t="s">
        <v>45</v>
      </c>
      <c r="U70" s="3" t="s">
        <v>45</v>
      </c>
      <c r="V70" s="3" t="s">
        <v>45</v>
      </c>
      <c r="W70" s="4" t="s">
        <v>880</v>
      </c>
      <c r="X70" s="3" t="s">
        <v>45</v>
      </c>
      <c r="Y70" s="4" t="s">
        <v>73</v>
      </c>
      <c r="Z70" s="3" t="s">
        <v>74</v>
      </c>
      <c r="AA70" s="3" t="s">
        <v>45</v>
      </c>
      <c r="AB70" s="3" t="s">
        <v>45</v>
      </c>
      <c r="AC70" s="3" t="s">
        <v>45</v>
      </c>
      <c r="AD70" s="3" t="s">
        <v>45</v>
      </c>
      <c r="AE70" s="3" t="s">
        <v>45</v>
      </c>
      <c r="AF70" s="3" t="s">
        <v>45</v>
      </c>
      <c r="AG70" s="3" t="s">
        <v>45</v>
      </c>
      <c r="AH70" s="3" t="s">
        <v>57</v>
      </c>
      <c r="AI70" s="5" t="s">
        <v>881</v>
      </c>
      <c r="AJ70" s="3" t="s">
        <v>45</v>
      </c>
      <c r="AK70" s="3" t="s">
        <v>45</v>
      </c>
      <c r="AL70" s="3" t="s">
        <v>45</v>
      </c>
      <c r="AM70" s="3" t="s">
        <v>45</v>
      </c>
      <c r="AN70" s="3" t="s">
        <v>45</v>
      </c>
      <c r="AO70" s="3" t="s">
        <v>45</v>
      </c>
      <c r="AP70" s="3" t="s">
        <v>45</v>
      </c>
      <c r="AQ70" s="4" t="s">
        <v>413</v>
      </c>
      <c r="AR70" s="4" t="s">
        <v>413</v>
      </c>
    </row>
    <row r="71">
      <c r="A71" s="3" t="s">
        <v>882</v>
      </c>
      <c r="B71" s="3" t="s">
        <v>883</v>
      </c>
      <c r="C71" s="3" t="s">
        <v>857</v>
      </c>
      <c r="D71" s="3" t="s">
        <v>675</v>
      </c>
      <c r="E71" s="4" t="s">
        <v>876</v>
      </c>
      <c r="F71" s="3" t="s">
        <v>717</v>
      </c>
      <c r="G71" s="4" t="s">
        <v>884</v>
      </c>
      <c r="H71" s="4" t="s">
        <v>885</v>
      </c>
      <c r="I71" s="3" t="s">
        <v>49</v>
      </c>
      <c r="J71" s="3" t="s">
        <v>126</v>
      </c>
      <c r="K71" s="3" t="s">
        <v>45</v>
      </c>
      <c r="L71" s="3" t="s">
        <v>882</v>
      </c>
      <c r="M71" s="3" t="s">
        <v>45</v>
      </c>
      <c r="N71" s="4" t="s">
        <v>886</v>
      </c>
      <c r="O71" s="3" t="s">
        <v>88</v>
      </c>
      <c r="P71" s="3" t="s">
        <v>45</v>
      </c>
      <c r="Q71" s="3" t="s">
        <v>45</v>
      </c>
      <c r="R71" s="3" t="s">
        <v>45</v>
      </c>
      <c r="S71" s="3" t="s">
        <v>45</v>
      </c>
      <c r="T71" s="3" t="s">
        <v>45</v>
      </c>
      <c r="U71" s="3" t="s">
        <v>45</v>
      </c>
      <c r="V71" s="4" t="s">
        <v>887</v>
      </c>
      <c r="W71" s="4" t="s">
        <v>888</v>
      </c>
      <c r="X71" s="3" t="s">
        <v>45</v>
      </c>
      <c r="Y71" s="3" t="s">
        <v>45</v>
      </c>
      <c r="Z71" s="3" t="s">
        <v>74</v>
      </c>
      <c r="AA71" s="3" t="s">
        <v>45</v>
      </c>
      <c r="AB71" s="3" t="s">
        <v>45</v>
      </c>
      <c r="AC71" s="3" t="s">
        <v>45</v>
      </c>
      <c r="AD71" s="3" t="s">
        <v>45</v>
      </c>
      <c r="AE71" s="3" t="s">
        <v>45</v>
      </c>
      <c r="AF71" s="3" t="s">
        <v>45</v>
      </c>
      <c r="AG71" s="3" t="s">
        <v>45</v>
      </c>
      <c r="AH71" s="3" t="s">
        <v>57</v>
      </c>
      <c r="AI71" s="5" t="s">
        <v>889</v>
      </c>
      <c r="AJ71" s="3" t="s">
        <v>45</v>
      </c>
      <c r="AK71" s="3" t="s">
        <v>45</v>
      </c>
      <c r="AL71" s="3" t="s">
        <v>45</v>
      </c>
      <c r="AM71" s="3" t="s">
        <v>45</v>
      </c>
      <c r="AN71" s="3" t="s">
        <v>45</v>
      </c>
      <c r="AO71" s="3" t="s">
        <v>45</v>
      </c>
      <c r="AP71" s="3" t="s">
        <v>45</v>
      </c>
      <c r="AQ71" s="4" t="s">
        <v>736</v>
      </c>
      <c r="AR71" s="4" t="s">
        <v>736</v>
      </c>
    </row>
    <row r="72">
      <c r="A72" s="3" t="s">
        <v>890</v>
      </c>
      <c r="B72" s="3" t="s">
        <v>891</v>
      </c>
      <c r="C72" s="3" t="s">
        <v>857</v>
      </c>
      <c r="D72" s="3" t="s">
        <v>675</v>
      </c>
      <c r="E72" s="4" t="s">
        <v>892</v>
      </c>
      <c r="F72" s="3" t="s">
        <v>717</v>
      </c>
      <c r="G72" s="4" t="s">
        <v>893</v>
      </c>
      <c r="H72" s="4" t="s">
        <v>894</v>
      </c>
      <c r="I72" s="3" t="s">
        <v>49</v>
      </c>
      <c r="J72" s="3" t="s">
        <v>126</v>
      </c>
      <c r="K72" s="3" t="s">
        <v>45</v>
      </c>
      <c r="L72" s="3" t="s">
        <v>882</v>
      </c>
      <c r="M72" s="3" t="s">
        <v>45</v>
      </c>
      <c r="N72" s="4" t="s">
        <v>764</v>
      </c>
      <c r="O72" s="3" t="s">
        <v>722</v>
      </c>
      <c r="P72" s="3" t="s">
        <v>45</v>
      </c>
      <c r="Q72" s="3" t="s">
        <v>45</v>
      </c>
      <c r="R72" s="3" t="s">
        <v>45</v>
      </c>
      <c r="S72" s="3" t="s">
        <v>45</v>
      </c>
      <c r="T72" s="3" t="s">
        <v>45</v>
      </c>
      <c r="U72" s="3" t="s">
        <v>45</v>
      </c>
      <c r="V72" s="4" t="s">
        <v>895</v>
      </c>
      <c r="W72" s="4" t="s">
        <v>247</v>
      </c>
      <c r="X72" s="3" t="s">
        <v>896</v>
      </c>
      <c r="Y72" s="4" t="s">
        <v>73</v>
      </c>
      <c r="Z72" s="3" t="s">
        <v>45</v>
      </c>
      <c r="AA72" s="3" t="s">
        <v>45</v>
      </c>
      <c r="AB72" s="3" t="s">
        <v>45</v>
      </c>
      <c r="AC72" s="3" t="s">
        <v>45</v>
      </c>
      <c r="AD72" s="3" t="s">
        <v>45</v>
      </c>
      <c r="AE72" s="3" t="s">
        <v>45</v>
      </c>
      <c r="AF72" s="3" t="s">
        <v>45</v>
      </c>
      <c r="AG72" s="3" t="s">
        <v>45</v>
      </c>
      <c r="AH72" s="3" t="s">
        <v>57</v>
      </c>
      <c r="AI72" s="5" t="s">
        <v>897</v>
      </c>
      <c r="AJ72" s="3" t="s">
        <v>45</v>
      </c>
      <c r="AK72" s="3" t="s">
        <v>45</v>
      </c>
      <c r="AL72" s="3" t="s">
        <v>45</v>
      </c>
      <c r="AM72" s="3" t="s">
        <v>45</v>
      </c>
      <c r="AN72" s="3" t="s">
        <v>45</v>
      </c>
      <c r="AO72" s="3" t="s">
        <v>45</v>
      </c>
      <c r="AP72" s="3" t="s">
        <v>45</v>
      </c>
      <c r="AQ72" s="4" t="s">
        <v>898</v>
      </c>
      <c r="AR72" s="4" t="s">
        <v>898</v>
      </c>
    </row>
    <row r="73">
      <c r="A73" s="3" t="s">
        <v>899</v>
      </c>
      <c r="B73" s="3" t="s">
        <v>900</v>
      </c>
      <c r="C73" s="3" t="s">
        <v>717</v>
      </c>
      <c r="D73" s="3" t="s">
        <v>675</v>
      </c>
      <c r="E73" s="4" t="s">
        <v>901</v>
      </c>
      <c r="F73" s="3" t="s">
        <v>717</v>
      </c>
      <c r="G73" s="4" t="s">
        <v>902</v>
      </c>
      <c r="H73" s="4" t="s">
        <v>903</v>
      </c>
      <c r="I73" s="3" t="s">
        <v>85</v>
      </c>
      <c r="J73" s="3" t="s">
        <v>126</v>
      </c>
      <c r="K73" s="3" t="s">
        <v>45</v>
      </c>
      <c r="L73" s="3" t="s">
        <v>45</v>
      </c>
      <c r="M73" s="3" t="s">
        <v>45</v>
      </c>
      <c r="N73" s="3" t="s">
        <v>45</v>
      </c>
      <c r="O73" s="3" t="s">
        <v>74</v>
      </c>
      <c r="P73" s="3" t="s">
        <v>45</v>
      </c>
      <c r="Q73" s="3" t="s">
        <v>45</v>
      </c>
      <c r="R73" s="3" t="s">
        <v>45</v>
      </c>
      <c r="S73" s="3" t="s">
        <v>45</v>
      </c>
      <c r="T73" s="3" t="s">
        <v>105</v>
      </c>
      <c r="U73" s="3" t="s">
        <v>45</v>
      </c>
      <c r="V73" s="4" t="s">
        <v>904</v>
      </c>
      <c r="W73" s="3" t="s">
        <v>45</v>
      </c>
      <c r="X73" s="3" t="s">
        <v>45</v>
      </c>
      <c r="Y73" s="3" t="s">
        <v>45</v>
      </c>
      <c r="Z73" s="3" t="s">
        <v>74</v>
      </c>
      <c r="AA73" s="3" t="s">
        <v>45</v>
      </c>
      <c r="AB73" s="3" t="s">
        <v>45</v>
      </c>
      <c r="AC73" s="3" t="s">
        <v>45</v>
      </c>
      <c r="AD73" s="3" t="s">
        <v>45</v>
      </c>
      <c r="AE73" s="3" t="s">
        <v>45</v>
      </c>
      <c r="AF73" s="3" t="s">
        <v>45</v>
      </c>
      <c r="AG73" s="3" t="s">
        <v>905</v>
      </c>
      <c r="AH73" s="3" t="s">
        <v>57</v>
      </c>
      <c r="AI73" s="5" t="s">
        <v>906</v>
      </c>
      <c r="AJ73" s="3" t="s">
        <v>45</v>
      </c>
      <c r="AK73" s="3" t="s">
        <v>45</v>
      </c>
      <c r="AL73" s="3" t="s">
        <v>45</v>
      </c>
      <c r="AM73" s="3" t="s">
        <v>45</v>
      </c>
      <c r="AN73" s="3" t="s">
        <v>45</v>
      </c>
      <c r="AO73" s="3" t="s">
        <v>45</v>
      </c>
      <c r="AP73" s="3" t="s">
        <v>45</v>
      </c>
      <c r="AQ73" s="4" t="s">
        <v>907</v>
      </c>
      <c r="AR73" s="4" t="s">
        <v>907</v>
      </c>
    </row>
    <row r="74">
      <c r="A74" s="3" t="s">
        <v>899</v>
      </c>
      <c r="B74" s="3" t="s">
        <v>908</v>
      </c>
      <c r="C74" s="3" t="s">
        <v>717</v>
      </c>
      <c r="D74" s="3" t="s">
        <v>675</v>
      </c>
      <c r="E74" s="4" t="s">
        <v>901</v>
      </c>
      <c r="F74" s="3" t="s">
        <v>717</v>
      </c>
      <c r="G74" s="4" t="s">
        <v>909</v>
      </c>
      <c r="H74" s="4" t="s">
        <v>903</v>
      </c>
      <c r="I74" s="3" t="s">
        <v>85</v>
      </c>
      <c r="J74" s="3" t="s">
        <v>126</v>
      </c>
      <c r="K74" s="3" t="s">
        <v>45</v>
      </c>
      <c r="L74" s="3" t="s">
        <v>45</v>
      </c>
      <c r="M74" s="3" t="s">
        <v>45</v>
      </c>
      <c r="N74" s="3" t="s">
        <v>45</v>
      </c>
      <c r="O74" s="3" t="s">
        <v>74</v>
      </c>
      <c r="P74" s="3" t="s">
        <v>45</v>
      </c>
      <c r="Q74" s="3" t="s">
        <v>45</v>
      </c>
      <c r="R74" s="3" t="s">
        <v>45</v>
      </c>
      <c r="S74" s="3" t="s">
        <v>45</v>
      </c>
      <c r="T74" s="3" t="s">
        <v>45</v>
      </c>
      <c r="U74" s="3" t="s">
        <v>45</v>
      </c>
      <c r="V74" s="3" t="s">
        <v>45</v>
      </c>
      <c r="W74" s="3" t="s">
        <v>45</v>
      </c>
      <c r="X74" s="3" t="s">
        <v>45</v>
      </c>
      <c r="Y74" s="3" t="s">
        <v>45</v>
      </c>
      <c r="Z74" s="3" t="s">
        <v>74</v>
      </c>
      <c r="AA74" s="3" t="s">
        <v>45</v>
      </c>
      <c r="AB74" s="3" t="s">
        <v>45</v>
      </c>
      <c r="AC74" s="3" t="s">
        <v>45</v>
      </c>
      <c r="AD74" s="3" t="s">
        <v>45</v>
      </c>
      <c r="AE74" s="3" t="s">
        <v>45</v>
      </c>
      <c r="AF74" s="3" t="s">
        <v>45</v>
      </c>
      <c r="AG74" s="3" t="s">
        <v>905</v>
      </c>
      <c r="AH74" s="3" t="s">
        <v>57</v>
      </c>
      <c r="AI74" s="5" t="s">
        <v>906</v>
      </c>
      <c r="AJ74" s="3" t="s">
        <v>45</v>
      </c>
      <c r="AK74" s="3" t="s">
        <v>45</v>
      </c>
      <c r="AL74" s="3" t="s">
        <v>45</v>
      </c>
      <c r="AM74" s="3" t="s">
        <v>45</v>
      </c>
      <c r="AN74" s="3" t="s">
        <v>45</v>
      </c>
      <c r="AO74" s="3" t="s">
        <v>45</v>
      </c>
      <c r="AP74" s="3" t="s">
        <v>45</v>
      </c>
      <c r="AQ74" s="4" t="s">
        <v>907</v>
      </c>
      <c r="AR74" s="4" t="s">
        <v>907</v>
      </c>
    </row>
    <row r="75">
      <c r="A75" s="3" t="s">
        <v>910</v>
      </c>
      <c r="B75" s="3" t="s">
        <v>911</v>
      </c>
      <c r="C75" s="3" t="s">
        <v>717</v>
      </c>
      <c r="D75" s="3" t="s">
        <v>675</v>
      </c>
      <c r="E75" s="4" t="s">
        <v>901</v>
      </c>
      <c r="F75" s="3" t="s">
        <v>717</v>
      </c>
      <c r="G75" s="4" t="s">
        <v>912</v>
      </c>
      <c r="H75" s="4" t="s">
        <v>913</v>
      </c>
      <c r="I75" s="3" t="s">
        <v>49</v>
      </c>
      <c r="J75" s="3" t="s">
        <v>126</v>
      </c>
      <c r="K75" s="3" t="s">
        <v>45</v>
      </c>
      <c r="L75" s="3" t="s">
        <v>45</v>
      </c>
      <c r="M75" s="3" t="s">
        <v>45</v>
      </c>
      <c r="N75" s="4" t="s">
        <v>914</v>
      </c>
      <c r="O75" s="3" t="s">
        <v>390</v>
      </c>
      <c r="P75" s="3" t="s">
        <v>45</v>
      </c>
      <c r="Q75" s="3" t="s">
        <v>45</v>
      </c>
      <c r="R75" s="3" t="s">
        <v>45</v>
      </c>
      <c r="S75" s="3" t="s">
        <v>45</v>
      </c>
      <c r="T75" s="3" t="s">
        <v>45</v>
      </c>
      <c r="U75" s="3" t="s">
        <v>45</v>
      </c>
      <c r="V75" s="4" t="s">
        <v>915</v>
      </c>
      <c r="W75" s="3" t="s">
        <v>45</v>
      </c>
      <c r="X75" s="3" t="s">
        <v>45</v>
      </c>
      <c r="Y75" s="3" t="s">
        <v>45</v>
      </c>
      <c r="Z75" s="3" t="s">
        <v>74</v>
      </c>
      <c r="AA75" s="3" t="s">
        <v>45</v>
      </c>
      <c r="AB75" s="3" t="s">
        <v>45</v>
      </c>
      <c r="AC75" s="3" t="s">
        <v>45</v>
      </c>
      <c r="AD75" s="3" t="s">
        <v>45</v>
      </c>
      <c r="AE75" s="3" t="s">
        <v>45</v>
      </c>
      <c r="AF75" s="3" t="s">
        <v>45</v>
      </c>
      <c r="AG75" s="3" t="s">
        <v>45</v>
      </c>
      <c r="AH75" s="3" t="s">
        <v>57</v>
      </c>
      <c r="AI75" s="5" t="s">
        <v>916</v>
      </c>
      <c r="AJ75" s="3" t="s">
        <v>45</v>
      </c>
      <c r="AK75" s="3" t="s">
        <v>45</v>
      </c>
      <c r="AL75" s="3" t="s">
        <v>45</v>
      </c>
      <c r="AM75" s="3" t="s">
        <v>45</v>
      </c>
      <c r="AN75" s="3" t="s">
        <v>45</v>
      </c>
      <c r="AO75" s="3" t="s">
        <v>45</v>
      </c>
      <c r="AP75" s="3" t="s">
        <v>45</v>
      </c>
      <c r="AQ75" s="4" t="s">
        <v>603</v>
      </c>
      <c r="AR75" s="4" t="s">
        <v>603</v>
      </c>
    </row>
    <row r="76">
      <c r="A76" s="3" t="s">
        <v>917</v>
      </c>
      <c r="B76" s="3" t="s">
        <v>918</v>
      </c>
      <c r="C76" s="3" t="s">
        <v>717</v>
      </c>
      <c r="D76" s="3" t="s">
        <v>675</v>
      </c>
      <c r="E76" s="4" t="s">
        <v>901</v>
      </c>
      <c r="F76" s="3" t="s">
        <v>717</v>
      </c>
      <c r="G76" s="4" t="s">
        <v>919</v>
      </c>
      <c r="H76" s="4" t="s">
        <v>920</v>
      </c>
      <c r="I76" s="3" t="s">
        <v>49</v>
      </c>
      <c r="J76" s="3" t="s">
        <v>126</v>
      </c>
      <c r="K76" s="3" t="s">
        <v>45</v>
      </c>
      <c r="L76" s="3" t="s">
        <v>921</v>
      </c>
      <c r="M76" s="3" t="s">
        <v>45</v>
      </c>
      <c r="N76" s="4" t="s">
        <v>922</v>
      </c>
      <c r="O76" s="3" t="s">
        <v>53</v>
      </c>
      <c r="P76" s="3" t="s">
        <v>45</v>
      </c>
      <c r="Q76" s="3" t="s">
        <v>45</v>
      </c>
      <c r="R76" s="3" t="s">
        <v>45</v>
      </c>
      <c r="S76" s="3" t="s">
        <v>45</v>
      </c>
      <c r="T76" s="3" t="s">
        <v>45</v>
      </c>
      <c r="U76" s="3" t="s">
        <v>45</v>
      </c>
      <c r="V76" s="4" t="s">
        <v>923</v>
      </c>
      <c r="W76" s="3" t="s">
        <v>45</v>
      </c>
      <c r="X76" s="3" t="s">
        <v>45</v>
      </c>
      <c r="Y76" s="3" t="s">
        <v>45</v>
      </c>
      <c r="Z76" s="3" t="s">
        <v>74</v>
      </c>
      <c r="AA76" s="3" t="s">
        <v>45</v>
      </c>
      <c r="AB76" s="3" t="s">
        <v>45</v>
      </c>
      <c r="AC76" s="3" t="s">
        <v>45</v>
      </c>
      <c r="AD76" s="3" t="s">
        <v>45</v>
      </c>
      <c r="AE76" s="3" t="s">
        <v>45</v>
      </c>
      <c r="AF76" s="3" t="s">
        <v>45</v>
      </c>
      <c r="AG76" s="3" t="s">
        <v>45</v>
      </c>
      <c r="AH76" s="3" t="s">
        <v>57</v>
      </c>
      <c r="AI76" s="5" t="s">
        <v>924</v>
      </c>
      <c r="AJ76" s="3" t="s">
        <v>45</v>
      </c>
      <c r="AK76" s="3" t="s">
        <v>45</v>
      </c>
      <c r="AL76" s="3" t="s">
        <v>45</v>
      </c>
      <c r="AM76" s="3" t="s">
        <v>45</v>
      </c>
      <c r="AN76" s="3" t="s">
        <v>45</v>
      </c>
      <c r="AO76" s="3" t="s">
        <v>45</v>
      </c>
      <c r="AP76" s="3" t="s">
        <v>45</v>
      </c>
      <c r="AQ76" s="4" t="s">
        <v>925</v>
      </c>
      <c r="AR76" s="4" t="s">
        <v>925</v>
      </c>
    </row>
    <row r="77">
      <c r="A77" s="3" t="s">
        <v>926</v>
      </c>
      <c r="B77" s="3" t="s">
        <v>927</v>
      </c>
      <c r="C77" s="3" t="s">
        <v>717</v>
      </c>
      <c r="D77" s="3" t="s">
        <v>675</v>
      </c>
      <c r="E77" s="4" t="s">
        <v>928</v>
      </c>
      <c r="F77" s="3" t="s">
        <v>717</v>
      </c>
      <c r="G77" s="4" t="s">
        <v>929</v>
      </c>
      <c r="H77" s="4" t="s">
        <v>930</v>
      </c>
      <c r="I77" s="3" t="s">
        <v>218</v>
      </c>
      <c r="J77" s="3" t="s">
        <v>126</v>
      </c>
      <c r="K77" s="3" t="s">
        <v>45</v>
      </c>
      <c r="L77" s="3" t="s">
        <v>921</v>
      </c>
      <c r="M77" s="3" t="s">
        <v>45</v>
      </c>
      <c r="N77" s="4" t="s">
        <v>90</v>
      </c>
      <c r="O77" s="3" t="s">
        <v>88</v>
      </c>
      <c r="P77" s="3" t="s">
        <v>220</v>
      </c>
      <c r="Q77" s="3" t="s">
        <v>45</v>
      </c>
      <c r="R77" s="3" t="s">
        <v>45</v>
      </c>
      <c r="S77" s="3" t="s">
        <v>45</v>
      </c>
      <c r="T77" s="3" t="s">
        <v>45</v>
      </c>
      <c r="U77" s="3" t="s">
        <v>45</v>
      </c>
      <c r="V77" s="4" t="s">
        <v>931</v>
      </c>
      <c r="W77" s="3" t="s">
        <v>45</v>
      </c>
      <c r="X77" s="3" t="s">
        <v>45</v>
      </c>
      <c r="Y77" s="4" t="s">
        <v>317</v>
      </c>
      <c r="Z77" s="3" t="s">
        <v>74</v>
      </c>
      <c r="AA77" s="3" t="s">
        <v>45</v>
      </c>
      <c r="AB77" s="3" t="s">
        <v>45</v>
      </c>
      <c r="AC77" s="3" t="s">
        <v>45</v>
      </c>
      <c r="AD77" s="3" t="s">
        <v>45</v>
      </c>
      <c r="AE77" s="3" t="s">
        <v>45</v>
      </c>
      <c r="AF77" s="3" t="s">
        <v>45</v>
      </c>
      <c r="AG77" s="3" t="s">
        <v>45</v>
      </c>
      <c r="AH77" s="3" t="s">
        <v>57</v>
      </c>
      <c r="AI77" s="5" t="s">
        <v>932</v>
      </c>
      <c r="AJ77" s="5" t="s">
        <v>924</v>
      </c>
      <c r="AK77" s="3" t="s">
        <v>45</v>
      </c>
      <c r="AL77" s="3" t="s">
        <v>45</v>
      </c>
      <c r="AM77" s="3" t="s">
        <v>45</v>
      </c>
      <c r="AN77" s="3" t="s">
        <v>45</v>
      </c>
      <c r="AO77" s="3" t="s">
        <v>45</v>
      </c>
      <c r="AP77" s="3" t="s">
        <v>45</v>
      </c>
      <c r="AQ77" s="4" t="s">
        <v>933</v>
      </c>
      <c r="AR77" s="4" t="s">
        <v>933</v>
      </c>
    </row>
    <row r="78">
      <c r="A78" s="3" t="s">
        <v>934</v>
      </c>
      <c r="B78" s="3" t="s">
        <v>935</v>
      </c>
      <c r="C78" s="3" t="s">
        <v>717</v>
      </c>
      <c r="D78" s="3" t="s">
        <v>675</v>
      </c>
      <c r="E78" s="4" t="s">
        <v>928</v>
      </c>
      <c r="F78" s="3" t="s">
        <v>717</v>
      </c>
      <c r="G78" s="4" t="s">
        <v>936</v>
      </c>
      <c r="H78" s="4" t="s">
        <v>937</v>
      </c>
      <c r="I78" s="3" t="s">
        <v>85</v>
      </c>
      <c r="J78" s="3" t="s">
        <v>126</v>
      </c>
      <c r="K78" s="3" t="s">
        <v>45</v>
      </c>
      <c r="L78" s="3" t="s">
        <v>45</v>
      </c>
      <c r="M78" s="3" t="s">
        <v>45</v>
      </c>
      <c r="N78" s="3" t="s">
        <v>45</v>
      </c>
      <c r="O78" s="3" t="s">
        <v>74</v>
      </c>
      <c r="P78" s="3" t="s">
        <v>45</v>
      </c>
      <c r="Q78" s="3" t="s">
        <v>45</v>
      </c>
      <c r="R78" s="3" t="s">
        <v>45</v>
      </c>
      <c r="S78" s="3" t="s">
        <v>45</v>
      </c>
      <c r="T78" s="3" t="s">
        <v>45</v>
      </c>
      <c r="U78" s="3" t="s">
        <v>45</v>
      </c>
      <c r="V78" s="4" t="s">
        <v>938</v>
      </c>
      <c r="W78" s="3" t="s">
        <v>45</v>
      </c>
      <c r="X78" s="3" t="s">
        <v>45</v>
      </c>
      <c r="Y78" s="3" t="s">
        <v>45</v>
      </c>
      <c r="Z78" s="3" t="s">
        <v>74</v>
      </c>
      <c r="AA78" s="3" t="s">
        <v>45</v>
      </c>
      <c r="AB78" s="3" t="s">
        <v>45</v>
      </c>
      <c r="AC78" s="3" t="s">
        <v>45</v>
      </c>
      <c r="AD78" s="3" t="s">
        <v>45</v>
      </c>
      <c r="AE78" s="3" t="s">
        <v>45</v>
      </c>
      <c r="AF78" s="3" t="s">
        <v>45</v>
      </c>
      <c r="AG78" s="3" t="s">
        <v>45</v>
      </c>
      <c r="AH78" s="3" t="s">
        <v>57</v>
      </c>
      <c r="AI78" s="5" t="s">
        <v>939</v>
      </c>
      <c r="AJ78" s="3" t="s">
        <v>45</v>
      </c>
      <c r="AK78" s="3" t="s">
        <v>45</v>
      </c>
      <c r="AL78" s="3" t="s">
        <v>45</v>
      </c>
      <c r="AM78" s="3" t="s">
        <v>45</v>
      </c>
      <c r="AN78" s="3" t="s">
        <v>45</v>
      </c>
      <c r="AO78" s="3" t="s">
        <v>45</v>
      </c>
      <c r="AP78" s="3" t="s">
        <v>45</v>
      </c>
      <c r="AQ78" s="4" t="s">
        <v>854</v>
      </c>
      <c r="AR78" s="4" t="s">
        <v>854</v>
      </c>
    </row>
    <row r="79">
      <c r="A79" s="3" t="s">
        <v>940</v>
      </c>
      <c r="B79" s="3" t="s">
        <v>941</v>
      </c>
      <c r="C79" s="3" t="s">
        <v>717</v>
      </c>
      <c r="D79" s="3" t="s">
        <v>675</v>
      </c>
      <c r="E79" s="4" t="s">
        <v>901</v>
      </c>
      <c r="F79" s="3" t="s">
        <v>717</v>
      </c>
      <c r="G79" s="4" t="s">
        <v>942</v>
      </c>
      <c r="H79" s="4" t="s">
        <v>943</v>
      </c>
      <c r="I79" s="3" t="s">
        <v>85</v>
      </c>
      <c r="J79" s="3" t="s">
        <v>126</v>
      </c>
      <c r="K79" s="3" t="s">
        <v>45</v>
      </c>
      <c r="L79" s="3" t="s">
        <v>944</v>
      </c>
      <c r="M79" s="3" t="s">
        <v>45</v>
      </c>
      <c r="N79" s="4" t="s">
        <v>945</v>
      </c>
      <c r="O79" s="3" t="s">
        <v>722</v>
      </c>
      <c r="P79" s="3" t="s">
        <v>45</v>
      </c>
      <c r="Q79" s="3" t="s">
        <v>45</v>
      </c>
      <c r="R79" s="3" t="s">
        <v>45</v>
      </c>
      <c r="S79" s="3" t="s">
        <v>45</v>
      </c>
      <c r="T79" s="3" t="s">
        <v>45</v>
      </c>
      <c r="U79" s="3" t="s">
        <v>45</v>
      </c>
      <c r="V79" s="4" t="s">
        <v>946</v>
      </c>
      <c r="W79" s="3" t="s">
        <v>45</v>
      </c>
      <c r="X79" s="3" t="s">
        <v>45</v>
      </c>
      <c r="Y79" s="3" t="s">
        <v>45</v>
      </c>
      <c r="Z79" s="3" t="s">
        <v>74</v>
      </c>
      <c r="AA79" s="3" t="s">
        <v>45</v>
      </c>
      <c r="AB79" s="3" t="s">
        <v>45</v>
      </c>
      <c r="AC79" s="3" t="s">
        <v>45</v>
      </c>
      <c r="AD79" s="3" t="s">
        <v>45</v>
      </c>
      <c r="AE79" s="3" t="s">
        <v>45</v>
      </c>
      <c r="AF79" s="3" t="s">
        <v>45</v>
      </c>
      <c r="AG79" s="3" t="s">
        <v>45</v>
      </c>
      <c r="AH79" s="3" t="s">
        <v>57</v>
      </c>
      <c r="AI79" s="5" t="s">
        <v>947</v>
      </c>
      <c r="AJ79" s="3" t="s">
        <v>45</v>
      </c>
      <c r="AK79" s="3" t="s">
        <v>45</v>
      </c>
      <c r="AL79" s="3" t="s">
        <v>45</v>
      </c>
      <c r="AM79" s="3" t="s">
        <v>45</v>
      </c>
      <c r="AN79" s="3" t="s">
        <v>45</v>
      </c>
      <c r="AO79" s="3" t="s">
        <v>45</v>
      </c>
      <c r="AP79" s="3" t="s">
        <v>45</v>
      </c>
      <c r="AQ79" s="4" t="s">
        <v>948</v>
      </c>
      <c r="AR79" s="4" t="s">
        <v>948</v>
      </c>
    </row>
    <row r="80">
      <c r="A80" s="3" t="s">
        <v>949</v>
      </c>
      <c r="B80" s="3" t="s">
        <v>950</v>
      </c>
      <c r="C80" s="3" t="s">
        <v>717</v>
      </c>
      <c r="D80" s="3" t="s">
        <v>675</v>
      </c>
      <c r="E80" s="4" t="s">
        <v>951</v>
      </c>
      <c r="F80" s="3" t="s">
        <v>717</v>
      </c>
      <c r="G80" s="4" t="s">
        <v>952</v>
      </c>
      <c r="H80" s="4" t="s">
        <v>953</v>
      </c>
      <c r="I80" s="3" t="s">
        <v>408</v>
      </c>
      <c r="J80" s="3" t="s">
        <v>126</v>
      </c>
      <c r="K80" s="3" t="s">
        <v>45</v>
      </c>
      <c r="L80" s="3" t="s">
        <v>954</v>
      </c>
      <c r="M80" s="3" t="s">
        <v>45</v>
      </c>
      <c r="N80" s="4" t="s">
        <v>945</v>
      </c>
      <c r="O80" s="3" t="s">
        <v>722</v>
      </c>
      <c r="P80" s="3" t="s">
        <v>45</v>
      </c>
      <c r="Q80" s="3" t="s">
        <v>45</v>
      </c>
      <c r="R80" s="3" t="s">
        <v>45</v>
      </c>
      <c r="S80" s="4" t="s">
        <v>835</v>
      </c>
      <c r="T80" s="3" t="s">
        <v>45</v>
      </c>
      <c r="U80" s="3" t="s">
        <v>45</v>
      </c>
      <c r="V80" s="4" t="s">
        <v>955</v>
      </c>
      <c r="W80" s="4" t="s">
        <v>956</v>
      </c>
      <c r="X80" s="3" t="s">
        <v>45</v>
      </c>
      <c r="Y80" s="4" t="s">
        <v>957</v>
      </c>
      <c r="Z80" s="3" t="s">
        <v>74</v>
      </c>
      <c r="AA80" s="3" t="s">
        <v>45</v>
      </c>
      <c r="AB80" s="3" t="s">
        <v>45</v>
      </c>
      <c r="AC80" s="3" t="s">
        <v>45</v>
      </c>
      <c r="AD80" s="3" t="s">
        <v>45</v>
      </c>
      <c r="AE80" s="3" t="s">
        <v>45</v>
      </c>
      <c r="AF80" s="3" t="s">
        <v>45</v>
      </c>
      <c r="AG80" s="3" t="s">
        <v>958</v>
      </c>
      <c r="AH80" s="3" t="s">
        <v>57</v>
      </c>
      <c r="AI80" s="5" t="s">
        <v>959</v>
      </c>
      <c r="AJ80" s="3" t="s">
        <v>45</v>
      </c>
      <c r="AK80" s="3" t="s">
        <v>45</v>
      </c>
      <c r="AL80" s="3" t="s">
        <v>45</v>
      </c>
      <c r="AM80" s="3" t="s">
        <v>45</v>
      </c>
      <c r="AN80" s="3" t="s">
        <v>45</v>
      </c>
      <c r="AO80" s="3" t="s">
        <v>45</v>
      </c>
      <c r="AP80" s="3" t="s">
        <v>45</v>
      </c>
      <c r="AQ80" s="4" t="s">
        <v>162</v>
      </c>
      <c r="AR80" s="4" t="s">
        <v>162</v>
      </c>
    </row>
    <row r="81">
      <c r="A81" s="3" t="s">
        <v>960</v>
      </c>
      <c r="B81" s="3" t="s">
        <v>961</v>
      </c>
      <c r="C81" s="3" t="s">
        <v>962</v>
      </c>
      <c r="D81" s="3" t="s">
        <v>675</v>
      </c>
      <c r="E81" s="4" t="s">
        <v>963</v>
      </c>
      <c r="F81" s="3" t="s">
        <v>964</v>
      </c>
      <c r="G81" s="4" t="s">
        <v>965</v>
      </c>
      <c r="H81" s="4" t="s">
        <v>966</v>
      </c>
      <c r="I81" s="3" t="s">
        <v>85</v>
      </c>
      <c r="J81" s="3" t="s">
        <v>126</v>
      </c>
      <c r="K81" s="3" t="s">
        <v>45</v>
      </c>
      <c r="L81" s="3" t="s">
        <v>45</v>
      </c>
      <c r="M81" s="3" t="s">
        <v>45</v>
      </c>
      <c r="N81" s="3" t="s">
        <v>45</v>
      </c>
      <c r="O81" s="3" t="s">
        <v>74</v>
      </c>
      <c r="P81" s="3" t="s">
        <v>45</v>
      </c>
      <c r="Q81" s="3" t="s">
        <v>45</v>
      </c>
      <c r="R81" s="3" t="s">
        <v>45</v>
      </c>
      <c r="S81" s="3" t="s">
        <v>45</v>
      </c>
      <c r="T81" s="3" t="s">
        <v>45</v>
      </c>
      <c r="U81" s="3" t="s">
        <v>45</v>
      </c>
      <c r="V81" s="3" t="s">
        <v>45</v>
      </c>
      <c r="W81" s="3" t="s">
        <v>45</v>
      </c>
      <c r="X81" s="3" t="s">
        <v>45</v>
      </c>
      <c r="Y81" s="3" t="s">
        <v>45</v>
      </c>
      <c r="Z81" s="3" t="s">
        <v>74</v>
      </c>
      <c r="AA81" s="3" t="s">
        <v>45</v>
      </c>
      <c r="AB81" s="3" t="s">
        <v>45</v>
      </c>
      <c r="AC81" s="3" t="s">
        <v>45</v>
      </c>
      <c r="AD81" s="3" t="s">
        <v>45</v>
      </c>
      <c r="AE81" s="3" t="s">
        <v>45</v>
      </c>
      <c r="AF81" s="3" t="s">
        <v>45</v>
      </c>
      <c r="AG81" s="3" t="s">
        <v>45</v>
      </c>
      <c r="AH81" s="3" t="s">
        <v>57</v>
      </c>
      <c r="AI81" s="5" t="s">
        <v>967</v>
      </c>
      <c r="AJ81" s="3" t="s">
        <v>45</v>
      </c>
      <c r="AK81" s="3" t="s">
        <v>45</v>
      </c>
      <c r="AL81" s="3" t="s">
        <v>45</v>
      </c>
      <c r="AM81" s="3" t="s">
        <v>45</v>
      </c>
      <c r="AN81" s="3" t="s">
        <v>45</v>
      </c>
      <c r="AO81" s="3" t="s">
        <v>45</v>
      </c>
      <c r="AP81" s="3" t="s">
        <v>45</v>
      </c>
      <c r="AQ81" s="4" t="s">
        <v>968</v>
      </c>
      <c r="AR81" s="4" t="s">
        <v>968</v>
      </c>
    </row>
    <row r="82">
      <c r="A82" s="3" t="s">
        <v>969</v>
      </c>
      <c r="B82" s="3" t="s">
        <v>970</v>
      </c>
      <c r="C82" s="3" t="s">
        <v>971</v>
      </c>
      <c r="D82" s="3" t="s">
        <v>675</v>
      </c>
      <c r="E82" s="4" t="s">
        <v>972</v>
      </c>
      <c r="F82" s="3" t="s">
        <v>717</v>
      </c>
      <c r="G82" s="4" t="s">
        <v>973</v>
      </c>
      <c r="H82" s="4" t="s">
        <v>974</v>
      </c>
      <c r="I82" s="3" t="s">
        <v>85</v>
      </c>
      <c r="J82" s="3" t="s">
        <v>126</v>
      </c>
      <c r="K82" s="3" t="s">
        <v>45</v>
      </c>
      <c r="L82" s="3" t="s">
        <v>45</v>
      </c>
      <c r="M82" s="3" t="s">
        <v>45</v>
      </c>
      <c r="N82" s="3" t="s">
        <v>45</v>
      </c>
      <c r="O82" s="3" t="s">
        <v>74</v>
      </c>
      <c r="P82" s="3" t="s">
        <v>45</v>
      </c>
      <c r="Q82" s="3" t="s">
        <v>45</v>
      </c>
      <c r="R82" s="3" t="s">
        <v>45</v>
      </c>
      <c r="S82" s="3" t="s">
        <v>45</v>
      </c>
      <c r="T82" s="3" t="s">
        <v>45</v>
      </c>
      <c r="U82" s="3" t="s">
        <v>45</v>
      </c>
      <c r="V82" s="3" t="s">
        <v>45</v>
      </c>
      <c r="W82" s="3" t="s">
        <v>45</v>
      </c>
      <c r="X82" s="3" t="s">
        <v>45</v>
      </c>
      <c r="Y82" s="3" t="s">
        <v>45</v>
      </c>
      <c r="Z82" s="3" t="s">
        <v>74</v>
      </c>
      <c r="AA82" s="3" t="s">
        <v>45</v>
      </c>
      <c r="AB82" s="3" t="s">
        <v>45</v>
      </c>
      <c r="AC82" s="3" t="s">
        <v>45</v>
      </c>
      <c r="AD82" s="3" t="s">
        <v>45</v>
      </c>
      <c r="AE82" s="3" t="s">
        <v>45</v>
      </c>
      <c r="AF82" s="3" t="s">
        <v>45</v>
      </c>
      <c r="AG82" s="3" t="s">
        <v>45</v>
      </c>
      <c r="AH82" s="3" t="s">
        <v>57</v>
      </c>
      <c r="AI82" s="5" t="s">
        <v>967</v>
      </c>
      <c r="AJ82" s="5" t="s">
        <v>975</v>
      </c>
      <c r="AK82" s="3" t="s">
        <v>45</v>
      </c>
      <c r="AL82" s="3" t="s">
        <v>45</v>
      </c>
      <c r="AM82" s="3" t="s">
        <v>45</v>
      </c>
      <c r="AN82" s="3" t="s">
        <v>45</v>
      </c>
      <c r="AO82" s="3" t="s">
        <v>45</v>
      </c>
      <c r="AP82" s="3" t="s">
        <v>45</v>
      </c>
      <c r="AQ82" s="4" t="s">
        <v>968</v>
      </c>
      <c r="AR82" s="4" t="s">
        <v>968</v>
      </c>
    </row>
    <row r="83">
      <c r="A83" s="3" t="s">
        <v>976</v>
      </c>
      <c r="B83" s="3" t="s">
        <v>977</v>
      </c>
      <c r="C83" s="3" t="s">
        <v>971</v>
      </c>
      <c r="D83" s="3" t="s">
        <v>675</v>
      </c>
      <c r="E83" s="4" t="s">
        <v>978</v>
      </c>
      <c r="F83" s="3" t="s">
        <v>717</v>
      </c>
      <c r="G83" s="4" t="s">
        <v>979</v>
      </c>
      <c r="H83" s="4" t="s">
        <v>980</v>
      </c>
      <c r="I83" s="3" t="s">
        <v>49</v>
      </c>
      <c r="J83" s="3" t="s">
        <v>126</v>
      </c>
      <c r="K83" s="3" t="s">
        <v>45</v>
      </c>
      <c r="L83" s="3" t="s">
        <v>45</v>
      </c>
      <c r="M83" s="3" t="s">
        <v>45</v>
      </c>
      <c r="N83" s="4" t="s">
        <v>981</v>
      </c>
      <c r="O83" s="3" t="s">
        <v>390</v>
      </c>
      <c r="P83" s="3" t="s">
        <v>45</v>
      </c>
      <c r="Q83" s="3" t="s">
        <v>45</v>
      </c>
      <c r="R83" s="3" t="s">
        <v>45</v>
      </c>
      <c r="S83" s="3" t="s">
        <v>45</v>
      </c>
      <c r="T83" s="3" t="s">
        <v>45</v>
      </c>
      <c r="U83" s="3" t="s">
        <v>45</v>
      </c>
      <c r="V83" s="4" t="s">
        <v>982</v>
      </c>
      <c r="W83" s="4" t="s">
        <v>922</v>
      </c>
      <c r="X83" s="3" t="s">
        <v>45</v>
      </c>
      <c r="Y83" s="3" t="s">
        <v>45</v>
      </c>
      <c r="Z83" s="3" t="s">
        <v>74</v>
      </c>
      <c r="AA83" s="3" t="s">
        <v>45</v>
      </c>
      <c r="AB83" s="3" t="s">
        <v>45</v>
      </c>
      <c r="AC83" s="3" t="s">
        <v>45</v>
      </c>
      <c r="AD83" s="3" t="s">
        <v>45</v>
      </c>
      <c r="AE83" s="3" t="s">
        <v>45</v>
      </c>
      <c r="AF83" s="3" t="s">
        <v>45</v>
      </c>
      <c r="AG83" s="3" t="s">
        <v>45</v>
      </c>
      <c r="AH83" s="3" t="s">
        <v>57</v>
      </c>
      <c r="AI83" s="5" t="s">
        <v>983</v>
      </c>
      <c r="AJ83" s="3" t="s">
        <v>45</v>
      </c>
      <c r="AK83" s="3" t="s">
        <v>45</v>
      </c>
      <c r="AL83" s="3" t="s">
        <v>45</v>
      </c>
      <c r="AM83" s="3" t="s">
        <v>45</v>
      </c>
      <c r="AN83" s="3" t="s">
        <v>45</v>
      </c>
      <c r="AO83" s="3" t="s">
        <v>45</v>
      </c>
      <c r="AP83" s="3" t="s">
        <v>45</v>
      </c>
      <c r="AQ83" s="4" t="s">
        <v>379</v>
      </c>
      <c r="AR83" s="4" t="s">
        <v>379</v>
      </c>
    </row>
    <row r="84">
      <c r="A84" s="3" t="s">
        <v>225</v>
      </c>
      <c r="B84" s="3" t="s">
        <v>984</v>
      </c>
      <c r="C84" s="3" t="s">
        <v>985</v>
      </c>
      <c r="D84" s="3" t="s">
        <v>675</v>
      </c>
      <c r="E84" s="4" t="s">
        <v>986</v>
      </c>
      <c r="F84" s="3" t="s">
        <v>699</v>
      </c>
      <c r="G84" s="4" t="s">
        <v>987</v>
      </c>
      <c r="H84" s="4" t="s">
        <v>988</v>
      </c>
      <c r="I84" s="3" t="s">
        <v>49</v>
      </c>
      <c r="J84" s="3" t="s">
        <v>50</v>
      </c>
      <c r="K84" s="3" t="s">
        <v>45</v>
      </c>
      <c r="L84" s="3" t="s">
        <v>45</v>
      </c>
      <c r="M84" s="3" t="s">
        <v>45</v>
      </c>
      <c r="N84" s="4" t="s">
        <v>989</v>
      </c>
      <c r="O84" s="3" t="s">
        <v>88</v>
      </c>
      <c r="P84" s="3" t="s">
        <v>71</v>
      </c>
      <c r="Q84" s="3" t="s">
        <v>55</v>
      </c>
      <c r="R84" s="4" t="s">
        <v>247</v>
      </c>
      <c r="S84" s="3" t="s">
        <v>45</v>
      </c>
      <c r="T84" s="3" t="s">
        <v>45</v>
      </c>
      <c r="U84" s="3" t="s">
        <v>221</v>
      </c>
      <c r="V84" s="4" t="s">
        <v>990</v>
      </c>
      <c r="W84" s="4" t="s">
        <v>90</v>
      </c>
      <c r="X84" s="3" t="s">
        <v>45</v>
      </c>
      <c r="Y84" s="3" t="s">
        <v>45</v>
      </c>
      <c r="Z84" s="3" t="s">
        <v>74</v>
      </c>
      <c r="AA84" s="3" t="s">
        <v>45</v>
      </c>
      <c r="AB84" s="3" t="s">
        <v>45</v>
      </c>
      <c r="AC84" s="3" t="s">
        <v>45</v>
      </c>
      <c r="AD84" s="3" t="s">
        <v>45</v>
      </c>
      <c r="AE84" s="3" t="s">
        <v>45</v>
      </c>
      <c r="AF84" s="3" t="s">
        <v>45</v>
      </c>
      <c r="AG84" s="3" t="s">
        <v>45</v>
      </c>
      <c r="AH84" s="3" t="s">
        <v>57</v>
      </c>
      <c r="AI84" s="5" t="s">
        <v>991</v>
      </c>
      <c r="AJ84" s="3" t="s">
        <v>45</v>
      </c>
      <c r="AK84" s="3" t="s">
        <v>45</v>
      </c>
      <c r="AL84" s="3" t="s">
        <v>45</v>
      </c>
      <c r="AM84" s="3" t="s">
        <v>45</v>
      </c>
      <c r="AN84" s="3" t="s">
        <v>45</v>
      </c>
      <c r="AO84" s="3" t="s">
        <v>45</v>
      </c>
      <c r="AP84" s="3" t="s">
        <v>45</v>
      </c>
      <c r="AQ84" s="4" t="s">
        <v>78</v>
      </c>
      <c r="AR84" s="4" t="s">
        <v>78</v>
      </c>
    </row>
    <row r="85">
      <c r="A85" s="3" t="s">
        <v>992</v>
      </c>
      <c r="B85" s="3" t="s">
        <v>993</v>
      </c>
      <c r="C85" s="3" t="s">
        <v>994</v>
      </c>
      <c r="D85" s="3" t="s">
        <v>675</v>
      </c>
      <c r="E85" s="4" t="s">
        <v>995</v>
      </c>
      <c r="F85" s="3" t="s">
        <v>706</v>
      </c>
      <c r="G85" s="4" t="s">
        <v>996</v>
      </c>
      <c r="H85" s="4" t="s">
        <v>997</v>
      </c>
      <c r="I85" s="3" t="s">
        <v>49</v>
      </c>
      <c r="J85" s="3" t="s">
        <v>126</v>
      </c>
      <c r="K85" s="3" t="s">
        <v>45</v>
      </c>
      <c r="L85" s="3" t="s">
        <v>998</v>
      </c>
      <c r="M85" s="3" t="s">
        <v>45</v>
      </c>
      <c r="N85" s="4" t="s">
        <v>389</v>
      </c>
      <c r="O85" s="3" t="s">
        <v>390</v>
      </c>
      <c r="P85" s="3" t="s">
        <v>45</v>
      </c>
      <c r="Q85" s="3" t="s">
        <v>45</v>
      </c>
      <c r="R85" s="3" t="s">
        <v>45</v>
      </c>
      <c r="S85" s="3" t="s">
        <v>45</v>
      </c>
      <c r="T85" s="3" t="s">
        <v>45</v>
      </c>
      <c r="U85" s="3" t="s">
        <v>45</v>
      </c>
      <c r="V85" s="4" t="s">
        <v>999</v>
      </c>
      <c r="W85" s="4" t="s">
        <v>582</v>
      </c>
      <c r="X85" s="3" t="s">
        <v>45</v>
      </c>
      <c r="Y85" s="3" t="s">
        <v>45</v>
      </c>
      <c r="Z85" s="3" t="s">
        <v>74</v>
      </c>
      <c r="AA85" s="3" t="s">
        <v>45</v>
      </c>
      <c r="AB85" s="3" t="s">
        <v>45</v>
      </c>
      <c r="AC85" s="3" t="s">
        <v>45</v>
      </c>
      <c r="AD85" s="3" t="s">
        <v>45</v>
      </c>
      <c r="AE85" s="3" t="s">
        <v>45</v>
      </c>
      <c r="AF85" s="3" t="s">
        <v>45</v>
      </c>
      <c r="AG85" s="3" t="s">
        <v>45</v>
      </c>
      <c r="AH85" s="3" t="s">
        <v>57</v>
      </c>
      <c r="AI85" s="5" t="s">
        <v>1000</v>
      </c>
      <c r="AJ85" s="3" t="s">
        <v>45</v>
      </c>
      <c r="AK85" s="3" t="s">
        <v>45</v>
      </c>
      <c r="AL85" s="3" t="s">
        <v>45</v>
      </c>
      <c r="AM85" s="3" t="s">
        <v>45</v>
      </c>
      <c r="AN85" s="3" t="s">
        <v>45</v>
      </c>
      <c r="AO85" s="3" t="s">
        <v>45</v>
      </c>
      <c r="AP85" s="3" t="s">
        <v>45</v>
      </c>
      <c r="AQ85" s="4" t="s">
        <v>1001</v>
      </c>
      <c r="AR85" s="4" t="s">
        <v>1001</v>
      </c>
    </row>
    <row r="86">
      <c r="A86" s="3" t="s">
        <v>1002</v>
      </c>
      <c r="B86" s="3" t="s">
        <v>1003</v>
      </c>
      <c r="C86" s="3" t="s">
        <v>1004</v>
      </c>
      <c r="D86" s="3" t="s">
        <v>1005</v>
      </c>
      <c r="E86" s="4" t="s">
        <v>1006</v>
      </c>
      <c r="F86" s="3" t="s">
        <v>1007</v>
      </c>
      <c r="G86" s="4" t="s">
        <v>1008</v>
      </c>
      <c r="H86" s="4" t="s">
        <v>1009</v>
      </c>
      <c r="I86" s="3" t="s">
        <v>218</v>
      </c>
      <c r="J86" s="3" t="s">
        <v>126</v>
      </c>
      <c r="K86" s="3" t="s">
        <v>45</v>
      </c>
      <c r="L86" s="3" t="s">
        <v>552</v>
      </c>
      <c r="M86" s="3" t="s">
        <v>45</v>
      </c>
      <c r="N86" s="4" t="s">
        <v>668</v>
      </c>
      <c r="O86" s="3" t="s">
        <v>88</v>
      </c>
      <c r="P86" s="3" t="s">
        <v>1010</v>
      </c>
      <c r="Q86" s="3" t="s">
        <v>45</v>
      </c>
      <c r="R86" s="3" t="s">
        <v>1011</v>
      </c>
      <c r="S86" s="4" t="s">
        <v>104</v>
      </c>
      <c r="T86" s="3" t="s">
        <v>89</v>
      </c>
      <c r="U86" s="3" t="s">
        <v>45</v>
      </c>
      <c r="V86" s="3" t="s">
        <v>45</v>
      </c>
      <c r="W86" s="4" t="s">
        <v>1012</v>
      </c>
      <c r="X86" s="3" t="s">
        <v>45</v>
      </c>
      <c r="Y86" s="3" t="s">
        <v>45</v>
      </c>
      <c r="Z86" s="3" t="s">
        <v>45</v>
      </c>
      <c r="AA86" s="3" t="s">
        <v>45</v>
      </c>
      <c r="AB86" s="3" t="s">
        <v>45</v>
      </c>
      <c r="AC86" s="3" t="s">
        <v>45</v>
      </c>
      <c r="AD86" s="3" t="s">
        <v>45</v>
      </c>
      <c r="AE86" s="3" t="s">
        <v>45</v>
      </c>
      <c r="AF86" s="3" t="s">
        <v>45</v>
      </c>
      <c r="AG86" s="3" t="s">
        <v>45</v>
      </c>
      <c r="AH86" s="3" t="s">
        <v>840</v>
      </c>
      <c r="AI86" s="5" t="s">
        <v>1013</v>
      </c>
      <c r="AJ86" s="5" t="s">
        <v>1014</v>
      </c>
      <c r="AK86" s="5" t="s">
        <v>1015</v>
      </c>
      <c r="AL86" s="3" t="s">
        <v>45</v>
      </c>
      <c r="AM86" s="3" t="s">
        <v>45</v>
      </c>
      <c r="AN86" s="3" t="s">
        <v>45</v>
      </c>
      <c r="AO86" s="3" t="s">
        <v>45</v>
      </c>
      <c r="AP86" s="3" t="s">
        <v>45</v>
      </c>
      <c r="AQ86" s="4" t="s">
        <v>1016</v>
      </c>
      <c r="AR86" s="4" t="s">
        <v>1016</v>
      </c>
    </row>
    <row r="87">
      <c r="A87" s="3" t="s">
        <v>1017</v>
      </c>
      <c r="B87" s="3" t="s">
        <v>1018</v>
      </c>
      <c r="C87" s="3" t="s">
        <v>1019</v>
      </c>
      <c r="D87" s="3" t="s">
        <v>1005</v>
      </c>
      <c r="E87" s="4" t="s">
        <v>1020</v>
      </c>
      <c r="F87" s="3" t="s">
        <v>1007</v>
      </c>
      <c r="G87" s="4" t="s">
        <v>1021</v>
      </c>
      <c r="H87" s="4" t="s">
        <v>1022</v>
      </c>
      <c r="I87" s="3" t="s">
        <v>85</v>
      </c>
      <c r="J87" s="3" t="s">
        <v>126</v>
      </c>
      <c r="K87" s="3" t="s">
        <v>45</v>
      </c>
      <c r="L87" s="3" t="s">
        <v>45</v>
      </c>
      <c r="M87" s="3" t="s">
        <v>45</v>
      </c>
      <c r="N87" s="4" t="s">
        <v>233</v>
      </c>
      <c r="O87" s="3" t="s">
        <v>53</v>
      </c>
      <c r="P87" s="3" t="s">
        <v>45</v>
      </c>
      <c r="Q87" s="3" t="s">
        <v>45</v>
      </c>
      <c r="R87" s="3" t="s">
        <v>45</v>
      </c>
      <c r="S87" s="3" t="s">
        <v>45</v>
      </c>
      <c r="T87" s="3" t="s">
        <v>45</v>
      </c>
      <c r="U87" s="3" t="s">
        <v>45</v>
      </c>
      <c r="V87" s="4" t="s">
        <v>1023</v>
      </c>
      <c r="W87" s="3" t="s">
        <v>45</v>
      </c>
      <c r="X87" s="3" t="s">
        <v>45</v>
      </c>
      <c r="Y87" s="3" t="s">
        <v>45</v>
      </c>
      <c r="Z87" s="3" t="s">
        <v>74</v>
      </c>
      <c r="AA87" s="3" t="s">
        <v>45</v>
      </c>
      <c r="AB87" s="3" t="s">
        <v>45</v>
      </c>
      <c r="AC87" s="3" t="s">
        <v>45</v>
      </c>
      <c r="AD87" s="3" t="s">
        <v>45</v>
      </c>
      <c r="AE87" s="3" t="s">
        <v>45</v>
      </c>
      <c r="AF87" s="3" t="s">
        <v>45</v>
      </c>
      <c r="AG87" s="3" t="s">
        <v>45</v>
      </c>
      <c r="AH87" s="3" t="s">
        <v>57</v>
      </c>
      <c r="AI87" s="5" t="s">
        <v>1024</v>
      </c>
      <c r="AJ87" s="3" t="s">
        <v>45</v>
      </c>
      <c r="AK87" s="3" t="s">
        <v>45</v>
      </c>
      <c r="AL87" s="3" t="s">
        <v>45</v>
      </c>
      <c r="AM87" s="3" t="s">
        <v>45</v>
      </c>
      <c r="AN87" s="3" t="s">
        <v>45</v>
      </c>
      <c r="AO87" s="3" t="s">
        <v>45</v>
      </c>
      <c r="AP87" s="3" t="s">
        <v>45</v>
      </c>
      <c r="AQ87" s="4" t="s">
        <v>551</v>
      </c>
      <c r="AR87" s="4" t="s">
        <v>551</v>
      </c>
    </row>
    <row r="88">
      <c r="A88" s="3" t="s">
        <v>1025</v>
      </c>
      <c r="B88" s="3" t="s">
        <v>1026</v>
      </c>
      <c r="C88" s="3" t="s">
        <v>1027</v>
      </c>
      <c r="D88" s="3" t="s">
        <v>1005</v>
      </c>
      <c r="E88" s="4" t="s">
        <v>1028</v>
      </c>
      <c r="F88" s="3" t="s">
        <v>1029</v>
      </c>
      <c r="G88" s="4" t="s">
        <v>1030</v>
      </c>
      <c r="H88" s="4" t="s">
        <v>1031</v>
      </c>
      <c r="I88" s="3" t="s">
        <v>85</v>
      </c>
      <c r="J88" s="3" t="s">
        <v>126</v>
      </c>
      <c r="K88" s="3" t="s">
        <v>1032</v>
      </c>
      <c r="L88" s="3" t="s">
        <v>1033</v>
      </c>
      <c r="M88" s="3" t="s">
        <v>45</v>
      </c>
      <c r="N88" s="4" t="s">
        <v>835</v>
      </c>
      <c r="O88" s="3" t="s">
        <v>53</v>
      </c>
      <c r="P88" s="3" t="s">
        <v>45</v>
      </c>
      <c r="Q88" s="3" t="s">
        <v>45</v>
      </c>
      <c r="R88" s="3" t="s">
        <v>45</v>
      </c>
      <c r="S88" s="3" t="s">
        <v>45</v>
      </c>
      <c r="T88" s="3" t="s">
        <v>45</v>
      </c>
      <c r="U88" s="3" t="s">
        <v>45</v>
      </c>
      <c r="V88" s="4" t="s">
        <v>1034</v>
      </c>
      <c r="W88" s="3" t="s">
        <v>45</v>
      </c>
      <c r="X88" s="3" t="s">
        <v>45</v>
      </c>
      <c r="Y88" s="3" t="s">
        <v>45</v>
      </c>
      <c r="Z88" s="3" t="s">
        <v>74</v>
      </c>
      <c r="AA88" s="3" t="s">
        <v>45</v>
      </c>
      <c r="AB88" s="3" t="s">
        <v>45</v>
      </c>
      <c r="AC88" s="3" t="s">
        <v>45</v>
      </c>
      <c r="AD88" s="3" t="s">
        <v>45</v>
      </c>
      <c r="AE88" s="3" t="s">
        <v>45</v>
      </c>
      <c r="AF88" s="3" t="s">
        <v>45</v>
      </c>
      <c r="AG88" s="3" t="s">
        <v>45</v>
      </c>
      <c r="AH88" s="3" t="s">
        <v>57</v>
      </c>
      <c r="AI88" s="5" t="s">
        <v>294</v>
      </c>
      <c r="AJ88" s="5" t="s">
        <v>1035</v>
      </c>
      <c r="AK88" s="3" t="s">
        <v>45</v>
      </c>
      <c r="AL88" s="3" t="s">
        <v>45</v>
      </c>
      <c r="AM88" s="3" t="s">
        <v>45</v>
      </c>
      <c r="AN88" s="3" t="s">
        <v>45</v>
      </c>
      <c r="AO88" s="3" t="s">
        <v>45</v>
      </c>
      <c r="AP88" s="3" t="s">
        <v>45</v>
      </c>
      <c r="AQ88" s="4" t="s">
        <v>295</v>
      </c>
      <c r="AR88" s="4" t="s">
        <v>296</v>
      </c>
    </row>
    <row r="89">
      <c r="A89" s="3" t="s">
        <v>1036</v>
      </c>
      <c r="B89" s="3" t="s">
        <v>1037</v>
      </c>
      <c r="C89" s="3" t="s">
        <v>1027</v>
      </c>
      <c r="D89" s="3" t="s">
        <v>1005</v>
      </c>
      <c r="E89" s="4" t="s">
        <v>1038</v>
      </c>
      <c r="F89" s="3" t="s">
        <v>1029</v>
      </c>
      <c r="G89" s="4" t="s">
        <v>1039</v>
      </c>
      <c r="H89" s="4" t="s">
        <v>1040</v>
      </c>
      <c r="I89" s="3" t="s">
        <v>218</v>
      </c>
      <c r="J89" s="3" t="s">
        <v>126</v>
      </c>
      <c r="K89" s="3" t="s">
        <v>45</v>
      </c>
      <c r="L89" s="3" t="s">
        <v>1041</v>
      </c>
      <c r="M89" s="3" t="s">
        <v>45</v>
      </c>
      <c r="N89" s="4" t="s">
        <v>709</v>
      </c>
      <c r="O89" s="3" t="s">
        <v>390</v>
      </c>
      <c r="P89" s="3" t="s">
        <v>45</v>
      </c>
      <c r="Q89" s="3" t="s">
        <v>45</v>
      </c>
      <c r="R89" s="3" t="s">
        <v>45</v>
      </c>
      <c r="S89" s="3" t="s">
        <v>45</v>
      </c>
      <c r="T89" s="3" t="s">
        <v>45</v>
      </c>
      <c r="U89" s="3" t="s">
        <v>221</v>
      </c>
      <c r="V89" s="4" t="s">
        <v>1042</v>
      </c>
      <c r="W89" s="4" t="s">
        <v>1043</v>
      </c>
      <c r="X89" s="3" t="s">
        <v>45</v>
      </c>
      <c r="Y89" s="3" t="s">
        <v>45</v>
      </c>
      <c r="Z89" s="3" t="s">
        <v>55</v>
      </c>
      <c r="AA89" s="5" t="s">
        <v>1044</v>
      </c>
      <c r="AB89" s="3" t="s">
        <v>109</v>
      </c>
      <c r="AC89" s="3" t="s">
        <v>45</v>
      </c>
      <c r="AD89" s="5" t="s">
        <v>1045</v>
      </c>
      <c r="AE89" s="5" t="s">
        <v>1046</v>
      </c>
      <c r="AF89" s="3" t="s">
        <v>45</v>
      </c>
      <c r="AG89" s="3" t="s">
        <v>45</v>
      </c>
      <c r="AH89" s="3" t="s">
        <v>57</v>
      </c>
      <c r="AI89" s="5" t="s">
        <v>1047</v>
      </c>
      <c r="AJ89" s="5" t="s">
        <v>1048</v>
      </c>
      <c r="AK89" s="3" t="s">
        <v>45</v>
      </c>
      <c r="AL89" s="3" t="s">
        <v>45</v>
      </c>
      <c r="AM89" s="3" t="s">
        <v>45</v>
      </c>
      <c r="AN89" s="3" t="s">
        <v>45</v>
      </c>
      <c r="AO89" s="3" t="s">
        <v>45</v>
      </c>
      <c r="AP89" s="3" t="s">
        <v>45</v>
      </c>
      <c r="AQ89" s="4" t="s">
        <v>1049</v>
      </c>
      <c r="AR89" s="4" t="s">
        <v>1050</v>
      </c>
    </row>
    <row r="90">
      <c r="A90" s="3" t="s">
        <v>1051</v>
      </c>
      <c r="B90" s="3" t="s">
        <v>1052</v>
      </c>
      <c r="C90" s="3" t="s">
        <v>1053</v>
      </c>
      <c r="D90" s="3" t="s">
        <v>1005</v>
      </c>
      <c r="E90" s="4" t="s">
        <v>1054</v>
      </c>
      <c r="F90" s="3" t="s">
        <v>1053</v>
      </c>
      <c r="G90" s="4" t="s">
        <v>1055</v>
      </c>
      <c r="H90" s="4" t="s">
        <v>1056</v>
      </c>
      <c r="I90" s="3" t="s">
        <v>85</v>
      </c>
      <c r="J90" s="3" t="s">
        <v>126</v>
      </c>
      <c r="K90" s="3" t="s">
        <v>45</v>
      </c>
      <c r="L90" s="3" t="s">
        <v>954</v>
      </c>
      <c r="M90" s="3" t="s">
        <v>45</v>
      </c>
      <c r="N90" s="3" t="s">
        <v>45</v>
      </c>
      <c r="O90" s="3" t="s">
        <v>390</v>
      </c>
      <c r="P90" s="3" t="s">
        <v>45</v>
      </c>
      <c r="Q90" s="3" t="s">
        <v>45</v>
      </c>
      <c r="R90" s="3" t="s">
        <v>45</v>
      </c>
      <c r="S90" s="3" t="s">
        <v>45</v>
      </c>
      <c r="T90" s="3" t="s">
        <v>45</v>
      </c>
      <c r="U90" s="3" t="s">
        <v>45</v>
      </c>
      <c r="V90" s="4" t="s">
        <v>1057</v>
      </c>
      <c r="W90" s="3" t="s">
        <v>45</v>
      </c>
      <c r="X90" s="3" t="s">
        <v>45</v>
      </c>
      <c r="Y90" s="3" t="s">
        <v>45</v>
      </c>
      <c r="Z90" s="3" t="s">
        <v>74</v>
      </c>
      <c r="AA90" s="3" t="s">
        <v>45</v>
      </c>
      <c r="AB90" s="3" t="s">
        <v>45</v>
      </c>
      <c r="AC90" s="3" t="s">
        <v>45</v>
      </c>
      <c r="AD90" s="3" t="s">
        <v>45</v>
      </c>
      <c r="AE90" s="3" t="s">
        <v>45</v>
      </c>
      <c r="AF90" s="3" t="s">
        <v>45</v>
      </c>
      <c r="AG90" s="3" t="s">
        <v>45</v>
      </c>
      <c r="AH90" s="3" t="s">
        <v>57</v>
      </c>
      <c r="AI90" s="5" t="s">
        <v>1058</v>
      </c>
      <c r="AJ90" s="3" t="s">
        <v>45</v>
      </c>
      <c r="AK90" s="3" t="s">
        <v>45</v>
      </c>
      <c r="AL90" s="3" t="s">
        <v>45</v>
      </c>
      <c r="AM90" s="3" t="s">
        <v>45</v>
      </c>
      <c r="AN90" s="3" t="s">
        <v>45</v>
      </c>
      <c r="AO90" s="3" t="s">
        <v>45</v>
      </c>
      <c r="AP90" s="3" t="s">
        <v>45</v>
      </c>
      <c r="AQ90" s="4" t="s">
        <v>1059</v>
      </c>
      <c r="AR90" s="4" t="s">
        <v>1059</v>
      </c>
    </row>
    <row r="91">
      <c r="A91" s="3" t="s">
        <v>1060</v>
      </c>
      <c r="B91" s="3" t="s">
        <v>1061</v>
      </c>
      <c r="C91" s="3" t="s">
        <v>1053</v>
      </c>
      <c r="D91" s="3" t="s">
        <v>1005</v>
      </c>
      <c r="E91" s="4" t="s">
        <v>1062</v>
      </c>
      <c r="F91" s="3" t="s">
        <v>1053</v>
      </c>
      <c r="G91" s="4" t="s">
        <v>1063</v>
      </c>
      <c r="H91" s="4" t="s">
        <v>1064</v>
      </c>
      <c r="I91" s="3" t="s">
        <v>85</v>
      </c>
      <c r="J91" s="3" t="s">
        <v>126</v>
      </c>
      <c r="K91" s="3" t="s">
        <v>45</v>
      </c>
      <c r="L91" s="3" t="s">
        <v>954</v>
      </c>
      <c r="M91" s="3" t="s">
        <v>45</v>
      </c>
      <c r="N91" s="3" t="s">
        <v>45</v>
      </c>
      <c r="O91" s="3" t="s">
        <v>53</v>
      </c>
      <c r="P91" s="3" t="s">
        <v>45</v>
      </c>
      <c r="Q91" s="3" t="s">
        <v>45</v>
      </c>
      <c r="R91" s="3" t="s">
        <v>45</v>
      </c>
      <c r="S91" s="3" t="s">
        <v>45</v>
      </c>
      <c r="T91" s="3" t="s">
        <v>45</v>
      </c>
      <c r="U91" s="3" t="s">
        <v>45</v>
      </c>
      <c r="V91" s="4" t="s">
        <v>1065</v>
      </c>
      <c r="W91" s="3" t="s">
        <v>45</v>
      </c>
      <c r="X91" s="3" t="s">
        <v>45</v>
      </c>
      <c r="Y91" s="3" t="s">
        <v>45</v>
      </c>
      <c r="Z91" s="3" t="s">
        <v>74</v>
      </c>
      <c r="AA91" s="3" t="s">
        <v>45</v>
      </c>
      <c r="AB91" s="3" t="s">
        <v>45</v>
      </c>
      <c r="AC91" s="3" t="s">
        <v>45</v>
      </c>
      <c r="AD91" s="3" t="s">
        <v>45</v>
      </c>
      <c r="AE91" s="3" t="s">
        <v>45</v>
      </c>
      <c r="AF91" s="3" t="s">
        <v>45</v>
      </c>
      <c r="AG91" s="3" t="s">
        <v>45</v>
      </c>
      <c r="AH91" s="3" t="s">
        <v>57</v>
      </c>
      <c r="AI91" s="5" t="s">
        <v>1058</v>
      </c>
      <c r="AJ91" s="3" t="s">
        <v>45</v>
      </c>
      <c r="AK91" s="3" t="s">
        <v>45</v>
      </c>
      <c r="AL91" s="3" t="s">
        <v>45</v>
      </c>
      <c r="AM91" s="3" t="s">
        <v>45</v>
      </c>
      <c r="AN91" s="3" t="s">
        <v>45</v>
      </c>
      <c r="AO91" s="3" t="s">
        <v>45</v>
      </c>
      <c r="AP91" s="3" t="s">
        <v>45</v>
      </c>
      <c r="AQ91" s="4" t="s">
        <v>1059</v>
      </c>
      <c r="AR91" s="4" t="s">
        <v>1059</v>
      </c>
    </row>
    <row r="92">
      <c r="A92" s="3" t="s">
        <v>1066</v>
      </c>
      <c r="B92" s="3" t="s">
        <v>1067</v>
      </c>
      <c r="C92" s="3" t="s">
        <v>1068</v>
      </c>
      <c r="D92" s="3" t="s">
        <v>1005</v>
      </c>
      <c r="E92" s="4" t="s">
        <v>1069</v>
      </c>
      <c r="F92" s="3" t="s">
        <v>1053</v>
      </c>
      <c r="G92" s="4" t="s">
        <v>1070</v>
      </c>
      <c r="H92" s="4" t="s">
        <v>1071</v>
      </c>
      <c r="I92" s="3" t="s">
        <v>218</v>
      </c>
      <c r="J92" s="3" t="s">
        <v>126</v>
      </c>
      <c r="K92" s="3" t="s">
        <v>45</v>
      </c>
      <c r="L92" s="3" t="s">
        <v>954</v>
      </c>
      <c r="M92" s="3" t="s">
        <v>45</v>
      </c>
      <c r="N92" s="4" t="s">
        <v>1072</v>
      </c>
      <c r="O92" s="3" t="s">
        <v>722</v>
      </c>
      <c r="P92" s="3" t="s">
        <v>45</v>
      </c>
      <c r="Q92" s="3" t="s">
        <v>45</v>
      </c>
      <c r="R92" s="3" t="s">
        <v>45</v>
      </c>
      <c r="S92" s="3" t="s">
        <v>45</v>
      </c>
      <c r="T92" s="3" t="s">
        <v>45</v>
      </c>
      <c r="U92" s="3" t="s">
        <v>45</v>
      </c>
      <c r="V92" s="4" t="s">
        <v>680</v>
      </c>
      <c r="W92" s="3" t="s">
        <v>45</v>
      </c>
      <c r="X92" s="3" t="s">
        <v>45</v>
      </c>
      <c r="Y92" s="4" t="s">
        <v>727</v>
      </c>
      <c r="Z92" s="3" t="s">
        <v>55</v>
      </c>
      <c r="AA92" s="3" t="s">
        <v>45</v>
      </c>
      <c r="AB92" s="3" t="s">
        <v>109</v>
      </c>
      <c r="AC92" s="3" t="s">
        <v>45</v>
      </c>
      <c r="AD92" s="5" t="s">
        <v>1073</v>
      </c>
      <c r="AE92" s="3" t="s">
        <v>45</v>
      </c>
      <c r="AF92" s="3" t="s">
        <v>45</v>
      </c>
      <c r="AG92" s="3" t="s">
        <v>45</v>
      </c>
      <c r="AH92" s="3" t="s">
        <v>57</v>
      </c>
      <c r="AI92" s="5" t="s">
        <v>1074</v>
      </c>
      <c r="AJ92" s="5" t="s">
        <v>1075</v>
      </c>
      <c r="AK92" s="5" t="s">
        <v>1058</v>
      </c>
      <c r="AL92" s="5" t="s">
        <v>1076</v>
      </c>
      <c r="AM92" s="3" t="s">
        <v>45</v>
      </c>
      <c r="AN92" s="3" t="s">
        <v>45</v>
      </c>
      <c r="AO92" s="3" t="s">
        <v>45</v>
      </c>
      <c r="AP92" s="3" t="s">
        <v>45</v>
      </c>
      <c r="AQ92" s="4" t="s">
        <v>1059</v>
      </c>
      <c r="AR92" s="4" t="s">
        <v>1059</v>
      </c>
    </row>
    <row r="93">
      <c r="A93" s="3" t="s">
        <v>1077</v>
      </c>
      <c r="B93" s="3" t="s">
        <v>45</v>
      </c>
      <c r="C93" s="3" t="s">
        <v>1078</v>
      </c>
      <c r="D93" s="3" t="s">
        <v>1005</v>
      </c>
      <c r="E93" s="4" t="s">
        <v>1079</v>
      </c>
      <c r="F93" s="3" t="s">
        <v>1080</v>
      </c>
      <c r="G93" s="4" t="s">
        <v>1081</v>
      </c>
      <c r="H93" s="4" t="s">
        <v>1082</v>
      </c>
      <c r="I93" s="3" t="s">
        <v>49</v>
      </c>
      <c r="J93" s="3" t="s">
        <v>99</v>
      </c>
      <c r="K93" s="3" t="s">
        <v>45</v>
      </c>
      <c r="L93" s="3" t="s">
        <v>45</v>
      </c>
      <c r="M93" s="3" t="s">
        <v>45</v>
      </c>
      <c r="N93" s="4" t="s">
        <v>1083</v>
      </c>
      <c r="O93" s="3" t="s">
        <v>88</v>
      </c>
      <c r="P93" s="3" t="s">
        <v>45</v>
      </c>
      <c r="Q93" s="3" t="s">
        <v>45</v>
      </c>
      <c r="R93" s="3" t="s">
        <v>45</v>
      </c>
      <c r="S93" s="3" t="s">
        <v>45</v>
      </c>
      <c r="T93" s="3" t="s">
        <v>45</v>
      </c>
      <c r="U93" s="3" t="s">
        <v>45</v>
      </c>
      <c r="V93" s="3" t="s">
        <v>45</v>
      </c>
      <c r="W93" s="4" t="s">
        <v>102</v>
      </c>
      <c r="X93" s="3" t="s">
        <v>45</v>
      </c>
      <c r="Y93" s="3" t="s">
        <v>45</v>
      </c>
      <c r="Z93" s="3" t="s">
        <v>74</v>
      </c>
      <c r="AA93" s="3" t="s">
        <v>45</v>
      </c>
      <c r="AB93" s="3" t="s">
        <v>45</v>
      </c>
      <c r="AC93" s="3" t="s">
        <v>45</v>
      </c>
      <c r="AD93" s="3" t="s">
        <v>45</v>
      </c>
      <c r="AE93" s="3" t="s">
        <v>45</v>
      </c>
      <c r="AF93" s="3" t="s">
        <v>45</v>
      </c>
      <c r="AG93" s="3" t="s">
        <v>45</v>
      </c>
      <c r="AH93" s="3" t="s">
        <v>57</v>
      </c>
      <c r="AI93" s="5" t="s">
        <v>1084</v>
      </c>
      <c r="AJ93" s="3" t="s">
        <v>45</v>
      </c>
      <c r="AK93" s="3" t="s">
        <v>45</v>
      </c>
      <c r="AL93" s="3" t="s">
        <v>45</v>
      </c>
      <c r="AM93" s="3" t="s">
        <v>45</v>
      </c>
      <c r="AN93" s="3" t="s">
        <v>45</v>
      </c>
      <c r="AO93" s="3" t="s">
        <v>45</v>
      </c>
      <c r="AP93" s="3" t="s">
        <v>45</v>
      </c>
      <c r="AQ93" s="4" t="s">
        <v>1085</v>
      </c>
      <c r="AR93" s="4" t="s">
        <v>1085</v>
      </c>
    </row>
    <row r="94">
      <c r="A94" s="3" t="s">
        <v>1086</v>
      </c>
      <c r="B94" s="3" t="s">
        <v>1087</v>
      </c>
      <c r="C94" s="3" t="s">
        <v>1088</v>
      </c>
      <c r="D94" s="3" t="s">
        <v>1005</v>
      </c>
      <c r="E94" s="4" t="s">
        <v>1089</v>
      </c>
      <c r="F94" s="3" t="s">
        <v>1090</v>
      </c>
      <c r="G94" s="4" t="s">
        <v>1091</v>
      </c>
      <c r="H94" s="4" t="s">
        <v>1092</v>
      </c>
      <c r="I94" s="3" t="s">
        <v>49</v>
      </c>
      <c r="J94" s="3" t="s">
        <v>126</v>
      </c>
      <c r="K94" s="3" t="s">
        <v>45</v>
      </c>
      <c r="L94" s="3" t="s">
        <v>1093</v>
      </c>
      <c r="M94" s="3" t="s">
        <v>45</v>
      </c>
      <c r="N94" s="4" t="s">
        <v>1094</v>
      </c>
      <c r="O94" s="3" t="s">
        <v>70</v>
      </c>
      <c r="P94" s="3" t="s">
        <v>1095</v>
      </c>
      <c r="Q94" s="3" t="s">
        <v>45</v>
      </c>
      <c r="R94" s="3" t="s">
        <v>45</v>
      </c>
      <c r="S94" s="3" t="s">
        <v>45</v>
      </c>
      <c r="T94" s="3" t="s">
        <v>45</v>
      </c>
      <c r="U94" s="3" t="s">
        <v>45</v>
      </c>
      <c r="V94" s="3" t="s">
        <v>45</v>
      </c>
      <c r="W94" s="4" t="s">
        <v>1096</v>
      </c>
      <c r="X94" s="3" t="s">
        <v>1097</v>
      </c>
      <c r="Y94" s="3" t="s">
        <v>45</v>
      </c>
      <c r="Z94" s="3" t="s">
        <v>1098</v>
      </c>
      <c r="AA94" s="3" t="s">
        <v>45</v>
      </c>
      <c r="AB94" s="3" t="s">
        <v>56</v>
      </c>
      <c r="AC94" s="3" t="s">
        <v>45</v>
      </c>
      <c r="AD94" s="5" t="s">
        <v>1099</v>
      </c>
      <c r="AE94" s="3" t="s">
        <v>45</v>
      </c>
      <c r="AF94" s="3" t="s">
        <v>45</v>
      </c>
      <c r="AG94" s="3" t="s">
        <v>45</v>
      </c>
      <c r="AH94" s="3" t="s">
        <v>57</v>
      </c>
      <c r="AI94" s="5" t="s">
        <v>1100</v>
      </c>
      <c r="AJ94" s="5" t="s">
        <v>1101</v>
      </c>
      <c r="AK94" s="3" t="s">
        <v>45</v>
      </c>
      <c r="AL94" s="3" t="s">
        <v>45</v>
      </c>
      <c r="AM94" s="3" t="s">
        <v>45</v>
      </c>
      <c r="AN94" s="3" t="s">
        <v>45</v>
      </c>
      <c r="AO94" s="3" t="s">
        <v>45</v>
      </c>
      <c r="AP94" s="3" t="s">
        <v>45</v>
      </c>
      <c r="AQ94" s="4" t="s">
        <v>1102</v>
      </c>
      <c r="AR94" s="4" t="s">
        <v>1102</v>
      </c>
    </row>
    <row r="95">
      <c r="A95" s="3" t="s">
        <v>1103</v>
      </c>
      <c r="B95" s="3" t="s">
        <v>1104</v>
      </c>
      <c r="C95" s="3" t="s">
        <v>1105</v>
      </c>
      <c r="D95" s="3" t="s">
        <v>1005</v>
      </c>
      <c r="E95" s="4" t="s">
        <v>1106</v>
      </c>
      <c r="F95" s="3" t="s">
        <v>1080</v>
      </c>
      <c r="G95" s="4" t="s">
        <v>1107</v>
      </c>
      <c r="H95" s="4" t="s">
        <v>1108</v>
      </c>
      <c r="I95" s="3" t="s">
        <v>49</v>
      </c>
      <c r="J95" s="3" t="s">
        <v>126</v>
      </c>
      <c r="K95" s="3" t="s">
        <v>45</v>
      </c>
      <c r="L95" s="3" t="s">
        <v>45</v>
      </c>
      <c r="M95" s="3" t="s">
        <v>45</v>
      </c>
      <c r="N95" s="3" t="s">
        <v>1109</v>
      </c>
      <c r="O95" s="3" t="s">
        <v>390</v>
      </c>
      <c r="P95" s="3" t="s">
        <v>45</v>
      </c>
      <c r="Q95" s="3" t="s">
        <v>45</v>
      </c>
      <c r="R95" s="3" t="s">
        <v>45</v>
      </c>
      <c r="S95" s="3" t="s">
        <v>45</v>
      </c>
      <c r="T95" s="3" t="s">
        <v>45</v>
      </c>
      <c r="U95" s="3" t="s">
        <v>45</v>
      </c>
      <c r="V95" s="3" t="s">
        <v>45</v>
      </c>
      <c r="W95" s="4" t="s">
        <v>1110</v>
      </c>
      <c r="X95" s="3" t="s">
        <v>1111</v>
      </c>
      <c r="Y95" s="3" t="s">
        <v>45</v>
      </c>
      <c r="Z95" s="3" t="s">
        <v>74</v>
      </c>
      <c r="AA95" s="3" t="s">
        <v>45</v>
      </c>
      <c r="AB95" s="3" t="s">
        <v>45</v>
      </c>
      <c r="AC95" s="3" t="s">
        <v>45</v>
      </c>
      <c r="AD95" s="3" t="s">
        <v>45</v>
      </c>
      <c r="AE95" s="3" t="s">
        <v>45</v>
      </c>
      <c r="AF95" s="3" t="s">
        <v>45</v>
      </c>
      <c r="AG95" s="3" t="s">
        <v>45</v>
      </c>
      <c r="AH95" s="3" t="s">
        <v>57</v>
      </c>
      <c r="AI95" s="5" t="s">
        <v>1112</v>
      </c>
      <c r="AJ95" s="3" t="s">
        <v>45</v>
      </c>
      <c r="AK95" s="3" t="s">
        <v>45</v>
      </c>
      <c r="AL95" s="3" t="s">
        <v>45</v>
      </c>
      <c r="AM95" s="3" t="s">
        <v>45</v>
      </c>
      <c r="AN95" s="3" t="s">
        <v>45</v>
      </c>
      <c r="AO95" s="3" t="s">
        <v>45</v>
      </c>
      <c r="AP95" s="3" t="s">
        <v>45</v>
      </c>
      <c r="AQ95" s="4" t="s">
        <v>1113</v>
      </c>
      <c r="AR95" s="4" t="s">
        <v>1114</v>
      </c>
    </row>
    <row r="96">
      <c r="A96" s="3" t="s">
        <v>1115</v>
      </c>
      <c r="B96" s="3" t="s">
        <v>1116</v>
      </c>
      <c r="C96" s="3" t="s">
        <v>1117</v>
      </c>
      <c r="D96" s="3" t="s">
        <v>1118</v>
      </c>
      <c r="E96" s="4" t="s">
        <v>1119</v>
      </c>
      <c r="F96" s="3" t="s">
        <v>1120</v>
      </c>
      <c r="G96" s="4" t="s">
        <v>1121</v>
      </c>
      <c r="H96" s="4" t="s">
        <v>1122</v>
      </c>
      <c r="I96" s="3" t="s">
        <v>49</v>
      </c>
      <c r="J96" s="3" t="s">
        <v>126</v>
      </c>
      <c r="K96" s="3" t="s">
        <v>45</v>
      </c>
      <c r="L96" s="3" t="s">
        <v>45</v>
      </c>
      <c r="M96" s="3" t="s">
        <v>45</v>
      </c>
      <c r="N96" s="3" t="s">
        <v>45</v>
      </c>
      <c r="O96" s="3" t="s">
        <v>74</v>
      </c>
      <c r="P96" s="3" t="s">
        <v>45</v>
      </c>
      <c r="Q96" s="3" t="s">
        <v>45</v>
      </c>
      <c r="R96" s="3" t="s">
        <v>45</v>
      </c>
      <c r="S96" s="3" t="s">
        <v>45</v>
      </c>
      <c r="T96" s="3" t="s">
        <v>45</v>
      </c>
      <c r="U96" s="3" t="s">
        <v>45</v>
      </c>
      <c r="V96" s="4" t="s">
        <v>106</v>
      </c>
      <c r="W96" s="3" t="s">
        <v>45</v>
      </c>
      <c r="X96" s="3" t="s">
        <v>45</v>
      </c>
      <c r="Y96" s="3" t="s">
        <v>45</v>
      </c>
      <c r="Z96" s="3" t="s">
        <v>74</v>
      </c>
      <c r="AA96" s="3" t="s">
        <v>45</v>
      </c>
      <c r="AB96" s="3" t="s">
        <v>45</v>
      </c>
      <c r="AC96" s="3" t="s">
        <v>45</v>
      </c>
      <c r="AD96" s="3" t="s">
        <v>45</v>
      </c>
      <c r="AE96" s="3" t="s">
        <v>45</v>
      </c>
      <c r="AF96" s="3" t="s">
        <v>45</v>
      </c>
      <c r="AG96" s="3" t="s">
        <v>45</v>
      </c>
      <c r="AH96" s="3" t="s">
        <v>57</v>
      </c>
      <c r="AI96" s="5" t="s">
        <v>1123</v>
      </c>
      <c r="AJ96" s="3" t="s">
        <v>45</v>
      </c>
      <c r="AK96" s="3" t="s">
        <v>45</v>
      </c>
      <c r="AL96" s="3" t="s">
        <v>45</v>
      </c>
      <c r="AM96" s="3" t="s">
        <v>45</v>
      </c>
      <c r="AN96" s="3" t="s">
        <v>45</v>
      </c>
      <c r="AO96" s="3" t="s">
        <v>45</v>
      </c>
      <c r="AP96" s="3" t="s">
        <v>45</v>
      </c>
      <c r="AQ96" s="4" t="s">
        <v>182</v>
      </c>
      <c r="AR96" s="4" t="s">
        <v>182</v>
      </c>
    </row>
    <row r="97">
      <c r="A97" s="3" t="s">
        <v>1124</v>
      </c>
      <c r="B97" s="3" t="s">
        <v>1125</v>
      </c>
      <c r="C97" s="3" t="s">
        <v>1126</v>
      </c>
      <c r="D97" s="3" t="s">
        <v>1118</v>
      </c>
      <c r="E97" s="4" t="s">
        <v>1127</v>
      </c>
      <c r="F97" s="3" t="s">
        <v>1128</v>
      </c>
      <c r="G97" s="4" t="s">
        <v>1129</v>
      </c>
      <c r="H97" s="4" t="s">
        <v>1130</v>
      </c>
      <c r="I97" s="3" t="s">
        <v>49</v>
      </c>
      <c r="J97" s="3" t="s">
        <v>50</v>
      </c>
      <c r="K97" s="3" t="s">
        <v>45</v>
      </c>
      <c r="L97" s="3" t="s">
        <v>45</v>
      </c>
      <c r="M97" s="3" t="s">
        <v>45</v>
      </c>
      <c r="N97" s="3" t="s">
        <v>45</v>
      </c>
      <c r="O97" s="3" t="s">
        <v>74</v>
      </c>
      <c r="P97" s="3" t="s">
        <v>45</v>
      </c>
      <c r="Q97" s="3" t="s">
        <v>45</v>
      </c>
      <c r="R97" s="3" t="s">
        <v>45</v>
      </c>
      <c r="S97" s="3" t="s">
        <v>45</v>
      </c>
      <c r="T97" s="3" t="s">
        <v>45</v>
      </c>
      <c r="U97" s="3" t="s">
        <v>45</v>
      </c>
      <c r="V97" s="4" t="s">
        <v>1131</v>
      </c>
      <c r="W97" s="3" t="s">
        <v>45</v>
      </c>
      <c r="X97" s="3" t="s">
        <v>45</v>
      </c>
      <c r="Y97" s="3" t="s">
        <v>45</v>
      </c>
      <c r="Z97" s="3" t="s">
        <v>74</v>
      </c>
      <c r="AA97" s="3" t="s">
        <v>45</v>
      </c>
      <c r="AB97" s="3" t="s">
        <v>45</v>
      </c>
      <c r="AC97" s="3" t="s">
        <v>45</v>
      </c>
      <c r="AD97" s="3" t="s">
        <v>45</v>
      </c>
      <c r="AE97" s="3" t="s">
        <v>45</v>
      </c>
      <c r="AF97" s="3" t="s">
        <v>45</v>
      </c>
      <c r="AG97" s="3" t="s">
        <v>45</v>
      </c>
      <c r="AH97" s="3" t="s">
        <v>57</v>
      </c>
      <c r="AI97" s="5" t="s">
        <v>1132</v>
      </c>
      <c r="AJ97" s="5" t="s">
        <v>1133</v>
      </c>
      <c r="AK97" s="3" t="s">
        <v>45</v>
      </c>
      <c r="AL97" s="3" t="s">
        <v>45</v>
      </c>
      <c r="AM97" s="3" t="s">
        <v>45</v>
      </c>
      <c r="AN97" s="3" t="s">
        <v>45</v>
      </c>
      <c r="AO97" s="3" t="s">
        <v>45</v>
      </c>
      <c r="AP97" s="3" t="s">
        <v>45</v>
      </c>
      <c r="AQ97" s="4" t="s">
        <v>1134</v>
      </c>
      <c r="AR97" s="4" t="s">
        <v>1134</v>
      </c>
    </row>
    <row r="98">
      <c r="A98" s="3" t="s">
        <v>1135</v>
      </c>
      <c r="B98" s="3" t="s">
        <v>1136</v>
      </c>
      <c r="C98" s="3" t="s">
        <v>1137</v>
      </c>
      <c r="D98" s="3" t="s">
        <v>1118</v>
      </c>
      <c r="E98" s="4" t="s">
        <v>1138</v>
      </c>
      <c r="F98" s="3" t="s">
        <v>1120</v>
      </c>
      <c r="G98" s="4" t="s">
        <v>1139</v>
      </c>
      <c r="H98" s="4" t="s">
        <v>1140</v>
      </c>
      <c r="I98" s="3" t="s">
        <v>49</v>
      </c>
      <c r="J98" s="3" t="s">
        <v>126</v>
      </c>
      <c r="K98" s="3" t="s">
        <v>45</v>
      </c>
      <c r="L98" s="3" t="s">
        <v>45</v>
      </c>
      <c r="M98" s="3" t="s">
        <v>45</v>
      </c>
      <c r="N98" s="4" t="s">
        <v>104</v>
      </c>
      <c r="O98" s="3" t="s">
        <v>53</v>
      </c>
      <c r="P98" s="3" t="s">
        <v>1141</v>
      </c>
      <c r="Q98" s="3" t="s">
        <v>45</v>
      </c>
      <c r="R98" s="3" t="s">
        <v>45</v>
      </c>
      <c r="S98" s="4" t="s">
        <v>480</v>
      </c>
      <c r="T98" s="3" t="s">
        <v>105</v>
      </c>
      <c r="U98" s="3" t="s">
        <v>221</v>
      </c>
      <c r="V98" s="4" t="s">
        <v>1142</v>
      </c>
      <c r="W98" s="4" t="s">
        <v>233</v>
      </c>
      <c r="X98" s="3" t="s">
        <v>45</v>
      </c>
      <c r="Y98" s="3" t="s">
        <v>45</v>
      </c>
      <c r="Z98" s="3" t="s">
        <v>55</v>
      </c>
      <c r="AA98" s="3" t="s">
        <v>45</v>
      </c>
      <c r="AB98" s="3" t="s">
        <v>109</v>
      </c>
      <c r="AC98" s="3" t="s">
        <v>45</v>
      </c>
      <c r="AD98" s="3" t="s">
        <v>45</v>
      </c>
      <c r="AE98" s="3" t="s">
        <v>45</v>
      </c>
      <c r="AF98" s="5" t="s">
        <v>1143</v>
      </c>
      <c r="AG98" s="3" t="s">
        <v>45</v>
      </c>
      <c r="AH98" s="3" t="s">
        <v>57</v>
      </c>
      <c r="AI98" s="5" t="s">
        <v>1144</v>
      </c>
      <c r="AJ98" s="5" t="s">
        <v>1145</v>
      </c>
      <c r="AK98" s="3" t="s">
        <v>45</v>
      </c>
      <c r="AL98" s="3" t="s">
        <v>45</v>
      </c>
      <c r="AM98" s="3" t="s">
        <v>45</v>
      </c>
      <c r="AN98" s="3" t="s">
        <v>45</v>
      </c>
      <c r="AO98" s="3" t="s">
        <v>45</v>
      </c>
      <c r="AP98" s="3" t="s">
        <v>45</v>
      </c>
      <c r="AQ98" s="4" t="s">
        <v>1016</v>
      </c>
      <c r="AR98" s="4" t="s">
        <v>1016</v>
      </c>
    </row>
    <row r="99">
      <c r="A99" s="3" t="s">
        <v>1146</v>
      </c>
      <c r="B99" s="3" t="s">
        <v>1147</v>
      </c>
      <c r="C99" s="3" t="s">
        <v>1148</v>
      </c>
      <c r="D99" s="3" t="s">
        <v>1118</v>
      </c>
      <c r="E99" s="4" t="s">
        <v>1149</v>
      </c>
      <c r="F99" s="3" t="s">
        <v>1128</v>
      </c>
      <c r="G99" s="4" t="s">
        <v>1150</v>
      </c>
      <c r="H99" s="4" t="s">
        <v>1151</v>
      </c>
      <c r="I99" s="3" t="s">
        <v>436</v>
      </c>
      <c r="J99" s="3" t="s">
        <v>50</v>
      </c>
      <c r="K99" s="3" t="s">
        <v>45</v>
      </c>
      <c r="L99" s="3" t="s">
        <v>45</v>
      </c>
      <c r="M99" s="3" t="s">
        <v>45</v>
      </c>
      <c r="N99" s="4" t="s">
        <v>622</v>
      </c>
      <c r="O99" s="3" t="s">
        <v>70</v>
      </c>
      <c r="P99" s="3" t="s">
        <v>45</v>
      </c>
      <c r="Q99" s="3" t="s">
        <v>45</v>
      </c>
      <c r="R99" s="3" t="s">
        <v>45</v>
      </c>
      <c r="S99" s="3" t="s">
        <v>45</v>
      </c>
      <c r="T99" s="3" t="s">
        <v>45</v>
      </c>
      <c r="U99" s="3" t="s">
        <v>45</v>
      </c>
      <c r="V99" s="4" t="s">
        <v>1152</v>
      </c>
      <c r="W99" s="4" t="s">
        <v>1153</v>
      </c>
      <c r="X99" s="3" t="s">
        <v>45</v>
      </c>
      <c r="Y99" s="3" t="s">
        <v>45</v>
      </c>
      <c r="Z99" s="3" t="s">
        <v>74</v>
      </c>
      <c r="AA99" s="3" t="s">
        <v>45</v>
      </c>
      <c r="AB99" s="3" t="s">
        <v>45</v>
      </c>
      <c r="AC99" s="3" t="s">
        <v>45</v>
      </c>
      <c r="AD99" s="3" t="s">
        <v>45</v>
      </c>
      <c r="AE99" s="3" t="s">
        <v>45</v>
      </c>
      <c r="AF99" s="3" t="s">
        <v>45</v>
      </c>
      <c r="AG99" s="3" t="s">
        <v>1154</v>
      </c>
      <c r="AH99" s="3" t="s">
        <v>57</v>
      </c>
      <c r="AI99" s="5" t="s">
        <v>1132</v>
      </c>
      <c r="AJ99" s="5" t="s">
        <v>1155</v>
      </c>
      <c r="AK99" s="3" t="s">
        <v>45</v>
      </c>
      <c r="AL99" s="3" t="s">
        <v>45</v>
      </c>
      <c r="AM99" s="3" t="s">
        <v>45</v>
      </c>
      <c r="AN99" s="3" t="s">
        <v>45</v>
      </c>
      <c r="AO99" s="3" t="s">
        <v>45</v>
      </c>
      <c r="AP99" s="3" t="s">
        <v>45</v>
      </c>
      <c r="AQ99" s="4" t="s">
        <v>1134</v>
      </c>
      <c r="AR99" s="4" t="s">
        <v>60</v>
      </c>
    </row>
    <row r="100">
      <c r="A100" s="3" t="s">
        <v>1156</v>
      </c>
      <c r="B100" s="3" t="s">
        <v>1157</v>
      </c>
      <c r="C100" s="3" t="s">
        <v>1158</v>
      </c>
      <c r="D100" s="3" t="s">
        <v>1159</v>
      </c>
      <c r="E100" s="4" t="s">
        <v>1160</v>
      </c>
      <c r="F100" s="3" t="s">
        <v>1158</v>
      </c>
      <c r="G100" s="4" t="s">
        <v>1161</v>
      </c>
      <c r="H100" s="4" t="s">
        <v>1162</v>
      </c>
      <c r="I100" s="3" t="s">
        <v>245</v>
      </c>
      <c r="J100" s="3" t="s">
        <v>126</v>
      </c>
      <c r="K100" s="3" t="s">
        <v>45</v>
      </c>
      <c r="L100" s="3" t="s">
        <v>45</v>
      </c>
      <c r="M100" s="3" t="s">
        <v>45</v>
      </c>
      <c r="N100" s="4" t="s">
        <v>128</v>
      </c>
      <c r="O100" s="3" t="s">
        <v>70</v>
      </c>
      <c r="P100" s="3" t="s">
        <v>1163</v>
      </c>
      <c r="Q100" s="3" t="s">
        <v>45</v>
      </c>
      <c r="R100" s="4" t="s">
        <v>1164</v>
      </c>
      <c r="S100" s="3" t="s">
        <v>45</v>
      </c>
      <c r="T100" s="3" t="s">
        <v>45</v>
      </c>
      <c r="U100" s="3" t="s">
        <v>45</v>
      </c>
      <c r="V100" s="4" t="s">
        <v>1165</v>
      </c>
      <c r="W100" s="4" t="s">
        <v>1166</v>
      </c>
      <c r="X100" s="3" t="s">
        <v>45</v>
      </c>
      <c r="Y100" s="3" t="s">
        <v>45</v>
      </c>
      <c r="Z100" s="3" t="s">
        <v>55</v>
      </c>
      <c r="AA100" s="3" t="s">
        <v>45</v>
      </c>
      <c r="AB100" s="3" t="s">
        <v>45</v>
      </c>
      <c r="AC100" s="3" t="s">
        <v>45</v>
      </c>
      <c r="AD100" s="3" t="s">
        <v>45</v>
      </c>
      <c r="AE100" s="3" t="s">
        <v>45</v>
      </c>
      <c r="AF100" s="3" t="s">
        <v>45</v>
      </c>
      <c r="AG100" s="3" t="s">
        <v>1167</v>
      </c>
      <c r="AH100" s="3" t="s">
        <v>57</v>
      </c>
      <c r="AI100" s="5" t="s">
        <v>1168</v>
      </c>
      <c r="AJ100" s="5" t="s">
        <v>1169</v>
      </c>
      <c r="AK100" s="5" t="s">
        <v>1170</v>
      </c>
      <c r="AL100" s="5" t="s">
        <v>1171</v>
      </c>
      <c r="AM100" s="5" t="s">
        <v>1172</v>
      </c>
      <c r="AN100" s="3" t="s">
        <v>45</v>
      </c>
      <c r="AO100" s="3" t="s">
        <v>45</v>
      </c>
      <c r="AP100" s="3" t="s">
        <v>45</v>
      </c>
      <c r="AQ100" s="4" t="s">
        <v>182</v>
      </c>
      <c r="AR100" s="4" t="s">
        <v>1173</v>
      </c>
    </row>
    <row r="101">
      <c r="A101" s="3" t="s">
        <v>1174</v>
      </c>
      <c r="B101" s="3" t="s">
        <v>1175</v>
      </c>
      <c r="C101" s="3" t="s">
        <v>1176</v>
      </c>
      <c r="D101" s="3" t="s">
        <v>1177</v>
      </c>
      <c r="E101" s="4" t="s">
        <v>1178</v>
      </c>
      <c r="F101" s="3" t="s">
        <v>1179</v>
      </c>
      <c r="G101" s="4" t="s">
        <v>1180</v>
      </c>
      <c r="H101" s="4" t="s">
        <v>1181</v>
      </c>
      <c r="I101" s="3" t="s">
        <v>218</v>
      </c>
      <c r="J101" s="3" t="s">
        <v>50</v>
      </c>
      <c r="K101" s="3" t="s">
        <v>45</v>
      </c>
      <c r="L101" s="3" t="s">
        <v>45</v>
      </c>
      <c r="M101" s="3" t="s">
        <v>45</v>
      </c>
      <c r="N101" s="3" t="s">
        <v>45</v>
      </c>
      <c r="O101" s="3" t="s">
        <v>74</v>
      </c>
      <c r="P101" s="3" t="s">
        <v>45</v>
      </c>
      <c r="Q101" s="3" t="s">
        <v>45</v>
      </c>
      <c r="R101" s="3" t="s">
        <v>45</v>
      </c>
      <c r="S101" s="3" t="s">
        <v>45</v>
      </c>
      <c r="T101" s="3" t="s">
        <v>45</v>
      </c>
      <c r="U101" s="3" t="s">
        <v>45</v>
      </c>
      <c r="V101" s="4" t="s">
        <v>1182</v>
      </c>
      <c r="W101" s="4" t="s">
        <v>1183</v>
      </c>
      <c r="X101" s="3" t="s">
        <v>45</v>
      </c>
      <c r="Y101" s="3" t="s">
        <v>45</v>
      </c>
      <c r="Z101" s="3" t="s">
        <v>55</v>
      </c>
      <c r="AA101" s="3" t="s">
        <v>45</v>
      </c>
      <c r="AB101" s="3" t="s">
        <v>109</v>
      </c>
      <c r="AC101" s="3" t="s">
        <v>45</v>
      </c>
      <c r="AD101" s="5" t="s">
        <v>1184</v>
      </c>
      <c r="AE101" s="5" t="s">
        <v>1185</v>
      </c>
      <c r="AF101" s="3" t="s">
        <v>45</v>
      </c>
      <c r="AG101" s="3" t="s">
        <v>45</v>
      </c>
      <c r="AH101" s="3" t="s">
        <v>57</v>
      </c>
      <c r="AI101" s="5" t="s">
        <v>1186</v>
      </c>
      <c r="AJ101" s="5" t="s">
        <v>1187</v>
      </c>
      <c r="AK101" s="3" t="s">
        <v>45</v>
      </c>
      <c r="AL101" s="3" t="s">
        <v>45</v>
      </c>
      <c r="AM101" s="3" t="s">
        <v>45</v>
      </c>
      <c r="AN101" s="3" t="s">
        <v>45</v>
      </c>
      <c r="AO101" s="3" t="s">
        <v>45</v>
      </c>
      <c r="AP101" s="3" t="s">
        <v>45</v>
      </c>
      <c r="AQ101" s="4" t="s">
        <v>1188</v>
      </c>
      <c r="AR101" s="4" t="s">
        <v>1102</v>
      </c>
    </row>
    <row r="102">
      <c r="A102" s="3" t="s">
        <v>1189</v>
      </c>
      <c r="B102" s="3" t="s">
        <v>1190</v>
      </c>
      <c r="C102" s="3" t="s">
        <v>1191</v>
      </c>
      <c r="D102" s="3" t="s">
        <v>1177</v>
      </c>
      <c r="E102" s="4" t="s">
        <v>1192</v>
      </c>
      <c r="F102" s="3" t="s">
        <v>1193</v>
      </c>
      <c r="G102" s="4" t="s">
        <v>1194</v>
      </c>
      <c r="H102" s="4" t="s">
        <v>1195</v>
      </c>
      <c r="I102" s="3" t="s">
        <v>245</v>
      </c>
      <c r="J102" s="3" t="s">
        <v>126</v>
      </c>
      <c r="K102" s="3" t="s">
        <v>45</v>
      </c>
      <c r="L102" s="3" t="s">
        <v>45</v>
      </c>
      <c r="M102" s="3" t="s">
        <v>45</v>
      </c>
      <c r="N102" s="4" t="s">
        <v>1196</v>
      </c>
      <c r="O102" s="3" t="s">
        <v>70</v>
      </c>
      <c r="P102" s="3" t="s">
        <v>45</v>
      </c>
      <c r="Q102" s="3" t="s">
        <v>45</v>
      </c>
      <c r="R102" s="3" t="s">
        <v>45</v>
      </c>
      <c r="S102" s="3" t="s">
        <v>45</v>
      </c>
      <c r="T102" s="3" t="s">
        <v>45</v>
      </c>
      <c r="U102" s="3" t="s">
        <v>45</v>
      </c>
      <c r="V102" s="4" t="s">
        <v>1197</v>
      </c>
      <c r="W102" s="4" t="s">
        <v>1198</v>
      </c>
      <c r="X102" s="3" t="s">
        <v>45</v>
      </c>
      <c r="Y102" s="3" t="s">
        <v>45</v>
      </c>
      <c r="Z102" s="3" t="s">
        <v>74</v>
      </c>
      <c r="AA102" s="3" t="s">
        <v>45</v>
      </c>
      <c r="AB102" s="3" t="s">
        <v>45</v>
      </c>
      <c r="AC102" s="3" t="s">
        <v>45</v>
      </c>
      <c r="AD102" s="3" t="s">
        <v>45</v>
      </c>
      <c r="AE102" s="3" t="s">
        <v>45</v>
      </c>
      <c r="AF102" s="3" t="s">
        <v>45</v>
      </c>
      <c r="AG102" s="3" t="s">
        <v>1199</v>
      </c>
      <c r="AH102" s="3" t="s">
        <v>57</v>
      </c>
      <c r="AI102" s="5" t="s">
        <v>1200</v>
      </c>
      <c r="AJ102" s="5" t="s">
        <v>1201</v>
      </c>
      <c r="AK102" s="5" t="s">
        <v>1202</v>
      </c>
      <c r="AL102" s="3" t="s">
        <v>45</v>
      </c>
      <c r="AM102" s="3" t="s">
        <v>45</v>
      </c>
      <c r="AN102" s="3" t="s">
        <v>45</v>
      </c>
      <c r="AO102" s="3" t="s">
        <v>45</v>
      </c>
      <c r="AP102" s="3" t="s">
        <v>45</v>
      </c>
      <c r="AQ102" s="4" t="s">
        <v>1203</v>
      </c>
      <c r="AR102" s="4" t="s">
        <v>1113</v>
      </c>
    </row>
    <row r="103">
      <c r="A103" s="3" t="s">
        <v>1077</v>
      </c>
      <c r="B103" s="3" t="s">
        <v>1204</v>
      </c>
      <c r="C103" s="3" t="s">
        <v>1205</v>
      </c>
      <c r="D103" s="3" t="s">
        <v>1177</v>
      </c>
      <c r="E103" s="4" t="s">
        <v>1206</v>
      </c>
      <c r="F103" s="3" t="s">
        <v>1179</v>
      </c>
      <c r="G103" s="4" t="s">
        <v>1207</v>
      </c>
      <c r="H103" s="4" t="s">
        <v>1208</v>
      </c>
      <c r="I103" s="3" t="s">
        <v>245</v>
      </c>
      <c r="J103" s="3" t="s">
        <v>50</v>
      </c>
      <c r="K103" s="3" t="s">
        <v>45</v>
      </c>
      <c r="L103" s="3" t="s">
        <v>45</v>
      </c>
      <c r="M103" s="3" t="s">
        <v>45</v>
      </c>
      <c r="N103" s="4" t="s">
        <v>156</v>
      </c>
      <c r="O103" s="3" t="s">
        <v>88</v>
      </c>
      <c r="P103" s="3" t="s">
        <v>45</v>
      </c>
      <c r="Q103" s="3" t="s">
        <v>45</v>
      </c>
      <c r="R103" s="3" t="s">
        <v>45</v>
      </c>
      <c r="S103" s="3" t="s">
        <v>45</v>
      </c>
      <c r="T103" s="3" t="s">
        <v>45</v>
      </c>
      <c r="U103" s="3" t="s">
        <v>45</v>
      </c>
      <c r="V103" s="3" t="s">
        <v>45</v>
      </c>
      <c r="W103" s="4" t="s">
        <v>748</v>
      </c>
      <c r="X103" s="3" t="s">
        <v>45</v>
      </c>
      <c r="Y103" s="3" t="s">
        <v>45</v>
      </c>
      <c r="Z103" s="3" t="s">
        <v>74</v>
      </c>
      <c r="AA103" s="3" t="s">
        <v>45</v>
      </c>
      <c r="AB103" s="3" t="s">
        <v>45</v>
      </c>
      <c r="AC103" s="3" t="s">
        <v>45</v>
      </c>
      <c r="AD103" s="3" t="s">
        <v>45</v>
      </c>
      <c r="AE103" s="3" t="s">
        <v>45</v>
      </c>
      <c r="AF103" s="3" t="s">
        <v>45</v>
      </c>
      <c r="AG103" s="3" t="s">
        <v>45</v>
      </c>
      <c r="AH103" s="3" t="s">
        <v>57</v>
      </c>
      <c r="AI103" s="5" t="s">
        <v>1084</v>
      </c>
      <c r="AJ103" s="5" t="s">
        <v>1209</v>
      </c>
      <c r="AK103" s="3" t="s">
        <v>45</v>
      </c>
      <c r="AL103" s="3" t="s">
        <v>45</v>
      </c>
      <c r="AM103" s="3" t="s">
        <v>45</v>
      </c>
      <c r="AN103" s="3" t="s">
        <v>45</v>
      </c>
      <c r="AO103" s="3" t="s">
        <v>45</v>
      </c>
      <c r="AP103" s="3" t="s">
        <v>45</v>
      </c>
      <c r="AQ103" s="4" t="s">
        <v>1085</v>
      </c>
      <c r="AR103" s="4" t="s">
        <v>1210</v>
      </c>
    </row>
    <row r="104">
      <c r="A104" s="3" t="s">
        <v>1211</v>
      </c>
      <c r="B104" s="3" t="s">
        <v>1212</v>
      </c>
      <c r="C104" s="3" t="s">
        <v>1213</v>
      </c>
      <c r="D104" s="3" t="s">
        <v>1177</v>
      </c>
      <c r="E104" s="4" t="s">
        <v>1214</v>
      </c>
      <c r="F104" s="3" t="s">
        <v>1215</v>
      </c>
      <c r="G104" s="4" t="s">
        <v>1216</v>
      </c>
      <c r="H104" s="4" t="s">
        <v>1217</v>
      </c>
      <c r="I104" s="3" t="s">
        <v>436</v>
      </c>
      <c r="J104" s="3" t="s">
        <v>126</v>
      </c>
      <c r="K104" s="3" t="s">
        <v>45</v>
      </c>
      <c r="L104" s="3" t="s">
        <v>1218</v>
      </c>
      <c r="M104" s="3" t="s">
        <v>45</v>
      </c>
      <c r="N104" s="3" t="s">
        <v>45</v>
      </c>
      <c r="O104" s="3" t="s">
        <v>74</v>
      </c>
      <c r="P104" s="3" t="s">
        <v>45</v>
      </c>
      <c r="Q104" s="3" t="s">
        <v>45</v>
      </c>
      <c r="R104" s="3" t="s">
        <v>45</v>
      </c>
      <c r="S104" s="3" t="s">
        <v>45</v>
      </c>
      <c r="T104" s="3" t="s">
        <v>45</v>
      </c>
      <c r="U104" s="3" t="s">
        <v>45</v>
      </c>
      <c r="V104" s="3" t="s">
        <v>45</v>
      </c>
      <c r="W104" s="4" t="s">
        <v>1219</v>
      </c>
      <c r="X104" s="3" t="s">
        <v>45</v>
      </c>
      <c r="Y104" s="3" t="s">
        <v>45</v>
      </c>
      <c r="Z104" s="3" t="s">
        <v>74</v>
      </c>
      <c r="AA104" s="3" t="s">
        <v>45</v>
      </c>
      <c r="AB104" s="3" t="s">
        <v>45</v>
      </c>
      <c r="AC104" s="3" t="s">
        <v>45</v>
      </c>
      <c r="AD104" s="3" t="s">
        <v>45</v>
      </c>
      <c r="AE104" s="3" t="s">
        <v>45</v>
      </c>
      <c r="AF104" s="3" t="s">
        <v>45</v>
      </c>
      <c r="AG104" s="3" t="s">
        <v>45</v>
      </c>
      <c r="AH104" s="3" t="s">
        <v>57</v>
      </c>
      <c r="AI104" s="5" t="s">
        <v>1220</v>
      </c>
      <c r="AJ104" s="3" t="s">
        <v>45</v>
      </c>
      <c r="AK104" s="3" t="s">
        <v>45</v>
      </c>
      <c r="AL104" s="3" t="s">
        <v>45</v>
      </c>
      <c r="AM104" s="3" t="s">
        <v>45</v>
      </c>
      <c r="AN104" s="3" t="s">
        <v>45</v>
      </c>
      <c r="AO104" s="3" t="s">
        <v>45</v>
      </c>
      <c r="AP104" s="3" t="s">
        <v>45</v>
      </c>
      <c r="AQ104" s="4" t="s">
        <v>60</v>
      </c>
      <c r="AR104" s="4" t="s">
        <v>60</v>
      </c>
    </row>
    <row r="105">
      <c r="A105" s="3" t="s">
        <v>1221</v>
      </c>
      <c r="B105" s="3" t="s">
        <v>1222</v>
      </c>
      <c r="C105" s="3" t="s">
        <v>1223</v>
      </c>
      <c r="D105" s="3" t="s">
        <v>1177</v>
      </c>
      <c r="E105" s="4" t="s">
        <v>1224</v>
      </c>
      <c r="F105" s="3" t="s">
        <v>1179</v>
      </c>
      <c r="G105" s="4" t="s">
        <v>1225</v>
      </c>
      <c r="H105" s="4" t="s">
        <v>1226</v>
      </c>
      <c r="I105" s="3" t="s">
        <v>49</v>
      </c>
      <c r="J105" s="3" t="s">
        <v>126</v>
      </c>
      <c r="K105" s="3" t="s">
        <v>45</v>
      </c>
      <c r="L105" s="3" t="s">
        <v>45</v>
      </c>
      <c r="M105" s="3" t="s">
        <v>45</v>
      </c>
      <c r="N105" s="3" t="s">
        <v>45</v>
      </c>
      <c r="O105" s="3" t="s">
        <v>74</v>
      </c>
      <c r="P105" s="3" t="s">
        <v>45</v>
      </c>
      <c r="Q105" s="3" t="s">
        <v>45</v>
      </c>
      <c r="R105" s="3" t="s">
        <v>45</v>
      </c>
      <c r="S105" s="3" t="s">
        <v>45</v>
      </c>
      <c r="T105" s="3" t="s">
        <v>45</v>
      </c>
      <c r="U105" s="3" t="s">
        <v>45</v>
      </c>
      <c r="V105" s="4" t="s">
        <v>1227</v>
      </c>
      <c r="W105" s="4" t="s">
        <v>1228</v>
      </c>
      <c r="X105" s="3" t="s">
        <v>45</v>
      </c>
      <c r="Y105" s="3" t="s">
        <v>45</v>
      </c>
      <c r="Z105" s="3" t="s">
        <v>74</v>
      </c>
      <c r="AA105" s="3" t="s">
        <v>45</v>
      </c>
      <c r="AB105" s="3" t="s">
        <v>45</v>
      </c>
      <c r="AC105" s="3" t="s">
        <v>45</v>
      </c>
      <c r="AD105" s="3" t="s">
        <v>45</v>
      </c>
      <c r="AE105" s="3" t="s">
        <v>45</v>
      </c>
      <c r="AF105" s="3" t="s">
        <v>45</v>
      </c>
      <c r="AG105" s="3" t="s">
        <v>45</v>
      </c>
      <c r="AH105" s="3" t="s">
        <v>57</v>
      </c>
      <c r="AI105" s="5" t="s">
        <v>1229</v>
      </c>
      <c r="AJ105" s="3" t="s">
        <v>45</v>
      </c>
      <c r="AK105" s="3" t="s">
        <v>45</v>
      </c>
      <c r="AL105" s="3" t="s">
        <v>45</v>
      </c>
      <c r="AM105" s="3" t="s">
        <v>45</v>
      </c>
      <c r="AN105" s="3" t="s">
        <v>45</v>
      </c>
      <c r="AO105" s="3" t="s">
        <v>45</v>
      </c>
      <c r="AP105" s="3" t="s">
        <v>45</v>
      </c>
      <c r="AQ105" s="4" t="s">
        <v>1230</v>
      </c>
      <c r="AR105" s="4" t="s">
        <v>1230</v>
      </c>
    </row>
    <row r="106">
      <c r="A106" s="3" t="s">
        <v>1231</v>
      </c>
      <c r="B106" s="3" t="s">
        <v>1232</v>
      </c>
      <c r="C106" s="3" t="s">
        <v>1233</v>
      </c>
      <c r="D106" s="3" t="s">
        <v>1177</v>
      </c>
      <c r="E106" s="4" t="s">
        <v>1234</v>
      </c>
      <c r="F106" s="3" t="s">
        <v>1235</v>
      </c>
      <c r="G106" s="4" t="s">
        <v>1236</v>
      </c>
      <c r="H106" s="4" t="s">
        <v>1237</v>
      </c>
      <c r="I106" s="3" t="s">
        <v>218</v>
      </c>
      <c r="J106" s="3" t="s">
        <v>126</v>
      </c>
      <c r="K106" s="3" t="s">
        <v>45</v>
      </c>
      <c r="L106" s="3" t="s">
        <v>45</v>
      </c>
      <c r="M106" s="3" t="s">
        <v>45</v>
      </c>
      <c r="N106" s="3" t="s">
        <v>45</v>
      </c>
      <c r="O106" s="3" t="s">
        <v>88</v>
      </c>
      <c r="P106" s="3" t="s">
        <v>220</v>
      </c>
      <c r="Q106" s="3" t="s">
        <v>45</v>
      </c>
      <c r="R106" s="3" t="s">
        <v>45</v>
      </c>
      <c r="S106" s="4" t="s">
        <v>582</v>
      </c>
      <c r="T106" s="3" t="s">
        <v>105</v>
      </c>
      <c r="U106" s="3" t="s">
        <v>221</v>
      </c>
      <c r="V106" s="4" t="s">
        <v>1238</v>
      </c>
      <c r="W106" s="4" t="s">
        <v>1239</v>
      </c>
      <c r="X106" s="3" t="s">
        <v>1240</v>
      </c>
      <c r="Y106" s="3" t="s">
        <v>45</v>
      </c>
      <c r="Z106" s="3" t="s">
        <v>55</v>
      </c>
      <c r="AA106" s="3" t="s">
        <v>1241</v>
      </c>
      <c r="AB106" s="3" t="s">
        <v>45</v>
      </c>
      <c r="AC106" s="3" t="s">
        <v>45</v>
      </c>
      <c r="AD106" s="5" t="s">
        <v>1242</v>
      </c>
      <c r="AE106" s="5" t="s">
        <v>1243</v>
      </c>
      <c r="AF106" s="5" t="s">
        <v>1244</v>
      </c>
      <c r="AG106" s="3" t="s">
        <v>1245</v>
      </c>
      <c r="AH106" s="3" t="s">
        <v>57</v>
      </c>
      <c r="AI106" s="5" t="s">
        <v>1246</v>
      </c>
      <c r="AJ106" s="5" t="s">
        <v>1247</v>
      </c>
      <c r="AK106" s="5" t="s">
        <v>1248</v>
      </c>
      <c r="AL106" s="3" t="s">
        <v>45</v>
      </c>
      <c r="AM106" s="3" t="s">
        <v>45</v>
      </c>
      <c r="AN106" s="3" t="s">
        <v>45</v>
      </c>
      <c r="AO106" s="3" t="s">
        <v>45</v>
      </c>
      <c r="AP106" s="3" t="s">
        <v>45</v>
      </c>
      <c r="AQ106" s="4" t="s">
        <v>1249</v>
      </c>
      <c r="AR106" s="4" t="s">
        <v>1250</v>
      </c>
    </row>
    <row r="107">
      <c r="A107" s="3" t="s">
        <v>1251</v>
      </c>
      <c r="B107" s="3" t="s">
        <v>1252</v>
      </c>
      <c r="C107" s="3" t="s">
        <v>1253</v>
      </c>
      <c r="D107" s="3" t="s">
        <v>1177</v>
      </c>
      <c r="E107" s="4" t="s">
        <v>1254</v>
      </c>
      <c r="F107" s="3" t="s">
        <v>1255</v>
      </c>
      <c r="G107" s="4" t="s">
        <v>1256</v>
      </c>
      <c r="H107" s="4" t="s">
        <v>1257</v>
      </c>
      <c r="I107" s="3" t="s">
        <v>49</v>
      </c>
      <c r="J107" s="3" t="s">
        <v>126</v>
      </c>
      <c r="K107" s="3" t="s">
        <v>45</v>
      </c>
      <c r="L107" s="3" t="s">
        <v>45</v>
      </c>
      <c r="M107" s="3" t="s">
        <v>45</v>
      </c>
      <c r="N107" s="3" t="s">
        <v>45</v>
      </c>
      <c r="O107" s="3" t="s">
        <v>74</v>
      </c>
      <c r="P107" s="3" t="s">
        <v>45</v>
      </c>
      <c r="Q107" s="3" t="s">
        <v>45</v>
      </c>
      <c r="R107" s="3" t="s">
        <v>45</v>
      </c>
      <c r="S107" s="3" t="s">
        <v>45</v>
      </c>
      <c r="T107" s="3" t="s">
        <v>45</v>
      </c>
      <c r="U107" s="3" t="s">
        <v>45</v>
      </c>
      <c r="V107" s="4" t="s">
        <v>1258</v>
      </c>
      <c r="W107" s="3" t="s">
        <v>45</v>
      </c>
      <c r="X107" s="3" t="s">
        <v>45</v>
      </c>
      <c r="Y107" s="3" t="s">
        <v>45</v>
      </c>
      <c r="Z107" s="3" t="s">
        <v>74</v>
      </c>
      <c r="AA107" s="3" t="s">
        <v>45</v>
      </c>
      <c r="AB107" s="3" t="s">
        <v>45</v>
      </c>
      <c r="AC107" s="3" t="s">
        <v>45</v>
      </c>
      <c r="AD107" s="3" t="s">
        <v>45</v>
      </c>
      <c r="AE107" s="3" t="s">
        <v>45</v>
      </c>
      <c r="AF107" s="3" t="s">
        <v>45</v>
      </c>
      <c r="AG107" s="3" t="s">
        <v>45</v>
      </c>
      <c r="AH107" s="3" t="s">
        <v>57</v>
      </c>
      <c r="AI107" s="5" t="s">
        <v>1259</v>
      </c>
      <c r="AJ107" s="3" t="s">
        <v>45</v>
      </c>
      <c r="AK107" s="3" t="s">
        <v>45</v>
      </c>
      <c r="AL107" s="3" t="s">
        <v>45</v>
      </c>
      <c r="AM107" s="3" t="s">
        <v>45</v>
      </c>
      <c r="AN107" s="3" t="s">
        <v>45</v>
      </c>
      <c r="AO107" s="3" t="s">
        <v>45</v>
      </c>
      <c r="AP107" s="3" t="s">
        <v>45</v>
      </c>
      <c r="AQ107" s="4" t="s">
        <v>1260</v>
      </c>
      <c r="AR107" s="4" t="s">
        <v>1260</v>
      </c>
    </row>
    <row r="108">
      <c r="A108" s="3" t="s">
        <v>1261</v>
      </c>
      <c r="B108" s="3" t="s">
        <v>1262</v>
      </c>
      <c r="C108" s="3" t="s">
        <v>1263</v>
      </c>
      <c r="D108" s="3" t="s">
        <v>1177</v>
      </c>
      <c r="E108" s="4" t="s">
        <v>1264</v>
      </c>
      <c r="F108" s="3" t="s">
        <v>1265</v>
      </c>
      <c r="G108" s="4" t="s">
        <v>1266</v>
      </c>
      <c r="H108" s="4" t="s">
        <v>1267</v>
      </c>
      <c r="I108" s="3" t="s">
        <v>218</v>
      </c>
      <c r="J108" s="3" t="s">
        <v>126</v>
      </c>
      <c r="K108" s="3" t="s">
        <v>45</v>
      </c>
      <c r="L108" s="3" t="s">
        <v>45</v>
      </c>
      <c r="M108" s="3" t="s">
        <v>45</v>
      </c>
      <c r="N108" s="4" t="s">
        <v>789</v>
      </c>
      <c r="O108" s="3" t="s">
        <v>390</v>
      </c>
      <c r="P108" s="3" t="s">
        <v>45</v>
      </c>
      <c r="Q108" s="3" t="s">
        <v>45</v>
      </c>
      <c r="R108" s="3" t="s">
        <v>45</v>
      </c>
      <c r="S108" s="3" t="s">
        <v>45</v>
      </c>
      <c r="T108" s="3" t="s">
        <v>45</v>
      </c>
      <c r="U108" s="3" t="s">
        <v>45</v>
      </c>
      <c r="V108" s="4" t="s">
        <v>862</v>
      </c>
      <c r="W108" s="4" t="s">
        <v>835</v>
      </c>
      <c r="X108" s="3" t="s">
        <v>45</v>
      </c>
      <c r="Y108" s="3" t="s">
        <v>45</v>
      </c>
      <c r="Z108" s="3" t="s">
        <v>74</v>
      </c>
      <c r="AA108" s="3" t="s">
        <v>45</v>
      </c>
      <c r="AB108" s="3" t="s">
        <v>45</v>
      </c>
      <c r="AC108" s="3" t="s">
        <v>45</v>
      </c>
      <c r="AD108" s="3" t="s">
        <v>45</v>
      </c>
      <c r="AE108" s="3" t="s">
        <v>45</v>
      </c>
      <c r="AF108" s="3" t="s">
        <v>45</v>
      </c>
      <c r="AG108" s="3" t="s">
        <v>1268</v>
      </c>
      <c r="AH108" s="3" t="s">
        <v>57</v>
      </c>
      <c r="AI108" s="5" t="s">
        <v>1269</v>
      </c>
      <c r="AJ108" s="3" t="s">
        <v>45</v>
      </c>
      <c r="AK108" s="3" t="s">
        <v>45</v>
      </c>
      <c r="AL108" s="3" t="s">
        <v>45</v>
      </c>
      <c r="AM108" s="3" t="s">
        <v>45</v>
      </c>
      <c r="AN108" s="3" t="s">
        <v>45</v>
      </c>
      <c r="AO108" s="3" t="s">
        <v>45</v>
      </c>
      <c r="AP108" s="3" t="s">
        <v>45</v>
      </c>
      <c r="AQ108" s="4" t="s">
        <v>1270</v>
      </c>
      <c r="AR108" s="4" t="s">
        <v>1270</v>
      </c>
    </row>
    <row r="109">
      <c r="A109" s="3" t="s">
        <v>1271</v>
      </c>
      <c r="B109" s="3" t="s">
        <v>1272</v>
      </c>
      <c r="C109" s="3" t="s">
        <v>1273</v>
      </c>
      <c r="D109" s="3" t="s">
        <v>1177</v>
      </c>
      <c r="E109" s="4" t="s">
        <v>1274</v>
      </c>
      <c r="F109" s="3" t="s">
        <v>1273</v>
      </c>
      <c r="G109" s="4" t="s">
        <v>1275</v>
      </c>
      <c r="H109" s="4" t="s">
        <v>1276</v>
      </c>
      <c r="I109" s="3" t="s">
        <v>436</v>
      </c>
      <c r="J109" s="3" t="s">
        <v>126</v>
      </c>
      <c r="K109" s="3" t="s">
        <v>45</v>
      </c>
      <c r="L109" s="3" t="s">
        <v>45</v>
      </c>
      <c r="M109" s="3" t="s">
        <v>45</v>
      </c>
      <c r="N109" s="3" t="s">
        <v>45</v>
      </c>
      <c r="O109" s="3" t="s">
        <v>74</v>
      </c>
      <c r="P109" s="3" t="s">
        <v>45</v>
      </c>
      <c r="Q109" s="3" t="s">
        <v>45</v>
      </c>
      <c r="R109" s="3" t="s">
        <v>45</v>
      </c>
      <c r="S109" s="3" t="s">
        <v>45</v>
      </c>
      <c r="T109" s="3" t="s">
        <v>45</v>
      </c>
      <c r="U109" s="3" t="s">
        <v>45</v>
      </c>
      <c r="V109" s="3" t="s">
        <v>45</v>
      </c>
      <c r="W109" s="4" t="s">
        <v>419</v>
      </c>
      <c r="X109" s="3" t="s">
        <v>45</v>
      </c>
      <c r="Y109" s="3" t="s">
        <v>45</v>
      </c>
      <c r="Z109" s="3" t="s">
        <v>55</v>
      </c>
      <c r="AA109" s="3" t="s">
        <v>45</v>
      </c>
      <c r="AB109" s="3" t="s">
        <v>45</v>
      </c>
      <c r="AC109" s="3" t="s">
        <v>45</v>
      </c>
      <c r="AD109" s="3" t="s">
        <v>45</v>
      </c>
      <c r="AE109" s="3" t="s">
        <v>45</v>
      </c>
      <c r="AF109" s="3" t="s">
        <v>45</v>
      </c>
      <c r="AG109" s="3" t="s">
        <v>45</v>
      </c>
      <c r="AH109" s="3" t="s">
        <v>57</v>
      </c>
      <c r="AI109" s="5" t="s">
        <v>1277</v>
      </c>
      <c r="AJ109" s="5" t="s">
        <v>1278</v>
      </c>
      <c r="AK109" s="5" t="s">
        <v>1279</v>
      </c>
      <c r="AL109" s="3" t="s">
        <v>45</v>
      </c>
      <c r="AM109" s="3" t="s">
        <v>45</v>
      </c>
      <c r="AN109" s="3" t="s">
        <v>45</v>
      </c>
      <c r="AO109" s="3" t="s">
        <v>45</v>
      </c>
      <c r="AP109" s="3" t="s">
        <v>45</v>
      </c>
      <c r="AQ109" s="4" t="s">
        <v>1114</v>
      </c>
      <c r="AR109" s="4" t="s">
        <v>1114</v>
      </c>
    </row>
    <row r="110">
      <c r="A110" s="3" t="s">
        <v>1280</v>
      </c>
      <c r="B110" s="3" t="s">
        <v>1281</v>
      </c>
      <c r="C110" s="3" t="s">
        <v>1282</v>
      </c>
      <c r="D110" s="3" t="s">
        <v>1177</v>
      </c>
      <c r="E110" s="4" t="s">
        <v>1283</v>
      </c>
      <c r="F110" s="3" t="s">
        <v>1284</v>
      </c>
      <c r="G110" s="4" t="s">
        <v>1285</v>
      </c>
      <c r="H110" s="4" t="s">
        <v>1286</v>
      </c>
      <c r="I110" s="3" t="s">
        <v>49</v>
      </c>
      <c r="J110" s="3" t="s">
        <v>126</v>
      </c>
      <c r="K110" s="3" t="s">
        <v>45</v>
      </c>
      <c r="L110" s="3" t="s">
        <v>45</v>
      </c>
      <c r="M110" s="3" t="s">
        <v>45</v>
      </c>
      <c r="N110" s="3" t="s">
        <v>45</v>
      </c>
      <c r="O110" s="3" t="s">
        <v>74</v>
      </c>
      <c r="P110" s="3" t="s">
        <v>45</v>
      </c>
      <c r="Q110" s="3" t="s">
        <v>45</v>
      </c>
      <c r="R110" s="3" t="s">
        <v>45</v>
      </c>
      <c r="S110" s="3" t="s">
        <v>45</v>
      </c>
      <c r="T110" s="3" t="s">
        <v>45</v>
      </c>
      <c r="U110" s="3" t="s">
        <v>45</v>
      </c>
      <c r="V110" s="4" t="s">
        <v>1287</v>
      </c>
      <c r="W110" s="3" t="s">
        <v>45</v>
      </c>
      <c r="X110" s="3" t="s">
        <v>45</v>
      </c>
      <c r="Y110" s="3" t="s">
        <v>45</v>
      </c>
      <c r="Z110" s="3" t="s">
        <v>74</v>
      </c>
      <c r="AA110" s="3" t="s">
        <v>45</v>
      </c>
      <c r="AB110" s="3" t="s">
        <v>45</v>
      </c>
      <c r="AC110" s="3" t="s">
        <v>45</v>
      </c>
      <c r="AD110" s="3" t="s">
        <v>45</v>
      </c>
      <c r="AE110" s="3" t="s">
        <v>45</v>
      </c>
      <c r="AF110" s="3" t="s">
        <v>45</v>
      </c>
      <c r="AG110" s="3" t="s">
        <v>45</v>
      </c>
      <c r="AH110" s="3" t="s">
        <v>57</v>
      </c>
      <c r="AI110" s="5" t="s">
        <v>1288</v>
      </c>
      <c r="AJ110" s="3" t="s">
        <v>45</v>
      </c>
      <c r="AK110" s="3" t="s">
        <v>45</v>
      </c>
      <c r="AL110" s="3" t="s">
        <v>45</v>
      </c>
      <c r="AM110" s="3" t="s">
        <v>45</v>
      </c>
      <c r="AN110" s="3" t="s">
        <v>45</v>
      </c>
      <c r="AO110" s="3" t="s">
        <v>45</v>
      </c>
      <c r="AP110" s="3" t="s">
        <v>45</v>
      </c>
      <c r="AQ110" s="4" t="s">
        <v>1113</v>
      </c>
      <c r="AR110" s="4" t="s">
        <v>1113</v>
      </c>
    </row>
    <row r="111">
      <c r="A111" s="3" t="s">
        <v>1289</v>
      </c>
      <c r="B111" s="3" t="s">
        <v>1290</v>
      </c>
      <c r="C111" s="3" t="s">
        <v>45</v>
      </c>
      <c r="D111" s="3" t="s">
        <v>1291</v>
      </c>
      <c r="E111" s="3" t="s">
        <v>45</v>
      </c>
      <c r="F111" s="3" t="s">
        <v>1292</v>
      </c>
      <c r="G111" s="4" t="s">
        <v>1293</v>
      </c>
      <c r="H111" s="4" t="s">
        <v>1294</v>
      </c>
      <c r="I111" s="3" t="s">
        <v>245</v>
      </c>
      <c r="J111" s="3" t="s">
        <v>126</v>
      </c>
      <c r="K111" s="3" t="s">
        <v>45</v>
      </c>
      <c r="L111" s="3" t="s">
        <v>1295</v>
      </c>
      <c r="M111" s="3" t="s">
        <v>45</v>
      </c>
      <c r="N111" s="4" t="s">
        <v>1296</v>
      </c>
      <c r="O111" s="3" t="s">
        <v>88</v>
      </c>
      <c r="P111" s="3" t="s">
        <v>45</v>
      </c>
      <c r="Q111" s="3" t="s">
        <v>45</v>
      </c>
      <c r="R111" s="3" t="s">
        <v>45</v>
      </c>
      <c r="S111" s="3" t="s">
        <v>45</v>
      </c>
      <c r="T111" s="3" t="s">
        <v>45</v>
      </c>
      <c r="U111" s="3" t="s">
        <v>45</v>
      </c>
      <c r="V111" s="3" t="s">
        <v>45</v>
      </c>
      <c r="W111" s="3" t="s">
        <v>45</v>
      </c>
      <c r="X111" s="3" t="s">
        <v>45</v>
      </c>
      <c r="Y111" s="3" t="s">
        <v>45</v>
      </c>
      <c r="Z111" s="3" t="s">
        <v>55</v>
      </c>
      <c r="AA111" s="3" t="s">
        <v>45</v>
      </c>
      <c r="AB111" s="3" t="s">
        <v>45</v>
      </c>
      <c r="AC111" s="3" t="s">
        <v>45</v>
      </c>
      <c r="AD111" s="5" t="s">
        <v>1297</v>
      </c>
      <c r="AE111" s="3" t="s">
        <v>45</v>
      </c>
      <c r="AF111" s="3" t="s">
        <v>45</v>
      </c>
      <c r="AG111" s="3" t="s">
        <v>45</v>
      </c>
      <c r="AH111" s="3" t="s">
        <v>1298</v>
      </c>
      <c r="AI111" s="5" t="s">
        <v>1299</v>
      </c>
      <c r="AJ111" s="3" t="s">
        <v>45</v>
      </c>
      <c r="AK111" s="3" t="s">
        <v>45</v>
      </c>
      <c r="AL111" s="3" t="s">
        <v>45</v>
      </c>
      <c r="AM111" s="3" t="s">
        <v>45</v>
      </c>
      <c r="AN111" s="3" t="s">
        <v>45</v>
      </c>
      <c r="AO111" s="3" t="s">
        <v>45</v>
      </c>
      <c r="AP111" s="3" t="s">
        <v>45</v>
      </c>
      <c r="AQ111" s="4" t="s">
        <v>1300</v>
      </c>
      <c r="AR111" s="4" t="s">
        <v>1300</v>
      </c>
    </row>
    <row r="112">
      <c r="A112" s="3" t="s">
        <v>1301</v>
      </c>
      <c r="B112" s="3" t="s">
        <v>1302</v>
      </c>
      <c r="C112" s="3" t="s">
        <v>1303</v>
      </c>
      <c r="D112" s="3" t="s">
        <v>1291</v>
      </c>
      <c r="E112" s="4" t="s">
        <v>1304</v>
      </c>
      <c r="F112" s="3" t="s">
        <v>1305</v>
      </c>
      <c r="G112" s="4" t="s">
        <v>1306</v>
      </c>
      <c r="H112" s="4" t="s">
        <v>1307</v>
      </c>
      <c r="I112" s="3" t="s">
        <v>49</v>
      </c>
      <c r="J112" s="3" t="s">
        <v>126</v>
      </c>
      <c r="K112" s="3" t="s">
        <v>45</v>
      </c>
      <c r="L112" s="3" t="s">
        <v>1308</v>
      </c>
      <c r="M112" s="3" t="s">
        <v>45</v>
      </c>
      <c r="N112" s="4" t="s">
        <v>419</v>
      </c>
      <c r="O112" s="3" t="s">
        <v>88</v>
      </c>
      <c r="P112" s="3" t="s">
        <v>45</v>
      </c>
      <c r="Q112" s="3" t="s">
        <v>45</v>
      </c>
      <c r="R112" s="3" t="s">
        <v>45</v>
      </c>
      <c r="S112" s="3" t="s">
        <v>45</v>
      </c>
      <c r="T112" s="3" t="s">
        <v>45</v>
      </c>
      <c r="U112" s="3" t="s">
        <v>45</v>
      </c>
      <c r="V112" s="4" t="s">
        <v>420</v>
      </c>
      <c r="W112" s="3" t="s">
        <v>45</v>
      </c>
      <c r="X112" s="3" t="s">
        <v>45</v>
      </c>
      <c r="Y112" s="3" t="s">
        <v>45</v>
      </c>
      <c r="Z112" s="3" t="s">
        <v>74</v>
      </c>
      <c r="AA112" s="3" t="s">
        <v>45</v>
      </c>
      <c r="AB112" s="3" t="s">
        <v>45</v>
      </c>
      <c r="AC112" s="3" t="s">
        <v>45</v>
      </c>
      <c r="AD112" s="3" t="s">
        <v>45</v>
      </c>
      <c r="AE112" s="3" t="s">
        <v>45</v>
      </c>
      <c r="AF112" s="3" t="s">
        <v>45</v>
      </c>
      <c r="AG112" s="3" t="s">
        <v>45</v>
      </c>
      <c r="AH112" s="3" t="s">
        <v>1298</v>
      </c>
      <c r="AI112" s="5" t="s">
        <v>1309</v>
      </c>
      <c r="AJ112" s="3" t="s">
        <v>45</v>
      </c>
      <c r="AK112" s="3" t="s">
        <v>45</v>
      </c>
      <c r="AL112" s="3" t="s">
        <v>45</v>
      </c>
      <c r="AM112" s="3" t="s">
        <v>45</v>
      </c>
      <c r="AN112" s="3" t="s">
        <v>45</v>
      </c>
      <c r="AO112" s="3" t="s">
        <v>45</v>
      </c>
      <c r="AP112" s="3" t="s">
        <v>45</v>
      </c>
      <c r="AQ112" s="4" t="s">
        <v>1300</v>
      </c>
      <c r="AR112" s="4" t="s">
        <v>1300</v>
      </c>
    </row>
    <row r="113">
      <c r="A113" s="3" t="s">
        <v>1310</v>
      </c>
      <c r="B113" s="3" t="s">
        <v>1311</v>
      </c>
      <c r="C113" s="3" t="s">
        <v>1303</v>
      </c>
      <c r="D113" s="3" t="s">
        <v>1291</v>
      </c>
      <c r="E113" s="4" t="s">
        <v>1312</v>
      </c>
      <c r="F113" s="3" t="s">
        <v>1313</v>
      </c>
      <c r="G113" s="4" t="s">
        <v>1314</v>
      </c>
      <c r="H113" s="4" t="s">
        <v>1315</v>
      </c>
      <c r="I113" s="3" t="s">
        <v>436</v>
      </c>
      <c r="J113" s="3" t="s">
        <v>126</v>
      </c>
      <c r="K113" s="3" t="s">
        <v>45</v>
      </c>
      <c r="L113" s="3" t="s">
        <v>1308</v>
      </c>
      <c r="M113" s="3" t="s">
        <v>45</v>
      </c>
      <c r="N113" s="4" t="s">
        <v>1316</v>
      </c>
      <c r="O113" s="3" t="s">
        <v>722</v>
      </c>
      <c r="P113" s="3" t="s">
        <v>45</v>
      </c>
      <c r="Q113" s="3" t="s">
        <v>45</v>
      </c>
      <c r="R113" s="3" t="s">
        <v>45</v>
      </c>
      <c r="S113" s="4" t="s">
        <v>275</v>
      </c>
      <c r="T113" s="3" t="s">
        <v>45</v>
      </c>
      <c r="U113" s="3" t="s">
        <v>45</v>
      </c>
      <c r="V113" s="4" t="s">
        <v>1317</v>
      </c>
      <c r="W113" s="3" t="s">
        <v>45</v>
      </c>
      <c r="X113" s="3" t="s">
        <v>1318</v>
      </c>
      <c r="Y113" s="3" t="s">
        <v>45</v>
      </c>
      <c r="Z113" s="3" t="s">
        <v>55</v>
      </c>
      <c r="AA113" s="3" t="s">
        <v>1319</v>
      </c>
      <c r="AB113" s="3" t="s">
        <v>45</v>
      </c>
      <c r="AC113" s="3" t="s">
        <v>45</v>
      </c>
      <c r="AD113" s="5" t="s">
        <v>1320</v>
      </c>
      <c r="AE113" s="3" t="s">
        <v>45</v>
      </c>
      <c r="AF113" s="3" t="s">
        <v>45</v>
      </c>
      <c r="AG113" s="3" t="s">
        <v>1321</v>
      </c>
      <c r="AH113" s="3" t="s">
        <v>57</v>
      </c>
      <c r="AI113" s="5" t="s">
        <v>1322</v>
      </c>
      <c r="AJ113" s="5" t="s">
        <v>1323</v>
      </c>
      <c r="AK113" s="5" t="s">
        <v>1324</v>
      </c>
      <c r="AL113" s="3" t="s">
        <v>45</v>
      </c>
      <c r="AM113" s="3" t="s">
        <v>45</v>
      </c>
      <c r="AN113" s="3" t="s">
        <v>45</v>
      </c>
      <c r="AO113" s="3" t="s">
        <v>45</v>
      </c>
      <c r="AP113" s="3" t="s">
        <v>45</v>
      </c>
      <c r="AQ113" s="4" t="s">
        <v>1325</v>
      </c>
      <c r="AR113" s="4" t="s">
        <v>1250</v>
      </c>
    </row>
    <row r="114">
      <c r="A114" s="3" t="s">
        <v>1326</v>
      </c>
      <c r="B114" s="3" t="s">
        <v>1327</v>
      </c>
      <c r="C114" s="3" t="s">
        <v>1328</v>
      </c>
      <c r="D114" s="3" t="s">
        <v>1291</v>
      </c>
      <c r="E114" s="4" t="s">
        <v>1329</v>
      </c>
      <c r="F114" s="3" t="s">
        <v>1330</v>
      </c>
      <c r="G114" s="4" t="s">
        <v>1331</v>
      </c>
      <c r="H114" s="4" t="s">
        <v>1332</v>
      </c>
      <c r="I114" s="3" t="s">
        <v>85</v>
      </c>
      <c r="J114" s="3" t="s">
        <v>126</v>
      </c>
      <c r="K114" s="3" t="s">
        <v>45</v>
      </c>
      <c r="L114" s="3" t="s">
        <v>1333</v>
      </c>
      <c r="M114" s="3" t="s">
        <v>45</v>
      </c>
      <c r="N114" s="4" t="s">
        <v>104</v>
      </c>
      <c r="O114" s="3" t="s">
        <v>53</v>
      </c>
      <c r="P114" s="3" t="s">
        <v>45</v>
      </c>
      <c r="Q114" s="3" t="s">
        <v>45</v>
      </c>
      <c r="R114" s="3" t="s">
        <v>45</v>
      </c>
      <c r="S114" s="3" t="s">
        <v>45</v>
      </c>
      <c r="T114" s="3" t="s">
        <v>45</v>
      </c>
      <c r="U114" s="3" t="s">
        <v>45</v>
      </c>
      <c r="V114" s="4" t="s">
        <v>1334</v>
      </c>
      <c r="W114" s="3" t="s">
        <v>45</v>
      </c>
      <c r="X114" s="3" t="s">
        <v>45</v>
      </c>
      <c r="Y114" s="3" t="s">
        <v>45</v>
      </c>
      <c r="Z114" s="3" t="s">
        <v>74</v>
      </c>
      <c r="AA114" s="3" t="s">
        <v>45</v>
      </c>
      <c r="AB114" s="3" t="s">
        <v>45</v>
      </c>
      <c r="AC114" s="3" t="s">
        <v>45</v>
      </c>
      <c r="AD114" s="3" t="s">
        <v>45</v>
      </c>
      <c r="AE114" s="3" t="s">
        <v>45</v>
      </c>
      <c r="AF114" s="3" t="s">
        <v>45</v>
      </c>
      <c r="AG114" s="3" t="s">
        <v>45</v>
      </c>
      <c r="AH114" s="3" t="s">
        <v>1298</v>
      </c>
      <c r="AI114" s="5" t="s">
        <v>1335</v>
      </c>
      <c r="AJ114" s="3" t="s">
        <v>45</v>
      </c>
      <c r="AK114" s="3" t="s">
        <v>45</v>
      </c>
      <c r="AL114" s="3" t="s">
        <v>45</v>
      </c>
      <c r="AM114" s="3" t="s">
        <v>45</v>
      </c>
      <c r="AN114" s="3" t="s">
        <v>45</v>
      </c>
      <c r="AO114" s="3" t="s">
        <v>45</v>
      </c>
      <c r="AP114" s="3" t="s">
        <v>45</v>
      </c>
      <c r="AQ114" s="4" t="s">
        <v>1300</v>
      </c>
      <c r="AR114" s="4" t="s">
        <v>1300</v>
      </c>
    </row>
    <row r="115">
      <c r="A115" s="3" t="s">
        <v>1336</v>
      </c>
      <c r="B115" s="3" t="s">
        <v>1337</v>
      </c>
      <c r="C115" s="3" t="s">
        <v>1328</v>
      </c>
      <c r="D115" s="3" t="s">
        <v>1291</v>
      </c>
      <c r="E115" s="4" t="s">
        <v>1338</v>
      </c>
      <c r="F115" s="3" t="s">
        <v>1330</v>
      </c>
      <c r="G115" s="4" t="s">
        <v>1339</v>
      </c>
      <c r="H115" s="4" t="s">
        <v>1340</v>
      </c>
      <c r="I115" s="3" t="s">
        <v>85</v>
      </c>
      <c r="J115" s="3" t="s">
        <v>126</v>
      </c>
      <c r="K115" s="3" t="s">
        <v>45</v>
      </c>
      <c r="L115" s="3" t="s">
        <v>1341</v>
      </c>
      <c r="M115" s="3" t="s">
        <v>45</v>
      </c>
      <c r="N115" s="4" t="s">
        <v>472</v>
      </c>
      <c r="O115" s="3" t="s">
        <v>390</v>
      </c>
      <c r="P115" s="3" t="s">
        <v>45</v>
      </c>
      <c r="Q115" s="3" t="s">
        <v>45</v>
      </c>
      <c r="R115" s="3" t="s">
        <v>45</v>
      </c>
      <c r="S115" s="3" t="s">
        <v>45</v>
      </c>
      <c r="T115" s="3" t="s">
        <v>45</v>
      </c>
      <c r="U115" s="3" t="s">
        <v>45</v>
      </c>
      <c r="V115" s="4" t="s">
        <v>1342</v>
      </c>
      <c r="W115" s="3" t="s">
        <v>45</v>
      </c>
      <c r="X115" s="3" t="s">
        <v>45</v>
      </c>
      <c r="Y115" s="3" t="s">
        <v>45</v>
      </c>
      <c r="Z115" s="3" t="s">
        <v>74</v>
      </c>
      <c r="AA115" s="3" t="s">
        <v>45</v>
      </c>
      <c r="AB115" s="3" t="s">
        <v>45</v>
      </c>
      <c r="AC115" s="3" t="s">
        <v>45</v>
      </c>
      <c r="AD115" s="3" t="s">
        <v>45</v>
      </c>
      <c r="AE115" s="3" t="s">
        <v>45</v>
      </c>
      <c r="AF115" s="3" t="s">
        <v>45</v>
      </c>
      <c r="AG115" s="3" t="s">
        <v>45</v>
      </c>
      <c r="AH115" s="3" t="s">
        <v>1298</v>
      </c>
      <c r="AI115" s="5" t="s">
        <v>1343</v>
      </c>
      <c r="AJ115" s="3" t="s">
        <v>45</v>
      </c>
      <c r="AK115" s="3" t="s">
        <v>45</v>
      </c>
      <c r="AL115" s="3" t="s">
        <v>45</v>
      </c>
      <c r="AM115" s="3" t="s">
        <v>45</v>
      </c>
      <c r="AN115" s="3" t="s">
        <v>45</v>
      </c>
      <c r="AO115" s="3" t="s">
        <v>45</v>
      </c>
      <c r="AP115" s="3" t="s">
        <v>45</v>
      </c>
      <c r="AQ115" s="4" t="s">
        <v>1300</v>
      </c>
      <c r="AR115" s="4" t="s">
        <v>1300</v>
      </c>
    </row>
    <row r="116">
      <c r="A116" s="3" t="s">
        <v>1344</v>
      </c>
      <c r="B116" s="3" t="s">
        <v>1345</v>
      </c>
      <c r="C116" s="3" t="s">
        <v>1328</v>
      </c>
      <c r="D116" s="3" t="s">
        <v>1291</v>
      </c>
      <c r="E116" s="4" t="s">
        <v>1346</v>
      </c>
      <c r="F116" s="3" t="s">
        <v>1330</v>
      </c>
      <c r="G116" s="4" t="s">
        <v>1347</v>
      </c>
      <c r="H116" s="4" t="s">
        <v>1348</v>
      </c>
      <c r="I116" s="3" t="s">
        <v>85</v>
      </c>
      <c r="J116" s="3" t="s">
        <v>126</v>
      </c>
      <c r="K116" s="3" t="s">
        <v>45</v>
      </c>
      <c r="L116" s="3" t="s">
        <v>1033</v>
      </c>
      <c r="M116" s="3" t="s">
        <v>45</v>
      </c>
      <c r="N116" s="4" t="s">
        <v>275</v>
      </c>
      <c r="O116" s="3" t="s">
        <v>53</v>
      </c>
      <c r="P116" s="3" t="s">
        <v>45</v>
      </c>
      <c r="Q116" s="3" t="s">
        <v>45</v>
      </c>
      <c r="R116" s="3" t="s">
        <v>45</v>
      </c>
      <c r="S116" s="3" t="s">
        <v>45</v>
      </c>
      <c r="T116" s="3" t="s">
        <v>45</v>
      </c>
      <c r="U116" s="3" t="s">
        <v>45</v>
      </c>
      <c r="V116" s="4" t="s">
        <v>1349</v>
      </c>
      <c r="W116" s="3" t="s">
        <v>45</v>
      </c>
      <c r="X116" s="3" t="s">
        <v>45</v>
      </c>
      <c r="Y116" s="3" t="s">
        <v>45</v>
      </c>
      <c r="Z116" s="3" t="s">
        <v>74</v>
      </c>
      <c r="AA116" s="3" t="s">
        <v>45</v>
      </c>
      <c r="AB116" s="3" t="s">
        <v>45</v>
      </c>
      <c r="AC116" s="3" t="s">
        <v>45</v>
      </c>
      <c r="AD116" s="3" t="s">
        <v>45</v>
      </c>
      <c r="AE116" s="3" t="s">
        <v>45</v>
      </c>
      <c r="AF116" s="3" t="s">
        <v>45</v>
      </c>
      <c r="AG116" s="3" t="s">
        <v>45</v>
      </c>
      <c r="AH116" s="3" t="s">
        <v>1298</v>
      </c>
      <c r="AI116" s="5" t="s">
        <v>1350</v>
      </c>
      <c r="AJ116" s="3" t="s">
        <v>45</v>
      </c>
      <c r="AK116" s="3" t="s">
        <v>45</v>
      </c>
      <c r="AL116" s="3" t="s">
        <v>45</v>
      </c>
      <c r="AM116" s="3" t="s">
        <v>45</v>
      </c>
      <c r="AN116" s="3" t="s">
        <v>45</v>
      </c>
      <c r="AO116" s="3" t="s">
        <v>45</v>
      </c>
      <c r="AP116" s="3" t="s">
        <v>45</v>
      </c>
      <c r="AQ116" s="4" t="s">
        <v>1300</v>
      </c>
      <c r="AR116" s="4" t="s">
        <v>1300</v>
      </c>
    </row>
    <row r="117">
      <c r="A117" s="3" t="s">
        <v>1351</v>
      </c>
      <c r="B117" s="3" t="s">
        <v>1352</v>
      </c>
      <c r="C117" s="3" t="s">
        <v>1328</v>
      </c>
      <c r="D117" s="3" t="s">
        <v>1291</v>
      </c>
      <c r="E117" s="4" t="s">
        <v>1353</v>
      </c>
      <c r="F117" s="3" t="s">
        <v>1330</v>
      </c>
      <c r="G117" s="4" t="s">
        <v>1354</v>
      </c>
      <c r="H117" s="4" t="s">
        <v>1355</v>
      </c>
      <c r="I117" s="3" t="s">
        <v>85</v>
      </c>
      <c r="J117" s="3" t="s">
        <v>126</v>
      </c>
      <c r="K117" s="3" t="s">
        <v>45</v>
      </c>
      <c r="L117" s="3" t="s">
        <v>45</v>
      </c>
      <c r="M117" s="3" t="s">
        <v>45</v>
      </c>
      <c r="N117" s="4" t="s">
        <v>956</v>
      </c>
      <c r="O117" s="3" t="s">
        <v>390</v>
      </c>
      <c r="P117" s="3" t="s">
        <v>45</v>
      </c>
      <c r="Q117" s="3" t="s">
        <v>45</v>
      </c>
      <c r="R117" s="3" t="s">
        <v>45</v>
      </c>
      <c r="S117" s="3" t="s">
        <v>45</v>
      </c>
      <c r="T117" s="3" t="s">
        <v>45</v>
      </c>
      <c r="U117" s="3" t="s">
        <v>45</v>
      </c>
      <c r="V117" s="4" t="s">
        <v>1356</v>
      </c>
      <c r="W117" s="3" t="s">
        <v>45</v>
      </c>
      <c r="X117" s="3" t="s">
        <v>45</v>
      </c>
      <c r="Y117" s="3" t="s">
        <v>45</v>
      </c>
      <c r="Z117" s="3" t="s">
        <v>74</v>
      </c>
      <c r="AA117" s="3" t="s">
        <v>45</v>
      </c>
      <c r="AB117" s="3" t="s">
        <v>45</v>
      </c>
      <c r="AC117" s="3" t="s">
        <v>45</v>
      </c>
      <c r="AD117" s="3" t="s">
        <v>45</v>
      </c>
      <c r="AE117" s="3" t="s">
        <v>45</v>
      </c>
      <c r="AF117" s="3" t="s">
        <v>45</v>
      </c>
      <c r="AG117" s="3" t="s">
        <v>45</v>
      </c>
      <c r="AH117" s="3" t="s">
        <v>57</v>
      </c>
      <c r="AI117" s="5" t="s">
        <v>1357</v>
      </c>
      <c r="AJ117" s="3" t="s">
        <v>45</v>
      </c>
      <c r="AK117" s="3" t="s">
        <v>45</v>
      </c>
      <c r="AL117" s="3" t="s">
        <v>45</v>
      </c>
      <c r="AM117" s="3" t="s">
        <v>45</v>
      </c>
      <c r="AN117" s="3" t="s">
        <v>45</v>
      </c>
      <c r="AO117" s="3" t="s">
        <v>45</v>
      </c>
      <c r="AP117" s="3" t="s">
        <v>45</v>
      </c>
      <c r="AQ117" s="4" t="s">
        <v>864</v>
      </c>
      <c r="AR117" s="4" t="s">
        <v>864</v>
      </c>
    </row>
    <row r="118">
      <c r="A118" s="3" t="s">
        <v>1358</v>
      </c>
      <c r="B118" s="3" t="s">
        <v>1359</v>
      </c>
      <c r="C118" s="3" t="s">
        <v>1360</v>
      </c>
      <c r="D118" s="3" t="s">
        <v>1291</v>
      </c>
      <c r="E118" s="4" t="s">
        <v>1361</v>
      </c>
      <c r="F118" s="3" t="s">
        <v>1362</v>
      </c>
      <c r="G118" s="4" t="s">
        <v>1363</v>
      </c>
      <c r="H118" s="4" t="s">
        <v>1364</v>
      </c>
      <c r="I118" s="3" t="s">
        <v>49</v>
      </c>
      <c r="J118" s="3" t="s">
        <v>126</v>
      </c>
      <c r="K118" s="3" t="s">
        <v>45</v>
      </c>
      <c r="L118" s="3" t="s">
        <v>45</v>
      </c>
      <c r="M118" s="3" t="s">
        <v>45</v>
      </c>
      <c r="N118" s="3" t="s">
        <v>45</v>
      </c>
      <c r="O118" s="3" t="s">
        <v>74</v>
      </c>
      <c r="P118" s="3" t="s">
        <v>45</v>
      </c>
      <c r="Q118" s="3" t="s">
        <v>45</v>
      </c>
      <c r="R118" s="3" t="s">
        <v>45</v>
      </c>
      <c r="S118" s="3" t="s">
        <v>45</v>
      </c>
      <c r="T118" s="3" t="s">
        <v>45</v>
      </c>
      <c r="U118" s="3" t="s">
        <v>45</v>
      </c>
      <c r="V118" s="4" t="s">
        <v>1365</v>
      </c>
      <c r="W118" s="4" t="s">
        <v>1094</v>
      </c>
      <c r="X118" s="3" t="s">
        <v>1366</v>
      </c>
      <c r="Y118" s="3" t="s">
        <v>45</v>
      </c>
      <c r="Z118" s="3" t="s">
        <v>74</v>
      </c>
      <c r="AA118" s="3" t="s">
        <v>45</v>
      </c>
      <c r="AB118" s="3" t="s">
        <v>45</v>
      </c>
      <c r="AC118" s="3" t="s">
        <v>45</v>
      </c>
      <c r="AD118" s="3" t="s">
        <v>45</v>
      </c>
      <c r="AE118" s="3" t="s">
        <v>45</v>
      </c>
      <c r="AF118" s="3" t="s">
        <v>45</v>
      </c>
      <c r="AG118" s="3" t="s">
        <v>45</v>
      </c>
      <c r="AH118" s="3" t="s">
        <v>57</v>
      </c>
      <c r="AI118" s="5" t="s">
        <v>1367</v>
      </c>
      <c r="AJ118" s="3" t="s">
        <v>45</v>
      </c>
      <c r="AK118" s="3" t="s">
        <v>45</v>
      </c>
      <c r="AL118" s="3" t="s">
        <v>45</v>
      </c>
      <c r="AM118" s="3" t="s">
        <v>45</v>
      </c>
      <c r="AN118" s="3" t="s">
        <v>45</v>
      </c>
      <c r="AO118" s="3" t="s">
        <v>45</v>
      </c>
      <c r="AP118" s="3" t="s">
        <v>45</v>
      </c>
      <c r="AQ118" s="4" t="s">
        <v>1085</v>
      </c>
      <c r="AR118" s="4" t="s">
        <v>1085</v>
      </c>
    </row>
    <row r="119">
      <c r="A119" s="3" t="s">
        <v>1368</v>
      </c>
      <c r="B119" s="3" t="s">
        <v>1369</v>
      </c>
      <c r="C119" s="3" t="s">
        <v>1360</v>
      </c>
      <c r="D119" s="3" t="s">
        <v>1291</v>
      </c>
      <c r="E119" s="4" t="s">
        <v>1370</v>
      </c>
      <c r="F119" s="3" t="s">
        <v>1362</v>
      </c>
      <c r="G119" s="4" t="s">
        <v>1371</v>
      </c>
      <c r="H119" s="4" t="s">
        <v>1372</v>
      </c>
      <c r="I119" s="3" t="s">
        <v>49</v>
      </c>
      <c r="J119" s="3" t="s">
        <v>126</v>
      </c>
      <c r="K119" s="3" t="s">
        <v>45</v>
      </c>
      <c r="L119" s="3" t="s">
        <v>1373</v>
      </c>
      <c r="M119" s="3" t="s">
        <v>45</v>
      </c>
      <c r="N119" s="3" t="s">
        <v>45</v>
      </c>
      <c r="O119" s="3" t="s">
        <v>74</v>
      </c>
      <c r="P119" s="3" t="s">
        <v>45</v>
      </c>
      <c r="Q119" s="3" t="s">
        <v>45</v>
      </c>
      <c r="R119" s="3" t="s">
        <v>45</v>
      </c>
      <c r="S119" s="3" t="s">
        <v>45</v>
      </c>
      <c r="T119" s="3" t="s">
        <v>45</v>
      </c>
      <c r="U119" s="3" t="s">
        <v>45</v>
      </c>
      <c r="V119" s="4" t="s">
        <v>1374</v>
      </c>
      <c r="W119" s="3" t="s">
        <v>45</v>
      </c>
      <c r="X119" s="3" t="s">
        <v>45</v>
      </c>
      <c r="Y119" s="3" t="s">
        <v>45</v>
      </c>
      <c r="Z119" s="3" t="s">
        <v>74</v>
      </c>
      <c r="AA119" s="3" t="s">
        <v>45</v>
      </c>
      <c r="AB119" s="3" t="s">
        <v>45</v>
      </c>
      <c r="AC119" s="3" t="s">
        <v>45</v>
      </c>
      <c r="AD119" s="3" t="s">
        <v>45</v>
      </c>
      <c r="AE119" s="3" t="s">
        <v>45</v>
      </c>
      <c r="AF119" s="3" t="s">
        <v>45</v>
      </c>
      <c r="AG119" s="3" t="s">
        <v>45</v>
      </c>
      <c r="AH119" s="3" t="s">
        <v>1298</v>
      </c>
      <c r="AI119" s="5" t="s">
        <v>1375</v>
      </c>
      <c r="AJ119" s="3" t="s">
        <v>45</v>
      </c>
      <c r="AK119" s="3" t="s">
        <v>45</v>
      </c>
      <c r="AL119" s="3" t="s">
        <v>45</v>
      </c>
      <c r="AM119" s="3" t="s">
        <v>45</v>
      </c>
      <c r="AN119" s="3" t="s">
        <v>45</v>
      </c>
      <c r="AO119" s="3" t="s">
        <v>45</v>
      </c>
      <c r="AP119" s="3" t="s">
        <v>45</v>
      </c>
      <c r="AQ119" s="4" t="s">
        <v>1300</v>
      </c>
      <c r="AR119" s="4" t="s">
        <v>1300</v>
      </c>
    </row>
    <row r="120">
      <c r="A120" s="3" t="s">
        <v>1376</v>
      </c>
      <c r="B120" s="3" t="s">
        <v>1377</v>
      </c>
      <c r="C120" s="3" t="s">
        <v>1378</v>
      </c>
      <c r="D120" s="3" t="s">
        <v>1291</v>
      </c>
      <c r="E120" s="4" t="s">
        <v>1379</v>
      </c>
      <c r="F120" s="3" t="s">
        <v>1380</v>
      </c>
      <c r="G120" s="4" t="s">
        <v>1381</v>
      </c>
      <c r="H120" s="4" t="s">
        <v>1382</v>
      </c>
      <c r="I120" s="3" t="s">
        <v>49</v>
      </c>
      <c r="J120" s="3" t="s">
        <v>126</v>
      </c>
      <c r="K120" s="3" t="s">
        <v>45</v>
      </c>
      <c r="L120" s="3" t="s">
        <v>45</v>
      </c>
      <c r="M120" s="3" t="s">
        <v>45</v>
      </c>
      <c r="N120" s="3" t="s">
        <v>45</v>
      </c>
      <c r="O120" s="3" t="s">
        <v>74</v>
      </c>
      <c r="P120" s="3" t="s">
        <v>45</v>
      </c>
      <c r="Q120" s="3" t="s">
        <v>45</v>
      </c>
      <c r="R120" s="3" t="s">
        <v>45</v>
      </c>
      <c r="S120" s="3" t="s">
        <v>45</v>
      </c>
      <c r="T120" s="3" t="s">
        <v>45</v>
      </c>
      <c r="U120" s="3" t="s">
        <v>45</v>
      </c>
      <c r="V120" s="4" t="s">
        <v>1342</v>
      </c>
      <c r="W120" s="3" t="s">
        <v>45</v>
      </c>
      <c r="X120" s="3" t="s">
        <v>45</v>
      </c>
      <c r="Y120" s="3" t="s">
        <v>45</v>
      </c>
      <c r="Z120" s="3" t="s">
        <v>55</v>
      </c>
      <c r="AA120" s="3" t="s">
        <v>45</v>
      </c>
      <c r="AB120" s="3" t="s">
        <v>45</v>
      </c>
      <c r="AC120" s="3" t="s">
        <v>45</v>
      </c>
      <c r="AD120" s="3" t="s">
        <v>45</v>
      </c>
      <c r="AE120" s="3" t="s">
        <v>45</v>
      </c>
      <c r="AF120" s="5" t="s">
        <v>1383</v>
      </c>
      <c r="AG120" s="3" t="s">
        <v>1384</v>
      </c>
      <c r="AH120" s="3" t="s">
        <v>57</v>
      </c>
      <c r="AI120" s="5" t="s">
        <v>1385</v>
      </c>
      <c r="AJ120" s="3" t="s">
        <v>45</v>
      </c>
      <c r="AK120" s="3" t="s">
        <v>45</v>
      </c>
      <c r="AL120" s="3" t="s">
        <v>45</v>
      </c>
      <c r="AM120" s="3" t="s">
        <v>45</v>
      </c>
      <c r="AN120" s="3" t="s">
        <v>45</v>
      </c>
      <c r="AO120" s="3" t="s">
        <v>45</v>
      </c>
      <c r="AP120" s="3" t="s">
        <v>45</v>
      </c>
      <c r="AQ120" s="4" t="s">
        <v>1386</v>
      </c>
      <c r="AR120" s="4" t="s">
        <v>1387</v>
      </c>
    </row>
    <row r="121">
      <c r="A121" s="3" t="s">
        <v>1388</v>
      </c>
      <c r="B121" s="3" t="s">
        <v>1389</v>
      </c>
      <c r="C121" s="3" t="s">
        <v>1390</v>
      </c>
      <c r="D121" s="3" t="s">
        <v>1291</v>
      </c>
      <c r="E121" s="4" t="s">
        <v>1391</v>
      </c>
      <c r="F121" s="3" t="s">
        <v>1330</v>
      </c>
      <c r="G121" s="4" t="s">
        <v>1392</v>
      </c>
      <c r="H121" s="4" t="s">
        <v>1393</v>
      </c>
      <c r="I121" s="3" t="s">
        <v>49</v>
      </c>
      <c r="J121" s="3" t="s">
        <v>126</v>
      </c>
      <c r="K121" s="3" t="s">
        <v>45</v>
      </c>
      <c r="L121" s="3" t="s">
        <v>921</v>
      </c>
      <c r="M121" s="3" t="s">
        <v>45</v>
      </c>
      <c r="N121" s="3" t="s">
        <v>45</v>
      </c>
      <c r="O121" s="3" t="s">
        <v>88</v>
      </c>
      <c r="P121" s="3" t="s">
        <v>45</v>
      </c>
      <c r="Q121" s="3" t="s">
        <v>45</v>
      </c>
      <c r="R121" s="3" t="s">
        <v>45</v>
      </c>
      <c r="S121" s="3" t="s">
        <v>45</v>
      </c>
      <c r="T121" s="3" t="s">
        <v>45</v>
      </c>
      <c r="U121" s="3" t="s">
        <v>45</v>
      </c>
      <c r="V121" s="3" t="s">
        <v>45</v>
      </c>
      <c r="W121" s="3" t="s">
        <v>45</v>
      </c>
      <c r="X121" s="3" t="s">
        <v>45</v>
      </c>
      <c r="Y121" s="3" t="s">
        <v>45</v>
      </c>
      <c r="Z121" s="3" t="s">
        <v>55</v>
      </c>
      <c r="AA121" s="3" t="s">
        <v>45</v>
      </c>
      <c r="AB121" s="3" t="s">
        <v>109</v>
      </c>
      <c r="AC121" s="3" t="s">
        <v>45</v>
      </c>
      <c r="AD121" s="3" t="s">
        <v>1394</v>
      </c>
      <c r="AE121" s="5" t="s">
        <v>1395</v>
      </c>
      <c r="AF121" s="5" t="s">
        <v>1396</v>
      </c>
      <c r="AG121" s="3" t="s">
        <v>45</v>
      </c>
      <c r="AH121" s="3" t="s">
        <v>840</v>
      </c>
      <c r="AI121" s="5" t="s">
        <v>1397</v>
      </c>
      <c r="AJ121" s="3" t="s">
        <v>45</v>
      </c>
      <c r="AK121" s="3" t="s">
        <v>45</v>
      </c>
      <c r="AL121" s="3" t="s">
        <v>45</v>
      </c>
      <c r="AM121" s="3" t="s">
        <v>45</v>
      </c>
      <c r="AN121" s="3" t="s">
        <v>45</v>
      </c>
      <c r="AO121" s="3" t="s">
        <v>45</v>
      </c>
      <c r="AP121" s="3" t="s">
        <v>45</v>
      </c>
      <c r="AQ121" s="4" t="s">
        <v>1398</v>
      </c>
      <c r="AR121" s="4" t="s">
        <v>1398</v>
      </c>
    </row>
    <row r="122">
      <c r="A122" s="3" t="s">
        <v>1399</v>
      </c>
      <c r="B122" s="3" t="s">
        <v>1400</v>
      </c>
      <c r="C122" s="3" t="s">
        <v>1390</v>
      </c>
      <c r="D122" s="3" t="s">
        <v>1291</v>
      </c>
      <c r="E122" s="4" t="s">
        <v>1401</v>
      </c>
      <c r="F122" s="3" t="s">
        <v>1330</v>
      </c>
      <c r="G122" s="4" t="s">
        <v>1402</v>
      </c>
      <c r="H122" s="4" t="s">
        <v>1403</v>
      </c>
      <c r="I122" s="3" t="s">
        <v>85</v>
      </c>
      <c r="J122" s="3" t="s">
        <v>126</v>
      </c>
      <c r="K122" s="3" t="s">
        <v>45</v>
      </c>
      <c r="L122" s="3" t="s">
        <v>1404</v>
      </c>
      <c r="M122" s="3" t="s">
        <v>45</v>
      </c>
      <c r="N122" s="4" t="s">
        <v>480</v>
      </c>
      <c r="O122" s="3" t="s">
        <v>53</v>
      </c>
      <c r="P122" s="3" t="s">
        <v>45</v>
      </c>
      <c r="Q122" s="3" t="s">
        <v>45</v>
      </c>
      <c r="R122" s="3" t="s">
        <v>45</v>
      </c>
      <c r="S122" s="3" t="s">
        <v>45</v>
      </c>
      <c r="T122" s="3" t="s">
        <v>45</v>
      </c>
      <c r="U122" s="3" t="s">
        <v>45</v>
      </c>
      <c r="V122" s="4" t="s">
        <v>178</v>
      </c>
      <c r="W122" s="3" t="s">
        <v>45</v>
      </c>
      <c r="X122" s="3" t="s">
        <v>45</v>
      </c>
      <c r="Y122" s="3" t="s">
        <v>45</v>
      </c>
      <c r="Z122" s="3" t="s">
        <v>74</v>
      </c>
      <c r="AA122" s="3" t="s">
        <v>45</v>
      </c>
      <c r="AB122" s="3" t="s">
        <v>45</v>
      </c>
      <c r="AC122" s="3" t="s">
        <v>45</v>
      </c>
      <c r="AD122" s="3" t="s">
        <v>45</v>
      </c>
      <c r="AE122" s="3" t="s">
        <v>45</v>
      </c>
      <c r="AF122" s="3" t="s">
        <v>45</v>
      </c>
      <c r="AG122" s="3" t="s">
        <v>45</v>
      </c>
      <c r="AH122" s="3" t="s">
        <v>1298</v>
      </c>
      <c r="AI122" s="3" t="s">
        <v>45</v>
      </c>
      <c r="AJ122" s="3" t="s">
        <v>45</v>
      </c>
      <c r="AK122" s="3" t="s">
        <v>45</v>
      </c>
      <c r="AL122" s="3" t="s">
        <v>45</v>
      </c>
      <c r="AM122" s="3" t="s">
        <v>45</v>
      </c>
      <c r="AN122" s="3" t="s">
        <v>45</v>
      </c>
      <c r="AO122" s="3" t="s">
        <v>45</v>
      </c>
      <c r="AP122" s="3" t="s">
        <v>45</v>
      </c>
      <c r="AQ122" s="4" t="s">
        <v>1300</v>
      </c>
      <c r="AR122" s="4" t="s">
        <v>1300</v>
      </c>
    </row>
    <row r="123">
      <c r="A123" s="3" t="s">
        <v>1405</v>
      </c>
      <c r="B123" s="3" t="s">
        <v>1406</v>
      </c>
      <c r="C123" s="3" t="s">
        <v>1390</v>
      </c>
      <c r="D123" s="3" t="s">
        <v>1291</v>
      </c>
      <c r="E123" s="4" t="s">
        <v>1407</v>
      </c>
      <c r="F123" s="3" t="s">
        <v>1408</v>
      </c>
      <c r="G123" s="4" t="s">
        <v>1409</v>
      </c>
      <c r="H123" s="4" t="s">
        <v>1410</v>
      </c>
      <c r="I123" s="3" t="s">
        <v>85</v>
      </c>
      <c r="J123" s="3" t="s">
        <v>126</v>
      </c>
      <c r="K123" s="3" t="s">
        <v>45</v>
      </c>
      <c r="L123" s="3" t="s">
        <v>1341</v>
      </c>
      <c r="M123" s="3" t="s">
        <v>45</v>
      </c>
      <c r="N123" s="4" t="s">
        <v>247</v>
      </c>
      <c r="O123" s="3" t="s">
        <v>390</v>
      </c>
      <c r="P123" s="3" t="s">
        <v>45</v>
      </c>
      <c r="Q123" s="3" t="s">
        <v>45</v>
      </c>
      <c r="R123" s="3" t="s">
        <v>45</v>
      </c>
      <c r="S123" s="3" t="s">
        <v>45</v>
      </c>
      <c r="T123" s="3" t="s">
        <v>45</v>
      </c>
      <c r="U123" s="3" t="s">
        <v>45</v>
      </c>
      <c r="V123" s="4" t="s">
        <v>1411</v>
      </c>
      <c r="W123" s="3" t="s">
        <v>45</v>
      </c>
      <c r="X123" s="3" t="s">
        <v>45</v>
      </c>
      <c r="Y123" s="3" t="s">
        <v>45</v>
      </c>
      <c r="Z123" s="3" t="s">
        <v>74</v>
      </c>
      <c r="AA123" s="3" t="s">
        <v>45</v>
      </c>
      <c r="AB123" s="3" t="s">
        <v>45</v>
      </c>
      <c r="AC123" s="3" t="s">
        <v>45</v>
      </c>
      <c r="AD123" s="3" t="s">
        <v>45</v>
      </c>
      <c r="AE123" s="3" t="s">
        <v>45</v>
      </c>
      <c r="AF123" s="3" t="s">
        <v>45</v>
      </c>
      <c r="AG123" s="3" t="s">
        <v>45</v>
      </c>
      <c r="AH123" s="3" t="s">
        <v>1298</v>
      </c>
      <c r="AI123" s="5" t="s">
        <v>1412</v>
      </c>
      <c r="AJ123" s="3" t="s">
        <v>45</v>
      </c>
      <c r="AK123" s="3" t="s">
        <v>45</v>
      </c>
      <c r="AL123" s="3" t="s">
        <v>45</v>
      </c>
      <c r="AM123" s="3" t="s">
        <v>45</v>
      </c>
      <c r="AN123" s="3" t="s">
        <v>45</v>
      </c>
      <c r="AO123" s="3" t="s">
        <v>45</v>
      </c>
      <c r="AP123" s="3" t="s">
        <v>45</v>
      </c>
      <c r="AQ123" s="4" t="s">
        <v>1300</v>
      </c>
      <c r="AR123" s="4" t="s">
        <v>1300</v>
      </c>
    </row>
    <row r="124">
      <c r="A124" s="3" t="s">
        <v>1413</v>
      </c>
      <c r="B124" s="3" t="s">
        <v>1414</v>
      </c>
      <c r="C124" s="3" t="s">
        <v>1390</v>
      </c>
      <c r="D124" s="3" t="s">
        <v>1291</v>
      </c>
      <c r="E124" s="4" t="s">
        <v>1415</v>
      </c>
      <c r="F124" s="3" t="s">
        <v>1330</v>
      </c>
      <c r="G124" s="4" t="s">
        <v>1416</v>
      </c>
      <c r="H124" s="4" t="s">
        <v>1417</v>
      </c>
      <c r="I124" s="3" t="s">
        <v>85</v>
      </c>
      <c r="J124" s="3" t="s">
        <v>126</v>
      </c>
      <c r="K124" s="3" t="s">
        <v>45</v>
      </c>
      <c r="L124" s="3" t="s">
        <v>1418</v>
      </c>
      <c r="M124" s="3" t="s">
        <v>45</v>
      </c>
      <c r="N124" s="4" t="s">
        <v>835</v>
      </c>
      <c r="O124" s="3" t="s">
        <v>53</v>
      </c>
      <c r="P124" s="3" t="s">
        <v>45</v>
      </c>
      <c r="Q124" s="3" t="s">
        <v>45</v>
      </c>
      <c r="R124" s="3" t="s">
        <v>45</v>
      </c>
      <c r="S124" s="3" t="s">
        <v>45</v>
      </c>
      <c r="T124" s="3" t="s">
        <v>45</v>
      </c>
      <c r="U124" s="3" t="s">
        <v>45</v>
      </c>
      <c r="V124" s="3" t="s">
        <v>45</v>
      </c>
      <c r="W124" s="3" t="s">
        <v>45</v>
      </c>
      <c r="X124" s="3" t="s">
        <v>45</v>
      </c>
      <c r="Y124" s="3" t="s">
        <v>45</v>
      </c>
      <c r="Z124" s="3" t="s">
        <v>74</v>
      </c>
      <c r="AA124" s="3" t="s">
        <v>45</v>
      </c>
      <c r="AB124" s="3" t="s">
        <v>45</v>
      </c>
      <c r="AC124" s="3" t="s">
        <v>45</v>
      </c>
      <c r="AD124" s="3" t="s">
        <v>45</v>
      </c>
      <c r="AE124" s="3" t="s">
        <v>45</v>
      </c>
      <c r="AF124" s="3" t="s">
        <v>45</v>
      </c>
      <c r="AG124" s="3" t="s">
        <v>45</v>
      </c>
      <c r="AH124" s="3" t="s">
        <v>1298</v>
      </c>
      <c r="AI124" s="5" t="s">
        <v>1419</v>
      </c>
      <c r="AJ124" s="3" t="s">
        <v>45</v>
      </c>
      <c r="AK124" s="3" t="s">
        <v>45</v>
      </c>
      <c r="AL124" s="3" t="s">
        <v>45</v>
      </c>
      <c r="AM124" s="3" t="s">
        <v>45</v>
      </c>
      <c r="AN124" s="3" t="s">
        <v>45</v>
      </c>
      <c r="AO124" s="3" t="s">
        <v>45</v>
      </c>
      <c r="AP124" s="3" t="s">
        <v>45</v>
      </c>
      <c r="AQ124" s="4" t="s">
        <v>1300</v>
      </c>
      <c r="AR124" s="4" t="s">
        <v>1300</v>
      </c>
    </row>
    <row r="125">
      <c r="A125" s="3" t="s">
        <v>1390</v>
      </c>
      <c r="B125" s="3" t="s">
        <v>1420</v>
      </c>
      <c r="C125" s="3" t="s">
        <v>1390</v>
      </c>
      <c r="D125" s="3" t="s">
        <v>1291</v>
      </c>
      <c r="E125" s="4" t="s">
        <v>1415</v>
      </c>
      <c r="F125" s="3" t="s">
        <v>1330</v>
      </c>
      <c r="G125" s="4" t="s">
        <v>1421</v>
      </c>
      <c r="H125" s="4" t="s">
        <v>1422</v>
      </c>
      <c r="I125" s="3" t="s">
        <v>85</v>
      </c>
      <c r="J125" s="3" t="s">
        <v>126</v>
      </c>
      <c r="K125" s="3" t="s">
        <v>45</v>
      </c>
      <c r="L125" s="3" t="s">
        <v>1423</v>
      </c>
      <c r="M125" s="3" t="s">
        <v>45</v>
      </c>
      <c r="N125" s="4" t="s">
        <v>835</v>
      </c>
      <c r="O125" s="3" t="s">
        <v>53</v>
      </c>
      <c r="P125" s="3" t="s">
        <v>45</v>
      </c>
      <c r="Q125" s="3" t="s">
        <v>45</v>
      </c>
      <c r="R125" s="3" t="s">
        <v>45</v>
      </c>
      <c r="S125" s="3" t="s">
        <v>45</v>
      </c>
      <c r="T125" s="3" t="s">
        <v>45</v>
      </c>
      <c r="U125" s="3" t="s">
        <v>45</v>
      </c>
      <c r="V125" s="3" t="s">
        <v>45</v>
      </c>
      <c r="W125" s="3" t="s">
        <v>45</v>
      </c>
      <c r="X125" s="3" t="s">
        <v>45</v>
      </c>
      <c r="Y125" s="3" t="s">
        <v>45</v>
      </c>
      <c r="Z125" s="3" t="s">
        <v>74</v>
      </c>
      <c r="AA125" s="3" t="s">
        <v>45</v>
      </c>
      <c r="AB125" s="3" t="s">
        <v>45</v>
      </c>
      <c r="AC125" s="3" t="s">
        <v>45</v>
      </c>
      <c r="AD125" s="3" t="s">
        <v>45</v>
      </c>
      <c r="AE125" s="3" t="s">
        <v>45</v>
      </c>
      <c r="AF125" s="3" t="s">
        <v>45</v>
      </c>
      <c r="AG125" s="3" t="s">
        <v>45</v>
      </c>
      <c r="AH125" s="3" t="s">
        <v>1298</v>
      </c>
      <c r="AI125" s="5" t="s">
        <v>1424</v>
      </c>
      <c r="AJ125" s="3" t="s">
        <v>45</v>
      </c>
      <c r="AK125" s="3" t="s">
        <v>45</v>
      </c>
      <c r="AL125" s="3" t="s">
        <v>45</v>
      </c>
      <c r="AM125" s="3" t="s">
        <v>45</v>
      </c>
      <c r="AN125" s="3" t="s">
        <v>45</v>
      </c>
      <c r="AO125" s="3" t="s">
        <v>45</v>
      </c>
      <c r="AP125" s="3" t="s">
        <v>45</v>
      </c>
      <c r="AQ125" s="4" t="s">
        <v>1300</v>
      </c>
      <c r="AR125" s="4" t="s">
        <v>1300</v>
      </c>
    </row>
    <row r="126">
      <c r="A126" s="3" t="s">
        <v>1425</v>
      </c>
      <c r="B126" s="3" t="s">
        <v>1426</v>
      </c>
      <c r="C126" s="3" t="s">
        <v>1390</v>
      </c>
      <c r="D126" s="3" t="s">
        <v>1291</v>
      </c>
      <c r="E126" s="4" t="s">
        <v>1415</v>
      </c>
      <c r="F126" s="3" t="s">
        <v>1330</v>
      </c>
      <c r="G126" s="4" t="s">
        <v>1427</v>
      </c>
      <c r="H126" s="4" t="s">
        <v>1428</v>
      </c>
      <c r="I126" s="3" t="s">
        <v>85</v>
      </c>
      <c r="J126" s="3" t="s">
        <v>126</v>
      </c>
      <c r="K126" s="3" t="s">
        <v>45</v>
      </c>
      <c r="L126" s="3" t="s">
        <v>954</v>
      </c>
      <c r="M126" s="3" t="s">
        <v>45</v>
      </c>
      <c r="N126" s="4" t="s">
        <v>52</v>
      </c>
      <c r="O126" s="3" t="s">
        <v>53</v>
      </c>
      <c r="P126" s="3" t="s">
        <v>45</v>
      </c>
      <c r="Q126" s="3" t="s">
        <v>45</v>
      </c>
      <c r="R126" s="3" t="s">
        <v>45</v>
      </c>
      <c r="S126" s="3" t="s">
        <v>45</v>
      </c>
      <c r="T126" s="3" t="s">
        <v>45</v>
      </c>
      <c r="U126" s="3" t="s">
        <v>45</v>
      </c>
      <c r="V126" s="4" t="s">
        <v>544</v>
      </c>
      <c r="W126" s="3" t="s">
        <v>45</v>
      </c>
      <c r="X126" s="3" t="s">
        <v>45</v>
      </c>
      <c r="Y126" s="3" t="s">
        <v>45</v>
      </c>
      <c r="Z126" s="3" t="s">
        <v>74</v>
      </c>
      <c r="AA126" s="3" t="s">
        <v>45</v>
      </c>
      <c r="AB126" s="3" t="s">
        <v>45</v>
      </c>
      <c r="AC126" s="3" t="s">
        <v>45</v>
      </c>
      <c r="AD126" s="3" t="s">
        <v>45</v>
      </c>
      <c r="AE126" s="3" t="s">
        <v>45</v>
      </c>
      <c r="AF126" s="3" t="s">
        <v>45</v>
      </c>
      <c r="AG126" s="3" t="s">
        <v>45</v>
      </c>
      <c r="AH126" s="3" t="s">
        <v>1298</v>
      </c>
      <c r="AI126" s="5" t="s">
        <v>1429</v>
      </c>
      <c r="AJ126" s="3" t="s">
        <v>45</v>
      </c>
      <c r="AK126" s="3" t="s">
        <v>45</v>
      </c>
      <c r="AL126" s="3" t="s">
        <v>45</v>
      </c>
      <c r="AM126" s="3" t="s">
        <v>45</v>
      </c>
      <c r="AN126" s="3" t="s">
        <v>45</v>
      </c>
      <c r="AO126" s="3" t="s">
        <v>45</v>
      </c>
      <c r="AP126" s="3" t="s">
        <v>45</v>
      </c>
      <c r="AQ126" s="4" t="s">
        <v>1300</v>
      </c>
      <c r="AR126" s="4" t="s">
        <v>1300</v>
      </c>
    </row>
    <row r="127">
      <c r="A127" s="3" t="s">
        <v>1430</v>
      </c>
      <c r="B127" s="3" t="s">
        <v>1431</v>
      </c>
      <c r="C127" s="3" t="s">
        <v>1390</v>
      </c>
      <c r="D127" s="3" t="s">
        <v>1291</v>
      </c>
      <c r="E127" s="4" t="s">
        <v>1432</v>
      </c>
      <c r="F127" s="3" t="s">
        <v>1330</v>
      </c>
      <c r="G127" s="4" t="s">
        <v>1433</v>
      </c>
      <c r="H127" s="4" t="s">
        <v>1434</v>
      </c>
      <c r="I127" s="3" t="s">
        <v>85</v>
      </c>
      <c r="J127" s="3" t="s">
        <v>126</v>
      </c>
      <c r="K127" s="3" t="s">
        <v>45</v>
      </c>
      <c r="L127" s="3" t="s">
        <v>921</v>
      </c>
      <c r="M127" s="3" t="s">
        <v>45</v>
      </c>
      <c r="N127" s="3" t="s">
        <v>45</v>
      </c>
      <c r="O127" s="3" t="s">
        <v>74</v>
      </c>
      <c r="P127" s="3" t="s">
        <v>45</v>
      </c>
      <c r="Q127" s="3" t="s">
        <v>45</v>
      </c>
      <c r="R127" s="3" t="s">
        <v>45</v>
      </c>
      <c r="S127" s="3" t="s">
        <v>45</v>
      </c>
      <c r="T127" s="3" t="s">
        <v>45</v>
      </c>
      <c r="U127" s="3" t="s">
        <v>45</v>
      </c>
      <c r="V127" s="4" t="s">
        <v>1435</v>
      </c>
      <c r="W127" s="3" t="s">
        <v>45</v>
      </c>
      <c r="X127" s="3" t="s">
        <v>45</v>
      </c>
      <c r="Y127" s="3" t="s">
        <v>45</v>
      </c>
      <c r="Z127" s="3" t="s">
        <v>74</v>
      </c>
      <c r="AA127" s="3" t="s">
        <v>45</v>
      </c>
      <c r="AB127" s="3" t="s">
        <v>45</v>
      </c>
      <c r="AC127" s="3" t="s">
        <v>45</v>
      </c>
      <c r="AD127" s="3" t="s">
        <v>45</v>
      </c>
      <c r="AE127" s="3" t="s">
        <v>45</v>
      </c>
      <c r="AF127" s="3" t="s">
        <v>45</v>
      </c>
      <c r="AG127" s="3" t="s">
        <v>45</v>
      </c>
      <c r="AH127" s="3" t="s">
        <v>1298</v>
      </c>
      <c r="AI127" s="5" t="s">
        <v>1436</v>
      </c>
      <c r="AJ127" s="3" t="s">
        <v>45</v>
      </c>
      <c r="AK127" s="3" t="s">
        <v>45</v>
      </c>
      <c r="AL127" s="3" t="s">
        <v>45</v>
      </c>
      <c r="AM127" s="3" t="s">
        <v>45</v>
      </c>
      <c r="AN127" s="3" t="s">
        <v>45</v>
      </c>
      <c r="AO127" s="3" t="s">
        <v>45</v>
      </c>
      <c r="AP127" s="3" t="s">
        <v>45</v>
      </c>
      <c r="AQ127" s="4" t="s">
        <v>1300</v>
      </c>
      <c r="AR127" s="4" t="s">
        <v>1300</v>
      </c>
    </row>
    <row r="128">
      <c r="A128" s="3" t="s">
        <v>1437</v>
      </c>
      <c r="B128" s="3" t="s">
        <v>1420</v>
      </c>
      <c r="C128" s="3" t="s">
        <v>1390</v>
      </c>
      <c r="D128" s="3" t="s">
        <v>1291</v>
      </c>
      <c r="E128" s="4" t="s">
        <v>1415</v>
      </c>
      <c r="F128" s="3" t="s">
        <v>1330</v>
      </c>
      <c r="G128" s="4" t="s">
        <v>1421</v>
      </c>
      <c r="H128" s="4" t="s">
        <v>1422</v>
      </c>
      <c r="I128" s="3" t="s">
        <v>85</v>
      </c>
      <c r="J128" s="3" t="s">
        <v>126</v>
      </c>
      <c r="K128" s="3" t="s">
        <v>45</v>
      </c>
      <c r="L128" s="3" t="s">
        <v>921</v>
      </c>
      <c r="M128" s="3" t="s">
        <v>45</v>
      </c>
      <c r="N128" s="4" t="s">
        <v>582</v>
      </c>
      <c r="O128" s="3" t="s">
        <v>53</v>
      </c>
      <c r="P128" s="3" t="s">
        <v>45</v>
      </c>
      <c r="Q128" s="3" t="s">
        <v>45</v>
      </c>
      <c r="R128" s="3" t="s">
        <v>45</v>
      </c>
      <c r="S128" s="3" t="s">
        <v>45</v>
      </c>
      <c r="T128" s="3" t="s">
        <v>45</v>
      </c>
      <c r="U128" s="3" t="s">
        <v>45</v>
      </c>
      <c r="V128" s="4" t="s">
        <v>1438</v>
      </c>
      <c r="W128" s="3" t="s">
        <v>45</v>
      </c>
      <c r="X128" s="3" t="s">
        <v>45</v>
      </c>
      <c r="Y128" s="3" t="s">
        <v>45</v>
      </c>
      <c r="Z128" s="3" t="s">
        <v>74</v>
      </c>
      <c r="AA128" s="3" t="s">
        <v>45</v>
      </c>
      <c r="AB128" s="3" t="s">
        <v>45</v>
      </c>
      <c r="AC128" s="3" t="s">
        <v>45</v>
      </c>
      <c r="AD128" s="3" t="s">
        <v>45</v>
      </c>
      <c r="AE128" s="3" t="s">
        <v>45</v>
      </c>
      <c r="AF128" s="3" t="s">
        <v>45</v>
      </c>
      <c r="AG128" s="3" t="s">
        <v>45</v>
      </c>
      <c r="AH128" s="3" t="s">
        <v>57</v>
      </c>
      <c r="AI128" s="5" t="s">
        <v>1439</v>
      </c>
      <c r="AJ128" s="5" t="s">
        <v>1440</v>
      </c>
      <c r="AK128" s="5" t="s">
        <v>1441</v>
      </c>
      <c r="AL128" s="3" t="s">
        <v>45</v>
      </c>
      <c r="AM128" s="3" t="s">
        <v>45</v>
      </c>
      <c r="AN128" s="3" t="s">
        <v>45</v>
      </c>
      <c r="AO128" s="3" t="s">
        <v>45</v>
      </c>
      <c r="AP128" s="3" t="s">
        <v>45</v>
      </c>
      <c r="AQ128" s="4" t="s">
        <v>1300</v>
      </c>
      <c r="AR128" s="4" t="s">
        <v>1300</v>
      </c>
    </row>
    <row r="129">
      <c r="A129" s="3" t="s">
        <v>1442</v>
      </c>
      <c r="B129" s="3" t="s">
        <v>1443</v>
      </c>
      <c r="C129" s="3" t="s">
        <v>1390</v>
      </c>
      <c r="D129" s="3" t="s">
        <v>1291</v>
      </c>
      <c r="E129" s="4" t="s">
        <v>1415</v>
      </c>
      <c r="F129" s="3" t="s">
        <v>1330</v>
      </c>
      <c r="G129" s="4" t="s">
        <v>1444</v>
      </c>
      <c r="H129" s="4" t="s">
        <v>1445</v>
      </c>
      <c r="I129" s="3" t="s">
        <v>85</v>
      </c>
      <c r="J129" s="3" t="s">
        <v>126</v>
      </c>
      <c r="K129" s="3" t="s">
        <v>45</v>
      </c>
      <c r="L129" s="3" t="s">
        <v>921</v>
      </c>
      <c r="M129" s="3" t="s">
        <v>45</v>
      </c>
      <c r="N129" s="4" t="s">
        <v>104</v>
      </c>
      <c r="O129" s="3" t="s">
        <v>53</v>
      </c>
      <c r="P129" s="3" t="s">
        <v>45</v>
      </c>
      <c r="Q129" s="3" t="s">
        <v>45</v>
      </c>
      <c r="R129" s="3" t="s">
        <v>45</v>
      </c>
      <c r="S129" s="3" t="s">
        <v>45</v>
      </c>
      <c r="T129" s="3" t="s">
        <v>45</v>
      </c>
      <c r="U129" s="3" t="s">
        <v>45</v>
      </c>
      <c r="V129" s="4" t="s">
        <v>1446</v>
      </c>
      <c r="W129" s="3" t="s">
        <v>45</v>
      </c>
      <c r="X129" s="3" t="s">
        <v>45</v>
      </c>
      <c r="Y129" s="3" t="s">
        <v>45</v>
      </c>
      <c r="Z129" s="3" t="s">
        <v>74</v>
      </c>
      <c r="AA129" s="3" t="s">
        <v>45</v>
      </c>
      <c r="AB129" s="3" t="s">
        <v>45</v>
      </c>
      <c r="AC129" s="3" t="s">
        <v>45</v>
      </c>
      <c r="AD129" s="3" t="s">
        <v>45</v>
      </c>
      <c r="AE129" s="3" t="s">
        <v>45</v>
      </c>
      <c r="AF129" s="3" t="s">
        <v>45</v>
      </c>
      <c r="AG129" s="3" t="s">
        <v>45</v>
      </c>
      <c r="AH129" s="3" t="s">
        <v>57</v>
      </c>
      <c r="AI129" s="5" t="s">
        <v>1441</v>
      </c>
      <c r="AJ129" s="5" t="s">
        <v>1447</v>
      </c>
      <c r="AK129" s="3" t="s">
        <v>45</v>
      </c>
      <c r="AL129" s="3" t="s">
        <v>45</v>
      </c>
      <c r="AM129" s="3" t="s">
        <v>45</v>
      </c>
      <c r="AN129" s="3" t="s">
        <v>45</v>
      </c>
      <c r="AO129" s="3" t="s">
        <v>45</v>
      </c>
      <c r="AP129" s="3" t="s">
        <v>45</v>
      </c>
      <c r="AQ129" s="4" t="s">
        <v>627</v>
      </c>
      <c r="AR129" s="4" t="s">
        <v>627</v>
      </c>
    </row>
    <row r="130">
      <c r="A130" s="3" t="s">
        <v>1448</v>
      </c>
      <c r="B130" s="3" t="s">
        <v>1449</v>
      </c>
      <c r="C130" s="3" t="s">
        <v>1390</v>
      </c>
      <c r="D130" s="3" t="s">
        <v>1291</v>
      </c>
      <c r="E130" s="4" t="s">
        <v>1450</v>
      </c>
      <c r="F130" s="3" t="s">
        <v>1330</v>
      </c>
      <c r="G130" s="4" t="s">
        <v>1451</v>
      </c>
      <c r="H130" s="4" t="s">
        <v>1452</v>
      </c>
      <c r="I130" s="3" t="s">
        <v>85</v>
      </c>
      <c r="J130" s="3" t="s">
        <v>126</v>
      </c>
      <c r="K130" s="3" t="s">
        <v>45</v>
      </c>
      <c r="L130" s="3" t="s">
        <v>557</v>
      </c>
      <c r="M130" s="3" t="s">
        <v>45</v>
      </c>
      <c r="N130" s="4" t="s">
        <v>54</v>
      </c>
      <c r="O130" s="3" t="s">
        <v>722</v>
      </c>
      <c r="P130" s="3" t="s">
        <v>45</v>
      </c>
      <c r="Q130" s="3" t="s">
        <v>45</v>
      </c>
      <c r="R130" s="3" t="s">
        <v>45</v>
      </c>
      <c r="S130" s="3" t="s">
        <v>45</v>
      </c>
      <c r="T130" s="3" t="s">
        <v>45</v>
      </c>
      <c r="U130" s="3" t="s">
        <v>45</v>
      </c>
      <c r="V130" s="4" t="s">
        <v>1453</v>
      </c>
      <c r="W130" s="3" t="s">
        <v>45</v>
      </c>
      <c r="X130" s="3" t="s">
        <v>45</v>
      </c>
      <c r="Y130" s="3" t="s">
        <v>45</v>
      </c>
      <c r="Z130" s="3" t="s">
        <v>74</v>
      </c>
      <c r="AA130" s="3" t="s">
        <v>45</v>
      </c>
      <c r="AB130" s="3" t="s">
        <v>45</v>
      </c>
      <c r="AC130" s="3" t="s">
        <v>45</v>
      </c>
      <c r="AD130" s="3" t="s">
        <v>45</v>
      </c>
      <c r="AE130" s="3" t="s">
        <v>45</v>
      </c>
      <c r="AF130" s="3" t="s">
        <v>45</v>
      </c>
      <c r="AG130" s="3" t="s">
        <v>1454</v>
      </c>
      <c r="AH130" s="3" t="s">
        <v>57</v>
      </c>
      <c r="AI130" s="5" t="s">
        <v>1455</v>
      </c>
      <c r="AJ130" s="5" t="s">
        <v>1456</v>
      </c>
      <c r="AK130" s="3" t="s">
        <v>45</v>
      </c>
      <c r="AL130" s="3" t="s">
        <v>45</v>
      </c>
      <c r="AM130" s="3" t="s">
        <v>45</v>
      </c>
      <c r="AN130" s="3" t="s">
        <v>45</v>
      </c>
      <c r="AO130" s="3" t="s">
        <v>45</v>
      </c>
      <c r="AP130" s="3" t="s">
        <v>45</v>
      </c>
      <c r="AQ130" s="4" t="s">
        <v>1300</v>
      </c>
      <c r="AR130" s="4" t="s">
        <v>1300</v>
      </c>
    </row>
    <row r="131">
      <c r="A131" s="3" t="s">
        <v>1457</v>
      </c>
      <c r="B131" s="3" t="s">
        <v>1458</v>
      </c>
      <c r="C131" s="3" t="s">
        <v>1390</v>
      </c>
      <c r="D131" s="3" t="s">
        <v>1291</v>
      </c>
      <c r="E131" s="4" t="s">
        <v>1450</v>
      </c>
      <c r="F131" s="3" t="s">
        <v>1330</v>
      </c>
      <c r="G131" s="4" t="s">
        <v>1459</v>
      </c>
      <c r="H131" s="4" t="s">
        <v>1460</v>
      </c>
      <c r="I131" s="3" t="s">
        <v>85</v>
      </c>
      <c r="J131" s="3" t="s">
        <v>126</v>
      </c>
      <c r="K131" s="3" t="s">
        <v>45</v>
      </c>
      <c r="L131" s="3" t="s">
        <v>557</v>
      </c>
      <c r="M131" s="3" t="s">
        <v>45</v>
      </c>
      <c r="N131" s="4" t="s">
        <v>748</v>
      </c>
      <c r="O131" s="3" t="s">
        <v>722</v>
      </c>
      <c r="P131" s="3" t="s">
        <v>45</v>
      </c>
      <c r="Q131" s="3" t="s">
        <v>45</v>
      </c>
      <c r="R131" s="3" t="s">
        <v>45</v>
      </c>
      <c r="S131" s="3" t="s">
        <v>45</v>
      </c>
      <c r="T131" s="3" t="s">
        <v>45</v>
      </c>
      <c r="U131" s="3" t="s">
        <v>45</v>
      </c>
      <c r="V131" s="4" t="s">
        <v>1461</v>
      </c>
      <c r="W131" s="3" t="s">
        <v>45</v>
      </c>
      <c r="X131" s="3" t="s">
        <v>45</v>
      </c>
      <c r="Y131" s="3" t="s">
        <v>45</v>
      </c>
      <c r="Z131" s="3" t="s">
        <v>74</v>
      </c>
      <c r="AA131" s="3" t="s">
        <v>45</v>
      </c>
      <c r="AB131" s="3" t="s">
        <v>45</v>
      </c>
      <c r="AC131" s="3" t="s">
        <v>45</v>
      </c>
      <c r="AD131" s="3" t="s">
        <v>45</v>
      </c>
      <c r="AE131" s="3" t="s">
        <v>45</v>
      </c>
      <c r="AF131" s="3" t="s">
        <v>45</v>
      </c>
      <c r="AG131" s="3" t="s">
        <v>1454</v>
      </c>
      <c r="AH131" s="3" t="s">
        <v>1298</v>
      </c>
      <c r="AI131" s="5" t="s">
        <v>1462</v>
      </c>
      <c r="AJ131" s="5" t="s">
        <v>1456</v>
      </c>
      <c r="AK131" s="3" t="s">
        <v>45</v>
      </c>
      <c r="AL131" s="3" t="s">
        <v>45</v>
      </c>
      <c r="AM131" s="3" t="s">
        <v>45</v>
      </c>
      <c r="AN131" s="3" t="s">
        <v>45</v>
      </c>
      <c r="AO131" s="3" t="s">
        <v>45</v>
      </c>
      <c r="AP131" s="3" t="s">
        <v>45</v>
      </c>
      <c r="AQ131" s="4" t="s">
        <v>1300</v>
      </c>
      <c r="AR131" s="4" t="s">
        <v>1300</v>
      </c>
    </row>
    <row r="132">
      <c r="A132" s="3" t="s">
        <v>1463</v>
      </c>
      <c r="B132" s="3" t="s">
        <v>1464</v>
      </c>
      <c r="C132" s="3" t="s">
        <v>1390</v>
      </c>
      <c r="D132" s="3" t="s">
        <v>1291</v>
      </c>
      <c r="E132" s="4" t="s">
        <v>1450</v>
      </c>
      <c r="F132" s="3" t="s">
        <v>1330</v>
      </c>
      <c r="G132" s="4" t="s">
        <v>1465</v>
      </c>
      <c r="H132" s="4" t="s">
        <v>1466</v>
      </c>
      <c r="I132" s="3" t="s">
        <v>85</v>
      </c>
      <c r="J132" s="3" t="s">
        <v>126</v>
      </c>
      <c r="K132" s="3" t="s">
        <v>45</v>
      </c>
      <c r="L132" s="3" t="s">
        <v>557</v>
      </c>
      <c r="M132" s="3" t="s">
        <v>45</v>
      </c>
      <c r="N132" s="3" t="s">
        <v>45</v>
      </c>
      <c r="O132" s="3" t="s">
        <v>74</v>
      </c>
      <c r="P132" s="3" t="s">
        <v>45</v>
      </c>
      <c r="Q132" s="3" t="s">
        <v>45</v>
      </c>
      <c r="R132" s="3" t="s">
        <v>45</v>
      </c>
      <c r="S132" s="3" t="s">
        <v>45</v>
      </c>
      <c r="T132" s="3" t="s">
        <v>45</v>
      </c>
      <c r="U132" s="3" t="s">
        <v>45</v>
      </c>
      <c r="V132" s="3" t="s">
        <v>45</v>
      </c>
      <c r="W132" s="3" t="s">
        <v>45</v>
      </c>
      <c r="X132" s="3" t="s">
        <v>45</v>
      </c>
      <c r="Y132" s="3" t="s">
        <v>45</v>
      </c>
      <c r="Z132" s="3" t="s">
        <v>74</v>
      </c>
      <c r="AA132" s="3" t="s">
        <v>45</v>
      </c>
      <c r="AB132" s="3" t="s">
        <v>45</v>
      </c>
      <c r="AC132" s="3" t="s">
        <v>45</v>
      </c>
      <c r="AD132" s="3" t="s">
        <v>45</v>
      </c>
      <c r="AE132" s="3" t="s">
        <v>45</v>
      </c>
      <c r="AF132" s="3" t="s">
        <v>45</v>
      </c>
      <c r="AG132" s="3" t="s">
        <v>1454</v>
      </c>
      <c r="AH132" s="3" t="s">
        <v>1298</v>
      </c>
      <c r="AI132" s="5" t="s">
        <v>1467</v>
      </c>
      <c r="AJ132" s="5" t="s">
        <v>1456</v>
      </c>
      <c r="AK132" s="3" t="s">
        <v>45</v>
      </c>
      <c r="AL132" s="3" t="s">
        <v>45</v>
      </c>
      <c r="AM132" s="3" t="s">
        <v>45</v>
      </c>
      <c r="AN132" s="3" t="s">
        <v>45</v>
      </c>
      <c r="AO132" s="3" t="s">
        <v>45</v>
      </c>
      <c r="AP132" s="3" t="s">
        <v>45</v>
      </c>
      <c r="AQ132" s="4" t="s">
        <v>1300</v>
      </c>
      <c r="AR132" s="4" t="s">
        <v>1300</v>
      </c>
    </row>
    <row r="133">
      <c r="A133" s="3" t="s">
        <v>1468</v>
      </c>
      <c r="B133" s="3" t="s">
        <v>1469</v>
      </c>
      <c r="C133" s="3" t="s">
        <v>1390</v>
      </c>
      <c r="D133" s="3" t="s">
        <v>1291</v>
      </c>
      <c r="E133" s="4" t="s">
        <v>1450</v>
      </c>
      <c r="F133" s="3" t="s">
        <v>1330</v>
      </c>
      <c r="G133" s="4" t="s">
        <v>1470</v>
      </c>
      <c r="H133" s="4" t="s">
        <v>1471</v>
      </c>
      <c r="I133" s="3" t="s">
        <v>85</v>
      </c>
      <c r="J133" s="3" t="s">
        <v>126</v>
      </c>
      <c r="K133" s="3" t="s">
        <v>45</v>
      </c>
      <c r="L133" s="3" t="s">
        <v>557</v>
      </c>
      <c r="M133" s="3" t="s">
        <v>45</v>
      </c>
      <c r="N133" s="3" t="s">
        <v>45</v>
      </c>
      <c r="O133" s="3" t="s">
        <v>74</v>
      </c>
      <c r="P133" s="3" t="s">
        <v>45</v>
      </c>
      <c r="Q133" s="3" t="s">
        <v>45</v>
      </c>
      <c r="R133" s="3" t="s">
        <v>45</v>
      </c>
      <c r="S133" s="3" t="s">
        <v>45</v>
      </c>
      <c r="T133" s="3" t="s">
        <v>45</v>
      </c>
      <c r="U133" s="3" t="s">
        <v>45</v>
      </c>
      <c r="V133" s="3" t="s">
        <v>45</v>
      </c>
      <c r="W133" s="3" t="s">
        <v>45</v>
      </c>
      <c r="X133" s="3" t="s">
        <v>45</v>
      </c>
      <c r="Y133" s="3" t="s">
        <v>45</v>
      </c>
      <c r="Z133" s="3" t="s">
        <v>74</v>
      </c>
      <c r="AA133" s="3" t="s">
        <v>45</v>
      </c>
      <c r="AB133" s="3" t="s">
        <v>45</v>
      </c>
      <c r="AC133" s="3" t="s">
        <v>45</v>
      </c>
      <c r="AD133" s="3" t="s">
        <v>45</v>
      </c>
      <c r="AE133" s="3" t="s">
        <v>45</v>
      </c>
      <c r="AF133" s="3" t="s">
        <v>45</v>
      </c>
      <c r="AG133" s="3" t="s">
        <v>1454</v>
      </c>
      <c r="AH133" s="3" t="s">
        <v>1298</v>
      </c>
      <c r="AI133" s="5" t="s">
        <v>1472</v>
      </c>
      <c r="AJ133" s="5" t="s">
        <v>1456</v>
      </c>
      <c r="AK133" s="3" t="s">
        <v>45</v>
      </c>
      <c r="AL133" s="3" t="s">
        <v>45</v>
      </c>
      <c r="AM133" s="3" t="s">
        <v>45</v>
      </c>
      <c r="AN133" s="3" t="s">
        <v>45</v>
      </c>
      <c r="AO133" s="3" t="s">
        <v>45</v>
      </c>
      <c r="AP133" s="3" t="s">
        <v>45</v>
      </c>
      <c r="AQ133" s="4" t="s">
        <v>1300</v>
      </c>
      <c r="AR133" s="4" t="s">
        <v>1114</v>
      </c>
    </row>
    <row r="134">
      <c r="A134" s="3" t="s">
        <v>1473</v>
      </c>
      <c r="B134" s="3" t="s">
        <v>1474</v>
      </c>
      <c r="C134" s="3" t="s">
        <v>1390</v>
      </c>
      <c r="D134" s="3" t="s">
        <v>1291</v>
      </c>
      <c r="E134" s="4" t="s">
        <v>1415</v>
      </c>
      <c r="F134" s="3" t="s">
        <v>1330</v>
      </c>
      <c r="G134" s="4" t="s">
        <v>1427</v>
      </c>
      <c r="H134" s="4" t="s">
        <v>1428</v>
      </c>
      <c r="I134" s="3" t="s">
        <v>85</v>
      </c>
      <c r="J134" s="3" t="s">
        <v>126</v>
      </c>
      <c r="K134" s="3" t="s">
        <v>45</v>
      </c>
      <c r="L134" s="3" t="s">
        <v>1475</v>
      </c>
      <c r="M134" s="3" t="s">
        <v>45</v>
      </c>
      <c r="N134" s="3" t="s">
        <v>45</v>
      </c>
      <c r="O134" s="3" t="s">
        <v>74</v>
      </c>
      <c r="P134" s="3" t="s">
        <v>45</v>
      </c>
      <c r="Q134" s="3" t="s">
        <v>45</v>
      </c>
      <c r="R134" s="3" t="s">
        <v>45</v>
      </c>
      <c r="S134" s="3" t="s">
        <v>45</v>
      </c>
      <c r="T134" s="3" t="s">
        <v>45</v>
      </c>
      <c r="U134" s="3" t="s">
        <v>45</v>
      </c>
      <c r="V134" s="4" t="s">
        <v>1476</v>
      </c>
      <c r="W134" s="3" t="s">
        <v>45</v>
      </c>
      <c r="X134" s="3" t="s">
        <v>45</v>
      </c>
      <c r="Y134" s="3" t="s">
        <v>45</v>
      </c>
      <c r="Z134" s="3" t="s">
        <v>74</v>
      </c>
      <c r="AA134" s="3" t="s">
        <v>45</v>
      </c>
      <c r="AB134" s="3" t="s">
        <v>45</v>
      </c>
      <c r="AC134" s="3" t="s">
        <v>45</v>
      </c>
      <c r="AD134" s="3" t="s">
        <v>45</v>
      </c>
      <c r="AE134" s="3" t="s">
        <v>45</v>
      </c>
      <c r="AF134" s="3" t="s">
        <v>45</v>
      </c>
      <c r="AG134" s="3" t="s">
        <v>45</v>
      </c>
      <c r="AH134" s="3" t="s">
        <v>1298</v>
      </c>
      <c r="AI134" s="5" t="s">
        <v>1477</v>
      </c>
      <c r="AJ134" s="3" t="s">
        <v>45</v>
      </c>
      <c r="AK134" s="3" t="s">
        <v>45</v>
      </c>
      <c r="AL134" s="3" t="s">
        <v>45</v>
      </c>
      <c r="AM134" s="3" t="s">
        <v>45</v>
      </c>
      <c r="AN134" s="3" t="s">
        <v>45</v>
      </c>
      <c r="AO134" s="3" t="s">
        <v>45</v>
      </c>
      <c r="AP134" s="3" t="s">
        <v>45</v>
      </c>
      <c r="AQ134" s="4" t="s">
        <v>1300</v>
      </c>
      <c r="AR134" s="4" t="s">
        <v>1300</v>
      </c>
    </row>
    <row r="135">
      <c r="A135" s="3" t="s">
        <v>1478</v>
      </c>
      <c r="B135" s="3" t="s">
        <v>1479</v>
      </c>
      <c r="C135" s="3" t="s">
        <v>1390</v>
      </c>
      <c r="D135" s="3" t="s">
        <v>1291</v>
      </c>
      <c r="E135" s="4" t="s">
        <v>1415</v>
      </c>
      <c r="F135" s="3" t="s">
        <v>1330</v>
      </c>
      <c r="G135" s="4" t="s">
        <v>1480</v>
      </c>
      <c r="H135" s="4" t="s">
        <v>1481</v>
      </c>
      <c r="I135" s="3" t="s">
        <v>85</v>
      </c>
      <c r="J135" s="3" t="s">
        <v>126</v>
      </c>
      <c r="K135" s="3" t="s">
        <v>45</v>
      </c>
      <c r="L135" s="3" t="s">
        <v>1482</v>
      </c>
      <c r="M135" s="3" t="s">
        <v>45</v>
      </c>
      <c r="N135" s="3" t="s">
        <v>45</v>
      </c>
      <c r="O135" s="3" t="s">
        <v>74</v>
      </c>
      <c r="P135" s="3" t="s">
        <v>45</v>
      </c>
      <c r="Q135" s="3" t="s">
        <v>45</v>
      </c>
      <c r="R135" s="3" t="s">
        <v>45</v>
      </c>
      <c r="S135" s="3" t="s">
        <v>45</v>
      </c>
      <c r="T135" s="3" t="s">
        <v>45</v>
      </c>
      <c r="U135" s="3" t="s">
        <v>45</v>
      </c>
      <c r="V135" s="3" t="s">
        <v>45</v>
      </c>
      <c r="W135" s="3" t="s">
        <v>45</v>
      </c>
      <c r="X135" s="3" t="s">
        <v>45</v>
      </c>
      <c r="Y135" s="3" t="s">
        <v>45</v>
      </c>
      <c r="Z135" s="3" t="s">
        <v>74</v>
      </c>
      <c r="AA135" s="3" t="s">
        <v>45</v>
      </c>
      <c r="AB135" s="3" t="s">
        <v>45</v>
      </c>
      <c r="AC135" s="3" t="s">
        <v>45</v>
      </c>
      <c r="AD135" s="3" t="s">
        <v>45</v>
      </c>
      <c r="AE135" s="3" t="s">
        <v>45</v>
      </c>
      <c r="AF135" s="3" t="s">
        <v>45</v>
      </c>
      <c r="AG135" s="3" t="s">
        <v>45</v>
      </c>
      <c r="AH135" s="3" t="s">
        <v>1298</v>
      </c>
      <c r="AI135" s="5" t="s">
        <v>1483</v>
      </c>
      <c r="AJ135" s="3" t="s">
        <v>45</v>
      </c>
      <c r="AK135" s="3" t="s">
        <v>45</v>
      </c>
      <c r="AL135" s="3" t="s">
        <v>45</v>
      </c>
      <c r="AM135" s="3" t="s">
        <v>45</v>
      </c>
      <c r="AN135" s="3" t="s">
        <v>45</v>
      </c>
      <c r="AO135" s="3" t="s">
        <v>45</v>
      </c>
      <c r="AP135" s="3" t="s">
        <v>45</v>
      </c>
      <c r="AQ135" s="4" t="s">
        <v>1300</v>
      </c>
      <c r="AR135" s="4" t="s">
        <v>1300</v>
      </c>
    </row>
    <row r="136">
      <c r="A136" s="3" t="s">
        <v>1484</v>
      </c>
      <c r="B136" s="3" t="s">
        <v>1485</v>
      </c>
      <c r="C136" s="3" t="s">
        <v>1390</v>
      </c>
      <c r="D136" s="3" t="s">
        <v>1291</v>
      </c>
      <c r="E136" s="4" t="s">
        <v>1415</v>
      </c>
      <c r="F136" s="3" t="s">
        <v>1330</v>
      </c>
      <c r="G136" s="4" t="s">
        <v>1427</v>
      </c>
      <c r="H136" s="4" t="s">
        <v>1428</v>
      </c>
      <c r="I136" s="3" t="s">
        <v>85</v>
      </c>
      <c r="J136" s="3" t="s">
        <v>126</v>
      </c>
      <c r="K136" s="3" t="s">
        <v>45</v>
      </c>
      <c r="L136" s="3" t="s">
        <v>1486</v>
      </c>
      <c r="M136" s="3" t="s">
        <v>45</v>
      </c>
      <c r="N136" s="3" t="s">
        <v>45</v>
      </c>
      <c r="O136" s="3" t="s">
        <v>74</v>
      </c>
      <c r="P136" s="3" t="s">
        <v>45</v>
      </c>
      <c r="Q136" s="3" t="s">
        <v>45</v>
      </c>
      <c r="R136" s="3" t="s">
        <v>45</v>
      </c>
      <c r="S136" s="3" t="s">
        <v>45</v>
      </c>
      <c r="T136" s="3" t="s">
        <v>45</v>
      </c>
      <c r="U136" s="3" t="s">
        <v>45</v>
      </c>
      <c r="V136" s="3" t="s">
        <v>45</v>
      </c>
      <c r="W136" s="3" t="s">
        <v>45</v>
      </c>
      <c r="X136" s="3" t="s">
        <v>45</v>
      </c>
      <c r="Y136" s="3" t="s">
        <v>45</v>
      </c>
      <c r="Z136" s="3" t="s">
        <v>74</v>
      </c>
      <c r="AA136" s="3" t="s">
        <v>45</v>
      </c>
      <c r="AB136" s="3" t="s">
        <v>45</v>
      </c>
      <c r="AC136" s="3" t="s">
        <v>45</v>
      </c>
      <c r="AD136" s="3" t="s">
        <v>45</v>
      </c>
      <c r="AE136" s="3" t="s">
        <v>45</v>
      </c>
      <c r="AF136" s="3" t="s">
        <v>45</v>
      </c>
      <c r="AG136" s="3" t="s">
        <v>45</v>
      </c>
      <c r="AH136" s="3" t="s">
        <v>1298</v>
      </c>
      <c r="AI136" s="5" t="s">
        <v>1487</v>
      </c>
      <c r="AJ136" s="3" t="s">
        <v>45</v>
      </c>
      <c r="AK136" s="3" t="s">
        <v>45</v>
      </c>
      <c r="AL136" s="3" t="s">
        <v>45</v>
      </c>
      <c r="AM136" s="3" t="s">
        <v>45</v>
      </c>
      <c r="AN136" s="3" t="s">
        <v>45</v>
      </c>
      <c r="AO136" s="3" t="s">
        <v>45</v>
      </c>
      <c r="AP136" s="3" t="s">
        <v>45</v>
      </c>
      <c r="AQ136" s="4" t="s">
        <v>1300</v>
      </c>
      <c r="AR136" s="4" t="s">
        <v>1488</v>
      </c>
    </row>
    <row r="137">
      <c r="A137" s="3" t="s">
        <v>1489</v>
      </c>
      <c r="B137" s="3" t="s">
        <v>1490</v>
      </c>
      <c r="C137" s="3" t="s">
        <v>1390</v>
      </c>
      <c r="D137" s="3" t="s">
        <v>1291</v>
      </c>
      <c r="E137" s="4" t="s">
        <v>1391</v>
      </c>
      <c r="F137" s="3" t="s">
        <v>1330</v>
      </c>
      <c r="G137" s="4" t="s">
        <v>1491</v>
      </c>
      <c r="H137" s="4" t="s">
        <v>1492</v>
      </c>
      <c r="I137" s="3" t="s">
        <v>85</v>
      </c>
      <c r="J137" s="3" t="s">
        <v>126</v>
      </c>
      <c r="K137" s="3" t="s">
        <v>45</v>
      </c>
      <c r="L137" s="3" t="s">
        <v>1486</v>
      </c>
      <c r="M137" s="3" t="s">
        <v>45</v>
      </c>
      <c r="N137" s="3" t="s">
        <v>45</v>
      </c>
      <c r="O137" s="3" t="s">
        <v>74</v>
      </c>
      <c r="P137" s="3" t="s">
        <v>45</v>
      </c>
      <c r="Q137" s="3" t="s">
        <v>45</v>
      </c>
      <c r="R137" s="3" t="s">
        <v>45</v>
      </c>
      <c r="S137" s="3" t="s">
        <v>45</v>
      </c>
      <c r="T137" s="3" t="s">
        <v>45</v>
      </c>
      <c r="U137" s="3" t="s">
        <v>45</v>
      </c>
      <c r="V137" s="4" t="s">
        <v>1493</v>
      </c>
      <c r="W137" s="3" t="s">
        <v>45</v>
      </c>
      <c r="X137" s="3" t="s">
        <v>45</v>
      </c>
      <c r="Y137" s="3" t="s">
        <v>45</v>
      </c>
      <c r="Z137" s="3" t="s">
        <v>74</v>
      </c>
      <c r="AA137" s="3" t="s">
        <v>45</v>
      </c>
      <c r="AB137" s="3" t="s">
        <v>45</v>
      </c>
      <c r="AC137" s="3" t="s">
        <v>45</v>
      </c>
      <c r="AD137" s="3" t="s">
        <v>45</v>
      </c>
      <c r="AE137" s="3" t="s">
        <v>45</v>
      </c>
      <c r="AF137" s="3" t="s">
        <v>45</v>
      </c>
      <c r="AG137" s="3" t="s">
        <v>45</v>
      </c>
      <c r="AH137" s="3" t="s">
        <v>1298</v>
      </c>
      <c r="AI137" s="3" t="s">
        <v>45</v>
      </c>
      <c r="AJ137" s="3" t="s">
        <v>45</v>
      </c>
      <c r="AK137" s="3" t="s">
        <v>45</v>
      </c>
      <c r="AL137" s="3" t="s">
        <v>45</v>
      </c>
      <c r="AM137" s="3" t="s">
        <v>45</v>
      </c>
      <c r="AN137" s="3" t="s">
        <v>45</v>
      </c>
      <c r="AO137" s="3" t="s">
        <v>45</v>
      </c>
      <c r="AP137" s="3" t="s">
        <v>45</v>
      </c>
      <c r="AQ137" s="4" t="s">
        <v>1300</v>
      </c>
      <c r="AR137" s="4" t="s">
        <v>1300</v>
      </c>
    </row>
    <row r="138">
      <c r="A138" s="3" t="s">
        <v>1494</v>
      </c>
      <c r="B138" s="3" t="s">
        <v>1495</v>
      </c>
      <c r="C138" s="3" t="s">
        <v>1390</v>
      </c>
      <c r="D138" s="3" t="s">
        <v>1291</v>
      </c>
      <c r="E138" s="4" t="s">
        <v>1496</v>
      </c>
      <c r="F138" s="3" t="s">
        <v>1330</v>
      </c>
      <c r="G138" s="4" t="s">
        <v>1497</v>
      </c>
      <c r="H138" s="4" t="s">
        <v>1498</v>
      </c>
      <c r="I138" s="3" t="s">
        <v>85</v>
      </c>
      <c r="J138" s="3" t="s">
        <v>126</v>
      </c>
      <c r="K138" s="3" t="s">
        <v>45</v>
      </c>
      <c r="L138" s="3" t="s">
        <v>1499</v>
      </c>
      <c r="M138" s="3" t="s">
        <v>45</v>
      </c>
      <c r="N138" s="4" t="s">
        <v>835</v>
      </c>
      <c r="O138" s="3" t="s">
        <v>53</v>
      </c>
      <c r="P138" s="3" t="s">
        <v>45</v>
      </c>
      <c r="Q138" s="3" t="s">
        <v>45</v>
      </c>
      <c r="R138" s="3" t="s">
        <v>45</v>
      </c>
      <c r="S138" s="3" t="s">
        <v>45</v>
      </c>
      <c r="T138" s="3" t="s">
        <v>45</v>
      </c>
      <c r="U138" s="3" t="s">
        <v>45</v>
      </c>
      <c r="V138" s="4" t="s">
        <v>1500</v>
      </c>
      <c r="W138" s="3" t="s">
        <v>45</v>
      </c>
      <c r="X138" s="3" t="s">
        <v>45</v>
      </c>
      <c r="Y138" s="3" t="s">
        <v>45</v>
      </c>
      <c r="Z138" s="3" t="s">
        <v>74</v>
      </c>
      <c r="AA138" s="3" t="s">
        <v>45</v>
      </c>
      <c r="AB138" s="3" t="s">
        <v>45</v>
      </c>
      <c r="AC138" s="3" t="s">
        <v>45</v>
      </c>
      <c r="AD138" s="3" t="s">
        <v>45</v>
      </c>
      <c r="AE138" s="3" t="s">
        <v>45</v>
      </c>
      <c r="AF138" s="3" t="s">
        <v>45</v>
      </c>
      <c r="AG138" s="3" t="s">
        <v>45</v>
      </c>
      <c r="AH138" s="3" t="s">
        <v>1298</v>
      </c>
      <c r="AI138" s="3" t="s">
        <v>45</v>
      </c>
      <c r="AJ138" s="3" t="s">
        <v>45</v>
      </c>
      <c r="AK138" s="3" t="s">
        <v>45</v>
      </c>
      <c r="AL138" s="3" t="s">
        <v>45</v>
      </c>
      <c r="AM138" s="3" t="s">
        <v>45</v>
      </c>
      <c r="AN138" s="3" t="s">
        <v>45</v>
      </c>
      <c r="AO138" s="3" t="s">
        <v>45</v>
      </c>
      <c r="AP138" s="3" t="s">
        <v>45</v>
      </c>
      <c r="AQ138" s="4" t="s">
        <v>1300</v>
      </c>
      <c r="AR138" s="4" t="s">
        <v>1300</v>
      </c>
    </row>
    <row r="139">
      <c r="A139" s="3" t="s">
        <v>1501</v>
      </c>
      <c r="B139" s="3" t="s">
        <v>1502</v>
      </c>
      <c r="C139" s="3" t="s">
        <v>1390</v>
      </c>
      <c r="D139" s="3" t="s">
        <v>1291</v>
      </c>
      <c r="E139" s="4" t="s">
        <v>1503</v>
      </c>
      <c r="F139" s="3" t="s">
        <v>1504</v>
      </c>
      <c r="G139" s="4" t="s">
        <v>1505</v>
      </c>
      <c r="H139" s="4" t="s">
        <v>1506</v>
      </c>
      <c r="I139" s="3" t="s">
        <v>85</v>
      </c>
      <c r="J139" s="3" t="s">
        <v>126</v>
      </c>
      <c r="K139" s="3" t="s">
        <v>45</v>
      </c>
      <c r="L139" s="3" t="s">
        <v>1507</v>
      </c>
      <c r="M139" s="3" t="s">
        <v>45</v>
      </c>
      <c r="N139" s="3" t="s">
        <v>45</v>
      </c>
      <c r="O139" s="3" t="s">
        <v>74</v>
      </c>
      <c r="P139" s="3" t="s">
        <v>45</v>
      </c>
      <c r="Q139" s="3" t="s">
        <v>45</v>
      </c>
      <c r="R139" s="3" t="s">
        <v>45</v>
      </c>
      <c r="S139" s="3" t="s">
        <v>45</v>
      </c>
      <c r="T139" s="3" t="s">
        <v>45</v>
      </c>
      <c r="U139" s="3" t="s">
        <v>45</v>
      </c>
      <c r="V139" s="3" t="s">
        <v>45</v>
      </c>
      <c r="W139" s="3" t="s">
        <v>45</v>
      </c>
      <c r="X139" s="3" t="s">
        <v>45</v>
      </c>
      <c r="Y139" s="3" t="s">
        <v>45</v>
      </c>
      <c r="Z139" s="3" t="s">
        <v>74</v>
      </c>
      <c r="AA139" s="3" t="s">
        <v>45</v>
      </c>
      <c r="AB139" s="3" t="s">
        <v>45</v>
      </c>
      <c r="AC139" s="3" t="s">
        <v>45</v>
      </c>
      <c r="AD139" s="3" t="s">
        <v>45</v>
      </c>
      <c r="AE139" s="3" t="s">
        <v>45</v>
      </c>
      <c r="AF139" s="3" t="s">
        <v>45</v>
      </c>
      <c r="AG139" s="3" t="s">
        <v>45</v>
      </c>
      <c r="AH139" s="3" t="s">
        <v>1298</v>
      </c>
      <c r="AI139" s="5" t="s">
        <v>1508</v>
      </c>
      <c r="AJ139" s="3" t="s">
        <v>45</v>
      </c>
      <c r="AK139" s="3" t="s">
        <v>45</v>
      </c>
      <c r="AL139" s="3" t="s">
        <v>45</v>
      </c>
      <c r="AM139" s="3" t="s">
        <v>45</v>
      </c>
      <c r="AN139" s="3" t="s">
        <v>45</v>
      </c>
      <c r="AO139" s="3" t="s">
        <v>45</v>
      </c>
      <c r="AP139" s="3" t="s">
        <v>45</v>
      </c>
      <c r="AQ139" s="4" t="s">
        <v>1300</v>
      </c>
      <c r="AR139" s="4" t="s">
        <v>1300</v>
      </c>
    </row>
    <row r="140">
      <c r="A140" s="3" t="s">
        <v>1509</v>
      </c>
      <c r="B140" s="3" t="s">
        <v>1510</v>
      </c>
      <c r="C140" s="3" t="s">
        <v>1390</v>
      </c>
      <c r="D140" s="3" t="s">
        <v>1291</v>
      </c>
      <c r="E140" s="4" t="s">
        <v>1415</v>
      </c>
      <c r="F140" s="3" t="s">
        <v>1330</v>
      </c>
      <c r="G140" s="4" t="s">
        <v>1511</v>
      </c>
      <c r="H140" s="4" t="s">
        <v>1512</v>
      </c>
      <c r="I140" s="3" t="s">
        <v>85</v>
      </c>
      <c r="J140" s="3" t="s">
        <v>126</v>
      </c>
      <c r="K140" s="3" t="s">
        <v>45</v>
      </c>
      <c r="L140" s="3" t="s">
        <v>1513</v>
      </c>
      <c r="M140" s="3" t="s">
        <v>45</v>
      </c>
      <c r="N140" s="4" t="s">
        <v>233</v>
      </c>
      <c r="O140" s="3" t="s">
        <v>53</v>
      </c>
      <c r="P140" s="3" t="s">
        <v>45</v>
      </c>
      <c r="Q140" s="3" t="s">
        <v>45</v>
      </c>
      <c r="R140" s="3" t="s">
        <v>45</v>
      </c>
      <c r="S140" s="3" t="s">
        <v>45</v>
      </c>
      <c r="T140" s="3" t="s">
        <v>45</v>
      </c>
      <c r="U140" s="3" t="s">
        <v>45</v>
      </c>
      <c r="V140" s="4" t="s">
        <v>1514</v>
      </c>
      <c r="W140" s="3" t="s">
        <v>45</v>
      </c>
      <c r="X140" s="3" t="s">
        <v>45</v>
      </c>
      <c r="Y140" s="3" t="s">
        <v>45</v>
      </c>
      <c r="Z140" s="3" t="s">
        <v>74</v>
      </c>
      <c r="AA140" s="3" t="s">
        <v>45</v>
      </c>
      <c r="AB140" s="3" t="s">
        <v>45</v>
      </c>
      <c r="AC140" s="3" t="s">
        <v>45</v>
      </c>
      <c r="AD140" s="3" t="s">
        <v>45</v>
      </c>
      <c r="AE140" s="3" t="s">
        <v>45</v>
      </c>
      <c r="AF140" s="3" t="s">
        <v>45</v>
      </c>
      <c r="AG140" s="3" t="s">
        <v>45</v>
      </c>
      <c r="AH140" s="3" t="s">
        <v>1298</v>
      </c>
      <c r="AI140" s="5" t="s">
        <v>1515</v>
      </c>
      <c r="AJ140" s="3" t="s">
        <v>45</v>
      </c>
      <c r="AK140" s="3" t="s">
        <v>45</v>
      </c>
      <c r="AL140" s="3" t="s">
        <v>45</v>
      </c>
      <c r="AM140" s="3" t="s">
        <v>45</v>
      </c>
      <c r="AN140" s="3" t="s">
        <v>45</v>
      </c>
      <c r="AO140" s="3" t="s">
        <v>45</v>
      </c>
      <c r="AP140" s="3" t="s">
        <v>45</v>
      </c>
      <c r="AQ140" s="4" t="s">
        <v>1300</v>
      </c>
      <c r="AR140" s="4" t="s">
        <v>1300</v>
      </c>
    </row>
    <row r="141">
      <c r="A141" s="3" t="s">
        <v>1516</v>
      </c>
      <c r="B141" s="3" t="s">
        <v>1517</v>
      </c>
      <c r="C141" s="3" t="s">
        <v>1390</v>
      </c>
      <c r="D141" s="3" t="s">
        <v>1291</v>
      </c>
      <c r="E141" s="4" t="s">
        <v>1518</v>
      </c>
      <c r="F141" s="3" t="s">
        <v>1330</v>
      </c>
      <c r="G141" s="4" t="s">
        <v>1519</v>
      </c>
      <c r="H141" s="4" t="s">
        <v>1520</v>
      </c>
      <c r="I141" s="3" t="s">
        <v>85</v>
      </c>
      <c r="J141" s="3" t="s">
        <v>126</v>
      </c>
      <c r="K141" s="3" t="s">
        <v>45</v>
      </c>
      <c r="L141" s="3" t="s">
        <v>1521</v>
      </c>
      <c r="M141" s="3" t="s">
        <v>45</v>
      </c>
      <c r="N141" s="4" t="s">
        <v>52</v>
      </c>
      <c r="O141" s="3" t="s">
        <v>53</v>
      </c>
      <c r="P141" s="3" t="s">
        <v>45</v>
      </c>
      <c r="Q141" s="3" t="s">
        <v>45</v>
      </c>
      <c r="R141" s="3" t="s">
        <v>45</v>
      </c>
      <c r="S141" s="3" t="s">
        <v>45</v>
      </c>
      <c r="T141" s="3" t="s">
        <v>45</v>
      </c>
      <c r="U141" s="3" t="s">
        <v>45</v>
      </c>
      <c r="V141" s="4" t="s">
        <v>1522</v>
      </c>
      <c r="W141" s="3" t="s">
        <v>45</v>
      </c>
      <c r="X141" s="3" t="s">
        <v>45</v>
      </c>
      <c r="Y141" s="3" t="s">
        <v>45</v>
      </c>
      <c r="Z141" s="3" t="s">
        <v>74</v>
      </c>
      <c r="AA141" s="3" t="s">
        <v>45</v>
      </c>
      <c r="AB141" s="3" t="s">
        <v>45</v>
      </c>
      <c r="AC141" s="3" t="s">
        <v>45</v>
      </c>
      <c r="AD141" s="3" t="s">
        <v>45</v>
      </c>
      <c r="AE141" s="3" t="s">
        <v>45</v>
      </c>
      <c r="AF141" s="3" t="s">
        <v>45</v>
      </c>
      <c r="AG141" s="3" t="s">
        <v>45</v>
      </c>
      <c r="AH141" s="3" t="s">
        <v>1298</v>
      </c>
      <c r="AI141" s="5" t="s">
        <v>1523</v>
      </c>
      <c r="AJ141" s="3" t="s">
        <v>45</v>
      </c>
      <c r="AK141" s="3" t="s">
        <v>45</v>
      </c>
      <c r="AL141" s="3" t="s">
        <v>45</v>
      </c>
      <c r="AM141" s="3" t="s">
        <v>45</v>
      </c>
      <c r="AN141" s="3" t="s">
        <v>45</v>
      </c>
      <c r="AO141" s="3" t="s">
        <v>45</v>
      </c>
      <c r="AP141" s="3" t="s">
        <v>45</v>
      </c>
      <c r="AQ141" s="4" t="s">
        <v>1300</v>
      </c>
      <c r="AR141" s="4" t="s">
        <v>1300</v>
      </c>
    </row>
    <row r="142">
      <c r="A142" s="3" t="s">
        <v>1524</v>
      </c>
      <c r="B142" s="3" t="s">
        <v>1525</v>
      </c>
      <c r="C142" s="3" t="s">
        <v>1390</v>
      </c>
      <c r="D142" s="3" t="s">
        <v>1291</v>
      </c>
      <c r="E142" s="4" t="s">
        <v>1518</v>
      </c>
      <c r="F142" s="3" t="s">
        <v>1330</v>
      </c>
      <c r="G142" s="4" t="s">
        <v>1526</v>
      </c>
      <c r="H142" s="4" t="s">
        <v>1527</v>
      </c>
      <c r="I142" s="3" t="s">
        <v>85</v>
      </c>
      <c r="J142" s="3" t="s">
        <v>126</v>
      </c>
      <c r="K142" s="3" t="s">
        <v>45</v>
      </c>
      <c r="L142" s="3" t="s">
        <v>1528</v>
      </c>
      <c r="M142" s="3" t="s">
        <v>45</v>
      </c>
      <c r="N142" s="4" t="s">
        <v>259</v>
      </c>
      <c r="O142" s="3" t="s">
        <v>390</v>
      </c>
      <c r="P142" s="3" t="s">
        <v>45</v>
      </c>
      <c r="Q142" s="3" t="s">
        <v>45</v>
      </c>
      <c r="R142" s="3" t="s">
        <v>45</v>
      </c>
      <c r="S142" s="3" t="s">
        <v>45</v>
      </c>
      <c r="T142" s="3" t="s">
        <v>45</v>
      </c>
      <c r="U142" s="3" t="s">
        <v>45</v>
      </c>
      <c r="V142" s="4" t="s">
        <v>1529</v>
      </c>
      <c r="W142" s="3" t="s">
        <v>45</v>
      </c>
      <c r="X142" s="3" t="s">
        <v>45</v>
      </c>
      <c r="Y142" s="3" t="s">
        <v>45</v>
      </c>
      <c r="Z142" s="3" t="s">
        <v>74</v>
      </c>
      <c r="AA142" s="3" t="s">
        <v>45</v>
      </c>
      <c r="AB142" s="3" t="s">
        <v>45</v>
      </c>
      <c r="AC142" s="3" t="s">
        <v>45</v>
      </c>
      <c r="AD142" s="3" t="s">
        <v>45</v>
      </c>
      <c r="AE142" s="3" t="s">
        <v>45</v>
      </c>
      <c r="AF142" s="3" t="s">
        <v>45</v>
      </c>
      <c r="AG142" s="3" t="s">
        <v>45</v>
      </c>
      <c r="AH142" s="3" t="s">
        <v>1298</v>
      </c>
      <c r="AI142" s="5" t="s">
        <v>1530</v>
      </c>
      <c r="AJ142" s="3" t="s">
        <v>45</v>
      </c>
      <c r="AK142" s="3" t="s">
        <v>45</v>
      </c>
      <c r="AL142" s="3" t="s">
        <v>45</v>
      </c>
      <c r="AM142" s="3" t="s">
        <v>45</v>
      </c>
      <c r="AN142" s="3" t="s">
        <v>45</v>
      </c>
      <c r="AO142" s="3" t="s">
        <v>45</v>
      </c>
      <c r="AP142" s="3" t="s">
        <v>45</v>
      </c>
      <c r="AQ142" s="4" t="s">
        <v>1300</v>
      </c>
      <c r="AR142" s="4" t="s">
        <v>1488</v>
      </c>
    </row>
    <row r="143">
      <c r="A143" s="3" t="s">
        <v>1531</v>
      </c>
      <c r="B143" s="3" t="s">
        <v>1532</v>
      </c>
      <c r="C143" s="3" t="s">
        <v>1390</v>
      </c>
      <c r="D143" s="3" t="s">
        <v>1291</v>
      </c>
      <c r="E143" s="4" t="s">
        <v>1391</v>
      </c>
      <c r="F143" s="3" t="s">
        <v>1330</v>
      </c>
      <c r="G143" s="4" t="s">
        <v>1533</v>
      </c>
      <c r="H143" s="4" t="s">
        <v>1534</v>
      </c>
      <c r="I143" s="3" t="s">
        <v>85</v>
      </c>
      <c r="J143" s="3" t="s">
        <v>126</v>
      </c>
      <c r="K143" s="3" t="s">
        <v>45</v>
      </c>
      <c r="L143" s="3" t="s">
        <v>1521</v>
      </c>
      <c r="M143" s="3" t="s">
        <v>45</v>
      </c>
      <c r="N143" s="4" t="s">
        <v>104</v>
      </c>
      <c r="O143" s="3" t="s">
        <v>53</v>
      </c>
      <c r="P143" s="3" t="s">
        <v>45</v>
      </c>
      <c r="Q143" s="3" t="s">
        <v>45</v>
      </c>
      <c r="R143" s="3" t="s">
        <v>45</v>
      </c>
      <c r="S143" s="3" t="s">
        <v>45</v>
      </c>
      <c r="T143" s="3" t="s">
        <v>45</v>
      </c>
      <c r="U143" s="3" t="s">
        <v>45</v>
      </c>
      <c r="V143" s="4" t="s">
        <v>1535</v>
      </c>
      <c r="W143" s="3" t="s">
        <v>45</v>
      </c>
      <c r="X143" s="3" t="s">
        <v>45</v>
      </c>
      <c r="Y143" s="3" t="s">
        <v>45</v>
      </c>
      <c r="Z143" s="3" t="s">
        <v>74</v>
      </c>
      <c r="AA143" s="3" t="s">
        <v>45</v>
      </c>
      <c r="AB143" s="3" t="s">
        <v>45</v>
      </c>
      <c r="AC143" s="3" t="s">
        <v>45</v>
      </c>
      <c r="AD143" s="3" t="s">
        <v>45</v>
      </c>
      <c r="AE143" s="3" t="s">
        <v>45</v>
      </c>
      <c r="AF143" s="3" t="s">
        <v>45</v>
      </c>
      <c r="AG143" s="3" t="s">
        <v>45</v>
      </c>
      <c r="AH143" s="3" t="s">
        <v>1298</v>
      </c>
      <c r="AI143" s="5" t="s">
        <v>1536</v>
      </c>
      <c r="AJ143" s="3" t="s">
        <v>45</v>
      </c>
      <c r="AK143" s="3" t="s">
        <v>45</v>
      </c>
      <c r="AL143" s="3" t="s">
        <v>45</v>
      </c>
      <c r="AM143" s="3" t="s">
        <v>45</v>
      </c>
      <c r="AN143" s="3" t="s">
        <v>45</v>
      </c>
      <c r="AO143" s="3" t="s">
        <v>45</v>
      </c>
      <c r="AP143" s="3" t="s">
        <v>45</v>
      </c>
      <c r="AQ143" s="4" t="s">
        <v>1300</v>
      </c>
      <c r="AR143" s="4" t="s">
        <v>1300</v>
      </c>
    </row>
    <row r="144">
      <c r="A144" s="3" t="s">
        <v>1537</v>
      </c>
      <c r="B144" s="3" t="s">
        <v>1538</v>
      </c>
      <c r="C144" s="3" t="s">
        <v>1390</v>
      </c>
      <c r="D144" s="3" t="s">
        <v>1291</v>
      </c>
      <c r="E144" s="4" t="s">
        <v>1391</v>
      </c>
      <c r="F144" s="3" t="s">
        <v>1330</v>
      </c>
      <c r="G144" s="4" t="s">
        <v>1539</v>
      </c>
      <c r="H144" s="4" t="s">
        <v>1540</v>
      </c>
      <c r="I144" s="3" t="s">
        <v>85</v>
      </c>
      <c r="J144" s="3" t="s">
        <v>126</v>
      </c>
      <c r="K144" s="3" t="s">
        <v>45</v>
      </c>
      <c r="L144" s="3" t="s">
        <v>1521</v>
      </c>
      <c r="M144" s="3" t="s">
        <v>45</v>
      </c>
      <c r="N144" s="4" t="s">
        <v>275</v>
      </c>
      <c r="O144" s="3" t="s">
        <v>53</v>
      </c>
      <c r="P144" s="3" t="s">
        <v>45</v>
      </c>
      <c r="Q144" s="3" t="s">
        <v>45</v>
      </c>
      <c r="R144" s="3" t="s">
        <v>45</v>
      </c>
      <c r="S144" s="3" t="s">
        <v>45</v>
      </c>
      <c r="T144" s="3" t="s">
        <v>45</v>
      </c>
      <c r="U144" s="3" t="s">
        <v>45</v>
      </c>
      <c r="V144" s="3" t="s">
        <v>45</v>
      </c>
      <c r="W144" s="3" t="s">
        <v>45</v>
      </c>
      <c r="X144" s="3" t="s">
        <v>45</v>
      </c>
      <c r="Y144" s="3" t="s">
        <v>45</v>
      </c>
      <c r="Z144" s="3" t="s">
        <v>74</v>
      </c>
      <c r="AA144" s="3" t="s">
        <v>45</v>
      </c>
      <c r="AB144" s="3" t="s">
        <v>45</v>
      </c>
      <c r="AC144" s="3" t="s">
        <v>45</v>
      </c>
      <c r="AD144" s="3" t="s">
        <v>45</v>
      </c>
      <c r="AE144" s="3" t="s">
        <v>45</v>
      </c>
      <c r="AF144" s="3" t="s">
        <v>45</v>
      </c>
      <c r="AG144" s="3" t="s">
        <v>45</v>
      </c>
      <c r="AH144" s="3" t="s">
        <v>1298</v>
      </c>
      <c r="AI144" s="5" t="s">
        <v>1541</v>
      </c>
      <c r="AJ144" s="3" t="s">
        <v>45</v>
      </c>
      <c r="AK144" s="3" t="s">
        <v>45</v>
      </c>
      <c r="AL144" s="3" t="s">
        <v>45</v>
      </c>
      <c r="AM144" s="3" t="s">
        <v>45</v>
      </c>
      <c r="AN144" s="3" t="s">
        <v>45</v>
      </c>
      <c r="AO144" s="3" t="s">
        <v>45</v>
      </c>
      <c r="AP144" s="3" t="s">
        <v>45</v>
      </c>
      <c r="AQ144" s="4" t="s">
        <v>1300</v>
      </c>
      <c r="AR144" s="4" t="s">
        <v>1300</v>
      </c>
    </row>
    <row r="145">
      <c r="A145" s="3" t="s">
        <v>1542</v>
      </c>
      <c r="B145" s="3" t="s">
        <v>1543</v>
      </c>
      <c r="C145" s="3" t="s">
        <v>1390</v>
      </c>
      <c r="D145" s="3" t="s">
        <v>1291</v>
      </c>
      <c r="E145" s="4" t="s">
        <v>1544</v>
      </c>
      <c r="F145" s="3" t="s">
        <v>1330</v>
      </c>
      <c r="G145" s="4" t="s">
        <v>1545</v>
      </c>
      <c r="H145" s="4" t="s">
        <v>1546</v>
      </c>
      <c r="I145" s="3" t="s">
        <v>49</v>
      </c>
      <c r="J145" s="3" t="s">
        <v>126</v>
      </c>
      <c r="K145" s="3" t="s">
        <v>45</v>
      </c>
      <c r="L145" s="3" t="s">
        <v>1521</v>
      </c>
      <c r="M145" s="3" t="s">
        <v>45</v>
      </c>
      <c r="N145" s="4" t="s">
        <v>861</v>
      </c>
      <c r="O145" s="3" t="s">
        <v>390</v>
      </c>
      <c r="P145" s="3" t="s">
        <v>45</v>
      </c>
      <c r="Q145" s="3" t="s">
        <v>45</v>
      </c>
      <c r="R145" s="3" t="s">
        <v>45</v>
      </c>
      <c r="S145" s="3" t="s">
        <v>45</v>
      </c>
      <c r="T145" s="3" t="s">
        <v>45</v>
      </c>
      <c r="U145" s="3" t="s">
        <v>45</v>
      </c>
      <c r="V145" s="4" t="s">
        <v>1547</v>
      </c>
      <c r="W145" s="3" t="s">
        <v>45</v>
      </c>
      <c r="X145" s="3" t="s">
        <v>45</v>
      </c>
      <c r="Y145" s="3" t="s">
        <v>45</v>
      </c>
      <c r="Z145" s="3" t="s">
        <v>74</v>
      </c>
      <c r="AA145" s="3" t="s">
        <v>45</v>
      </c>
      <c r="AB145" s="3" t="s">
        <v>45</v>
      </c>
      <c r="AC145" s="3" t="s">
        <v>45</v>
      </c>
      <c r="AD145" s="3" t="s">
        <v>45</v>
      </c>
      <c r="AE145" s="3" t="s">
        <v>45</v>
      </c>
      <c r="AF145" s="3" t="s">
        <v>45</v>
      </c>
      <c r="AG145" s="3" t="s">
        <v>45</v>
      </c>
      <c r="AH145" s="3" t="s">
        <v>1298</v>
      </c>
      <c r="AI145" s="5" t="s">
        <v>1548</v>
      </c>
      <c r="AJ145" s="3" t="s">
        <v>45</v>
      </c>
      <c r="AK145" s="3" t="s">
        <v>45</v>
      </c>
      <c r="AL145" s="3" t="s">
        <v>45</v>
      </c>
      <c r="AM145" s="3" t="s">
        <v>45</v>
      </c>
      <c r="AN145" s="3" t="s">
        <v>45</v>
      </c>
      <c r="AO145" s="3" t="s">
        <v>45</v>
      </c>
      <c r="AP145" s="3" t="s">
        <v>45</v>
      </c>
      <c r="AQ145" s="4" t="s">
        <v>1300</v>
      </c>
      <c r="AR145" s="4" t="s">
        <v>1300</v>
      </c>
    </row>
    <row r="146">
      <c r="A146" s="3" t="s">
        <v>1549</v>
      </c>
      <c r="B146" s="3" t="s">
        <v>1550</v>
      </c>
      <c r="C146" s="3" t="s">
        <v>1390</v>
      </c>
      <c r="D146" s="3" t="s">
        <v>1291</v>
      </c>
      <c r="E146" s="4" t="s">
        <v>1415</v>
      </c>
      <c r="F146" s="3" t="s">
        <v>1330</v>
      </c>
      <c r="G146" s="4" t="s">
        <v>1551</v>
      </c>
      <c r="H146" s="4" t="s">
        <v>1552</v>
      </c>
      <c r="I146" s="3" t="s">
        <v>49</v>
      </c>
      <c r="J146" s="3" t="s">
        <v>126</v>
      </c>
      <c r="K146" s="3" t="s">
        <v>45</v>
      </c>
      <c r="L146" s="3" t="s">
        <v>921</v>
      </c>
      <c r="M146" s="3" t="s">
        <v>45</v>
      </c>
      <c r="N146" s="4" t="s">
        <v>1553</v>
      </c>
      <c r="O146" s="3" t="s">
        <v>390</v>
      </c>
      <c r="P146" s="3" t="s">
        <v>45</v>
      </c>
      <c r="Q146" s="3" t="s">
        <v>45</v>
      </c>
      <c r="R146" s="3" t="s">
        <v>45</v>
      </c>
      <c r="S146" s="3" t="s">
        <v>45</v>
      </c>
      <c r="T146" s="3" t="s">
        <v>45</v>
      </c>
      <c r="U146" s="3" t="s">
        <v>45</v>
      </c>
      <c r="V146" s="4" t="s">
        <v>836</v>
      </c>
      <c r="W146" s="3" t="s">
        <v>45</v>
      </c>
      <c r="X146" s="3" t="s">
        <v>45</v>
      </c>
      <c r="Y146" s="3" t="s">
        <v>45</v>
      </c>
      <c r="Z146" s="3" t="s">
        <v>74</v>
      </c>
      <c r="AA146" s="3" t="s">
        <v>45</v>
      </c>
      <c r="AB146" s="3" t="s">
        <v>45</v>
      </c>
      <c r="AC146" s="3" t="s">
        <v>45</v>
      </c>
      <c r="AD146" s="3" t="s">
        <v>45</v>
      </c>
      <c r="AE146" s="3" t="s">
        <v>45</v>
      </c>
      <c r="AF146" s="3" t="s">
        <v>45</v>
      </c>
      <c r="AG146" s="3" t="s">
        <v>45</v>
      </c>
      <c r="AH146" s="3" t="s">
        <v>1298</v>
      </c>
      <c r="AI146" s="5" t="s">
        <v>1554</v>
      </c>
      <c r="AJ146" s="3" t="s">
        <v>45</v>
      </c>
      <c r="AK146" s="3" t="s">
        <v>45</v>
      </c>
      <c r="AL146" s="3" t="s">
        <v>45</v>
      </c>
      <c r="AM146" s="3" t="s">
        <v>45</v>
      </c>
      <c r="AN146" s="3" t="s">
        <v>45</v>
      </c>
      <c r="AO146" s="3" t="s">
        <v>45</v>
      </c>
      <c r="AP146" s="3" t="s">
        <v>45</v>
      </c>
      <c r="AQ146" s="4" t="s">
        <v>1300</v>
      </c>
      <c r="AR146" s="4" t="s">
        <v>1300</v>
      </c>
    </row>
    <row r="147">
      <c r="A147" s="3" t="s">
        <v>1555</v>
      </c>
      <c r="B147" s="3" t="s">
        <v>1556</v>
      </c>
      <c r="C147" s="3" t="s">
        <v>1390</v>
      </c>
      <c r="D147" s="3" t="s">
        <v>1291</v>
      </c>
      <c r="E147" s="4" t="s">
        <v>1391</v>
      </c>
      <c r="F147" s="3" t="s">
        <v>1330</v>
      </c>
      <c r="G147" s="4" t="s">
        <v>1557</v>
      </c>
      <c r="H147" s="4" t="s">
        <v>1558</v>
      </c>
      <c r="I147" s="3" t="s">
        <v>85</v>
      </c>
      <c r="J147" s="3" t="s">
        <v>126</v>
      </c>
      <c r="K147" s="3" t="s">
        <v>45</v>
      </c>
      <c r="L147" s="3" t="s">
        <v>1559</v>
      </c>
      <c r="M147" s="3" t="s">
        <v>45</v>
      </c>
      <c r="N147" s="4" t="s">
        <v>233</v>
      </c>
      <c r="O147" s="3" t="s">
        <v>53</v>
      </c>
      <c r="P147" s="3" t="s">
        <v>45</v>
      </c>
      <c r="Q147" s="3" t="s">
        <v>45</v>
      </c>
      <c r="R147" s="3" t="s">
        <v>45</v>
      </c>
      <c r="S147" s="3" t="s">
        <v>45</v>
      </c>
      <c r="T147" s="3" t="s">
        <v>45</v>
      </c>
      <c r="U147" s="3" t="s">
        <v>45</v>
      </c>
      <c r="V147" s="4" t="s">
        <v>1560</v>
      </c>
      <c r="W147" s="3" t="s">
        <v>45</v>
      </c>
      <c r="X147" s="3" t="s">
        <v>45</v>
      </c>
      <c r="Y147" s="3" t="s">
        <v>45</v>
      </c>
      <c r="Z147" s="3" t="s">
        <v>74</v>
      </c>
      <c r="AA147" s="3" t="s">
        <v>45</v>
      </c>
      <c r="AB147" s="3" t="s">
        <v>45</v>
      </c>
      <c r="AC147" s="3" t="s">
        <v>45</v>
      </c>
      <c r="AD147" s="3" t="s">
        <v>45</v>
      </c>
      <c r="AE147" s="3" t="s">
        <v>45</v>
      </c>
      <c r="AF147" s="3" t="s">
        <v>45</v>
      </c>
      <c r="AG147" s="3" t="s">
        <v>1561</v>
      </c>
      <c r="AH147" s="3" t="s">
        <v>1298</v>
      </c>
      <c r="AI147" s="5" t="s">
        <v>1562</v>
      </c>
      <c r="AJ147" s="3" t="s">
        <v>45</v>
      </c>
      <c r="AK147" s="3" t="s">
        <v>45</v>
      </c>
      <c r="AL147" s="3" t="s">
        <v>45</v>
      </c>
      <c r="AM147" s="3" t="s">
        <v>45</v>
      </c>
      <c r="AN147" s="3" t="s">
        <v>45</v>
      </c>
      <c r="AO147" s="3" t="s">
        <v>45</v>
      </c>
      <c r="AP147" s="3" t="s">
        <v>45</v>
      </c>
      <c r="AQ147" s="4" t="s">
        <v>1300</v>
      </c>
      <c r="AR147" s="4" t="s">
        <v>1300</v>
      </c>
    </row>
    <row r="148">
      <c r="A148" s="3" t="s">
        <v>1563</v>
      </c>
      <c r="B148" s="3" t="s">
        <v>1564</v>
      </c>
      <c r="C148" s="3" t="s">
        <v>1390</v>
      </c>
      <c r="D148" s="3" t="s">
        <v>1291</v>
      </c>
      <c r="E148" s="4" t="s">
        <v>1391</v>
      </c>
      <c r="F148" s="3" t="s">
        <v>1330</v>
      </c>
      <c r="G148" s="4" t="s">
        <v>1565</v>
      </c>
      <c r="H148" s="4" t="s">
        <v>1566</v>
      </c>
      <c r="I148" s="3" t="s">
        <v>85</v>
      </c>
      <c r="J148" s="3" t="s">
        <v>126</v>
      </c>
      <c r="K148" s="3" t="s">
        <v>45</v>
      </c>
      <c r="L148" s="3" t="s">
        <v>1559</v>
      </c>
      <c r="M148" s="3" t="s">
        <v>45</v>
      </c>
      <c r="N148" s="4" t="s">
        <v>259</v>
      </c>
      <c r="O148" s="3" t="s">
        <v>390</v>
      </c>
      <c r="P148" s="3" t="s">
        <v>45</v>
      </c>
      <c r="Q148" s="3" t="s">
        <v>45</v>
      </c>
      <c r="R148" s="3" t="s">
        <v>45</v>
      </c>
      <c r="S148" s="3" t="s">
        <v>45</v>
      </c>
      <c r="T148" s="3" t="s">
        <v>45</v>
      </c>
      <c r="U148" s="3" t="s">
        <v>45</v>
      </c>
      <c r="V148" s="4" t="s">
        <v>1567</v>
      </c>
      <c r="W148" s="3" t="s">
        <v>45</v>
      </c>
      <c r="X148" s="3" t="s">
        <v>45</v>
      </c>
      <c r="Y148" s="3" t="s">
        <v>45</v>
      </c>
      <c r="Z148" s="3" t="s">
        <v>74</v>
      </c>
      <c r="AA148" s="3" t="s">
        <v>45</v>
      </c>
      <c r="AB148" s="3" t="s">
        <v>45</v>
      </c>
      <c r="AC148" s="3" t="s">
        <v>45</v>
      </c>
      <c r="AD148" s="3" t="s">
        <v>45</v>
      </c>
      <c r="AE148" s="3" t="s">
        <v>45</v>
      </c>
      <c r="AF148" s="3" t="s">
        <v>45</v>
      </c>
      <c r="AG148" s="3" t="s">
        <v>45</v>
      </c>
      <c r="AH148" s="3" t="s">
        <v>1298</v>
      </c>
      <c r="AI148" s="5" t="s">
        <v>1568</v>
      </c>
      <c r="AJ148" s="3" t="s">
        <v>45</v>
      </c>
      <c r="AK148" s="3" t="s">
        <v>45</v>
      </c>
      <c r="AL148" s="3" t="s">
        <v>45</v>
      </c>
      <c r="AM148" s="3" t="s">
        <v>45</v>
      </c>
      <c r="AN148" s="3" t="s">
        <v>45</v>
      </c>
      <c r="AO148" s="3" t="s">
        <v>45</v>
      </c>
      <c r="AP148" s="3" t="s">
        <v>45</v>
      </c>
      <c r="AQ148" s="4" t="s">
        <v>1300</v>
      </c>
      <c r="AR148" s="4" t="s">
        <v>1300</v>
      </c>
    </row>
    <row r="149">
      <c r="A149" s="3" t="s">
        <v>1569</v>
      </c>
      <c r="B149" s="3" t="s">
        <v>1570</v>
      </c>
      <c r="C149" s="3" t="s">
        <v>1390</v>
      </c>
      <c r="D149" s="3" t="s">
        <v>1291</v>
      </c>
      <c r="E149" s="4" t="s">
        <v>1571</v>
      </c>
      <c r="F149" s="3" t="s">
        <v>1330</v>
      </c>
      <c r="G149" s="4" t="s">
        <v>1572</v>
      </c>
      <c r="H149" s="4" t="s">
        <v>1573</v>
      </c>
      <c r="I149" s="3" t="s">
        <v>49</v>
      </c>
      <c r="J149" s="3" t="s">
        <v>50</v>
      </c>
      <c r="K149" s="3" t="s">
        <v>45</v>
      </c>
      <c r="L149" s="3" t="s">
        <v>1559</v>
      </c>
      <c r="M149" s="3" t="s">
        <v>45</v>
      </c>
      <c r="N149" s="4" t="s">
        <v>1574</v>
      </c>
      <c r="O149" s="3" t="s">
        <v>88</v>
      </c>
      <c r="P149" s="3" t="s">
        <v>45</v>
      </c>
      <c r="Q149" s="3" t="s">
        <v>45</v>
      </c>
      <c r="R149" s="3" t="s">
        <v>45</v>
      </c>
      <c r="S149" s="3" t="s">
        <v>45</v>
      </c>
      <c r="T149" s="3" t="s">
        <v>45</v>
      </c>
      <c r="U149" s="3" t="s">
        <v>45</v>
      </c>
      <c r="V149" s="3" t="s">
        <v>45</v>
      </c>
      <c r="W149" s="3" t="s">
        <v>45</v>
      </c>
      <c r="X149" s="3" t="s">
        <v>45</v>
      </c>
      <c r="Y149" s="3" t="s">
        <v>45</v>
      </c>
      <c r="Z149" s="3" t="s">
        <v>74</v>
      </c>
      <c r="AA149" s="3" t="s">
        <v>45</v>
      </c>
      <c r="AB149" s="3" t="s">
        <v>45</v>
      </c>
      <c r="AC149" s="3" t="s">
        <v>45</v>
      </c>
      <c r="AD149" s="3" t="s">
        <v>45</v>
      </c>
      <c r="AE149" s="3" t="s">
        <v>45</v>
      </c>
      <c r="AF149" s="3" t="s">
        <v>45</v>
      </c>
      <c r="AG149" s="3" t="s">
        <v>45</v>
      </c>
      <c r="AH149" s="3" t="s">
        <v>57</v>
      </c>
      <c r="AI149" s="5" t="s">
        <v>1575</v>
      </c>
      <c r="AJ149" s="3" t="s">
        <v>45</v>
      </c>
      <c r="AK149" s="3" t="s">
        <v>45</v>
      </c>
      <c r="AL149" s="3" t="s">
        <v>45</v>
      </c>
      <c r="AM149" s="3" t="s">
        <v>45</v>
      </c>
      <c r="AN149" s="3" t="s">
        <v>45</v>
      </c>
      <c r="AO149" s="3" t="s">
        <v>45</v>
      </c>
      <c r="AP149" s="3" t="s">
        <v>45</v>
      </c>
      <c r="AQ149" s="4" t="s">
        <v>1085</v>
      </c>
      <c r="AR149" s="4" t="s">
        <v>1085</v>
      </c>
    </row>
    <row r="150">
      <c r="A150" s="3" t="s">
        <v>1576</v>
      </c>
      <c r="B150" s="3" t="s">
        <v>1577</v>
      </c>
      <c r="C150" s="3" t="s">
        <v>1390</v>
      </c>
      <c r="D150" s="3" t="s">
        <v>1291</v>
      </c>
      <c r="E150" s="4" t="s">
        <v>1450</v>
      </c>
      <c r="F150" s="3" t="s">
        <v>1330</v>
      </c>
      <c r="G150" s="4" t="s">
        <v>1578</v>
      </c>
      <c r="H150" s="4" t="s">
        <v>1579</v>
      </c>
      <c r="I150" s="3" t="s">
        <v>85</v>
      </c>
      <c r="J150" s="3" t="s">
        <v>126</v>
      </c>
      <c r="K150" s="3" t="s">
        <v>45</v>
      </c>
      <c r="L150" s="3" t="s">
        <v>470</v>
      </c>
      <c r="M150" s="3" t="s">
        <v>45</v>
      </c>
      <c r="N150" s="4" t="s">
        <v>1580</v>
      </c>
      <c r="O150" s="3" t="s">
        <v>390</v>
      </c>
      <c r="P150" s="3" t="s">
        <v>45</v>
      </c>
      <c r="Q150" s="3" t="s">
        <v>45</v>
      </c>
      <c r="R150" s="3" t="s">
        <v>45</v>
      </c>
      <c r="S150" s="3" t="s">
        <v>45</v>
      </c>
      <c r="T150" s="3" t="s">
        <v>45</v>
      </c>
      <c r="U150" s="3" t="s">
        <v>45</v>
      </c>
      <c r="V150" s="3" t="s">
        <v>45</v>
      </c>
      <c r="W150" s="3" t="s">
        <v>45</v>
      </c>
      <c r="X150" s="3" t="s">
        <v>45</v>
      </c>
      <c r="Y150" s="3" t="s">
        <v>45</v>
      </c>
      <c r="Z150" s="3" t="s">
        <v>74</v>
      </c>
      <c r="AA150" s="3" t="s">
        <v>45</v>
      </c>
      <c r="AB150" s="3" t="s">
        <v>45</v>
      </c>
      <c r="AC150" s="3" t="s">
        <v>45</v>
      </c>
      <c r="AD150" s="3" t="s">
        <v>45</v>
      </c>
      <c r="AE150" s="3" t="s">
        <v>45</v>
      </c>
      <c r="AF150" s="3" t="s">
        <v>45</v>
      </c>
      <c r="AG150" s="3" t="s">
        <v>45</v>
      </c>
      <c r="AH150" s="3" t="s">
        <v>1298</v>
      </c>
      <c r="AI150" s="5" t="s">
        <v>1581</v>
      </c>
      <c r="AJ150" s="5" t="s">
        <v>1582</v>
      </c>
      <c r="AK150" s="3" t="s">
        <v>45</v>
      </c>
      <c r="AL150" s="3" t="s">
        <v>45</v>
      </c>
      <c r="AM150" s="3" t="s">
        <v>45</v>
      </c>
      <c r="AN150" s="3" t="s">
        <v>45</v>
      </c>
      <c r="AO150" s="3" t="s">
        <v>45</v>
      </c>
      <c r="AP150" s="3" t="s">
        <v>45</v>
      </c>
      <c r="AQ150" s="4" t="s">
        <v>1300</v>
      </c>
      <c r="AR150" s="4" t="s">
        <v>1300</v>
      </c>
    </row>
    <row r="151">
      <c r="A151" s="3" t="s">
        <v>1583</v>
      </c>
      <c r="B151" s="3" t="s">
        <v>1584</v>
      </c>
      <c r="C151" s="3" t="s">
        <v>1390</v>
      </c>
      <c r="D151" s="3" t="s">
        <v>1291</v>
      </c>
      <c r="E151" s="4" t="s">
        <v>1450</v>
      </c>
      <c r="F151" s="3" t="s">
        <v>1330</v>
      </c>
      <c r="G151" s="4" t="s">
        <v>1578</v>
      </c>
      <c r="H151" s="4" t="s">
        <v>1579</v>
      </c>
      <c r="I151" s="3" t="s">
        <v>85</v>
      </c>
      <c r="J151" s="3" t="s">
        <v>126</v>
      </c>
      <c r="K151" s="3" t="s">
        <v>45</v>
      </c>
      <c r="L151" s="3" t="s">
        <v>470</v>
      </c>
      <c r="M151" s="3" t="s">
        <v>45</v>
      </c>
      <c r="N151" s="4" t="s">
        <v>90</v>
      </c>
      <c r="O151" s="3" t="s">
        <v>88</v>
      </c>
      <c r="P151" s="3" t="s">
        <v>45</v>
      </c>
      <c r="Q151" s="3" t="s">
        <v>45</v>
      </c>
      <c r="R151" s="3" t="s">
        <v>45</v>
      </c>
      <c r="S151" s="3" t="s">
        <v>45</v>
      </c>
      <c r="T151" s="3" t="s">
        <v>45</v>
      </c>
      <c r="U151" s="3" t="s">
        <v>45</v>
      </c>
      <c r="V151" s="3" t="s">
        <v>45</v>
      </c>
      <c r="W151" s="3" t="s">
        <v>45</v>
      </c>
      <c r="X151" s="3" t="s">
        <v>45</v>
      </c>
      <c r="Y151" s="3" t="s">
        <v>45</v>
      </c>
      <c r="Z151" s="3" t="s">
        <v>74</v>
      </c>
      <c r="AA151" s="3" t="s">
        <v>45</v>
      </c>
      <c r="AB151" s="3" t="s">
        <v>45</v>
      </c>
      <c r="AC151" s="3" t="s">
        <v>45</v>
      </c>
      <c r="AD151" s="3" t="s">
        <v>45</v>
      </c>
      <c r="AE151" s="3" t="s">
        <v>45</v>
      </c>
      <c r="AF151" s="3" t="s">
        <v>45</v>
      </c>
      <c r="AG151" s="3" t="s">
        <v>45</v>
      </c>
      <c r="AH151" s="3" t="s">
        <v>1298</v>
      </c>
      <c r="AI151" s="5" t="s">
        <v>1582</v>
      </c>
      <c r="AJ151" s="3" t="s">
        <v>45</v>
      </c>
      <c r="AK151" s="3" t="s">
        <v>45</v>
      </c>
      <c r="AL151" s="3" t="s">
        <v>45</v>
      </c>
      <c r="AM151" s="3" t="s">
        <v>45</v>
      </c>
      <c r="AN151" s="3" t="s">
        <v>45</v>
      </c>
      <c r="AO151" s="3" t="s">
        <v>45</v>
      </c>
      <c r="AP151" s="3" t="s">
        <v>45</v>
      </c>
      <c r="AQ151" s="4" t="s">
        <v>1300</v>
      </c>
      <c r="AR151" s="4" t="s">
        <v>1300</v>
      </c>
    </row>
    <row r="152">
      <c r="A152" s="3" t="s">
        <v>1585</v>
      </c>
      <c r="B152" s="3" t="s">
        <v>1586</v>
      </c>
      <c r="C152" s="3" t="s">
        <v>1390</v>
      </c>
      <c r="D152" s="3" t="s">
        <v>1291</v>
      </c>
      <c r="E152" s="4" t="s">
        <v>1450</v>
      </c>
      <c r="F152" s="3" t="s">
        <v>1330</v>
      </c>
      <c r="G152" s="4" t="s">
        <v>1578</v>
      </c>
      <c r="H152" s="4" t="s">
        <v>1579</v>
      </c>
      <c r="I152" s="3" t="s">
        <v>85</v>
      </c>
      <c r="J152" s="3" t="s">
        <v>126</v>
      </c>
      <c r="K152" s="3" t="s">
        <v>45</v>
      </c>
      <c r="L152" s="3" t="s">
        <v>470</v>
      </c>
      <c r="M152" s="3" t="s">
        <v>45</v>
      </c>
      <c r="N152" s="4" t="s">
        <v>564</v>
      </c>
      <c r="O152" s="3" t="s">
        <v>390</v>
      </c>
      <c r="P152" s="3" t="s">
        <v>45</v>
      </c>
      <c r="Q152" s="3" t="s">
        <v>45</v>
      </c>
      <c r="R152" s="3" t="s">
        <v>45</v>
      </c>
      <c r="S152" s="3" t="s">
        <v>45</v>
      </c>
      <c r="T152" s="3" t="s">
        <v>45</v>
      </c>
      <c r="U152" s="3" t="s">
        <v>45</v>
      </c>
      <c r="V152" s="3" t="s">
        <v>45</v>
      </c>
      <c r="W152" s="3" t="s">
        <v>45</v>
      </c>
      <c r="X152" s="3" t="s">
        <v>45</v>
      </c>
      <c r="Y152" s="3" t="s">
        <v>45</v>
      </c>
      <c r="Z152" s="3" t="s">
        <v>74</v>
      </c>
      <c r="AA152" s="3" t="s">
        <v>45</v>
      </c>
      <c r="AB152" s="3" t="s">
        <v>45</v>
      </c>
      <c r="AC152" s="3" t="s">
        <v>45</v>
      </c>
      <c r="AD152" s="3" t="s">
        <v>45</v>
      </c>
      <c r="AE152" s="3" t="s">
        <v>45</v>
      </c>
      <c r="AF152" s="3" t="s">
        <v>45</v>
      </c>
      <c r="AG152" s="3" t="s">
        <v>45</v>
      </c>
      <c r="AH152" s="3" t="s">
        <v>1298</v>
      </c>
      <c r="AI152" s="5" t="s">
        <v>1587</v>
      </c>
      <c r="AJ152" s="5" t="s">
        <v>1582</v>
      </c>
      <c r="AK152" s="5" t="s">
        <v>1588</v>
      </c>
      <c r="AL152" s="3" t="s">
        <v>45</v>
      </c>
      <c r="AM152" s="3" t="s">
        <v>45</v>
      </c>
      <c r="AN152" s="3" t="s">
        <v>45</v>
      </c>
      <c r="AO152" s="3" t="s">
        <v>45</v>
      </c>
      <c r="AP152" s="3" t="s">
        <v>45</v>
      </c>
      <c r="AQ152" s="4" t="s">
        <v>1300</v>
      </c>
      <c r="AR152" s="4" t="s">
        <v>1589</v>
      </c>
    </row>
    <row r="153">
      <c r="A153" s="3" t="s">
        <v>1590</v>
      </c>
      <c r="B153" s="3" t="s">
        <v>1591</v>
      </c>
      <c r="C153" s="3" t="s">
        <v>1390</v>
      </c>
      <c r="D153" s="3" t="s">
        <v>1291</v>
      </c>
      <c r="E153" s="4" t="s">
        <v>1415</v>
      </c>
      <c r="F153" s="3" t="s">
        <v>1330</v>
      </c>
      <c r="G153" s="4" t="s">
        <v>1592</v>
      </c>
      <c r="H153" s="4" t="s">
        <v>1593</v>
      </c>
      <c r="I153" s="3" t="s">
        <v>85</v>
      </c>
      <c r="J153" s="3" t="s">
        <v>126</v>
      </c>
      <c r="K153" s="3" t="s">
        <v>45</v>
      </c>
      <c r="L153" s="3" t="s">
        <v>855</v>
      </c>
      <c r="M153" s="3" t="s">
        <v>45</v>
      </c>
      <c r="N153" s="4" t="s">
        <v>104</v>
      </c>
      <c r="O153" s="3" t="s">
        <v>53</v>
      </c>
      <c r="P153" s="3" t="s">
        <v>45</v>
      </c>
      <c r="Q153" s="3" t="s">
        <v>45</v>
      </c>
      <c r="R153" s="3" t="s">
        <v>45</v>
      </c>
      <c r="S153" s="3" t="s">
        <v>45</v>
      </c>
      <c r="T153" s="3" t="s">
        <v>45</v>
      </c>
      <c r="U153" s="3" t="s">
        <v>45</v>
      </c>
      <c r="V153" s="3" t="s">
        <v>45</v>
      </c>
      <c r="W153" s="3" t="s">
        <v>45</v>
      </c>
      <c r="X153" s="3" t="s">
        <v>45</v>
      </c>
      <c r="Y153" s="3" t="s">
        <v>45</v>
      </c>
      <c r="Z153" s="3" t="s">
        <v>74</v>
      </c>
      <c r="AA153" s="3" t="s">
        <v>45</v>
      </c>
      <c r="AB153" s="3" t="s">
        <v>45</v>
      </c>
      <c r="AC153" s="3" t="s">
        <v>45</v>
      </c>
      <c r="AD153" s="3" t="s">
        <v>45</v>
      </c>
      <c r="AE153" s="3" t="s">
        <v>45</v>
      </c>
      <c r="AF153" s="3" t="s">
        <v>45</v>
      </c>
      <c r="AG153" s="3" t="s">
        <v>45</v>
      </c>
      <c r="AH153" s="3" t="s">
        <v>1298</v>
      </c>
      <c r="AI153" s="5" t="s">
        <v>1594</v>
      </c>
      <c r="AJ153" s="3" t="s">
        <v>45</v>
      </c>
      <c r="AK153" s="3" t="s">
        <v>45</v>
      </c>
      <c r="AL153" s="3" t="s">
        <v>45</v>
      </c>
      <c r="AM153" s="3" t="s">
        <v>45</v>
      </c>
      <c r="AN153" s="3" t="s">
        <v>45</v>
      </c>
      <c r="AO153" s="3" t="s">
        <v>45</v>
      </c>
      <c r="AP153" s="3" t="s">
        <v>45</v>
      </c>
      <c r="AQ153" s="4" t="s">
        <v>1300</v>
      </c>
      <c r="AR153" s="4" t="s">
        <v>1300</v>
      </c>
    </row>
    <row r="154">
      <c r="A154" s="3" t="s">
        <v>1595</v>
      </c>
      <c r="B154" s="3" t="s">
        <v>1596</v>
      </c>
      <c r="C154" s="3" t="s">
        <v>1390</v>
      </c>
      <c r="D154" s="3" t="s">
        <v>1291</v>
      </c>
      <c r="E154" s="4" t="s">
        <v>1415</v>
      </c>
      <c r="F154" s="3" t="s">
        <v>1330</v>
      </c>
      <c r="G154" s="4" t="s">
        <v>1421</v>
      </c>
      <c r="H154" s="4" t="s">
        <v>1422</v>
      </c>
      <c r="I154" s="3" t="s">
        <v>85</v>
      </c>
      <c r="J154" s="3" t="s">
        <v>126</v>
      </c>
      <c r="K154" s="3" t="s">
        <v>45</v>
      </c>
      <c r="L154" s="3" t="s">
        <v>855</v>
      </c>
      <c r="M154" s="3" t="s">
        <v>45</v>
      </c>
      <c r="N154" s="4" t="s">
        <v>480</v>
      </c>
      <c r="O154" s="3" t="s">
        <v>53</v>
      </c>
      <c r="P154" s="3" t="s">
        <v>45</v>
      </c>
      <c r="Q154" s="3" t="s">
        <v>45</v>
      </c>
      <c r="R154" s="3" t="s">
        <v>45</v>
      </c>
      <c r="S154" s="3" t="s">
        <v>45</v>
      </c>
      <c r="T154" s="3" t="s">
        <v>45</v>
      </c>
      <c r="U154" s="3" t="s">
        <v>45</v>
      </c>
      <c r="V154" s="3" t="s">
        <v>45</v>
      </c>
      <c r="W154" s="3" t="s">
        <v>45</v>
      </c>
      <c r="X154" s="3" t="s">
        <v>45</v>
      </c>
      <c r="Y154" s="3" t="s">
        <v>45</v>
      </c>
      <c r="Z154" s="3" t="s">
        <v>74</v>
      </c>
      <c r="AA154" s="3" t="s">
        <v>45</v>
      </c>
      <c r="AB154" s="3" t="s">
        <v>45</v>
      </c>
      <c r="AC154" s="3" t="s">
        <v>45</v>
      </c>
      <c r="AD154" s="3" t="s">
        <v>45</v>
      </c>
      <c r="AE154" s="3" t="s">
        <v>45</v>
      </c>
      <c r="AF154" s="3" t="s">
        <v>45</v>
      </c>
      <c r="AG154" s="3" t="s">
        <v>45</v>
      </c>
      <c r="AH154" s="3" t="s">
        <v>1298</v>
      </c>
      <c r="AI154" s="5" t="s">
        <v>1597</v>
      </c>
      <c r="AJ154" s="3" t="s">
        <v>45</v>
      </c>
      <c r="AK154" s="3" t="s">
        <v>45</v>
      </c>
      <c r="AL154" s="3" t="s">
        <v>45</v>
      </c>
      <c r="AM154" s="3" t="s">
        <v>45</v>
      </c>
      <c r="AN154" s="3" t="s">
        <v>45</v>
      </c>
      <c r="AO154" s="3" t="s">
        <v>45</v>
      </c>
      <c r="AP154" s="3" t="s">
        <v>45</v>
      </c>
      <c r="AQ154" s="4" t="s">
        <v>1300</v>
      </c>
      <c r="AR154" s="4" t="s">
        <v>1300</v>
      </c>
    </row>
    <row r="155">
      <c r="A155" s="3" t="s">
        <v>1598</v>
      </c>
      <c r="B155" s="3" t="s">
        <v>1599</v>
      </c>
      <c r="C155" s="3" t="s">
        <v>1390</v>
      </c>
      <c r="D155" s="3" t="s">
        <v>1291</v>
      </c>
      <c r="E155" s="4" t="s">
        <v>1503</v>
      </c>
      <c r="F155" s="3" t="s">
        <v>1504</v>
      </c>
      <c r="G155" s="4" t="s">
        <v>1600</v>
      </c>
      <c r="H155" s="4" t="s">
        <v>1601</v>
      </c>
      <c r="I155" s="3" t="s">
        <v>85</v>
      </c>
      <c r="J155" s="3" t="s">
        <v>126</v>
      </c>
      <c r="K155" s="3" t="s">
        <v>45</v>
      </c>
      <c r="L155" s="3" t="s">
        <v>855</v>
      </c>
      <c r="M155" s="3" t="s">
        <v>45</v>
      </c>
      <c r="N155" s="4" t="s">
        <v>472</v>
      </c>
      <c r="O155" s="3" t="s">
        <v>390</v>
      </c>
      <c r="P155" s="3" t="s">
        <v>45</v>
      </c>
      <c r="Q155" s="3" t="s">
        <v>45</v>
      </c>
      <c r="R155" s="3" t="s">
        <v>45</v>
      </c>
      <c r="S155" s="3" t="s">
        <v>45</v>
      </c>
      <c r="T155" s="3" t="s">
        <v>45</v>
      </c>
      <c r="U155" s="3" t="s">
        <v>45</v>
      </c>
      <c r="V155" s="3" t="s">
        <v>45</v>
      </c>
      <c r="W155" s="3" t="s">
        <v>45</v>
      </c>
      <c r="X155" s="3" t="s">
        <v>45</v>
      </c>
      <c r="Y155" s="3" t="s">
        <v>45</v>
      </c>
      <c r="Z155" s="3" t="s">
        <v>74</v>
      </c>
      <c r="AA155" s="3" t="s">
        <v>45</v>
      </c>
      <c r="AB155" s="3" t="s">
        <v>45</v>
      </c>
      <c r="AC155" s="3" t="s">
        <v>45</v>
      </c>
      <c r="AD155" s="3" t="s">
        <v>45</v>
      </c>
      <c r="AE155" s="3" t="s">
        <v>45</v>
      </c>
      <c r="AF155" s="3" t="s">
        <v>45</v>
      </c>
      <c r="AG155" s="3" t="s">
        <v>45</v>
      </c>
      <c r="AH155" s="3" t="s">
        <v>1298</v>
      </c>
      <c r="AI155" s="3" t="s">
        <v>45</v>
      </c>
      <c r="AJ155" s="3" t="s">
        <v>45</v>
      </c>
      <c r="AK155" s="3" t="s">
        <v>45</v>
      </c>
      <c r="AL155" s="3" t="s">
        <v>45</v>
      </c>
      <c r="AM155" s="3" t="s">
        <v>45</v>
      </c>
      <c r="AN155" s="3" t="s">
        <v>45</v>
      </c>
      <c r="AO155" s="3" t="s">
        <v>45</v>
      </c>
      <c r="AP155" s="3" t="s">
        <v>45</v>
      </c>
      <c r="AQ155" s="4" t="s">
        <v>1300</v>
      </c>
      <c r="AR155" s="4" t="s">
        <v>1300</v>
      </c>
    </row>
    <row r="156">
      <c r="A156" s="3" t="s">
        <v>1602</v>
      </c>
      <c r="B156" s="3" t="s">
        <v>1603</v>
      </c>
      <c r="C156" s="3" t="s">
        <v>1390</v>
      </c>
      <c r="D156" s="3" t="s">
        <v>1291</v>
      </c>
      <c r="E156" s="4" t="s">
        <v>1415</v>
      </c>
      <c r="F156" s="3" t="s">
        <v>1330</v>
      </c>
      <c r="G156" s="4" t="s">
        <v>1421</v>
      </c>
      <c r="H156" s="4" t="s">
        <v>1422</v>
      </c>
      <c r="I156" s="3" t="s">
        <v>85</v>
      </c>
      <c r="J156" s="3" t="s">
        <v>126</v>
      </c>
      <c r="K156" s="3" t="s">
        <v>45</v>
      </c>
      <c r="L156" s="3" t="s">
        <v>1604</v>
      </c>
      <c r="M156" s="3" t="s">
        <v>45</v>
      </c>
      <c r="N156" s="3" t="s">
        <v>45</v>
      </c>
      <c r="O156" s="3" t="s">
        <v>74</v>
      </c>
      <c r="P156" s="3" t="s">
        <v>45</v>
      </c>
      <c r="Q156" s="3" t="s">
        <v>45</v>
      </c>
      <c r="R156" s="3" t="s">
        <v>45</v>
      </c>
      <c r="S156" s="3" t="s">
        <v>45</v>
      </c>
      <c r="T156" s="3" t="s">
        <v>45</v>
      </c>
      <c r="U156" s="3" t="s">
        <v>45</v>
      </c>
      <c r="V156" s="3" t="s">
        <v>45</v>
      </c>
      <c r="W156" s="3" t="s">
        <v>45</v>
      </c>
      <c r="X156" s="3" t="s">
        <v>45</v>
      </c>
      <c r="Y156" s="3" t="s">
        <v>45</v>
      </c>
      <c r="Z156" s="3" t="s">
        <v>74</v>
      </c>
      <c r="AA156" s="3" t="s">
        <v>45</v>
      </c>
      <c r="AB156" s="3" t="s">
        <v>45</v>
      </c>
      <c r="AC156" s="3" t="s">
        <v>45</v>
      </c>
      <c r="AD156" s="3" t="s">
        <v>45</v>
      </c>
      <c r="AE156" s="3" t="s">
        <v>45</v>
      </c>
      <c r="AF156" s="3" t="s">
        <v>45</v>
      </c>
      <c r="AG156" s="3" t="s">
        <v>45</v>
      </c>
      <c r="AH156" s="3" t="s">
        <v>1298</v>
      </c>
      <c r="AI156" s="5" t="s">
        <v>1605</v>
      </c>
      <c r="AJ156" s="3" t="s">
        <v>45</v>
      </c>
      <c r="AK156" s="3" t="s">
        <v>45</v>
      </c>
      <c r="AL156" s="3" t="s">
        <v>45</v>
      </c>
      <c r="AM156" s="3" t="s">
        <v>45</v>
      </c>
      <c r="AN156" s="3" t="s">
        <v>45</v>
      </c>
      <c r="AO156" s="3" t="s">
        <v>45</v>
      </c>
      <c r="AP156" s="3" t="s">
        <v>45</v>
      </c>
      <c r="AQ156" s="4" t="s">
        <v>1300</v>
      </c>
      <c r="AR156" s="4" t="s">
        <v>1300</v>
      </c>
    </row>
    <row r="157">
      <c r="A157" s="3" t="s">
        <v>1606</v>
      </c>
      <c r="B157" s="3" t="s">
        <v>1607</v>
      </c>
      <c r="C157" s="3" t="s">
        <v>1390</v>
      </c>
      <c r="D157" s="3" t="s">
        <v>1291</v>
      </c>
      <c r="E157" s="4" t="s">
        <v>1518</v>
      </c>
      <c r="F157" s="3" t="s">
        <v>1330</v>
      </c>
      <c r="G157" s="4" t="s">
        <v>1608</v>
      </c>
      <c r="H157" s="4" t="s">
        <v>1609</v>
      </c>
      <c r="I157" s="3" t="s">
        <v>85</v>
      </c>
      <c r="J157" s="3" t="s">
        <v>126</v>
      </c>
      <c r="K157" s="3" t="s">
        <v>45</v>
      </c>
      <c r="L157" s="3" t="s">
        <v>387</v>
      </c>
      <c r="M157" s="3" t="s">
        <v>45</v>
      </c>
      <c r="N157" s="4" t="s">
        <v>1610</v>
      </c>
      <c r="O157" s="3" t="s">
        <v>53</v>
      </c>
      <c r="P157" s="3" t="s">
        <v>45</v>
      </c>
      <c r="Q157" s="3" t="s">
        <v>45</v>
      </c>
      <c r="R157" s="3" t="s">
        <v>45</v>
      </c>
      <c r="S157" s="3" t="s">
        <v>45</v>
      </c>
      <c r="T157" s="3" t="s">
        <v>45</v>
      </c>
      <c r="U157" s="3" t="s">
        <v>45</v>
      </c>
      <c r="V157" s="4" t="s">
        <v>1611</v>
      </c>
      <c r="W157" s="3" t="s">
        <v>45</v>
      </c>
      <c r="X157" s="3" t="s">
        <v>45</v>
      </c>
      <c r="Y157" s="3" t="s">
        <v>45</v>
      </c>
      <c r="Z157" s="3" t="s">
        <v>74</v>
      </c>
      <c r="AA157" s="3" t="s">
        <v>45</v>
      </c>
      <c r="AB157" s="3" t="s">
        <v>45</v>
      </c>
      <c r="AC157" s="3" t="s">
        <v>45</v>
      </c>
      <c r="AD157" s="3" t="s">
        <v>45</v>
      </c>
      <c r="AE157" s="3" t="s">
        <v>45</v>
      </c>
      <c r="AF157" s="3" t="s">
        <v>45</v>
      </c>
      <c r="AG157" s="3" t="s">
        <v>1612</v>
      </c>
      <c r="AH157" s="3" t="s">
        <v>1298</v>
      </c>
      <c r="AI157" s="5" t="s">
        <v>1613</v>
      </c>
      <c r="AJ157" s="3" t="s">
        <v>45</v>
      </c>
      <c r="AK157" s="3" t="s">
        <v>45</v>
      </c>
      <c r="AL157" s="3" t="s">
        <v>45</v>
      </c>
      <c r="AM157" s="3" t="s">
        <v>45</v>
      </c>
      <c r="AN157" s="3" t="s">
        <v>45</v>
      </c>
      <c r="AO157" s="3" t="s">
        <v>45</v>
      </c>
      <c r="AP157" s="3" t="s">
        <v>45</v>
      </c>
      <c r="AQ157" s="4" t="s">
        <v>1300</v>
      </c>
      <c r="AR157" s="4" t="s">
        <v>1300</v>
      </c>
    </row>
    <row r="158">
      <c r="A158" s="3" t="s">
        <v>1614</v>
      </c>
      <c r="B158" s="3" t="s">
        <v>1615</v>
      </c>
      <c r="C158" s="3" t="s">
        <v>1390</v>
      </c>
      <c r="D158" s="3" t="s">
        <v>1291</v>
      </c>
      <c r="E158" s="4" t="s">
        <v>1571</v>
      </c>
      <c r="F158" s="3" t="s">
        <v>1330</v>
      </c>
      <c r="G158" s="4" t="s">
        <v>1616</v>
      </c>
      <c r="H158" s="4" t="s">
        <v>1617</v>
      </c>
      <c r="I158" s="3" t="s">
        <v>85</v>
      </c>
      <c r="J158" s="3" t="s">
        <v>126</v>
      </c>
      <c r="K158" s="3" t="s">
        <v>45</v>
      </c>
      <c r="L158" s="3" t="s">
        <v>1614</v>
      </c>
      <c r="M158" s="3" t="s">
        <v>45</v>
      </c>
      <c r="N158" s="3" t="s">
        <v>45</v>
      </c>
      <c r="O158" s="3" t="s">
        <v>74</v>
      </c>
      <c r="P158" s="3" t="s">
        <v>45</v>
      </c>
      <c r="Q158" s="3" t="s">
        <v>45</v>
      </c>
      <c r="R158" s="3" t="s">
        <v>45</v>
      </c>
      <c r="S158" s="3" t="s">
        <v>45</v>
      </c>
      <c r="T158" s="3" t="s">
        <v>45</v>
      </c>
      <c r="U158" s="3" t="s">
        <v>45</v>
      </c>
      <c r="V158" s="3" t="s">
        <v>45</v>
      </c>
      <c r="W158" s="3" t="s">
        <v>45</v>
      </c>
      <c r="X158" s="3" t="s">
        <v>45</v>
      </c>
      <c r="Y158" s="3" t="s">
        <v>45</v>
      </c>
      <c r="Z158" s="3" t="s">
        <v>74</v>
      </c>
      <c r="AA158" s="3" t="s">
        <v>45</v>
      </c>
      <c r="AB158" s="3" t="s">
        <v>45</v>
      </c>
      <c r="AC158" s="3" t="s">
        <v>45</v>
      </c>
      <c r="AD158" s="3" t="s">
        <v>45</v>
      </c>
      <c r="AE158" s="3" t="s">
        <v>45</v>
      </c>
      <c r="AF158" s="3" t="s">
        <v>45</v>
      </c>
      <c r="AG158" s="3" t="s">
        <v>45</v>
      </c>
      <c r="AH158" s="3" t="s">
        <v>1298</v>
      </c>
      <c r="AI158" s="3" t="s">
        <v>45</v>
      </c>
      <c r="AJ158" s="3" t="s">
        <v>45</v>
      </c>
      <c r="AK158" s="3" t="s">
        <v>45</v>
      </c>
      <c r="AL158" s="3" t="s">
        <v>45</v>
      </c>
      <c r="AM158" s="3" t="s">
        <v>45</v>
      </c>
      <c r="AN158" s="3" t="s">
        <v>45</v>
      </c>
      <c r="AO158" s="3" t="s">
        <v>45</v>
      </c>
      <c r="AP158" s="3" t="s">
        <v>45</v>
      </c>
      <c r="AQ158" s="4" t="s">
        <v>1300</v>
      </c>
      <c r="AR158" s="4" t="s">
        <v>1300</v>
      </c>
    </row>
    <row r="159">
      <c r="A159" s="3" t="s">
        <v>1618</v>
      </c>
      <c r="B159" s="3" t="s">
        <v>1619</v>
      </c>
      <c r="C159" s="3" t="s">
        <v>1390</v>
      </c>
      <c r="D159" s="3" t="s">
        <v>1291</v>
      </c>
      <c r="E159" s="4" t="s">
        <v>1415</v>
      </c>
      <c r="F159" s="3" t="s">
        <v>1330</v>
      </c>
      <c r="G159" s="4" t="s">
        <v>1592</v>
      </c>
      <c r="H159" s="4" t="s">
        <v>1593</v>
      </c>
      <c r="I159" s="3" t="s">
        <v>85</v>
      </c>
      <c r="J159" s="3" t="s">
        <v>126</v>
      </c>
      <c r="K159" s="3" t="s">
        <v>45</v>
      </c>
      <c r="L159" s="3" t="s">
        <v>1620</v>
      </c>
      <c r="M159" s="3" t="s">
        <v>45</v>
      </c>
      <c r="N159" s="3" t="s">
        <v>45</v>
      </c>
      <c r="O159" s="3" t="s">
        <v>74</v>
      </c>
      <c r="P159" s="3" t="s">
        <v>45</v>
      </c>
      <c r="Q159" s="3" t="s">
        <v>45</v>
      </c>
      <c r="R159" s="3" t="s">
        <v>45</v>
      </c>
      <c r="S159" s="3" t="s">
        <v>45</v>
      </c>
      <c r="T159" s="3" t="s">
        <v>45</v>
      </c>
      <c r="U159" s="3" t="s">
        <v>45</v>
      </c>
      <c r="V159" s="3" t="s">
        <v>45</v>
      </c>
      <c r="W159" s="3" t="s">
        <v>45</v>
      </c>
      <c r="X159" s="3" t="s">
        <v>45</v>
      </c>
      <c r="Y159" s="3" t="s">
        <v>45</v>
      </c>
      <c r="Z159" s="3" t="s">
        <v>74</v>
      </c>
      <c r="AA159" s="3" t="s">
        <v>45</v>
      </c>
      <c r="AB159" s="3" t="s">
        <v>45</v>
      </c>
      <c r="AC159" s="3" t="s">
        <v>45</v>
      </c>
      <c r="AD159" s="3" t="s">
        <v>45</v>
      </c>
      <c r="AE159" s="3" t="s">
        <v>45</v>
      </c>
      <c r="AF159" s="3" t="s">
        <v>45</v>
      </c>
      <c r="AG159" s="3" t="s">
        <v>45</v>
      </c>
      <c r="AH159" s="3" t="s">
        <v>1298</v>
      </c>
      <c r="AI159" s="5" t="s">
        <v>1621</v>
      </c>
      <c r="AJ159" s="3" t="s">
        <v>45</v>
      </c>
      <c r="AK159" s="3" t="s">
        <v>45</v>
      </c>
      <c r="AL159" s="3" t="s">
        <v>45</v>
      </c>
      <c r="AM159" s="3" t="s">
        <v>45</v>
      </c>
      <c r="AN159" s="3" t="s">
        <v>45</v>
      </c>
      <c r="AO159" s="3" t="s">
        <v>45</v>
      </c>
      <c r="AP159" s="3" t="s">
        <v>45</v>
      </c>
      <c r="AQ159" s="4" t="s">
        <v>1300</v>
      </c>
      <c r="AR159" s="4" t="s">
        <v>1300</v>
      </c>
    </row>
    <row r="160">
      <c r="A160" s="3" t="s">
        <v>1622</v>
      </c>
      <c r="B160" s="3" t="s">
        <v>1623</v>
      </c>
      <c r="C160" s="3" t="s">
        <v>1390</v>
      </c>
      <c r="D160" s="3" t="s">
        <v>1291</v>
      </c>
      <c r="E160" s="4" t="s">
        <v>1391</v>
      </c>
      <c r="F160" s="3" t="s">
        <v>1330</v>
      </c>
      <c r="G160" s="4" t="s">
        <v>1624</v>
      </c>
      <c r="H160" s="4" t="s">
        <v>1625</v>
      </c>
      <c r="I160" s="3" t="s">
        <v>85</v>
      </c>
      <c r="J160" s="3" t="s">
        <v>126</v>
      </c>
      <c r="K160" s="3" t="s">
        <v>45</v>
      </c>
      <c r="L160" s="3" t="s">
        <v>1620</v>
      </c>
      <c r="M160" s="3" t="s">
        <v>45</v>
      </c>
      <c r="N160" s="3" t="s">
        <v>1626</v>
      </c>
      <c r="O160" s="3" t="s">
        <v>53</v>
      </c>
      <c r="P160" s="3" t="s">
        <v>45</v>
      </c>
      <c r="Q160" s="3" t="s">
        <v>45</v>
      </c>
      <c r="R160" s="3" t="s">
        <v>45</v>
      </c>
      <c r="S160" s="3" t="s">
        <v>45</v>
      </c>
      <c r="T160" s="3" t="s">
        <v>45</v>
      </c>
      <c r="U160" s="3" t="s">
        <v>45</v>
      </c>
      <c r="V160" s="4" t="s">
        <v>1627</v>
      </c>
      <c r="W160" s="3" t="s">
        <v>45</v>
      </c>
      <c r="X160" s="3" t="s">
        <v>45</v>
      </c>
      <c r="Y160" s="3" t="s">
        <v>45</v>
      </c>
      <c r="Z160" s="3" t="s">
        <v>74</v>
      </c>
      <c r="AA160" s="3" t="s">
        <v>45</v>
      </c>
      <c r="AB160" s="3" t="s">
        <v>45</v>
      </c>
      <c r="AC160" s="3" t="s">
        <v>45</v>
      </c>
      <c r="AD160" s="3" t="s">
        <v>45</v>
      </c>
      <c r="AE160" s="3" t="s">
        <v>45</v>
      </c>
      <c r="AF160" s="3" t="s">
        <v>45</v>
      </c>
      <c r="AG160" s="3" t="s">
        <v>45</v>
      </c>
      <c r="AH160" s="3" t="s">
        <v>1298</v>
      </c>
      <c r="AI160" s="5" t="s">
        <v>1628</v>
      </c>
      <c r="AJ160" s="3" t="s">
        <v>45</v>
      </c>
      <c r="AK160" s="3" t="s">
        <v>45</v>
      </c>
      <c r="AL160" s="3" t="s">
        <v>45</v>
      </c>
      <c r="AM160" s="3" t="s">
        <v>45</v>
      </c>
      <c r="AN160" s="3" t="s">
        <v>45</v>
      </c>
      <c r="AO160" s="3" t="s">
        <v>45</v>
      </c>
      <c r="AP160" s="3" t="s">
        <v>45</v>
      </c>
      <c r="AQ160" s="4" t="s">
        <v>1300</v>
      </c>
      <c r="AR160" s="4" t="s">
        <v>1300</v>
      </c>
    </row>
    <row r="161">
      <c r="A161" s="3" t="s">
        <v>1629</v>
      </c>
      <c r="B161" s="3" t="s">
        <v>1630</v>
      </c>
      <c r="C161" s="3" t="s">
        <v>1390</v>
      </c>
      <c r="D161" s="3" t="s">
        <v>1291</v>
      </c>
      <c r="E161" s="4" t="s">
        <v>1631</v>
      </c>
      <c r="F161" s="3" t="s">
        <v>1330</v>
      </c>
      <c r="G161" s="4" t="s">
        <v>1632</v>
      </c>
      <c r="H161" s="4" t="s">
        <v>1633</v>
      </c>
      <c r="I161" s="3" t="s">
        <v>85</v>
      </c>
      <c r="J161" s="3" t="s">
        <v>126</v>
      </c>
      <c r="K161" s="3" t="s">
        <v>45</v>
      </c>
      <c r="L161" s="3" t="s">
        <v>1620</v>
      </c>
      <c r="M161" s="3" t="s">
        <v>45</v>
      </c>
      <c r="N161" s="3" t="s">
        <v>45</v>
      </c>
      <c r="O161" s="3" t="s">
        <v>74</v>
      </c>
      <c r="P161" s="3" t="s">
        <v>45</v>
      </c>
      <c r="Q161" s="3" t="s">
        <v>45</v>
      </c>
      <c r="R161" s="3" t="s">
        <v>45</v>
      </c>
      <c r="S161" s="3" t="s">
        <v>45</v>
      </c>
      <c r="T161" s="3" t="s">
        <v>45</v>
      </c>
      <c r="U161" s="3" t="s">
        <v>45</v>
      </c>
      <c r="V161" s="3" t="s">
        <v>45</v>
      </c>
      <c r="W161" s="3" t="s">
        <v>45</v>
      </c>
      <c r="X161" s="3" t="s">
        <v>45</v>
      </c>
      <c r="Y161" s="3" t="s">
        <v>45</v>
      </c>
      <c r="Z161" s="3" t="s">
        <v>74</v>
      </c>
      <c r="AA161" s="3" t="s">
        <v>45</v>
      </c>
      <c r="AB161" s="3" t="s">
        <v>45</v>
      </c>
      <c r="AC161" s="3" t="s">
        <v>45</v>
      </c>
      <c r="AD161" s="3" t="s">
        <v>45</v>
      </c>
      <c r="AE161" s="3" t="s">
        <v>45</v>
      </c>
      <c r="AF161" s="3" t="s">
        <v>45</v>
      </c>
      <c r="AG161" s="3" t="s">
        <v>45</v>
      </c>
      <c r="AH161" s="3" t="s">
        <v>1298</v>
      </c>
      <c r="AI161" s="5" t="s">
        <v>1634</v>
      </c>
      <c r="AJ161" s="3" t="s">
        <v>45</v>
      </c>
      <c r="AK161" s="3" t="s">
        <v>45</v>
      </c>
      <c r="AL161" s="3" t="s">
        <v>45</v>
      </c>
      <c r="AM161" s="3" t="s">
        <v>45</v>
      </c>
      <c r="AN161" s="3" t="s">
        <v>45</v>
      </c>
      <c r="AO161" s="3" t="s">
        <v>45</v>
      </c>
      <c r="AP161" s="3" t="s">
        <v>45</v>
      </c>
      <c r="AQ161" s="4" t="s">
        <v>1300</v>
      </c>
      <c r="AR161" s="4" t="s">
        <v>1300</v>
      </c>
    </row>
    <row r="162">
      <c r="A162" s="3" t="s">
        <v>1635</v>
      </c>
      <c r="B162" s="3" t="s">
        <v>1636</v>
      </c>
      <c r="C162" s="3" t="s">
        <v>1390</v>
      </c>
      <c r="D162" s="3" t="s">
        <v>1291</v>
      </c>
      <c r="E162" s="4" t="s">
        <v>1637</v>
      </c>
      <c r="F162" s="3" t="s">
        <v>1638</v>
      </c>
      <c r="G162" s="4" t="s">
        <v>1639</v>
      </c>
      <c r="H162" s="4" t="s">
        <v>1640</v>
      </c>
      <c r="I162" s="3" t="s">
        <v>85</v>
      </c>
      <c r="J162" s="3" t="s">
        <v>126</v>
      </c>
      <c r="K162" s="3" t="s">
        <v>45</v>
      </c>
      <c r="L162" s="3" t="s">
        <v>1620</v>
      </c>
      <c r="M162" s="3" t="s">
        <v>45</v>
      </c>
      <c r="N162" s="3" t="s">
        <v>45</v>
      </c>
      <c r="O162" s="3" t="s">
        <v>74</v>
      </c>
      <c r="P162" s="3" t="s">
        <v>45</v>
      </c>
      <c r="Q162" s="3" t="s">
        <v>45</v>
      </c>
      <c r="R162" s="3" t="s">
        <v>45</v>
      </c>
      <c r="S162" s="3" t="s">
        <v>45</v>
      </c>
      <c r="T162" s="3" t="s">
        <v>45</v>
      </c>
      <c r="U162" s="3" t="s">
        <v>45</v>
      </c>
      <c r="V162" s="3" t="s">
        <v>45</v>
      </c>
      <c r="W162" s="3" t="s">
        <v>45</v>
      </c>
      <c r="X162" s="3" t="s">
        <v>45</v>
      </c>
      <c r="Y162" s="3" t="s">
        <v>45</v>
      </c>
      <c r="Z162" s="3" t="s">
        <v>74</v>
      </c>
      <c r="AA162" s="3" t="s">
        <v>45</v>
      </c>
      <c r="AB162" s="3" t="s">
        <v>45</v>
      </c>
      <c r="AC162" s="3" t="s">
        <v>45</v>
      </c>
      <c r="AD162" s="3" t="s">
        <v>45</v>
      </c>
      <c r="AE162" s="3" t="s">
        <v>45</v>
      </c>
      <c r="AF162" s="3" t="s">
        <v>45</v>
      </c>
      <c r="AG162" s="3" t="s">
        <v>45</v>
      </c>
      <c r="AH162" s="3" t="s">
        <v>1298</v>
      </c>
      <c r="AI162" s="5" t="s">
        <v>1641</v>
      </c>
      <c r="AJ162" s="3" t="s">
        <v>45</v>
      </c>
      <c r="AK162" s="3" t="s">
        <v>45</v>
      </c>
      <c r="AL162" s="3" t="s">
        <v>45</v>
      </c>
      <c r="AM162" s="3" t="s">
        <v>45</v>
      </c>
      <c r="AN162" s="3" t="s">
        <v>45</v>
      </c>
      <c r="AO162" s="3" t="s">
        <v>45</v>
      </c>
      <c r="AP162" s="3" t="s">
        <v>45</v>
      </c>
      <c r="AQ162" s="4" t="s">
        <v>1300</v>
      </c>
      <c r="AR162" s="4" t="s">
        <v>1300</v>
      </c>
    </row>
    <row r="163">
      <c r="A163" s="3" t="s">
        <v>1642</v>
      </c>
      <c r="B163" s="3" t="s">
        <v>1643</v>
      </c>
      <c r="C163" s="3" t="s">
        <v>1390</v>
      </c>
      <c r="D163" s="3" t="s">
        <v>1291</v>
      </c>
      <c r="E163" s="4" t="s">
        <v>1503</v>
      </c>
      <c r="F163" s="3" t="s">
        <v>1504</v>
      </c>
      <c r="G163" s="4" t="s">
        <v>1644</v>
      </c>
      <c r="H163" s="4" t="s">
        <v>1645</v>
      </c>
      <c r="I163" s="3" t="s">
        <v>85</v>
      </c>
      <c r="J163" s="3" t="s">
        <v>126</v>
      </c>
      <c r="K163" s="3" t="s">
        <v>45</v>
      </c>
      <c r="L163" s="3" t="s">
        <v>1507</v>
      </c>
      <c r="M163" s="3" t="s">
        <v>45</v>
      </c>
      <c r="N163" s="3" t="s">
        <v>45</v>
      </c>
      <c r="O163" s="3" t="s">
        <v>74</v>
      </c>
      <c r="P163" s="3" t="s">
        <v>45</v>
      </c>
      <c r="Q163" s="3" t="s">
        <v>45</v>
      </c>
      <c r="R163" s="3" t="s">
        <v>45</v>
      </c>
      <c r="S163" s="3" t="s">
        <v>45</v>
      </c>
      <c r="T163" s="3" t="s">
        <v>45</v>
      </c>
      <c r="U163" s="3" t="s">
        <v>45</v>
      </c>
      <c r="V163" s="3" t="s">
        <v>45</v>
      </c>
      <c r="W163" s="3" t="s">
        <v>45</v>
      </c>
      <c r="X163" s="3" t="s">
        <v>45</v>
      </c>
      <c r="Y163" s="3" t="s">
        <v>45</v>
      </c>
      <c r="Z163" s="3" t="s">
        <v>74</v>
      </c>
      <c r="AA163" s="3" t="s">
        <v>45</v>
      </c>
      <c r="AB163" s="3" t="s">
        <v>45</v>
      </c>
      <c r="AC163" s="3" t="s">
        <v>45</v>
      </c>
      <c r="AD163" s="3" t="s">
        <v>45</v>
      </c>
      <c r="AE163" s="3" t="s">
        <v>45</v>
      </c>
      <c r="AF163" s="3" t="s">
        <v>45</v>
      </c>
      <c r="AG163" s="3" t="s">
        <v>45</v>
      </c>
      <c r="AH163" s="3" t="s">
        <v>1298</v>
      </c>
      <c r="AI163" s="3" t="s">
        <v>45</v>
      </c>
      <c r="AJ163" s="3" t="s">
        <v>45</v>
      </c>
      <c r="AK163" s="3" t="s">
        <v>45</v>
      </c>
      <c r="AL163" s="3" t="s">
        <v>45</v>
      </c>
      <c r="AM163" s="3" t="s">
        <v>45</v>
      </c>
      <c r="AN163" s="3" t="s">
        <v>45</v>
      </c>
      <c r="AO163" s="3" t="s">
        <v>45</v>
      </c>
      <c r="AP163" s="3" t="s">
        <v>45</v>
      </c>
      <c r="AQ163" s="4" t="s">
        <v>1300</v>
      </c>
      <c r="AR163" s="4" t="s">
        <v>1300</v>
      </c>
    </row>
    <row r="164">
      <c r="A164" s="3" t="s">
        <v>1646</v>
      </c>
      <c r="B164" s="3" t="s">
        <v>1647</v>
      </c>
      <c r="C164" s="3" t="s">
        <v>1390</v>
      </c>
      <c r="D164" s="3" t="s">
        <v>1291</v>
      </c>
      <c r="E164" s="4" t="s">
        <v>1571</v>
      </c>
      <c r="F164" s="3" t="s">
        <v>1330</v>
      </c>
      <c r="G164" s="4" t="s">
        <v>1648</v>
      </c>
      <c r="H164" s="4" t="s">
        <v>1649</v>
      </c>
      <c r="I164" s="3" t="s">
        <v>49</v>
      </c>
      <c r="J164" s="3" t="s">
        <v>50</v>
      </c>
      <c r="K164" s="3" t="s">
        <v>45</v>
      </c>
      <c r="L164" s="3" t="s">
        <v>409</v>
      </c>
      <c r="M164" s="3" t="s">
        <v>45</v>
      </c>
      <c r="N164" s="3" t="s">
        <v>45</v>
      </c>
      <c r="O164" s="3" t="s">
        <v>74</v>
      </c>
      <c r="P164" s="3" t="s">
        <v>45</v>
      </c>
      <c r="Q164" s="3" t="s">
        <v>45</v>
      </c>
      <c r="R164" s="3" t="s">
        <v>45</v>
      </c>
      <c r="S164" s="3" t="s">
        <v>45</v>
      </c>
      <c r="T164" s="3" t="s">
        <v>45</v>
      </c>
      <c r="U164" s="3" t="s">
        <v>45</v>
      </c>
      <c r="V164" s="4" t="s">
        <v>1650</v>
      </c>
      <c r="W164" s="4" t="s">
        <v>1651</v>
      </c>
      <c r="X164" s="3" t="s">
        <v>1652</v>
      </c>
      <c r="Y164" s="3" t="s">
        <v>45</v>
      </c>
      <c r="Z164" s="3" t="s">
        <v>74</v>
      </c>
      <c r="AA164" s="3" t="s">
        <v>45</v>
      </c>
      <c r="AB164" s="3" t="s">
        <v>45</v>
      </c>
      <c r="AC164" s="3" t="s">
        <v>45</v>
      </c>
      <c r="AD164" s="3" t="s">
        <v>45</v>
      </c>
      <c r="AE164" s="3" t="s">
        <v>45</v>
      </c>
      <c r="AF164" s="3" t="s">
        <v>45</v>
      </c>
      <c r="AG164" s="3" t="s">
        <v>45</v>
      </c>
      <c r="AH164" s="3" t="s">
        <v>57</v>
      </c>
      <c r="AI164" s="5" t="s">
        <v>1653</v>
      </c>
      <c r="AJ164" s="3" t="s">
        <v>45</v>
      </c>
      <c r="AK164" s="3" t="s">
        <v>45</v>
      </c>
      <c r="AL164" s="3" t="s">
        <v>45</v>
      </c>
      <c r="AM164" s="3" t="s">
        <v>45</v>
      </c>
      <c r="AN164" s="3" t="s">
        <v>45</v>
      </c>
      <c r="AO164" s="3" t="s">
        <v>45</v>
      </c>
      <c r="AP164" s="3" t="s">
        <v>45</v>
      </c>
      <c r="AQ164" s="4" t="s">
        <v>1654</v>
      </c>
      <c r="AR164" s="4" t="s">
        <v>1654</v>
      </c>
    </row>
    <row r="165">
      <c r="A165" s="3" t="s">
        <v>552</v>
      </c>
      <c r="B165" s="3" t="s">
        <v>1449</v>
      </c>
      <c r="C165" s="3" t="s">
        <v>1390</v>
      </c>
      <c r="D165" s="3" t="s">
        <v>1291</v>
      </c>
      <c r="E165" s="4" t="s">
        <v>1450</v>
      </c>
      <c r="F165" s="3" t="s">
        <v>1330</v>
      </c>
      <c r="G165" s="4" t="s">
        <v>1655</v>
      </c>
      <c r="H165" s="4" t="s">
        <v>1452</v>
      </c>
      <c r="I165" s="3" t="s">
        <v>85</v>
      </c>
      <c r="J165" s="3" t="s">
        <v>126</v>
      </c>
      <c r="K165" s="3" t="s">
        <v>45</v>
      </c>
      <c r="L165" s="3" t="s">
        <v>45</v>
      </c>
      <c r="M165" s="3" t="s">
        <v>45</v>
      </c>
      <c r="N165" s="3" t="s">
        <v>1656</v>
      </c>
      <c r="O165" s="3" t="s">
        <v>88</v>
      </c>
      <c r="P165" s="3" t="s">
        <v>45</v>
      </c>
      <c r="Q165" s="3" t="s">
        <v>45</v>
      </c>
      <c r="R165" s="3" t="s">
        <v>45</v>
      </c>
      <c r="S165" s="3" t="s">
        <v>45</v>
      </c>
      <c r="T165" s="3" t="s">
        <v>45</v>
      </c>
      <c r="U165" s="3" t="s">
        <v>45</v>
      </c>
      <c r="V165" s="3" t="s">
        <v>45</v>
      </c>
      <c r="W165" s="4" t="s">
        <v>90</v>
      </c>
      <c r="X165" s="3" t="s">
        <v>45</v>
      </c>
      <c r="Y165" s="3" t="s">
        <v>45</v>
      </c>
      <c r="Z165" s="3" t="s">
        <v>74</v>
      </c>
      <c r="AA165" s="3" t="s">
        <v>45</v>
      </c>
      <c r="AB165" s="3" t="s">
        <v>45</v>
      </c>
      <c r="AC165" s="3" t="s">
        <v>45</v>
      </c>
      <c r="AD165" s="3" t="s">
        <v>45</v>
      </c>
      <c r="AE165" s="3" t="s">
        <v>45</v>
      </c>
      <c r="AF165" s="3" t="s">
        <v>45</v>
      </c>
      <c r="AG165" s="3" t="s">
        <v>45</v>
      </c>
      <c r="AH165" s="3" t="s">
        <v>57</v>
      </c>
      <c r="AI165" s="5" t="s">
        <v>1657</v>
      </c>
      <c r="AJ165" s="3" t="s">
        <v>45</v>
      </c>
      <c r="AK165" s="3" t="s">
        <v>45</v>
      </c>
      <c r="AL165" s="3" t="s">
        <v>45</v>
      </c>
      <c r="AM165" s="3" t="s">
        <v>45</v>
      </c>
      <c r="AN165" s="3" t="s">
        <v>45</v>
      </c>
      <c r="AO165" s="3" t="s">
        <v>45</v>
      </c>
      <c r="AP165" s="3" t="s">
        <v>45</v>
      </c>
      <c r="AQ165" s="4" t="s">
        <v>148</v>
      </c>
      <c r="AR165" s="4" t="s">
        <v>148</v>
      </c>
    </row>
    <row r="166">
      <c r="A166" s="3" t="s">
        <v>1658</v>
      </c>
      <c r="B166" s="3" t="s">
        <v>1659</v>
      </c>
      <c r="C166" s="3" t="s">
        <v>1390</v>
      </c>
      <c r="D166" s="3" t="s">
        <v>1291</v>
      </c>
      <c r="E166" s="4" t="s">
        <v>1415</v>
      </c>
      <c r="F166" s="3" t="s">
        <v>1330</v>
      </c>
      <c r="G166" s="4" t="s">
        <v>1660</v>
      </c>
      <c r="H166" s="4" t="s">
        <v>1661</v>
      </c>
      <c r="I166" s="3" t="s">
        <v>85</v>
      </c>
      <c r="J166" s="3" t="s">
        <v>126</v>
      </c>
      <c r="K166" s="3" t="s">
        <v>45</v>
      </c>
      <c r="L166" s="3" t="s">
        <v>1662</v>
      </c>
      <c r="M166" s="3" t="s">
        <v>45</v>
      </c>
      <c r="N166" s="3" t="s">
        <v>1663</v>
      </c>
      <c r="O166" s="3" t="s">
        <v>53</v>
      </c>
      <c r="P166" s="3" t="s">
        <v>45</v>
      </c>
      <c r="Q166" s="3" t="s">
        <v>45</v>
      </c>
      <c r="R166" s="3" t="s">
        <v>45</v>
      </c>
      <c r="S166" s="3" t="s">
        <v>45</v>
      </c>
      <c r="T166" s="3" t="s">
        <v>105</v>
      </c>
      <c r="U166" s="3" t="s">
        <v>45</v>
      </c>
      <c r="V166" s="3" t="s">
        <v>45</v>
      </c>
      <c r="W166" s="3" t="s">
        <v>45</v>
      </c>
      <c r="X166" s="3" t="s">
        <v>45</v>
      </c>
      <c r="Y166" s="3" t="s">
        <v>45</v>
      </c>
      <c r="Z166" s="3" t="s">
        <v>74</v>
      </c>
      <c r="AA166" s="3" t="s">
        <v>45</v>
      </c>
      <c r="AB166" s="3" t="s">
        <v>45</v>
      </c>
      <c r="AC166" s="3" t="s">
        <v>45</v>
      </c>
      <c r="AD166" s="3" t="s">
        <v>45</v>
      </c>
      <c r="AE166" s="3" t="s">
        <v>45</v>
      </c>
      <c r="AF166" s="3" t="s">
        <v>45</v>
      </c>
      <c r="AG166" s="3" t="s">
        <v>45</v>
      </c>
      <c r="AH166" s="3" t="s">
        <v>1298</v>
      </c>
      <c r="AI166" s="5" t="s">
        <v>1664</v>
      </c>
      <c r="AJ166" s="3" t="s">
        <v>45</v>
      </c>
      <c r="AK166" s="3" t="s">
        <v>45</v>
      </c>
      <c r="AL166" s="3" t="s">
        <v>45</v>
      </c>
      <c r="AM166" s="3" t="s">
        <v>45</v>
      </c>
      <c r="AN166" s="3" t="s">
        <v>45</v>
      </c>
      <c r="AO166" s="3" t="s">
        <v>45</v>
      </c>
      <c r="AP166" s="3" t="s">
        <v>45</v>
      </c>
      <c r="AQ166" s="4" t="s">
        <v>1300</v>
      </c>
      <c r="AR166" s="4" t="s">
        <v>1300</v>
      </c>
    </row>
    <row r="167">
      <c r="A167" s="3" t="s">
        <v>1665</v>
      </c>
      <c r="B167" s="3" t="s">
        <v>1666</v>
      </c>
      <c r="C167" s="3" t="s">
        <v>1390</v>
      </c>
      <c r="D167" s="3" t="s">
        <v>1291</v>
      </c>
      <c r="E167" s="4" t="s">
        <v>1571</v>
      </c>
      <c r="F167" s="3" t="s">
        <v>1330</v>
      </c>
      <c r="G167" s="4" t="s">
        <v>1667</v>
      </c>
      <c r="H167" s="4" t="s">
        <v>1668</v>
      </c>
      <c r="I167" s="3" t="s">
        <v>49</v>
      </c>
      <c r="J167" s="3" t="s">
        <v>126</v>
      </c>
      <c r="K167" s="3" t="s">
        <v>45</v>
      </c>
      <c r="L167" s="3" t="s">
        <v>1669</v>
      </c>
      <c r="M167" s="3" t="s">
        <v>45</v>
      </c>
      <c r="N167" s="3" t="s">
        <v>45</v>
      </c>
      <c r="O167" s="3" t="s">
        <v>74</v>
      </c>
      <c r="P167" s="3" t="s">
        <v>45</v>
      </c>
      <c r="Q167" s="3" t="s">
        <v>45</v>
      </c>
      <c r="R167" s="3" t="s">
        <v>45</v>
      </c>
      <c r="S167" s="3" t="s">
        <v>45</v>
      </c>
      <c r="T167" s="3" t="s">
        <v>45</v>
      </c>
      <c r="U167" s="3" t="s">
        <v>45</v>
      </c>
      <c r="V167" s="4" t="s">
        <v>1670</v>
      </c>
      <c r="W167" s="3" t="s">
        <v>45</v>
      </c>
      <c r="X167" s="3" t="s">
        <v>45</v>
      </c>
      <c r="Y167" s="3" t="s">
        <v>45</v>
      </c>
      <c r="Z167" s="3" t="s">
        <v>74</v>
      </c>
      <c r="AA167" s="3" t="s">
        <v>45</v>
      </c>
      <c r="AB167" s="3" t="s">
        <v>45</v>
      </c>
      <c r="AC167" s="3" t="s">
        <v>45</v>
      </c>
      <c r="AD167" s="3" t="s">
        <v>45</v>
      </c>
      <c r="AE167" s="3" t="s">
        <v>45</v>
      </c>
      <c r="AF167" s="3" t="s">
        <v>45</v>
      </c>
      <c r="AG167" s="3" t="s">
        <v>45</v>
      </c>
      <c r="AH167" s="3" t="s">
        <v>1298</v>
      </c>
      <c r="AI167" s="3" t="s">
        <v>1671</v>
      </c>
      <c r="AJ167" s="3" t="s">
        <v>45</v>
      </c>
      <c r="AK167" s="3" t="s">
        <v>45</v>
      </c>
      <c r="AL167" s="3" t="s">
        <v>45</v>
      </c>
      <c r="AM167" s="3" t="s">
        <v>45</v>
      </c>
      <c r="AN167" s="3" t="s">
        <v>45</v>
      </c>
      <c r="AO167" s="3" t="s">
        <v>45</v>
      </c>
      <c r="AP167" s="3" t="s">
        <v>45</v>
      </c>
      <c r="AQ167" s="4" t="s">
        <v>1300</v>
      </c>
      <c r="AR167" s="4" t="s">
        <v>1300</v>
      </c>
    </row>
    <row r="168">
      <c r="A168" s="3" t="s">
        <v>1672</v>
      </c>
      <c r="B168" s="3" t="s">
        <v>1673</v>
      </c>
      <c r="C168" s="3" t="s">
        <v>1390</v>
      </c>
      <c r="D168" s="3" t="s">
        <v>1291</v>
      </c>
      <c r="E168" s="4" t="s">
        <v>1674</v>
      </c>
      <c r="F168" s="3" t="s">
        <v>1330</v>
      </c>
      <c r="G168" s="4" t="s">
        <v>1675</v>
      </c>
      <c r="H168" s="4" t="s">
        <v>1676</v>
      </c>
      <c r="I168" s="3" t="s">
        <v>85</v>
      </c>
      <c r="J168" s="3" t="s">
        <v>126</v>
      </c>
      <c r="K168" s="3" t="s">
        <v>45</v>
      </c>
      <c r="L168" s="3" t="s">
        <v>1677</v>
      </c>
      <c r="M168" s="3" t="s">
        <v>45</v>
      </c>
      <c r="N168" s="3" t="s">
        <v>45</v>
      </c>
      <c r="O168" s="3" t="s">
        <v>74</v>
      </c>
      <c r="P168" s="3" t="s">
        <v>45</v>
      </c>
      <c r="Q168" s="3" t="s">
        <v>45</v>
      </c>
      <c r="R168" s="3" t="s">
        <v>45</v>
      </c>
      <c r="S168" s="3" t="s">
        <v>45</v>
      </c>
      <c r="T168" s="3" t="s">
        <v>45</v>
      </c>
      <c r="U168" s="3" t="s">
        <v>45</v>
      </c>
      <c r="V168" s="3" t="s">
        <v>45</v>
      </c>
      <c r="W168" s="3" t="s">
        <v>45</v>
      </c>
      <c r="X168" s="3" t="s">
        <v>45</v>
      </c>
      <c r="Y168" s="3" t="s">
        <v>45</v>
      </c>
      <c r="Z168" s="3" t="s">
        <v>74</v>
      </c>
      <c r="AA168" s="3" t="s">
        <v>45</v>
      </c>
      <c r="AB168" s="3" t="s">
        <v>45</v>
      </c>
      <c r="AC168" s="3" t="s">
        <v>45</v>
      </c>
      <c r="AD168" s="3" t="s">
        <v>45</v>
      </c>
      <c r="AE168" s="3" t="s">
        <v>45</v>
      </c>
      <c r="AF168" s="3" t="s">
        <v>45</v>
      </c>
      <c r="AG168" s="3" t="s">
        <v>45</v>
      </c>
      <c r="AH168" s="3" t="s">
        <v>1298</v>
      </c>
      <c r="AI168" s="5" t="s">
        <v>1678</v>
      </c>
      <c r="AJ168" s="3" t="s">
        <v>45</v>
      </c>
      <c r="AK168" s="3" t="s">
        <v>45</v>
      </c>
      <c r="AL168" s="3" t="s">
        <v>45</v>
      </c>
      <c r="AM168" s="3" t="s">
        <v>45</v>
      </c>
      <c r="AN168" s="3" t="s">
        <v>45</v>
      </c>
      <c r="AO168" s="3" t="s">
        <v>45</v>
      </c>
      <c r="AP168" s="3" t="s">
        <v>45</v>
      </c>
      <c r="AQ168" s="4" t="s">
        <v>1300</v>
      </c>
      <c r="AR168" s="4" t="s">
        <v>1300</v>
      </c>
    </row>
    <row r="169">
      <c r="A169" s="3" t="s">
        <v>1679</v>
      </c>
      <c r="B169" s="3" t="s">
        <v>1680</v>
      </c>
      <c r="C169" s="3" t="s">
        <v>1390</v>
      </c>
      <c r="D169" s="3" t="s">
        <v>1291</v>
      </c>
      <c r="E169" s="4" t="s">
        <v>1571</v>
      </c>
      <c r="F169" s="3" t="s">
        <v>1330</v>
      </c>
      <c r="G169" s="4" t="s">
        <v>1681</v>
      </c>
      <c r="H169" s="4" t="s">
        <v>1682</v>
      </c>
      <c r="I169" s="3" t="s">
        <v>49</v>
      </c>
      <c r="J169" s="3" t="s">
        <v>126</v>
      </c>
      <c r="K169" s="3" t="s">
        <v>45</v>
      </c>
      <c r="L169" s="3" t="s">
        <v>45</v>
      </c>
      <c r="M169" s="3" t="s">
        <v>45</v>
      </c>
      <c r="N169" s="3" t="s">
        <v>45</v>
      </c>
      <c r="O169" s="3" t="s">
        <v>74</v>
      </c>
      <c r="P169" s="3" t="s">
        <v>45</v>
      </c>
      <c r="Q169" s="3" t="s">
        <v>45</v>
      </c>
      <c r="R169" s="3" t="s">
        <v>45</v>
      </c>
      <c r="S169" s="3" t="s">
        <v>45</v>
      </c>
      <c r="T169" s="3" t="s">
        <v>45</v>
      </c>
      <c r="U169" s="3" t="s">
        <v>45</v>
      </c>
      <c r="V169" s="4" t="s">
        <v>1683</v>
      </c>
      <c r="W169" s="3" t="s">
        <v>45</v>
      </c>
      <c r="X169" s="3" t="s">
        <v>45</v>
      </c>
      <c r="Y169" s="3" t="s">
        <v>45</v>
      </c>
      <c r="Z169" s="3" t="s">
        <v>74</v>
      </c>
      <c r="AA169" s="3" t="s">
        <v>45</v>
      </c>
      <c r="AB169" s="3" t="s">
        <v>45</v>
      </c>
      <c r="AC169" s="3" t="s">
        <v>45</v>
      </c>
      <c r="AD169" s="3" t="s">
        <v>45</v>
      </c>
      <c r="AE169" s="3" t="s">
        <v>45</v>
      </c>
      <c r="AF169" s="3" t="s">
        <v>45</v>
      </c>
      <c r="AG169" s="3" t="s">
        <v>45</v>
      </c>
      <c r="AH169" s="3" t="s">
        <v>57</v>
      </c>
      <c r="AI169" s="5" t="s">
        <v>1684</v>
      </c>
      <c r="AJ169" s="3" t="s">
        <v>45</v>
      </c>
      <c r="AK169" s="3" t="s">
        <v>45</v>
      </c>
      <c r="AL169" s="3" t="s">
        <v>45</v>
      </c>
      <c r="AM169" s="3" t="s">
        <v>45</v>
      </c>
      <c r="AN169" s="3" t="s">
        <v>45</v>
      </c>
      <c r="AO169" s="3" t="s">
        <v>45</v>
      </c>
      <c r="AP169" s="3" t="s">
        <v>45</v>
      </c>
      <c r="AQ169" s="4" t="s">
        <v>1654</v>
      </c>
      <c r="AR169" s="4" t="s">
        <v>1654</v>
      </c>
    </row>
    <row r="170">
      <c r="A170" s="3" t="s">
        <v>1685</v>
      </c>
      <c r="B170" s="3" t="s">
        <v>1686</v>
      </c>
      <c r="C170" s="3" t="s">
        <v>1390</v>
      </c>
      <c r="D170" s="3" t="s">
        <v>1291</v>
      </c>
      <c r="E170" s="4" t="s">
        <v>1401</v>
      </c>
      <c r="F170" s="3" t="s">
        <v>1330</v>
      </c>
      <c r="G170" s="4" t="s">
        <v>1687</v>
      </c>
      <c r="H170" s="4" t="s">
        <v>1688</v>
      </c>
      <c r="I170" s="3" t="s">
        <v>49</v>
      </c>
      <c r="J170" s="3" t="s">
        <v>126</v>
      </c>
      <c r="K170" s="3" t="s">
        <v>45</v>
      </c>
      <c r="L170" s="3" t="s">
        <v>45</v>
      </c>
      <c r="M170" s="3" t="s">
        <v>45</v>
      </c>
      <c r="N170" s="3" t="s">
        <v>45</v>
      </c>
      <c r="O170" s="3" t="s">
        <v>74</v>
      </c>
      <c r="P170" s="3" t="s">
        <v>45</v>
      </c>
      <c r="Q170" s="3" t="s">
        <v>45</v>
      </c>
      <c r="R170" s="3" t="s">
        <v>45</v>
      </c>
      <c r="S170" s="3" t="s">
        <v>45</v>
      </c>
      <c r="T170" s="3" t="s">
        <v>45</v>
      </c>
      <c r="U170" s="3" t="s">
        <v>45</v>
      </c>
      <c r="V170" s="4" t="s">
        <v>492</v>
      </c>
      <c r="W170" s="3" t="s">
        <v>45</v>
      </c>
      <c r="X170" s="3" t="s">
        <v>45</v>
      </c>
      <c r="Y170" s="3" t="s">
        <v>45</v>
      </c>
      <c r="Z170" s="3" t="s">
        <v>74</v>
      </c>
      <c r="AA170" s="3" t="s">
        <v>45</v>
      </c>
      <c r="AB170" s="3" t="s">
        <v>45</v>
      </c>
      <c r="AC170" s="3" t="s">
        <v>45</v>
      </c>
      <c r="AD170" s="3" t="s">
        <v>45</v>
      </c>
      <c r="AE170" s="3" t="s">
        <v>45</v>
      </c>
      <c r="AF170" s="3" t="s">
        <v>45</v>
      </c>
      <c r="AG170" s="3" t="s">
        <v>45</v>
      </c>
      <c r="AH170" s="3" t="s">
        <v>57</v>
      </c>
      <c r="AI170" s="5" t="s">
        <v>1684</v>
      </c>
      <c r="AJ170" s="3" t="s">
        <v>45</v>
      </c>
      <c r="AK170" s="3" t="s">
        <v>45</v>
      </c>
      <c r="AL170" s="3" t="s">
        <v>45</v>
      </c>
      <c r="AM170" s="3" t="s">
        <v>45</v>
      </c>
      <c r="AN170" s="3" t="s">
        <v>45</v>
      </c>
      <c r="AO170" s="3" t="s">
        <v>45</v>
      </c>
      <c r="AP170" s="3" t="s">
        <v>45</v>
      </c>
      <c r="AQ170" s="4" t="s">
        <v>1654</v>
      </c>
      <c r="AR170" s="4" t="s">
        <v>1654</v>
      </c>
    </row>
    <row r="171">
      <c r="A171" s="3" t="s">
        <v>1689</v>
      </c>
      <c r="B171" s="3" t="s">
        <v>1690</v>
      </c>
      <c r="C171" s="3" t="s">
        <v>1390</v>
      </c>
      <c r="D171" s="3" t="s">
        <v>1291</v>
      </c>
      <c r="E171" s="4" t="s">
        <v>1691</v>
      </c>
      <c r="F171" s="3" t="s">
        <v>1692</v>
      </c>
      <c r="G171" s="4" t="s">
        <v>1693</v>
      </c>
      <c r="H171" s="4" t="s">
        <v>1694</v>
      </c>
      <c r="I171" s="3" t="s">
        <v>85</v>
      </c>
      <c r="J171" s="3" t="s">
        <v>126</v>
      </c>
      <c r="K171" s="3" t="s">
        <v>45</v>
      </c>
      <c r="L171" s="3" t="s">
        <v>291</v>
      </c>
      <c r="M171" s="3" t="s">
        <v>45</v>
      </c>
      <c r="N171" s="4" t="s">
        <v>1072</v>
      </c>
      <c r="O171" s="3" t="s">
        <v>722</v>
      </c>
      <c r="P171" s="3" t="s">
        <v>45</v>
      </c>
      <c r="Q171" s="3" t="s">
        <v>45</v>
      </c>
      <c r="R171" s="3" t="s">
        <v>45</v>
      </c>
      <c r="S171" s="3" t="s">
        <v>45</v>
      </c>
      <c r="T171" s="3" t="s">
        <v>45</v>
      </c>
      <c r="U171" s="3" t="s">
        <v>45</v>
      </c>
      <c r="V171" s="4" t="s">
        <v>1695</v>
      </c>
      <c r="W171" s="3" t="s">
        <v>45</v>
      </c>
      <c r="X171" s="3" t="s">
        <v>45</v>
      </c>
      <c r="Y171" s="3" t="s">
        <v>45</v>
      </c>
      <c r="Z171" s="3" t="s">
        <v>74</v>
      </c>
      <c r="AA171" s="3" t="s">
        <v>45</v>
      </c>
      <c r="AB171" s="3" t="s">
        <v>45</v>
      </c>
      <c r="AC171" s="3" t="s">
        <v>45</v>
      </c>
      <c r="AD171" s="3" t="s">
        <v>45</v>
      </c>
      <c r="AE171" s="3" t="s">
        <v>45</v>
      </c>
      <c r="AF171" s="3" t="s">
        <v>45</v>
      </c>
      <c r="AG171" s="3" t="s">
        <v>45</v>
      </c>
      <c r="AH171" s="3" t="s">
        <v>1298</v>
      </c>
      <c r="AI171" s="3" t="s">
        <v>45</v>
      </c>
      <c r="AJ171" s="3" t="s">
        <v>45</v>
      </c>
      <c r="AK171" s="3" t="s">
        <v>45</v>
      </c>
      <c r="AL171" s="3" t="s">
        <v>45</v>
      </c>
      <c r="AM171" s="3" t="s">
        <v>45</v>
      </c>
      <c r="AN171" s="3" t="s">
        <v>45</v>
      </c>
      <c r="AO171" s="3" t="s">
        <v>45</v>
      </c>
      <c r="AP171" s="3" t="s">
        <v>45</v>
      </c>
      <c r="AQ171" s="4" t="s">
        <v>1300</v>
      </c>
      <c r="AR171" s="4" t="s">
        <v>1300</v>
      </c>
    </row>
    <row r="172">
      <c r="A172" s="3" t="s">
        <v>1696</v>
      </c>
      <c r="B172" s="3" t="s">
        <v>1697</v>
      </c>
      <c r="C172" s="3" t="s">
        <v>1698</v>
      </c>
      <c r="D172" s="3" t="s">
        <v>1291</v>
      </c>
      <c r="E172" s="4" t="s">
        <v>1699</v>
      </c>
      <c r="F172" s="3" t="s">
        <v>1700</v>
      </c>
      <c r="G172" s="4" t="s">
        <v>1701</v>
      </c>
      <c r="H172" s="4" t="s">
        <v>1702</v>
      </c>
      <c r="I172" s="3" t="s">
        <v>218</v>
      </c>
      <c r="J172" s="3" t="s">
        <v>126</v>
      </c>
      <c r="K172" s="3" t="s">
        <v>45</v>
      </c>
      <c r="L172" s="3" t="s">
        <v>45</v>
      </c>
      <c r="M172" s="3" t="s">
        <v>45</v>
      </c>
      <c r="N172" s="3" t="s">
        <v>45</v>
      </c>
      <c r="O172" s="3" t="s">
        <v>74</v>
      </c>
      <c r="P172" s="3" t="s">
        <v>45</v>
      </c>
      <c r="Q172" s="3" t="s">
        <v>45</v>
      </c>
      <c r="R172" s="3" t="s">
        <v>45</v>
      </c>
      <c r="S172" s="3" t="s">
        <v>45</v>
      </c>
      <c r="T172" s="3" t="s">
        <v>45</v>
      </c>
      <c r="U172" s="3" t="s">
        <v>45</v>
      </c>
      <c r="V172" s="4" t="s">
        <v>1703</v>
      </c>
      <c r="W172" s="3" t="s">
        <v>45</v>
      </c>
      <c r="X172" s="3" t="s">
        <v>45</v>
      </c>
      <c r="Y172" s="3" t="s">
        <v>45</v>
      </c>
      <c r="Z172" s="3" t="s">
        <v>74</v>
      </c>
      <c r="AA172" s="3" t="s">
        <v>45</v>
      </c>
      <c r="AB172" s="3" t="s">
        <v>45</v>
      </c>
      <c r="AC172" s="3" t="s">
        <v>45</v>
      </c>
      <c r="AD172" s="3" t="s">
        <v>45</v>
      </c>
      <c r="AE172" s="3" t="s">
        <v>45</v>
      </c>
      <c r="AF172" s="3" t="s">
        <v>45</v>
      </c>
      <c r="AG172" s="3" t="s">
        <v>45</v>
      </c>
      <c r="AH172" s="3" t="s">
        <v>57</v>
      </c>
      <c r="AI172" s="5" t="s">
        <v>1704</v>
      </c>
      <c r="AJ172" s="3" t="s">
        <v>45</v>
      </c>
      <c r="AK172" s="3" t="s">
        <v>45</v>
      </c>
      <c r="AL172" s="3" t="s">
        <v>45</v>
      </c>
      <c r="AM172" s="3" t="s">
        <v>45</v>
      </c>
      <c r="AN172" s="3" t="s">
        <v>45</v>
      </c>
      <c r="AO172" s="3" t="s">
        <v>45</v>
      </c>
      <c r="AP172" s="3" t="s">
        <v>45</v>
      </c>
      <c r="AQ172" s="4" t="s">
        <v>1654</v>
      </c>
      <c r="AR172" s="4" t="s">
        <v>1654</v>
      </c>
    </row>
    <row r="173">
      <c r="A173" s="3" t="s">
        <v>1705</v>
      </c>
      <c r="B173" s="3" t="s">
        <v>1706</v>
      </c>
      <c r="C173" s="3" t="s">
        <v>1707</v>
      </c>
      <c r="D173" s="3" t="s">
        <v>1291</v>
      </c>
      <c r="E173" s="4" t="s">
        <v>1708</v>
      </c>
      <c r="F173" s="3" t="s">
        <v>1709</v>
      </c>
      <c r="G173" s="4" t="s">
        <v>1710</v>
      </c>
      <c r="H173" s="4" t="s">
        <v>1711</v>
      </c>
      <c r="I173" s="3" t="s">
        <v>49</v>
      </c>
      <c r="J173" s="3" t="s">
        <v>99</v>
      </c>
      <c r="K173" s="3" t="s">
        <v>45</v>
      </c>
      <c r="L173" s="3" t="s">
        <v>479</v>
      </c>
      <c r="M173" s="3" t="s">
        <v>45</v>
      </c>
      <c r="N173" s="3" t="s">
        <v>45</v>
      </c>
      <c r="O173" s="3" t="s">
        <v>74</v>
      </c>
      <c r="P173" s="3" t="s">
        <v>45</v>
      </c>
      <c r="Q173" s="3" t="s">
        <v>45</v>
      </c>
      <c r="R173" s="3" t="s">
        <v>45</v>
      </c>
      <c r="S173" s="3" t="s">
        <v>45</v>
      </c>
      <c r="T173" s="3" t="s">
        <v>45</v>
      </c>
      <c r="U173" s="3" t="s">
        <v>45</v>
      </c>
      <c r="V173" s="3" t="s">
        <v>45</v>
      </c>
      <c r="W173" s="4" t="s">
        <v>1712</v>
      </c>
      <c r="X173" s="3" t="s">
        <v>1713</v>
      </c>
      <c r="Y173" s="3" t="s">
        <v>45</v>
      </c>
      <c r="Z173" s="3" t="s">
        <v>74</v>
      </c>
      <c r="AA173" s="3" t="s">
        <v>45</v>
      </c>
      <c r="AB173" s="3" t="s">
        <v>45</v>
      </c>
      <c r="AC173" s="3" t="s">
        <v>45</v>
      </c>
      <c r="AD173" s="3" t="s">
        <v>45</v>
      </c>
      <c r="AE173" s="3" t="s">
        <v>45</v>
      </c>
      <c r="AF173" s="3" t="s">
        <v>45</v>
      </c>
      <c r="AG173" s="3" t="s">
        <v>45</v>
      </c>
      <c r="AH173" s="3" t="s">
        <v>57</v>
      </c>
      <c r="AI173" s="5" t="s">
        <v>1714</v>
      </c>
      <c r="AJ173" s="5" t="s">
        <v>1715</v>
      </c>
      <c r="AK173" s="3" t="s">
        <v>45</v>
      </c>
      <c r="AL173" s="3" t="s">
        <v>45</v>
      </c>
      <c r="AM173" s="3" t="s">
        <v>45</v>
      </c>
      <c r="AN173" s="3" t="s">
        <v>45</v>
      </c>
      <c r="AO173" s="3" t="s">
        <v>45</v>
      </c>
      <c r="AP173" s="3" t="s">
        <v>45</v>
      </c>
      <c r="AQ173" s="4" t="s">
        <v>651</v>
      </c>
      <c r="AR173" s="4" t="s">
        <v>651</v>
      </c>
    </row>
    <row r="174">
      <c r="A174" s="3" t="s">
        <v>1716</v>
      </c>
      <c r="B174" s="3" t="s">
        <v>1717</v>
      </c>
      <c r="C174" s="3" t="s">
        <v>1707</v>
      </c>
      <c r="D174" s="3" t="s">
        <v>1291</v>
      </c>
      <c r="E174" s="4" t="s">
        <v>1708</v>
      </c>
      <c r="F174" s="3" t="s">
        <v>1718</v>
      </c>
      <c r="G174" s="4" t="s">
        <v>1719</v>
      </c>
      <c r="H174" s="4" t="s">
        <v>1720</v>
      </c>
      <c r="I174" s="3" t="s">
        <v>218</v>
      </c>
      <c r="J174" s="3" t="s">
        <v>50</v>
      </c>
      <c r="K174" s="3" t="s">
        <v>45</v>
      </c>
      <c r="L174" s="3" t="s">
        <v>1721</v>
      </c>
      <c r="M174" s="3" t="s">
        <v>45</v>
      </c>
      <c r="N174" s="3" t="s">
        <v>45</v>
      </c>
      <c r="O174" s="3" t="s">
        <v>88</v>
      </c>
      <c r="P174" s="3" t="s">
        <v>45</v>
      </c>
      <c r="Q174" s="3" t="s">
        <v>45</v>
      </c>
      <c r="R174" s="3" t="s">
        <v>45</v>
      </c>
      <c r="S174" s="3" t="s">
        <v>45</v>
      </c>
      <c r="T174" s="3" t="s">
        <v>45</v>
      </c>
      <c r="U174" s="3" t="s">
        <v>45</v>
      </c>
      <c r="V174" s="4" t="s">
        <v>1722</v>
      </c>
      <c r="W174" s="4" t="s">
        <v>1723</v>
      </c>
      <c r="X174" s="3" t="s">
        <v>1724</v>
      </c>
      <c r="Y174" s="3" t="s">
        <v>1725</v>
      </c>
      <c r="Z174" s="3" t="s">
        <v>74</v>
      </c>
      <c r="AA174" s="3" t="s">
        <v>45</v>
      </c>
      <c r="AB174" s="3" t="s">
        <v>45</v>
      </c>
      <c r="AC174" s="3" t="s">
        <v>45</v>
      </c>
      <c r="AD174" s="3" t="s">
        <v>45</v>
      </c>
      <c r="AE174" s="3" t="s">
        <v>45</v>
      </c>
      <c r="AF174" s="3" t="s">
        <v>45</v>
      </c>
      <c r="AG174" s="3" t="s">
        <v>45</v>
      </c>
      <c r="AH174" s="3" t="s">
        <v>57</v>
      </c>
      <c r="AI174" s="5" t="s">
        <v>1726</v>
      </c>
      <c r="AJ174" s="5" t="s">
        <v>1727</v>
      </c>
      <c r="AK174" s="3" t="s">
        <v>45</v>
      </c>
      <c r="AL174" s="3" t="s">
        <v>45</v>
      </c>
      <c r="AM174" s="3" t="s">
        <v>45</v>
      </c>
      <c r="AN174" s="3" t="s">
        <v>45</v>
      </c>
      <c r="AO174" s="3" t="s">
        <v>45</v>
      </c>
      <c r="AP174" s="3" t="s">
        <v>45</v>
      </c>
      <c r="AQ174" s="4" t="s">
        <v>1728</v>
      </c>
      <c r="AR174" s="4" t="s">
        <v>1729</v>
      </c>
    </row>
    <row r="175">
      <c r="A175" s="3" t="s">
        <v>1730</v>
      </c>
      <c r="B175" s="3" t="s">
        <v>1731</v>
      </c>
      <c r="C175" s="3" t="s">
        <v>1732</v>
      </c>
      <c r="D175" s="3" t="s">
        <v>1291</v>
      </c>
      <c r="E175" s="4" t="s">
        <v>1733</v>
      </c>
      <c r="F175" s="3" t="s">
        <v>1734</v>
      </c>
      <c r="G175" s="4" t="s">
        <v>1735</v>
      </c>
      <c r="H175" s="4" t="s">
        <v>1736</v>
      </c>
      <c r="I175" s="3" t="s">
        <v>49</v>
      </c>
      <c r="J175" s="3" t="s">
        <v>126</v>
      </c>
      <c r="K175" s="3" t="s">
        <v>45</v>
      </c>
      <c r="L175" s="3" t="s">
        <v>45</v>
      </c>
      <c r="M175" s="3" t="s">
        <v>45</v>
      </c>
      <c r="N175" s="3" t="s">
        <v>45</v>
      </c>
      <c r="O175" s="3" t="s">
        <v>74</v>
      </c>
      <c r="P175" s="3" t="s">
        <v>45</v>
      </c>
      <c r="Q175" s="3" t="s">
        <v>45</v>
      </c>
      <c r="R175" s="4" t="s">
        <v>1737</v>
      </c>
      <c r="S175" s="3" t="s">
        <v>45</v>
      </c>
      <c r="T175" s="3" t="s">
        <v>105</v>
      </c>
      <c r="U175" s="3" t="s">
        <v>221</v>
      </c>
      <c r="V175" s="4" t="s">
        <v>1722</v>
      </c>
      <c r="W175" s="3" t="s">
        <v>45</v>
      </c>
      <c r="X175" s="3" t="s">
        <v>45</v>
      </c>
      <c r="Y175" s="3" t="s">
        <v>1738</v>
      </c>
      <c r="Z175" s="3" t="s">
        <v>74</v>
      </c>
      <c r="AA175" s="3" t="s">
        <v>45</v>
      </c>
      <c r="AB175" s="3" t="s">
        <v>45</v>
      </c>
      <c r="AC175" s="3" t="s">
        <v>45</v>
      </c>
      <c r="AD175" s="3" t="s">
        <v>45</v>
      </c>
      <c r="AE175" s="3" t="s">
        <v>45</v>
      </c>
      <c r="AF175" s="3" t="s">
        <v>45</v>
      </c>
      <c r="AG175" s="3" t="s">
        <v>45</v>
      </c>
      <c r="AH175" s="3" t="s">
        <v>840</v>
      </c>
      <c r="AI175" s="5" t="s">
        <v>1739</v>
      </c>
      <c r="AJ175" s="5" t="s">
        <v>1740</v>
      </c>
      <c r="AK175" s="5" t="s">
        <v>1741</v>
      </c>
      <c r="AL175" s="5" t="s">
        <v>1657</v>
      </c>
      <c r="AM175" s="3" t="s">
        <v>45</v>
      </c>
      <c r="AN175" s="3" t="s">
        <v>45</v>
      </c>
      <c r="AO175" s="3" t="s">
        <v>45</v>
      </c>
      <c r="AP175" s="3" t="s">
        <v>45</v>
      </c>
      <c r="AQ175" s="4" t="s">
        <v>1742</v>
      </c>
      <c r="AR175" s="4" t="s">
        <v>148</v>
      </c>
    </row>
    <row r="176">
      <c r="A176" s="3" t="s">
        <v>1743</v>
      </c>
      <c r="B176" s="3" t="s">
        <v>1744</v>
      </c>
      <c r="C176" s="3" t="s">
        <v>1745</v>
      </c>
      <c r="D176" s="3" t="s">
        <v>1291</v>
      </c>
      <c r="E176" s="4" t="s">
        <v>1746</v>
      </c>
      <c r="F176" s="3" t="s">
        <v>1747</v>
      </c>
      <c r="G176" s="4" t="s">
        <v>1748</v>
      </c>
      <c r="H176" s="4" t="s">
        <v>1749</v>
      </c>
      <c r="I176" s="3" t="s">
        <v>49</v>
      </c>
      <c r="J176" s="3" t="s">
        <v>126</v>
      </c>
      <c r="K176" s="3" t="s">
        <v>45</v>
      </c>
      <c r="L176" s="3" t="s">
        <v>45</v>
      </c>
      <c r="M176" s="3" t="s">
        <v>45</v>
      </c>
      <c r="N176" s="3" t="s">
        <v>45</v>
      </c>
      <c r="O176" s="3" t="s">
        <v>88</v>
      </c>
      <c r="P176" s="3" t="s">
        <v>45</v>
      </c>
      <c r="Q176" s="3" t="s">
        <v>45</v>
      </c>
      <c r="R176" s="3" t="s">
        <v>45</v>
      </c>
      <c r="S176" s="4" t="s">
        <v>233</v>
      </c>
      <c r="T176" s="3" t="s">
        <v>45</v>
      </c>
      <c r="U176" s="3" t="s">
        <v>45</v>
      </c>
      <c r="V176" s="3" t="s">
        <v>45</v>
      </c>
      <c r="W176" s="4" t="s">
        <v>1750</v>
      </c>
      <c r="X176" s="3" t="s">
        <v>1751</v>
      </c>
      <c r="Y176" s="3" t="s">
        <v>45</v>
      </c>
      <c r="Z176" s="3" t="s">
        <v>74</v>
      </c>
      <c r="AA176" s="3" t="s">
        <v>45</v>
      </c>
      <c r="AB176" s="3" t="s">
        <v>45</v>
      </c>
      <c r="AC176" s="3" t="s">
        <v>45</v>
      </c>
      <c r="AD176" s="3" t="s">
        <v>45</v>
      </c>
      <c r="AE176" s="3" t="s">
        <v>45</v>
      </c>
      <c r="AF176" s="3" t="s">
        <v>45</v>
      </c>
      <c r="AG176" s="3" t="s">
        <v>45</v>
      </c>
      <c r="AH176" s="3" t="s">
        <v>57</v>
      </c>
      <c r="AI176" s="5" t="s">
        <v>1752</v>
      </c>
      <c r="AJ176" s="5" t="s">
        <v>1753</v>
      </c>
      <c r="AK176" s="3" t="s">
        <v>45</v>
      </c>
      <c r="AL176" s="3" t="s">
        <v>45</v>
      </c>
      <c r="AM176" s="3" t="s">
        <v>45</v>
      </c>
      <c r="AN176" s="3" t="s">
        <v>45</v>
      </c>
      <c r="AO176" s="3" t="s">
        <v>45</v>
      </c>
      <c r="AP176" s="3" t="s">
        <v>45</v>
      </c>
      <c r="AQ176" s="4" t="s">
        <v>1754</v>
      </c>
      <c r="AR176" s="4" t="s">
        <v>1754</v>
      </c>
    </row>
    <row r="177">
      <c r="A177" s="3" t="s">
        <v>1755</v>
      </c>
      <c r="B177" s="3" t="s">
        <v>1756</v>
      </c>
      <c r="C177" s="3" t="s">
        <v>1757</v>
      </c>
      <c r="D177" s="3" t="s">
        <v>1291</v>
      </c>
      <c r="E177" s="4" t="s">
        <v>1758</v>
      </c>
      <c r="F177" s="3" t="s">
        <v>1759</v>
      </c>
      <c r="G177" s="4" t="s">
        <v>1760</v>
      </c>
      <c r="H177" s="4" t="s">
        <v>1761</v>
      </c>
      <c r="I177" s="3" t="s">
        <v>49</v>
      </c>
      <c r="J177" s="3" t="s">
        <v>50</v>
      </c>
      <c r="K177" s="3" t="s">
        <v>45</v>
      </c>
      <c r="L177" s="3" t="s">
        <v>45</v>
      </c>
      <c r="M177" s="3" t="s">
        <v>45</v>
      </c>
      <c r="N177" s="3" t="s">
        <v>45</v>
      </c>
      <c r="O177" s="3" t="s">
        <v>74</v>
      </c>
      <c r="P177" s="3" t="s">
        <v>45</v>
      </c>
      <c r="Q177" s="3" t="s">
        <v>45</v>
      </c>
      <c r="R177" s="3" t="s">
        <v>45</v>
      </c>
      <c r="S177" s="3" t="s">
        <v>45</v>
      </c>
      <c r="T177" s="3" t="s">
        <v>45</v>
      </c>
      <c r="U177" s="3" t="s">
        <v>45</v>
      </c>
      <c r="V177" s="4" t="s">
        <v>1762</v>
      </c>
      <c r="W177" s="4" t="s">
        <v>1763</v>
      </c>
      <c r="X177" s="3" t="s">
        <v>45</v>
      </c>
      <c r="Y177" s="3" t="s">
        <v>45</v>
      </c>
      <c r="Z177" s="3" t="s">
        <v>74</v>
      </c>
      <c r="AA177" s="3" t="s">
        <v>45</v>
      </c>
      <c r="AB177" s="3" t="s">
        <v>45</v>
      </c>
      <c r="AC177" s="3" t="s">
        <v>45</v>
      </c>
      <c r="AD177" s="3" t="s">
        <v>45</v>
      </c>
      <c r="AE177" s="3" t="s">
        <v>45</v>
      </c>
      <c r="AF177" s="3" t="s">
        <v>45</v>
      </c>
      <c r="AG177" s="3" t="s">
        <v>1764</v>
      </c>
      <c r="AH177" s="3" t="s">
        <v>57</v>
      </c>
      <c r="AI177" s="5" t="s">
        <v>1765</v>
      </c>
      <c r="AJ177" s="5" t="s">
        <v>1766</v>
      </c>
      <c r="AK177" s="3" t="s">
        <v>45</v>
      </c>
      <c r="AL177" s="3" t="s">
        <v>45</v>
      </c>
      <c r="AM177" s="3" t="s">
        <v>45</v>
      </c>
      <c r="AN177" s="3" t="s">
        <v>45</v>
      </c>
      <c r="AO177" s="3" t="s">
        <v>45</v>
      </c>
      <c r="AP177" s="3" t="s">
        <v>45</v>
      </c>
      <c r="AQ177" s="4" t="s">
        <v>1767</v>
      </c>
      <c r="AR177" s="4" t="s">
        <v>1767</v>
      </c>
    </row>
    <row r="178">
      <c r="A178" s="3" t="s">
        <v>1768</v>
      </c>
      <c r="B178" s="3" t="s">
        <v>1769</v>
      </c>
      <c r="C178" s="3" t="s">
        <v>1770</v>
      </c>
      <c r="D178" s="3" t="s">
        <v>1291</v>
      </c>
      <c r="E178" s="4" t="s">
        <v>1771</v>
      </c>
      <c r="F178" s="3" t="s">
        <v>1772</v>
      </c>
      <c r="G178" s="4" t="s">
        <v>1773</v>
      </c>
      <c r="H178" s="4" t="s">
        <v>1774</v>
      </c>
      <c r="I178" s="3" t="s">
        <v>85</v>
      </c>
      <c r="J178" s="3" t="s">
        <v>126</v>
      </c>
      <c r="K178" s="3" t="s">
        <v>45</v>
      </c>
      <c r="L178" s="3" t="s">
        <v>1604</v>
      </c>
      <c r="M178" s="3" t="s">
        <v>45</v>
      </c>
      <c r="N178" s="3" t="s">
        <v>45</v>
      </c>
      <c r="O178" s="3" t="s">
        <v>74</v>
      </c>
      <c r="P178" s="3" t="s">
        <v>45</v>
      </c>
      <c r="Q178" s="3" t="s">
        <v>45</v>
      </c>
      <c r="R178" s="3" t="s">
        <v>45</v>
      </c>
      <c r="S178" s="3" t="s">
        <v>45</v>
      </c>
      <c r="T178" s="3" t="s">
        <v>45</v>
      </c>
      <c r="U178" s="3" t="s">
        <v>45</v>
      </c>
      <c r="V178" s="3" t="s">
        <v>45</v>
      </c>
      <c r="W178" s="3" t="s">
        <v>45</v>
      </c>
      <c r="X178" s="3" t="s">
        <v>45</v>
      </c>
      <c r="Y178" s="3" t="s">
        <v>45</v>
      </c>
      <c r="Z178" s="3" t="s">
        <v>74</v>
      </c>
      <c r="AA178" s="3" t="s">
        <v>45</v>
      </c>
      <c r="AB178" s="3" t="s">
        <v>45</v>
      </c>
      <c r="AC178" s="3" t="s">
        <v>45</v>
      </c>
      <c r="AD178" s="3" t="s">
        <v>45</v>
      </c>
      <c r="AE178" s="3" t="s">
        <v>45</v>
      </c>
      <c r="AF178" s="3" t="s">
        <v>45</v>
      </c>
      <c r="AG178" s="3" t="s">
        <v>45</v>
      </c>
      <c r="AH178" s="3" t="s">
        <v>1298</v>
      </c>
      <c r="AI178" s="3" t="s">
        <v>45</v>
      </c>
      <c r="AJ178" s="3" t="s">
        <v>45</v>
      </c>
      <c r="AK178" s="3" t="s">
        <v>45</v>
      </c>
      <c r="AL178" s="3" t="s">
        <v>45</v>
      </c>
      <c r="AM178" s="3" t="s">
        <v>45</v>
      </c>
      <c r="AN178" s="3" t="s">
        <v>45</v>
      </c>
      <c r="AO178" s="3" t="s">
        <v>45</v>
      </c>
      <c r="AP178" s="3" t="s">
        <v>45</v>
      </c>
      <c r="AQ178" s="4" t="s">
        <v>1300</v>
      </c>
      <c r="AR178" s="4" t="s">
        <v>1300</v>
      </c>
    </row>
    <row r="179">
      <c r="A179" s="3" t="s">
        <v>1775</v>
      </c>
      <c r="B179" s="3" t="s">
        <v>1776</v>
      </c>
      <c r="C179" s="3" t="s">
        <v>1777</v>
      </c>
      <c r="D179" s="3" t="s">
        <v>1291</v>
      </c>
      <c r="E179" s="4" t="s">
        <v>1778</v>
      </c>
      <c r="F179" s="3" t="s">
        <v>1313</v>
      </c>
      <c r="G179" s="4" t="s">
        <v>1779</v>
      </c>
      <c r="H179" s="4" t="s">
        <v>1780</v>
      </c>
      <c r="I179" s="3" t="s">
        <v>49</v>
      </c>
      <c r="J179" s="3" t="s">
        <v>126</v>
      </c>
      <c r="K179" s="3" t="s">
        <v>45</v>
      </c>
      <c r="L179" s="3" t="s">
        <v>1781</v>
      </c>
      <c r="M179" s="3" t="s">
        <v>45</v>
      </c>
      <c r="N179" s="4" t="s">
        <v>1782</v>
      </c>
      <c r="O179" s="3" t="s">
        <v>70</v>
      </c>
      <c r="P179" s="3" t="s">
        <v>45</v>
      </c>
      <c r="Q179" s="3" t="s">
        <v>45</v>
      </c>
      <c r="R179" s="3" t="s">
        <v>45</v>
      </c>
      <c r="S179" s="4" t="s">
        <v>472</v>
      </c>
      <c r="T179" s="3" t="s">
        <v>45</v>
      </c>
      <c r="U179" s="3" t="s">
        <v>45</v>
      </c>
      <c r="V179" s="4" t="s">
        <v>1783</v>
      </c>
      <c r="W179" s="3" t="s">
        <v>45</v>
      </c>
      <c r="X179" s="3" t="s">
        <v>1784</v>
      </c>
      <c r="Y179" s="3" t="s">
        <v>45</v>
      </c>
      <c r="Z179" s="3" t="s">
        <v>74</v>
      </c>
      <c r="AA179" s="3" t="s">
        <v>45</v>
      </c>
      <c r="AB179" s="3" t="s">
        <v>45</v>
      </c>
      <c r="AC179" s="3" t="s">
        <v>45</v>
      </c>
      <c r="AD179" s="3" t="s">
        <v>45</v>
      </c>
      <c r="AE179" s="3" t="s">
        <v>45</v>
      </c>
      <c r="AF179" s="3" t="s">
        <v>45</v>
      </c>
      <c r="AG179" s="3" t="s">
        <v>1785</v>
      </c>
      <c r="AH179" s="3" t="s">
        <v>57</v>
      </c>
      <c r="AI179" s="5" t="s">
        <v>1786</v>
      </c>
      <c r="AJ179" s="5" t="s">
        <v>1787</v>
      </c>
      <c r="AK179" s="5" t="s">
        <v>1788</v>
      </c>
      <c r="AL179" s="3" t="s">
        <v>45</v>
      </c>
      <c r="AM179" s="3" t="s">
        <v>45</v>
      </c>
      <c r="AN179" s="3" t="s">
        <v>45</v>
      </c>
      <c r="AO179" s="3" t="s">
        <v>45</v>
      </c>
      <c r="AP179" s="3" t="s">
        <v>45</v>
      </c>
      <c r="AQ179" s="4" t="s">
        <v>1325</v>
      </c>
      <c r="AR179" s="4" t="s">
        <v>1789</v>
      </c>
    </row>
    <row r="180">
      <c r="A180" s="3" t="s">
        <v>1790</v>
      </c>
      <c r="B180" s="3" t="s">
        <v>1791</v>
      </c>
      <c r="C180" s="3" t="s">
        <v>1777</v>
      </c>
      <c r="D180" s="3" t="s">
        <v>1291</v>
      </c>
      <c r="E180" s="4" t="s">
        <v>1792</v>
      </c>
      <c r="F180" s="3" t="s">
        <v>1313</v>
      </c>
      <c r="G180" s="4" t="s">
        <v>1793</v>
      </c>
      <c r="H180" s="4" t="s">
        <v>1794</v>
      </c>
      <c r="I180" s="3" t="s">
        <v>49</v>
      </c>
      <c r="J180" s="3" t="s">
        <v>45</v>
      </c>
      <c r="K180" s="3" t="s">
        <v>45</v>
      </c>
      <c r="L180" s="3" t="s">
        <v>1521</v>
      </c>
      <c r="M180" s="3" t="s">
        <v>45</v>
      </c>
      <c r="N180" s="4" t="s">
        <v>419</v>
      </c>
      <c r="O180" s="3" t="s">
        <v>88</v>
      </c>
      <c r="P180" s="3" t="s">
        <v>45</v>
      </c>
      <c r="Q180" s="3" t="s">
        <v>45</v>
      </c>
      <c r="R180" s="3" t="s">
        <v>45</v>
      </c>
      <c r="S180" s="3" t="s">
        <v>45</v>
      </c>
      <c r="T180" s="3" t="s">
        <v>45</v>
      </c>
      <c r="U180" s="3" t="s">
        <v>45</v>
      </c>
      <c r="V180" s="4" t="s">
        <v>106</v>
      </c>
      <c r="W180" s="4" t="s">
        <v>1795</v>
      </c>
      <c r="X180" s="3" t="s">
        <v>1796</v>
      </c>
      <c r="Y180" s="4" t="s">
        <v>133</v>
      </c>
      <c r="Z180" s="3" t="s">
        <v>74</v>
      </c>
      <c r="AA180" s="3" t="s">
        <v>45</v>
      </c>
      <c r="AB180" s="3" t="s">
        <v>45</v>
      </c>
      <c r="AC180" s="3" t="s">
        <v>45</v>
      </c>
      <c r="AD180" s="3" t="s">
        <v>45</v>
      </c>
      <c r="AE180" s="3" t="s">
        <v>45</v>
      </c>
      <c r="AF180" s="3" t="s">
        <v>45</v>
      </c>
      <c r="AG180" s="3" t="s">
        <v>45</v>
      </c>
      <c r="AH180" s="3" t="s">
        <v>57</v>
      </c>
      <c r="AI180" s="5" t="s">
        <v>1797</v>
      </c>
      <c r="AJ180" s="3" t="s">
        <v>45</v>
      </c>
      <c r="AK180" s="3" t="s">
        <v>45</v>
      </c>
      <c r="AL180" s="3" t="s">
        <v>45</v>
      </c>
      <c r="AM180" s="3" t="s">
        <v>45</v>
      </c>
      <c r="AN180" s="3" t="s">
        <v>45</v>
      </c>
      <c r="AO180" s="3" t="s">
        <v>45</v>
      </c>
      <c r="AP180" s="3" t="s">
        <v>45</v>
      </c>
      <c r="AQ180" s="4" t="s">
        <v>1050</v>
      </c>
      <c r="AR180" s="4" t="s">
        <v>1050</v>
      </c>
    </row>
    <row r="181">
      <c r="A181" s="3" t="s">
        <v>1798</v>
      </c>
      <c r="B181" s="3" t="s">
        <v>1799</v>
      </c>
      <c r="C181" s="3" t="s">
        <v>1777</v>
      </c>
      <c r="D181" s="3" t="s">
        <v>1291</v>
      </c>
      <c r="E181" s="4" t="s">
        <v>1778</v>
      </c>
      <c r="F181" s="3" t="s">
        <v>1313</v>
      </c>
      <c r="G181" s="4" t="s">
        <v>1800</v>
      </c>
      <c r="H181" s="4" t="s">
        <v>1801</v>
      </c>
      <c r="I181" s="3" t="s">
        <v>49</v>
      </c>
      <c r="J181" s="3" t="s">
        <v>126</v>
      </c>
      <c r="K181" s="3" t="s">
        <v>45</v>
      </c>
      <c r="L181" s="3" t="s">
        <v>1798</v>
      </c>
      <c r="M181" s="3" t="s">
        <v>45</v>
      </c>
      <c r="N181" s="3" t="s">
        <v>45</v>
      </c>
      <c r="O181" s="3" t="s">
        <v>88</v>
      </c>
      <c r="P181" s="3" t="s">
        <v>45</v>
      </c>
      <c r="Q181" s="3" t="s">
        <v>45</v>
      </c>
      <c r="R181" s="3" t="s">
        <v>45</v>
      </c>
      <c r="S181" s="3" t="s">
        <v>45</v>
      </c>
      <c r="T181" s="3" t="s">
        <v>45</v>
      </c>
      <c r="U181" s="3" t="s">
        <v>45</v>
      </c>
      <c r="V181" s="3" t="s">
        <v>45</v>
      </c>
      <c r="W181" s="4" t="s">
        <v>1802</v>
      </c>
      <c r="X181" s="3" t="s">
        <v>1803</v>
      </c>
      <c r="Y181" s="3" t="s">
        <v>45</v>
      </c>
      <c r="Z181" s="3" t="s">
        <v>74</v>
      </c>
      <c r="AA181" s="3" t="s">
        <v>45</v>
      </c>
      <c r="AB181" s="3" t="s">
        <v>45</v>
      </c>
      <c r="AC181" s="3" t="s">
        <v>45</v>
      </c>
      <c r="AD181" s="3" t="s">
        <v>45</v>
      </c>
      <c r="AE181" s="3" t="s">
        <v>45</v>
      </c>
      <c r="AF181" s="3" t="s">
        <v>45</v>
      </c>
      <c r="AG181" s="3" t="s">
        <v>1804</v>
      </c>
      <c r="AH181" s="3" t="s">
        <v>57</v>
      </c>
      <c r="AI181" s="5" t="s">
        <v>1805</v>
      </c>
      <c r="AJ181" s="5" t="s">
        <v>1806</v>
      </c>
      <c r="AK181" s="5" t="s">
        <v>1807</v>
      </c>
      <c r="AL181" s="3" t="s">
        <v>45</v>
      </c>
      <c r="AM181" s="3" t="s">
        <v>45</v>
      </c>
      <c r="AN181" s="3" t="s">
        <v>45</v>
      </c>
      <c r="AO181" s="3" t="s">
        <v>45</v>
      </c>
      <c r="AP181" s="3" t="s">
        <v>45</v>
      </c>
      <c r="AQ181" s="4" t="s">
        <v>1325</v>
      </c>
      <c r="AR181" s="4" t="s">
        <v>296</v>
      </c>
    </row>
    <row r="182">
      <c r="A182" s="3" t="s">
        <v>1808</v>
      </c>
      <c r="B182" s="3" t="s">
        <v>1809</v>
      </c>
      <c r="C182" s="3" t="s">
        <v>1810</v>
      </c>
      <c r="D182" s="3" t="s">
        <v>1291</v>
      </c>
      <c r="E182" s="4" t="s">
        <v>1571</v>
      </c>
      <c r="F182" s="3" t="s">
        <v>1330</v>
      </c>
      <c r="G182" s="4" t="s">
        <v>1811</v>
      </c>
      <c r="H182" s="4" t="s">
        <v>1812</v>
      </c>
      <c r="I182" s="3" t="s">
        <v>85</v>
      </c>
      <c r="J182" s="3" t="s">
        <v>126</v>
      </c>
      <c r="K182" s="3" t="s">
        <v>45</v>
      </c>
      <c r="L182" s="3" t="s">
        <v>1813</v>
      </c>
      <c r="M182" s="3" t="s">
        <v>45</v>
      </c>
      <c r="N182" s="4" t="s">
        <v>275</v>
      </c>
      <c r="O182" s="3" t="s">
        <v>53</v>
      </c>
      <c r="P182" s="3" t="s">
        <v>45</v>
      </c>
      <c r="Q182" s="3" t="s">
        <v>45</v>
      </c>
      <c r="R182" s="3" t="s">
        <v>45</v>
      </c>
      <c r="S182" s="3" t="s">
        <v>45</v>
      </c>
      <c r="T182" s="3" t="s">
        <v>45</v>
      </c>
      <c r="U182" s="3" t="s">
        <v>45</v>
      </c>
      <c r="V182" s="4" t="s">
        <v>1814</v>
      </c>
      <c r="W182" s="3" t="s">
        <v>45</v>
      </c>
      <c r="X182" s="3" t="s">
        <v>45</v>
      </c>
      <c r="Y182" s="3" t="s">
        <v>45</v>
      </c>
      <c r="Z182" s="3" t="s">
        <v>74</v>
      </c>
      <c r="AA182" s="3" t="s">
        <v>45</v>
      </c>
      <c r="AB182" s="3" t="s">
        <v>45</v>
      </c>
      <c r="AC182" s="3" t="s">
        <v>45</v>
      </c>
      <c r="AD182" s="3" t="s">
        <v>45</v>
      </c>
      <c r="AE182" s="3" t="s">
        <v>45</v>
      </c>
      <c r="AF182" s="3" t="s">
        <v>45</v>
      </c>
      <c r="AG182" s="3" t="s">
        <v>45</v>
      </c>
      <c r="AH182" s="3" t="s">
        <v>1298</v>
      </c>
      <c r="AI182" s="3" t="s">
        <v>45</v>
      </c>
      <c r="AJ182" s="3" t="s">
        <v>45</v>
      </c>
      <c r="AK182" s="3" t="s">
        <v>45</v>
      </c>
      <c r="AL182" s="3" t="s">
        <v>45</v>
      </c>
      <c r="AM182" s="3" t="s">
        <v>45</v>
      </c>
      <c r="AN182" s="3" t="s">
        <v>45</v>
      </c>
      <c r="AO182" s="3" t="s">
        <v>45</v>
      </c>
      <c r="AP182" s="3" t="s">
        <v>45</v>
      </c>
      <c r="AQ182" s="4" t="s">
        <v>1300</v>
      </c>
      <c r="AR182" s="4" t="s">
        <v>1300</v>
      </c>
    </row>
    <row r="183">
      <c r="A183" s="3" t="s">
        <v>1815</v>
      </c>
      <c r="B183" s="3" t="s">
        <v>1816</v>
      </c>
      <c r="C183" s="3" t="s">
        <v>1810</v>
      </c>
      <c r="D183" s="3" t="s">
        <v>1291</v>
      </c>
      <c r="E183" s="3" t="s">
        <v>45</v>
      </c>
      <c r="F183" s="3" t="s">
        <v>1330</v>
      </c>
      <c r="G183" s="4" t="s">
        <v>1817</v>
      </c>
      <c r="H183" s="4" t="s">
        <v>1818</v>
      </c>
      <c r="I183" s="3" t="s">
        <v>85</v>
      </c>
      <c r="J183" s="3" t="s">
        <v>126</v>
      </c>
      <c r="K183" s="3" t="s">
        <v>45</v>
      </c>
      <c r="L183" s="3" t="s">
        <v>1620</v>
      </c>
      <c r="M183" s="3" t="s">
        <v>45</v>
      </c>
      <c r="N183" s="3" t="s">
        <v>45</v>
      </c>
      <c r="O183" s="3" t="s">
        <v>74</v>
      </c>
      <c r="P183" s="3" t="s">
        <v>45</v>
      </c>
      <c r="Q183" s="3" t="s">
        <v>45</v>
      </c>
      <c r="R183" s="3" t="s">
        <v>45</v>
      </c>
      <c r="S183" s="3" t="s">
        <v>45</v>
      </c>
      <c r="T183" s="3" t="s">
        <v>45</v>
      </c>
      <c r="U183" s="3" t="s">
        <v>45</v>
      </c>
      <c r="V183" s="3" t="s">
        <v>45</v>
      </c>
      <c r="W183" s="3" t="s">
        <v>45</v>
      </c>
      <c r="X183" s="3" t="s">
        <v>45</v>
      </c>
      <c r="Y183" s="3" t="s">
        <v>45</v>
      </c>
      <c r="Z183" s="3" t="s">
        <v>74</v>
      </c>
      <c r="AA183" s="3" t="s">
        <v>45</v>
      </c>
      <c r="AB183" s="3" t="s">
        <v>45</v>
      </c>
      <c r="AC183" s="3" t="s">
        <v>45</v>
      </c>
      <c r="AD183" s="3" t="s">
        <v>45</v>
      </c>
      <c r="AE183" s="3" t="s">
        <v>45</v>
      </c>
      <c r="AF183" s="3" t="s">
        <v>45</v>
      </c>
      <c r="AG183" s="3" t="s">
        <v>45</v>
      </c>
      <c r="AH183" s="3" t="s">
        <v>1298</v>
      </c>
      <c r="AI183" s="3" t="s">
        <v>45</v>
      </c>
      <c r="AJ183" s="3" t="s">
        <v>45</v>
      </c>
      <c r="AK183" s="3" t="s">
        <v>45</v>
      </c>
      <c r="AL183" s="3" t="s">
        <v>45</v>
      </c>
      <c r="AM183" s="3" t="s">
        <v>45</v>
      </c>
      <c r="AN183" s="3" t="s">
        <v>45</v>
      </c>
      <c r="AO183" s="3" t="s">
        <v>45</v>
      </c>
      <c r="AP183" s="3" t="s">
        <v>45</v>
      </c>
      <c r="AQ183" s="4" t="s">
        <v>1300</v>
      </c>
      <c r="AR183" s="4" t="s">
        <v>1300</v>
      </c>
    </row>
    <row r="184">
      <c r="A184" s="3" t="s">
        <v>1819</v>
      </c>
      <c r="B184" s="3" t="s">
        <v>1820</v>
      </c>
      <c r="C184" s="3" t="s">
        <v>1810</v>
      </c>
      <c r="D184" s="3" t="s">
        <v>1291</v>
      </c>
      <c r="E184" s="4" t="s">
        <v>1571</v>
      </c>
      <c r="F184" s="3" t="s">
        <v>1330</v>
      </c>
      <c r="G184" s="4" t="s">
        <v>1821</v>
      </c>
      <c r="H184" s="4" t="s">
        <v>1822</v>
      </c>
      <c r="I184" s="3" t="s">
        <v>218</v>
      </c>
      <c r="J184" s="3" t="s">
        <v>50</v>
      </c>
      <c r="K184" s="3" t="s">
        <v>45</v>
      </c>
      <c r="L184" s="3" t="s">
        <v>409</v>
      </c>
      <c r="M184" s="3" t="s">
        <v>45</v>
      </c>
      <c r="N184" s="4" t="s">
        <v>1574</v>
      </c>
      <c r="O184" s="3" t="s">
        <v>88</v>
      </c>
      <c r="P184" s="3" t="s">
        <v>45</v>
      </c>
      <c r="Q184" s="3" t="s">
        <v>45</v>
      </c>
      <c r="R184" s="3" t="s">
        <v>45</v>
      </c>
      <c r="S184" s="3" t="s">
        <v>45</v>
      </c>
      <c r="T184" s="3" t="s">
        <v>45</v>
      </c>
      <c r="U184" s="3" t="s">
        <v>45</v>
      </c>
      <c r="V184" s="4" t="s">
        <v>1823</v>
      </c>
      <c r="W184" s="3" t="s">
        <v>45</v>
      </c>
      <c r="X184" s="3" t="s">
        <v>45</v>
      </c>
      <c r="Y184" s="3" t="s">
        <v>45</v>
      </c>
      <c r="Z184" s="3" t="s">
        <v>74</v>
      </c>
      <c r="AA184" s="3" t="s">
        <v>45</v>
      </c>
      <c r="AB184" s="3" t="s">
        <v>45</v>
      </c>
      <c r="AC184" s="3" t="s">
        <v>45</v>
      </c>
      <c r="AD184" s="3" t="s">
        <v>45</v>
      </c>
      <c r="AE184" s="3" t="s">
        <v>45</v>
      </c>
      <c r="AF184" s="3" t="s">
        <v>45</v>
      </c>
      <c r="AG184" s="3" t="s">
        <v>1824</v>
      </c>
      <c r="AH184" s="3" t="s">
        <v>57</v>
      </c>
      <c r="AI184" s="5" t="s">
        <v>1825</v>
      </c>
      <c r="AJ184" s="5" t="s">
        <v>1826</v>
      </c>
      <c r="AK184" s="5" t="s">
        <v>1827</v>
      </c>
      <c r="AL184" s="3" t="s">
        <v>45</v>
      </c>
      <c r="AM184" s="3" t="s">
        <v>45</v>
      </c>
      <c r="AN184" s="3" t="s">
        <v>45</v>
      </c>
      <c r="AO184" s="3" t="s">
        <v>45</v>
      </c>
      <c r="AP184" s="3" t="s">
        <v>45</v>
      </c>
      <c r="AQ184" s="4" t="s">
        <v>1828</v>
      </c>
      <c r="AR184" s="4" t="s">
        <v>1828</v>
      </c>
    </row>
    <row r="185">
      <c r="A185" s="3" t="s">
        <v>1829</v>
      </c>
      <c r="B185" s="3" t="s">
        <v>1830</v>
      </c>
      <c r="C185" s="3" t="s">
        <v>1810</v>
      </c>
      <c r="D185" s="3" t="s">
        <v>1291</v>
      </c>
      <c r="E185" s="4" t="s">
        <v>1571</v>
      </c>
      <c r="F185" s="3" t="s">
        <v>1330</v>
      </c>
      <c r="G185" s="4" t="s">
        <v>1831</v>
      </c>
      <c r="H185" s="4" t="s">
        <v>1832</v>
      </c>
      <c r="I185" s="3" t="s">
        <v>85</v>
      </c>
      <c r="J185" s="3" t="s">
        <v>126</v>
      </c>
      <c r="K185" s="3" t="s">
        <v>45</v>
      </c>
      <c r="L185" s="3" t="s">
        <v>426</v>
      </c>
      <c r="M185" s="3" t="s">
        <v>45</v>
      </c>
      <c r="N185" s="4" t="s">
        <v>1833</v>
      </c>
      <c r="O185" s="3" t="s">
        <v>88</v>
      </c>
      <c r="P185" s="3" t="s">
        <v>45</v>
      </c>
      <c r="Q185" s="3" t="s">
        <v>45</v>
      </c>
      <c r="R185" s="3" t="s">
        <v>45</v>
      </c>
      <c r="S185" s="3" t="s">
        <v>45</v>
      </c>
      <c r="T185" s="3" t="s">
        <v>45</v>
      </c>
      <c r="U185" s="3" t="s">
        <v>45</v>
      </c>
      <c r="V185" s="4" t="s">
        <v>1834</v>
      </c>
      <c r="W185" s="3" t="s">
        <v>45</v>
      </c>
      <c r="X185" s="3" t="s">
        <v>45</v>
      </c>
      <c r="Y185" s="3" t="s">
        <v>45</v>
      </c>
      <c r="Z185" s="3" t="s">
        <v>74</v>
      </c>
      <c r="AA185" s="3" t="s">
        <v>45</v>
      </c>
      <c r="AB185" s="3" t="s">
        <v>45</v>
      </c>
      <c r="AC185" s="3" t="s">
        <v>45</v>
      </c>
      <c r="AD185" s="3" t="s">
        <v>45</v>
      </c>
      <c r="AE185" s="3" t="s">
        <v>45</v>
      </c>
      <c r="AF185" s="3" t="s">
        <v>45</v>
      </c>
      <c r="AG185" s="3" t="s">
        <v>45</v>
      </c>
      <c r="AH185" s="3" t="s">
        <v>1298</v>
      </c>
      <c r="AI185" s="5" t="s">
        <v>1835</v>
      </c>
      <c r="AJ185" s="3" t="s">
        <v>45</v>
      </c>
      <c r="AK185" s="3" t="s">
        <v>45</v>
      </c>
      <c r="AL185" s="3" t="s">
        <v>45</v>
      </c>
      <c r="AM185" s="3" t="s">
        <v>45</v>
      </c>
      <c r="AN185" s="3" t="s">
        <v>45</v>
      </c>
      <c r="AO185" s="3" t="s">
        <v>45</v>
      </c>
      <c r="AP185" s="3" t="s">
        <v>45</v>
      </c>
      <c r="AQ185" s="4" t="s">
        <v>1300</v>
      </c>
      <c r="AR185" s="4" t="s">
        <v>1488</v>
      </c>
    </row>
    <row r="186">
      <c r="A186" s="3" t="s">
        <v>1836</v>
      </c>
      <c r="B186" s="3" t="s">
        <v>1837</v>
      </c>
      <c r="C186" s="3" t="s">
        <v>1838</v>
      </c>
      <c r="D186" s="3" t="s">
        <v>1291</v>
      </c>
      <c r="E186" s="4" t="s">
        <v>1839</v>
      </c>
      <c r="F186" s="3" t="s">
        <v>1747</v>
      </c>
      <c r="G186" s="4" t="s">
        <v>1840</v>
      </c>
      <c r="H186" s="4" t="s">
        <v>1841</v>
      </c>
      <c r="I186" s="3" t="s">
        <v>85</v>
      </c>
      <c r="J186" s="3" t="s">
        <v>126</v>
      </c>
      <c r="K186" s="3" t="s">
        <v>45</v>
      </c>
      <c r="L186" s="3" t="s">
        <v>1842</v>
      </c>
      <c r="M186" s="3" t="s">
        <v>45</v>
      </c>
      <c r="N186" s="4" t="s">
        <v>1843</v>
      </c>
      <c r="O186" s="3" t="s">
        <v>390</v>
      </c>
      <c r="P186" s="3" t="s">
        <v>45</v>
      </c>
      <c r="Q186" s="3" t="s">
        <v>45</v>
      </c>
      <c r="R186" s="3" t="s">
        <v>45</v>
      </c>
      <c r="S186" s="3" t="s">
        <v>45</v>
      </c>
      <c r="T186" s="3" t="s">
        <v>45</v>
      </c>
      <c r="U186" s="3" t="s">
        <v>45</v>
      </c>
      <c r="V186" s="4" t="s">
        <v>1844</v>
      </c>
      <c r="W186" s="3" t="s">
        <v>45</v>
      </c>
      <c r="X186" s="3" t="s">
        <v>45</v>
      </c>
      <c r="Y186" s="3" t="s">
        <v>45</v>
      </c>
      <c r="Z186" s="3" t="s">
        <v>74</v>
      </c>
      <c r="AA186" s="3" t="s">
        <v>45</v>
      </c>
      <c r="AB186" s="3" t="s">
        <v>45</v>
      </c>
      <c r="AC186" s="3" t="s">
        <v>45</v>
      </c>
      <c r="AD186" s="3" t="s">
        <v>45</v>
      </c>
      <c r="AE186" s="3" t="s">
        <v>45</v>
      </c>
      <c r="AF186" s="3" t="s">
        <v>45</v>
      </c>
      <c r="AG186" s="3" t="s">
        <v>45</v>
      </c>
      <c r="AH186" s="3" t="s">
        <v>1298</v>
      </c>
      <c r="AI186" s="3" t="s">
        <v>45</v>
      </c>
      <c r="AJ186" s="3" t="s">
        <v>45</v>
      </c>
      <c r="AK186" s="3" t="s">
        <v>45</v>
      </c>
      <c r="AL186" s="3" t="s">
        <v>45</v>
      </c>
      <c r="AM186" s="3" t="s">
        <v>45</v>
      </c>
      <c r="AN186" s="3" t="s">
        <v>45</v>
      </c>
      <c r="AO186" s="3" t="s">
        <v>45</v>
      </c>
      <c r="AP186" s="3" t="s">
        <v>45</v>
      </c>
      <c r="AQ186" s="4" t="s">
        <v>1300</v>
      </c>
      <c r="AR186" s="4" t="s">
        <v>1300</v>
      </c>
    </row>
    <row r="187">
      <c r="A187" s="3" t="s">
        <v>1845</v>
      </c>
      <c r="B187" s="3" t="s">
        <v>1846</v>
      </c>
      <c r="C187" s="3" t="s">
        <v>1847</v>
      </c>
      <c r="D187" s="3" t="s">
        <v>1291</v>
      </c>
      <c r="E187" s="4" t="s">
        <v>1848</v>
      </c>
      <c r="F187" s="3" t="s">
        <v>1849</v>
      </c>
      <c r="G187" s="4" t="s">
        <v>1850</v>
      </c>
      <c r="H187" s="4" t="s">
        <v>1851</v>
      </c>
      <c r="I187" s="3" t="s">
        <v>218</v>
      </c>
      <c r="J187" s="3" t="s">
        <v>126</v>
      </c>
      <c r="K187" s="3" t="s">
        <v>45</v>
      </c>
      <c r="L187" s="3" t="s">
        <v>1852</v>
      </c>
      <c r="M187" s="3" t="s">
        <v>45</v>
      </c>
      <c r="N187" s="4" t="s">
        <v>1853</v>
      </c>
      <c r="O187" s="3" t="s">
        <v>88</v>
      </c>
      <c r="P187" s="3" t="s">
        <v>45</v>
      </c>
      <c r="Q187" s="3" t="s">
        <v>45</v>
      </c>
      <c r="R187" s="3" t="s">
        <v>45</v>
      </c>
      <c r="S187" s="3" t="s">
        <v>45</v>
      </c>
      <c r="T187" s="3" t="s">
        <v>45</v>
      </c>
      <c r="U187" s="3" t="s">
        <v>45</v>
      </c>
      <c r="V187" s="4" t="s">
        <v>1854</v>
      </c>
      <c r="W187" s="4" t="s">
        <v>1855</v>
      </c>
      <c r="X187" s="3" t="s">
        <v>45</v>
      </c>
      <c r="Y187" s="3" t="s">
        <v>45</v>
      </c>
      <c r="Z187" s="3" t="s">
        <v>74</v>
      </c>
      <c r="AA187" s="3" t="s">
        <v>45</v>
      </c>
      <c r="AB187" s="3" t="s">
        <v>45</v>
      </c>
      <c r="AC187" s="3" t="s">
        <v>45</v>
      </c>
      <c r="AD187" s="3" t="s">
        <v>45</v>
      </c>
      <c r="AE187" s="3" t="s">
        <v>45</v>
      </c>
      <c r="AF187" s="3" t="s">
        <v>45</v>
      </c>
      <c r="AG187" s="3" t="s">
        <v>45</v>
      </c>
      <c r="AH187" s="3" t="s">
        <v>57</v>
      </c>
      <c r="AI187" s="5" t="s">
        <v>1856</v>
      </c>
      <c r="AJ187" s="5" t="s">
        <v>1857</v>
      </c>
      <c r="AK187" s="3" t="s">
        <v>45</v>
      </c>
      <c r="AL187" s="3" t="s">
        <v>45</v>
      </c>
      <c r="AM187" s="3" t="s">
        <v>45</v>
      </c>
      <c r="AN187" s="3" t="s">
        <v>45</v>
      </c>
      <c r="AO187" s="3" t="s">
        <v>45</v>
      </c>
      <c r="AP187" s="3" t="s">
        <v>45</v>
      </c>
      <c r="AQ187" s="4" t="s">
        <v>1300</v>
      </c>
      <c r="AR187" s="4" t="s">
        <v>1300</v>
      </c>
    </row>
    <row r="188">
      <c r="A188" s="3" t="s">
        <v>1858</v>
      </c>
      <c r="B188" s="3" t="s">
        <v>1859</v>
      </c>
      <c r="C188" s="3" t="s">
        <v>1847</v>
      </c>
      <c r="D188" s="3" t="s">
        <v>1291</v>
      </c>
      <c r="E188" s="4" t="s">
        <v>1848</v>
      </c>
      <c r="F188" s="3" t="s">
        <v>1849</v>
      </c>
      <c r="G188" s="4" t="s">
        <v>1860</v>
      </c>
      <c r="H188" s="4" t="s">
        <v>1861</v>
      </c>
      <c r="I188" s="3" t="s">
        <v>49</v>
      </c>
      <c r="J188" s="3" t="s">
        <v>126</v>
      </c>
      <c r="K188" s="3" t="s">
        <v>45</v>
      </c>
      <c r="L188" s="3" t="s">
        <v>1862</v>
      </c>
      <c r="M188" s="3" t="s">
        <v>45</v>
      </c>
      <c r="N188" s="4" t="s">
        <v>1802</v>
      </c>
      <c r="O188" s="3" t="s">
        <v>88</v>
      </c>
      <c r="P188" s="3" t="s">
        <v>45</v>
      </c>
      <c r="Q188" s="3" t="s">
        <v>45</v>
      </c>
      <c r="R188" s="3" t="s">
        <v>45</v>
      </c>
      <c r="S188" s="3" t="s">
        <v>45</v>
      </c>
      <c r="T188" s="3" t="s">
        <v>45</v>
      </c>
      <c r="U188" s="3" t="s">
        <v>45</v>
      </c>
      <c r="V188" s="4" t="s">
        <v>1863</v>
      </c>
      <c r="W188" s="3" t="s">
        <v>45</v>
      </c>
      <c r="X188" s="3" t="s">
        <v>45</v>
      </c>
      <c r="Y188" s="3" t="s">
        <v>45</v>
      </c>
      <c r="Z188" s="3" t="s">
        <v>74</v>
      </c>
      <c r="AA188" s="3" t="s">
        <v>45</v>
      </c>
      <c r="AB188" s="3" t="s">
        <v>45</v>
      </c>
      <c r="AC188" s="3" t="s">
        <v>45</v>
      </c>
      <c r="AD188" s="3" t="s">
        <v>45</v>
      </c>
      <c r="AE188" s="3" t="s">
        <v>45</v>
      </c>
      <c r="AF188" s="3" t="s">
        <v>45</v>
      </c>
      <c r="AG188" s="3" t="s">
        <v>45</v>
      </c>
      <c r="AH188" s="3" t="s">
        <v>1298</v>
      </c>
      <c r="AI188" s="5" t="s">
        <v>1864</v>
      </c>
      <c r="AJ188" s="3" t="s">
        <v>45</v>
      </c>
      <c r="AK188" s="3" t="s">
        <v>45</v>
      </c>
      <c r="AL188" s="3" t="s">
        <v>45</v>
      </c>
      <c r="AM188" s="3" t="s">
        <v>45</v>
      </c>
      <c r="AN188" s="3" t="s">
        <v>45</v>
      </c>
      <c r="AO188" s="3" t="s">
        <v>45</v>
      </c>
      <c r="AP188" s="3" t="s">
        <v>45</v>
      </c>
      <c r="AQ188" s="4" t="s">
        <v>1300</v>
      </c>
      <c r="AR188" s="4" t="s">
        <v>1300</v>
      </c>
    </row>
    <row r="189">
      <c r="A189" s="3" t="s">
        <v>1865</v>
      </c>
      <c r="B189" s="3" t="s">
        <v>1866</v>
      </c>
      <c r="C189" s="3" t="s">
        <v>1867</v>
      </c>
      <c r="D189" s="3" t="s">
        <v>1291</v>
      </c>
      <c r="E189" s="3" t="s">
        <v>45</v>
      </c>
      <c r="F189" s="3" t="s">
        <v>1868</v>
      </c>
      <c r="G189" s="4" t="s">
        <v>1869</v>
      </c>
      <c r="H189" s="4" t="s">
        <v>1870</v>
      </c>
      <c r="I189" s="3" t="s">
        <v>49</v>
      </c>
      <c r="J189" s="3" t="s">
        <v>126</v>
      </c>
      <c r="K189" s="3" t="s">
        <v>45</v>
      </c>
      <c r="L189" s="3" t="s">
        <v>1871</v>
      </c>
      <c r="M189" s="3" t="s">
        <v>45</v>
      </c>
      <c r="N189" s="3" t="s">
        <v>45</v>
      </c>
      <c r="O189" s="3" t="s">
        <v>74</v>
      </c>
      <c r="P189" s="3" t="s">
        <v>45</v>
      </c>
      <c r="Q189" s="3" t="s">
        <v>45</v>
      </c>
      <c r="R189" s="3" t="s">
        <v>45</v>
      </c>
      <c r="S189" s="4" t="s">
        <v>1872</v>
      </c>
      <c r="T189" s="3" t="s">
        <v>45</v>
      </c>
      <c r="U189" s="3" t="s">
        <v>45</v>
      </c>
      <c r="V189" s="4" t="s">
        <v>1823</v>
      </c>
      <c r="W189" s="3" t="s">
        <v>45</v>
      </c>
      <c r="X189" s="3" t="s">
        <v>192</v>
      </c>
      <c r="Y189" s="3" t="s">
        <v>45</v>
      </c>
      <c r="Z189" s="3" t="s">
        <v>74</v>
      </c>
      <c r="AA189" s="3" t="s">
        <v>45</v>
      </c>
      <c r="AB189" s="3" t="s">
        <v>45</v>
      </c>
      <c r="AC189" s="3" t="s">
        <v>45</v>
      </c>
      <c r="AD189" s="3" t="s">
        <v>45</v>
      </c>
      <c r="AE189" s="3" t="s">
        <v>45</v>
      </c>
      <c r="AF189" s="3" t="s">
        <v>45</v>
      </c>
      <c r="AG189" s="3" t="s">
        <v>1873</v>
      </c>
      <c r="AH189" s="3" t="s">
        <v>57</v>
      </c>
      <c r="AI189" s="5" t="s">
        <v>1874</v>
      </c>
      <c r="AJ189" s="3" t="s">
        <v>45</v>
      </c>
      <c r="AK189" s="3" t="s">
        <v>45</v>
      </c>
      <c r="AL189" s="3" t="s">
        <v>45</v>
      </c>
      <c r="AM189" s="3" t="s">
        <v>45</v>
      </c>
      <c r="AN189" s="3" t="s">
        <v>45</v>
      </c>
      <c r="AO189" s="3" t="s">
        <v>45</v>
      </c>
      <c r="AP189" s="3" t="s">
        <v>45</v>
      </c>
      <c r="AQ189" s="4" t="s">
        <v>168</v>
      </c>
      <c r="AR189" s="4" t="s">
        <v>168</v>
      </c>
    </row>
    <row r="190">
      <c r="A190" s="3" t="s">
        <v>1875</v>
      </c>
      <c r="B190" s="3" t="s">
        <v>1876</v>
      </c>
      <c r="C190" s="3" t="s">
        <v>1877</v>
      </c>
      <c r="D190" s="3" t="s">
        <v>1291</v>
      </c>
      <c r="E190" s="4" t="s">
        <v>1878</v>
      </c>
      <c r="F190" s="3" t="s">
        <v>1879</v>
      </c>
      <c r="G190" s="4" t="s">
        <v>1880</v>
      </c>
      <c r="H190" s="4" t="s">
        <v>1881</v>
      </c>
      <c r="I190" s="3" t="s">
        <v>218</v>
      </c>
      <c r="J190" s="3" t="s">
        <v>50</v>
      </c>
      <c r="K190" s="3" t="s">
        <v>1882</v>
      </c>
      <c r="L190" s="3" t="s">
        <v>479</v>
      </c>
      <c r="M190" s="3" t="s">
        <v>45</v>
      </c>
      <c r="N190" s="3" t="s">
        <v>45</v>
      </c>
      <c r="O190" s="3" t="s">
        <v>88</v>
      </c>
      <c r="P190" s="3" t="s">
        <v>45</v>
      </c>
      <c r="Q190" s="3" t="s">
        <v>45</v>
      </c>
      <c r="R190" s="3" t="s">
        <v>45</v>
      </c>
      <c r="S190" s="3" t="s">
        <v>45</v>
      </c>
      <c r="T190" s="3" t="s">
        <v>45</v>
      </c>
      <c r="U190" s="3" t="s">
        <v>45</v>
      </c>
      <c r="V190" s="3" t="s">
        <v>45</v>
      </c>
      <c r="W190" s="3" t="s">
        <v>45</v>
      </c>
      <c r="X190" s="3" t="s">
        <v>1883</v>
      </c>
      <c r="Y190" s="3" t="s">
        <v>45</v>
      </c>
      <c r="Z190" s="3" t="s">
        <v>74</v>
      </c>
      <c r="AA190" s="3" t="s">
        <v>45</v>
      </c>
      <c r="AB190" s="3" t="s">
        <v>45</v>
      </c>
      <c r="AC190" s="3" t="s">
        <v>45</v>
      </c>
      <c r="AD190" s="3" t="s">
        <v>45</v>
      </c>
      <c r="AE190" s="3" t="s">
        <v>45</v>
      </c>
      <c r="AF190" s="3" t="s">
        <v>45</v>
      </c>
      <c r="AG190" s="3" t="s">
        <v>45</v>
      </c>
      <c r="AH190" s="3" t="s">
        <v>57</v>
      </c>
      <c r="AI190" s="5" t="s">
        <v>1884</v>
      </c>
      <c r="AJ190" s="5" t="s">
        <v>1885</v>
      </c>
      <c r="AK190" s="5" t="s">
        <v>1886</v>
      </c>
      <c r="AL190" s="3" t="s">
        <v>45</v>
      </c>
      <c r="AM190" s="3" t="s">
        <v>45</v>
      </c>
      <c r="AN190" s="3" t="s">
        <v>45</v>
      </c>
      <c r="AO190" s="3" t="s">
        <v>45</v>
      </c>
      <c r="AP190" s="3" t="s">
        <v>45</v>
      </c>
      <c r="AQ190" s="4" t="s">
        <v>1386</v>
      </c>
      <c r="AR190" s="4" t="s">
        <v>296</v>
      </c>
    </row>
    <row r="191">
      <c r="A191" s="3" t="s">
        <v>1887</v>
      </c>
      <c r="B191" s="3" t="s">
        <v>1888</v>
      </c>
      <c r="C191" s="3" t="s">
        <v>1877</v>
      </c>
      <c r="D191" s="3" t="s">
        <v>1291</v>
      </c>
      <c r="E191" s="4" t="s">
        <v>1878</v>
      </c>
      <c r="F191" s="3" t="s">
        <v>1879</v>
      </c>
      <c r="G191" s="4" t="s">
        <v>1889</v>
      </c>
      <c r="H191" s="4" t="s">
        <v>1890</v>
      </c>
      <c r="I191" s="3" t="s">
        <v>49</v>
      </c>
      <c r="J191" s="3" t="s">
        <v>126</v>
      </c>
      <c r="K191" s="3" t="s">
        <v>45</v>
      </c>
      <c r="L191" s="3" t="s">
        <v>1891</v>
      </c>
      <c r="M191" s="3" t="s">
        <v>45</v>
      </c>
      <c r="N191" s="4" t="s">
        <v>178</v>
      </c>
      <c r="O191" s="3" t="s">
        <v>88</v>
      </c>
      <c r="P191" s="3" t="s">
        <v>45</v>
      </c>
      <c r="Q191" s="3" t="s">
        <v>45</v>
      </c>
      <c r="R191" s="3" t="s">
        <v>45</v>
      </c>
      <c r="S191" s="3" t="s">
        <v>45</v>
      </c>
      <c r="T191" s="3" t="s">
        <v>45</v>
      </c>
      <c r="U191" s="3" t="s">
        <v>45</v>
      </c>
      <c r="V191" s="4" t="s">
        <v>1892</v>
      </c>
      <c r="W191" s="4" t="s">
        <v>1893</v>
      </c>
      <c r="X191" s="3" t="s">
        <v>1894</v>
      </c>
      <c r="Y191" s="4" t="s">
        <v>317</v>
      </c>
      <c r="Z191" s="3" t="s">
        <v>74</v>
      </c>
      <c r="AA191" s="3" t="s">
        <v>45</v>
      </c>
      <c r="AB191" s="3" t="s">
        <v>45</v>
      </c>
      <c r="AC191" s="3" t="s">
        <v>45</v>
      </c>
      <c r="AD191" s="3" t="s">
        <v>45</v>
      </c>
      <c r="AE191" s="3" t="s">
        <v>45</v>
      </c>
      <c r="AF191" s="3" t="s">
        <v>45</v>
      </c>
      <c r="AG191" s="3" t="s">
        <v>45</v>
      </c>
      <c r="AH191" s="3" t="s">
        <v>1298</v>
      </c>
      <c r="AI191" s="5" t="s">
        <v>1895</v>
      </c>
      <c r="AJ191" s="5" t="s">
        <v>1896</v>
      </c>
      <c r="AK191" s="5" t="s">
        <v>1884</v>
      </c>
      <c r="AL191" s="3" t="s">
        <v>45</v>
      </c>
      <c r="AM191" s="3" t="s">
        <v>45</v>
      </c>
      <c r="AN191" s="3" t="s">
        <v>45</v>
      </c>
      <c r="AO191" s="3" t="s">
        <v>45</v>
      </c>
      <c r="AP191" s="3" t="s">
        <v>45</v>
      </c>
      <c r="AQ191" s="4" t="s">
        <v>1300</v>
      </c>
      <c r="AR191" s="4" t="s">
        <v>1386</v>
      </c>
    </row>
    <row r="192">
      <c r="A192" s="3" t="s">
        <v>1897</v>
      </c>
      <c r="B192" s="3" t="s">
        <v>1898</v>
      </c>
      <c r="C192" s="3" t="s">
        <v>1877</v>
      </c>
      <c r="D192" s="3" t="s">
        <v>1291</v>
      </c>
      <c r="E192" s="4" t="s">
        <v>1878</v>
      </c>
      <c r="F192" s="3" t="s">
        <v>1879</v>
      </c>
      <c r="G192" s="4" t="s">
        <v>1899</v>
      </c>
      <c r="H192" s="4" t="s">
        <v>1900</v>
      </c>
      <c r="I192" s="3" t="s">
        <v>85</v>
      </c>
      <c r="J192" s="3" t="s">
        <v>126</v>
      </c>
      <c r="K192" s="3" t="s">
        <v>45</v>
      </c>
      <c r="L192" s="3" t="s">
        <v>1901</v>
      </c>
      <c r="M192" s="3" t="s">
        <v>45</v>
      </c>
      <c r="N192" s="4" t="s">
        <v>1072</v>
      </c>
      <c r="O192" s="3" t="s">
        <v>722</v>
      </c>
      <c r="P192" s="3" t="s">
        <v>45</v>
      </c>
      <c r="Q192" s="3" t="s">
        <v>45</v>
      </c>
      <c r="R192" s="3" t="s">
        <v>45</v>
      </c>
      <c r="S192" s="3" t="s">
        <v>45</v>
      </c>
      <c r="T192" s="3" t="s">
        <v>45</v>
      </c>
      <c r="U192" s="3" t="s">
        <v>45</v>
      </c>
      <c r="V192" s="4" t="s">
        <v>1902</v>
      </c>
      <c r="W192" s="3" t="s">
        <v>45</v>
      </c>
      <c r="X192" s="3" t="s">
        <v>45</v>
      </c>
      <c r="Y192" s="3" t="s">
        <v>45</v>
      </c>
      <c r="Z192" s="3" t="s">
        <v>74</v>
      </c>
      <c r="AA192" s="3" t="s">
        <v>45</v>
      </c>
      <c r="AB192" s="3" t="s">
        <v>45</v>
      </c>
      <c r="AC192" s="3" t="s">
        <v>45</v>
      </c>
      <c r="AD192" s="3" t="s">
        <v>45</v>
      </c>
      <c r="AE192" s="3" t="s">
        <v>45</v>
      </c>
      <c r="AF192" s="3" t="s">
        <v>45</v>
      </c>
      <c r="AG192" s="3" t="s">
        <v>1903</v>
      </c>
      <c r="AH192" s="3" t="s">
        <v>1298</v>
      </c>
      <c r="AI192" s="5" t="s">
        <v>1904</v>
      </c>
      <c r="AJ192" s="5" t="s">
        <v>1905</v>
      </c>
      <c r="AK192" s="3" t="s">
        <v>45</v>
      </c>
      <c r="AL192" s="3" t="s">
        <v>45</v>
      </c>
      <c r="AM192" s="3" t="s">
        <v>45</v>
      </c>
      <c r="AN192" s="3" t="s">
        <v>45</v>
      </c>
      <c r="AO192" s="3" t="s">
        <v>45</v>
      </c>
      <c r="AP192" s="3" t="s">
        <v>45</v>
      </c>
      <c r="AQ192" s="4" t="s">
        <v>1300</v>
      </c>
      <c r="AR192" s="4" t="s">
        <v>1906</v>
      </c>
    </row>
    <row r="193">
      <c r="A193" s="3" t="s">
        <v>1907</v>
      </c>
      <c r="B193" s="3" t="s">
        <v>1908</v>
      </c>
      <c r="C193" s="3" t="s">
        <v>1909</v>
      </c>
      <c r="D193" s="3" t="s">
        <v>1291</v>
      </c>
      <c r="E193" s="3" t="s">
        <v>45</v>
      </c>
      <c r="F193" s="3" t="s">
        <v>1910</v>
      </c>
      <c r="G193" s="4" t="s">
        <v>1911</v>
      </c>
      <c r="H193" s="4" t="s">
        <v>1912</v>
      </c>
      <c r="I193" s="3" t="s">
        <v>49</v>
      </c>
      <c r="J193" s="3" t="s">
        <v>126</v>
      </c>
      <c r="K193" s="3" t="s">
        <v>45</v>
      </c>
      <c r="L193" s="3" t="s">
        <v>1913</v>
      </c>
      <c r="M193" s="3" t="s">
        <v>45</v>
      </c>
      <c r="N193" s="3" t="s">
        <v>45</v>
      </c>
      <c r="O193" s="3" t="s">
        <v>74</v>
      </c>
      <c r="P193" s="3" t="s">
        <v>45</v>
      </c>
      <c r="Q193" s="3" t="s">
        <v>45</v>
      </c>
      <c r="R193" s="3" t="s">
        <v>45</v>
      </c>
      <c r="S193" s="3" t="s">
        <v>45</v>
      </c>
      <c r="T193" s="3" t="s">
        <v>45</v>
      </c>
      <c r="U193" s="3" t="s">
        <v>45</v>
      </c>
      <c r="V193" s="4" t="s">
        <v>1914</v>
      </c>
      <c r="W193" s="3" t="s">
        <v>45</v>
      </c>
      <c r="X193" s="3" t="s">
        <v>45</v>
      </c>
      <c r="Y193" s="3" t="s">
        <v>45</v>
      </c>
      <c r="Z193" s="3" t="s">
        <v>74</v>
      </c>
      <c r="AA193" s="3" t="s">
        <v>45</v>
      </c>
      <c r="AB193" s="3" t="s">
        <v>45</v>
      </c>
      <c r="AC193" s="3" t="s">
        <v>45</v>
      </c>
      <c r="AD193" s="3" t="s">
        <v>45</v>
      </c>
      <c r="AE193" s="3" t="s">
        <v>45</v>
      </c>
      <c r="AF193" s="3" t="s">
        <v>45</v>
      </c>
      <c r="AG193" s="3" t="s">
        <v>45</v>
      </c>
      <c r="AH193" s="3" t="s">
        <v>1298</v>
      </c>
      <c r="AI193" s="5" t="s">
        <v>1915</v>
      </c>
      <c r="AJ193" s="3" t="s">
        <v>45</v>
      </c>
      <c r="AK193" s="3" t="s">
        <v>45</v>
      </c>
      <c r="AL193" s="3" t="s">
        <v>45</v>
      </c>
      <c r="AM193" s="3" t="s">
        <v>45</v>
      </c>
      <c r="AN193" s="3" t="s">
        <v>45</v>
      </c>
      <c r="AO193" s="3" t="s">
        <v>45</v>
      </c>
      <c r="AP193" s="3" t="s">
        <v>45</v>
      </c>
      <c r="AQ193" s="4" t="s">
        <v>1300</v>
      </c>
      <c r="AR193" s="4" t="s">
        <v>1300</v>
      </c>
    </row>
    <row r="194">
      <c r="A194" s="3" t="s">
        <v>1913</v>
      </c>
      <c r="B194" s="3" t="s">
        <v>1916</v>
      </c>
      <c r="C194" s="3" t="s">
        <v>1909</v>
      </c>
      <c r="D194" s="3" t="s">
        <v>1291</v>
      </c>
      <c r="E194" s="4" t="s">
        <v>1917</v>
      </c>
      <c r="F194" s="3" t="s">
        <v>1910</v>
      </c>
      <c r="G194" s="4" t="s">
        <v>1918</v>
      </c>
      <c r="H194" s="4" t="s">
        <v>1919</v>
      </c>
      <c r="I194" s="3" t="s">
        <v>85</v>
      </c>
      <c r="J194" s="3" t="s">
        <v>126</v>
      </c>
      <c r="K194" s="3" t="s">
        <v>1920</v>
      </c>
      <c r="L194" s="3" t="s">
        <v>1913</v>
      </c>
      <c r="M194" s="3" t="s">
        <v>45</v>
      </c>
      <c r="N194" s="4" t="s">
        <v>1921</v>
      </c>
      <c r="O194" s="3" t="s">
        <v>722</v>
      </c>
      <c r="P194" s="3" t="s">
        <v>45</v>
      </c>
      <c r="Q194" s="3" t="s">
        <v>45</v>
      </c>
      <c r="R194" s="3" t="s">
        <v>45</v>
      </c>
      <c r="S194" s="3" t="s">
        <v>45</v>
      </c>
      <c r="T194" s="3" t="s">
        <v>45</v>
      </c>
      <c r="U194" s="3" t="s">
        <v>45</v>
      </c>
      <c r="V194" s="3" t="s">
        <v>45</v>
      </c>
      <c r="W194" s="3" t="s">
        <v>45</v>
      </c>
      <c r="X194" s="3" t="s">
        <v>45</v>
      </c>
      <c r="Y194" s="3" t="s">
        <v>45</v>
      </c>
      <c r="Z194" s="3" t="s">
        <v>55</v>
      </c>
      <c r="AA194" s="3" t="s">
        <v>45</v>
      </c>
      <c r="AB194" s="3" t="s">
        <v>56</v>
      </c>
      <c r="AC194" s="3" t="s">
        <v>45</v>
      </c>
      <c r="AD194" s="5" t="s">
        <v>1922</v>
      </c>
      <c r="AE194" s="3" t="s">
        <v>45</v>
      </c>
      <c r="AF194" s="3" t="s">
        <v>45</v>
      </c>
      <c r="AG194" s="3" t="s">
        <v>1923</v>
      </c>
      <c r="AH194" s="3" t="s">
        <v>57</v>
      </c>
      <c r="AI194" s="5" t="s">
        <v>1924</v>
      </c>
      <c r="AJ194" s="3" t="s">
        <v>45</v>
      </c>
      <c r="AK194" s="3" t="s">
        <v>45</v>
      </c>
      <c r="AL194" s="3" t="s">
        <v>45</v>
      </c>
      <c r="AM194" s="3" t="s">
        <v>45</v>
      </c>
      <c r="AN194" s="3" t="s">
        <v>45</v>
      </c>
      <c r="AO194" s="3" t="s">
        <v>45</v>
      </c>
      <c r="AP194" s="3" t="s">
        <v>45</v>
      </c>
      <c r="AQ194" s="4" t="s">
        <v>1925</v>
      </c>
      <c r="AR194" s="4" t="s">
        <v>198</v>
      </c>
    </row>
    <row r="195">
      <c r="A195" s="3" t="s">
        <v>1909</v>
      </c>
      <c r="B195" s="3" t="s">
        <v>1926</v>
      </c>
      <c r="C195" s="3" t="s">
        <v>1909</v>
      </c>
      <c r="D195" s="3" t="s">
        <v>1291</v>
      </c>
      <c r="E195" s="4" t="s">
        <v>1917</v>
      </c>
      <c r="F195" s="3" t="s">
        <v>1910</v>
      </c>
      <c r="G195" s="4" t="s">
        <v>1927</v>
      </c>
      <c r="H195" s="4" t="s">
        <v>1928</v>
      </c>
      <c r="I195" s="3" t="s">
        <v>85</v>
      </c>
      <c r="J195" s="3" t="s">
        <v>126</v>
      </c>
      <c r="K195" s="3" t="s">
        <v>45</v>
      </c>
      <c r="L195" s="3" t="s">
        <v>1913</v>
      </c>
      <c r="M195" s="3" t="s">
        <v>45</v>
      </c>
      <c r="N195" s="4" t="s">
        <v>1921</v>
      </c>
      <c r="O195" s="3" t="s">
        <v>88</v>
      </c>
      <c r="P195" s="3" t="s">
        <v>45</v>
      </c>
      <c r="Q195" s="3" t="s">
        <v>45</v>
      </c>
      <c r="R195" s="3" t="s">
        <v>45</v>
      </c>
      <c r="S195" s="3" t="s">
        <v>45</v>
      </c>
      <c r="T195" s="3" t="s">
        <v>45</v>
      </c>
      <c r="U195" s="3" t="s">
        <v>45</v>
      </c>
      <c r="V195" s="4" t="s">
        <v>836</v>
      </c>
      <c r="W195" s="3" t="s">
        <v>45</v>
      </c>
      <c r="X195" s="3" t="s">
        <v>45</v>
      </c>
      <c r="Y195" s="3" t="s">
        <v>45</v>
      </c>
      <c r="Z195" s="3" t="s">
        <v>74</v>
      </c>
      <c r="AA195" s="3" t="s">
        <v>45</v>
      </c>
      <c r="AB195" s="3" t="s">
        <v>45</v>
      </c>
      <c r="AC195" s="3" t="s">
        <v>45</v>
      </c>
      <c r="AD195" s="3" t="s">
        <v>45</v>
      </c>
      <c r="AE195" s="3" t="s">
        <v>45</v>
      </c>
      <c r="AF195" s="3" t="s">
        <v>45</v>
      </c>
      <c r="AG195" s="3" t="s">
        <v>45</v>
      </c>
      <c r="AH195" s="3" t="s">
        <v>1298</v>
      </c>
      <c r="AI195" s="5" t="s">
        <v>1929</v>
      </c>
      <c r="AJ195" s="3" t="s">
        <v>45</v>
      </c>
      <c r="AK195" s="3" t="s">
        <v>45</v>
      </c>
      <c r="AL195" s="3" t="s">
        <v>45</v>
      </c>
      <c r="AM195" s="3" t="s">
        <v>45</v>
      </c>
      <c r="AN195" s="3" t="s">
        <v>45</v>
      </c>
      <c r="AO195" s="3" t="s">
        <v>45</v>
      </c>
      <c r="AP195" s="3" t="s">
        <v>45</v>
      </c>
      <c r="AQ195" s="4" t="s">
        <v>1300</v>
      </c>
      <c r="AR195" s="4" t="s">
        <v>1300</v>
      </c>
    </row>
    <row r="196">
      <c r="A196" s="3" t="s">
        <v>1930</v>
      </c>
      <c r="B196" s="3" t="s">
        <v>1931</v>
      </c>
      <c r="C196" s="3" t="s">
        <v>1909</v>
      </c>
      <c r="D196" s="3" t="s">
        <v>1291</v>
      </c>
      <c r="E196" s="4" t="s">
        <v>1917</v>
      </c>
      <c r="F196" s="3" t="s">
        <v>1910</v>
      </c>
      <c r="G196" s="4" t="s">
        <v>1932</v>
      </c>
      <c r="H196" s="4" t="s">
        <v>1933</v>
      </c>
      <c r="I196" s="3" t="s">
        <v>49</v>
      </c>
      <c r="J196" s="3" t="s">
        <v>126</v>
      </c>
      <c r="K196" s="3" t="s">
        <v>45</v>
      </c>
      <c r="L196" s="3" t="s">
        <v>1913</v>
      </c>
      <c r="M196" s="3" t="s">
        <v>45</v>
      </c>
      <c r="N196" s="4" t="s">
        <v>1934</v>
      </c>
      <c r="O196" s="3" t="s">
        <v>88</v>
      </c>
      <c r="P196" s="3" t="s">
        <v>45</v>
      </c>
      <c r="Q196" s="3" t="s">
        <v>45</v>
      </c>
      <c r="R196" s="3" t="s">
        <v>45</v>
      </c>
      <c r="S196" s="3" t="s">
        <v>45</v>
      </c>
      <c r="T196" s="3" t="s">
        <v>45</v>
      </c>
      <c r="U196" s="3" t="s">
        <v>45</v>
      </c>
      <c r="V196" s="4" t="s">
        <v>1935</v>
      </c>
      <c r="W196" s="3" t="s">
        <v>45</v>
      </c>
      <c r="X196" s="3" t="s">
        <v>45</v>
      </c>
      <c r="Y196" s="3" t="s">
        <v>45</v>
      </c>
      <c r="Z196" s="3" t="s">
        <v>74</v>
      </c>
      <c r="AA196" s="3" t="s">
        <v>45</v>
      </c>
      <c r="AB196" s="3" t="s">
        <v>45</v>
      </c>
      <c r="AC196" s="3" t="s">
        <v>45</v>
      </c>
      <c r="AD196" s="3" t="s">
        <v>45</v>
      </c>
      <c r="AE196" s="3" t="s">
        <v>45</v>
      </c>
      <c r="AF196" s="3" t="s">
        <v>45</v>
      </c>
      <c r="AG196" s="3" t="s">
        <v>45</v>
      </c>
      <c r="AH196" s="3" t="s">
        <v>1298</v>
      </c>
      <c r="AI196" s="5" t="s">
        <v>1936</v>
      </c>
      <c r="AJ196" s="3" t="s">
        <v>45</v>
      </c>
      <c r="AK196" s="3" t="s">
        <v>45</v>
      </c>
      <c r="AL196" s="3" t="s">
        <v>45</v>
      </c>
      <c r="AM196" s="3" t="s">
        <v>45</v>
      </c>
      <c r="AN196" s="3" t="s">
        <v>45</v>
      </c>
      <c r="AO196" s="3" t="s">
        <v>45</v>
      </c>
      <c r="AP196" s="3" t="s">
        <v>45</v>
      </c>
      <c r="AQ196" s="4" t="s">
        <v>1300</v>
      </c>
      <c r="AR196" s="4" t="s">
        <v>1300</v>
      </c>
    </row>
    <row r="197">
      <c r="A197" s="3" t="s">
        <v>1937</v>
      </c>
      <c r="B197" s="3" t="s">
        <v>1938</v>
      </c>
      <c r="C197" s="3" t="s">
        <v>1909</v>
      </c>
      <c r="D197" s="3" t="s">
        <v>1291</v>
      </c>
      <c r="E197" s="4" t="s">
        <v>1939</v>
      </c>
      <c r="F197" s="3" t="s">
        <v>1910</v>
      </c>
      <c r="G197" s="4" t="s">
        <v>1940</v>
      </c>
      <c r="H197" s="4" t="s">
        <v>1941</v>
      </c>
      <c r="I197" s="3" t="s">
        <v>85</v>
      </c>
      <c r="J197" s="3" t="s">
        <v>126</v>
      </c>
      <c r="K197" s="3" t="s">
        <v>45</v>
      </c>
      <c r="L197" s="3" t="s">
        <v>45</v>
      </c>
      <c r="M197" s="3" t="s">
        <v>45</v>
      </c>
      <c r="N197" s="3" t="s">
        <v>45</v>
      </c>
      <c r="O197" s="3" t="s">
        <v>53</v>
      </c>
      <c r="P197" s="3" t="s">
        <v>45</v>
      </c>
      <c r="Q197" s="3" t="s">
        <v>45</v>
      </c>
      <c r="R197" s="3" t="s">
        <v>45</v>
      </c>
      <c r="S197" s="3" t="s">
        <v>45</v>
      </c>
      <c r="T197" s="3" t="s">
        <v>45</v>
      </c>
      <c r="U197" s="3" t="s">
        <v>45</v>
      </c>
      <c r="V197" s="4" t="s">
        <v>1942</v>
      </c>
      <c r="W197" s="3" t="s">
        <v>45</v>
      </c>
      <c r="X197" s="3" t="s">
        <v>45</v>
      </c>
      <c r="Y197" s="3" t="s">
        <v>45</v>
      </c>
      <c r="Z197" s="3" t="s">
        <v>74</v>
      </c>
      <c r="AA197" s="3" t="s">
        <v>45</v>
      </c>
      <c r="AB197" s="3" t="s">
        <v>45</v>
      </c>
      <c r="AC197" s="3" t="s">
        <v>45</v>
      </c>
      <c r="AD197" s="3" t="s">
        <v>45</v>
      </c>
      <c r="AE197" s="3" t="s">
        <v>45</v>
      </c>
      <c r="AF197" s="3" t="s">
        <v>45</v>
      </c>
      <c r="AG197" s="3" t="s">
        <v>45</v>
      </c>
      <c r="AH197" s="3" t="s">
        <v>57</v>
      </c>
      <c r="AI197" s="5" t="s">
        <v>294</v>
      </c>
      <c r="AJ197" s="3" t="s">
        <v>45</v>
      </c>
      <c r="AK197" s="3" t="s">
        <v>45</v>
      </c>
      <c r="AL197" s="3" t="s">
        <v>45</v>
      </c>
      <c r="AM197" s="3" t="s">
        <v>45</v>
      </c>
      <c r="AN197" s="3" t="s">
        <v>45</v>
      </c>
      <c r="AO197" s="3" t="s">
        <v>45</v>
      </c>
      <c r="AP197" s="3" t="s">
        <v>45</v>
      </c>
      <c r="AQ197" s="4" t="s">
        <v>295</v>
      </c>
      <c r="AR197" s="4" t="s">
        <v>1943</v>
      </c>
    </row>
    <row r="198">
      <c r="A198" s="3" t="s">
        <v>1944</v>
      </c>
      <c r="B198" s="3" t="s">
        <v>1945</v>
      </c>
      <c r="C198" s="3" t="s">
        <v>1946</v>
      </c>
      <c r="D198" s="3" t="s">
        <v>1291</v>
      </c>
      <c r="E198" s="4" t="s">
        <v>1947</v>
      </c>
      <c r="F198" s="3" t="s">
        <v>1948</v>
      </c>
      <c r="G198" s="4" t="s">
        <v>1949</v>
      </c>
      <c r="H198" s="4" t="s">
        <v>1950</v>
      </c>
      <c r="I198" s="3" t="s">
        <v>85</v>
      </c>
      <c r="J198" s="3" t="s">
        <v>126</v>
      </c>
      <c r="K198" s="3" t="s">
        <v>45</v>
      </c>
      <c r="L198" s="3" t="s">
        <v>1033</v>
      </c>
      <c r="M198" s="3" t="s">
        <v>45</v>
      </c>
      <c r="N198" s="4" t="s">
        <v>1951</v>
      </c>
      <c r="O198" s="3" t="s">
        <v>390</v>
      </c>
      <c r="P198" s="3" t="s">
        <v>45</v>
      </c>
      <c r="Q198" s="3" t="s">
        <v>45</v>
      </c>
      <c r="R198" s="3" t="s">
        <v>45</v>
      </c>
      <c r="S198" s="3" t="s">
        <v>45</v>
      </c>
      <c r="T198" s="3" t="s">
        <v>45</v>
      </c>
      <c r="U198" s="3" t="s">
        <v>45</v>
      </c>
      <c r="V198" s="4" t="s">
        <v>1952</v>
      </c>
      <c r="W198" s="3" t="s">
        <v>45</v>
      </c>
      <c r="X198" s="3" t="s">
        <v>45</v>
      </c>
      <c r="Y198" s="3" t="s">
        <v>45</v>
      </c>
      <c r="Z198" s="3" t="s">
        <v>74</v>
      </c>
      <c r="AA198" s="3" t="s">
        <v>45</v>
      </c>
      <c r="AB198" s="3" t="s">
        <v>45</v>
      </c>
      <c r="AC198" s="3" t="s">
        <v>45</v>
      </c>
      <c r="AD198" s="3" t="s">
        <v>45</v>
      </c>
      <c r="AE198" s="3" t="s">
        <v>45</v>
      </c>
      <c r="AF198" s="3" t="s">
        <v>45</v>
      </c>
      <c r="AG198" s="3" t="s">
        <v>45</v>
      </c>
      <c r="AH198" s="3" t="s">
        <v>1298</v>
      </c>
      <c r="AI198" s="3" t="s">
        <v>45</v>
      </c>
      <c r="AJ198" s="3" t="s">
        <v>45</v>
      </c>
      <c r="AK198" s="3" t="s">
        <v>45</v>
      </c>
      <c r="AL198" s="3" t="s">
        <v>45</v>
      </c>
      <c r="AM198" s="3" t="s">
        <v>45</v>
      </c>
      <c r="AN198" s="3" t="s">
        <v>45</v>
      </c>
      <c r="AO198" s="3" t="s">
        <v>45</v>
      </c>
      <c r="AP198" s="3" t="s">
        <v>45</v>
      </c>
      <c r="AQ198" s="4" t="s">
        <v>1300</v>
      </c>
      <c r="AR198" s="4" t="s">
        <v>1300</v>
      </c>
    </row>
    <row r="199">
      <c r="A199" s="3" t="s">
        <v>1953</v>
      </c>
      <c r="B199" s="3" t="s">
        <v>1954</v>
      </c>
      <c r="C199" s="3" t="s">
        <v>1946</v>
      </c>
      <c r="D199" s="3" t="s">
        <v>1291</v>
      </c>
      <c r="E199" s="4" t="s">
        <v>1947</v>
      </c>
      <c r="F199" s="3" t="s">
        <v>1948</v>
      </c>
      <c r="G199" s="4" t="s">
        <v>1955</v>
      </c>
      <c r="H199" s="4" t="s">
        <v>1956</v>
      </c>
      <c r="I199" s="3" t="s">
        <v>85</v>
      </c>
      <c r="J199" s="3" t="s">
        <v>126</v>
      </c>
      <c r="K199" s="3" t="s">
        <v>45</v>
      </c>
      <c r="L199" s="3" t="s">
        <v>1033</v>
      </c>
      <c r="M199" s="3" t="s">
        <v>45</v>
      </c>
      <c r="N199" s="4" t="s">
        <v>471</v>
      </c>
      <c r="O199" s="3" t="s">
        <v>390</v>
      </c>
      <c r="P199" s="3" t="s">
        <v>45</v>
      </c>
      <c r="Q199" s="3" t="s">
        <v>45</v>
      </c>
      <c r="R199" s="3" t="s">
        <v>45</v>
      </c>
      <c r="S199" s="3" t="s">
        <v>45</v>
      </c>
      <c r="T199" s="3" t="s">
        <v>45</v>
      </c>
      <c r="U199" s="3" t="s">
        <v>45</v>
      </c>
      <c r="V199" s="4" t="s">
        <v>1957</v>
      </c>
      <c r="W199" s="3" t="s">
        <v>45</v>
      </c>
      <c r="X199" s="3" t="s">
        <v>45</v>
      </c>
      <c r="Y199" s="3" t="s">
        <v>45</v>
      </c>
      <c r="Z199" s="3" t="s">
        <v>74</v>
      </c>
      <c r="AA199" s="3" t="s">
        <v>45</v>
      </c>
      <c r="AB199" s="3" t="s">
        <v>45</v>
      </c>
      <c r="AC199" s="3" t="s">
        <v>45</v>
      </c>
      <c r="AD199" s="3" t="s">
        <v>45</v>
      </c>
      <c r="AE199" s="3" t="s">
        <v>45</v>
      </c>
      <c r="AF199" s="3" t="s">
        <v>45</v>
      </c>
      <c r="AG199" s="3" t="s">
        <v>45</v>
      </c>
      <c r="AH199" s="3" t="s">
        <v>1298</v>
      </c>
      <c r="AI199" s="3" t="s">
        <v>45</v>
      </c>
      <c r="AJ199" s="3" t="s">
        <v>45</v>
      </c>
      <c r="AK199" s="3" t="s">
        <v>45</v>
      </c>
      <c r="AL199" s="3" t="s">
        <v>45</v>
      </c>
      <c r="AM199" s="3" t="s">
        <v>45</v>
      </c>
      <c r="AN199" s="3" t="s">
        <v>45</v>
      </c>
      <c r="AO199" s="3" t="s">
        <v>45</v>
      </c>
      <c r="AP199" s="3" t="s">
        <v>45</v>
      </c>
      <c r="AQ199" s="4" t="s">
        <v>1300</v>
      </c>
      <c r="AR199" s="4" t="s">
        <v>1300</v>
      </c>
    </row>
    <row r="200">
      <c r="A200" s="3" t="s">
        <v>1958</v>
      </c>
      <c r="B200" s="3" t="s">
        <v>1959</v>
      </c>
      <c r="C200" s="3" t="s">
        <v>1946</v>
      </c>
      <c r="D200" s="3" t="s">
        <v>1291</v>
      </c>
      <c r="E200" s="4" t="s">
        <v>1947</v>
      </c>
      <c r="F200" s="3" t="s">
        <v>1948</v>
      </c>
      <c r="G200" s="4" t="s">
        <v>1960</v>
      </c>
      <c r="H200" s="4" t="s">
        <v>1961</v>
      </c>
      <c r="I200" s="3" t="s">
        <v>85</v>
      </c>
      <c r="J200" s="3" t="s">
        <v>126</v>
      </c>
      <c r="K200" s="3" t="s">
        <v>45</v>
      </c>
      <c r="L200" s="3" t="s">
        <v>409</v>
      </c>
      <c r="M200" s="3" t="s">
        <v>45</v>
      </c>
      <c r="N200" s="4" t="s">
        <v>1962</v>
      </c>
      <c r="O200" s="3" t="s">
        <v>88</v>
      </c>
      <c r="P200" s="3" t="s">
        <v>45</v>
      </c>
      <c r="Q200" s="3" t="s">
        <v>45</v>
      </c>
      <c r="R200" s="3" t="s">
        <v>45</v>
      </c>
      <c r="S200" s="3" t="s">
        <v>45</v>
      </c>
      <c r="T200" s="3" t="s">
        <v>45</v>
      </c>
      <c r="U200" s="3" t="s">
        <v>45</v>
      </c>
      <c r="V200" s="4" t="s">
        <v>106</v>
      </c>
      <c r="W200" s="3" t="s">
        <v>45</v>
      </c>
      <c r="X200" s="3" t="s">
        <v>45</v>
      </c>
      <c r="Y200" s="3" t="s">
        <v>45</v>
      </c>
      <c r="Z200" s="3" t="s">
        <v>74</v>
      </c>
      <c r="AA200" s="3" t="s">
        <v>45</v>
      </c>
      <c r="AB200" s="3" t="s">
        <v>45</v>
      </c>
      <c r="AC200" s="3" t="s">
        <v>45</v>
      </c>
      <c r="AD200" s="3" t="s">
        <v>45</v>
      </c>
      <c r="AE200" s="3" t="s">
        <v>45</v>
      </c>
      <c r="AF200" s="3" t="s">
        <v>45</v>
      </c>
      <c r="AG200" s="3" t="s">
        <v>45</v>
      </c>
      <c r="AH200" s="3" t="s">
        <v>1298</v>
      </c>
      <c r="AI200" s="5" t="s">
        <v>1963</v>
      </c>
      <c r="AJ200" s="3" t="s">
        <v>45</v>
      </c>
      <c r="AK200" s="3" t="s">
        <v>45</v>
      </c>
      <c r="AL200" s="3" t="s">
        <v>45</v>
      </c>
      <c r="AM200" s="3" t="s">
        <v>45</v>
      </c>
      <c r="AN200" s="3" t="s">
        <v>45</v>
      </c>
      <c r="AO200" s="3" t="s">
        <v>45</v>
      </c>
      <c r="AP200" s="3" t="s">
        <v>45</v>
      </c>
      <c r="AQ200" s="4" t="s">
        <v>1300</v>
      </c>
      <c r="AR200" s="4" t="s">
        <v>1300</v>
      </c>
    </row>
    <row r="201">
      <c r="A201" s="3" t="s">
        <v>422</v>
      </c>
      <c r="B201" s="3" t="s">
        <v>1964</v>
      </c>
      <c r="C201" s="3" t="s">
        <v>1946</v>
      </c>
      <c r="D201" s="3" t="s">
        <v>1291</v>
      </c>
      <c r="E201" s="4" t="s">
        <v>1965</v>
      </c>
      <c r="F201" s="3" t="s">
        <v>1948</v>
      </c>
      <c r="G201" s="4" t="s">
        <v>1966</v>
      </c>
      <c r="H201" s="4" t="s">
        <v>1967</v>
      </c>
      <c r="I201" s="3" t="s">
        <v>49</v>
      </c>
      <c r="J201" s="3" t="s">
        <v>50</v>
      </c>
      <c r="K201" s="3" t="s">
        <v>45</v>
      </c>
      <c r="L201" s="3" t="s">
        <v>45</v>
      </c>
      <c r="M201" s="3" t="s">
        <v>45</v>
      </c>
      <c r="N201" s="3" t="s">
        <v>45</v>
      </c>
      <c r="O201" s="3" t="s">
        <v>74</v>
      </c>
      <c r="P201" s="3" t="s">
        <v>45</v>
      </c>
      <c r="Q201" s="3" t="s">
        <v>45</v>
      </c>
      <c r="R201" s="3" t="s">
        <v>45</v>
      </c>
      <c r="S201" s="3" t="s">
        <v>45</v>
      </c>
      <c r="T201" s="3" t="s">
        <v>45</v>
      </c>
      <c r="U201" s="3" t="s">
        <v>45</v>
      </c>
      <c r="V201" s="4" t="s">
        <v>1968</v>
      </c>
      <c r="W201" s="3" t="s">
        <v>45</v>
      </c>
      <c r="X201" s="3" t="s">
        <v>45</v>
      </c>
      <c r="Y201" s="3" t="s">
        <v>45</v>
      </c>
      <c r="Z201" s="3" t="s">
        <v>74</v>
      </c>
      <c r="AA201" s="3" t="s">
        <v>45</v>
      </c>
      <c r="AB201" s="3" t="s">
        <v>45</v>
      </c>
      <c r="AC201" s="3" t="s">
        <v>45</v>
      </c>
      <c r="AD201" s="3" t="s">
        <v>45</v>
      </c>
      <c r="AE201" s="3" t="s">
        <v>45</v>
      </c>
      <c r="AF201" s="3" t="s">
        <v>45</v>
      </c>
      <c r="AG201" s="3" t="s">
        <v>45</v>
      </c>
      <c r="AH201" s="3" t="s">
        <v>57</v>
      </c>
      <c r="AI201" s="5" t="s">
        <v>1969</v>
      </c>
      <c r="AJ201" s="3" t="s">
        <v>45</v>
      </c>
      <c r="AK201" s="3" t="s">
        <v>45</v>
      </c>
      <c r="AL201" s="3" t="s">
        <v>45</v>
      </c>
      <c r="AM201" s="3" t="s">
        <v>45</v>
      </c>
      <c r="AN201" s="3" t="s">
        <v>45</v>
      </c>
      <c r="AO201" s="3" t="s">
        <v>45</v>
      </c>
      <c r="AP201" s="3" t="s">
        <v>45</v>
      </c>
      <c r="AQ201" s="4" t="s">
        <v>1654</v>
      </c>
      <c r="AR201" s="4" t="s">
        <v>1654</v>
      </c>
    </row>
    <row r="202">
      <c r="A202" s="3" t="s">
        <v>1970</v>
      </c>
      <c r="B202" s="3" t="s">
        <v>1971</v>
      </c>
      <c r="C202" s="3" t="s">
        <v>1972</v>
      </c>
      <c r="D202" s="3" t="s">
        <v>1291</v>
      </c>
      <c r="E202" s="4" t="s">
        <v>1973</v>
      </c>
      <c r="F202" s="3" t="s">
        <v>1974</v>
      </c>
      <c r="G202" s="4" t="s">
        <v>1975</v>
      </c>
      <c r="H202" s="4" t="s">
        <v>1976</v>
      </c>
      <c r="I202" s="3" t="s">
        <v>49</v>
      </c>
      <c r="J202" s="3" t="s">
        <v>126</v>
      </c>
      <c r="K202" s="3" t="s">
        <v>743</v>
      </c>
      <c r="L202" s="3" t="s">
        <v>1295</v>
      </c>
      <c r="M202" s="3" t="s">
        <v>45</v>
      </c>
      <c r="N202" s="4" t="s">
        <v>1296</v>
      </c>
      <c r="O202" s="3" t="s">
        <v>88</v>
      </c>
      <c r="P202" s="3" t="s">
        <v>45</v>
      </c>
      <c r="Q202" s="3" t="s">
        <v>45</v>
      </c>
      <c r="R202" s="3" t="s">
        <v>45</v>
      </c>
      <c r="S202" s="4" t="s">
        <v>922</v>
      </c>
      <c r="T202" s="3" t="s">
        <v>105</v>
      </c>
      <c r="U202" s="3" t="s">
        <v>45</v>
      </c>
      <c r="V202" s="3" t="s">
        <v>45</v>
      </c>
      <c r="W202" s="4" t="s">
        <v>156</v>
      </c>
      <c r="X202" s="3" t="s">
        <v>1977</v>
      </c>
      <c r="Y202" s="3" t="s">
        <v>45</v>
      </c>
      <c r="Z202" s="3" t="s">
        <v>55</v>
      </c>
      <c r="AA202" s="3" t="s">
        <v>45</v>
      </c>
      <c r="AB202" s="3" t="s">
        <v>45</v>
      </c>
      <c r="AC202" s="3" t="s">
        <v>45</v>
      </c>
      <c r="AD202" s="3" t="s">
        <v>45</v>
      </c>
      <c r="AE202" s="3" t="s">
        <v>45</v>
      </c>
      <c r="AF202" s="3" t="s">
        <v>45</v>
      </c>
      <c r="AG202" s="3" t="s">
        <v>1978</v>
      </c>
      <c r="AH202" s="3" t="s">
        <v>57</v>
      </c>
      <c r="AI202" s="5" t="s">
        <v>1979</v>
      </c>
      <c r="AJ202" s="5" t="s">
        <v>1980</v>
      </c>
      <c r="AK202" s="5" t="s">
        <v>1981</v>
      </c>
      <c r="AL202" s="5" t="s">
        <v>1982</v>
      </c>
      <c r="AM202" s="5" t="s">
        <v>1983</v>
      </c>
      <c r="AN202" s="5" t="s">
        <v>1984</v>
      </c>
      <c r="AO202" s="5" t="s">
        <v>1985</v>
      </c>
      <c r="AP202" s="5" t="s">
        <v>1985</v>
      </c>
      <c r="AQ202" s="4" t="s">
        <v>551</v>
      </c>
      <c r="AR202" s="4" t="s">
        <v>1387</v>
      </c>
    </row>
    <row r="203">
      <c r="A203" s="3" t="s">
        <v>1986</v>
      </c>
      <c r="B203" s="3" t="s">
        <v>1987</v>
      </c>
      <c r="C203" s="3" t="s">
        <v>1988</v>
      </c>
      <c r="D203" s="3" t="s">
        <v>1291</v>
      </c>
      <c r="E203" s="4" t="s">
        <v>1571</v>
      </c>
      <c r="F203" s="3" t="s">
        <v>1330</v>
      </c>
      <c r="G203" s="4" t="s">
        <v>1989</v>
      </c>
      <c r="H203" s="4" t="s">
        <v>1990</v>
      </c>
      <c r="I203" s="3" t="s">
        <v>85</v>
      </c>
      <c r="J203" s="3" t="s">
        <v>126</v>
      </c>
      <c r="K203" s="3" t="s">
        <v>45</v>
      </c>
      <c r="L203" s="3" t="s">
        <v>409</v>
      </c>
      <c r="M203" s="3" t="s">
        <v>45</v>
      </c>
      <c r="N203" s="4" t="s">
        <v>583</v>
      </c>
      <c r="O203" s="3" t="s">
        <v>390</v>
      </c>
      <c r="P203" s="3" t="s">
        <v>45</v>
      </c>
      <c r="Q203" s="3" t="s">
        <v>45</v>
      </c>
      <c r="R203" s="3" t="s">
        <v>45</v>
      </c>
      <c r="S203" s="3" t="s">
        <v>45</v>
      </c>
      <c r="T203" s="3" t="s">
        <v>45</v>
      </c>
      <c r="U203" s="3" t="s">
        <v>45</v>
      </c>
      <c r="V203" s="4" t="s">
        <v>1650</v>
      </c>
      <c r="W203" s="3" t="s">
        <v>45</v>
      </c>
      <c r="X203" s="3" t="s">
        <v>45</v>
      </c>
      <c r="Y203" s="3" t="s">
        <v>45</v>
      </c>
      <c r="Z203" s="3" t="s">
        <v>74</v>
      </c>
      <c r="AA203" s="3" t="s">
        <v>45</v>
      </c>
      <c r="AB203" s="3" t="s">
        <v>45</v>
      </c>
      <c r="AC203" s="3" t="s">
        <v>45</v>
      </c>
      <c r="AD203" s="3" t="s">
        <v>45</v>
      </c>
      <c r="AE203" s="3" t="s">
        <v>45</v>
      </c>
      <c r="AF203" s="3" t="s">
        <v>45</v>
      </c>
      <c r="AG203" s="3" t="s">
        <v>45</v>
      </c>
      <c r="AH203" s="3" t="s">
        <v>1298</v>
      </c>
      <c r="AI203" s="5" t="s">
        <v>1991</v>
      </c>
      <c r="AJ203" s="3" t="s">
        <v>45</v>
      </c>
      <c r="AK203" s="3" t="s">
        <v>45</v>
      </c>
      <c r="AL203" s="3" t="s">
        <v>45</v>
      </c>
      <c r="AM203" s="3" t="s">
        <v>45</v>
      </c>
      <c r="AN203" s="3" t="s">
        <v>45</v>
      </c>
      <c r="AO203" s="3" t="s">
        <v>45</v>
      </c>
      <c r="AP203" s="3" t="s">
        <v>45</v>
      </c>
      <c r="AQ203" s="4" t="s">
        <v>1300</v>
      </c>
      <c r="AR203" s="4" t="s">
        <v>1300</v>
      </c>
    </row>
    <row r="204">
      <c r="A204" s="3" t="s">
        <v>1992</v>
      </c>
      <c r="B204" s="3" t="s">
        <v>1993</v>
      </c>
      <c r="C204" s="3" t="s">
        <v>1994</v>
      </c>
      <c r="D204" s="3" t="s">
        <v>1291</v>
      </c>
      <c r="E204" s="4" t="s">
        <v>1995</v>
      </c>
      <c r="F204" s="3" t="s">
        <v>1996</v>
      </c>
      <c r="G204" s="4" t="s">
        <v>1997</v>
      </c>
      <c r="H204" s="4" t="s">
        <v>1998</v>
      </c>
      <c r="I204" s="3" t="s">
        <v>49</v>
      </c>
      <c r="J204" s="3" t="s">
        <v>126</v>
      </c>
      <c r="K204" s="3" t="s">
        <v>45</v>
      </c>
      <c r="L204" s="3" t="s">
        <v>1999</v>
      </c>
      <c r="M204" s="3" t="s">
        <v>45</v>
      </c>
      <c r="N204" s="4" t="s">
        <v>535</v>
      </c>
      <c r="O204" s="3" t="s">
        <v>88</v>
      </c>
      <c r="P204" s="3" t="s">
        <v>45</v>
      </c>
      <c r="Q204" s="3" t="s">
        <v>45</v>
      </c>
      <c r="R204" s="3" t="s">
        <v>45</v>
      </c>
      <c r="S204" s="3" t="s">
        <v>45</v>
      </c>
      <c r="T204" s="3" t="s">
        <v>45</v>
      </c>
      <c r="U204" s="3" t="s">
        <v>45</v>
      </c>
      <c r="V204" s="3" t="s">
        <v>45</v>
      </c>
      <c r="W204" s="3" t="s">
        <v>45</v>
      </c>
      <c r="X204" s="3" t="s">
        <v>45</v>
      </c>
      <c r="Y204" s="3" t="s">
        <v>45</v>
      </c>
      <c r="Z204" s="3" t="s">
        <v>74</v>
      </c>
      <c r="AA204" s="3" t="s">
        <v>45</v>
      </c>
      <c r="AB204" s="3" t="s">
        <v>45</v>
      </c>
      <c r="AC204" s="3" t="s">
        <v>45</v>
      </c>
      <c r="AD204" s="3" t="s">
        <v>45</v>
      </c>
      <c r="AE204" s="3" t="s">
        <v>45</v>
      </c>
      <c r="AF204" s="3" t="s">
        <v>45</v>
      </c>
      <c r="AG204" s="3" t="s">
        <v>45</v>
      </c>
      <c r="AH204" s="3" t="s">
        <v>1298</v>
      </c>
      <c r="AI204" s="5" t="s">
        <v>2000</v>
      </c>
      <c r="AJ204" s="5" t="s">
        <v>2001</v>
      </c>
      <c r="AK204" s="3" t="s">
        <v>45</v>
      </c>
      <c r="AL204" s="3" t="s">
        <v>45</v>
      </c>
      <c r="AM204" s="3" t="s">
        <v>45</v>
      </c>
      <c r="AN204" s="3" t="s">
        <v>45</v>
      </c>
      <c r="AO204" s="3" t="s">
        <v>45</v>
      </c>
      <c r="AP204" s="3" t="s">
        <v>45</v>
      </c>
      <c r="AQ204" s="4" t="s">
        <v>1300</v>
      </c>
      <c r="AR204" s="4" t="s">
        <v>1300</v>
      </c>
    </row>
    <row r="205">
      <c r="A205" s="3" t="s">
        <v>2002</v>
      </c>
      <c r="B205" s="3" t="s">
        <v>2003</v>
      </c>
      <c r="C205" s="3" t="s">
        <v>1994</v>
      </c>
      <c r="D205" s="3" t="s">
        <v>1291</v>
      </c>
      <c r="E205" s="4" t="s">
        <v>1995</v>
      </c>
      <c r="F205" s="3" t="s">
        <v>1692</v>
      </c>
      <c r="G205" s="4" t="s">
        <v>2004</v>
      </c>
      <c r="H205" s="4" t="s">
        <v>2005</v>
      </c>
      <c r="I205" s="3" t="s">
        <v>245</v>
      </c>
      <c r="J205" s="3" t="s">
        <v>126</v>
      </c>
      <c r="K205" s="3" t="s">
        <v>45</v>
      </c>
      <c r="L205" s="3" t="s">
        <v>2006</v>
      </c>
      <c r="M205" s="3" t="s">
        <v>45</v>
      </c>
      <c r="N205" s="3" t="s">
        <v>45</v>
      </c>
      <c r="O205" s="3" t="s">
        <v>74</v>
      </c>
      <c r="P205" s="3" t="s">
        <v>45</v>
      </c>
      <c r="Q205" s="3" t="s">
        <v>45</v>
      </c>
      <c r="R205" s="3" t="s">
        <v>45</v>
      </c>
      <c r="S205" s="3" t="s">
        <v>45</v>
      </c>
      <c r="T205" s="3" t="s">
        <v>45</v>
      </c>
      <c r="U205" s="3" t="s">
        <v>45</v>
      </c>
      <c r="V205" s="4" t="s">
        <v>106</v>
      </c>
      <c r="W205" s="3" t="s">
        <v>45</v>
      </c>
      <c r="X205" s="3" t="s">
        <v>45</v>
      </c>
      <c r="Y205" s="3" t="s">
        <v>45</v>
      </c>
      <c r="Z205" s="3" t="s">
        <v>55</v>
      </c>
      <c r="AA205" s="3" t="s">
        <v>45</v>
      </c>
      <c r="AB205" s="3" t="s">
        <v>45</v>
      </c>
      <c r="AC205" s="3" t="s">
        <v>45</v>
      </c>
      <c r="AD205" s="3" t="s">
        <v>45</v>
      </c>
      <c r="AE205" s="3" t="s">
        <v>45</v>
      </c>
      <c r="AF205" s="5" t="s">
        <v>2007</v>
      </c>
      <c r="AG205" s="3" t="s">
        <v>45</v>
      </c>
      <c r="AH205" s="3" t="s">
        <v>1298</v>
      </c>
      <c r="AI205" s="5" t="s">
        <v>2008</v>
      </c>
      <c r="AJ205" s="5" t="s">
        <v>2009</v>
      </c>
      <c r="AK205" s="5" t="s">
        <v>2010</v>
      </c>
      <c r="AL205" s="3" t="s">
        <v>45</v>
      </c>
      <c r="AM205" s="3" t="s">
        <v>45</v>
      </c>
      <c r="AN205" s="3" t="s">
        <v>45</v>
      </c>
      <c r="AO205" s="3" t="s">
        <v>45</v>
      </c>
      <c r="AP205" s="3" t="s">
        <v>45</v>
      </c>
      <c r="AQ205" s="4" t="s">
        <v>1300</v>
      </c>
      <c r="AR205" s="4" t="s">
        <v>1387</v>
      </c>
    </row>
    <row r="206">
      <c r="A206" s="3" t="s">
        <v>2011</v>
      </c>
      <c r="B206" s="3" t="s">
        <v>2012</v>
      </c>
      <c r="C206" s="3" t="s">
        <v>2013</v>
      </c>
      <c r="D206" s="3" t="s">
        <v>1291</v>
      </c>
      <c r="E206" s="4" t="s">
        <v>2014</v>
      </c>
      <c r="F206" s="3" t="s">
        <v>1330</v>
      </c>
      <c r="G206" s="4" t="s">
        <v>2015</v>
      </c>
      <c r="H206" s="4" t="s">
        <v>2016</v>
      </c>
      <c r="I206" s="3" t="s">
        <v>49</v>
      </c>
      <c r="J206" s="3" t="s">
        <v>126</v>
      </c>
      <c r="K206" s="3" t="s">
        <v>45</v>
      </c>
      <c r="L206" s="3" t="s">
        <v>2017</v>
      </c>
      <c r="M206" s="3" t="s">
        <v>45</v>
      </c>
      <c r="N206" s="3" t="s">
        <v>45</v>
      </c>
      <c r="O206" s="3" t="s">
        <v>74</v>
      </c>
      <c r="P206" s="3" t="s">
        <v>45</v>
      </c>
      <c r="Q206" s="3" t="s">
        <v>45</v>
      </c>
      <c r="R206" s="3" t="s">
        <v>45</v>
      </c>
      <c r="S206" s="3" t="s">
        <v>45</v>
      </c>
      <c r="T206" s="3" t="s">
        <v>45</v>
      </c>
      <c r="U206" s="3" t="s">
        <v>45</v>
      </c>
      <c r="V206" s="4" t="s">
        <v>2018</v>
      </c>
      <c r="W206" s="3" t="s">
        <v>45</v>
      </c>
      <c r="X206" s="3" t="s">
        <v>45</v>
      </c>
      <c r="Y206" s="3" t="s">
        <v>45</v>
      </c>
      <c r="Z206" s="3" t="s">
        <v>74</v>
      </c>
      <c r="AA206" s="3" t="s">
        <v>45</v>
      </c>
      <c r="AB206" s="3" t="s">
        <v>45</v>
      </c>
      <c r="AC206" s="3" t="s">
        <v>45</v>
      </c>
      <c r="AD206" s="3" t="s">
        <v>45</v>
      </c>
      <c r="AE206" s="3" t="s">
        <v>45</v>
      </c>
      <c r="AF206" s="3" t="s">
        <v>45</v>
      </c>
      <c r="AG206" s="3" t="s">
        <v>45</v>
      </c>
      <c r="AH206" s="3" t="s">
        <v>1298</v>
      </c>
      <c r="AI206" s="5" t="s">
        <v>2019</v>
      </c>
      <c r="AJ206" s="3" t="s">
        <v>45</v>
      </c>
      <c r="AK206" s="3" t="s">
        <v>45</v>
      </c>
      <c r="AL206" s="3" t="s">
        <v>45</v>
      </c>
      <c r="AM206" s="3" t="s">
        <v>45</v>
      </c>
      <c r="AN206" s="3" t="s">
        <v>45</v>
      </c>
      <c r="AO206" s="3" t="s">
        <v>45</v>
      </c>
      <c r="AP206" s="3" t="s">
        <v>45</v>
      </c>
      <c r="AQ206" s="4" t="s">
        <v>1300</v>
      </c>
      <c r="AR206" s="4" t="s">
        <v>1300</v>
      </c>
    </row>
    <row r="207">
      <c r="A207" s="3" t="s">
        <v>2020</v>
      </c>
      <c r="B207" s="3" t="s">
        <v>2021</v>
      </c>
      <c r="C207" s="3" t="s">
        <v>2013</v>
      </c>
      <c r="D207" s="3" t="s">
        <v>1291</v>
      </c>
      <c r="E207" s="4" t="s">
        <v>2022</v>
      </c>
      <c r="F207" s="3" t="s">
        <v>1330</v>
      </c>
      <c r="G207" s="4" t="s">
        <v>2023</v>
      </c>
      <c r="H207" s="4" t="s">
        <v>2024</v>
      </c>
      <c r="I207" s="3" t="s">
        <v>49</v>
      </c>
      <c r="J207" s="3" t="s">
        <v>50</v>
      </c>
      <c r="K207" s="3" t="s">
        <v>45</v>
      </c>
      <c r="L207" s="3" t="s">
        <v>45</v>
      </c>
      <c r="M207" s="3" t="s">
        <v>45</v>
      </c>
      <c r="N207" s="3" t="s">
        <v>45</v>
      </c>
      <c r="O207" s="3" t="s">
        <v>74</v>
      </c>
      <c r="P207" s="3" t="s">
        <v>45</v>
      </c>
      <c r="Q207" s="3" t="s">
        <v>45</v>
      </c>
      <c r="R207" s="3" t="s">
        <v>45</v>
      </c>
      <c r="S207" s="3" t="s">
        <v>45</v>
      </c>
      <c r="T207" s="3" t="s">
        <v>45</v>
      </c>
      <c r="U207" s="3" t="s">
        <v>45</v>
      </c>
      <c r="V207" s="4" t="s">
        <v>2025</v>
      </c>
      <c r="W207" s="3" t="s">
        <v>45</v>
      </c>
      <c r="X207" s="3" t="s">
        <v>45</v>
      </c>
      <c r="Y207" s="3" t="s">
        <v>45</v>
      </c>
      <c r="Z207" s="3" t="s">
        <v>74</v>
      </c>
      <c r="AA207" s="3" t="s">
        <v>45</v>
      </c>
      <c r="AB207" s="3" t="s">
        <v>45</v>
      </c>
      <c r="AC207" s="3" t="s">
        <v>45</v>
      </c>
      <c r="AD207" s="3" t="s">
        <v>45</v>
      </c>
      <c r="AE207" s="3" t="s">
        <v>45</v>
      </c>
      <c r="AF207" s="3" t="s">
        <v>45</v>
      </c>
      <c r="AG207" s="3" t="s">
        <v>45</v>
      </c>
      <c r="AH207" s="3" t="s">
        <v>57</v>
      </c>
      <c r="AI207" s="5" t="s">
        <v>2026</v>
      </c>
      <c r="AJ207" s="3" t="s">
        <v>45</v>
      </c>
      <c r="AK207" s="3" t="s">
        <v>45</v>
      </c>
      <c r="AL207" s="3" t="s">
        <v>45</v>
      </c>
      <c r="AM207" s="3" t="s">
        <v>45</v>
      </c>
      <c r="AN207" s="3" t="s">
        <v>45</v>
      </c>
      <c r="AO207" s="3" t="s">
        <v>45</v>
      </c>
      <c r="AP207" s="3" t="s">
        <v>45</v>
      </c>
      <c r="AQ207" s="4" t="s">
        <v>1085</v>
      </c>
      <c r="AR207" s="4" t="s">
        <v>1085</v>
      </c>
    </row>
    <row r="208">
      <c r="A208" s="3" t="s">
        <v>2027</v>
      </c>
      <c r="B208" s="3" t="s">
        <v>2028</v>
      </c>
      <c r="C208" s="3" t="s">
        <v>2029</v>
      </c>
      <c r="D208" s="3" t="s">
        <v>1291</v>
      </c>
      <c r="E208" s="4" t="s">
        <v>2030</v>
      </c>
      <c r="F208" s="3" t="s">
        <v>2031</v>
      </c>
      <c r="G208" s="4" t="s">
        <v>2032</v>
      </c>
      <c r="H208" s="4" t="s">
        <v>2033</v>
      </c>
      <c r="I208" s="3" t="s">
        <v>436</v>
      </c>
      <c r="J208" s="3" t="s">
        <v>126</v>
      </c>
      <c r="K208" s="3" t="s">
        <v>45</v>
      </c>
      <c r="L208" s="3" t="s">
        <v>45</v>
      </c>
      <c r="M208" s="3" t="s">
        <v>45</v>
      </c>
      <c r="N208" s="3" t="s">
        <v>45</v>
      </c>
      <c r="O208" s="3" t="s">
        <v>74</v>
      </c>
      <c r="P208" s="3" t="s">
        <v>45</v>
      </c>
      <c r="Q208" s="3" t="s">
        <v>45</v>
      </c>
      <c r="R208" s="3" t="s">
        <v>45</v>
      </c>
      <c r="S208" s="3" t="s">
        <v>45</v>
      </c>
      <c r="T208" s="3" t="s">
        <v>45</v>
      </c>
      <c r="U208" s="3" t="s">
        <v>45</v>
      </c>
      <c r="V208" s="4" t="s">
        <v>836</v>
      </c>
      <c r="W208" s="4" t="s">
        <v>2034</v>
      </c>
      <c r="X208" s="3" t="s">
        <v>45</v>
      </c>
      <c r="Y208" s="3" t="s">
        <v>45</v>
      </c>
      <c r="Z208" s="3" t="s">
        <v>74</v>
      </c>
      <c r="AA208" s="3" t="s">
        <v>45</v>
      </c>
      <c r="AB208" s="3" t="s">
        <v>45</v>
      </c>
      <c r="AC208" s="3" t="s">
        <v>45</v>
      </c>
      <c r="AD208" s="3" t="s">
        <v>45</v>
      </c>
      <c r="AE208" s="3" t="s">
        <v>45</v>
      </c>
      <c r="AF208" s="3" t="s">
        <v>45</v>
      </c>
      <c r="AG208" s="3" t="s">
        <v>2035</v>
      </c>
      <c r="AH208" s="3" t="s">
        <v>57</v>
      </c>
      <c r="AI208" s="5" t="s">
        <v>2036</v>
      </c>
      <c r="AJ208" s="3" t="s">
        <v>45</v>
      </c>
      <c r="AK208" s="3" t="s">
        <v>45</v>
      </c>
      <c r="AL208" s="3" t="s">
        <v>45</v>
      </c>
      <c r="AM208" s="3" t="s">
        <v>45</v>
      </c>
      <c r="AN208" s="3" t="s">
        <v>45</v>
      </c>
      <c r="AO208" s="3" t="s">
        <v>45</v>
      </c>
      <c r="AP208" s="3" t="s">
        <v>45</v>
      </c>
      <c r="AQ208" s="4" t="s">
        <v>2037</v>
      </c>
      <c r="AR208" s="4" t="s">
        <v>2037</v>
      </c>
    </row>
    <row r="209">
      <c r="A209" s="3" t="s">
        <v>2038</v>
      </c>
      <c r="B209" s="3" t="s">
        <v>2039</v>
      </c>
      <c r="C209" s="3" t="s">
        <v>2029</v>
      </c>
      <c r="D209" s="3" t="s">
        <v>1291</v>
      </c>
      <c r="E209" s="4" t="s">
        <v>2030</v>
      </c>
      <c r="F209" s="3" t="s">
        <v>2031</v>
      </c>
      <c r="G209" s="4" t="s">
        <v>2040</v>
      </c>
      <c r="H209" s="4" t="s">
        <v>2041</v>
      </c>
      <c r="I209" s="3" t="s">
        <v>85</v>
      </c>
      <c r="J209" s="3" t="s">
        <v>126</v>
      </c>
      <c r="K209" s="3" t="s">
        <v>2042</v>
      </c>
      <c r="L209" s="3" t="s">
        <v>409</v>
      </c>
      <c r="M209" s="3" t="s">
        <v>45</v>
      </c>
      <c r="N209" s="3" t="s">
        <v>2043</v>
      </c>
      <c r="O209" s="3" t="s">
        <v>70</v>
      </c>
      <c r="P209" s="3" t="s">
        <v>45</v>
      </c>
      <c r="Q209" s="3" t="s">
        <v>45</v>
      </c>
      <c r="R209" s="3" t="s">
        <v>45</v>
      </c>
      <c r="S209" s="3" t="s">
        <v>45</v>
      </c>
      <c r="T209" s="3" t="s">
        <v>45</v>
      </c>
      <c r="U209" s="3" t="s">
        <v>45</v>
      </c>
      <c r="V209" s="4" t="s">
        <v>2044</v>
      </c>
      <c r="W209" s="4" t="s">
        <v>2045</v>
      </c>
      <c r="X209" s="3" t="s">
        <v>45</v>
      </c>
      <c r="Y209" s="3" t="s">
        <v>45</v>
      </c>
      <c r="Z209" s="3" t="s">
        <v>74</v>
      </c>
      <c r="AA209" s="3" t="s">
        <v>45</v>
      </c>
      <c r="AB209" s="3" t="s">
        <v>45</v>
      </c>
      <c r="AC209" s="3" t="s">
        <v>45</v>
      </c>
      <c r="AD209" s="3" t="s">
        <v>45</v>
      </c>
      <c r="AE209" s="3" t="s">
        <v>45</v>
      </c>
      <c r="AF209" s="3" t="s">
        <v>45</v>
      </c>
      <c r="AG209" s="3" t="s">
        <v>2046</v>
      </c>
      <c r="AH209" s="3" t="s">
        <v>57</v>
      </c>
      <c r="AI209" s="5" t="s">
        <v>2047</v>
      </c>
      <c r="AJ209" s="5" t="s">
        <v>2048</v>
      </c>
      <c r="AK209" s="5" t="s">
        <v>2049</v>
      </c>
      <c r="AL209" s="5" t="s">
        <v>2050</v>
      </c>
      <c r="AM209" s="5" t="s">
        <v>2051</v>
      </c>
      <c r="AN209" s="3" t="s">
        <v>45</v>
      </c>
      <c r="AO209" s="3" t="s">
        <v>45</v>
      </c>
      <c r="AP209" s="3" t="s">
        <v>45</v>
      </c>
      <c r="AQ209" s="4" t="s">
        <v>2052</v>
      </c>
      <c r="AR209" s="4" t="s">
        <v>2053</v>
      </c>
    </row>
    <row r="210">
      <c r="A210" s="3" t="s">
        <v>2054</v>
      </c>
      <c r="B210" s="3" t="s">
        <v>2055</v>
      </c>
      <c r="C210" s="3" t="s">
        <v>2029</v>
      </c>
      <c r="D210" s="3" t="s">
        <v>1291</v>
      </c>
      <c r="E210" s="4" t="s">
        <v>2030</v>
      </c>
      <c r="F210" s="3" t="s">
        <v>2031</v>
      </c>
      <c r="G210" s="4" t="s">
        <v>2056</v>
      </c>
      <c r="H210" s="4" t="s">
        <v>2057</v>
      </c>
      <c r="I210" s="3" t="s">
        <v>218</v>
      </c>
      <c r="J210" s="3" t="s">
        <v>126</v>
      </c>
      <c r="K210" s="3" t="s">
        <v>45</v>
      </c>
      <c r="L210" s="3" t="s">
        <v>557</v>
      </c>
      <c r="M210" s="3" t="s">
        <v>45</v>
      </c>
      <c r="N210" s="4" t="s">
        <v>102</v>
      </c>
      <c r="O210" s="3" t="s">
        <v>88</v>
      </c>
      <c r="P210" s="3" t="s">
        <v>45</v>
      </c>
      <c r="Q210" s="3" t="s">
        <v>45</v>
      </c>
      <c r="R210" s="3" t="s">
        <v>45</v>
      </c>
      <c r="S210" s="4" t="s">
        <v>789</v>
      </c>
      <c r="T210" s="3" t="s">
        <v>45</v>
      </c>
      <c r="U210" s="3" t="s">
        <v>45</v>
      </c>
      <c r="V210" s="4" t="s">
        <v>2058</v>
      </c>
      <c r="W210" s="4" t="s">
        <v>2059</v>
      </c>
      <c r="X210" s="3" t="s">
        <v>305</v>
      </c>
      <c r="Y210" s="3" t="s">
        <v>45</v>
      </c>
      <c r="Z210" s="3" t="s">
        <v>55</v>
      </c>
      <c r="AA210" s="3" t="s">
        <v>2060</v>
      </c>
      <c r="AB210" s="3" t="s">
        <v>56</v>
      </c>
      <c r="AC210" s="3" t="s">
        <v>45</v>
      </c>
      <c r="AD210" s="3" t="s">
        <v>45</v>
      </c>
      <c r="AE210" s="3" t="s">
        <v>45</v>
      </c>
      <c r="AF210" s="3" t="s">
        <v>45</v>
      </c>
      <c r="AG210" s="3" t="s">
        <v>45</v>
      </c>
      <c r="AH210" s="3" t="s">
        <v>57</v>
      </c>
      <c r="AI210" s="5" t="s">
        <v>2061</v>
      </c>
      <c r="AJ210" s="5" t="s">
        <v>2062</v>
      </c>
      <c r="AK210" s="5" t="s">
        <v>2063</v>
      </c>
      <c r="AL210" s="5" t="s">
        <v>2064</v>
      </c>
      <c r="AM210" s="3" t="s">
        <v>45</v>
      </c>
      <c r="AN210" s="3" t="s">
        <v>45</v>
      </c>
      <c r="AO210" s="3" t="s">
        <v>45</v>
      </c>
      <c r="AP210" s="3" t="s">
        <v>45</v>
      </c>
      <c r="AQ210" s="4" t="s">
        <v>1300</v>
      </c>
      <c r="AR210" s="4" t="s">
        <v>2065</v>
      </c>
    </row>
    <row r="211">
      <c r="A211" s="3" t="s">
        <v>2066</v>
      </c>
      <c r="B211" s="3" t="s">
        <v>2067</v>
      </c>
      <c r="C211" s="3" t="s">
        <v>2068</v>
      </c>
      <c r="D211" s="3" t="s">
        <v>1291</v>
      </c>
      <c r="E211" s="4" t="s">
        <v>2030</v>
      </c>
      <c r="F211" s="3" t="s">
        <v>2031</v>
      </c>
      <c r="G211" s="4" t="s">
        <v>2069</v>
      </c>
      <c r="H211" s="4" t="s">
        <v>2070</v>
      </c>
      <c r="I211" s="3" t="s">
        <v>49</v>
      </c>
      <c r="J211" s="3" t="s">
        <v>126</v>
      </c>
      <c r="K211" s="3" t="s">
        <v>45</v>
      </c>
      <c r="L211" s="3" t="s">
        <v>557</v>
      </c>
      <c r="M211" s="3" t="s">
        <v>45</v>
      </c>
      <c r="N211" s="3" t="s">
        <v>45</v>
      </c>
      <c r="O211" s="3" t="s">
        <v>74</v>
      </c>
      <c r="P211" s="3" t="s">
        <v>45</v>
      </c>
      <c r="Q211" s="3" t="s">
        <v>45</v>
      </c>
      <c r="R211" s="3" t="s">
        <v>45</v>
      </c>
      <c r="S211" s="3" t="s">
        <v>45</v>
      </c>
      <c r="T211" s="3" t="s">
        <v>45</v>
      </c>
      <c r="U211" s="3" t="s">
        <v>45</v>
      </c>
      <c r="V211" s="4" t="s">
        <v>420</v>
      </c>
      <c r="W211" s="4" t="s">
        <v>2071</v>
      </c>
      <c r="X211" s="3" t="s">
        <v>2072</v>
      </c>
      <c r="Y211" s="4" t="s">
        <v>2073</v>
      </c>
      <c r="Z211" s="3" t="s">
        <v>74</v>
      </c>
      <c r="AA211" s="3" t="s">
        <v>45</v>
      </c>
      <c r="AB211" s="3" t="s">
        <v>45</v>
      </c>
      <c r="AC211" s="3" t="s">
        <v>45</v>
      </c>
      <c r="AD211" s="3" t="s">
        <v>45</v>
      </c>
      <c r="AE211" s="3" t="s">
        <v>45</v>
      </c>
      <c r="AF211" s="3" t="s">
        <v>45</v>
      </c>
      <c r="AG211" s="3" t="s">
        <v>45</v>
      </c>
      <c r="AH211" s="3" t="s">
        <v>57</v>
      </c>
      <c r="AI211" s="5" t="s">
        <v>2074</v>
      </c>
      <c r="AJ211" s="5" t="s">
        <v>2075</v>
      </c>
      <c r="AK211" s="3" t="s">
        <v>45</v>
      </c>
      <c r="AL211" s="3" t="s">
        <v>45</v>
      </c>
      <c r="AM211" s="3" t="s">
        <v>45</v>
      </c>
      <c r="AN211" s="3" t="s">
        <v>45</v>
      </c>
      <c r="AO211" s="3" t="s">
        <v>45</v>
      </c>
      <c r="AP211" s="3" t="s">
        <v>45</v>
      </c>
      <c r="AQ211" s="4" t="s">
        <v>2065</v>
      </c>
      <c r="AR211" s="4" t="s">
        <v>2065</v>
      </c>
    </row>
    <row r="212">
      <c r="A212" s="3" t="s">
        <v>2076</v>
      </c>
      <c r="B212" s="3" t="s">
        <v>2077</v>
      </c>
      <c r="C212" s="3" t="s">
        <v>2078</v>
      </c>
      <c r="D212" s="3" t="s">
        <v>1291</v>
      </c>
      <c r="E212" s="4" t="s">
        <v>1995</v>
      </c>
      <c r="F212" s="3" t="s">
        <v>1996</v>
      </c>
      <c r="G212" s="4" t="s">
        <v>2079</v>
      </c>
      <c r="H212" s="4" t="s">
        <v>2080</v>
      </c>
      <c r="I212" s="3" t="s">
        <v>49</v>
      </c>
      <c r="J212" s="3" t="s">
        <v>126</v>
      </c>
      <c r="K212" s="3" t="s">
        <v>45</v>
      </c>
      <c r="L212" s="3" t="s">
        <v>921</v>
      </c>
      <c r="M212" s="3" t="s">
        <v>45</v>
      </c>
      <c r="N212" s="3" t="s">
        <v>45</v>
      </c>
      <c r="O212" s="3" t="s">
        <v>74</v>
      </c>
      <c r="P212" s="3" t="s">
        <v>45</v>
      </c>
      <c r="Q212" s="3" t="s">
        <v>45</v>
      </c>
      <c r="R212" s="3" t="s">
        <v>45</v>
      </c>
      <c r="S212" s="3" t="s">
        <v>45</v>
      </c>
      <c r="T212" s="3" t="s">
        <v>45</v>
      </c>
      <c r="U212" s="3" t="s">
        <v>45</v>
      </c>
      <c r="V212" s="4" t="s">
        <v>2081</v>
      </c>
      <c r="W212" s="3" t="s">
        <v>45</v>
      </c>
      <c r="X212" s="3" t="s">
        <v>45</v>
      </c>
      <c r="Y212" s="3" t="s">
        <v>45</v>
      </c>
      <c r="Z212" s="3" t="s">
        <v>74</v>
      </c>
      <c r="AA212" s="3" t="s">
        <v>45</v>
      </c>
      <c r="AB212" s="3" t="s">
        <v>45</v>
      </c>
      <c r="AC212" s="3" t="s">
        <v>45</v>
      </c>
      <c r="AD212" s="3" t="s">
        <v>45</v>
      </c>
      <c r="AE212" s="3" t="s">
        <v>45</v>
      </c>
      <c r="AF212" s="3" t="s">
        <v>45</v>
      </c>
      <c r="AG212" s="3" t="s">
        <v>45</v>
      </c>
      <c r="AH212" s="3" t="s">
        <v>1298</v>
      </c>
      <c r="AI212" s="3" t="s">
        <v>2082</v>
      </c>
      <c r="AJ212" s="3" t="s">
        <v>45</v>
      </c>
      <c r="AK212" s="3" t="s">
        <v>45</v>
      </c>
      <c r="AL212" s="3" t="s">
        <v>45</v>
      </c>
      <c r="AM212" s="3" t="s">
        <v>45</v>
      </c>
      <c r="AN212" s="3" t="s">
        <v>45</v>
      </c>
      <c r="AO212" s="3" t="s">
        <v>45</v>
      </c>
      <c r="AP212" s="3" t="s">
        <v>45</v>
      </c>
      <c r="AQ212" s="4" t="s">
        <v>1300</v>
      </c>
      <c r="AR212" s="4" t="s">
        <v>1300</v>
      </c>
    </row>
    <row r="213">
      <c r="A213" s="3" t="s">
        <v>2083</v>
      </c>
      <c r="B213" s="3" t="s">
        <v>2084</v>
      </c>
      <c r="C213" s="3" t="s">
        <v>2085</v>
      </c>
      <c r="D213" s="3" t="s">
        <v>1291</v>
      </c>
      <c r="E213" s="4" t="s">
        <v>2086</v>
      </c>
      <c r="F213" s="3" t="s">
        <v>1718</v>
      </c>
      <c r="G213" s="4" t="s">
        <v>2087</v>
      </c>
      <c r="H213" s="4" t="s">
        <v>2088</v>
      </c>
      <c r="I213" s="3" t="s">
        <v>49</v>
      </c>
      <c r="J213" s="3" t="s">
        <v>126</v>
      </c>
      <c r="K213" s="3" t="s">
        <v>45</v>
      </c>
      <c r="L213" s="3" t="s">
        <v>2089</v>
      </c>
      <c r="M213" s="3" t="s">
        <v>45</v>
      </c>
      <c r="N213" s="3" t="s">
        <v>45</v>
      </c>
      <c r="O213" s="3" t="s">
        <v>74</v>
      </c>
      <c r="P213" s="3" t="s">
        <v>45</v>
      </c>
      <c r="Q213" s="3" t="s">
        <v>45</v>
      </c>
      <c r="R213" s="3" t="s">
        <v>45</v>
      </c>
      <c r="S213" s="4" t="s">
        <v>472</v>
      </c>
      <c r="T213" s="3" t="s">
        <v>45</v>
      </c>
      <c r="U213" s="3" t="s">
        <v>45</v>
      </c>
      <c r="V213" s="4" t="s">
        <v>2090</v>
      </c>
      <c r="W213" s="4" t="s">
        <v>1296</v>
      </c>
      <c r="X213" s="3" t="s">
        <v>2091</v>
      </c>
      <c r="Y213" s="3" t="s">
        <v>45</v>
      </c>
      <c r="Z213" s="3" t="s">
        <v>74</v>
      </c>
      <c r="AA213" s="3" t="s">
        <v>45</v>
      </c>
      <c r="AB213" s="3" t="s">
        <v>45</v>
      </c>
      <c r="AC213" s="3" t="s">
        <v>45</v>
      </c>
      <c r="AD213" s="3" t="s">
        <v>45</v>
      </c>
      <c r="AE213" s="3" t="s">
        <v>45</v>
      </c>
      <c r="AF213" s="3" t="s">
        <v>45</v>
      </c>
      <c r="AG213" s="3" t="s">
        <v>2092</v>
      </c>
      <c r="AH213" s="3" t="s">
        <v>57</v>
      </c>
      <c r="AI213" s="5" t="s">
        <v>2093</v>
      </c>
      <c r="AJ213" s="5" t="s">
        <v>2094</v>
      </c>
      <c r="AK213" s="5" t="s">
        <v>2095</v>
      </c>
      <c r="AL213" s="3" t="s">
        <v>45</v>
      </c>
      <c r="AM213" s="3" t="s">
        <v>45</v>
      </c>
      <c r="AN213" s="3" t="s">
        <v>45</v>
      </c>
      <c r="AO213" s="3" t="s">
        <v>45</v>
      </c>
      <c r="AP213" s="3" t="s">
        <v>45</v>
      </c>
      <c r="AQ213" s="4" t="s">
        <v>1085</v>
      </c>
      <c r="AR213" s="4" t="s">
        <v>2096</v>
      </c>
    </row>
    <row r="214">
      <c r="A214" s="3" t="s">
        <v>2097</v>
      </c>
      <c r="B214" s="3" t="s">
        <v>2098</v>
      </c>
      <c r="C214" s="3" t="s">
        <v>2099</v>
      </c>
      <c r="D214" s="3" t="s">
        <v>1291</v>
      </c>
      <c r="E214" s="4" t="s">
        <v>2100</v>
      </c>
      <c r="F214" s="3" t="s">
        <v>2101</v>
      </c>
      <c r="G214" s="4" t="s">
        <v>2102</v>
      </c>
      <c r="H214" s="4" t="s">
        <v>2103</v>
      </c>
      <c r="I214" s="3" t="s">
        <v>49</v>
      </c>
      <c r="J214" s="3" t="s">
        <v>126</v>
      </c>
      <c r="K214" s="3" t="s">
        <v>45</v>
      </c>
      <c r="L214" s="3" t="s">
        <v>2104</v>
      </c>
      <c r="M214" s="3" t="s">
        <v>45</v>
      </c>
      <c r="N214" s="3" t="s">
        <v>45</v>
      </c>
      <c r="O214" s="3" t="s">
        <v>88</v>
      </c>
      <c r="P214" s="3" t="s">
        <v>45</v>
      </c>
      <c r="Q214" s="3" t="s">
        <v>45</v>
      </c>
      <c r="R214" s="3" t="s">
        <v>45</v>
      </c>
      <c r="S214" s="3" t="s">
        <v>45</v>
      </c>
      <c r="T214" s="3" t="s">
        <v>45</v>
      </c>
      <c r="U214" s="3" t="s">
        <v>45</v>
      </c>
      <c r="V214" s="4" t="s">
        <v>2105</v>
      </c>
      <c r="W214" s="4" t="s">
        <v>2106</v>
      </c>
      <c r="X214" s="3" t="s">
        <v>45</v>
      </c>
      <c r="Y214" s="3" t="s">
        <v>2107</v>
      </c>
      <c r="Z214" s="3" t="s">
        <v>55</v>
      </c>
      <c r="AA214" s="3" t="s">
        <v>2108</v>
      </c>
      <c r="AB214" s="3" t="s">
        <v>45</v>
      </c>
      <c r="AC214" s="3" t="s">
        <v>45</v>
      </c>
      <c r="AD214" s="5" t="s">
        <v>2109</v>
      </c>
      <c r="AE214" s="3" t="s">
        <v>45</v>
      </c>
      <c r="AF214" s="3" t="s">
        <v>45</v>
      </c>
      <c r="AG214" s="3" t="s">
        <v>2110</v>
      </c>
      <c r="AH214" s="3" t="s">
        <v>57</v>
      </c>
      <c r="AI214" s="5" t="s">
        <v>2111</v>
      </c>
      <c r="AJ214" s="5" t="s">
        <v>2112</v>
      </c>
      <c r="AK214" s="5" t="s">
        <v>2113</v>
      </c>
      <c r="AL214" s="3" t="s">
        <v>45</v>
      </c>
      <c r="AM214" s="3" t="s">
        <v>45</v>
      </c>
      <c r="AN214" s="3" t="s">
        <v>45</v>
      </c>
      <c r="AO214" s="3" t="s">
        <v>45</v>
      </c>
      <c r="AP214" s="3" t="s">
        <v>45</v>
      </c>
      <c r="AQ214" s="4" t="s">
        <v>2114</v>
      </c>
      <c r="AR214" s="4" t="s">
        <v>1387</v>
      </c>
    </row>
    <row r="215">
      <c r="A215" s="3" t="s">
        <v>2115</v>
      </c>
      <c r="B215" s="3" t="s">
        <v>2116</v>
      </c>
      <c r="C215" s="3" t="s">
        <v>1759</v>
      </c>
      <c r="D215" s="3" t="s">
        <v>1291</v>
      </c>
      <c r="E215" s="4" t="s">
        <v>2117</v>
      </c>
      <c r="F215" s="3" t="s">
        <v>1292</v>
      </c>
      <c r="G215" s="4" t="s">
        <v>2118</v>
      </c>
      <c r="H215" s="4" t="s">
        <v>2119</v>
      </c>
      <c r="I215" s="3" t="s">
        <v>49</v>
      </c>
      <c r="J215" s="3" t="s">
        <v>126</v>
      </c>
      <c r="K215" s="3" t="s">
        <v>45</v>
      </c>
      <c r="L215" s="3" t="s">
        <v>45</v>
      </c>
      <c r="M215" s="3" t="s">
        <v>45</v>
      </c>
      <c r="N215" s="3" t="s">
        <v>45</v>
      </c>
      <c r="O215" s="3" t="s">
        <v>88</v>
      </c>
      <c r="P215" s="3" t="s">
        <v>45</v>
      </c>
      <c r="Q215" s="3" t="s">
        <v>45</v>
      </c>
      <c r="R215" s="3" t="s">
        <v>45</v>
      </c>
      <c r="S215" s="3" t="s">
        <v>45</v>
      </c>
      <c r="T215" s="3" t="s">
        <v>45</v>
      </c>
      <c r="U215" s="3" t="s">
        <v>45</v>
      </c>
      <c r="V215" s="4" t="s">
        <v>2120</v>
      </c>
      <c r="W215" s="4" t="s">
        <v>2121</v>
      </c>
      <c r="X215" s="3" t="s">
        <v>45</v>
      </c>
      <c r="Y215" s="3" t="s">
        <v>45</v>
      </c>
      <c r="Z215" s="3" t="s">
        <v>74</v>
      </c>
      <c r="AA215" s="3" t="s">
        <v>45</v>
      </c>
      <c r="AB215" s="3" t="s">
        <v>45</v>
      </c>
      <c r="AC215" s="3" t="s">
        <v>45</v>
      </c>
      <c r="AD215" s="3" t="s">
        <v>45</v>
      </c>
      <c r="AE215" s="3" t="s">
        <v>45</v>
      </c>
      <c r="AF215" s="3" t="s">
        <v>45</v>
      </c>
      <c r="AG215" s="3" t="s">
        <v>45</v>
      </c>
      <c r="AH215" s="3" t="s">
        <v>57</v>
      </c>
      <c r="AI215" s="5" t="s">
        <v>2122</v>
      </c>
      <c r="AJ215" s="3" t="s">
        <v>45</v>
      </c>
      <c r="AK215" s="3" t="s">
        <v>45</v>
      </c>
      <c r="AL215" s="3" t="s">
        <v>45</v>
      </c>
      <c r="AM215" s="3" t="s">
        <v>45</v>
      </c>
      <c r="AN215" s="3" t="s">
        <v>45</v>
      </c>
      <c r="AO215" s="3" t="s">
        <v>45</v>
      </c>
      <c r="AP215" s="3" t="s">
        <v>45</v>
      </c>
      <c r="AQ215" s="4" t="s">
        <v>2114</v>
      </c>
      <c r="AR215" s="4" t="s">
        <v>2114</v>
      </c>
    </row>
    <row r="216">
      <c r="A216" s="3" t="s">
        <v>2123</v>
      </c>
      <c r="B216" s="3" t="s">
        <v>2124</v>
      </c>
      <c r="C216" s="3" t="s">
        <v>2125</v>
      </c>
      <c r="D216" s="3" t="s">
        <v>1291</v>
      </c>
      <c r="E216" s="4" t="s">
        <v>2126</v>
      </c>
      <c r="F216" s="3" t="s">
        <v>1292</v>
      </c>
      <c r="G216" s="4" t="s">
        <v>2127</v>
      </c>
      <c r="H216" s="4" t="s">
        <v>2128</v>
      </c>
      <c r="I216" s="3" t="s">
        <v>436</v>
      </c>
      <c r="J216" s="3" t="s">
        <v>50</v>
      </c>
      <c r="K216" s="3" t="s">
        <v>45</v>
      </c>
      <c r="L216" s="3" t="s">
        <v>1295</v>
      </c>
      <c r="M216" s="3" t="s">
        <v>45</v>
      </c>
      <c r="N216" s="3" t="s">
        <v>45</v>
      </c>
      <c r="O216" s="3" t="s">
        <v>74</v>
      </c>
      <c r="P216" s="3" t="s">
        <v>45</v>
      </c>
      <c r="Q216" s="3" t="s">
        <v>45</v>
      </c>
      <c r="R216" s="3" t="s">
        <v>45</v>
      </c>
      <c r="S216" s="3" t="s">
        <v>45</v>
      </c>
      <c r="T216" s="3" t="s">
        <v>45</v>
      </c>
      <c r="U216" s="3" t="s">
        <v>45</v>
      </c>
      <c r="V216" s="4" t="s">
        <v>2120</v>
      </c>
      <c r="W216" s="4" t="s">
        <v>2121</v>
      </c>
      <c r="X216" s="3" t="s">
        <v>2129</v>
      </c>
      <c r="Y216" s="3" t="s">
        <v>45</v>
      </c>
      <c r="Z216" s="3" t="s">
        <v>55</v>
      </c>
      <c r="AA216" s="3" t="s">
        <v>45</v>
      </c>
      <c r="AB216" s="3" t="s">
        <v>45</v>
      </c>
      <c r="AC216" s="3" t="s">
        <v>45</v>
      </c>
      <c r="AD216" s="5" t="s">
        <v>1297</v>
      </c>
      <c r="AE216" s="3" t="s">
        <v>45</v>
      </c>
      <c r="AF216" s="3" t="s">
        <v>45</v>
      </c>
      <c r="AG216" s="3" t="s">
        <v>2130</v>
      </c>
      <c r="AH216" s="3" t="s">
        <v>840</v>
      </c>
      <c r="AI216" s="5" t="s">
        <v>2131</v>
      </c>
      <c r="AJ216" s="5" t="s">
        <v>2132</v>
      </c>
      <c r="AK216" s="3" t="s">
        <v>45</v>
      </c>
      <c r="AL216" s="3" t="s">
        <v>45</v>
      </c>
      <c r="AM216" s="3" t="s">
        <v>45</v>
      </c>
      <c r="AN216" s="3" t="s">
        <v>45</v>
      </c>
      <c r="AO216" s="3" t="s">
        <v>45</v>
      </c>
      <c r="AP216" s="3" t="s">
        <v>45</v>
      </c>
      <c r="AQ216" s="4" t="s">
        <v>1728</v>
      </c>
      <c r="AR216" s="4" t="s">
        <v>1387</v>
      </c>
    </row>
    <row r="217">
      <c r="A217" s="3" t="s">
        <v>2133</v>
      </c>
      <c r="B217" s="3" t="s">
        <v>2134</v>
      </c>
      <c r="C217" s="3" t="s">
        <v>2135</v>
      </c>
      <c r="D217" s="3" t="s">
        <v>1291</v>
      </c>
      <c r="E217" s="4" t="s">
        <v>2136</v>
      </c>
      <c r="F217" s="3" t="s">
        <v>2137</v>
      </c>
      <c r="G217" s="4" t="s">
        <v>2138</v>
      </c>
      <c r="H217" s="4" t="s">
        <v>2139</v>
      </c>
      <c r="I217" s="3" t="s">
        <v>49</v>
      </c>
      <c r="J217" s="3" t="s">
        <v>126</v>
      </c>
      <c r="K217" s="3" t="s">
        <v>45</v>
      </c>
      <c r="L217" s="3" t="s">
        <v>45</v>
      </c>
      <c r="M217" s="3" t="s">
        <v>45</v>
      </c>
      <c r="N217" s="3" t="s">
        <v>45</v>
      </c>
      <c r="O217" s="3" t="s">
        <v>88</v>
      </c>
      <c r="P217" s="3" t="s">
        <v>45</v>
      </c>
      <c r="Q217" s="3" t="s">
        <v>45</v>
      </c>
      <c r="R217" s="3" t="s">
        <v>45</v>
      </c>
      <c r="S217" s="4" t="s">
        <v>1872</v>
      </c>
      <c r="T217" s="3" t="s">
        <v>45</v>
      </c>
      <c r="U217" s="3" t="s">
        <v>45</v>
      </c>
      <c r="V217" s="4" t="s">
        <v>2140</v>
      </c>
      <c r="W217" s="4" t="s">
        <v>2141</v>
      </c>
      <c r="X217" s="3" t="s">
        <v>45</v>
      </c>
      <c r="Y217" s="3" t="s">
        <v>45</v>
      </c>
      <c r="Z217" s="3" t="s">
        <v>74</v>
      </c>
      <c r="AA217" s="3" t="s">
        <v>45</v>
      </c>
      <c r="AB217" s="3" t="s">
        <v>45</v>
      </c>
      <c r="AC217" s="3" t="s">
        <v>45</v>
      </c>
      <c r="AD217" s="3" t="s">
        <v>45</v>
      </c>
      <c r="AE217" s="3" t="s">
        <v>45</v>
      </c>
      <c r="AF217" s="3" t="s">
        <v>45</v>
      </c>
      <c r="AG217" s="3" t="s">
        <v>2142</v>
      </c>
      <c r="AH217" s="3" t="s">
        <v>57</v>
      </c>
      <c r="AI217" s="5" t="s">
        <v>2143</v>
      </c>
      <c r="AJ217" s="5" t="s">
        <v>2144</v>
      </c>
      <c r="AK217" s="5" t="s">
        <v>2145</v>
      </c>
      <c r="AL217" s="3" t="s">
        <v>45</v>
      </c>
      <c r="AM217" s="3" t="s">
        <v>45</v>
      </c>
      <c r="AN217" s="3" t="s">
        <v>45</v>
      </c>
      <c r="AO217" s="3" t="s">
        <v>45</v>
      </c>
      <c r="AP217" s="3" t="s">
        <v>45</v>
      </c>
      <c r="AQ217" s="4" t="s">
        <v>1113</v>
      </c>
      <c r="AR217" s="4" t="s">
        <v>1113</v>
      </c>
    </row>
    <row r="218">
      <c r="A218" s="3" t="s">
        <v>2146</v>
      </c>
      <c r="B218" s="3" t="s">
        <v>2147</v>
      </c>
      <c r="C218" s="3" t="s">
        <v>2135</v>
      </c>
      <c r="D218" s="3" t="s">
        <v>1291</v>
      </c>
      <c r="E218" s="4" t="s">
        <v>2148</v>
      </c>
      <c r="F218" s="3" t="s">
        <v>2137</v>
      </c>
      <c r="G218" s="4" t="s">
        <v>2149</v>
      </c>
      <c r="H218" s="4" t="s">
        <v>2150</v>
      </c>
      <c r="I218" s="3" t="s">
        <v>218</v>
      </c>
      <c r="J218" s="3" t="s">
        <v>126</v>
      </c>
      <c r="K218" s="3" t="s">
        <v>45</v>
      </c>
      <c r="L218" s="3" t="s">
        <v>2151</v>
      </c>
      <c r="M218" s="3" t="s">
        <v>45</v>
      </c>
      <c r="N218" s="3" t="s">
        <v>45</v>
      </c>
      <c r="O218" s="3" t="s">
        <v>88</v>
      </c>
      <c r="P218" s="3" t="s">
        <v>45</v>
      </c>
      <c r="Q218" s="3" t="s">
        <v>45</v>
      </c>
      <c r="R218" s="3" t="s">
        <v>45</v>
      </c>
      <c r="S218" s="3" t="s">
        <v>45</v>
      </c>
      <c r="T218" s="3" t="s">
        <v>45</v>
      </c>
      <c r="U218" s="3" t="s">
        <v>45</v>
      </c>
      <c r="V218" s="4" t="s">
        <v>2152</v>
      </c>
      <c r="W218" s="3" t="s">
        <v>45</v>
      </c>
      <c r="X218" s="3" t="s">
        <v>45</v>
      </c>
      <c r="Y218" s="3" t="s">
        <v>45</v>
      </c>
      <c r="Z218" s="3" t="s">
        <v>74</v>
      </c>
      <c r="AA218" s="3" t="s">
        <v>45</v>
      </c>
      <c r="AB218" s="3" t="s">
        <v>45</v>
      </c>
      <c r="AC218" s="3" t="s">
        <v>45</v>
      </c>
      <c r="AD218" s="3" t="s">
        <v>45</v>
      </c>
      <c r="AE218" s="3" t="s">
        <v>45</v>
      </c>
      <c r="AF218" s="3" t="s">
        <v>45</v>
      </c>
      <c r="AG218" s="3" t="s">
        <v>45</v>
      </c>
      <c r="AH218" s="3" t="s">
        <v>57</v>
      </c>
      <c r="AI218" s="5" t="s">
        <v>2153</v>
      </c>
      <c r="AJ218" s="5" t="s">
        <v>2154</v>
      </c>
      <c r="AK218" s="5" t="s">
        <v>1895</v>
      </c>
      <c r="AL218" s="5" t="s">
        <v>2155</v>
      </c>
      <c r="AM218" s="3" t="s">
        <v>45</v>
      </c>
      <c r="AN218" s="3" t="s">
        <v>45</v>
      </c>
      <c r="AO218" s="3" t="s">
        <v>45</v>
      </c>
      <c r="AP218" s="3" t="s">
        <v>45</v>
      </c>
      <c r="AQ218" s="4" t="s">
        <v>1085</v>
      </c>
      <c r="AR218" s="4" t="s">
        <v>2156</v>
      </c>
    </row>
    <row r="219">
      <c r="A219" s="3" t="s">
        <v>2157</v>
      </c>
      <c r="B219" s="3" t="s">
        <v>2158</v>
      </c>
      <c r="C219" s="3" t="s">
        <v>2135</v>
      </c>
      <c r="D219" s="3" t="s">
        <v>1291</v>
      </c>
      <c r="E219" s="4" t="s">
        <v>2136</v>
      </c>
      <c r="F219" s="3" t="s">
        <v>2159</v>
      </c>
      <c r="G219" s="4" t="s">
        <v>2160</v>
      </c>
      <c r="H219" s="4" t="s">
        <v>2161</v>
      </c>
      <c r="I219" s="3" t="s">
        <v>49</v>
      </c>
      <c r="J219" s="3" t="s">
        <v>126</v>
      </c>
      <c r="K219" s="3" t="s">
        <v>45</v>
      </c>
      <c r="L219" s="3" t="s">
        <v>45</v>
      </c>
      <c r="M219" s="3" t="s">
        <v>45</v>
      </c>
      <c r="N219" s="3" t="s">
        <v>45</v>
      </c>
      <c r="O219" s="3" t="s">
        <v>88</v>
      </c>
      <c r="P219" s="3" t="s">
        <v>45</v>
      </c>
      <c r="Q219" s="3" t="s">
        <v>45</v>
      </c>
      <c r="R219" s="3" t="s">
        <v>45</v>
      </c>
      <c r="S219" s="4" t="s">
        <v>1610</v>
      </c>
      <c r="T219" s="3" t="s">
        <v>45</v>
      </c>
      <c r="U219" s="3" t="s">
        <v>221</v>
      </c>
      <c r="V219" s="4" t="s">
        <v>2162</v>
      </c>
      <c r="W219" s="4" t="s">
        <v>2163</v>
      </c>
      <c r="X219" s="3" t="s">
        <v>2164</v>
      </c>
      <c r="Y219" s="3" t="s">
        <v>45</v>
      </c>
      <c r="Z219" s="3" t="s">
        <v>74</v>
      </c>
      <c r="AA219" s="3" t="s">
        <v>45</v>
      </c>
      <c r="AB219" s="3" t="s">
        <v>45</v>
      </c>
      <c r="AC219" s="3" t="s">
        <v>45</v>
      </c>
      <c r="AD219" s="3" t="s">
        <v>45</v>
      </c>
      <c r="AE219" s="3" t="s">
        <v>45</v>
      </c>
      <c r="AF219" s="3" t="s">
        <v>45</v>
      </c>
      <c r="AG219" s="3" t="s">
        <v>45</v>
      </c>
      <c r="AH219" s="3" t="s">
        <v>57</v>
      </c>
      <c r="AI219" s="5" t="s">
        <v>2165</v>
      </c>
      <c r="AJ219" s="3" t="s">
        <v>45</v>
      </c>
      <c r="AK219" s="3" t="s">
        <v>45</v>
      </c>
      <c r="AL219" s="3" t="s">
        <v>45</v>
      </c>
      <c r="AM219" s="3" t="s">
        <v>45</v>
      </c>
      <c r="AN219" s="3" t="s">
        <v>45</v>
      </c>
      <c r="AO219" s="3" t="s">
        <v>45</v>
      </c>
      <c r="AP219" s="3" t="s">
        <v>45</v>
      </c>
      <c r="AQ219" s="4" t="s">
        <v>2156</v>
      </c>
      <c r="AR219" s="4" t="s">
        <v>2156</v>
      </c>
    </row>
    <row r="220">
      <c r="A220" s="3" t="s">
        <v>2166</v>
      </c>
      <c r="B220" s="3" t="s">
        <v>2167</v>
      </c>
      <c r="C220" s="3" t="s">
        <v>2135</v>
      </c>
      <c r="D220" s="3" t="s">
        <v>1291</v>
      </c>
      <c r="E220" s="4" t="s">
        <v>2136</v>
      </c>
      <c r="F220" s="3" t="s">
        <v>2159</v>
      </c>
      <c r="G220" s="4" t="s">
        <v>2168</v>
      </c>
      <c r="H220" s="4" t="s">
        <v>2169</v>
      </c>
      <c r="I220" s="3" t="s">
        <v>49</v>
      </c>
      <c r="J220" s="3" t="s">
        <v>126</v>
      </c>
      <c r="K220" s="3" t="s">
        <v>45</v>
      </c>
      <c r="L220" s="3" t="s">
        <v>45</v>
      </c>
      <c r="M220" s="3" t="s">
        <v>45</v>
      </c>
      <c r="N220" s="3" t="s">
        <v>45</v>
      </c>
      <c r="O220" s="3" t="s">
        <v>70</v>
      </c>
      <c r="P220" s="3" t="s">
        <v>45</v>
      </c>
      <c r="Q220" s="3" t="s">
        <v>45</v>
      </c>
      <c r="R220" s="3" t="s">
        <v>45</v>
      </c>
      <c r="S220" s="4" t="s">
        <v>52</v>
      </c>
      <c r="T220" s="3" t="s">
        <v>45</v>
      </c>
      <c r="U220" s="3" t="s">
        <v>45</v>
      </c>
      <c r="V220" s="4" t="s">
        <v>2170</v>
      </c>
      <c r="W220" s="4" t="s">
        <v>2171</v>
      </c>
      <c r="X220" s="3" t="s">
        <v>45</v>
      </c>
      <c r="Y220" s="3" t="s">
        <v>45</v>
      </c>
      <c r="Z220" s="3" t="s">
        <v>74</v>
      </c>
      <c r="AA220" s="3" t="s">
        <v>45</v>
      </c>
      <c r="AB220" s="3" t="s">
        <v>45</v>
      </c>
      <c r="AC220" s="3" t="s">
        <v>45</v>
      </c>
      <c r="AD220" s="3" t="s">
        <v>45</v>
      </c>
      <c r="AE220" s="3" t="s">
        <v>45</v>
      </c>
      <c r="AF220" s="3" t="s">
        <v>45</v>
      </c>
      <c r="AG220" s="3" t="s">
        <v>45</v>
      </c>
      <c r="AH220" s="3" t="s">
        <v>57</v>
      </c>
      <c r="AI220" s="5" t="s">
        <v>2155</v>
      </c>
      <c r="AJ220" s="5" t="s">
        <v>2172</v>
      </c>
      <c r="AK220" s="3" t="s">
        <v>45</v>
      </c>
      <c r="AL220" s="3" t="s">
        <v>45</v>
      </c>
      <c r="AM220" s="3" t="s">
        <v>45</v>
      </c>
      <c r="AN220" s="3" t="s">
        <v>45</v>
      </c>
      <c r="AO220" s="3" t="s">
        <v>45</v>
      </c>
      <c r="AP220" s="3" t="s">
        <v>45</v>
      </c>
      <c r="AQ220" s="4" t="s">
        <v>2156</v>
      </c>
      <c r="AR220" s="4" t="s">
        <v>2156</v>
      </c>
    </row>
    <row r="221">
      <c r="A221" s="3" t="s">
        <v>2173</v>
      </c>
      <c r="B221" s="3" t="s">
        <v>2174</v>
      </c>
      <c r="C221" s="3" t="s">
        <v>2175</v>
      </c>
      <c r="D221" s="3" t="s">
        <v>1291</v>
      </c>
      <c r="E221" s="4" t="s">
        <v>2176</v>
      </c>
      <c r="F221" s="3" t="s">
        <v>2177</v>
      </c>
      <c r="G221" s="4" t="s">
        <v>2178</v>
      </c>
      <c r="H221" s="4" t="s">
        <v>2179</v>
      </c>
      <c r="I221" s="3" t="s">
        <v>49</v>
      </c>
      <c r="J221" s="3" t="s">
        <v>126</v>
      </c>
      <c r="K221" s="3" t="s">
        <v>45</v>
      </c>
      <c r="L221" s="3" t="s">
        <v>45</v>
      </c>
      <c r="M221" s="3" t="s">
        <v>45</v>
      </c>
      <c r="N221" s="3" t="s">
        <v>45</v>
      </c>
      <c r="O221" s="3" t="s">
        <v>74</v>
      </c>
      <c r="P221" s="3" t="s">
        <v>45</v>
      </c>
      <c r="Q221" s="3" t="s">
        <v>45</v>
      </c>
      <c r="R221" s="3" t="s">
        <v>45</v>
      </c>
      <c r="S221" s="3" t="s">
        <v>45</v>
      </c>
      <c r="T221" s="3" t="s">
        <v>45</v>
      </c>
      <c r="U221" s="3" t="s">
        <v>45</v>
      </c>
      <c r="V221" s="4" t="s">
        <v>2180</v>
      </c>
      <c r="W221" s="3" t="s">
        <v>45</v>
      </c>
      <c r="X221" s="3" t="s">
        <v>45</v>
      </c>
      <c r="Y221" s="3" t="s">
        <v>45</v>
      </c>
      <c r="Z221" s="3" t="s">
        <v>74</v>
      </c>
      <c r="AA221" s="3" t="s">
        <v>45</v>
      </c>
      <c r="AB221" s="3" t="s">
        <v>45</v>
      </c>
      <c r="AC221" s="3" t="s">
        <v>45</v>
      </c>
      <c r="AD221" s="3" t="s">
        <v>45</v>
      </c>
      <c r="AE221" s="3" t="s">
        <v>45</v>
      </c>
      <c r="AF221" s="3" t="s">
        <v>45</v>
      </c>
      <c r="AG221" s="3" t="s">
        <v>2181</v>
      </c>
      <c r="AH221" s="3" t="s">
        <v>57</v>
      </c>
      <c r="AI221" s="5" t="s">
        <v>2182</v>
      </c>
      <c r="AJ221" s="3" t="s">
        <v>45</v>
      </c>
      <c r="AK221" s="3" t="s">
        <v>45</v>
      </c>
      <c r="AL221" s="3" t="s">
        <v>45</v>
      </c>
      <c r="AM221" s="3" t="s">
        <v>45</v>
      </c>
      <c r="AN221" s="3" t="s">
        <v>45</v>
      </c>
      <c r="AO221" s="3" t="s">
        <v>45</v>
      </c>
      <c r="AP221" s="3" t="s">
        <v>45</v>
      </c>
      <c r="AQ221" s="4" t="s">
        <v>295</v>
      </c>
      <c r="AR221" s="4" t="s">
        <v>295</v>
      </c>
    </row>
    <row r="222">
      <c r="A222" s="3" t="s">
        <v>2183</v>
      </c>
      <c r="B222" s="3" t="s">
        <v>2184</v>
      </c>
      <c r="C222" s="3" t="s">
        <v>2175</v>
      </c>
      <c r="D222" s="3" t="s">
        <v>1291</v>
      </c>
      <c r="E222" s="4" t="s">
        <v>2176</v>
      </c>
      <c r="F222" s="3" t="s">
        <v>2177</v>
      </c>
      <c r="G222" s="4" t="s">
        <v>2185</v>
      </c>
      <c r="H222" s="4" t="s">
        <v>2186</v>
      </c>
      <c r="I222" s="3" t="s">
        <v>49</v>
      </c>
      <c r="J222" s="3" t="s">
        <v>126</v>
      </c>
      <c r="K222" s="3" t="s">
        <v>45</v>
      </c>
      <c r="L222" s="3" t="s">
        <v>2187</v>
      </c>
      <c r="M222" s="3" t="s">
        <v>45</v>
      </c>
      <c r="N222" s="3" t="s">
        <v>45</v>
      </c>
      <c r="O222" s="3" t="s">
        <v>74</v>
      </c>
      <c r="P222" s="3" t="s">
        <v>45</v>
      </c>
      <c r="Q222" s="3" t="s">
        <v>45</v>
      </c>
      <c r="R222" s="3" t="s">
        <v>45</v>
      </c>
      <c r="S222" s="3" t="s">
        <v>45</v>
      </c>
      <c r="T222" s="3" t="s">
        <v>45</v>
      </c>
      <c r="U222" s="3" t="s">
        <v>45</v>
      </c>
      <c r="V222" s="4" t="s">
        <v>2188</v>
      </c>
      <c r="W222" s="3" t="s">
        <v>45</v>
      </c>
      <c r="X222" s="3" t="s">
        <v>45</v>
      </c>
      <c r="Y222" s="3" t="s">
        <v>45</v>
      </c>
      <c r="Z222" s="3" t="s">
        <v>55</v>
      </c>
      <c r="AA222" s="3" t="s">
        <v>45</v>
      </c>
      <c r="AB222" s="3" t="s">
        <v>45</v>
      </c>
      <c r="AC222" s="3" t="s">
        <v>45</v>
      </c>
      <c r="AD222" s="3" t="s">
        <v>45</v>
      </c>
      <c r="AE222" s="3" t="s">
        <v>45</v>
      </c>
      <c r="AF222" s="5" t="s">
        <v>2189</v>
      </c>
      <c r="AG222" s="3" t="s">
        <v>45</v>
      </c>
      <c r="AH222" s="3" t="s">
        <v>1298</v>
      </c>
      <c r="AI222" s="5" t="s">
        <v>2190</v>
      </c>
      <c r="AJ222" s="3" t="s">
        <v>45</v>
      </c>
      <c r="AK222" s="3" t="s">
        <v>45</v>
      </c>
      <c r="AL222" s="3" t="s">
        <v>45</v>
      </c>
      <c r="AM222" s="3" t="s">
        <v>45</v>
      </c>
      <c r="AN222" s="3" t="s">
        <v>45</v>
      </c>
      <c r="AO222" s="3" t="s">
        <v>45</v>
      </c>
      <c r="AP222" s="3" t="s">
        <v>45</v>
      </c>
      <c r="AQ222" s="4" t="s">
        <v>1300</v>
      </c>
      <c r="AR222" s="4" t="s">
        <v>1387</v>
      </c>
    </row>
    <row r="223">
      <c r="A223" s="3" t="s">
        <v>2191</v>
      </c>
      <c r="B223" s="3" t="s">
        <v>2192</v>
      </c>
      <c r="C223" s="3" t="s">
        <v>2175</v>
      </c>
      <c r="D223" s="3" t="s">
        <v>1291</v>
      </c>
      <c r="E223" s="4" t="s">
        <v>2176</v>
      </c>
      <c r="F223" s="3" t="s">
        <v>2177</v>
      </c>
      <c r="G223" s="4" t="s">
        <v>2193</v>
      </c>
      <c r="H223" s="4" t="s">
        <v>2194</v>
      </c>
      <c r="I223" s="3" t="s">
        <v>49</v>
      </c>
      <c r="J223" s="3" t="s">
        <v>126</v>
      </c>
      <c r="K223" s="3" t="s">
        <v>45</v>
      </c>
      <c r="L223" s="3" t="s">
        <v>2195</v>
      </c>
      <c r="M223" s="3" t="s">
        <v>45</v>
      </c>
      <c r="N223" s="3" t="s">
        <v>45</v>
      </c>
      <c r="O223" s="3" t="s">
        <v>74</v>
      </c>
      <c r="P223" s="3" t="s">
        <v>45</v>
      </c>
      <c r="Q223" s="3" t="s">
        <v>45</v>
      </c>
      <c r="R223" s="3" t="s">
        <v>45</v>
      </c>
      <c r="S223" s="3" t="s">
        <v>45</v>
      </c>
      <c r="T223" s="3" t="s">
        <v>45</v>
      </c>
      <c r="U223" s="3" t="s">
        <v>45</v>
      </c>
      <c r="V223" s="4" t="s">
        <v>2196</v>
      </c>
      <c r="W223" s="3" t="s">
        <v>45</v>
      </c>
      <c r="X223" s="3" t="s">
        <v>45</v>
      </c>
      <c r="Y223" s="3" t="s">
        <v>45</v>
      </c>
      <c r="Z223" s="3" t="s">
        <v>55</v>
      </c>
      <c r="AA223" s="3" t="s">
        <v>45</v>
      </c>
      <c r="AB223" s="3" t="s">
        <v>45</v>
      </c>
      <c r="AC223" s="3" t="s">
        <v>45</v>
      </c>
      <c r="AD223" s="3" t="s">
        <v>45</v>
      </c>
      <c r="AE223" s="3" t="s">
        <v>45</v>
      </c>
      <c r="AF223" s="5" t="s">
        <v>2189</v>
      </c>
      <c r="AG223" s="3" t="s">
        <v>45</v>
      </c>
      <c r="AH223" s="3" t="s">
        <v>1298</v>
      </c>
      <c r="AI223" s="3" t="s">
        <v>1671</v>
      </c>
      <c r="AJ223" s="3" t="s">
        <v>45</v>
      </c>
      <c r="AK223" s="3" t="s">
        <v>45</v>
      </c>
      <c r="AL223" s="3" t="s">
        <v>45</v>
      </c>
      <c r="AM223" s="3" t="s">
        <v>45</v>
      </c>
      <c r="AN223" s="3" t="s">
        <v>45</v>
      </c>
      <c r="AO223" s="3" t="s">
        <v>45</v>
      </c>
      <c r="AP223" s="3" t="s">
        <v>45</v>
      </c>
      <c r="AQ223" s="4" t="s">
        <v>1300</v>
      </c>
      <c r="AR223" s="4" t="s">
        <v>2197</v>
      </c>
    </row>
    <row r="224">
      <c r="A224" s="3" t="s">
        <v>2198</v>
      </c>
      <c r="B224" s="3" t="s">
        <v>2199</v>
      </c>
      <c r="C224" s="3" t="s">
        <v>2200</v>
      </c>
      <c r="D224" s="3" t="s">
        <v>1291</v>
      </c>
      <c r="E224" s="4" t="s">
        <v>1361</v>
      </c>
      <c r="F224" s="3" t="s">
        <v>1362</v>
      </c>
      <c r="G224" s="4" t="s">
        <v>2201</v>
      </c>
      <c r="H224" s="4" t="s">
        <v>2202</v>
      </c>
      <c r="I224" s="3" t="s">
        <v>49</v>
      </c>
      <c r="J224" s="3" t="s">
        <v>126</v>
      </c>
      <c r="K224" s="3" t="s">
        <v>2203</v>
      </c>
      <c r="L224" s="3" t="s">
        <v>2204</v>
      </c>
      <c r="M224" s="3" t="s">
        <v>45</v>
      </c>
      <c r="N224" s="4" t="s">
        <v>102</v>
      </c>
      <c r="O224" s="3" t="s">
        <v>88</v>
      </c>
      <c r="P224" s="3" t="s">
        <v>1095</v>
      </c>
      <c r="Q224" s="3" t="s">
        <v>2205</v>
      </c>
      <c r="R224" s="3" t="s">
        <v>45</v>
      </c>
      <c r="S224" s="4" t="s">
        <v>104</v>
      </c>
      <c r="T224" s="3" t="s">
        <v>105</v>
      </c>
      <c r="U224" s="3" t="s">
        <v>221</v>
      </c>
      <c r="V224" s="4" t="s">
        <v>2206</v>
      </c>
      <c r="W224" s="4" t="s">
        <v>2207</v>
      </c>
      <c r="X224" s="3" t="s">
        <v>45</v>
      </c>
      <c r="Y224" s="3" t="s">
        <v>45</v>
      </c>
      <c r="Z224" s="3" t="s">
        <v>55</v>
      </c>
      <c r="AA224" s="3" t="s">
        <v>2208</v>
      </c>
      <c r="AB224" s="3" t="s">
        <v>109</v>
      </c>
      <c r="AC224" s="3" t="s">
        <v>2209</v>
      </c>
      <c r="AD224" s="5" t="s">
        <v>2210</v>
      </c>
      <c r="AE224" s="5" t="s">
        <v>2211</v>
      </c>
      <c r="AF224" s="3" t="s">
        <v>45</v>
      </c>
      <c r="AG224" s="3" t="s">
        <v>45</v>
      </c>
      <c r="AH224" s="3" t="s">
        <v>57</v>
      </c>
      <c r="AI224" s="5" t="s">
        <v>2212</v>
      </c>
      <c r="AJ224" s="3" t="s">
        <v>2213</v>
      </c>
      <c r="AK224" s="3" t="s">
        <v>45</v>
      </c>
      <c r="AL224" s="3" t="s">
        <v>45</v>
      </c>
      <c r="AM224" s="3" t="s">
        <v>45</v>
      </c>
      <c r="AN224" s="3" t="s">
        <v>45</v>
      </c>
      <c r="AO224" s="3" t="s">
        <v>45</v>
      </c>
      <c r="AP224" s="3" t="s">
        <v>45</v>
      </c>
      <c r="AQ224" s="4" t="s">
        <v>2214</v>
      </c>
      <c r="AR224" s="4" t="s">
        <v>2214</v>
      </c>
    </row>
    <row r="225">
      <c r="A225" s="3" t="s">
        <v>2215</v>
      </c>
      <c r="B225" s="3" t="s">
        <v>2216</v>
      </c>
      <c r="C225" s="3" t="s">
        <v>2217</v>
      </c>
      <c r="D225" s="3" t="s">
        <v>1291</v>
      </c>
      <c r="E225" s="4" t="s">
        <v>2218</v>
      </c>
      <c r="F225" s="3" t="s">
        <v>2219</v>
      </c>
      <c r="G225" s="4" t="s">
        <v>2220</v>
      </c>
      <c r="H225" s="4" t="s">
        <v>2221</v>
      </c>
      <c r="I225" s="3" t="s">
        <v>49</v>
      </c>
      <c r="J225" s="3" t="s">
        <v>50</v>
      </c>
      <c r="K225" s="3" t="s">
        <v>45</v>
      </c>
      <c r="L225" s="3" t="s">
        <v>45</v>
      </c>
      <c r="M225" s="3" t="s">
        <v>45</v>
      </c>
      <c r="N225" s="4" t="s">
        <v>2222</v>
      </c>
      <c r="O225" s="3" t="s">
        <v>88</v>
      </c>
      <c r="P225" s="3" t="s">
        <v>45</v>
      </c>
      <c r="Q225" s="3" t="s">
        <v>45</v>
      </c>
      <c r="R225" s="3" t="s">
        <v>45</v>
      </c>
      <c r="S225" s="3" t="s">
        <v>45</v>
      </c>
      <c r="T225" s="3" t="s">
        <v>45</v>
      </c>
      <c r="U225" s="3" t="s">
        <v>45</v>
      </c>
      <c r="V225" s="3" t="s">
        <v>45</v>
      </c>
      <c r="W225" s="4" t="s">
        <v>2223</v>
      </c>
      <c r="X225" s="3" t="s">
        <v>511</v>
      </c>
      <c r="Y225" s="3" t="s">
        <v>45</v>
      </c>
      <c r="Z225" s="3" t="s">
        <v>55</v>
      </c>
      <c r="AA225" s="3" t="s">
        <v>2224</v>
      </c>
      <c r="AB225" s="3" t="s">
        <v>45</v>
      </c>
      <c r="AC225" s="3" t="s">
        <v>45</v>
      </c>
      <c r="AD225" s="5" t="s">
        <v>2225</v>
      </c>
      <c r="AE225" s="3" t="s">
        <v>45</v>
      </c>
      <c r="AF225" s="3" t="s">
        <v>45</v>
      </c>
      <c r="AG225" s="3" t="s">
        <v>2226</v>
      </c>
      <c r="AH225" s="3" t="s">
        <v>57</v>
      </c>
      <c r="AI225" s="5" t="s">
        <v>2227</v>
      </c>
      <c r="AJ225" s="5" t="s">
        <v>2228</v>
      </c>
      <c r="AK225" s="5" t="s">
        <v>2229</v>
      </c>
      <c r="AL225" s="3" t="s">
        <v>45</v>
      </c>
      <c r="AM225" s="3" t="s">
        <v>45</v>
      </c>
      <c r="AN225" s="3" t="s">
        <v>45</v>
      </c>
      <c r="AO225" s="3" t="s">
        <v>45</v>
      </c>
      <c r="AP225" s="3" t="s">
        <v>45</v>
      </c>
      <c r="AQ225" s="4" t="s">
        <v>2230</v>
      </c>
      <c r="AR225" s="4" t="s">
        <v>2231</v>
      </c>
    </row>
    <row r="226">
      <c r="A226" s="3" t="s">
        <v>2232</v>
      </c>
      <c r="B226" s="3" t="s">
        <v>2233</v>
      </c>
      <c r="C226" s="3" t="s">
        <v>173</v>
      </c>
      <c r="D226" s="3" t="s">
        <v>1291</v>
      </c>
      <c r="E226" s="4" t="s">
        <v>2234</v>
      </c>
      <c r="F226" s="3" t="s">
        <v>2235</v>
      </c>
      <c r="G226" s="4" t="s">
        <v>2236</v>
      </c>
      <c r="H226" s="4" t="s">
        <v>2237</v>
      </c>
      <c r="I226" s="3" t="s">
        <v>49</v>
      </c>
      <c r="J226" s="3" t="s">
        <v>126</v>
      </c>
      <c r="K226" s="3" t="s">
        <v>45</v>
      </c>
      <c r="L226" s="3" t="s">
        <v>2238</v>
      </c>
      <c r="M226" s="3" t="s">
        <v>45</v>
      </c>
      <c r="N226" s="3" t="s">
        <v>45</v>
      </c>
      <c r="O226" s="3" t="s">
        <v>74</v>
      </c>
      <c r="P226" s="3" t="s">
        <v>45</v>
      </c>
      <c r="Q226" s="3" t="s">
        <v>45</v>
      </c>
      <c r="R226" s="3" t="s">
        <v>45</v>
      </c>
      <c r="S226" s="3" t="s">
        <v>45</v>
      </c>
      <c r="T226" s="3" t="s">
        <v>45</v>
      </c>
      <c r="U226" s="3" t="s">
        <v>45</v>
      </c>
      <c r="V226" s="4" t="s">
        <v>2239</v>
      </c>
      <c r="W226" s="3" t="s">
        <v>45</v>
      </c>
      <c r="X226" s="3" t="s">
        <v>45</v>
      </c>
      <c r="Y226" s="3" t="s">
        <v>45</v>
      </c>
      <c r="Z226" s="3" t="s">
        <v>74</v>
      </c>
      <c r="AA226" s="3" t="s">
        <v>45</v>
      </c>
      <c r="AB226" s="3" t="s">
        <v>45</v>
      </c>
      <c r="AC226" s="3" t="s">
        <v>45</v>
      </c>
      <c r="AD226" s="3" t="s">
        <v>45</v>
      </c>
      <c r="AE226" s="3" t="s">
        <v>45</v>
      </c>
      <c r="AF226" s="3" t="s">
        <v>45</v>
      </c>
      <c r="AG226" s="3" t="s">
        <v>45</v>
      </c>
      <c r="AH226" s="3" t="s">
        <v>1298</v>
      </c>
      <c r="AI226" s="5" t="s">
        <v>2240</v>
      </c>
      <c r="AJ226" s="3" t="s">
        <v>45</v>
      </c>
      <c r="AK226" s="3" t="s">
        <v>45</v>
      </c>
      <c r="AL226" s="3" t="s">
        <v>45</v>
      </c>
      <c r="AM226" s="3" t="s">
        <v>45</v>
      </c>
      <c r="AN226" s="3" t="s">
        <v>45</v>
      </c>
      <c r="AO226" s="3" t="s">
        <v>45</v>
      </c>
      <c r="AP226" s="3" t="s">
        <v>45</v>
      </c>
      <c r="AQ226" s="4" t="s">
        <v>1300</v>
      </c>
      <c r="AR226" s="4" t="s">
        <v>1300</v>
      </c>
    </row>
    <row r="227">
      <c r="A227" s="3" t="s">
        <v>2241</v>
      </c>
      <c r="B227" s="3" t="s">
        <v>2242</v>
      </c>
      <c r="C227" s="3" t="s">
        <v>2243</v>
      </c>
      <c r="D227" s="3" t="s">
        <v>1291</v>
      </c>
      <c r="E227" s="4" t="s">
        <v>2244</v>
      </c>
      <c r="F227" s="3" t="s">
        <v>2219</v>
      </c>
      <c r="G227" s="4" t="s">
        <v>2245</v>
      </c>
      <c r="H227" s="4" t="s">
        <v>2246</v>
      </c>
      <c r="I227" s="3" t="s">
        <v>85</v>
      </c>
      <c r="J227" s="3" t="s">
        <v>126</v>
      </c>
      <c r="K227" s="3" t="s">
        <v>45</v>
      </c>
      <c r="L227" s="3" t="s">
        <v>2247</v>
      </c>
      <c r="M227" s="3" t="s">
        <v>45</v>
      </c>
      <c r="N227" s="3" t="s">
        <v>45</v>
      </c>
      <c r="O227" s="3" t="s">
        <v>88</v>
      </c>
      <c r="P227" s="3" t="s">
        <v>45</v>
      </c>
      <c r="Q227" s="3" t="s">
        <v>45</v>
      </c>
      <c r="R227" s="3" t="s">
        <v>45</v>
      </c>
      <c r="S227" s="3" t="s">
        <v>45</v>
      </c>
      <c r="T227" s="3" t="s">
        <v>45</v>
      </c>
      <c r="U227" s="3" t="s">
        <v>45</v>
      </c>
      <c r="V227" s="3" t="s">
        <v>45</v>
      </c>
      <c r="W227" s="4" t="s">
        <v>2248</v>
      </c>
      <c r="X227" s="3" t="s">
        <v>45</v>
      </c>
      <c r="Y227" s="3" t="s">
        <v>45</v>
      </c>
      <c r="Z227" s="3" t="s">
        <v>74</v>
      </c>
      <c r="AA227" s="3" t="s">
        <v>45</v>
      </c>
      <c r="AB227" s="3" t="s">
        <v>45</v>
      </c>
      <c r="AC227" s="3" t="s">
        <v>45</v>
      </c>
      <c r="AD227" s="3" t="s">
        <v>45</v>
      </c>
      <c r="AE227" s="3" t="s">
        <v>45</v>
      </c>
      <c r="AF227" s="3" t="s">
        <v>45</v>
      </c>
      <c r="AG227" s="3" t="s">
        <v>45</v>
      </c>
      <c r="AH227" s="3" t="s">
        <v>1298</v>
      </c>
      <c r="AI227" s="5" t="s">
        <v>2249</v>
      </c>
      <c r="AJ227" s="5" t="s">
        <v>2250</v>
      </c>
      <c r="AK227" s="5" t="s">
        <v>2251</v>
      </c>
      <c r="AL227" s="3" t="s">
        <v>45</v>
      </c>
      <c r="AM227" s="3" t="s">
        <v>45</v>
      </c>
      <c r="AN227" s="3" t="s">
        <v>45</v>
      </c>
      <c r="AO227" s="3" t="s">
        <v>45</v>
      </c>
      <c r="AP227" s="3" t="s">
        <v>45</v>
      </c>
      <c r="AQ227" s="4" t="s">
        <v>1300</v>
      </c>
      <c r="AR227" s="4" t="s">
        <v>2252</v>
      </c>
    </row>
    <row r="228">
      <c r="A228" s="3" t="s">
        <v>2253</v>
      </c>
      <c r="B228" s="3" t="s">
        <v>2254</v>
      </c>
      <c r="C228" s="3" t="s">
        <v>2243</v>
      </c>
      <c r="D228" s="3" t="s">
        <v>1291</v>
      </c>
      <c r="E228" s="4" t="s">
        <v>2244</v>
      </c>
      <c r="F228" s="3" t="s">
        <v>2219</v>
      </c>
      <c r="G228" s="4" t="s">
        <v>2255</v>
      </c>
      <c r="H228" s="4" t="s">
        <v>2256</v>
      </c>
      <c r="I228" s="3" t="s">
        <v>49</v>
      </c>
      <c r="J228" s="3" t="s">
        <v>126</v>
      </c>
      <c r="K228" s="3" t="s">
        <v>45</v>
      </c>
      <c r="L228" s="3" t="s">
        <v>2257</v>
      </c>
      <c r="M228" s="3" t="s">
        <v>45</v>
      </c>
      <c r="N228" s="4" t="s">
        <v>2222</v>
      </c>
      <c r="O228" s="3" t="s">
        <v>88</v>
      </c>
      <c r="P228" s="3" t="s">
        <v>45</v>
      </c>
      <c r="Q228" s="3" t="s">
        <v>45</v>
      </c>
      <c r="R228" s="3" t="s">
        <v>45</v>
      </c>
      <c r="S228" s="3" t="s">
        <v>45</v>
      </c>
      <c r="T228" s="3" t="s">
        <v>45</v>
      </c>
      <c r="U228" s="3" t="s">
        <v>45</v>
      </c>
      <c r="V228" s="4" t="s">
        <v>1152</v>
      </c>
      <c r="W228" s="3" t="s">
        <v>45</v>
      </c>
      <c r="X228" s="3" t="s">
        <v>45</v>
      </c>
      <c r="Y228" s="3" t="s">
        <v>45</v>
      </c>
      <c r="Z228" s="3" t="s">
        <v>74</v>
      </c>
      <c r="AA228" s="3" t="s">
        <v>45</v>
      </c>
      <c r="AB228" s="3" t="s">
        <v>45</v>
      </c>
      <c r="AC228" s="3" t="s">
        <v>45</v>
      </c>
      <c r="AD228" s="3" t="s">
        <v>45</v>
      </c>
      <c r="AE228" s="3" t="s">
        <v>45</v>
      </c>
      <c r="AF228" s="3" t="s">
        <v>45</v>
      </c>
      <c r="AG228" s="3" t="s">
        <v>45</v>
      </c>
      <c r="AH228" s="3" t="s">
        <v>1298</v>
      </c>
      <c r="AI228" s="5" t="s">
        <v>2258</v>
      </c>
      <c r="AJ228" s="3" t="s">
        <v>45</v>
      </c>
      <c r="AK228" s="3" t="s">
        <v>45</v>
      </c>
      <c r="AL228" s="3" t="s">
        <v>45</v>
      </c>
      <c r="AM228" s="3" t="s">
        <v>45</v>
      </c>
      <c r="AN228" s="3" t="s">
        <v>45</v>
      </c>
      <c r="AO228" s="3" t="s">
        <v>45</v>
      </c>
      <c r="AP228" s="3" t="s">
        <v>45</v>
      </c>
      <c r="AQ228" s="4" t="s">
        <v>1300</v>
      </c>
      <c r="AR228" s="4" t="s">
        <v>1300</v>
      </c>
    </row>
    <row r="229">
      <c r="A229" s="3" t="s">
        <v>2259</v>
      </c>
      <c r="B229" s="3" t="s">
        <v>2260</v>
      </c>
      <c r="C229" s="3" t="s">
        <v>2261</v>
      </c>
      <c r="D229" s="3" t="s">
        <v>1291</v>
      </c>
      <c r="E229" s="3" t="s">
        <v>45</v>
      </c>
      <c r="F229" s="3" t="s">
        <v>1709</v>
      </c>
      <c r="G229" s="4" t="s">
        <v>2262</v>
      </c>
      <c r="H229" s="4" t="s">
        <v>2263</v>
      </c>
      <c r="I229" s="3" t="s">
        <v>49</v>
      </c>
      <c r="J229" s="3" t="s">
        <v>50</v>
      </c>
      <c r="K229" s="3" t="s">
        <v>45</v>
      </c>
      <c r="L229" s="3" t="s">
        <v>479</v>
      </c>
      <c r="M229" s="3" t="s">
        <v>45</v>
      </c>
      <c r="N229" s="3" t="s">
        <v>45</v>
      </c>
      <c r="O229" s="3" t="s">
        <v>74</v>
      </c>
      <c r="P229" s="3" t="s">
        <v>45</v>
      </c>
      <c r="Q229" s="3" t="s">
        <v>45</v>
      </c>
      <c r="R229" s="3" t="s">
        <v>45</v>
      </c>
      <c r="S229" s="3" t="s">
        <v>45</v>
      </c>
      <c r="T229" s="3" t="s">
        <v>45</v>
      </c>
      <c r="U229" s="3" t="s">
        <v>45</v>
      </c>
      <c r="V229" s="4" t="s">
        <v>2264</v>
      </c>
      <c r="W229" s="4" t="s">
        <v>1712</v>
      </c>
      <c r="X229" s="3" t="s">
        <v>1713</v>
      </c>
      <c r="Y229" s="3" t="s">
        <v>45</v>
      </c>
      <c r="Z229" s="3" t="s">
        <v>74</v>
      </c>
      <c r="AA229" s="3" t="s">
        <v>45</v>
      </c>
      <c r="AB229" s="3" t="s">
        <v>45</v>
      </c>
      <c r="AC229" s="3" t="s">
        <v>45</v>
      </c>
      <c r="AD229" s="3" t="s">
        <v>45</v>
      </c>
      <c r="AE229" s="3" t="s">
        <v>45</v>
      </c>
      <c r="AF229" s="3" t="s">
        <v>45</v>
      </c>
      <c r="AG229" s="3" t="s">
        <v>2265</v>
      </c>
      <c r="AH229" s="3" t="s">
        <v>57</v>
      </c>
      <c r="AI229" s="5" t="s">
        <v>2266</v>
      </c>
      <c r="AJ229" s="3" t="s">
        <v>45</v>
      </c>
      <c r="AK229" s="3" t="s">
        <v>45</v>
      </c>
      <c r="AL229" s="3" t="s">
        <v>45</v>
      </c>
      <c r="AM229" s="3" t="s">
        <v>45</v>
      </c>
      <c r="AN229" s="3" t="s">
        <v>45</v>
      </c>
      <c r="AO229" s="3" t="s">
        <v>45</v>
      </c>
      <c r="AP229" s="3" t="s">
        <v>45</v>
      </c>
      <c r="AQ229" s="4" t="s">
        <v>807</v>
      </c>
      <c r="AR229" s="4" t="s">
        <v>807</v>
      </c>
    </row>
    <row r="230">
      <c r="A230" s="3" t="s">
        <v>2267</v>
      </c>
      <c r="B230" s="3" t="s">
        <v>2268</v>
      </c>
      <c r="C230" s="3" t="s">
        <v>2269</v>
      </c>
      <c r="D230" s="3" t="s">
        <v>1291</v>
      </c>
      <c r="E230" s="4" t="s">
        <v>1947</v>
      </c>
      <c r="F230" s="3" t="s">
        <v>1330</v>
      </c>
      <c r="G230" s="4" t="s">
        <v>2270</v>
      </c>
      <c r="H230" s="4" t="s">
        <v>2271</v>
      </c>
      <c r="I230" s="3" t="s">
        <v>49</v>
      </c>
      <c r="J230" s="3" t="s">
        <v>126</v>
      </c>
      <c r="K230" s="3" t="s">
        <v>45</v>
      </c>
      <c r="L230" s="3" t="s">
        <v>1521</v>
      </c>
      <c r="M230" s="3" t="s">
        <v>45</v>
      </c>
      <c r="N230" s="4" t="s">
        <v>945</v>
      </c>
      <c r="O230" s="3" t="s">
        <v>722</v>
      </c>
      <c r="P230" s="3" t="s">
        <v>45</v>
      </c>
      <c r="Q230" s="3" t="s">
        <v>45</v>
      </c>
      <c r="R230" s="3" t="s">
        <v>45</v>
      </c>
      <c r="S230" s="3" t="s">
        <v>45</v>
      </c>
      <c r="T230" s="3" t="s">
        <v>45</v>
      </c>
      <c r="U230" s="3" t="s">
        <v>45</v>
      </c>
      <c r="V230" s="4" t="s">
        <v>2272</v>
      </c>
      <c r="W230" s="3" t="s">
        <v>45</v>
      </c>
      <c r="X230" s="3" t="s">
        <v>45</v>
      </c>
      <c r="Y230" s="3" t="s">
        <v>45</v>
      </c>
      <c r="Z230" s="3" t="s">
        <v>74</v>
      </c>
      <c r="AA230" s="3" t="s">
        <v>45</v>
      </c>
      <c r="AB230" s="3" t="s">
        <v>45</v>
      </c>
      <c r="AC230" s="3" t="s">
        <v>45</v>
      </c>
      <c r="AD230" s="3" t="s">
        <v>45</v>
      </c>
      <c r="AE230" s="3" t="s">
        <v>45</v>
      </c>
      <c r="AF230" s="3" t="s">
        <v>45</v>
      </c>
      <c r="AG230" s="3" t="s">
        <v>45</v>
      </c>
      <c r="AH230" s="3" t="s">
        <v>1298</v>
      </c>
      <c r="AI230" s="5" t="s">
        <v>2273</v>
      </c>
      <c r="AJ230" s="3" t="s">
        <v>45</v>
      </c>
      <c r="AK230" s="3" t="s">
        <v>45</v>
      </c>
      <c r="AL230" s="3" t="s">
        <v>45</v>
      </c>
      <c r="AM230" s="3" t="s">
        <v>45</v>
      </c>
      <c r="AN230" s="3" t="s">
        <v>45</v>
      </c>
      <c r="AO230" s="3" t="s">
        <v>45</v>
      </c>
      <c r="AP230" s="3" t="s">
        <v>45</v>
      </c>
      <c r="AQ230" s="4" t="s">
        <v>1300</v>
      </c>
      <c r="AR230" s="4" t="s">
        <v>1300</v>
      </c>
    </row>
    <row r="231">
      <c r="A231" s="3" t="s">
        <v>2274</v>
      </c>
      <c r="B231" s="3" t="s">
        <v>2275</v>
      </c>
      <c r="C231" s="3" t="s">
        <v>2276</v>
      </c>
      <c r="D231" s="3" t="s">
        <v>1291</v>
      </c>
      <c r="E231" s="4" t="s">
        <v>1947</v>
      </c>
      <c r="F231" s="3" t="s">
        <v>1948</v>
      </c>
      <c r="G231" s="4" t="s">
        <v>2277</v>
      </c>
      <c r="H231" s="4" t="s">
        <v>2278</v>
      </c>
      <c r="I231" s="3" t="s">
        <v>85</v>
      </c>
      <c r="J231" s="3" t="s">
        <v>126</v>
      </c>
      <c r="K231" s="3" t="s">
        <v>45</v>
      </c>
      <c r="L231" s="3" t="s">
        <v>1798</v>
      </c>
      <c r="M231" s="3" t="s">
        <v>45</v>
      </c>
      <c r="N231" s="4" t="s">
        <v>2279</v>
      </c>
      <c r="O231" s="3" t="s">
        <v>88</v>
      </c>
      <c r="P231" s="3" t="s">
        <v>45</v>
      </c>
      <c r="Q231" s="3" t="s">
        <v>45</v>
      </c>
      <c r="R231" s="3" t="s">
        <v>45</v>
      </c>
      <c r="S231" s="3" t="s">
        <v>45</v>
      </c>
      <c r="T231" s="3" t="s">
        <v>45</v>
      </c>
      <c r="U231" s="3" t="s">
        <v>45</v>
      </c>
      <c r="V231" s="4" t="s">
        <v>106</v>
      </c>
      <c r="W231" s="3" t="s">
        <v>45</v>
      </c>
      <c r="X231" s="3" t="s">
        <v>45</v>
      </c>
      <c r="Y231" s="3" t="s">
        <v>45</v>
      </c>
      <c r="Z231" s="3" t="s">
        <v>74</v>
      </c>
      <c r="AA231" s="3" t="s">
        <v>45</v>
      </c>
      <c r="AB231" s="3" t="s">
        <v>45</v>
      </c>
      <c r="AC231" s="3" t="s">
        <v>45</v>
      </c>
      <c r="AD231" s="3" t="s">
        <v>45</v>
      </c>
      <c r="AE231" s="3" t="s">
        <v>45</v>
      </c>
      <c r="AF231" s="3" t="s">
        <v>45</v>
      </c>
      <c r="AG231" s="3" t="s">
        <v>45</v>
      </c>
      <c r="AH231" s="3" t="s">
        <v>1298</v>
      </c>
      <c r="AI231" s="3" t="s">
        <v>45</v>
      </c>
      <c r="AJ231" s="3" t="s">
        <v>45</v>
      </c>
      <c r="AK231" s="3" t="s">
        <v>45</v>
      </c>
      <c r="AL231" s="3" t="s">
        <v>45</v>
      </c>
      <c r="AM231" s="3" t="s">
        <v>45</v>
      </c>
      <c r="AN231" s="3" t="s">
        <v>45</v>
      </c>
      <c r="AO231" s="3" t="s">
        <v>45</v>
      </c>
      <c r="AP231" s="3" t="s">
        <v>45</v>
      </c>
      <c r="AQ231" s="4" t="s">
        <v>1300</v>
      </c>
      <c r="AR231" s="4" t="s">
        <v>1300</v>
      </c>
    </row>
    <row r="232">
      <c r="A232" s="3" t="s">
        <v>2280</v>
      </c>
      <c r="B232" s="3" t="s">
        <v>2281</v>
      </c>
      <c r="C232" s="3" t="s">
        <v>2282</v>
      </c>
      <c r="D232" s="3" t="s">
        <v>1291</v>
      </c>
      <c r="E232" s="4" t="s">
        <v>1947</v>
      </c>
      <c r="F232" s="3" t="s">
        <v>1948</v>
      </c>
      <c r="G232" s="4" t="s">
        <v>2283</v>
      </c>
      <c r="H232" s="4" t="s">
        <v>2284</v>
      </c>
      <c r="I232" s="3" t="s">
        <v>85</v>
      </c>
      <c r="J232" s="3" t="s">
        <v>126</v>
      </c>
      <c r="K232" s="3" t="s">
        <v>45</v>
      </c>
      <c r="L232" s="3" t="s">
        <v>2285</v>
      </c>
      <c r="M232" s="3" t="s">
        <v>45</v>
      </c>
      <c r="N232" s="4" t="s">
        <v>1872</v>
      </c>
      <c r="O232" s="3" t="s">
        <v>53</v>
      </c>
      <c r="P232" s="3" t="s">
        <v>45</v>
      </c>
      <c r="Q232" s="3" t="s">
        <v>45</v>
      </c>
      <c r="R232" s="3" t="s">
        <v>45</v>
      </c>
      <c r="S232" s="3" t="s">
        <v>45</v>
      </c>
      <c r="T232" s="3" t="s">
        <v>45</v>
      </c>
      <c r="U232" s="3" t="s">
        <v>45</v>
      </c>
      <c r="V232" s="4" t="s">
        <v>2286</v>
      </c>
      <c r="W232" s="3" t="s">
        <v>45</v>
      </c>
      <c r="X232" s="3" t="s">
        <v>45</v>
      </c>
      <c r="Y232" s="3" t="s">
        <v>45</v>
      </c>
      <c r="Z232" s="3" t="s">
        <v>74</v>
      </c>
      <c r="AA232" s="3" t="s">
        <v>45</v>
      </c>
      <c r="AB232" s="3" t="s">
        <v>45</v>
      </c>
      <c r="AC232" s="3" t="s">
        <v>45</v>
      </c>
      <c r="AD232" s="3" t="s">
        <v>45</v>
      </c>
      <c r="AE232" s="3" t="s">
        <v>45</v>
      </c>
      <c r="AF232" s="3" t="s">
        <v>45</v>
      </c>
      <c r="AG232" s="3" t="s">
        <v>45</v>
      </c>
      <c r="AH232" s="3" t="s">
        <v>1298</v>
      </c>
      <c r="AI232" s="5" t="s">
        <v>2287</v>
      </c>
      <c r="AJ232" s="3" t="s">
        <v>45</v>
      </c>
      <c r="AK232" s="3" t="s">
        <v>45</v>
      </c>
      <c r="AL232" s="3" t="s">
        <v>45</v>
      </c>
      <c r="AM232" s="3" t="s">
        <v>45</v>
      </c>
      <c r="AN232" s="3" t="s">
        <v>45</v>
      </c>
      <c r="AO232" s="3" t="s">
        <v>45</v>
      </c>
      <c r="AP232" s="3" t="s">
        <v>45</v>
      </c>
      <c r="AQ232" s="4" t="s">
        <v>1300</v>
      </c>
      <c r="AR232" s="4" t="s">
        <v>1114</v>
      </c>
    </row>
    <row r="233">
      <c r="A233" s="3" t="s">
        <v>2288</v>
      </c>
      <c r="B233" s="3" t="s">
        <v>2289</v>
      </c>
      <c r="C233" s="3" t="s">
        <v>2282</v>
      </c>
      <c r="D233" s="3" t="s">
        <v>1291</v>
      </c>
      <c r="E233" s="4" t="s">
        <v>1947</v>
      </c>
      <c r="F233" s="3" t="s">
        <v>1948</v>
      </c>
      <c r="G233" s="4" t="s">
        <v>2283</v>
      </c>
      <c r="H233" s="4" t="s">
        <v>2284</v>
      </c>
      <c r="I233" s="3" t="s">
        <v>85</v>
      </c>
      <c r="J233" s="3" t="s">
        <v>126</v>
      </c>
      <c r="K233" s="3" t="s">
        <v>45</v>
      </c>
      <c r="L233" s="3" t="s">
        <v>2285</v>
      </c>
      <c r="M233" s="3" t="s">
        <v>45</v>
      </c>
      <c r="N233" s="4" t="s">
        <v>129</v>
      </c>
      <c r="O233" s="3" t="s">
        <v>390</v>
      </c>
      <c r="P233" s="3" t="s">
        <v>45</v>
      </c>
      <c r="Q233" s="3" t="s">
        <v>45</v>
      </c>
      <c r="R233" s="3" t="s">
        <v>45</v>
      </c>
      <c r="S233" s="3" t="s">
        <v>45</v>
      </c>
      <c r="T233" s="3" t="s">
        <v>45</v>
      </c>
      <c r="U233" s="3" t="s">
        <v>45</v>
      </c>
      <c r="V233" s="4" t="s">
        <v>2286</v>
      </c>
      <c r="W233" s="3" t="s">
        <v>45</v>
      </c>
      <c r="X233" s="3" t="s">
        <v>45</v>
      </c>
      <c r="Y233" s="3" t="s">
        <v>45</v>
      </c>
      <c r="Z233" s="3" t="s">
        <v>74</v>
      </c>
      <c r="AA233" s="3" t="s">
        <v>45</v>
      </c>
      <c r="AB233" s="3" t="s">
        <v>45</v>
      </c>
      <c r="AC233" s="3" t="s">
        <v>45</v>
      </c>
      <c r="AD233" s="3" t="s">
        <v>45</v>
      </c>
      <c r="AE233" s="3" t="s">
        <v>45</v>
      </c>
      <c r="AF233" s="3" t="s">
        <v>45</v>
      </c>
      <c r="AG233" s="3" t="s">
        <v>45</v>
      </c>
      <c r="AH233" s="3" t="s">
        <v>1298</v>
      </c>
      <c r="AI233" s="3" t="s">
        <v>45</v>
      </c>
      <c r="AJ233" s="3" t="s">
        <v>45</v>
      </c>
      <c r="AK233" s="3" t="s">
        <v>45</v>
      </c>
      <c r="AL233" s="3" t="s">
        <v>45</v>
      </c>
      <c r="AM233" s="3" t="s">
        <v>45</v>
      </c>
      <c r="AN233" s="3" t="s">
        <v>45</v>
      </c>
      <c r="AO233" s="3" t="s">
        <v>45</v>
      </c>
      <c r="AP233" s="3" t="s">
        <v>45</v>
      </c>
      <c r="AQ233" s="4" t="s">
        <v>1300</v>
      </c>
      <c r="AR233" s="4" t="s">
        <v>1300</v>
      </c>
    </row>
    <row r="234">
      <c r="A234" s="3" t="s">
        <v>2290</v>
      </c>
      <c r="B234" s="3" t="s">
        <v>2291</v>
      </c>
      <c r="C234" s="3" t="s">
        <v>2282</v>
      </c>
      <c r="D234" s="3" t="s">
        <v>1291</v>
      </c>
      <c r="E234" s="4" t="s">
        <v>1947</v>
      </c>
      <c r="F234" s="3" t="s">
        <v>1948</v>
      </c>
      <c r="G234" s="4" t="s">
        <v>2292</v>
      </c>
      <c r="H234" s="4" t="s">
        <v>2293</v>
      </c>
      <c r="I234" s="3" t="s">
        <v>85</v>
      </c>
      <c r="J234" s="3" t="s">
        <v>126</v>
      </c>
      <c r="K234" s="3" t="s">
        <v>45</v>
      </c>
      <c r="L234" s="3" t="s">
        <v>1852</v>
      </c>
      <c r="M234" s="3" t="s">
        <v>45</v>
      </c>
      <c r="N234" s="4" t="s">
        <v>87</v>
      </c>
      <c r="O234" s="3" t="s">
        <v>88</v>
      </c>
      <c r="P234" s="3" t="s">
        <v>45</v>
      </c>
      <c r="Q234" s="3" t="s">
        <v>45</v>
      </c>
      <c r="R234" s="3" t="s">
        <v>45</v>
      </c>
      <c r="S234" s="3" t="s">
        <v>45</v>
      </c>
      <c r="T234" s="3" t="s">
        <v>45</v>
      </c>
      <c r="U234" s="3" t="s">
        <v>45</v>
      </c>
      <c r="V234" s="4" t="s">
        <v>2180</v>
      </c>
      <c r="W234" s="3" t="s">
        <v>45</v>
      </c>
      <c r="X234" s="3" t="s">
        <v>45</v>
      </c>
      <c r="Y234" s="3" t="s">
        <v>45</v>
      </c>
      <c r="Z234" s="3" t="s">
        <v>74</v>
      </c>
      <c r="AA234" s="3" t="s">
        <v>45</v>
      </c>
      <c r="AB234" s="3" t="s">
        <v>45</v>
      </c>
      <c r="AC234" s="3" t="s">
        <v>45</v>
      </c>
      <c r="AD234" s="3" t="s">
        <v>45</v>
      </c>
      <c r="AE234" s="3" t="s">
        <v>45</v>
      </c>
      <c r="AF234" s="3" t="s">
        <v>45</v>
      </c>
      <c r="AG234" s="3" t="s">
        <v>45</v>
      </c>
      <c r="AH234" s="3" t="s">
        <v>1298</v>
      </c>
      <c r="AI234" s="3" t="s">
        <v>45</v>
      </c>
      <c r="AJ234" s="3" t="s">
        <v>45</v>
      </c>
      <c r="AK234" s="3" t="s">
        <v>45</v>
      </c>
      <c r="AL234" s="3" t="s">
        <v>45</v>
      </c>
      <c r="AM234" s="3" t="s">
        <v>45</v>
      </c>
      <c r="AN234" s="3" t="s">
        <v>45</v>
      </c>
      <c r="AO234" s="3" t="s">
        <v>45</v>
      </c>
      <c r="AP234" s="3" t="s">
        <v>45</v>
      </c>
      <c r="AQ234" s="4" t="s">
        <v>1300</v>
      </c>
      <c r="AR234" s="4" t="s">
        <v>1300</v>
      </c>
    </row>
    <row r="235">
      <c r="A235" s="3" t="s">
        <v>2294</v>
      </c>
      <c r="B235" s="3" t="s">
        <v>2295</v>
      </c>
      <c r="C235" s="3" t="s">
        <v>2282</v>
      </c>
      <c r="D235" s="3" t="s">
        <v>1291</v>
      </c>
      <c r="E235" s="4" t="s">
        <v>1947</v>
      </c>
      <c r="F235" s="3" t="s">
        <v>1948</v>
      </c>
      <c r="G235" s="4" t="s">
        <v>2296</v>
      </c>
      <c r="H235" s="4" t="s">
        <v>2297</v>
      </c>
      <c r="I235" s="3" t="s">
        <v>85</v>
      </c>
      <c r="J235" s="3" t="s">
        <v>126</v>
      </c>
      <c r="K235" s="3" t="s">
        <v>45</v>
      </c>
      <c r="L235" s="3" t="s">
        <v>921</v>
      </c>
      <c r="M235" s="3" t="s">
        <v>45</v>
      </c>
      <c r="N235" s="3" t="s">
        <v>45</v>
      </c>
      <c r="O235" s="3" t="s">
        <v>74</v>
      </c>
      <c r="P235" s="3" t="s">
        <v>45</v>
      </c>
      <c r="Q235" s="3" t="s">
        <v>45</v>
      </c>
      <c r="R235" s="3" t="s">
        <v>45</v>
      </c>
      <c r="S235" s="3" t="s">
        <v>45</v>
      </c>
      <c r="T235" s="3" t="s">
        <v>45</v>
      </c>
      <c r="U235" s="3" t="s">
        <v>45</v>
      </c>
      <c r="V235" s="4" t="s">
        <v>2298</v>
      </c>
      <c r="W235" s="3" t="s">
        <v>45</v>
      </c>
      <c r="X235" s="3" t="s">
        <v>45</v>
      </c>
      <c r="Y235" s="3" t="s">
        <v>45</v>
      </c>
      <c r="Z235" s="3" t="s">
        <v>74</v>
      </c>
      <c r="AA235" s="3" t="s">
        <v>45</v>
      </c>
      <c r="AB235" s="3" t="s">
        <v>45</v>
      </c>
      <c r="AC235" s="3" t="s">
        <v>45</v>
      </c>
      <c r="AD235" s="3" t="s">
        <v>45</v>
      </c>
      <c r="AE235" s="3" t="s">
        <v>45</v>
      </c>
      <c r="AF235" s="3" t="s">
        <v>45</v>
      </c>
      <c r="AG235" s="3" t="s">
        <v>45</v>
      </c>
      <c r="AH235" s="3" t="s">
        <v>57</v>
      </c>
      <c r="AI235" s="5" t="s">
        <v>1441</v>
      </c>
      <c r="AJ235" s="5" t="s">
        <v>2299</v>
      </c>
      <c r="AK235" s="3" t="s">
        <v>45</v>
      </c>
      <c r="AL235" s="3" t="s">
        <v>45</v>
      </c>
      <c r="AM235" s="3" t="s">
        <v>45</v>
      </c>
      <c r="AN235" s="3" t="s">
        <v>45</v>
      </c>
      <c r="AO235" s="3" t="s">
        <v>45</v>
      </c>
      <c r="AP235" s="3" t="s">
        <v>45</v>
      </c>
      <c r="AQ235" s="4" t="s">
        <v>627</v>
      </c>
      <c r="AR235" s="4" t="s">
        <v>627</v>
      </c>
    </row>
    <row r="236">
      <c r="A236" s="3" t="s">
        <v>2300</v>
      </c>
      <c r="B236" s="3" t="s">
        <v>2301</v>
      </c>
      <c r="C236" s="3" t="s">
        <v>2282</v>
      </c>
      <c r="D236" s="3" t="s">
        <v>1291</v>
      </c>
      <c r="E236" s="4" t="s">
        <v>1947</v>
      </c>
      <c r="F236" s="3" t="s">
        <v>1948</v>
      </c>
      <c r="G236" s="4" t="s">
        <v>2302</v>
      </c>
      <c r="H236" s="4" t="s">
        <v>2303</v>
      </c>
      <c r="I236" s="3" t="s">
        <v>85</v>
      </c>
      <c r="J236" s="3" t="s">
        <v>126</v>
      </c>
      <c r="K236" s="3" t="s">
        <v>45</v>
      </c>
      <c r="L236" s="3" t="s">
        <v>176</v>
      </c>
      <c r="M236" s="3" t="s">
        <v>45</v>
      </c>
      <c r="N236" s="4" t="s">
        <v>1316</v>
      </c>
      <c r="O236" s="3" t="s">
        <v>722</v>
      </c>
      <c r="P236" s="3" t="s">
        <v>45</v>
      </c>
      <c r="Q236" s="3" t="s">
        <v>45</v>
      </c>
      <c r="R236" s="3" t="s">
        <v>45</v>
      </c>
      <c r="S236" s="3" t="s">
        <v>45</v>
      </c>
      <c r="T236" s="3" t="s">
        <v>45</v>
      </c>
      <c r="U236" s="3" t="s">
        <v>45</v>
      </c>
      <c r="V236" s="4" t="s">
        <v>611</v>
      </c>
      <c r="W236" s="3" t="s">
        <v>45</v>
      </c>
      <c r="X236" s="3" t="s">
        <v>45</v>
      </c>
      <c r="Y236" s="3" t="s">
        <v>45</v>
      </c>
      <c r="Z236" s="3" t="s">
        <v>74</v>
      </c>
      <c r="AA236" s="3" t="s">
        <v>45</v>
      </c>
      <c r="AB236" s="3" t="s">
        <v>45</v>
      </c>
      <c r="AC236" s="3" t="s">
        <v>45</v>
      </c>
      <c r="AD236" s="3" t="s">
        <v>45</v>
      </c>
      <c r="AE236" s="3" t="s">
        <v>45</v>
      </c>
      <c r="AF236" s="3" t="s">
        <v>45</v>
      </c>
      <c r="AG236" s="3" t="s">
        <v>45</v>
      </c>
      <c r="AH236" s="3" t="s">
        <v>1298</v>
      </c>
      <c r="AI236" s="5" t="s">
        <v>2304</v>
      </c>
      <c r="AJ236" s="3" t="s">
        <v>45</v>
      </c>
      <c r="AK236" s="3" t="s">
        <v>45</v>
      </c>
      <c r="AL236" s="3" t="s">
        <v>45</v>
      </c>
      <c r="AM236" s="3" t="s">
        <v>45</v>
      </c>
      <c r="AN236" s="3" t="s">
        <v>45</v>
      </c>
      <c r="AO236" s="3" t="s">
        <v>45</v>
      </c>
      <c r="AP236" s="3" t="s">
        <v>45</v>
      </c>
      <c r="AQ236" s="4" t="s">
        <v>1300</v>
      </c>
      <c r="AR236" s="4" t="s">
        <v>1300</v>
      </c>
    </row>
    <row r="237">
      <c r="A237" s="3" t="s">
        <v>2305</v>
      </c>
      <c r="B237" s="3" t="s">
        <v>2306</v>
      </c>
      <c r="C237" s="3" t="s">
        <v>2282</v>
      </c>
      <c r="D237" s="3" t="s">
        <v>1291</v>
      </c>
      <c r="E237" s="4" t="s">
        <v>1947</v>
      </c>
      <c r="F237" s="3" t="s">
        <v>1948</v>
      </c>
      <c r="G237" s="4" t="s">
        <v>2307</v>
      </c>
      <c r="H237" s="4" t="s">
        <v>2308</v>
      </c>
      <c r="I237" s="3" t="s">
        <v>49</v>
      </c>
      <c r="J237" s="3" t="s">
        <v>126</v>
      </c>
      <c r="K237" s="3" t="s">
        <v>45</v>
      </c>
      <c r="L237" s="3" t="s">
        <v>409</v>
      </c>
      <c r="M237" s="3" t="s">
        <v>45</v>
      </c>
      <c r="N237" s="3" t="s">
        <v>45</v>
      </c>
      <c r="O237" s="3" t="s">
        <v>74</v>
      </c>
      <c r="P237" s="3" t="s">
        <v>45</v>
      </c>
      <c r="Q237" s="3" t="s">
        <v>45</v>
      </c>
      <c r="R237" s="3" t="s">
        <v>45</v>
      </c>
      <c r="S237" s="3" t="s">
        <v>45</v>
      </c>
      <c r="T237" s="3" t="s">
        <v>45</v>
      </c>
      <c r="U237" s="3" t="s">
        <v>45</v>
      </c>
      <c r="V237" s="4" t="s">
        <v>106</v>
      </c>
      <c r="W237" s="4" t="s">
        <v>668</v>
      </c>
      <c r="X237" s="3" t="s">
        <v>45</v>
      </c>
      <c r="Y237" s="3" t="s">
        <v>45</v>
      </c>
      <c r="Z237" s="3" t="s">
        <v>74</v>
      </c>
      <c r="AA237" s="3" t="s">
        <v>45</v>
      </c>
      <c r="AB237" s="3" t="s">
        <v>45</v>
      </c>
      <c r="AC237" s="3" t="s">
        <v>45</v>
      </c>
      <c r="AD237" s="3" t="s">
        <v>45</v>
      </c>
      <c r="AE237" s="3" t="s">
        <v>45</v>
      </c>
      <c r="AF237" s="3" t="s">
        <v>45</v>
      </c>
      <c r="AG237" s="3" t="s">
        <v>45</v>
      </c>
      <c r="AH237" s="3" t="s">
        <v>57</v>
      </c>
      <c r="AI237" s="5" t="s">
        <v>2309</v>
      </c>
      <c r="AJ237" s="3" t="s">
        <v>45</v>
      </c>
      <c r="AK237" s="3" t="s">
        <v>45</v>
      </c>
      <c r="AL237" s="3" t="s">
        <v>45</v>
      </c>
      <c r="AM237" s="3" t="s">
        <v>45</v>
      </c>
      <c r="AN237" s="3" t="s">
        <v>45</v>
      </c>
      <c r="AO237" s="3" t="s">
        <v>45</v>
      </c>
      <c r="AP237" s="3" t="s">
        <v>45</v>
      </c>
      <c r="AQ237" s="4" t="s">
        <v>1654</v>
      </c>
      <c r="AR237" s="4" t="s">
        <v>1654</v>
      </c>
    </row>
    <row r="238">
      <c r="A238" s="3" t="s">
        <v>2310</v>
      </c>
      <c r="B238" s="3" t="s">
        <v>2311</v>
      </c>
      <c r="C238" s="3" t="s">
        <v>2282</v>
      </c>
      <c r="D238" s="3" t="s">
        <v>1291</v>
      </c>
      <c r="E238" s="4" t="s">
        <v>1947</v>
      </c>
      <c r="F238" s="3" t="s">
        <v>1948</v>
      </c>
      <c r="G238" s="4" t="s">
        <v>2312</v>
      </c>
      <c r="H238" s="4" t="s">
        <v>2313</v>
      </c>
      <c r="I238" s="3" t="s">
        <v>85</v>
      </c>
      <c r="J238" s="3" t="s">
        <v>126</v>
      </c>
      <c r="K238" s="3" t="s">
        <v>45</v>
      </c>
      <c r="L238" s="3" t="s">
        <v>2314</v>
      </c>
      <c r="M238" s="3" t="s">
        <v>45</v>
      </c>
      <c r="N238" s="3" t="s">
        <v>45</v>
      </c>
      <c r="O238" s="3" t="s">
        <v>74</v>
      </c>
      <c r="P238" s="3" t="s">
        <v>45</v>
      </c>
      <c r="Q238" s="3" t="s">
        <v>45</v>
      </c>
      <c r="R238" s="3" t="s">
        <v>45</v>
      </c>
      <c r="S238" s="3" t="s">
        <v>45</v>
      </c>
      <c r="T238" s="3" t="s">
        <v>45</v>
      </c>
      <c r="U238" s="3" t="s">
        <v>45</v>
      </c>
      <c r="V238" s="3" t="s">
        <v>45</v>
      </c>
      <c r="W238" s="3" t="s">
        <v>45</v>
      </c>
      <c r="X238" s="3" t="s">
        <v>45</v>
      </c>
      <c r="Y238" s="3" t="s">
        <v>45</v>
      </c>
      <c r="Z238" s="3" t="s">
        <v>74</v>
      </c>
      <c r="AA238" s="3" t="s">
        <v>45</v>
      </c>
      <c r="AB238" s="3" t="s">
        <v>45</v>
      </c>
      <c r="AC238" s="3" t="s">
        <v>45</v>
      </c>
      <c r="AD238" s="3" t="s">
        <v>45</v>
      </c>
      <c r="AE238" s="3" t="s">
        <v>45</v>
      </c>
      <c r="AF238" s="3" t="s">
        <v>45</v>
      </c>
      <c r="AG238" s="3" t="s">
        <v>45</v>
      </c>
      <c r="AH238" s="3" t="s">
        <v>1298</v>
      </c>
      <c r="AI238" s="5" t="s">
        <v>2315</v>
      </c>
      <c r="AJ238" s="3" t="s">
        <v>45</v>
      </c>
      <c r="AK238" s="3" t="s">
        <v>45</v>
      </c>
      <c r="AL238" s="3" t="s">
        <v>45</v>
      </c>
      <c r="AM238" s="3" t="s">
        <v>45</v>
      </c>
      <c r="AN238" s="3" t="s">
        <v>45</v>
      </c>
      <c r="AO238" s="3" t="s">
        <v>45</v>
      </c>
      <c r="AP238" s="3" t="s">
        <v>45</v>
      </c>
      <c r="AQ238" s="4" t="s">
        <v>1300</v>
      </c>
      <c r="AR238" s="4" t="s">
        <v>1300</v>
      </c>
    </row>
    <row r="239">
      <c r="A239" s="3" t="s">
        <v>2316</v>
      </c>
      <c r="B239" s="3" t="s">
        <v>2317</v>
      </c>
      <c r="C239" s="3" t="s">
        <v>2282</v>
      </c>
      <c r="D239" s="3" t="s">
        <v>1291</v>
      </c>
      <c r="E239" s="4" t="s">
        <v>1947</v>
      </c>
      <c r="F239" s="3" t="s">
        <v>1948</v>
      </c>
      <c r="G239" s="4" t="s">
        <v>2318</v>
      </c>
      <c r="H239" s="4" t="s">
        <v>2319</v>
      </c>
      <c r="I239" s="3" t="s">
        <v>49</v>
      </c>
      <c r="J239" s="3" t="s">
        <v>126</v>
      </c>
      <c r="K239" s="3" t="s">
        <v>45</v>
      </c>
      <c r="L239" s="3" t="s">
        <v>479</v>
      </c>
      <c r="M239" s="3" t="s">
        <v>45</v>
      </c>
      <c r="N239" s="3" t="s">
        <v>45</v>
      </c>
      <c r="O239" s="3" t="s">
        <v>74</v>
      </c>
      <c r="P239" s="3" t="s">
        <v>45</v>
      </c>
      <c r="Q239" s="3" t="s">
        <v>45</v>
      </c>
      <c r="R239" s="3" t="s">
        <v>45</v>
      </c>
      <c r="S239" s="3" t="s">
        <v>45</v>
      </c>
      <c r="T239" s="3" t="s">
        <v>45</v>
      </c>
      <c r="U239" s="3" t="s">
        <v>45</v>
      </c>
      <c r="V239" s="4" t="s">
        <v>2320</v>
      </c>
      <c r="W239" s="3" t="s">
        <v>45</v>
      </c>
      <c r="X239" s="3" t="s">
        <v>45</v>
      </c>
      <c r="Y239" s="3" t="s">
        <v>45</v>
      </c>
      <c r="Z239" s="3" t="s">
        <v>74</v>
      </c>
      <c r="AA239" s="3" t="s">
        <v>45</v>
      </c>
      <c r="AB239" s="3" t="s">
        <v>45</v>
      </c>
      <c r="AC239" s="3" t="s">
        <v>45</v>
      </c>
      <c r="AD239" s="3" t="s">
        <v>45</v>
      </c>
      <c r="AE239" s="3" t="s">
        <v>45</v>
      </c>
      <c r="AF239" s="3" t="s">
        <v>45</v>
      </c>
      <c r="AG239" s="3" t="s">
        <v>45</v>
      </c>
      <c r="AH239" s="3" t="s">
        <v>57</v>
      </c>
      <c r="AI239" s="5" t="s">
        <v>2321</v>
      </c>
      <c r="AJ239" s="5" t="s">
        <v>2322</v>
      </c>
      <c r="AK239" s="3" t="s">
        <v>45</v>
      </c>
      <c r="AL239" s="3" t="s">
        <v>45</v>
      </c>
      <c r="AM239" s="3" t="s">
        <v>45</v>
      </c>
      <c r="AN239" s="3" t="s">
        <v>45</v>
      </c>
      <c r="AO239" s="3" t="s">
        <v>45</v>
      </c>
      <c r="AP239" s="3" t="s">
        <v>45</v>
      </c>
      <c r="AQ239" s="4" t="s">
        <v>1085</v>
      </c>
      <c r="AR239" s="4" t="s">
        <v>1085</v>
      </c>
    </row>
    <row r="240">
      <c r="A240" s="3" t="s">
        <v>2323</v>
      </c>
      <c r="B240" s="3" t="s">
        <v>2324</v>
      </c>
      <c r="C240" s="3" t="s">
        <v>2282</v>
      </c>
      <c r="D240" s="3" t="s">
        <v>1291</v>
      </c>
      <c r="E240" s="4" t="s">
        <v>1947</v>
      </c>
      <c r="F240" s="3" t="s">
        <v>1948</v>
      </c>
      <c r="G240" s="4" t="s">
        <v>2325</v>
      </c>
      <c r="H240" s="4" t="s">
        <v>2326</v>
      </c>
      <c r="I240" s="3" t="s">
        <v>218</v>
      </c>
      <c r="J240" s="3" t="s">
        <v>126</v>
      </c>
      <c r="K240" s="3" t="s">
        <v>45</v>
      </c>
      <c r="L240" s="3" t="s">
        <v>2327</v>
      </c>
      <c r="M240" s="3" t="s">
        <v>45</v>
      </c>
      <c r="N240" s="4" t="s">
        <v>668</v>
      </c>
      <c r="O240" s="3" t="s">
        <v>88</v>
      </c>
      <c r="P240" s="3" t="s">
        <v>45</v>
      </c>
      <c r="Q240" s="3" t="s">
        <v>45</v>
      </c>
      <c r="R240" s="3" t="s">
        <v>45</v>
      </c>
      <c r="S240" s="3" t="s">
        <v>45</v>
      </c>
      <c r="T240" s="3" t="s">
        <v>45</v>
      </c>
      <c r="U240" s="3" t="s">
        <v>45</v>
      </c>
      <c r="V240" s="4" t="s">
        <v>836</v>
      </c>
      <c r="W240" s="4" t="s">
        <v>880</v>
      </c>
      <c r="X240" s="3" t="s">
        <v>45</v>
      </c>
      <c r="Y240" s="3" t="s">
        <v>45</v>
      </c>
      <c r="Z240" s="3" t="s">
        <v>74</v>
      </c>
      <c r="AA240" s="3" t="s">
        <v>45</v>
      </c>
      <c r="AB240" s="3" t="s">
        <v>45</v>
      </c>
      <c r="AC240" s="3" t="s">
        <v>45</v>
      </c>
      <c r="AD240" s="3" t="s">
        <v>45</v>
      </c>
      <c r="AE240" s="3" t="s">
        <v>45</v>
      </c>
      <c r="AF240" s="3" t="s">
        <v>45</v>
      </c>
      <c r="AG240" s="3" t="s">
        <v>45</v>
      </c>
      <c r="AH240" s="3" t="s">
        <v>57</v>
      </c>
      <c r="AI240" s="5" t="s">
        <v>2328</v>
      </c>
      <c r="AJ240" s="5" t="s">
        <v>2329</v>
      </c>
      <c r="AK240" s="5" t="s">
        <v>2330</v>
      </c>
      <c r="AL240" s="3" t="s">
        <v>45</v>
      </c>
      <c r="AM240" s="3" t="s">
        <v>45</v>
      </c>
      <c r="AN240" s="3" t="s">
        <v>45</v>
      </c>
      <c r="AO240" s="3" t="s">
        <v>45</v>
      </c>
      <c r="AP240" s="3" t="s">
        <v>45</v>
      </c>
      <c r="AQ240" s="4" t="s">
        <v>1325</v>
      </c>
      <c r="AR240" s="4" t="s">
        <v>1325</v>
      </c>
    </row>
    <row r="241">
      <c r="A241" s="3" t="s">
        <v>2331</v>
      </c>
      <c r="B241" s="3" t="s">
        <v>2332</v>
      </c>
      <c r="C241" s="3" t="s">
        <v>2282</v>
      </c>
      <c r="D241" s="3" t="s">
        <v>1291</v>
      </c>
      <c r="E241" s="4" t="s">
        <v>1947</v>
      </c>
      <c r="F241" s="3" t="s">
        <v>1948</v>
      </c>
      <c r="G241" s="4" t="s">
        <v>2333</v>
      </c>
      <c r="H241" s="4" t="s">
        <v>2334</v>
      </c>
      <c r="I241" s="3" t="s">
        <v>85</v>
      </c>
      <c r="J241" s="3" t="s">
        <v>126</v>
      </c>
      <c r="K241" s="3" t="s">
        <v>45</v>
      </c>
      <c r="L241" s="3" t="s">
        <v>2335</v>
      </c>
      <c r="M241" s="3" t="s">
        <v>45</v>
      </c>
      <c r="N241" s="4" t="s">
        <v>1962</v>
      </c>
      <c r="O241" s="3" t="s">
        <v>88</v>
      </c>
      <c r="P241" s="3" t="s">
        <v>45</v>
      </c>
      <c r="Q241" s="3" t="s">
        <v>45</v>
      </c>
      <c r="R241" s="3" t="s">
        <v>45</v>
      </c>
      <c r="S241" s="3" t="s">
        <v>45</v>
      </c>
      <c r="T241" s="3" t="s">
        <v>45</v>
      </c>
      <c r="U241" s="3" t="s">
        <v>45</v>
      </c>
      <c r="V241" s="4" t="s">
        <v>106</v>
      </c>
      <c r="W241" s="3" t="s">
        <v>45</v>
      </c>
      <c r="X241" s="3" t="s">
        <v>45</v>
      </c>
      <c r="Y241" s="3" t="s">
        <v>45</v>
      </c>
      <c r="Z241" s="3" t="s">
        <v>74</v>
      </c>
      <c r="AA241" s="3" t="s">
        <v>45</v>
      </c>
      <c r="AB241" s="3" t="s">
        <v>45</v>
      </c>
      <c r="AC241" s="3" t="s">
        <v>45</v>
      </c>
      <c r="AD241" s="3" t="s">
        <v>45</v>
      </c>
      <c r="AE241" s="3" t="s">
        <v>45</v>
      </c>
      <c r="AF241" s="3" t="s">
        <v>45</v>
      </c>
      <c r="AG241" s="3" t="s">
        <v>45</v>
      </c>
      <c r="AH241" s="3" t="s">
        <v>1298</v>
      </c>
      <c r="AI241" s="5" t="s">
        <v>2336</v>
      </c>
      <c r="AJ241" s="3" t="s">
        <v>45</v>
      </c>
      <c r="AK241" s="3" t="s">
        <v>45</v>
      </c>
      <c r="AL241" s="3" t="s">
        <v>45</v>
      </c>
      <c r="AM241" s="3" t="s">
        <v>45</v>
      </c>
      <c r="AN241" s="3" t="s">
        <v>45</v>
      </c>
      <c r="AO241" s="3" t="s">
        <v>45</v>
      </c>
      <c r="AP241" s="3" t="s">
        <v>45</v>
      </c>
      <c r="AQ241" s="4" t="s">
        <v>1300</v>
      </c>
      <c r="AR241" s="4" t="s">
        <v>1300</v>
      </c>
    </row>
    <row r="242">
      <c r="A242" s="3" t="s">
        <v>2337</v>
      </c>
      <c r="B242" s="3" t="s">
        <v>2338</v>
      </c>
      <c r="C242" s="3" t="s">
        <v>2282</v>
      </c>
      <c r="D242" s="3" t="s">
        <v>1291</v>
      </c>
      <c r="E242" s="4" t="s">
        <v>1947</v>
      </c>
      <c r="F242" s="3" t="s">
        <v>1948</v>
      </c>
      <c r="G242" s="4" t="s">
        <v>2339</v>
      </c>
      <c r="H242" s="4" t="s">
        <v>2340</v>
      </c>
      <c r="I242" s="3" t="s">
        <v>85</v>
      </c>
      <c r="J242" s="3" t="s">
        <v>126</v>
      </c>
      <c r="K242" s="3" t="s">
        <v>45</v>
      </c>
      <c r="L242" s="3" t="s">
        <v>2341</v>
      </c>
      <c r="M242" s="3" t="s">
        <v>45</v>
      </c>
      <c r="N242" s="4" t="s">
        <v>156</v>
      </c>
      <c r="O242" s="3" t="s">
        <v>88</v>
      </c>
      <c r="P242" s="3" t="s">
        <v>45</v>
      </c>
      <c r="Q242" s="3" t="s">
        <v>45</v>
      </c>
      <c r="R242" s="3" t="s">
        <v>45</v>
      </c>
      <c r="S242" s="3" t="s">
        <v>45</v>
      </c>
      <c r="T242" s="3" t="s">
        <v>45</v>
      </c>
      <c r="U242" s="3" t="s">
        <v>45</v>
      </c>
      <c r="V242" s="4" t="s">
        <v>2342</v>
      </c>
      <c r="W242" s="4" t="s">
        <v>157</v>
      </c>
      <c r="X242" s="3" t="s">
        <v>45</v>
      </c>
      <c r="Y242" s="3" t="s">
        <v>45</v>
      </c>
      <c r="Z242" s="3" t="s">
        <v>74</v>
      </c>
      <c r="AA242" s="3" t="s">
        <v>45</v>
      </c>
      <c r="AB242" s="3" t="s">
        <v>45</v>
      </c>
      <c r="AC242" s="3" t="s">
        <v>45</v>
      </c>
      <c r="AD242" s="3" t="s">
        <v>45</v>
      </c>
      <c r="AE242" s="3" t="s">
        <v>45</v>
      </c>
      <c r="AF242" s="3" t="s">
        <v>45</v>
      </c>
      <c r="AG242" s="3" t="s">
        <v>45</v>
      </c>
      <c r="AH242" s="3" t="s">
        <v>57</v>
      </c>
      <c r="AI242" s="5" t="s">
        <v>2343</v>
      </c>
      <c r="AJ242" s="5" t="s">
        <v>2321</v>
      </c>
      <c r="AK242" s="3" t="s">
        <v>45</v>
      </c>
      <c r="AL242" s="3" t="s">
        <v>45</v>
      </c>
      <c r="AM242" s="3" t="s">
        <v>45</v>
      </c>
      <c r="AN242" s="3" t="s">
        <v>45</v>
      </c>
      <c r="AO242" s="3" t="s">
        <v>45</v>
      </c>
      <c r="AP242" s="3" t="s">
        <v>45</v>
      </c>
      <c r="AQ242" s="4" t="s">
        <v>1300</v>
      </c>
      <c r="AR242" s="4" t="s">
        <v>1300</v>
      </c>
    </row>
    <row r="243">
      <c r="A243" s="3" t="s">
        <v>2344</v>
      </c>
      <c r="B243" s="3" t="s">
        <v>45</v>
      </c>
      <c r="C243" s="3" t="s">
        <v>2345</v>
      </c>
      <c r="D243" s="3" t="s">
        <v>1291</v>
      </c>
      <c r="E243" s="4" t="s">
        <v>2346</v>
      </c>
      <c r="F243" s="3" t="s">
        <v>1718</v>
      </c>
      <c r="G243" s="4" t="s">
        <v>2347</v>
      </c>
      <c r="H243" s="4" t="s">
        <v>2348</v>
      </c>
      <c r="I243" s="3" t="s">
        <v>436</v>
      </c>
      <c r="J243" s="3" t="s">
        <v>126</v>
      </c>
      <c r="K243" s="3" t="s">
        <v>45</v>
      </c>
      <c r="L243" s="3" t="s">
        <v>45</v>
      </c>
      <c r="M243" s="3" t="s">
        <v>45</v>
      </c>
      <c r="N243" s="4" t="s">
        <v>1296</v>
      </c>
      <c r="O243" s="3" t="s">
        <v>88</v>
      </c>
      <c r="P243" s="3" t="s">
        <v>45</v>
      </c>
      <c r="Q243" s="3" t="s">
        <v>45</v>
      </c>
      <c r="R243" s="3" t="s">
        <v>45</v>
      </c>
      <c r="S243" s="3" t="s">
        <v>45</v>
      </c>
      <c r="T243" s="3" t="s">
        <v>45</v>
      </c>
      <c r="U243" s="3" t="s">
        <v>45</v>
      </c>
      <c r="V243" s="4" t="s">
        <v>2349</v>
      </c>
      <c r="W243" s="3" t="s">
        <v>45</v>
      </c>
      <c r="X243" s="3" t="s">
        <v>45</v>
      </c>
      <c r="Y243" s="3" t="s">
        <v>45</v>
      </c>
      <c r="Z243" s="3" t="s">
        <v>55</v>
      </c>
      <c r="AA243" s="3" t="s">
        <v>45</v>
      </c>
      <c r="AB243" s="3" t="s">
        <v>45</v>
      </c>
      <c r="AC243" s="3" t="s">
        <v>45</v>
      </c>
      <c r="AD243" s="3" t="s">
        <v>45</v>
      </c>
      <c r="AE243" s="3" t="s">
        <v>45</v>
      </c>
      <c r="AF243" s="3" t="s">
        <v>45</v>
      </c>
      <c r="AG243" s="3" t="s">
        <v>45</v>
      </c>
      <c r="AH243" s="3" t="s">
        <v>57</v>
      </c>
      <c r="AI243" s="5" t="s">
        <v>2350</v>
      </c>
      <c r="AJ243" s="5" t="s">
        <v>2351</v>
      </c>
      <c r="AK243" s="5" t="s">
        <v>2352</v>
      </c>
      <c r="AL243" s="3" t="s">
        <v>45</v>
      </c>
      <c r="AM243" s="3" t="s">
        <v>45</v>
      </c>
      <c r="AN243" s="3" t="s">
        <v>45</v>
      </c>
      <c r="AO243" s="3" t="s">
        <v>45</v>
      </c>
      <c r="AP243" s="3" t="s">
        <v>45</v>
      </c>
      <c r="AQ243" s="4" t="s">
        <v>2353</v>
      </c>
      <c r="AR243" s="4" t="s">
        <v>60</v>
      </c>
    </row>
    <row r="244">
      <c r="A244" s="3" t="s">
        <v>414</v>
      </c>
      <c r="B244" s="3" t="s">
        <v>2354</v>
      </c>
      <c r="C244" s="3" t="s">
        <v>2345</v>
      </c>
      <c r="D244" s="3" t="s">
        <v>1291</v>
      </c>
      <c r="E244" s="4" t="s">
        <v>2355</v>
      </c>
      <c r="F244" s="3" t="s">
        <v>1948</v>
      </c>
      <c r="G244" s="4" t="s">
        <v>2356</v>
      </c>
      <c r="H244" s="4" t="s">
        <v>2357</v>
      </c>
      <c r="I244" s="3" t="s">
        <v>49</v>
      </c>
      <c r="J244" s="3" t="s">
        <v>126</v>
      </c>
      <c r="K244" s="3" t="s">
        <v>45</v>
      </c>
      <c r="L244" s="3" t="s">
        <v>2358</v>
      </c>
      <c r="M244" s="3" t="s">
        <v>45</v>
      </c>
      <c r="N244" s="3" t="s">
        <v>45</v>
      </c>
      <c r="O244" s="3" t="s">
        <v>74</v>
      </c>
      <c r="P244" s="3" t="s">
        <v>45</v>
      </c>
      <c r="Q244" s="3" t="s">
        <v>45</v>
      </c>
      <c r="R244" s="3" t="s">
        <v>45</v>
      </c>
      <c r="S244" s="3" t="s">
        <v>45</v>
      </c>
      <c r="T244" s="3" t="s">
        <v>45</v>
      </c>
      <c r="U244" s="3" t="s">
        <v>45</v>
      </c>
      <c r="V244" s="4" t="s">
        <v>2359</v>
      </c>
      <c r="W244" s="3" t="s">
        <v>45</v>
      </c>
      <c r="X244" s="3" t="s">
        <v>45</v>
      </c>
      <c r="Y244" s="3" t="s">
        <v>45</v>
      </c>
      <c r="Z244" s="3" t="s">
        <v>74</v>
      </c>
      <c r="AA244" s="3" t="s">
        <v>45</v>
      </c>
      <c r="AB244" s="3" t="s">
        <v>45</v>
      </c>
      <c r="AC244" s="3" t="s">
        <v>45</v>
      </c>
      <c r="AD244" s="3" t="s">
        <v>45</v>
      </c>
      <c r="AE244" s="3" t="s">
        <v>45</v>
      </c>
      <c r="AF244" s="3" t="s">
        <v>45</v>
      </c>
      <c r="AG244" s="3" t="s">
        <v>45</v>
      </c>
      <c r="AH244" s="3" t="s">
        <v>1298</v>
      </c>
      <c r="AI244" s="3" t="s">
        <v>1671</v>
      </c>
      <c r="AJ244" s="3" t="s">
        <v>45</v>
      </c>
      <c r="AK244" s="3" t="s">
        <v>45</v>
      </c>
      <c r="AL244" s="3" t="s">
        <v>45</v>
      </c>
      <c r="AM244" s="3" t="s">
        <v>45</v>
      </c>
      <c r="AN244" s="3" t="s">
        <v>45</v>
      </c>
      <c r="AO244" s="3" t="s">
        <v>45</v>
      </c>
      <c r="AP244" s="3" t="s">
        <v>45</v>
      </c>
      <c r="AQ244" s="4" t="s">
        <v>1300</v>
      </c>
      <c r="AR244" s="4" t="s">
        <v>1300</v>
      </c>
    </row>
    <row r="245">
      <c r="A245" s="3" t="s">
        <v>2360</v>
      </c>
      <c r="B245" s="3" t="s">
        <v>2361</v>
      </c>
      <c r="C245" s="3" t="s">
        <v>2362</v>
      </c>
      <c r="D245" s="3" t="s">
        <v>1291</v>
      </c>
      <c r="E245" s="4" t="s">
        <v>2363</v>
      </c>
      <c r="F245" s="3" t="s">
        <v>1504</v>
      </c>
      <c r="G245" s="4" t="s">
        <v>2364</v>
      </c>
      <c r="H245" s="4" t="s">
        <v>2365</v>
      </c>
      <c r="I245" s="3" t="s">
        <v>85</v>
      </c>
      <c r="J245" s="3" t="s">
        <v>126</v>
      </c>
      <c r="K245" s="3" t="s">
        <v>45</v>
      </c>
      <c r="L245" s="3" t="s">
        <v>954</v>
      </c>
      <c r="M245" s="3" t="s">
        <v>45</v>
      </c>
      <c r="N245" s="4" t="s">
        <v>233</v>
      </c>
      <c r="O245" s="3" t="s">
        <v>53</v>
      </c>
      <c r="P245" s="3" t="s">
        <v>45</v>
      </c>
      <c r="Q245" s="3" t="s">
        <v>45</v>
      </c>
      <c r="R245" s="3" t="s">
        <v>45</v>
      </c>
      <c r="S245" s="3" t="s">
        <v>45</v>
      </c>
      <c r="T245" s="3" t="s">
        <v>45</v>
      </c>
      <c r="U245" s="3" t="s">
        <v>45</v>
      </c>
      <c r="V245" s="3" t="s">
        <v>45</v>
      </c>
      <c r="W245" s="3" t="s">
        <v>45</v>
      </c>
      <c r="X245" s="3" t="s">
        <v>45</v>
      </c>
      <c r="Y245" s="3" t="s">
        <v>45</v>
      </c>
      <c r="Z245" s="3" t="s">
        <v>74</v>
      </c>
      <c r="AA245" s="3" t="s">
        <v>45</v>
      </c>
      <c r="AB245" s="3" t="s">
        <v>45</v>
      </c>
      <c r="AC245" s="3" t="s">
        <v>45</v>
      </c>
      <c r="AD245" s="3" t="s">
        <v>45</v>
      </c>
      <c r="AE245" s="3" t="s">
        <v>45</v>
      </c>
      <c r="AF245" s="3" t="s">
        <v>45</v>
      </c>
      <c r="AG245" s="3" t="s">
        <v>45</v>
      </c>
      <c r="AH245" s="3" t="s">
        <v>1298</v>
      </c>
      <c r="AI245" s="5" t="s">
        <v>2366</v>
      </c>
      <c r="AJ245" s="3" t="s">
        <v>45</v>
      </c>
      <c r="AK245" s="3" t="s">
        <v>45</v>
      </c>
      <c r="AL245" s="3" t="s">
        <v>45</v>
      </c>
      <c r="AM245" s="3" t="s">
        <v>45</v>
      </c>
      <c r="AN245" s="3" t="s">
        <v>45</v>
      </c>
      <c r="AO245" s="3" t="s">
        <v>45</v>
      </c>
      <c r="AP245" s="3" t="s">
        <v>45</v>
      </c>
      <c r="AQ245" s="4" t="s">
        <v>1300</v>
      </c>
      <c r="AR245" s="4" t="s">
        <v>1300</v>
      </c>
    </row>
    <row r="246">
      <c r="A246" s="3" t="s">
        <v>2367</v>
      </c>
      <c r="B246" s="3" t="s">
        <v>2368</v>
      </c>
      <c r="C246" s="3" t="s">
        <v>2362</v>
      </c>
      <c r="D246" s="3" t="s">
        <v>1291</v>
      </c>
      <c r="E246" s="4" t="s">
        <v>2369</v>
      </c>
      <c r="F246" s="3" t="s">
        <v>1504</v>
      </c>
      <c r="G246" s="4" t="s">
        <v>2370</v>
      </c>
      <c r="H246" s="4" t="s">
        <v>2371</v>
      </c>
      <c r="I246" s="3" t="s">
        <v>49</v>
      </c>
      <c r="J246" s="3" t="s">
        <v>126</v>
      </c>
      <c r="K246" s="3" t="s">
        <v>45</v>
      </c>
      <c r="L246" s="3" t="s">
        <v>45</v>
      </c>
      <c r="M246" s="3" t="s">
        <v>45</v>
      </c>
      <c r="N246" s="4" t="s">
        <v>2372</v>
      </c>
      <c r="O246" s="3" t="s">
        <v>88</v>
      </c>
      <c r="P246" s="3" t="s">
        <v>45</v>
      </c>
      <c r="Q246" s="3" t="s">
        <v>45</v>
      </c>
      <c r="R246" s="3" t="s">
        <v>45</v>
      </c>
      <c r="S246" s="3" t="s">
        <v>45</v>
      </c>
      <c r="T246" s="3" t="s">
        <v>45</v>
      </c>
      <c r="U246" s="3" t="s">
        <v>45</v>
      </c>
      <c r="V246" s="3" t="s">
        <v>45</v>
      </c>
      <c r="W246" s="4" t="s">
        <v>2373</v>
      </c>
      <c r="X246" s="3" t="s">
        <v>45</v>
      </c>
      <c r="Y246" s="3" t="s">
        <v>45</v>
      </c>
      <c r="Z246" s="3" t="s">
        <v>74</v>
      </c>
      <c r="AA246" s="3" t="s">
        <v>45</v>
      </c>
      <c r="AB246" s="3" t="s">
        <v>45</v>
      </c>
      <c r="AC246" s="3" t="s">
        <v>45</v>
      </c>
      <c r="AD246" s="3" t="s">
        <v>45</v>
      </c>
      <c r="AE246" s="3" t="s">
        <v>45</v>
      </c>
      <c r="AF246" s="3" t="s">
        <v>45</v>
      </c>
      <c r="AG246" s="3" t="s">
        <v>45</v>
      </c>
      <c r="AH246" s="3" t="s">
        <v>57</v>
      </c>
      <c r="AI246" s="5" t="s">
        <v>2374</v>
      </c>
      <c r="AJ246" s="3" t="s">
        <v>45</v>
      </c>
      <c r="AK246" s="3" t="s">
        <v>45</v>
      </c>
      <c r="AL246" s="3" t="s">
        <v>45</v>
      </c>
      <c r="AM246" s="3" t="s">
        <v>45</v>
      </c>
      <c r="AN246" s="3" t="s">
        <v>45</v>
      </c>
      <c r="AO246" s="3" t="s">
        <v>45</v>
      </c>
      <c r="AP246" s="3" t="s">
        <v>45</v>
      </c>
      <c r="AQ246" s="4" t="s">
        <v>661</v>
      </c>
      <c r="AR246" s="4" t="s">
        <v>661</v>
      </c>
    </row>
    <row r="247">
      <c r="A247" s="3" t="s">
        <v>2375</v>
      </c>
      <c r="B247" s="3" t="s">
        <v>2376</v>
      </c>
      <c r="C247" s="3" t="s">
        <v>2362</v>
      </c>
      <c r="D247" s="3" t="s">
        <v>1291</v>
      </c>
      <c r="E247" s="4" t="s">
        <v>2369</v>
      </c>
      <c r="F247" s="3" t="s">
        <v>2377</v>
      </c>
      <c r="G247" s="4" t="s">
        <v>2378</v>
      </c>
      <c r="H247" s="4" t="s">
        <v>2379</v>
      </c>
      <c r="I247" s="3" t="s">
        <v>49</v>
      </c>
      <c r="J247" s="3" t="s">
        <v>126</v>
      </c>
      <c r="K247" s="3" t="s">
        <v>45</v>
      </c>
      <c r="L247" s="3" t="s">
        <v>2380</v>
      </c>
      <c r="M247" s="3" t="s">
        <v>45</v>
      </c>
      <c r="N247" s="4" t="s">
        <v>535</v>
      </c>
      <c r="O247" s="3" t="s">
        <v>88</v>
      </c>
      <c r="P247" s="3" t="s">
        <v>45</v>
      </c>
      <c r="Q247" s="3" t="s">
        <v>45</v>
      </c>
      <c r="R247" s="3" t="s">
        <v>45</v>
      </c>
      <c r="S247" s="3" t="s">
        <v>45</v>
      </c>
      <c r="T247" s="3" t="s">
        <v>45</v>
      </c>
      <c r="U247" s="3" t="s">
        <v>45</v>
      </c>
      <c r="V247" s="4" t="s">
        <v>2381</v>
      </c>
      <c r="W247" s="4" t="s">
        <v>2373</v>
      </c>
      <c r="X247" s="3" t="s">
        <v>45</v>
      </c>
      <c r="Y247" s="3" t="s">
        <v>45</v>
      </c>
      <c r="Z247" s="3" t="s">
        <v>74</v>
      </c>
      <c r="AA247" s="3" t="s">
        <v>45</v>
      </c>
      <c r="AB247" s="3" t="s">
        <v>45</v>
      </c>
      <c r="AC247" s="3" t="s">
        <v>45</v>
      </c>
      <c r="AD247" s="3" t="s">
        <v>45</v>
      </c>
      <c r="AE247" s="3" t="s">
        <v>45</v>
      </c>
      <c r="AF247" s="3" t="s">
        <v>45</v>
      </c>
      <c r="AG247" s="3" t="s">
        <v>2382</v>
      </c>
      <c r="AH247" s="3" t="s">
        <v>1298</v>
      </c>
      <c r="AI247" s="5" t="s">
        <v>2374</v>
      </c>
      <c r="AJ247" s="3" t="s">
        <v>45</v>
      </c>
      <c r="AK247" s="3" t="s">
        <v>45</v>
      </c>
      <c r="AL247" s="3" t="s">
        <v>45</v>
      </c>
      <c r="AM247" s="3" t="s">
        <v>45</v>
      </c>
      <c r="AN247" s="3" t="s">
        <v>45</v>
      </c>
      <c r="AO247" s="3" t="s">
        <v>45</v>
      </c>
      <c r="AP247" s="3" t="s">
        <v>45</v>
      </c>
      <c r="AQ247" s="4" t="s">
        <v>1300</v>
      </c>
      <c r="AR247" s="4" t="s">
        <v>1300</v>
      </c>
    </row>
    <row r="248">
      <c r="A248" s="3" t="s">
        <v>2383</v>
      </c>
      <c r="B248" s="3" t="s">
        <v>2384</v>
      </c>
      <c r="C248" s="3" t="s">
        <v>2362</v>
      </c>
      <c r="D248" s="3" t="s">
        <v>1291</v>
      </c>
      <c r="E248" s="4" t="s">
        <v>2363</v>
      </c>
      <c r="F248" s="3" t="s">
        <v>1504</v>
      </c>
      <c r="G248" s="4" t="s">
        <v>2385</v>
      </c>
      <c r="H248" s="4" t="s">
        <v>2386</v>
      </c>
      <c r="I248" s="3" t="s">
        <v>49</v>
      </c>
      <c r="J248" s="3" t="s">
        <v>126</v>
      </c>
      <c r="K248" s="3" t="s">
        <v>45</v>
      </c>
      <c r="L248" s="3" t="s">
        <v>45</v>
      </c>
      <c r="M248" s="3" t="s">
        <v>45</v>
      </c>
      <c r="N248" s="4" t="s">
        <v>129</v>
      </c>
      <c r="O248" s="3" t="s">
        <v>390</v>
      </c>
      <c r="P248" s="3" t="s">
        <v>45</v>
      </c>
      <c r="Q248" s="3" t="s">
        <v>45</v>
      </c>
      <c r="R248" s="3" t="s">
        <v>45</v>
      </c>
      <c r="S248" s="3" t="s">
        <v>45</v>
      </c>
      <c r="T248" s="3" t="s">
        <v>45</v>
      </c>
      <c r="U248" s="3" t="s">
        <v>45</v>
      </c>
      <c r="V248" s="4" t="s">
        <v>2387</v>
      </c>
      <c r="W248" s="4" t="s">
        <v>956</v>
      </c>
      <c r="X248" s="3" t="s">
        <v>45</v>
      </c>
      <c r="Y248" s="3" t="s">
        <v>45</v>
      </c>
      <c r="Z248" s="3" t="s">
        <v>45</v>
      </c>
      <c r="AA248" s="3" t="s">
        <v>45</v>
      </c>
      <c r="AB248" s="3" t="s">
        <v>45</v>
      </c>
      <c r="AC248" s="3" t="s">
        <v>45</v>
      </c>
      <c r="AD248" s="3" t="s">
        <v>45</v>
      </c>
      <c r="AE248" s="3" t="s">
        <v>45</v>
      </c>
      <c r="AF248" s="3" t="s">
        <v>45</v>
      </c>
      <c r="AG248" s="3" t="s">
        <v>45</v>
      </c>
      <c r="AH248" s="3" t="s">
        <v>57</v>
      </c>
      <c r="AI248" s="5" t="s">
        <v>2388</v>
      </c>
      <c r="AJ248" s="3" t="s">
        <v>45</v>
      </c>
      <c r="AK248" s="3" t="s">
        <v>45</v>
      </c>
      <c r="AL248" s="3" t="s">
        <v>45</v>
      </c>
      <c r="AM248" s="3" t="s">
        <v>45</v>
      </c>
      <c r="AN248" s="3" t="s">
        <v>45</v>
      </c>
      <c r="AO248" s="3" t="s">
        <v>45</v>
      </c>
      <c r="AP248" s="3" t="s">
        <v>45</v>
      </c>
      <c r="AQ248" s="4" t="s">
        <v>1016</v>
      </c>
      <c r="AR248" s="4" t="s">
        <v>1016</v>
      </c>
    </row>
    <row r="249">
      <c r="A249" s="3" t="s">
        <v>2389</v>
      </c>
      <c r="B249" s="3" t="s">
        <v>2390</v>
      </c>
      <c r="C249" s="3" t="s">
        <v>2391</v>
      </c>
      <c r="D249" s="3" t="s">
        <v>1291</v>
      </c>
      <c r="E249" s="4" t="s">
        <v>2392</v>
      </c>
      <c r="F249" s="3" t="s">
        <v>173</v>
      </c>
      <c r="G249" s="4" t="s">
        <v>2393</v>
      </c>
      <c r="H249" s="4" t="s">
        <v>2394</v>
      </c>
      <c r="I249" s="3" t="s">
        <v>49</v>
      </c>
      <c r="J249" s="3" t="s">
        <v>126</v>
      </c>
      <c r="K249" s="3" t="s">
        <v>45</v>
      </c>
      <c r="L249" s="3" t="s">
        <v>2395</v>
      </c>
      <c r="M249" s="3" t="s">
        <v>45</v>
      </c>
      <c r="N249" s="3" t="s">
        <v>2396</v>
      </c>
      <c r="O249" s="3" t="s">
        <v>74</v>
      </c>
      <c r="P249" s="3" t="s">
        <v>45</v>
      </c>
      <c r="Q249" s="3" t="s">
        <v>45</v>
      </c>
      <c r="R249" s="3" t="s">
        <v>45</v>
      </c>
      <c r="S249" s="3" t="s">
        <v>45</v>
      </c>
      <c r="T249" s="3" t="s">
        <v>45</v>
      </c>
      <c r="U249" s="3" t="s">
        <v>45</v>
      </c>
      <c r="V249" s="3" t="s">
        <v>45</v>
      </c>
      <c r="W249" s="4" t="s">
        <v>1763</v>
      </c>
      <c r="X249" s="3" t="s">
        <v>45</v>
      </c>
      <c r="Y249" s="4" t="s">
        <v>317</v>
      </c>
      <c r="Z249" s="3" t="s">
        <v>55</v>
      </c>
      <c r="AA249" s="3" t="s">
        <v>45</v>
      </c>
      <c r="AB249" s="3" t="s">
        <v>109</v>
      </c>
      <c r="AC249" s="3" t="s">
        <v>45</v>
      </c>
      <c r="AD249" s="5" t="s">
        <v>2397</v>
      </c>
      <c r="AE249" s="5" t="s">
        <v>2398</v>
      </c>
      <c r="AF249" s="3" t="s">
        <v>45</v>
      </c>
      <c r="AG249" s="3" t="s">
        <v>45</v>
      </c>
      <c r="AH249" s="3" t="s">
        <v>57</v>
      </c>
      <c r="AI249" s="5" t="s">
        <v>2399</v>
      </c>
      <c r="AJ249" s="5" t="s">
        <v>2400</v>
      </c>
      <c r="AK249" s="5" t="s">
        <v>2401</v>
      </c>
      <c r="AL249" s="3" t="s">
        <v>45</v>
      </c>
      <c r="AM249" s="3" t="s">
        <v>45</v>
      </c>
      <c r="AN249" s="3" t="s">
        <v>45</v>
      </c>
      <c r="AO249" s="3" t="s">
        <v>45</v>
      </c>
      <c r="AP249" s="3" t="s">
        <v>45</v>
      </c>
      <c r="AQ249" s="4" t="s">
        <v>2402</v>
      </c>
      <c r="AR249" s="4" t="s">
        <v>1016</v>
      </c>
    </row>
    <row r="250">
      <c r="A250" s="3" t="s">
        <v>2403</v>
      </c>
      <c r="B250" s="3" t="s">
        <v>2404</v>
      </c>
      <c r="C250" s="3" t="s">
        <v>2405</v>
      </c>
      <c r="D250" s="3" t="s">
        <v>1291</v>
      </c>
      <c r="E250" s="4" t="s">
        <v>2406</v>
      </c>
      <c r="F250" s="3" t="s">
        <v>2407</v>
      </c>
      <c r="G250" s="4" t="s">
        <v>2408</v>
      </c>
      <c r="H250" s="4" t="s">
        <v>2409</v>
      </c>
      <c r="I250" s="3" t="s">
        <v>49</v>
      </c>
      <c r="J250" s="3" t="s">
        <v>126</v>
      </c>
      <c r="K250" s="3" t="s">
        <v>45</v>
      </c>
      <c r="L250" s="3" t="s">
        <v>2410</v>
      </c>
      <c r="M250" s="3" t="s">
        <v>45</v>
      </c>
      <c r="N250" s="3" t="s">
        <v>45</v>
      </c>
      <c r="O250" s="3" t="s">
        <v>74</v>
      </c>
      <c r="P250" s="3" t="s">
        <v>45</v>
      </c>
      <c r="Q250" s="3" t="s">
        <v>45</v>
      </c>
      <c r="R250" s="3" t="s">
        <v>45</v>
      </c>
      <c r="S250" s="3" t="s">
        <v>45</v>
      </c>
      <c r="T250" s="3" t="s">
        <v>45</v>
      </c>
      <c r="U250" s="3" t="s">
        <v>45</v>
      </c>
      <c r="V250" s="4" t="s">
        <v>2411</v>
      </c>
      <c r="W250" s="3" t="s">
        <v>45</v>
      </c>
      <c r="X250" s="3" t="s">
        <v>45</v>
      </c>
      <c r="Y250" s="3" t="s">
        <v>45</v>
      </c>
      <c r="Z250" s="3" t="s">
        <v>74</v>
      </c>
      <c r="AA250" s="3" t="s">
        <v>45</v>
      </c>
      <c r="AB250" s="3" t="s">
        <v>45</v>
      </c>
      <c r="AC250" s="3" t="s">
        <v>45</v>
      </c>
      <c r="AD250" s="3" t="s">
        <v>45</v>
      </c>
      <c r="AE250" s="3" t="s">
        <v>45</v>
      </c>
      <c r="AF250" s="3" t="s">
        <v>45</v>
      </c>
      <c r="AG250" s="3" t="s">
        <v>45</v>
      </c>
      <c r="AH250" s="3" t="s">
        <v>1298</v>
      </c>
      <c r="AI250" s="5" t="s">
        <v>2412</v>
      </c>
      <c r="AJ250" s="3" t="s">
        <v>45</v>
      </c>
      <c r="AK250" s="3" t="s">
        <v>45</v>
      </c>
      <c r="AL250" s="3" t="s">
        <v>45</v>
      </c>
      <c r="AM250" s="3" t="s">
        <v>45</v>
      </c>
      <c r="AN250" s="3" t="s">
        <v>45</v>
      </c>
      <c r="AO250" s="3" t="s">
        <v>45</v>
      </c>
      <c r="AP250" s="3" t="s">
        <v>45</v>
      </c>
      <c r="AQ250" s="4" t="s">
        <v>1300</v>
      </c>
      <c r="AR250" s="4" t="s">
        <v>1300</v>
      </c>
    </row>
    <row r="251">
      <c r="A251" s="3" t="s">
        <v>2413</v>
      </c>
      <c r="B251" s="3" t="s">
        <v>2414</v>
      </c>
      <c r="C251" s="3" t="s">
        <v>2405</v>
      </c>
      <c r="D251" s="3" t="s">
        <v>1291</v>
      </c>
      <c r="E251" s="4" t="s">
        <v>2415</v>
      </c>
      <c r="F251" s="3" t="s">
        <v>2407</v>
      </c>
      <c r="G251" s="4" t="s">
        <v>2416</v>
      </c>
      <c r="H251" s="4" t="s">
        <v>2417</v>
      </c>
      <c r="I251" s="3" t="s">
        <v>218</v>
      </c>
      <c r="J251" s="3" t="s">
        <v>126</v>
      </c>
      <c r="K251" s="3" t="s">
        <v>45</v>
      </c>
      <c r="L251" s="3" t="s">
        <v>1308</v>
      </c>
      <c r="M251" s="3" t="s">
        <v>45</v>
      </c>
      <c r="N251" s="4" t="s">
        <v>2418</v>
      </c>
      <c r="O251" s="3" t="s">
        <v>88</v>
      </c>
      <c r="P251" s="3" t="s">
        <v>45</v>
      </c>
      <c r="Q251" s="3" t="s">
        <v>45</v>
      </c>
      <c r="R251" s="3" t="s">
        <v>45</v>
      </c>
      <c r="S251" s="4" t="s">
        <v>1843</v>
      </c>
      <c r="T251" s="3" t="s">
        <v>45</v>
      </c>
      <c r="U251" s="3" t="s">
        <v>45</v>
      </c>
      <c r="V251" s="4" t="s">
        <v>2419</v>
      </c>
      <c r="W251" s="4" t="s">
        <v>2420</v>
      </c>
      <c r="X251" s="3" t="s">
        <v>2421</v>
      </c>
      <c r="Y251" s="3" t="s">
        <v>45</v>
      </c>
      <c r="Z251" s="3" t="s">
        <v>55</v>
      </c>
      <c r="AA251" s="3" t="s">
        <v>45</v>
      </c>
      <c r="AB251" s="3" t="s">
        <v>45</v>
      </c>
      <c r="AC251" s="3" t="s">
        <v>45</v>
      </c>
      <c r="AD251" s="5" t="s">
        <v>2422</v>
      </c>
      <c r="AE251" s="3" t="s">
        <v>45</v>
      </c>
      <c r="AF251" s="3" t="s">
        <v>45</v>
      </c>
      <c r="AG251" s="3" t="s">
        <v>2423</v>
      </c>
      <c r="AH251" s="3" t="s">
        <v>57</v>
      </c>
      <c r="AI251" s="5" t="s">
        <v>2424</v>
      </c>
      <c r="AJ251" s="5" t="s">
        <v>2425</v>
      </c>
      <c r="AK251" s="5" t="s">
        <v>2426</v>
      </c>
      <c r="AL251" s="3" t="s">
        <v>45</v>
      </c>
      <c r="AM251" s="3" t="s">
        <v>45</v>
      </c>
      <c r="AN251" s="3" t="s">
        <v>45</v>
      </c>
      <c r="AO251" s="3" t="s">
        <v>45</v>
      </c>
      <c r="AP251" s="3" t="s">
        <v>45</v>
      </c>
      <c r="AQ251" s="4" t="s">
        <v>1789</v>
      </c>
      <c r="AR251" s="4" t="s">
        <v>474</v>
      </c>
    </row>
    <row r="252">
      <c r="A252" s="3" t="s">
        <v>2427</v>
      </c>
      <c r="B252" s="3" t="s">
        <v>2428</v>
      </c>
      <c r="C252" s="3" t="s">
        <v>2405</v>
      </c>
      <c r="D252" s="3" t="s">
        <v>1291</v>
      </c>
      <c r="E252" s="4" t="s">
        <v>2406</v>
      </c>
      <c r="F252" s="3" t="s">
        <v>2407</v>
      </c>
      <c r="G252" s="4" t="s">
        <v>2429</v>
      </c>
      <c r="H252" s="4" t="s">
        <v>2430</v>
      </c>
      <c r="I252" s="3" t="s">
        <v>85</v>
      </c>
      <c r="J252" s="3" t="s">
        <v>126</v>
      </c>
      <c r="K252" s="3" t="s">
        <v>45</v>
      </c>
      <c r="L252" s="3" t="s">
        <v>2341</v>
      </c>
      <c r="M252" s="3" t="s">
        <v>45</v>
      </c>
      <c r="N252" s="4" t="s">
        <v>419</v>
      </c>
      <c r="O252" s="3" t="s">
        <v>88</v>
      </c>
      <c r="P252" s="3" t="s">
        <v>45</v>
      </c>
      <c r="Q252" s="3" t="s">
        <v>45</v>
      </c>
      <c r="R252" s="3" t="s">
        <v>45</v>
      </c>
      <c r="S252" s="3" t="s">
        <v>45</v>
      </c>
      <c r="T252" s="3" t="s">
        <v>45</v>
      </c>
      <c r="U252" s="3" t="s">
        <v>45</v>
      </c>
      <c r="V252" s="4" t="s">
        <v>2431</v>
      </c>
      <c r="W252" s="3" t="s">
        <v>45</v>
      </c>
      <c r="X252" s="3" t="s">
        <v>45</v>
      </c>
      <c r="Y252" s="3" t="s">
        <v>45</v>
      </c>
      <c r="Z252" s="3" t="s">
        <v>74</v>
      </c>
      <c r="AA252" s="3" t="s">
        <v>45</v>
      </c>
      <c r="AB252" s="3" t="s">
        <v>45</v>
      </c>
      <c r="AC252" s="3" t="s">
        <v>45</v>
      </c>
      <c r="AD252" s="3" t="s">
        <v>45</v>
      </c>
      <c r="AE252" s="3" t="s">
        <v>45</v>
      </c>
      <c r="AF252" s="3" t="s">
        <v>45</v>
      </c>
      <c r="AG252" s="3" t="s">
        <v>45</v>
      </c>
      <c r="AH252" s="3" t="s">
        <v>1298</v>
      </c>
      <c r="AI252" s="5" t="s">
        <v>2432</v>
      </c>
      <c r="AJ252" s="3" t="s">
        <v>45</v>
      </c>
      <c r="AK252" s="3" t="s">
        <v>45</v>
      </c>
      <c r="AL252" s="3" t="s">
        <v>45</v>
      </c>
      <c r="AM252" s="3" t="s">
        <v>45</v>
      </c>
      <c r="AN252" s="3" t="s">
        <v>45</v>
      </c>
      <c r="AO252" s="3" t="s">
        <v>45</v>
      </c>
      <c r="AP252" s="3" t="s">
        <v>45</v>
      </c>
      <c r="AQ252" s="4" t="s">
        <v>1300</v>
      </c>
      <c r="AR252" s="4" t="s">
        <v>1300</v>
      </c>
    </row>
    <row r="253">
      <c r="A253" s="3" t="s">
        <v>2433</v>
      </c>
      <c r="B253" s="3" t="s">
        <v>2434</v>
      </c>
      <c r="C253" s="3" t="s">
        <v>2435</v>
      </c>
      <c r="D253" s="3" t="s">
        <v>1291</v>
      </c>
      <c r="E253" s="4" t="s">
        <v>2436</v>
      </c>
      <c r="F253" s="3" t="s">
        <v>1638</v>
      </c>
      <c r="G253" s="4" t="s">
        <v>2437</v>
      </c>
      <c r="H253" s="4" t="s">
        <v>2438</v>
      </c>
      <c r="I253" s="3" t="s">
        <v>85</v>
      </c>
      <c r="J253" s="3" t="s">
        <v>126</v>
      </c>
      <c r="K253" s="3" t="s">
        <v>45</v>
      </c>
      <c r="L253" s="3" t="s">
        <v>1033</v>
      </c>
      <c r="M253" s="3" t="s">
        <v>45</v>
      </c>
      <c r="N253" s="4" t="s">
        <v>233</v>
      </c>
      <c r="O253" s="3" t="s">
        <v>53</v>
      </c>
      <c r="P253" s="3" t="s">
        <v>45</v>
      </c>
      <c r="Q253" s="3" t="s">
        <v>45</v>
      </c>
      <c r="R253" s="3" t="s">
        <v>45</v>
      </c>
      <c r="S253" s="3" t="s">
        <v>45</v>
      </c>
      <c r="T253" s="3" t="s">
        <v>45</v>
      </c>
      <c r="U253" s="3" t="s">
        <v>45</v>
      </c>
      <c r="V253" s="4" t="s">
        <v>2439</v>
      </c>
      <c r="W253" s="3" t="s">
        <v>45</v>
      </c>
      <c r="X253" s="3" t="s">
        <v>45</v>
      </c>
      <c r="Y253" s="3" t="s">
        <v>45</v>
      </c>
      <c r="Z253" s="3" t="s">
        <v>74</v>
      </c>
      <c r="AA253" s="3" t="s">
        <v>45</v>
      </c>
      <c r="AB253" s="3" t="s">
        <v>45</v>
      </c>
      <c r="AC253" s="3" t="s">
        <v>45</v>
      </c>
      <c r="AD253" s="3" t="s">
        <v>45</v>
      </c>
      <c r="AE253" s="3" t="s">
        <v>45</v>
      </c>
      <c r="AF253" s="3" t="s">
        <v>45</v>
      </c>
      <c r="AG253" s="3" t="s">
        <v>45</v>
      </c>
      <c r="AH253" s="3" t="s">
        <v>1298</v>
      </c>
      <c r="AI253" s="5" t="s">
        <v>2440</v>
      </c>
      <c r="AJ253" s="3" t="s">
        <v>45</v>
      </c>
      <c r="AK253" s="3" t="s">
        <v>45</v>
      </c>
      <c r="AL253" s="3" t="s">
        <v>45</v>
      </c>
      <c r="AM253" s="3" t="s">
        <v>45</v>
      </c>
      <c r="AN253" s="3" t="s">
        <v>45</v>
      </c>
      <c r="AO253" s="3" t="s">
        <v>45</v>
      </c>
      <c r="AP253" s="3" t="s">
        <v>45</v>
      </c>
      <c r="AQ253" s="4" t="s">
        <v>1300</v>
      </c>
      <c r="AR253" s="4" t="s">
        <v>1300</v>
      </c>
    </row>
    <row r="254">
      <c r="A254" s="3" t="s">
        <v>2441</v>
      </c>
      <c r="B254" s="3" t="s">
        <v>2442</v>
      </c>
      <c r="C254" s="3" t="s">
        <v>2435</v>
      </c>
      <c r="D254" s="3" t="s">
        <v>1291</v>
      </c>
      <c r="E254" s="4" t="s">
        <v>2436</v>
      </c>
      <c r="F254" s="3" t="s">
        <v>1638</v>
      </c>
      <c r="G254" s="4" t="s">
        <v>2443</v>
      </c>
      <c r="H254" s="4" t="s">
        <v>2444</v>
      </c>
      <c r="I254" s="3" t="s">
        <v>85</v>
      </c>
      <c r="J254" s="3" t="s">
        <v>126</v>
      </c>
      <c r="K254" s="3" t="s">
        <v>45</v>
      </c>
      <c r="L254" s="3" t="s">
        <v>855</v>
      </c>
      <c r="M254" s="3" t="s">
        <v>45</v>
      </c>
      <c r="N254" s="3" t="s">
        <v>45</v>
      </c>
      <c r="O254" s="3" t="s">
        <v>74</v>
      </c>
      <c r="P254" s="3" t="s">
        <v>45</v>
      </c>
      <c r="Q254" s="3" t="s">
        <v>45</v>
      </c>
      <c r="R254" s="3" t="s">
        <v>45</v>
      </c>
      <c r="S254" s="3" t="s">
        <v>45</v>
      </c>
      <c r="T254" s="3" t="s">
        <v>45</v>
      </c>
      <c r="U254" s="3" t="s">
        <v>45</v>
      </c>
      <c r="V254" s="4" t="s">
        <v>2445</v>
      </c>
      <c r="W254" s="3" t="s">
        <v>45</v>
      </c>
      <c r="X254" s="3" t="s">
        <v>45</v>
      </c>
      <c r="Y254" s="3" t="s">
        <v>45</v>
      </c>
      <c r="Z254" s="3" t="s">
        <v>74</v>
      </c>
      <c r="AA254" s="3" t="s">
        <v>45</v>
      </c>
      <c r="AB254" s="3" t="s">
        <v>45</v>
      </c>
      <c r="AC254" s="3" t="s">
        <v>45</v>
      </c>
      <c r="AD254" s="3" t="s">
        <v>45</v>
      </c>
      <c r="AE254" s="3" t="s">
        <v>45</v>
      </c>
      <c r="AF254" s="3" t="s">
        <v>45</v>
      </c>
      <c r="AG254" s="3" t="s">
        <v>45</v>
      </c>
      <c r="AH254" s="3" t="s">
        <v>1298</v>
      </c>
      <c r="AI254" s="3" t="s">
        <v>45</v>
      </c>
      <c r="AJ254" s="3" t="s">
        <v>45</v>
      </c>
      <c r="AK254" s="3" t="s">
        <v>45</v>
      </c>
      <c r="AL254" s="3" t="s">
        <v>45</v>
      </c>
      <c r="AM254" s="3" t="s">
        <v>45</v>
      </c>
      <c r="AN254" s="3" t="s">
        <v>45</v>
      </c>
      <c r="AO254" s="3" t="s">
        <v>45</v>
      </c>
      <c r="AP254" s="3" t="s">
        <v>45</v>
      </c>
      <c r="AQ254" s="4" t="s">
        <v>1300</v>
      </c>
      <c r="AR254" s="4" t="s">
        <v>1300</v>
      </c>
    </row>
    <row r="255">
      <c r="A255" s="3" t="s">
        <v>2446</v>
      </c>
      <c r="B255" s="3" t="s">
        <v>2447</v>
      </c>
      <c r="C255" s="3" t="s">
        <v>2448</v>
      </c>
      <c r="D255" s="3" t="s">
        <v>1291</v>
      </c>
      <c r="E255" s="4" t="s">
        <v>2449</v>
      </c>
      <c r="F255" s="3" t="s">
        <v>2450</v>
      </c>
      <c r="G255" s="4" t="s">
        <v>2451</v>
      </c>
      <c r="H255" s="4" t="s">
        <v>2452</v>
      </c>
      <c r="I255" s="3" t="s">
        <v>49</v>
      </c>
      <c r="J255" s="3" t="s">
        <v>126</v>
      </c>
      <c r="K255" s="3" t="s">
        <v>45</v>
      </c>
      <c r="L255" s="3" t="s">
        <v>45</v>
      </c>
      <c r="M255" s="3" t="s">
        <v>45</v>
      </c>
      <c r="N255" s="4" t="s">
        <v>2453</v>
      </c>
      <c r="O255" s="3" t="s">
        <v>70</v>
      </c>
      <c r="P255" s="3" t="s">
        <v>45</v>
      </c>
      <c r="Q255" s="3" t="s">
        <v>45</v>
      </c>
      <c r="R255" s="3" t="s">
        <v>45</v>
      </c>
      <c r="S255" s="3" t="s">
        <v>45</v>
      </c>
      <c r="T255" s="3" t="s">
        <v>45</v>
      </c>
      <c r="U255" s="3" t="s">
        <v>45</v>
      </c>
      <c r="V255" s="4" t="s">
        <v>2454</v>
      </c>
      <c r="W255" s="4" t="s">
        <v>2455</v>
      </c>
      <c r="X255" s="3" t="s">
        <v>192</v>
      </c>
      <c r="Y255" s="4" t="s">
        <v>957</v>
      </c>
      <c r="Z255" s="3" t="s">
        <v>74</v>
      </c>
      <c r="AA255" s="3" t="s">
        <v>45</v>
      </c>
      <c r="AB255" s="3" t="s">
        <v>45</v>
      </c>
      <c r="AC255" s="3" t="s">
        <v>45</v>
      </c>
      <c r="AD255" s="3" t="s">
        <v>45</v>
      </c>
      <c r="AE255" s="3" t="s">
        <v>45</v>
      </c>
      <c r="AF255" s="3" t="s">
        <v>45</v>
      </c>
      <c r="AG255" s="3" t="s">
        <v>45</v>
      </c>
      <c r="AH255" s="3" t="s">
        <v>57</v>
      </c>
      <c r="AI255" s="5" t="s">
        <v>2456</v>
      </c>
      <c r="AJ255" s="5" t="s">
        <v>2457</v>
      </c>
      <c r="AK255" s="5" t="s">
        <v>2458</v>
      </c>
      <c r="AL255" s="3" t="s">
        <v>45</v>
      </c>
      <c r="AM255" s="3" t="s">
        <v>45</v>
      </c>
      <c r="AN255" s="3" t="s">
        <v>45</v>
      </c>
      <c r="AO255" s="3" t="s">
        <v>45</v>
      </c>
      <c r="AP255" s="3" t="s">
        <v>45</v>
      </c>
      <c r="AQ255" s="4" t="s">
        <v>2459</v>
      </c>
      <c r="AR255" s="4" t="s">
        <v>2459</v>
      </c>
    </row>
    <row r="256">
      <c r="A256" s="3" t="s">
        <v>2460</v>
      </c>
      <c r="B256" s="3" t="s">
        <v>2461</v>
      </c>
      <c r="C256" s="3" t="s">
        <v>2462</v>
      </c>
      <c r="D256" s="3" t="s">
        <v>1291</v>
      </c>
      <c r="E256" s="4" t="s">
        <v>2463</v>
      </c>
      <c r="F256" s="3" t="s">
        <v>1879</v>
      </c>
      <c r="G256" s="4" t="s">
        <v>2464</v>
      </c>
      <c r="H256" s="4" t="s">
        <v>2465</v>
      </c>
      <c r="I256" s="3" t="s">
        <v>49</v>
      </c>
      <c r="J256" s="3" t="s">
        <v>50</v>
      </c>
      <c r="K256" s="3" t="s">
        <v>45</v>
      </c>
      <c r="L256" s="3" t="s">
        <v>45</v>
      </c>
      <c r="M256" s="3" t="s">
        <v>45</v>
      </c>
      <c r="N256" s="3" t="s">
        <v>45</v>
      </c>
      <c r="O256" s="3" t="s">
        <v>74</v>
      </c>
      <c r="P256" s="3" t="s">
        <v>45</v>
      </c>
      <c r="Q256" s="3" t="s">
        <v>45</v>
      </c>
      <c r="R256" s="3" t="s">
        <v>45</v>
      </c>
      <c r="S256" s="3" t="s">
        <v>45</v>
      </c>
      <c r="T256" s="3" t="s">
        <v>45</v>
      </c>
      <c r="U256" s="3" t="s">
        <v>45</v>
      </c>
      <c r="V256" s="4" t="s">
        <v>2466</v>
      </c>
      <c r="W256" s="4" t="s">
        <v>1893</v>
      </c>
      <c r="X256" s="3" t="s">
        <v>45</v>
      </c>
      <c r="Y256" s="3" t="s">
        <v>45</v>
      </c>
      <c r="Z256" s="3" t="s">
        <v>74</v>
      </c>
      <c r="AA256" s="3" t="s">
        <v>45</v>
      </c>
      <c r="AB256" s="3" t="s">
        <v>45</v>
      </c>
      <c r="AC256" s="3" t="s">
        <v>45</v>
      </c>
      <c r="AD256" s="3" t="s">
        <v>45</v>
      </c>
      <c r="AE256" s="3" t="s">
        <v>45</v>
      </c>
      <c r="AF256" s="3" t="s">
        <v>45</v>
      </c>
      <c r="AG256" s="3" t="s">
        <v>45</v>
      </c>
      <c r="AH256" s="3" t="s">
        <v>57</v>
      </c>
      <c r="AI256" s="5" t="s">
        <v>1896</v>
      </c>
      <c r="AJ256" s="3" t="s">
        <v>45</v>
      </c>
      <c r="AK256" s="3" t="s">
        <v>45</v>
      </c>
      <c r="AL256" s="3" t="s">
        <v>45</v>
      </c>
      <c r="AM256" s="3" t="s">
        <v>45</v>
      </c>
      <c r="AN256" s="3" t="s">
        <v>45</v>
      </c>
      <c r="AO256" s="3" t="s">
        <v>45</v>
      </c>
      <c r="AP256" s="3" t="s">
        <v>45</v>
      </c>
      <c r="AQ256" s="4" t="s">
        <v>1085</v>
      </c>
      <c r="AR256" s="4" t="s">
        <v>1085</v>
      </c>
    </row>
    <row r="257">
      <c r="A257" s="3" t="s">
        <v>2467</v>
      </c>
      <c r="B257" s="3" t="s">
        <v>2468</v>
      </c>
      <c r="C257" s="3" t="s">
        <v>2469</v>
      </c>
      <c r="D257" s="3" t="s">
        <v>1291</v>
      </c>
      <c r="E257" s="4" t="s">
        <v>2022</v>
      </c>
      <c r="F257" s="3" t="s">
        <v>1330</v>
      </c>
      <c r="G257" s="4" t="s">
        <v>2470</v>
      </c>
      <c r="H257" s="4" t="s">
        <v>2471</v>
      </c>
      <c r="I257" s="3" t="s">
        <v>85</v>
      </c>
      <c r="J257" s="3" t="s">
        <v>126</v>
      </c>
      <c r="K257" s="3" t="s">
        <v>45</v>
      </c>
      <c r="L257" s="3" t="s">
        <v>409</v>
      </c>
      <c r="M257" s="3" t="s">
        <v>45</v>
      </c>
      <c r="N257" s="4" t="s">
        <v>583</v>
      </c>
      <c r="O257" s="3" t="s">
        <v>390</v>
      </c>
      <c r="P257" s="3" t="s">
        <v>45</v>
      </c>
      <c r="Q257" s="3" t="s">
        <v>45</v>
      </c>
      <c r="R257" s="3" t="s">
        <v>45</v>
      </c>
      <c r="S257" s="3" t="s">
        <v>45</v>
      </c>
      <c r="T257" s="3" t="s">
        <v>45</v>
      </c>
      <c r="U257" s="3" t="s">
        <v>45</v>
      </c>
      <c r="V257" s="4" t="s">
        <v>1650</v>
      </c>
      <c r="W257" s="3" t="s">
        <v>45</v>
      </c>
      <c r="X257" s="3" t="s">
        <v>45</v>
      </c>
      <c r="Y257" s="3" t="s">
        <v>45</v>
      </c>
      <c r="Z257" s="3" t="s">
        <v>74</v>
      </c>
      <c r="AA257" s="3" t="s">
        <v>45</v>
      </c>
      <c r="AB257" s="3" t="s">
        <v>45</v>
      </c>
      <c r="AC257" s="3" t="s">
        <v>45</v>
      </c>
      <c r="AD257" s="3" t="s">
        <v>45</v>
      </c>
      <c r="AE257" s="3" t="s">
        <v>45</v>
      </c>
      <c r="AF257" s="3" t="s">
        <v>45</v>
      </c>
      <c r="AG257" s="3" t="s">
        <v>45</v>
      </c>
      <c r="AH257" s="3" t="s">
        <v>1298</v>
      </c>
      <c r="AI257" s="5" t="s">
        <v>2472</v>
      </c>
      <c r="AJ257" s="3" t="s">
        <v>45</v>
      </c>
      <c r="AK257" s="3" t="s">
        <v>45</v>
      </c>
      <c r="AL257" s="3" t="s">
        <v>45</v>
      </c>
      <c r="AM257" s="3" t="s">
        <v>45</v>
      </c>
      <c r="AN257" s="3" t="s">
        <v>45</v>
      </c>
      <c r="AO257" s="3" t="s">
        <v>45</v>
      </c>
      <c r="AP257" s="3" t="s">
        <v>45</v>
      </c>
      <c r="AQ257" s="4" t="s">
        <v>1300</v>
      </c>
      <c r="AR257" s="4" t="s">
        <v>1300</v>
      </c>
    </row>
    <row r="258">
      <c r="A258" s="3" t="s">
        <v>2473</v>
      </c>
      <c r="B258" s="3" t="s">
        <v>2474</v>
      </c>
      <c r="C258" s="3" t="s">
        <v>2469</v>
      </c>
      <c r="D258" s="3" t="s">
        <v>1291</v>
      </c>
      <c r="E258" s="4" t="s">
        <v>2415</v>
      </c>
      <c r="F258" s="3" t="s">
        <v>2407</v>
      </c>
      <c r="G258" s="4" t="s">
        <v>2475</v>
      </c>
      <c r="H258" s="4" t="s">
        <v>2476</v>
      </c>
      <c r="I258" s="3" t="s">
        <v>49</v>
      </c>
      <c r="J258" s="3" t="s">
        <v>126</v>
      </c>
      <c r="K258" s="3" t="s">
        <v>45</v>
      </c>
      <c r="L258" s="3" t="s">
        <v>2477</v>
      </c>
      <c r="M258" s="3" t="s">
        <v>45</v>
      </c>
      <c r="N258" s="3" t="s">
        <v>45</v>
      </c>
      <c r="O258" s="3" t="s">
        <v>74</v>
      </c>
      <c r="P258" s="3" t="s">
        <v>45</v>
      </c>
      <c r="Q258" s="3" t="s">
        <v>45</v>
      </c>
      <c r="R258" s="3" t="s">
        <v>45</v>
      </c>
      <c r="S258" s="3" t="s">
        <v>45</v>
      </c>
      <c r="T258" s="3" t="s">
        <v>45</v>
      </c>
      <c r="U258" s="3" t="s">
        <v>45</v>
      </c>
      <c r="V258" s="4" t="s">
        <v>1823</v>
      </c>
      <c r="W258" s="3" t="s">
        <v>45</v>
      </c>
      <c r="X258" s="3" t="s">
        <v>45</v>
      </c>
      <c r="Y258" s="3" t="s">
        <v>45</v>
      </c>
      <c r="Z258" s="3" t="s">
        <v>74</v>
      </c>
      <c r="AA258" s="3" t="s">
        <v>45</v>
      </c>
      <c r="AB258" s="3" t="s">
        <v>45</v>
      </c>
      <c r="AC258" s="3" t="s">
        <v>45</v>
      </c>
      <c r="AD258" s="3" t="s">
        <v>45</v>
      </c>
      <c r="AE258" s="3" t="s">
        <v>45</v>
      </c>
      <c r="AF258" s="3" t="s">
        <v>45</v>
      </c>
      <c r="AG258" s="3" t="s">
        <v>45</v>
      </c>
      <c r="AH258" s="3" t="s">
        <v>57</v>
      </c>
      <c r="AI258" s="5" t="s">
        <v>2478</v>
      </c>
      <c r="AJ258" s="5" t="s">
        <v>2479</v>
      </c>
      <c r="AK258" s="3" t="s">
        <v>45</v>
      </c>
      <c r="AL258" s="3" t="s">
        <v>45</v>
      </c>
      <c r="AM258" s="3" t="s">
        <v>45</v>
      </c>
      <c r="AN258" s="3" t="s">
        <v>45</v>
      </c>
      <c r="AO258" s="3" t="s">
        <v>45</v>
      </c>
      <c r="AP258" s="3" t="s">
        <v>45</v>
      </c>
      <c r="AQ258" s="4" t="s">
        <v>1654</v>
      </c>
      <c r="AR258" s="4" t="s">
        <v>1654</v>
      </c>
    </row>
    <row r="259">
      <c r="A259" s="3" t="s">
        <v>2341</v>
      </c>
      <c r="B259" s="3" t="s">
        <v>2480</v>
      </c>
      <c r="C259" s="3" t="s">
        <v>2469</v>
      </c>
      <c r="D259" s="3" t="s">
        <v>1291</v>
      </c>
      <c r="E259" s="4" t="s">
        <v>1947</v>
      </c>
      <c r="F259" s="3" t="s">
        <v>2407</v>
      </c>
      <c r="G259" s="4" t="s">
        <v>2481</v>
      </c>
      <c r="H259" s="4" t="s">
        <v>2482</v>
      </c>
      <c r="I259" s="3" t="s">
        <v>49</v>
      </c>
      <c r="J259" s="3" t="s">
        <v>126</v>
      </c>
      <c r="K259" s="3" t="s">
        <v>45</v>
      </c>
      <c r="L259" s="3" t="s">
        <v>45</v>
      </c>
      <c r="M259" s="3" t="s">
        <v>45</v>
      </c>
      <c r="N259" s="3" t="s">
        <v>45</v>
      </c>
      <c r="O259" s="3" t="s">
        <v>74</v>
      </c>
      <c r="P259" s="3" t="s">
        <v>45</v>
      </c>
      <c r="Q259" s="3" t="s">
        <v>45</v>
      </c>
      <c r="R259" s="3" t="s">
        <v>45</v>
      </c>
      <c r="S259" s="3" t="s">
        <v>45</v>
      </c>
      <c r="T259" s="3" t="s">
        <v>45</v>
      </c>
      <c r="U259" s="3" t="s">
        <v>45</v>
      </c>
      <c r="V259" s="4" t="s">
        <v>260</v>
      </c>
      <c r="W259" s="3" t="s">
        <v>45</v>
      </c>
      <c r="X259" s="3" t="s">
        <v>45</v>
      </c>
      <c r="Y259" s="3" t="s">
        <v>45</v>
      </c>
      <c r="Z259" s="3" t="s">
        <v>74</v>
      </c>
      <c r="AA259" s="3" t="s">
        <v>45</v>
      </c>
      <c r="AB259" s="3" t="s">
        <v>45</v>
      </c>
      <c r="AC259" s="3" t="s">
        <v>45</v>
      </c>
      <c r="AD259" s="3" t="s">
        <v>45</v>
      </c>
      <c r="AE259" s="3" t="s">
        <v>45</v>
      </c>
      <c r="AF259" s="3" t="s">
        <v>45</v>
      </c>
      <c r="AG259" s="3" t="s">
        <v>45</v>
      </c>
      <c r="AH259" s="3" t="s">
        <v>57</v>
      </c>
      <c r="AI259" s="5" t="s">
        <v>2321</v>
      </c>
      <c r="AJ259" s="3" t="s">
        <v>45</v>
      </c>
      <c r="AK259" s="3" t="s">
        <v>45</v>
      </c>
      <c r="AL259" s="3" t="s">
        <v>45</v>
      </c>
      <c r="AM259" s="3" t="s">
        <v>45</v>
      </c>
      <c r="AN259" s="3" t="s">
        <v>45</v>
      </c>
      <c r="AO259" s="3" t="s">
        <v>45</v>
      </c>
      <c r="AP259" s="3" t="s">
        <v>45</v>
      </c>
      <c r="AQ259" s="4" t="s">
        <v>1085</v>
      </c>
      <c r="AR259" s="4" t="s">
        <v>1085</v>
      </c>
    </row>
    <row r="260">
      <c r="A260" s="3" t="s">
        <v>2483</v>
      </c>
      <c r="B260" s="3" t="s">
        <v>2484</v>
      </c>
      <c r="C260" s="3" t="s">
        <v>2485</v>
      </c>
      <c r="D260" s="3" t="s">
        <v>1291</v>
      </c>
      <c r="E260" s="4" t="s">
        <v>2486</v>
      </c>
      <c r="F260" s="3" t="s">
        <v>1305</v>
      </c>
      <c r="G260" s="4" t="s">
        <v>2487</v>
      </c>
      <c r="H260" s="4" t="s">
        <v>2488</v>
      </c>
      <c r="I260" s="3" t="s">
        <v>49</v>
      </c>
      <c r="J260" s="3" t="s">
        <v>50</v>
      </c>
      <c r="K260" s="3" t="s">
        <v>45</v>
      </c>
      <c r="L260" s="3" t="s">
        <v>45</v>
      </c>
      <c r="M260" s="3" t="s">
        <v>45</v>
      </c>
      <c r="N260" s="3" t="s">
        <v>2489</v>
      </c>
      <c r="O260" s="3" t="s">
        <v>88</v>
      </c>
      <c r="P260" s="3" t="s">
        <v>45</v>
      </c>
      <c r="Q260" s="3" t="s">
        <v>45</v>
      </c>
      <c r="R260" s="3" t="s">
        <v>45</v>
      </c>
      <c r="S260" s="3" t="s">
        <v>45</v>
      </c>
      <c r="T260" s="3" t="s">
        <v>45</v>
      </c>
      <c r="U260" s="3" t="s">
        <v>45</v>
      </c>
      <c r="V260" s="3" t="s">
        <v>45</v>
      </c>
      <c r="W260" s="4" t="s">
        <v>2490</v>
      </c>
      <c r="X260" s="3" t="s">
        <v>2491</v>
      </c>
      <c r="Y260" s="3" t="s">
        <v>45</v>
      </c>
      <c r="Z260" s="3" t="s">
        <v>55</v>
      </c>
      <c r="AA260" s="3" t="s">
        <v>2492</v>
      </c>
      <c r="AB260" s="3" t="s">
        <v>109</v>
      </c>
      <c r="AC260" s="3" t="s">
        <v>45</v>
      </c>
      <c r="AD260" s="5" t="s">
        <v>2493</v>
      </c>
      <c r="AE260" s="3" t="s">
        <v>45</v>
      </c>
      <c r="AF260" s="3" t="s">
        <v>45</v>
      </c>
      <c r="AG260" s="3" t="s">
        <v>45</v>
      </c>
      <c r="AH260" s="3" t="s">
        <v>57</v>
      </c>
      <c r="AI260" s="5" t="s">
        <v>2494</v>
      </c>
      <c r="AJ260" s="5" t="s">
        <v>2495</v>
      </c>
      <c r="AK260" s="5" t="s">
        <v>2496</v>
      </c>
      <c r="AL260" s="3" t="s">
        <v>45</v>
      </c>
      <c r="AM260" s="3" t="s">
        <v>45</v>
      </c>
      <c r="AN260" s="3" t="s">
        <v>45</v>
      </c>
      <c r="AO260" s="3" t="s">
        <v>45</v>
      </c>
      <c r="AP260" s="3" t="s">
        <v>45</v>
      </c>
      <c r="AQ260" s="4" t="s">
        <v>1325</v>
      </c>
      <c r="AR260" s="4" t="s">
        <v>198</v>
      </c>
    </row>
    <row r="261">
      <c r="A261" s="3" t="s">
        <v>2497</v>
      </c>
      <c r="B261" s="3" t="s">
        <v>2498</v>
      </c>
      <c r="C261" s="3" t="s">
        <v>2485</v>
      </c>
      <c r="D261" s="3" t="s">
        <v>1291</v>
      </c>
      <c r="E261" s="4" t="s">
        <v>2486</v>
      </c>
      <c r="F261" s="3" t="s">
        <v>1305</v>
      </c>
      <c r="G261" s="4" t="s">
        <v>2499</v>
      </c>
      <c r="H261" s="4" t="s">
        <v>2500</v>
      </c>
      <c r="I261" s="3" t="s">
        <v>49</v>
      </c>
      <c r="J261" s="3" t="s">
        <v>50</v>
      </c>
      <c r="K261" s="3" t="s">
        <v>45</v>
      </c>
      <c r="L261" s="3" t="s">
        <v>409</v>
      </c>
      <c r="M261" s="3" t="s">
        <v>45</v>
      </c>
      <c r="N261" s="3" t="s">
        <v>45</v>
      </c>
      <c r="O261" s="3" t="s">
        <v>74</v>
      </c>
      <c r="P261" s="3" t="s">
        <v>45</v>
      </c>
      <c r="Q261" s="3" t="s">
        <v>45</v>
      </c>
      <c r="R261" s="3" t="s">
        <v>45</v>
      </c>
      <c r="S261" s="3" t="s">
        <v>45</v>
      </c>
      <c r="T261" s="3" t="s">
        <v>45</v>
      </c>
      <c r="U261" s="3" t="s">
        <v>45</v>
      </c>
      <c r="V261" s="3" t="s">
        <v>45</v>
      </c>
      <c r="W261" s="4" t="s">
        <v>2501</v>
      </c>
      <c r="X261" s="3" t="s">
        <v>305</v>
      </c>
      <c r="Y261" s="3" t="s">
        <v>45</v>
      </c>
      <c r="Z261" s="3" t="s">
        <v>74</v>
      </c>
      <c r="AA261" s="3" t="s">
        <v>45</v>
      </c>
      <c r="AB261" s="3" t="s">
        <v>45</v>
      </c>
      <c r="AC261" s="3" t="s">
        <v>45</v>
      </c>
      <c r="AD261" s="3" t="s">
        <v>45</v>
      </c>
      <c r="AE261" s="3" t="s">
        <v>45</v>
      </c>
      <c r="AF261" s="3" t="s">
        <v>45</v>
      </c>
      <c r="AG261" s="3" t="s">
        <v>45</v>
      </c>
      <c r="AH261" s="3" t="s">
        <v>57</v>
      </c>
      <c r="AI261" s="5" t="s">
        <v>2502</v>
      </c>
      <c r="AJ261" s="3" t="s">
        <v>45</v>
      </c>
      <c r="AK261" s="3" t="s">
        <v>45</v>
      </c>
      <c r="AL261" s="3" t="s">
        <v>45</v>
      </c>
      <c r="AM261" s="3" t="s">
        <v>45</v>
      </c>
      <c r="AN261" s="3" t="s">
        <v>45</v>
      </c>
      <c r="AO261" s="3" t="s">
        <v>45</v>
      </c>
      <c r="AP261" s="3" t="s">
        <v>45</v>
      </c>
      <c r="AQ261" s="4" t="s">
        <v>1325</v>
      </c>
      <c r="AR261" s="4" t="s">
        <v>1943</v>
      </c>
    </row>
    <row r="262">
      <c r="A262" s="3" t="s">
        <v>2503</v>
      </c>
      <c r="B262" s="3" t="s">
        <v>2504</v>
      </c>
      <c r="C262" s="3" t="s">
        <v>2485</v>
      </c>
      <c r="D262" s="3" t="s">
        <v>1291</v>
      </c>
      <c r="E262" s="4" t="s">
        <v>2486</v>
      </c>
      <c r="F262" s="3" t="s">
        <v>1305</v>
      </c>
      <c r="G262" s="4" t="s">
        <v>2505</v>
      </c>
      <c r="H262" s="4" t="s">
        <v>2506</v>
      </c>
      <c r="I262" s="3" t="s">
        <v>49</v>
      </c>
      <c r="J262" s="3" t="s">
        <v>50</v>
      </c>
      <c r="K262" s="3" t="s">
        <v>45</v>
      </c>
      <c r="L262" s="3" t="s">
        <v>45</v>
      </c>
      <c r="M262" s="3" t="s">
        <v>45</v>
      </c>
      <c r="N262" s="3" t="s">
        <v>45</v>
      </c>
      <c r="O262" s="3" t="s">
        <v>74</v>
      </c>
      <c r="P262" s="3" t="s">
        <v>45</v>
      </c>
      <c r="Q262" s="3" t="s">
        <v>45</v>
      </c>
      <c r="R262" s="3" t="s">
        <v>45</v>
      </c>
      <c r="S262" s="4" t="s">
        <v>1872</v>
      </c>
      <c r="T262" s="3" t="s">
        <v>45</v>
      </c>
      <c r="U262" s="3" t="s">
        <v>45</v>
      </c>
      <c r="V262" s="4" t="s">
        <v>2507</v>
      </c>
      <c r="W262" s="3" t="s">
        <v>45</v>
      </c>
      <c r="X262" s="3" t="s">
        <v>45</v>
      </c>
      <c r="Y262" s="3" t="s">
        <v>45</v>
      </c>
      <c r="Z262" s="3" t="s">
        <v>74</v>
      </c>
      <c r="AA262" s="3" t="s">
        <v>45</v>
      </c>
      <c r="AB262" s="3" t="s">
        <v>45</v>
      </c>
      <c r="AC262" s="3" t="s">
        <v>45</v>
      </c>
      <c r="AD262" s="3" t="s">
        <v>45</v>
      </c>
      <c r="AE262" s="3" t="s">
        <v>45</v>
      </c>
      <c r="AF262" s="3" t="s">
        <v>45</v>
      </c>
      <c r="AG262" s="3" t="s">
        <v>45</v>
      </c>
      <c r="AH262" s="3" t="s">
        <v>57</v>
      </c>
      <c r="AI262" s="5" t="s">
        <v>2508</v>
      </c>
      <c r="AJ262" s="3" t="s">
        <v>45</v>
      </c>
      <c r="AK262" s="3" t="s">
        <v>45</v>
      </c>
      <c r="AL262" s="3" t="s">
        <v>45</v>
      </c>
      <c r="AM262" s="3" t="s">
        <v>45</v>
      </c>
      <c r="AN262" s="3" t="s">
        <v>45</v>
      </c>
      <c r="AO262" s="3" t="s">
        <v>45</v>
      </c>
      <c r="AP262" s="3" t="s">
        <v>45</v>
      </c>
      <c r="AQ262" s="4" t="s">
        <v>2509</v>
      </c>
      <c r="AR262" s="4" t="s">
        <v>1943</v>
      </c>
    </row>
    <row r="263">
      <c r="A263" s="3" t="s">
        <v>2510</v>
      </c>
      <c r="B263" s="3" t="s">
        <v>2511</v>
      </c>
      <c r="C263" s="3" t="s">
        <v>2485</v>
      </c>
      <c r="D263" s="3" t="s">
        <v>1291</v>
      </c>
      <c r="E263" s="4" t="s">
        <v>2486</v>
      </c>
      <c r="F263" s="3" t="s">
        <v>1305</v>
      </c>
      <c r="G263" s="4" t="s">
        <v>2512</v>
      </c>
      <c r="H263" s="4" t="s">
        <v>2513</v>
      </c>
      <c r="I263" s="3" t="s">
        <v>49</v>
      </c>
      <c r="J263" s="3" t="s">
        <v>126</v>
      </c>
      <c r="K263" s="3" t="s">
        <v>45</v>
      </c>
      <c r="L263" s="3" t="s">
        <v>45</v>
      </c>
      <c r="M263" s="3" t="s">
        <v>45</v>
      </c>
      <c r="N263" s="4" t="s">
        <v>2514</v>
      </c>
      <c r="O263" s="3" t="s">
        <v>88</v>
      </c>
      <c r="P263" s="3" t="s">
        <v>45</v>
      </c>
      <c r="Q263" s="3" t="s">
        <v>45</v>
      </c>
      <c r="R263" s="3" t="s">
        <v>45</v>
      </c>
      <c r="S263" s="3" t="s">
        <v>45</v>
      </c>
      <c r="T263" s="3" t="s">
        <v>45</v>
      </c>
      <c r="U263" s="3" t="s">
        <v>45</v>
      </c>
      <c r="V263" s="4" t="s">
        <v>2515</v>
      </c>
      <c r="W263" s="3" t="s">
        <v>45</v>
      </c>
      <c r="X263" s="3" t="s">
        <v>45</v>
      </c>
      <c r="Y263" s="3" t="s">
        <v>45</v>
      </c>
      <c r="Z263" s="3" t="s">
        <v>74</v>
      </c>
      <c r="AA263" s="3" t="s">
        <v>45</v>
      </c>
      <c r="AB263" s="3" t="s">
        <v>45</v>
      </c>
      <c r="AC263" s="3" t="s">
        <v>45</v>
      </c>
      <c r="AD263" s="3" t="s">
        <v>45</v>
      </c>
      <c r="AE263" s="3" t="s">
        <v>45</v>
      </c>
      <c r="AF263" s="3" t="s">
        <v>45</v>
      </c>
      <c r="AG263" s="3" t="s">
        <v>45</v>
      </c>
      <c r="AH263" s="3" t="s">
        <v>57</v>
      </c>
      <c r="AI263" s="5" t="s">
        <v>1309</v>
      </c>
      <c r="AJ263" s="3" t="s">
        <v>45</v>
      </c>
      <c r="AK263" s="3" t="s">
        <v>45</v>
      </c>
      <c r="AL263" s="3" t="s">
        <v>45</v>
      </c>
      <c r="AM263" s="3" t="s">
        <v>45</v>
      </c>
      <c r="AN263" s="3" t="s">
        <v>45</v>
      </c>
      <c r="AO263" s="3" t="s">
        <v>45</v>
      </c>
      <c r="AP263" s="3" t="s">
        <v>45</v>
      </c>
      <c r="AQ263" s="4" t="s">
        <v>1325</v>
      </c>
      <c r="AR263" s="4" t="s">
        <v>1943</v>
      </c>
    </row>
    <row r="264">
      <c r="A264" s="3" t="s">
        <v>2516</v>
      </c>
      <c r="B264" s="3" t="s">
        <v>2517</v>
      </c>
      <c r="C264" s="3" t="s">
        <v>2485</v>
      </c>
      <c r="D264" s="3" t="s">
        <v>1291</v>
      </c>
      <c r="E264" s="4" t="s">
        <v>2518</v>
      </c>
      <c r="F264" s="3" t="s">
        <v>1305</v>
      </c>
      <c r="G264" s="4" t="s">
        <v>2519</v>
      </c>
      <c r="H264" s="4" t="s">
        <v>2520</v>
      </c>
      <c r="I264" s="3" t="s">
        <v>49</v>
      </c>
      <c r="J264" s="3" t="s">
        <v>126</v>
      </c>
      <c r="K264" s="3" t="s">
        <v>45</v>
      </c>
      <c r="L264" s="3" t="s">
        <v>409</v>
      </c>
      <c r="M264" s="3" t="s">
        <v>45</v>
      </c>
      <c r="N264" s="3" t="s">
        <v>45</v>
      </c>
      <c r="O264" s="3" t="s">
        <v>74</v>
      </c>
      <c r="P264" s="3" t="s">
        <v>45</v>
      </c>
      <c r="Q264" s="3" t="s">
        <v>45</v>
      </c>
      <c r="R264" s="3" t="s">
        <v>45</v>
      </c>
      <c r="S264" s="3" t="s">
        <v>45</v>
      </c>
      <c r="T264" s="3" t="s">
        <v>45</v>
      </c>
      <c r="U264" s="3" t="s">
        <v>45</v>
      </c>
      <c r="V264" s="3" t="s">
        <v>45</v>
      </c>
      <c r="W264" s="3" t="s">
        <v>45</v>
      </c>
      <c r="X264" s="3" t="s">
        <v>45</v>
      </c>
      <c r="Y264" s="3" t="s">
        <v>45</v>
      </c>
      <c r="Z264" s="3" t="s">
        <v>74</v>
      </c>
      <c r="AA264" s="3" t="s">
        <v>45</v>
      </c>
      <c r="AB264" s="3" t="s">
        <v>45</v>
      </c>
      <c r="AC264" s="3" t="s">
        <v>45</v>
      </c>
      <c r="AD264" s="3" t="s">
        <v>45</v>
      </c>
      <c r="AE264" s="3" t="s">
        <v>45</v>
      </c>
      <c r="AF264" s="3" t="s">
        <v>45</v>
      </c>
      <c r="AG264" s="3" t="s">
        <v>45</v>
      </c>
      <c r="AH264" s="3" t="s">
        <v>1298</v>
      </c>
      <c r="AI264" s="5" t="s">
        <v>2502</v>
      </c>
      <c r="AJ264" s="3" t="s">
        <v>45</v>
      </c>
      <c r="AK264" s="3" t="s">
        <v>45</v>
      </c>
      <c r="AL264" s="3" t="s">
        <v>45</v>
      </c>
      <c r="AM264" s="3" t="s">
        <v>45</v>
      </c>
      <c r="AN264" s="3" t="s">
        <v>45</v>
      </c>
      <c r="AO264" s="3" t="s">
        <v>45</v>
      </c>
      <c r="AP264" s="3" t="s">
        <v>45</v>
      </c>
      <c r="AQ264" s="4" t="s">
        <v>1300</v>
      </c>
      <c r="AR264" s="4" t="s">
        <v>1300</v>
      </c>
    </row>
    <row r="265">
      <c r="A265" s="3" t="s">
        <v>2521</v>
      </c>
      <c r="B265" s="3" t="s">
        <v>2522</v>
      </c>
      <c r="C265" s="3" t="s">
        <v>2523</v>
      </c>
      <c r="D265" s="3" t="s">
        <v>1291</v>
      </c>
      <c r="E265" s="4" t="s">
        <v>2524</v>
      </c>
      <c r="F265" s="3" t="s">
        <v>2525</v>
      </c>
      <c r="G265" s="4" t="s">
        <v>2526</v>
      </c>
      <c r="H265" s="4" t="s">
        <v>2527</v>
      </c>
      <c r="I265" s="3" t="s">
        <v>85</v>
      </c>
      <c r="J265" s="3" t="s">
        <v>126</v>
      </c>
      <c r="K265" s="3" t="s">
        <v>743</v>
      </c>
      <c r="L265" s="3" t="s">
        <v>2528</v>
      </c>
      <c r="M265" s="3" t="s">
        <v>45</v>
      </c>
      <c r="N265" s="4" t="s">
        <v>2529</v>
      </c>
      <c r="O265" s="3" t="s">
        <v>88</v>
      </c>
      <c r="P265" s="3" t="s">
        <v>45</v>
      </c>
      <c r="Q265" s="3" t="s">
        <v>45</v>
      </c>
      <c r="R265" s="3" t="s">
        <v>45</v>
      </c>
      <c r="S265" s="3" t="s">
        <v>45</v>
      </c>
      <c r="T265" s="3" t="s">
        <v>45</v>
      </c>
      <c r="U265" s="3" t="s">
        <v>45</v>
      </c>
      <c r="V265" s="3" t="s">
        <v>45</v>
      </c>
      <c r="W265" s="3" t="s">
        <v>45</v>
      </c>
      <c r="X265" s="3" t="s">
        <v>45</v>
      </c>
      <c r="Y265" s="3" t="s">
        <v>45</v>
      </c>
      <c r="Z265" s="3" t="s">
        <v>45</v>
      </c>
      <c r="AA265" s="3" t="s">
        <v>45</v>
      </c>
      <c r="AB265" s="3" t="s">
        <v>45</v>
      </c>
      <c r="AC265" s="3" t="s">
        <v>45</v>
      </c>
      <c r="AD265" s="3" t="s">
        <v>45</v>
      </c>
      <c r="AE265" s="3" t="s">
        <v>45</v>
      </c>
      <c r="AF265" s="3" t="s">
        <v>45</v>
      </c>
      <c r="AG265" s="3" t="s">
        <v>2530</v>
      </c>
      <c r="AH265" s="3" t="s">
        <v>57</v>
      </c>
      <c r="AI265" s="5" t="s">
        <v>2531</v>
      </c>
      <c r="AJ265" s="3" t="s">
        <v>45</v>
      </c>
      <c r="AK265" s="3" t="s">
        <v>45</v>
      </c>
      <c r="AL265" s="3" t="s">
        <v>45</v>
      </c>
      <c r="AM265" s="3" t="s">
        <v>45</v>
      </c>
      <c r="AN265" s="3" t="s">
        <v>45</v>
      </c>
      <c r="AO265" s="3" t="s">
        <v>45</v>
      </c>
      <c r="AP265" s="3" t="s">
        <v>45</v>
      </c>
      <c r="AQ265" s="4" t="s">
        <v>1016</v>
      </c>
      <c r="AR265" s="4" t="s">
        <v>1016</v>
      </c>
    </row>
    <row r="266">
      <c r="A266" s="3" t="s">
        <v>2532</v>
      </c>
      <c r="B266" s="3" t="s">
        <v>2533</v>
      </c>
      <c r="C266" s="3" t="s">
        <v>2534</v>
      </c>
      <c r="D266" s="3" t="s">
        <v>1291</v>
      </c>
      <c r="E266" s="4" t="s">
        <v>1379</v>
      </c>
      <c r="F266" s="3" t="s">
        <v>2535</v>
      </c>
      <c r="G266" s="4" t="s">
        <v>2536</v>
      </c>
      <c r="H266" s="4" t="s">
        <v>2537</v>
      </c>
      <c r="I266" s="3" t="s">
        <v>49</v>
      </c>
      <c r="J266" s="3" t="s">
        <v>126</v>
      </c>
      <c r="K266" s="3" t="s">
        <v>45</v>
      </c>
      <c r="L266" s="3" t="s">
        <v>2538</v>
      </c>
      <c r="M266" s="3" t="s">
        <v>45</v>
      </c>
      <c r="N266" s="3" t="s">
        <v>45</v>
      </c>
      <c r="O266" s="3" t="s">
        <v>74</v>
      </c>
      <c r="P266" s="3" t="s">
        <v>45</v>
      </c>
      <c r="Q266" s="3" t="s">
        <v>45</v>
      </c>
      <c r="R266" s="3" t="s">
        <v>45</v>
      </c>
      <c r="S266" s="3" t="s">
        <v>45</v>
      </c>
      <c r="T266" s="3" t="s">
        <v>45</v>
      </c>
      <c r="U266" s="3" t="s">
        <v>45</v>
      </c>
      <c r="V266" s="4" t="s">
        <v>2539</v>
      </c>
      <c r="W266" s="3" t="s">
        <v>45</v>
      </c>
      <c r="X266" s="3" t="s">
        <v>45</v>
      </c>
      <c r="Y266" s="3" t="s">
        <v>45</v>
      </c>
      <c r="Z266" s="3" t="s">
        <v>74</v>
      </c>
      <c r="AA266" s="3" t="s">
        <v>45</v>
      </c>
      <c r="AB266" s="3" t="s">
        <v>45</v>
      </c>
      <c r="AC266" s="3" t="s">
        <v>45</v>
      </c>
      <c r="AD266" s="3" t="s">
        <v>45</v>
      </c>
      <c r="AE266" s="3" t="s">
        <v>45</v>
      </c>
      <c r="AF266" s="3" t="s">
        <v>45</v>
      </c>
      <c r="AG266" s="3" t="s">
        <v>45</v>
      </c>
      <c r="AH266" s="3" t="s">
        <v>1298</v>
      </c>
      <c r="AI266" s="5" t="s">
        <v>2540</v>
      </c>
      <c r="AJ266" s="3" t="s">
        <v>45</v>
      </c>
      <c r="AK266" s="3" t="s">
        <v>45</v>
      </c>
      <c r="AL266" s="3" t="s">
        <v>45</v>
      </c>
      <c r="AM266" s="3" t="s">
        <v>45</v>
      </c>
      <c r="AN266" s="3" t="s">
        <v>45</v>
      </c>
      <c r="AO266" s="3" t="s">
        <v>45</v>
      </c>
      <c r="AP266" s="3" t="s">
        <v>45</v>
      </c>
      <c r="AQ266" s="4" t="s">
        <v>1300</v>
      </c>
      <c r="AR266" s="4" t="s">
        <v>1300</v>
      </c>
    </row>
    <row r="267">
      <c r="A267" s="3" t="s">
        <v>2541</v>
      </c>
      <c r="B267" s="3" t="s">
        <v>2542</v>
      </c>
      <c r="C267" s="3" t="s">
        <v>2543</v>
      </c>
      <c r="D267" s="3" t="s">
        <v>1291</v>
      </c>
      <c r="E267" s="4" t="s">
        <v>2544</v>
      </c>
      <c r="F267" s="3" t="s">
        <v>1504</v>
      </c>
      <c r="G267" s="4" t="s">
        <v>2545</v>
      </c>
      <c r="H267" s="4" t="s">
        <v>2546</v>
      </c>
      <c r="I267" s="3" t="s">
        <v>85</v>
      </c>
      <c r="J267" s="3" t="s">
        <v>126</v>
      </c>
      <c r="K267" s="3" t="s">
        <v>45</v>
      </c>
      <c r="L267" s="3" t="s">
        <v>1333</v>
      </c>
      <c r="M267" s="3" t="s">
        <v>45</v>
      </c>
      <c r="N267" s="4" t="s">
        <v>104</v>
      </c>
      <c r="O267" s="3" t="s">
        <v>53</v>
      </c>
      <c r="P267" s="3" t="s">
        <v>45</v>
      </c>
      <c r="Q267" s="3" t="s">
        <v>45</v>
      </c>
      <c r="R267" s="3" t="s">
        <v>45</v>
      </c>
      <c r="S267" s="3" t="s">
        <v>45</v>
      </c>
      <c r="T267" s="3" t="s">
        <v>45</v>
      </c>
      <c r="U267" s="3" t="s">
        <v>45</v>
      </c>
      <c r="V267" s="4" t="s">
        <v>1258</v>
      </c>
      <c r="W267" s="3" t="s">
        <v>45</v>
      </c>
      <c r="X267" s="3" t="s">
        <v>45</v>
      </c>
      <c r="Y267" s="3" t="s">
        <v>45</v>
      </c>
      <c r="Z267" s="3" t="s">
        <v>74</v>
      </c>
      <c r="AA267" s="3" t="s">
        <v>45</v>
      </c>
      <c r="AB267" s="3" t="s">
        <v>45</v>
      </c>
      <c r="AC267" s="3" t="s">
        <v>45</v>
      </c>
      <c r="AD267" s="3" t="s">
        <v>45</v>
      </c>
      <c r="AE267" s="3" t="s">
        <v>45</v>
      </c>
      <c r="AF267" s="3" t="s">
        <v>45</v>
      </c>
      <c r="AG267" s="3" t="s">
        <v>45</v>
      </c>
      <c r="AH267" s="3" t="s">
        <v>1298</v>
      </c>
      <c r="AI267" s="5" t="s">
        <v>2547</v>
      </c>
      <c r="AJ267" s="3" t="s">
        <v>45</v>
      </c>
      <c r="AK267" s="3" t="s">
        <v>45</v>
      </c>
      <c r="AL267" s="3" t="s">
        <v>45</v>
      </c>
      <c r="AM267" s="3" t="s">
        <v>45</v>
      </c>
      <c r="AN267" s="3" t="s">
        <v>45</v>
      </c>
      <c r="AO267" s="3" t="s">
        <v>45</v>
      </c>
      <c r="AP267" s="3" t="s">
        <v>45</v>
      </c>
      <c r="AQ267" s="4" t="s">
        <v>1300</v>
      </c>
      <c r="AR267" s="4" t="s">
        <v>1300</v>
      </c>
    </row>
    <row r="268">
      <c r="A268" s="3" t="s">
        <v>2548</v>
      </c>
      <c r="B268" s="3" t="s">
        <v>2549</v>
      </c>
      <c r="C268" s="3" t="s">
        <v>2543</v>
      </c>
      <c r="D268" s="3" t="s">
        <v>1291</v>
      </c>
      <c r="E268" s="4" t="s">
        <v>2544</v>
      </c>
      <c r="F268" s="3" t="s">
        <v>1504</v>
      </c>
      <c r="G268" s="4" t="s">
        <v>2550</v>
      </c>
      <c r="H268" s="4" t="s">
        <v>2551</v>
      </c>
      <c r="I268" s="3" t="s">
        <v>85</v>
      </c>
      <c r="J268" s="3" t="s">
        <v>126</v>
      </c>
      <c r="K268" s="3" t="s">
        <v>45</v>
      </c>
      <c r="L268" s="3" t="s">
        <v>2552</v>
      </c>
      <c r="M268" s="3" t="s">
        <v>45</v>
      </c>
      <c r="N268" s="4" t="s">
        <v>480</v>
      </c>
      <c r="O268" s="3" t="s">
        <v>53</v>
      </c>
      <c r="P268" s="3" t="s">
        <v>45</v>
      </c>
      <c r="Q268" s="3" t="s">
        <v>45</v>
      </c>
      <c r="R268" s="3" t="s">
        <v>45</v>
      </c>
      <c r="S268" s="3" t="s">
        <v>45</v>
      </c>
      <c r="T268" s="3" t="s">
        <v>45</v>
      </c>
      <c r="U268" s="3" t="s">
        <v>45</v>
      </c>
      <c r="V268" s="3" t="s">
        <v>45</v>
      </c>
      <c r="W268" s="3" t="s">
        <v>45</v>
      </c>
      <c r="X268" s="3" t="s">
        <v>45</v>
      </c>
      <c r="Y268" s="3" t="s">
        <v>45</v>
      </c>
      <c r="Z268" s="3" t="s">
        <v>74</v>
      </c>
      <c r="AA268" s="3" t="s">
        <v>45</v>
      </c>
      <c r="AB268" s="3" t="s">
        <v>45</v>
      </c>
      <c r="AC268" s="3" t="s">
        <v>45</v>
      </c>
      <c r="AD268" s="3" t="s">
        <v>45</v>
      </c>
      <c r="AE268" s="3" t="s">
        <v>45</v>
      </c>
      <c r="AF268" s="3" t="s">
        <v>45</v>
      </c>
      <c r="AG268" s="3" t="s">
        <v>45</v>
      </c>
      <c r="AH268" s="3" t="s">
        <v>1298</v>
      </c>
      <c r="AI268" s="3" t="s">
        <v>45</v>
      </c>
      <c r="AJ268" s="3" t="s">
        <v>45</v>
      </c>
      <c r="AK268" s="3" t="s">
        <v>45</v>
      </c>
      <c r="AL268" s="3" t="s">
        <v>45</v>
      </c>
      <c r="AM268" s="3" t="s">
        <v>45</v>
      </c>
      <c r="AN268" s="3" t="s">
        <v>45</v>
      </c>
      <c r="AO268" s="3" t="s">
        <v>45</v>
      </c>
      <c r="AP268" s="3" t="s">
        <v>45</v>
      </c>
      <c r="AQ268" s="4" t="s">
        <v>1300</v>
      </c>
      <c r="AR268" s="4" t="s">
        <v>1300</v>
      </c>
    </row>
    <row r="269">
      <c r="A269" s="3" t="s">
        <v>2553</v>
      </c>
      <c r="B269" s="3" t="s">
        <v>2554</v>
      </c>
      <c r="C269" s="3" t="s">
        <v>2555</v>
      </c>
      <c r="D269" s="3" t="s">
        <v>1291</v>
      </c>
      <c r="E269" s="4" t="s">
        <v>2556</v>
      </c>
      <c r="F269" s="3" t="s">
        <v>2557</v>
      </c>
      <c r="G269" s="4" t="s">
        <v>2558</v>
      </c>
      <c r="H269" s="4" t="s">
        <v>2559</v>
      </c>
      <c r="I269" s="3" t="s">
        <v>49</v>
      </c>
      <c r="J269" s="3" t="s">
        <v>126</v>
      </c>
      <c r="K269" s="3" t="s">
        <v>45</v>
      </c>
      <c r="L269" s="3" t="s">
        <v>2560</v>
      </c>
      <c r="M269" s="3" t="s">
        <v>45</v>
      </c>
      <c r="N269" s="3" t="s">
        <v>45</v>
      </c>
      <c r="O269" s="3" t="s">
        <v>74</v>
      </c>
      <c r="P269" s="3" t="s">
        <v>45</v>
      </c>
      <c r="Q269" s="3" t="s">
        <v>45</v>
      </c>
      <c r="R269" s="3" t="s">
        <v>45</v>
      </c>
      <c r="S269" s="3" t="s">
        <v>45</v>
      </c>
      <c r="T269" s="3" t="s">
        <v>45</v>
      </c>
      <c r="U269" s="3" t="s">
        <v>45</v>
      </c>
      <c r="V269" s="3" t="s">
        <v>45</v>
      </c>
      <c r="W269" s="3" t="s">
        <v>45</v>
      </c>
      <c r="X269" s="3" t="s">
        <v>45</v>
      </c>
      <c r="Y269" s="3" t="s">
        <v>45</v>
      </c>
      <c r="Z269" s="3" t="s">
        <v>74</v>
      </c>
      <c r="AA269" s="3" t="s">
        <v>45</v>
      </c>
      <c r="AB269" s="3" t="s">
        <v>45</v>
      </c>
      <c r="AC269" s="3" t="s">
        <v>45</v>
      </c>
      <c r="AD269" s="3" t="s">
        <v>45</v>
      </c>
      <c r="AE269" s="3" t="s">
        <v>45</v>
      </c>
      <c r="AF269" s="3" t="s">
        <v>45</v>
      </c>
      <c r="AG269" s="3" t="s">
        <v>45</v>
      </c>
      <c r="AH269" s="3" t="s">
        <v>1298</v>
      </c>
      <c r="AI269" s="3" t="s">
        <v>1671</v>
      </c>
      <c r="AJ269" s="3" t="s">
        <v>45</v>
      </c>
      <c r="AK269" s="3" t="s">
        <v>45</v>
      </c>
      <c r="AL269" s="3" t="s">
        <v>45</v>
      </c>
      <c r="AM269" s="3" t="s">
        <v>45</v>
      </c>
      <c r="AN269" s="3" t="s">
        <v>45</v>
      </c>
      <c r="AO269" s="3" t="s">
        <v>45</v>
      </c>
      <c r="AP269" s="3" t="s">
        <v>45</v>
      </c>
      <c r="AQ269" s="4" t="s">
        <v>1300</v>
      </c>
      <c r="AR269" s="4" t="s">
        <v>1300</v>
      </c>
    </row>
    <row r="270">
      <c r="A270" s="3" t="s">
        <v>2561</v>
      </c>
      <c r="B270" s="3" t="s">
        <v>2562</v>
      </c>
      <c r="C270" s="3" t="s">
        <v>2555</v>
      </c>
      <c r="D270" s="3" t="s">
        <v>1291</v>
      </c>
      <c r="E270" s="4" t="s">
        <v>2556</v>
      </c>
      <c r="F270" s="3" t="s">
        <v>1879</v>
      </c>
      <c r="G270" s="4" t="s">
        <v>2563</v>
      </c>
      <c r="H270" s="4" t="s">
        <v>2564</v>
      </c>
      <c r="I270" s="3" t="s">
        <v>408</v>
      </c>
      <c r="J270" s="3" t="s">
        <v>126</v>
      </c>
      <c r="K270" s="3" t="s">
        <v>45</v>
      </c>
      <c r="L270" s="3" t="s">
        <v>210</v>
      </c>
      <c r="M270" s="3" t="s">
        <v>45</v>
      </c>
      <c r="N270" s="3" t="s">
        <v>45</v>
      </c>
      <c r="O270" s="3" t="s">
        <v>88</v>
      </c>
      <c r="P270" s="3" t="s">
        <v>45</v>
      </c>
      <c r="Q270" s="3" t="s">
        <v>45</v>
      </c>
      <c r="R270" s="3" t="s">
        <v>45</v>
      </c>
      <c r="S270" s="3" t="s">
        <v>45</v>
      </c>
      <c r="T270" s="3" t="s">
        <v>89</v>
      </c>
      <c r="U270" s="3" t="s">
        <v>45</v>
      </c>
      <c r="V270" s="4" t="s">
        <v>2565</v>
      </c>
      <c r="W270" s="4" t="s">
        <v>2566</v>
      </c>
      <c r="X270" s="3" t="s">
        <v>305</v>
      </c>
      <c r="Y270" s="3" t="s">
        <v>45</v>
      </c>
      <c r="Z270" s="3" t="s">
        <v>55</v>
      </c>
      <c r="AA270" s="3" t="s">
        <v>45</v>
      </c>
      <c r="AB270" s="3" t="s">
        <v>45</v>
      </c>
      <c r="AC270" s="3" t="s">
        <v>45</v>
      </c>
      <c r="AD270" s="3" t="s">
        <v>45</v>
      </c>
      <c r="AE270" s="3" t="s">
        <v>45</v>
      </c>
      <c r="AF270" s="3" t="s">
        <v>45</v>
      </c>
      <c r="AG270" s="3" t="s">
        <v>2567</v>
      </c>
      <c r="AH270" s="3" t="s">
        <v>57</v>
      </c>
      <c r="AI270" s="5" t="s">
        <v>2568</v>
      </c>
      <c r="AJ270" s="5" t="s">
        <v>2569</v>
      </c>
      <c r="AK270" s="3" t="s">
        <v>45</v>
      </c>
      <c r="AL270" s="3" t="s">
        <v>45</v>
      </c>
      <c r="AM270" s="3" t="s">
        <v>45</v>
      </c>
      <c r="AN270" s="3" t="s">
        <v>45</v>
      </c>
      <c r="AO270" s="3" t="s">
        <v>45</v>
      </c>
      <c r="AP270" s="3" t="s">
        <v>45</v>
      </c>
      <c r="AQ270" s="4" t="s">
        <v>2096</v>
      </c>
      <c r="AR270" s="4" t="s">
        <v>2096</v>
      </c>
    </row>
    <row r="271">
      <c r="A271" s="3" t="s">
        <v>2570</v>
      </c>
      <c r="B271" s="3" t="s">
        <v>2571</v>
      </c>
      <c r="C271" s="3" t="s">
        <v>2572</v>
      </c>
      <c r="D271" s="3" t="s">
        <v>1291</v>
      </c>
      <c r="E271" s="4" t="s">
        <v>1401</v>
      </c>
      <c r="F271" s="3" t="s">
        <v>1330</v>
      </c>
      <c r="G271" s="4" t="s">
        <v>2573</v>
      </c>
      <c r="H271" s="4" t="s">
        <v>2574</v>
      </c>
      <c r="I271" s="3" t="s">
        <v>85</v>
      </c>
      <c r="J271" s="3" t="s">
        <v>126</v>
      </c>
      <c r="K271" s="3" t="s">
        <v>45</v>
      </c>
      <c r="L271" s="3" t="s">
        <v>426</v>
      </c>
      <c r="M271" s="3" t="s">
        <v>45</v>
      </c>
      <c r="N271" s="4" t="s">
        <v>2575</v>
      </c>
      <c r="O271" s="3" t="s">
        <v>88</v>
      </c>
      <c r="P271" s="3" t="s">
        <v>45</v>
      </c>
      <c r="Q271" s="3" t="s">
        <v>45</v>
      </c>
      <c r="R271" s="3" t="s">
        <v>45</v>
      </c>
      <c r="S271" s="3" t="s">
        <v>45</v>
      </c>
      <c r="T271" s="3" t="s">
        <v>45</v>
      </c>
      <c r="U271" s="3" t="s">
        <v>45</v>
      </c>
      <c r="V271" s="4" t="s">
        <v>2576</v>
      </c>
      <c r="W271" s="3" t="s">
        <v>45</v>
      </c>
      <c r="X271" s="3" t="s">
        <v>45</v>
      </c>
      <c r="Y271" s="3" t="s">
        <v>45</v>
      </c>
      <c r="Z271" s="3" t="s">
        <v>74</v>
      </c>
      <c r="AA271" s="3" t="s">
        <v>45</v>
      </c>
      <c r="AB271" s="3" t="s">
        <v>45</v>
      </c>
      <c r="AC271" s="3" t="s">
        <v>45</v>
      </c>
      <c r="AD271" s="3" t="s">
        <v>45</v>
      </c>
      <c r="AE271" s="3" t="s">
        <v>45</v>
      </c>
      <c r="AF271" s="3" t="s">
        <v>45</v>
      </c>
      <c r="AG271" s="3" t="s">
        <v>45</v>
      </c>
      <c r="AH271" s="3" t="s">
        <v>1298</v>
      </c>
      <c r="AI271" s="5" t="s">
        <v>2577</v>
      </c>
      <c r="AJ271" s="3" t="s">
        <v>45</v>
      </c>
      <c r="AK271" s="3" t="s">
        <v>45</v>
      </c>
      <c r="AL271" s="3" t="s">
        <v>45</v>
      </c>
      <c r="AM271" s="3" t="s">
        <v>45</v>
      </c>
      <c r="AN271" s="3" t="s">
        <v>45</v>
      </c>
      <c r="AO271" s="3" t="s">
        <v>45</v>
      </c>
      <c r="AP271" s="3" t="s">
        <v>45</v>
      </c>
      <c r="AQ271" s="4" t="s">
        <v>1300</v>
      </c>
      <c r="AR271" s="4" t="s">
        <v>1300</v>
      </c>
    </row>
    <row r="272">
      <c r="A272" s="3" t="s">
        <v>2578</v>
      </c>
      <c r="B272" s="3" t="s">
        <v>2579</v>
      </c>
      <c r="C272" s="3" t="s">
        <v>2580</v>
      </c>
      <c r="D272" s="3" t="s">
        <v>1291</v>
      </c>
      <c r="E272" s="4" t="s">
        <v>2581</v>
      </c>
      <c r="F272" s="3" t="s">
        <v>2582</v>
      </c>
      <c r="G272" s="4" t="s">
        <v>2583</v>
      </c>
      <c r="H272" s="4" t="s">
        <v>2584</v>
      </c>
      <c r="I272" s="3" t="s">
        <v>85</v>
      </c>
      <c r="J272" s="3" t="s">
        <v>126</v>
      </c>
      <c r="K272" s="3" t="s">
        <v>45</v>
      </c>
      <c r="L272" s="3" t="s">
        <v>2585</v>
      </c>
      <c r="M272" s="3" t="s">
        <v>45</v>
      </c>
      <c r="N272" s="4" t="s">
        <v>2586</v>
      </c>
      <c r="O272" s="3" t="s">
        <v>53</v>
      </c>
      <c r="P272" s="3" t="s">
        <v>45</v>
      </c>
      <c r="Q272" s="3" t="s">
        <v>45</v>
      </c>
      <c r="R272" s="3" t="s">
        <v>45</v>
      </c>
      <c r="S272" s="3" t="s">
        <v>45</v>
      </c>
      <c r="T272" s="3" t="s">
        <v>45</v>
      </c>
      <c r="U272" s="3" t="s">
        <v>45</v>
      </c>
      <c r="V272" s="4" t="s">
        <v>178</v>
      </c>
      <c r="W272" s="3" t="s">
        <v>45</v>
      </c>
      <c r="X272" s="3" t="s">
        <v>45</v>
      </c>
      <c r="Y272" s="3" t="s">
        <v>45</v>
      </c>
      <c r="Z272" s="3" t="s">
        <v>74</v>
      </c>
      <c r="AA272" s="3" t="s">
        <v>45</v>
      </c>
      <c r="AB272" s="3" t="s">
        <v>45</v>
      </c>
      <c r="AC272" s="3" t="s">
        <v>45</v>
      </c>
      <c r="AD272" s="3" t="s">
        <v>45</v>
      </c>
      <c r="AE272" s="3" t="s">
        <v>45</v>
      </c>
      <c r="AF272" s="3" t="s">
        <v>45</v>
      </c>
      <c r="AG272" s="3" t="s">
        <v>45</v>
      </c>
      <c r="AH272" s="3" t="s">
        <v>1298</v>
      </c>
      <c r="AI272" s="3" t="s">
        <v>45</v>
      </c>
      <c r="AJ272" s="3" t="s">
        <v>45</v>
      </c>
      <c r="AK272" s="3" t="s">
        <v>45</v>
      </c>
      <c r="AL272" s="3" t="s">
        <v>45</v>
      </c>
      <c r="AM272" s="3" t="s">
        <v>45</v>
      </c>
      <c r="AN272" s="3" t="s">
        <v>45</v>
      </c>
      <c r="AO272" s="3" t="s">
        <v>45</v>
      </c>
      <c r="AP272" s="3" t="s">
        <v>45</v>
      </c>
      <c r="AQ272" s="4" t="s">
        <v>1300</v>
      </c>
      <c r="AR272" s="4" t="s">
        <v>1300</v>
      </c>
    </row>
    <row r="273">
      <c r="A273" s="3" t="s">
        <v>2587</v>
      </c>
      <c r="B273" s="3" t="s">
        <v>2588</v>
      </c>
      <c r="C273" s="3" t="s">
        <v>2589</v>
      </c>
      <c r="D273" s="3" t="s">
        <v>1291</v>
      </c>
      <c r="E273" s="4" t="s">
        <v>2590</v>
      </c>
      <c r="F273" s="3" t="s">
        <v>1638</v>
      </c>
      <c r="G273" s="4" t="s">
        <v>2591</v>
      </c>
      <c r="H273" s="4" t="s">
        <v>2592</v>
      </c>
      <c r="I273" s="3" t="s">
        <v>85</v>
      </c>
      <c r="J273" s="3" t="s">
        <v>126</v>
      </c>
      <c r="K273" s="3" t="s">
        <v>45</v>
      </c>
      <c r="L273" s="3" t="s">
        <v>2593</v>
      </c>
      <c r="M273" s="3" t="s">
        <v>45</v>
      </c>
      <c r="N273" s="4" t="s">
        <v>472</v>
      </c>
      <c r="O273" s="3" t="s">
        <v>390</v>
      </c>
      <c r="P273" s="3" t="s">
        <v>45</v>
      </c>
      <c r="Q273" s="3" t="s">
        <v>45</v>
      </c>
      <c r="R273" s="3" t="s">
        <v>45</v>
      </c>
      <c r="S273" s="3" t="s">
        <v>45</v>
      </c>
      <c r="T273" s="3" t="s">
        <v>45</v>
      </c>
      <c r="U273" s="3" t="s">
        <v>45</v>
      </c>
      <c r="V273" s="4" t="s">
        <v>2594</v>
      </c>
      <c r="W273" s="3" t="s">
        <v>45</v>
      </c>
      <c r="X273" s="3" t="s">
        <v>45</v>
      </c>
      <c r="Y273" s="3" t="s">
        <v>45</v>
      </c>
      <c r="Z273" s="3" t="s">
        <v>74</v>
      </c>
      <c r="AA273" s="3" t="s">
        <v>45</v>
      </c>
      <c r="AB273" s="3" t="s">
        <v>45</v>
      </c>
      <c r="AC273" s="3" t="s">
        <v>45</v>
      </c>
      <c r="AD273" s="3" t="s">
        <v>45</v>
      </c>
      <c r="AE273" s="3" t="s">
        <v>45</v>
      </c>
      <c r="AF273" s="3" t="s">
        <v>45</v>
      </c>
      <c r="AG273" s="3" t="s">
        <v>45</v>
      </c>
      <c r="AH273" s="3" t="s">
        <v>1298</v>
      </c>
      <c r="AI273" s="5" t="s">
        <v>2595</v>
      </c>
      <c r="AJ273" s="3" t="s">
        <v>45</v>
      </c>
      <c r="AK273" s="3" t="s">
        <v>45</v>
      </c>
      <c r="AL273" s="3" t="s">
        <v>45</v>
      </c>
      <c r="AM273" s="3" t="s">
        <v>45</v>
      </c>
      <c r="AN273" s="3" t="s">
        <v>45</v>
      </c>
      <c r="AO273" s="3" t="s">
        <v>45</v>
      </c>
      <c r="AP273" s="3" t="s">
        <v>45</v>
      </c>
      <c r="AQ273" s="4" t="s">
        <v>1300</v>
      </c>
      <c r="AR273" s="4" t="s">
        <v>1300</v>
      </c>
    </row>
    <row r="274">
      <c r="A274" s="3" t="s">
        <v>2596</v>
      </c>
      <c r="B274" s="3" t="s">
        <v>2597</v>
      </c>
      <c r="C274" s="3" t="s">
        <v>2589</v>
      </c>
      <c r="D274" s="3" t="s">
        <v>1291</v>
      </c>
      <c r="E274" s="4" t="s">
        <v>2590</v>
      </c>
      <c r="F274" s="3" t="s">
        <v>1638</v>
      </c>
      <c r="G274" s="4" t="s">
        <v>2598</v>
      </c>
      <c r="H274" s="4" t="s">
        <v>2599</v>
      </c>
      <c r="I274" s="3" t="s">
        <v>85</v>
      </c>
      <c r="J274" s="3" t="s">
        <v>126</v>
      </c>
      <c r="K274" s="3" t="s">
        <v>45</v>
      </c>
      <c r="L274" s="3" t="s">
        <v>557</v>
      </c>
      <c r="M274" s="3" t="s">
        <v>45</v>
      </c>
      <c r="N274" s="4" t="s">
        <v>2600</v>
      </c>
      <c r="O274" s="3" t="s">
        <v>390</v>
      </c>
      <c r="P274" s="3" t="s">
        <v>45</v>
      </c>
      <c r="Q274" s="3" t="s">
        <v>45</v>
      </c>
      <c r="R274" s="3" t="s">
        <v>45</v>
      </c>
      <c r="S274" s="3" t="s">
        <v>45</v>
      </c>
      <c r="T274" s="3" t="s">
        <v>45</v>
      </c>
      <c r="U274" s="3" t="s">
        <v>45</v>
      </c>
      <c r="V274" s="4" t="s">
        <v>2601</v>
      </c>
      <c r="W274" s="3" t="s">
        <v>45</v>
      </c>
      <c r="X274" s="3" t="s">
        <v>45</v>
      </c>
      <c r="Y274" s="3" t="s">
        <v>45</v>
      </c>
      <c r="Z274" s="3" t="s">
        <v>74</v>
      </c>
      <c r="AA274" s="3" t="s">
        <v>45</v>
      </c>
      <c r="AB274" s="3" t="s">
        <v>45</v>
      </c>
      <c r="AC274" s="3" t="s">
        <v>45</v>
      </c>
      <c r="AD274" s="3" t="s">
        <v>45</v>
      </c>
      <c r="AE274" s="3" t="s">
        <v>45</v>
      </c>
      <c r="AF274" s="3" t="s">
        <v>45</v>
      </c>
      <c r="AG274" s="3" t="s">
        <v>45</v>
      </c>
      <c r="AH274" s="3" t="s">
        <v>1298</v>
      </c>
      <c r="AI274" s="5" t="s">
        <v>2602</v>
      </c>
      <c r="AJ274" s="5" t="s">
        <v>2603</v>
      </c>
      <c r="AK274" s="3" t="s">
        <v>45</v>
      </c>
      <c r="AL274" s="3" t="s">
        <v>45</v>
      </c>
      <c r="AM274" s="3" t="s">
        <v>45</v>
      </c>
      <c r="AN274" s="3" t="s">
        <v>45</v>
      </c>
      <c r="AO274" s="3" t="s">
        <v>45</v>
      </c>
      <c r="AP274" s="3" t="s">
        <v>45</v>
      </c>
      <c r="AQ274" s="4" t="s">
        <v>1300</v>
      </c>
      <c r="AR274" s="4" t="s">
        <v>1300</v>
      </c>
    </row>
    <row r="275">
      <c r="A275" s="3" t="s">
        <v>2604</v>
      </c>
      <c r="B275" s="3" t="s">
        <v>2605</v>
      </c>
      <c r="C275" s="3" t="s">
        <v>2589</v>
      </c>
      <c r="D275" s="3" t="s">
        <v>1291</v>
      </c>
      <c r="E275" s="4" t="s">
        <v>2590</v>
      </c>
      <c r="F275" s="3" t="s">
        <v>1638</v>
      </c>
      <c r="G275" s="4" t="s">
        <v>2606</v>
      </c>
      <c r="H275" s="4" t="s">
        <v>2607</v>
      </c>
      <c r="I275" s="3" t="s">
        <v>85</v>
      </c>
      <c r="J275" s="3" t="s">
        <v>126</v>
      </c>
      <c r="K275" s="3" t="s">
        <v>45</v>
      </c>
      <c r="L275" s="3" t="s">
        <v>557</v>
      </c>
      <c r="M275" s="3" t="s">
        <v>45</v>
      </c>
      <c r="N275" s="4" t="s">
        <v>2608</v>
      </c>
      <c r="O275" s="3" t="s">
        <v>390</v>
      </c>
      <c r="P275" s="3" t="s">
        <v>45</v>
      </c>
      <c r="Q275" s="3" t="s">
        <v>45</v>
      </c>
      <c r="R275" s="3" t="s">
        <v>45</v>
      </c>
      <c r="S275" s="3" t="s">
        <v>45</v>
      </c>
      <c r="T275" s="3" t="s">
        <v>45</v>
      </c>
      <c r="U275" s="3" t="s">
        <v>45</v>
      </c>
      <c r="V275" s="4" t="s">
        <v>2609</v>
      </c>
      <c r="W275" s="3" t="s">
        <v>45</v>
      </c>
      <c r="X275" s="3" t="s">
        <v>45</v>
      </c>
      <c r="Y275" s="3" t="s">
        <v>45</v>
      </c>
      <c r="Z275" s="3" t="s">
        <v>74</v>
      </c>
      <c r="AA275" s="3" t="s">
        <v>45</v>
      </c>
      <c r="AB275" s="3" t="s">
        <v>45</v>
      </c>
      <c r="AC275" s="3" t="s">
        <v>45</v>
      </c>
      <c r="AD275" s="3" t="s">
        <v>45</v>
      </c>
      <c r="AE275" s="3" t="s">
        <v>45</v>
      </c>
      <c r="AF275" s="3" t="s">
        <v>45</v>
      </c>
      <c r="AG275" s="3" t="s">
        <v>45</v>
      </c>
      <c r="AH275" s="3" t="s">
        <v>1298</v>
      </c>
      <c r="AI275" s="5" t="s">
        <v>2603</v>
      </c>
      <c r="AJ275" s="5" t="s">
        <v>2603</v>
      </c>
      <c r="AK275" s="3" t="s">
        <v>45</v>
      </c>
      <c r="AL275" s="3" t="s">
        <v>45</v>
      </c>
      <c r="AM275" s="3" t="s">
        <v>45</v>
      </c>
      <c r="AN275" s="3" t="s">
        <v>45</v>
      </c>
      <c r="AO275" s="3" t="s">
        <v>45</v>
      </c>
      <c r="AP275" s="3" t="s">
        <v>45</v>
      </c>
      <c r="AQ275" s="4" t="s">
        <v>1300</v>
      </c>
      <c r="AR275" s="4" t="s">
        <v>1300</v>
      </c>
    </row>
    <row r="276">
      <c r="A276" s="3" t="s">
        <v>2610</v>
      </c>
      <c r="B276" s="3" t="s">
        <v>2611</v>
      </c>
      <c r="C276" s="3" t="s">
        <v>2589</v>
      </c>
      <c r="D276" s="3" t="s">
        <v>1291</v>
      </c>
      <c r="E276" s="4" t="s">
        <v>2590</v>
      </c>
      <c r="F276" s="3" t="s">
        <v>1638</v>
      </c>
      <c r="G276" s="4" t="s">
        <v>2612</v>
      </c>
      <c r="H276" s="4" t="s">
        <v>2613</v>
      </c>
      <c r="I276" s="3" t="s">
        <v>85</v>
      </c>
      <c r="J276" s="3" t="s">
        <v>126</v>
      </c>
      <c r="K276" s="3" t="s">
        <v>45</v>
      </c>
      <c r="L276" s="3" t="s">
        <v>45</v>
      </c>
      <c r="M276" s="3" t="s">
        <v>45</v>
      </c>
      <c r="N276" s="3" t="s">
        <v>45</v>
      </c>
      <c r="O276" s="3" t="s">
        <v>88</v>
      </c>
      <c r="P276" s="3" t="s">
        <v>45</v>
      </c>
      <c r="Q276" s="3" t="s">
        <v>45</v>
      </c>
      <c r="R276" s="3" t="s">
        <v>45</v>
      </c>
      <c r="S276" s="4" t="s">
        <v>233</v>
      </c>
      <c r="T276" s="3" t="s">
        <v>45</v>
      </c>
      <c r="U276" s="3" t="s">
        <v>45</v>
      </c>
      <c r="V276" s="3" t="s">
        <v>45</v>
      </c>
      <c r="W276" s="3" t="s">
        <v>45</v>
      </c>
      <c r="X276" s="3" t="s">
        <v>45</v>
      </c>
      <c r="Y276" s="3" t="s">
        <v>45</v>
      </c>
      <c r="Z276" s="3" t="s">
        <v>74</v>
      </c>
      <c r="AA276" s="3" t="s">
        <v>45</v>
      </c>
      <c r="AB276" s="3" t="s">
        <v>45</v>
      </c>
      <c r="AC276" s="3" t="s">
        <v>45</v>
      </c>
      <c r="AD276" s="3" t="s">
        <v>45</v>
      </c>
      <c r="AE276" s="3" t="s">
        <v>45</v>
      </c>
      <c r="AF276" s="3" t="s">
        <v>45</v>
      </c>
      <c r="AG276" s="3" t="s">
        <v>45</v>
      </c>
      <c r="AH276" s="3" t="s">
        <v>57</v>
      </c>
      <c r="AI276" s="5" t="s">
        <v>1657</v>
      </c>
      <c r="AJ276" s="3" t="s">
        <v>45</v>
      </c>
      <c r="AK276" s="3" t="s">
        <v>45</v>
      </c>
      <c r="AL276" s="3" t="s">
        <v>45</v>
      </c>
      <c r="AM276" s="3" t="s">
        <v>45</v>
      </c>
      <c r="AN276" s="3" t="s">
        <v>45</v>
      </c>
      <c r="AO276" s="3" t="s">
        <v>45</v>
      </c>
      <c r="AP276" s="3" t="s">
        <v>45</v>
      </c>
      <c r="AQ276" s="4" t="s">
        <v>148</v>
      </c>
      <c r="AR276" s="4" t="s">
        <v>148</v>
      </c>
    </row>
    <row r="277">
      <c r="A277" s="3" t="s">
        <v>2614</v>
      </c>
      <c r="B277" s="3" t="s">
        <v>2615</v>
      </c>
      <c r="C277" s="3" t="s">
        <v>2616</v>
      </c>
      <c r="D277" s="3" t="s">
        <v>1291</v>
      </c>
      <c r="E277" s="4" t="s">
        <v>2617</v>
      </c>
      <c r="F277" s="3" t="s">
        <v>2618</v>
      </c>
      <c r="G277" s="4" t="s">
        <v>2619</v>
      </c>
      <c r="H277" s="4" t="s">
        <v>2620</v>
      </c>
      <c r="I277" s="3" t="s">
        <v>245</v>
      </c>
      <c r="J277" s="3" t="s">
        <v>50</v>
      </c>
      <c r="K277" s="3" t="s">
        <v>45</v>
      </c>
      <c r="L277" s="3" t="s">
        <v>1308</v>
      </c>
      <c r="M277" s="3" t="s">
        <v>45</v>
      </c>
      <c r="N277" s="3" t="s">
        <v>45</v>
      </c>
      <c r="O277" s="3" t="s">
        <v>88</v>
      </c>
      <c r="P277" s="3" t="s">
        <v>45</v>
      </c>
      <c r="Q277" s="3" t="s">
        <v>45</v>
      </c>
      <c r="R277" s="3" t="s">
        <v>45</v>
      </c>
      <c r="S277" s="4" t="s">
        <v>472</v>
      </c>
      <c r="T277" s="3" t="s">
        <v>45</v>
      </c>
      <c r="U277" s="3" t="s">
        <v>45</v>
      </c>
      <c r="V277" s="3" t="s">
        <v>45</v>
      </c>
      <c r="W277" s="4" t="s">
        <v>2501</v>
      </c>
      <c r="X277" s="3" t="s">
        <v>1883</v>
      </c>
      <c r="Y277" s="4" t="s">
        <v>2621</v>
      </c>
      <c r="Z277" s="3" t="s">
        <v>55</v>
      </c>
      <c r="AA277" s="3" t="s">
        <v>2622</v>
      </c>
      <c r="AB277" s="3" t="s">
        <v>45</v>
      </c>
      <c r="AC277" s="3" t="s">
        <v>45</v>
      </c>
      <c r="AD277" s="5" t="s">
        <v>2623</v>
      </c>
      <c r="AE277" s="5" t="s">
        <v>2624</v>
      </c>
      <c r="AF277" s="5" t="s">
        <v>2625</v>
      </c>
      <c r="AG277" s="3" t="s">
        <v>2626</v>
      </c>
      <c r="AH277" s="3" t="s">
        <v>57</v>
      </c>
      <c r="AI277" s="5" t="s">
        <v>2627</v>
      </c>
      <c r="AJ277" s="5" t="s">
        <v>2628</v>
      </c>
      <c r="AK277" s="5" t="s">
        <v>2629</v>
      </c>
      <c r="AL277" s="3" t="s">
        <v>45</v>
      </c>
      <c r="AM277" s="3" t="s">
        <v>45</v>
      </c>
      <c r="AN277" s="3" t="s">
        <v>45</v>
      </c>
      <c r="AO277" s="3" t="s">
        <v>45</v>
      </c>
      <c r="AP277" s="3" t="s">
        <v>45</v>
      </c>
      <c r="AQ277" s="4" t="s">
        <v>2630</v>
      </c>
      <c r="AR277" s="4" t="s">
        <v>1250</v>
      </c>
    </row>
    <row r="278">
      <c r="A278" s="3" t="s">
        <v>2631</v>
      </c>
      <c r="B278" s="3" t="s">
        <v>2632</v>
      </c>
      <c r="C278" s="3" t="s">
        <v>2633</v>
      </c>
      <c r="D278" s="3" t="s">
        <v>1291</v>
      </c>
      <c r="E278" s="4" t="s">
        <v>2634</v>
      </c>
      <c r="F278" s="3" t="s">
        <v>2635</v>
      </c>
      <c r="G278" s="4" t="s">
        <v>2636</v>
      </c>
      <c r="H278" s="4" t="s">
        <v>2637</v>
      </c>
      <c r="I278" s="3" t="s">
        <v>49</v>
      </c>
      <c r="J278" s="3" t="s">
        <v>126</v>
      </c>
      <c r="K278" s="3" t="s">
        <v>45</v>
      </c>
      <c r="L278" s="3" t="s">
        <v>2638</v>
      </c>
      <c r="M278" s="3" t="s">
        <v>45</v>
      </c>
      <c r="N278" s="3" t="s">
        <v>45</v>
      </c>
      <c r="O278" s="3" t="s">
        <v>74</v>
      </c>
      <c r="P278" s="3" t="s">
        <v>45</v>
      </c>
      <c r="Q278" s="3" t="s">
        <v>45</v>
      </c>
      <c r="R278" s="3" t="s">
        <v>45</v>
      </c>
      <c r="S278" s="3" t="s">
        <v>45</v>
      </c>
      <c r="T278" s="3" t="s">
        <v>45</v>
      </c>
      <c r="U278" s="3" t="s">
        <v>45</v>
      </c>
      <c r="V278" s="4" t="s">
        <v>2639</v>
      </c>
      <c r="W278" s="3" t="s">
        <v>45</v>
      </c>
      <c r="X278" s="3" t="s">
        <v>45</v>
      </c>
      <c r="Y278" s="3" t="s">
        <v>45</v>
      </c>
      <c r="Z278" s="3" t="s">
        <v>74</v>
      </c>
      <c r="AA278" s="3" t="s">
        <v>45</v>
      </c>
      <c r="AB278" s="3" t="s">
        <v>45</v>
      </c>
      <c r="AC278" s="3" t="s">
        <v>45</v>
      </c>
      <c r="AD278" s="3" t="s">
        <v>45</v>
      </c>
      <c r="AE278" s="3" t="s">
        <v>45</v>
      </c>
      <c r="AF278" s="3" t="s">
        <v>45</v>
      </c>
      <c r="AG278" s="3" t="s">
        <v>45</v>
      </c>
      <c r="AH278" s="3" t="s">
        <v>1298</v>
      </c>
      <c r="AI278" s="5" t="s">
        <v>2640</v>
      </c>
      <c r="AJ278" s="3" t="s">
        <v>45</v>
      </c>
      <c r="AK278" s="3" t="s">
        <v>45</v>
      </c>
      <c r="AL278" s="3" t="s">
        <v>45</v>
      </c>
      <c r="AM278" s="3" t="s">
        <v>45</v>
      </c>
      <c r="AN278" s="3" t="s">
        <v>45</v>
      </c>
      <c r="AO278" s="3" t="s">
        <v>45</v>
      </c>
      <c r="AP278" s="3" t="s">
        <v>45</v>
      </c>
      <c r="AQ278" s="4" t="s">
        <v>1300</v>
      </c>
      <c r="AR278" s="4" t="s">
        <v>1300</v>
      </c>
    </row>
    <row r="279">
      <c r="A279" s="3" t="s">
        <v>2641</v>
      </c>
      <c r="B279" s="3" t="s">
        <v>2642</v>
      </c>
      <c r="C279" s="3" t="s">
        <v>2643</v>
      </c>
      <c r="D279" s="3" t="s">
        <v>1291</v>
      </c>
      <c r="E279" s="4" t="s">
        <v>2644</v>
      </c>
      <c r="F279" s="3" t="s">
        <v>2645</v>
      </c>
      <c r="G279" s="4" t="s">
        <v>2646</v>
      </c>
      <c r="H279" s="4" t="s">
        <v>2647</v>
      </c>
      <c r="I279" s="3" t="s">
        <v>218</v>
      </c>
      <c r="J279" s="3" t="s">
        <v>126</v>
      </c>
      <c r="K279" s="3" t="s">
        <v>45</v>
      </c>
      <c r="L279" s="3" t="s">
        <v>45</v>
      </c>
      <c r="M279" s="3" t="s">
        <v>45</v>
      </c>
      <c r="N279" s="3" t="s">
        <v>45</v>
      </c>
      <c r="O279" s="3" t="s">
        <v>74</v>
      </c>
      <c r="P279" s="3" t="s">
        <v>45</v>
      </c>
      <c r="Q279" s="3" t="s">
        <v>45</v>
      </c>
      <c r="R279" s="3" t="s">
        <v>45</v>
      </c>
      <c r="S279" s="4" t="s">
        <v>275</v>
      </c>
      <c r="T279" s="3" t="s">
        <v>45</v>
      </c>
      <c r="U279" s="3" t="s">
        <v>45</v>
      </c>
      <c r="V279" s="3" t="s">
        <v>45</v>
      </c>
      <c r="W279" s="4" t="s">
        <v>419</v>
      </c>
      <c r="X279" s="3" t="s">
        <v>45</v>
      </c>
      <c r="Y279" s="4" t="s">
        <v>2073</v>
      </c>
      <c r="Z279" s="3" t="s">
        <v>74</v>
      </c>
      <c r="AA279" s="3" t="s">
        <v>45</v>
      </c>
      <c r="AB279" s="3" t="s">
        <v>45</v>
      </c>
      <c r="AC279" s="3" t="s">
        <v>45</v>
      </c>
      <c r="AD279" s="3" t="s">
        <v>45</v>
      </c>
      <c r="AE279" s="3" t="s">
        <v>45</v>
      </c>
      <c r="AF279" s="3" t="s">
        <v>45</v>
      </c>
      <c r="AG279" s="3" t="s">
        <v>45</v>
      </c>
      <c r="AH279" s="3" t="s">
        <v>57</v>
      </c>
      <c r="AI279" s="5" t="s">
        <v>2113</v>
      </c>
      <c r="AJ279" s="5" t="s">
        <v>2648</v>
      </c>
      <c r="AK279" s="3" t="s">
        <v>45</v>
      </c>
      <c r="AL279" s="3" t="s">
        <v>45</v>
      </c>
      <c r="AM279" s="3" t="s">
        <v>45</v>
      </c>
      <c r="AN279" s="3" t="s">
        <v>45</v>
      </c>
      <c r="AO279" s="3" t="s">
        <v>45</v>
      </c>
      <c r="AP279" s="3" t="s">
        <v>45</v>
      </c>
      <c r="AQ279" s="4" t="s">
        <v>324</v>
      </c>
      <c r="AR279" s="4" t="s">
        <v>2649</v>
      </c>
    </row>
    <row r="280">
      <c r="A280" s="3" t="s">
        <v>2650</v>
      </c>
      <c r="B280" s="3" t="s">
        <v>2651</v>
      </c>
      <c r="C280" s="3" t="s">
        <v>2652</v>
      </c>
      <c r="D280" s="3" t="s">
        <v>1291</v>
      </c>
      <c r="E280" s="4" t="s">
        <v>2653</v>
      </c>
      <c r="F280" s="3" t="s">
        <v>2031</v>
      </c>
      <c r="G280" s="4" t="s">
        <v>2654</v>
      </c>
      <c r="H280" s="4" t="s">
        <v>2655</v>
      </c>
      <c r="I280" s="3" t="s">
        <v>49</v>
      </c>
      <c r="J280" s="3" t="s">
        <v>126</v>
      </c>
      <c r="K280" s="3" t="s">
        <v>45</v>
      </c>
      <c r="L280" s="3" t="s">
        <v>45</v>
      </c>
      <c r="M280" s="3" t="s">
        <v>45</v>
      </c>
      <c r="N280" s="3" t="s">
        <v>45</v>
      </c>
      <c r="O280" s="3" t="s">
        <v>74</v>
      </c>
      <c r="P280" s="3" t="s">
        <v>45</v>
      </c>
      <c r="Q280" s="3" t="s">
        <v>45</v>
      </c>
      <c r="R280" s="3" t="s">
        <v>45</v>
      </c>
      <c r="S280" s="4" t="s">
        <v>233</v>
      </c>
      <c r="T280" s="3" t="s">
        <v>45</v>
      </c>
      <c r="U280" s="3" t="s">
        <v>45</v>
      </c>
      <c r="V280" s="4" t="s">
        <v>2656</v>
      </c>
      <c r="W280" s="4" t="s">
        <v>2657</v>
      </c>
      <c r="X280" s="3" t="s">
        <v>45</v>
      </c>
      <c r="Y280" s="3" t="s">
        <v>45</v>
      </c>
      <c r="Z280" s="3" t="s">
        <v>74</v>
      </c>
      <c r="AA280" s="3" t="s">
        <v>45</v>
      </c>
      <c r="AB280" s="3" t="s">
        <v>45</v>
      </c>
      <c r="AC280" s="3" t="s">
        <v>45</v>
      </c>
      <c r="AD280" s="3" t="s">
        <v>45</v>
      </c>
      <c r="AE280" s="3" t="s">
        <v>45</v>
      </c>
      <c r="AF280" s="3" t="s">
        <v>45</v>
      </c>
      <c r="AG280" s="3" t="s">
        <v>2658</v>
      </c>
      <c r="AH280" s="3" t="s">
        <v>57</v>
      </c>
      <c r="AI280" s="5" t="s">
        <v>2659</v>
      </c>
      <c r="AJ280" s="3" t="s">
        <v>45</v>
      </c>
      <c r="AK280" s="3" t="s">
        <v>45</v>
      </c>
      <c r="AL280" s="3" t="s">
        <v>45</v>
      </c>
      <c r="AM280" s="3" t="s">
        <v>45</v>
      </c>
      <c r="AN280" s="3" t="s">
        <v>45</v>
      </c>
      <c r="AO280" s="3" t="s">
        <v>45</v>
      </c>
      <c r="AP280" s="3" t="s">
        <v>45</v>
      </c>
      <c r="AQ280" s="4" t="s">
        <v>1589</v>
      </c>
      <c r="AR280" s="4" t="s">
        <v>1589</v>
      </c>
    </row>
    <row r="281">
      <c r="A281" s="3" t="s">
        <v>2660</v>
      </c>
      <c r="B281" s="3" t="s">
        <v>2661</v>
      </c>
      <c r="C281" s="3" t="s">
        <v>2652</v>
      </c>
      <c r="D281" s="3" t="s">
        <v>1291</v>
      </c>
      <c r="E281" s="4" t="s">
        <v>2653</v>
      </c>
      <c r="F281" s="3" t="s">
        <v>2031</v>
      </c>
      <c r="G281" s="4" t="s">
        <v>2662</v>
      </c>
      <c r="H281" s="4" t="s">
        <v>2663</v>
      </c>
      <c r="I281" s="3" t="s">
        <v>85</v>
      </c>
      <c r="J281" s="3" t="s">
        <v>126</v>
      </c>
      <c r="K281" s="3" t="s">
        <v>45</v>
      </c>
      <c r="L281" s="3" t="s">
        <v>2664</v>
      </c>
      <c r="M281" s="3" t="s">
        <v>45</v>
      </c>
      <c r="N281" s="4" t="s">
        <v>2665</v>
      </c>
      <c r="O281" s="3" t="s">
        <v>722</v>
      </c>
      <c r="P281" s="3" t="s">
        <v>45</v>
      </c>
      <c r="Q281" s="3" t="s">
        <v>45</v>
      </c>
      <c r="R281" s="3" t="s">
        <v>45</v>
      </c>
      <c r="S281" s="3" t="s">
        <v>45</v>
      </c>
      <c r="T281" s="3" t="s">
        <v>45</v>
      </c>
      <c r="U281" s="3" t="s">
        <v>45</v>
      </c>
      <c r="V281" s="4" t="s">
        <v>106</v>
      </c>
      <c r="W281" s="3" t="s">
        <v>45</v>
      </c>
      <c r="X281" s="3" t="s">
        <v>45</v>
      </c>
      <c r="Y281" s="3" t="s">
        <v>45</v>
      </c>
      <c r="Z281" s="3" t="s">
        <v>74</v>
      </c>
      <c r="AA281" s="3" t="s">
        <v>45</v>
      </c>
      <c r="AB281" s="3" t="s">
        <v>45</v>
      </c>
      <c r="AC281" s="3" t="s">
        <v>45</v>
      </c>
      <c r="AD281" s="3" t="s">
        <v>45</v>
      </c>
      <c r="AE281" s="3" t="s">
        <v>45</v>
      </c>
      <c r="AF281" s="3" t="s">
        <v>45</v>
      </c>
      <c r="AG281" s="3" t="s">
        <v>45</v>
      </c>
      <c r="AH281" s="3" t="s">
        <v>1298</v>
      </c>
      <c r="AI281" s="5" t="s">
        <v>2666</v>
      </c>
      <c r="AJ281" s="3" t="s">
        <v>45</v>
      </c>
      <c r="AK281" s="3" t="s">
        <v>45</v>
      </c>
      <c r="AL281" s="3" t="s">
        <v>45</v>
      </c>
      <c r="AM281" s="3" t="s">
        <v>45</v>
      </c>
      <c r="AN281" s="3" t="s">
        <v>45</v>
      </c>
      <c r="AO281" s="3" t="s">
        <v>45</v>
      </c>
      <c r="AP281" s="3" t="s">
        <v>45</v>
      </c>
      <c r="AQ281" s="4" t="s">
        <v>1300</v>
      </c>
      <c r="AR281" s="4" t="s">
        <v>1300</v>
      </c>
    </row>
    <row r="282">
      <c r="A282" s="3" t="s">
        <v>2667</v>
      </c>
      <c r="B282" s="3" t="s">
        <v>2668</v>
      </c>
      <c r="C282" s="3" t="s">
        <v>2669</v>
      </c>
      <c r="D282" s="3" t="s">
        <v>1291</v>
      </c>
      <c r="E282" s="4" t="s">
        <v>2670</v>
      </c>
      <c r="F282" s="3" t="s">
        <v>1330</v>
      </c>
      <c r="G282" s="4" t="s">
        <v>2671</v>
      </c>
      <c r="H282" s="4" t="s">
        <v>2672</v>
      </c>
      <c r="I282" s="3" t="s">
        <v>49</v>
      </c>
      <c r="J282" s="3" t="s">
        <v>126</v>
      </c>
      <c r="K282" s="3" t="s">
        <v>45</v>
      </c>
      <c r="L282" s="3" t="s">
        <v>2673</v>
      </c>
      <c r="M282" s="3" t="s">
        <v>45</v>
      </c>
      <c r="N282" s="4" t="s">
        <v>1962</v>
      </c>
      <c r="O282" s="3" t="s">
        <v>88</v>
      </c>
      <c r="P282" s="3" t="s">
        <v>45</v>
      </c>
      <c r="Q282" s="3" t="s">
        <v>45</v>
      </c>
      <c r="R282" s="3" t="s">
        <v>45</v>
      </c>
      <c r="S282" s="3" t="s">
        <v>45</v>
      </c>
      <c r="T282" s="3" t="s">
        <v>45</v>
      </c>
      <c r="U282" s="3" t="s">
        <v>45</v>
      </c>
      <c r="V282" s="4" t="s">
        <v>106</v>
      </c>
      <c r="W282" s="3" t="s">
        <v>45</v>
      </c>
      <c r="X282" s="3" t="s">
        <v>45</v>
      </c>
      <c r="Y282" s="3" t="s">
        <v>45</v>
      </c>
      <c r="Z282" s="3" t="s">
        <v>74</v>
      </c>
      <c r="AA282" s="3" t="s">
        <v>45</v>
      </c>
      <c r="AB282" s="3" t="s">
        <v>45</v>
      </c>
      <c r="AC282" s="3" t="s">
        <v>45</v>
      </c>
      <c r="AD282" s="3" t="s">
        <v>45</v>
      </c>
      <c r="AE282" s="3" t="s">
        <v>45</v>
      </c>
      <c r="AF282" s="3" t="s">
        <v>45</v>
      </c>
      <c r="AG282" s="3" t="s">
        <v>45</v>
      </c>
      <c r="AH282" s="3" t="s">
        <v>57</v>
      </c>
      <c r="AI282" s="5" t="s">
        <v>1575</v>
      </c>
      <c r="AJ282" s="5" t="s">
        <v>2674</v>
      </c>
      <c r="AK282" s="3" t="s">
        <v>45</v>
      </c>
      <c r="AL282" s="3" t="s">
        <v>45</v>
      </c>
      <c r="AM282" s="3" t="s">
        <v>45</v>
      </c>
      <c r="AN282" s="3" t="s">
        <v>45</v>
      </c>
      <c r="AO282" s="3" t="s">
        <v>45</v>
      </c>
      <c r="AP282" s="3" t="s">
        <v>45</v>
      </c>
      <c r="AQ282" s="4" t="s">
        <v>1085</v>
      </c>
      <c r="AR282" s="4" t="s">
        <v>1085</v>
      </c>
    </row>
    <row r="283">
      <c r="A283" s="3" t="s">
        <v>2675</v>
      </c>
      <c r="B283" s="3" t="s">
        <v>2676</v>
      </c>
      <c r="C283" s="3" t="s">
        <v>2669</v>
      </c>
      <c r="D283" s="3" t="s">
        <v>1291</v>
      </c>
      <c r="E283" s="4" t="s">
        <v>2670</v>
      </c>
      <c r="F283" s="3" t="s">
        <v>1330</v>
      </c>
      <c r="G283" s="4" t="s">
        <v>2677</v>
      </c>
      <c r="H283" s="4" t="s">
        <v>2678</v>
      </c>
      <c r="I283" s="3" t="s">
        <v>49</v>
      </c>
      <c r="J283" s="3" t="s">
        <v>126</v>
      </c>
      <c r="K283" s="3" t="s">
        <v>45</v>
      </c>
      <c r="L283" s="3" t="s">
        <v>45</v>
      </c>
      <c r="M283" s="3" t="s">
        <v>45</v>
      </c>
      <c r="N283" s="3" t="s">
        <v>45</v>
      </c>
      <c r="O283" s="3" t="s">
        <v>74</v>
      </c>
      <c r="P283" s="3" t="s">
        <v>45</v>
      </c>
      <c r="Q283" s="3" t="s">
        <v>45</v>
      </c>
      <c r="R283" s="3" t="s">
        <v>45</v>
      </c>
      <c r="S283" s="3" t="s">
        <v>45</v>
      </c>
      <c r="T283" s="3" t="s">
        <v>45</v>
      </c>
      <c r="U283" s="3" t="s">
        <v>45</v>
      </c>
      <c r="V283" s="3" t="s">
        <v>45</v>
      </c>
      <c r="W283" s="3" t="s">
        <v>45</v>
      </c>
      <c r="X283" s="3" t="s">
        <v>45</v>
      </c>
      <c r="Y283" s="3" t="s">
        <v>45</v>
      </c>
      <c r="Z283" s="3" t="s">
        <v>74</v>
      </c>
      <c r="AA283" s="3" t="s">
        <v>45</v>
      </c>
      <c r="AB283" s="3" t="s">
        <v>45</v>
      </c>
      <c r="AC283" s="3" t="s">
        <v>45</v>
      </c>
      <c r="AD283" s="3" t="s">
        <v>45</v>
      </c>
      <c r="AE283" s="3" t="s">
        <v>45</v>
      </c>
      <c r="AF283" s="3" t="s">
        <v>45</v>
      </c>
      <c r="AG283" s="3" t="s">
        <v>45</v>
      </c>
      <c r="AH283" s="3" t="s">
        <v>1298</v>
      </c>
      <c r="AI283" s="5" t="s">
        <v>2679</v>
      </c>
      <c r="AJ283" s="3" t="s">
        <v>45</v>
      </c>
      <c r="AK283" s="3" t="s">
        <v>45</v>
      </c>
      <c r="AL283" s="3" t="s">
        <v>45</v>
      </c>
      <c r="AM283" s="3" t="s">
        <v>45</v>
      </c>
      <c r="AN283" s="3" t="s">
        <v>45</v>
      </c>
      <c r="AO283" s="3" t="s">
        <v>45</v>
      </c>
      <c r="AP283" s="3" t="s">
        <v>45</v>
      </c>
      <c r="AQ283" s="4" t="s">
        <v>1300</v>
      </c>
      <c r="AR283" s="4" t="s">
        <v>1300</v>
      </c>
    </row>
    <row r="284">
      <c r="A284" s="3" t="s">
        <v>2680</v>
      </c>
      <c r="B284" s="3" t="s">
        <v>2681</v>
      </c>
      <c r="C284" s="3" t="s">
        <v>2682</v>
      </c>
      <c r="D284" s="3" t="s">
        <v>1291</v>
      </c>
      <c r="E284" s="4" t="s">
        <v>2683</v>
      </c>
      <c r="F284" s="3" t="s">
        <v>2684</v>
      </c>
      <c r="G284" s="4" t="s">
        <v>2685</v>
      </c>
      <c r="H284" s="4" t="s">
        <v>2686</v>
      </c>
      <c r="I284" s="3" t="s">
        <v>49</v>
      </c>
      <c r="J284" s="3" t="s">
        <v>126</v>
      </c>
      <c r="K284" s="3" t="s">
        <v>45</v>
      </c>
      <c r="L284" s="3" t="s">
        <v>2687</v>
      </c>
      <c r="M284" s="3" t="s">
        <v>45</v>
      </c>
      <c r="N284" s="3" t="s">
        <v>45</v>
      </c>
      <c r="O284" s="3" t="s">
        <v>74</v>
      </c>
      <c r="P284" s="3" t="s">
        <v>45</v>
      </c>
      <c r="Q284" s="3" t="s">
        <v>45</v>
      </c>
      <c r="R284" s="3" t="s">
        <v>45</v>
      </c>
      <c r="S284" s="3" t="s">
        <v>45</v>
      </c>
      <c r="T284" s="3" t="s">
        <v>45</v>
      </c>
      <c r="U284" s="3" t="s">
        <v>45</v>
      </c>
      <c r="V284" s="3" t="s">
        <v>45</v>
      </c>
      <c r="W284" s="3" t="s">
        <v>45</v>
      </c>
      <c r="X284" s="3" t="s">
        <v>45</v>
      </c>
      <c r="Y284" s="3" t="s">
        <v>45</v>
      </c>
      <c r="Z284" s="3" t="s">
        <v>74</v>
      </c>
      <c r="AA284" s="3" t="s">
        <v>45</v>
      </c>
      <c r="AB284" s="3" t="s">
        <v>45</v>
      </c>
      <c r="AC284" s="3" t="s">
        <v>45</v>
      </c>
      <c r="AD284" s="3" t="s">
        <v>45</v>
      </c>
      <c r="AE284" s="3" t="s">
        <v>45</v>
      </c>
      <c r="AF284" s="3" t="s">
        <v>45</v>
      </c>
      <c r="AG284" s="3" t="s">
        <v>45</v>
      </c>
      <c r="AH284" s="3" t="s">
        <v>1298</v>
      </c>
      <c r="AI284" s="3" t="s">
        <v>45</v>
      </c>
      <c r="AJ284" s="3" t="s">
        <v>45</v>
      </c>
      <c r="AK284" s="3" t="s">
        <v>45</v>
      </c>
      <c r="AL284" s="3" t="s">
        <v>45</v>
      </c>
      <c r="AM284" s="3" t="s">
        <v>45</v>
      </c>
      <c r="AN284" s="3" t="s">
        <v>45</v>
      </c>
      <c r="AO284" s="3" t="s">
        <v>45</v>
      </c>
      <c r="AP284" s="3" t="s">
        <v>45</v>
      </c>
      <c r="AQ284" s="4" t="s">
        <v>1300</v>
      </c>
      <c r="AR284" s="4" t="s">
        <v>1300</v>
      </c>
    </row>
    <row r="285">
      <c r="A285" s="3" t="s">
        <v>2688</v>
      </c>
      <c r="B285" s="3" t="s">
        <v>2689</v>
      </c>
      <c r="C285" s="3" t="s">
        <v>2690</v>
      </c>
      <c r="D285" s="3" t="s">
        <v>1291</v>
      </c>
      <c r="E285" s="4" t="s">
        <v>2691</v>
      </c>
      <c r="F285" s="3" t="s">
        <v>1772</v>
      </c>
      <c r="G285" s="4" t="s">
        <v>2692</v>
      </c>
      <c r="H285" s="4" t="s">
        <v>2693</v>
      </c>
      <c r="I285" s="3" t="s">
        <v>49</v>
      </c>
      <c r="J285" s="3" t="s">
        <v>50</v>
      </c>
      <c r="K285" s="3" t="s">
        <v>45</v>
      </c>
      <c r="L285" s="3" t="s">
        <v>45</v>
      </c>
      <c r="M285" s="3" t="s">
        <v>45</v>
      </c>
      <c r="N285" s="3" t="s">
        <v>45</v>
      </c>
      <c r="O285" s="3" t="s">
        <v>74</v>
      </c>
      <c r="P285" s="3" t="s">
        <v>45</v>
      </c>
      <c r="Q285" s="3" t="s">
        <v>45</v>
      </c>
      <c r="R285" s="3" t="s">
        <v>45</v>
      </c>
      <c r="S285" s="3" t="s">
        <v>45</v>
      </c>
      <c r="T285" s="3" t="s">
        <v>45</v>
      </c>
      <c r="U285" s="3" t="s">
        <v>45</v>
      </c>
      <c r="V285" s="3" t="s">
        <v>45</v>
      </c>
      <c r="W285" s="3" t="s">
        <v>45</v>
      </c>
      <c r="X285" s="3" t="s">
        <v>45</v>
      </c>
      <c r="Y285" s="3" t="s">
        <v>45</v>
      </c>
      <c r="Z285" s="3" t="s">
        <v>74</v>
      </c>
      <c r="AA285" s="3" t="s">
        <v>45</v>
      </c>
      <c r="AB285" s="3" t="s">
        <v>45</v>
      </c>
      <c r="AC285" s="3" t="s">
        <v>45</v>
      </c>
      <c r="AD285" s="3" t="s">
        <v>45</v>
      </c>
      <c r="AE285" s="3" t="s">
        <v>45</v>
      </c>
      <c r="AF285" s="3" t="s">
        <v>45</v>
      </c>
      <c r="AG285" s="3" t="s">
        <v>45</v>
      </c>
      <c r="AH285" s="3" t="s">
        <v>57</v>
      </c>
      <c r="AI285" s="5" t="s">
        <v>2694</v>
      </c>
      <c r="AJ285" s="3" t="s">
        <v>45</v>
      </c>
      <c r="AK285" s="3" t="s">
        <v>45</v>
      </c>
      <c r="AL285" s="3" t="s">
        <v>45</v>
      </c>
      <c r="AM285" s="3" t="s">
        <v>45</v>
      </c>
      <c r="AN285" s="3" t="s">
        <v>45</v>
      </c>
      <c r="AO285" s="3" t="s">
        <v>45</v>
      </c>
      <c r="AP285" s="3" t="s">
        <v>45</v>
      </c>
      <c r="AQ285" s="4" t="s">
        <v>2509</v>
      </c>
      <c r="AR285" s="4" t="s">
        <v>1943</v>
      </c>
    </row>
    <row r="286">
      <c r="A286" s="3" t="s">
        <v>2695</v>
      </c>
      <c r="B286" s="3" t="s">
        <v>2696</v>
      </c>
      <c r="C286" s="3" t="s">
        <v>2690</v>
      </c>
      <c r="D286" s="3" t="s">
        <v>1291</v>
      </c>
      <c r="E286" s="4" t="s">
        <v>2691</v>
      </c>
      <c r="F286" s="3" t="s">
        <v>1772</v>
      </c>
      <c r="G286" s="4" t="s">
        <v>2697</v>
      </c>
      <c r="H286" s="4" t="s">
        <v>2698</v>
      </c>
      <c r="I286" s="3" t="s">
        <v>49</v>
      </c>
      <c r="J286" s="3" t="s">
        <v>126</v>
      </c>
      <c r="K286" s="3" t="s">
        <v>45</v>
      </c>
      <c r="L286" s="3" t="s">
        <v>2699</v>
      </c>
      <c r="M286" s="3" t="s">
        <v>45</v>
      </c>
      <c r="N286" s="3" t="s">
        <v>45</v>
      </c>
      <c r="O286" s="3" t="s">
        <v>74</v>
      </c>
      <c r="P286" s="3" t="s">
        <v>45</v>
      </c>
      <c r="Q286" s="3" t="s">
        <v>45</v>
      </c>
      <c r="R286" s="3" t="s">
        <v>45</v>
      </c>
      <c r="S286" s="3" t="s">
        <v>45</v>
      </c>
      <c r="T286" s="3" t="s">
        <v>45</v>
      </c>
      <c r="U286" s="3" t="s">
        <v>45</v>
      </c>
      <c r="V286" s="4" t="s">
        <v>2700</v>
      </c>
      <c r="W286" s="4" t="s">
        <v>2701</v>
      </c>
      <c r="X286" s="3" t="s">
        <v>2129</v>
      </c>
      <c r="Y286" s="3" t="s">
        <v>45</v>
      </c>
      <c r="Z286" s="3" t="s">
        <v>74</v>
      </c>
      <c r="AA286" s="3" t="s">
        <v>45</v>
      </c>
      <c r="AB286" s="3" t="s">
        <v>45</v>
      </c>
      <c r="AC286" s="3" t="s">
        <v>45</v>
      </c>
      <c r="AD286" s="3" t="s">
        <v>45</v>
      </c>
      <c r="AE286" s="3" t="s">
        <v>45</v>
      </c>
      <c r="AF286" s="3" t="s">
        <v>45</v>
      </c>
      <c r="AG286" s="3" t="s">
        <v>45</v>
      </c>
      <c r="AH286" s="3" t="s">
        <v>57</v>
      </c>
      <c r="AI286" s="5" t="s">
        <v>2702</v>
      </c>
      <c r="AJ286" s="5" t="s">
        <v>2694</v>
      </c>
      <c r="AK286" s="3" t="s">
        <v>45</v>
      </c>
      <c r="AL286" s="3" t="s">
        <v>45</v>
      </c>
      <c r="AM286" s="3" t="s">
        <v>45</v>
      </c>
      <c r="AN286" s="3" t="s">
        <v>45</v>
      </c>
      <c r="AO286" s="3" t="s">
        <v>45</v>
      </c>
      <c r="AP286" s="3" t="s">
        <v>45</v>
      </c>
      <c r="AQ286" s="4" t="s">
        <v>2509</v>
      </c>
      <c r="AR286" s="4" t="s">
        <v>1943</v>
      </c>
    </row>
    <row r="287">
      <c r="A287" s="3" t="s">
        <v>2703</v>
      </c>
      <c r="B287" s="3" t="s">
        <v>2704</v>
      </c>
      <c r="C287" s="3" t="s">
        <v>2690</v>
      </c>
      <c r="D287" s="3" t="s">
        <v>1291</v>
      </c>
      <c r="E287" s="4" t="s">
        <v>2691</v>
      </c>
      <c r="F287" s="3" t="s">
        <v>1948</v>
      </c>
      <c r="G287" s="4" t="s">
        <v>2705</v>
      </c>
      <c r="H287" s="4" t="s">
        <v>2706</v>
      </c>
      <c r="I287" s="3" t="s">
        <v>245</v>
      </c>
      <c r="J287" s="3" t="s">
        <v>126</v>
      </c>
      <c r="K287" s="3" t="s">
        <v>45</v>
      </c>
      <c r="L287" s="3" t="s">
        <v>2707</v>
      </c>
      <c r="M287" s="3" t="s">
        <v>45</v>
      </c>
      <c r="N287" s="3" t="s">
        <v>45</v>
      </c>
      <c r="O287" s="3" t="s">
        <v>88</v>
      </c>
      <c r="P287" s="3" t="s">
        <v>45</v>
      </c>
      <c r="Q287" s="3" t="s">
        <v>45</v>
      </c>
      <c r="R287" s="3" t="s">
        <v>45</v>
      </c>
      <c r="S287" s="4" t="s">
        <v>582</v>
      </c>
      <c r="T287" s="3" t="s">
        <v>45</v>
      </c>
      <c r="U287" s="3" t="s">
        <v>45</v>
      </c>
      <c r="V287" s="4" t="s">
        <v>1182</v>
      </c>
      <c r="W287" s="4" t="s">
        <v>667</v>
      </c>
      <c r="X287" s="3" t="s">
        <v>45</v>
      </c>
      <c r="Y287" s="3" t="s">
        <v>45</v>
      </c>
      <c r="Z287" s="3" t="s">
        <v>74</v>
      </c>
      <c r="AA287" s="3" t="s">
        <v>45</v>
      </c>
      <c r="AB287" s="3" t="s">
        <v>45</v>
      </c>
      <c r="AC287" s="3" t="s">
        <v>45</v>
      </c>
      <c r="AD287" s="3" t="s">
        <v>45</v>
      </c>
      <c r="AE287" s="3" t="s">
        <v>45</v>
      </c>
      <c r="AF287" s="3" t="s">
        <v>45</v>
      </c>
      <c r="AG287" s="3" t="s">
        <v>2708</v>
      </c>
      <c r="AH287" s="3" t="s">
        <v>1298</v>
      </c>
      <c r="AI287" s="5" t="s">
        <v>2709</v>
      </c>
      <c r="AJ287" s="5" t="s">
        <v>2710</v>
      </c>
      <c r="AK287" s="3" t="s">
        <v>45</v>
      </c>
      <c r="AL287" s="3" t="s">
        <v>45</v>
      </c>
      <c r="AM287" s="3" t="s">
        <v>45</v>
      </c>
      <c r="AN287" s="3" t="s">
        <v>45</v>
      </c>
      <c r="AO287" s="3" t="s">
        <v>45</v>
      </c>
      <c r="AP287" s="3" t="s">
        <v>45</v>
      </c>
      <c r="AQ287" s="4" t="s">
        <v>1300</v>
      </c>
      <c r="AR287" s="4" t="s">
        <v>898</v>
      </c>
    </row>
    <row r="288">
      <c r="A288" s="3" t="s">
        <v>2711</v>
      </c>
      <c r="B288" s="3" t="s">
        <v>45</v>
      </c>
      <c r="C288" s="3" t="s">
        <v>2712</v>
      </c>
      <c r="D288" s="3" t="s">
        <v>1291</v>
      </c>
      <c r="E288" s="4" t="s">
        <v>2713</v>
      </c>
      <c r="F288" s="3" t="s">
        <v>2714</v>
      </c>
      <c r="G288" s="4" t="s">
        <v>2715</v>
      </c>
      <c r="H288" s="4" t="s">
        <v>2716</v>
      </c>
      <c r="I288" s="3" t="s">
        <v>49</v>
      </c>
      <c r="J288" s="3" t="s">
        <v>50</v>
      </c>
      <c r="K288" s="3" t="s">
        <v>45</v>
      </c>
      <c r="L288" s="3" t="s">
        <v>45</v>
      </c>
      <c r="M288" s="3" t="s">
        <v>45</v>
      </c>
      <c r="N288" s="3" t="s">
        <v>45</v>
      </c>
      <c r="O288" s="3" t="s">
        <v>74</v>
      </c>
      <c r="P288" s="3" t="s">
        <v>45</v>
      </c>
      <c r="Q288" s="3" t="s">
        <v>45</v>
      </c>
      <c r="R288" s="3" t="s">
        <v>45</v>
      </c>
      <c r="S288" s="3" t="s">
        <v>45</v>
      </c>
      <c r="T288" s="3" t="s">
        <v>45</v>
      </c>
      <c r="U288" s="3" t="s">
        <v>45</v>
      </c>
      <c r="V288" s="3" t="s">
        <v>45</v>
      </c>
      <c r="W288" s="3" t="s">
        <v>45</v>
      </c>
      <c r="X288" s="3" t="s">
        <v>45</v>
      </c>
      <c r="Y288" s="3" t="s">
        <v>45</v>
      </c>
      <c r="Z288" s="3" t="s">
        <v>74</v>
      </c>
      <c r="AA288" s="3" t="s">
        <v>45</v>
      </c>
      <c r="AB288" s="3" t="s">
        <v>45</v>
      </c>
      <c r="AC288" s="3" t="s">
        <v>45</v>
      </c>
      <c r="AD288" s="3" t="s">
        <v>45</v>
      </c>
      <c r="AE288" s="3" t="s">
        <v>45</v>
      </c>
      <c r="AF288" s="3" t="s">
        <v>45</v>
      </c>
      <c r="AG288" s="3" t="s">
        <v>45</v>
      </c>
      <c r="AH288" s="3" t="s">
        <v>57</v>
      </c>
      <c r="AI288" s="5" t="s">
        <v>634</v>
      </c>
      <c r="AJ288" s="3" t="s">
        <v>45</v>
      </c>
      <c r="AK288" s="3" t="s">
        <v>45</v>
      </c>
      <c r="AL288" s="3" t="s">
        <v>45</v>
      </c>
      <c r="AM288" s="3" t="s">
        <v>45</v>
      </c>
      <c r="AN288" s="3" t="s">
        <v>45</v>
      </c>
      <c r="AO288" s="3" t="s">
        <v>45</v>
      </c>
      <c r="AP288" s="3" t="s">
        <v>45</v>
      </c>
      <c r="AQ288" s="4" t="s">
        <v>636</v>
      </c>
      <c r="AR288" s="4" t="s">
        <v>636</v>
      </c>
    </row>
    <row r="289">
      <c r="A289" s="3" t="s">
        <v>2717</v>
      </c>
      <c r="B289" s="3" t="s">
        <v>2718</v>
      </c>
      <c r="C289" s="3" t="s">
        <v>2719</v>
      </c>
      <c r="D289" s="3" t="s">
        <v>1291</v>
      </c>
      <c r="E289" s="4" t="s">
        <v>2720</v>
      </c>
      <c r="F289" s="3" t="s">
        <v>1948</v>
      </c>
      <c r="G289" s="4" t="s">
        <v>2721</v>
      </c>
      <c r="H289" s="4" t="s">
        <v>2722</v>
      </c>
      <c r="I289" s="3" t="s">
        <v>85</v>
      </c>
      <c r="J289" s="3" t="s">
        <v>126</v>
      </c>
      <c r="K289" s="3" t="s">
        <v>45</v>
      </c>
      <c r="L289" s="3" t="s">
        <v>418</v>
      </c>
      <c r="M289" s="3" t="s">
        <v>45</v>
      </c>
      <c r="N289" s="4" t="s">
        <v>499</v>
      </c>
      <c r="O289" s="3" t="s">
        <v>88</v>
      </c>
      <c r="P289" s="3" t="s">
        <v>45</v>
      </c>
      <c r="Q289" s="3" t="s">
        <v>45</v>
      </c>
      <c r="R289" s="3" t="s">
        <v>45</v>
      </c>
      <c r="S289" s="3" t="s">
        <v>45</v>
      </c>
      <c r="T289" s="3" t="s">
        <v>45</v>
      </c>
      <c r="U289" s="3" t="s">
        <v>45</v>
      </c>
      <c r="V289" s="4" t="s">
        <v>2723</v>
      </c>
      <c r="W289" s="3" t="s">
        <v>45</v>
      </c>
      <c r="X289" s="3" t="s">
        <v>45</v>
      </c>
      <c r="Y289" s="3" t="s">
        <v>45</v>
      </c>
      <c r="Z289" s="3" t="s">
        <v>74</v>
      </c>
      <c r="AA289" s="3" t="s">
        <v>45</v>
      </c>
      <c r="AB289" s="3" t="s">
        <v>45</v>
      </c>
      <c r="AC289" s="3" t="s">
        <v>45</v>
      </c>
      <c r="AD289" s="3" t="s">
        <v>45</v>
      </c>
      <c r="AE289" s="3" t="s">
        <v>45</v>
      </c>
      <c r="AF289" s="3" t="s">
        <v>45</v>
      </c>
      <c r="AG289" s="3" t="s">
        <v>45</v>
      </c>
      <c r="AH289" s="3" t="s">
        <v>1298</v>
      </c>
      <c r="AI289" s="5" t="s">
        <v>2724</v>
      </c>
      <c r="AJ289" s="3" t="s">
        <v>45</v>
      </c>
      <c r="AK289" s="3" t="s">
        <v>45</v>
      </c>
      <c r="AL289" s="3" t="s">
        <v>45</v>
      </c>
      <c r="AM289" s="3" t="s">
        <v>45</v>
      </c>
      <c r="AN289" s="3" t="s">
        <v>45</v>
      </c>
      <c r="AO289" s="3" t="s">
        <v>45</v>
      </c>
      <c r="AP289" s="3" t="s">
        <v>45</v>
      </c>
      <c r="AQ289" s="4" t="s">
        <v>1300</v>
      </c>
      <c r="AR289" s="4" t="s">
        <v>1300</v>
      </c>
    </row>
    <row r="290">
      <c r="A290" s="3" t="s">
        <v>414</v>
      </c>
      <c r="B290" s="3" t="s">
        <v>2725</v>
      </c>
      <c r="C290" s="3" t="s">
        <v>2719</v>
      </c>
      <c r="D290" s="3" t="s">
        <v>1291</v>
      </c>
      <c r="E290" s="4" t="s">
        <v>2720</v>
      </c>
      <c r="F290" s="3" t="s">
        <v>1948</v>
      </c>
      <c r="G290" s="4" t="s">
        <v>2726</v>
      </c>
      <c r="H290" s="4" t="s">
        <v>2727</v>
      </c>
      <c r="I290" s="3" t="s">
        <v>49</v>
      </c>
      <c r="J290" s="3" t="s">
        <v>50</v>
      </c>
      <c r="K290" s="3" t="s">
        <v>45</v>
      </c>
      <c r="L290" s="3" t="s">
        <v>45</v>
      </c>
      <c r="M290" s="3" t="s">
        <v>45</v>
      </c>
      <c r="N290" s="4" t="s">
        <v>499</v>
      </c>
      <c r="O290" s="3" t="s">
        <v>88</v>
      </c>
      <c r="P290" s="3" t="s">
        <v>45</v>
      </c>
      <c r="Q290" s="3" t="s">
        <v>45</v>
      </c>
      <c r="R290" s="3" t="s">
        <v>45</v>
      </c>
      <c r="S290" s="4" t="s">
        <v>922</v>
      </c>
      <c r="T290" s="3" t="s">
        <v>45</v>
      </c>
      <c r="U290" s="3" t="s">
        <v>45</v>
      </c>
      <c r="V290" s="4" t="s">
        <v>611</v>
      </c>
      <c r="W290" s="3" t="s">
        <v>45</v>
      </c>
      <c r="X290" s="3" t="s">
        <v>45</v>
      </c>
      <c r="Y290" s="3" t="s">
        <v>45</v>
      </c>
      <c r="Z290" s="3" t="s">
        <v>74</v>
      </c>
      <c r="AA290" s="3" t="s">
        <v>45</v>
      </c>
      <c r="AB290" s="3" t="s">
        <v>45</v>
      </c>
      <c r="AC290" s="3" t="s">
        <v>45</v>
      </c>
      <c r="AD290" s="3" t="s">
        <v>45</v>
      </c>
      <c r="AE290" s="3" t="s">
        <v>45</v>
      </c>
      <c r="AF290" s="3" t="s">
        <v>45</v>
      </c>
      <c r="AG290" s="3" t="s">
        <v>2728</v>
      </c>
      <c r="AH290" s="3" t="s">
        <v>57</v>
      </c>
      <c r="AI290" s="5" t="s">
        <v>2729</v>
      </c>
      <c r="AJ290" s="5" t="s">
        <v>1857</v>
      </c>
      <c r="AK290" s="3" t="s">
        <v>45</v>
      </c>
      <c r="AL290" s="3" t="s">
        <v>45</v>
      </c>
      <c r="AM290" s="3" t="s">
        <v>45</v>
      </c>
      <c r="AN290" s="3" t="s">
        <v>45</v>
      </c>
      <c r="AO290" s="3" t="s">
        <v>45</v>
      </c>
      <c r="AP290" s="3" t="s">
        <v>45</v>
      </c>
      <c r="AQ290" s="4" t="s">
        <v>168</v>
      </c>
      <c r="AR290" s="4" t="s">
        <v>168</v>
      </c>
    </row>
    <row r="291">
      <c r="A291" s="3" t="s">
        <v>2730</v>
      </c>
      <c r="B291" s="3" t="s">
        <v>2731</v>
      </c>
      <c r="C291" s="3" t="s">
        <v>2732</v>
      </c>
      <c r="D291" s="3" t="s">
        <v>2733</v>
      </c>
      <c r="E291" s="4" t="s">
        <v>2734</v>
      </c>
      <c r="F291" s="3" t="s">
        <v>2735</v>
      </c>
      <c r="G291" s="4" t="s">
        <v>2736</v>
      </c>
      <c r="H291" s="4" t="s">
        <v>2737</v>
      </c>
      <c r="I291" s="3" t="s">
        <v>408</v>
      </c>
      <c r="J291" s="3" t="s">
        <v>50</v>
      </c>
      <c r="K291" s="3" t="s">
        <v>45</v>
      </c>
      <c r="L291" s="3" t="s">
        <v>45</v>
      </c>
      <c r="M291" s="3" t="s">
        <v>45</v>
      </c>
      <c r="N291" s="3" t="s">
        <v>45</v>
      </c>
      <c r="O291" s="3" t="s">
        <v>74</v>
      </c>
      <c r="P291" s="3" t="s">
        <v>1095</v>
      </c>
      <c r="Q291" s="3" t="s">
        <v>45</v>
      </c>
      <c r="R291" s="3" t="s">
        <v>45</v>
      </c>
      <c r="S291" s="3" t="s">
        <v>45</v>
      </c>
      <c r="T291" s="3" t="s">
        <v>45</v>
      </c>
      <c r="U291" s="3" t="s">
        <v>45</v>
      </c>
      <c r="V291" s="4" t="s">
        <v>2738</v>
      </c>
      <c r="W291" s="3" t="s">
        <v>45</v>
      </c>
      <c r="X291" s="3" t="s">
        <v>45</v>
      </c>
      <c r="Y291" s="3" t="s">
        <v>45</v>
      </c>
      <c r="Z291" s="3" t="s">
        <v>74</v>
      </c>
      <c r="AA291" s="3" t="s">
        <v>45</v>
      </c>
      <c r="AB291" s="3" t="s">
        <v>45</v>
      </c>
      <c r="AC291" s="3" t="s">
        <v>45</v>
      </c>
      <c r="AD291" s="3" t="s">
        <v>45</v>
      </c>
      <c r="AE291" s="3" t="s">
        <v>45</v>
      </c>
      <c r="AF291" s="3" t="s">
        <v>45</v>
      </c>
      <c r="AG291" s="3" t="s">
        <v>45</v>
      </c>
      <c r="AH291" s="3" t="s">
        <v>57</v>
      </c>
      <c r="AI291" s="5" t="s">
        <v>2739</v>
      </c>
      <c r="AJ291" s="3" t="s">
        <v>45</v>
      </c>
      <c r="AK291" s="3" t="s">
        <v>45</v>
      </c>
      <c r="AL291" s="3" t="s">
        <v>45</v>
      </c>
      <c r="AM291" s="3" t="s">
        <v>45</v>
      </c>
      <c r="AN291" s="3" t="s">
        <v>45</v>
      </c>
      <c r="AO291" s="3" t="s">
        <v>45</v>
      </c>
      <c r="AP291" s="3" t="s">
        <v>45</v>
      </c>
      <c r="AQ291" s="4" t="s">
        <v>162</v>
      </c>
      <c r="AR291" s="4" t="s">
        <v>162</v>
      </c>
    </row>
    <row r="292">
      <c r="A292" s="3" t="s">
        <v>2740</v>
      </c>
      <c r="B292" s="3" t="s">
        <v>2741</v>
      </c>
      <c r="C292" s="3" t="s">
        <v>2742</v>
      </c>
      <c r="D292" s="3" t="s">
        <v>2743</v>
      </c>
      <c r="E292" s="4" t="s">
        <v>2744</v>
      </c>
      <c r="F292" s="3" t="s">
        <v>2742</v>
      </c>
      <c r="G292" s="4" t="s">
        <v>2745</v>
      </c>
      <c r="H292" s="4" t="s">
        <v>2746</v>
      </c>
      <c r="I292" s="3" t="s">
        <v>49</v>
      </c>
      <c r="J292" s="3" t="s">
        <v>126</v>
      </c>
      <c r="K292" s="3" t="s">
        <v>45</v>
      </c>
      <c r="L292" s="3" t="s">
        <v>45</v>
      </c>
      <c r="M292" s="3" t="s">
        <v>45</v>
      </c>
      <c r="N292" s="4" t="s">
        <v>419</v>
      </c>
      <c r="O292" s="3" t="s">
        <v>88</v>
      </c>
      <c r="P292" s="3" t="s">
        <v>45</v>
      </c>
      <c r="Q292" s="3" t="s">
        <v>45</v>
      </c>
      <c r="R292" s="3" t="s">
        <v>45</v>
      </c>
      <c r="S292" s="3" t="s">
        <v>45</v>
      </c>
      <c r="T292" s="3" t="s">
        <v>45</v>
      </c>
      <c r="U292" s="3" t="s">
        <v>45</v>
      </c>
      <c r="V292" s="3" t="s">
        <v>45</v>
      </c>
      <c r="W292" s="3" t="s">
        <v>45</v>
      </c>
      <c r="X292" s="3" t="s">
        <v>45</v>
      </c>
      <c r="Y292" s="3" t="s">
        <v>45</v>
      </c>
      <c r="Z292" s="3" t="s">
        <v>74</v>
      </c>
      <c r="AA292" s="3" t="s">
        <v>45</v>
      </c>
      <c r="AB292" s="3" t="s">
        <v>45</v>
      </c>
      <c r="AC292" s="3" t="s">
        <v>45</v>
      </c>
      <c r="AD292" s="3" t="s">
        <v>45</v>
      </c>
      <c r="AE292" s="3" t="s">
        <v>45</v>
      </c>
      <c r="AF292" s="3" t="s">
        <v>45</v>
      </c>
      <c r="AG292" s="3" t="s">
        <v>45</v>
      </c>
      <c r="AH292" s="3" t="s">
        <v>57</v>
      </c>
      <c r="AI292" s="5" t="s">
        <v>2747</v>
      </c>
      <c r="AJ292" s="3" t="s">
        <v>45</v>
      </c>
      <c r="AK292" s="3" t="s">
        <v>45</v>
      </c>
      <c r="AL292" s="3" t="s">
        <v>45</v>
      </c>
      <c r="AM292" s="3" t="s">
        <v>45</v>
      </c>
      <c r="AN292" s="3" t="s">
        <v>45</v>
      </c>
      <c r="AO292" s="3" t="s">
        <v>45</v>
      </c>
      <c r="AP292" s="3" t="s">
        <v>45</v>
      </c>
      <c r="AQ292" s="4" t="s">
        <v>2402</v>
      </c>
      <c r="AR292" s="4" t="s">
        <v>2402</v>
      </c>
    </row>
    <row r="293">
      <c r="A293" s="3" t="s">
        <v>2748</v>
      </c>
      <c r="B293" s="3" t="s">
        <v>2749</v>
      </c>
      <c r="C293" s="3" t="s">
        <v>2750</v>
      </c>
      <c r="D293" s="3" t="s">
        <v>2743</v>
      </c>
      <c r="E293" s="4" t="s">
        <v>2751</v>
      </c>
      <c r="F293" s="3" t="s">
        <v>1179</v>
      </c>
      <c r="G293" s="4" t="s">
        <v>2752</v>
      </c>
      <c r="H293" s="4" t="s">
        <v>2753</v>
      </c>
      <c r="I293" s="3" t="s">
        <v>218</v>
      </c>
      <c r="J293" s="3" t="s">
        <v>126</v>
      </c>
      <c r="K293" s="3" t="s">
        <v>45</v>
      </c>
      <c r="L293" s="3" t="s">
        <v>45</v>
      </c>
      <c r="M293" s="3" t="s">
        <v>45</v>
      </c>
      <c r="N293" s="4" t="s">
        <v>1843</v>
      </c>
      <c r="O293" s="3" t="s">
        <v>390</v>
      </c>
      <c r="P293" s="3" t="s">
        <v>45</v>
      </c>
      <c r="Q293" s="3" t="s">
        <v>45</v>
      </c>
      <c r="R293" s="3" t="s">
        <v>45</v>
      </c>
      <c r="S293" s="3" t="s">
        <v>45</v>
      </c>
      <c r="T293" s="3" t="s">
        <v>45</v>
      </c>
      <c r="U293" s="3" t="s">
        <v>45</v>
      </c>
      <c r="V293" s="4" t="s">
        <v>1258</v>
      </c>
      <c r="W293" s="4" t="s">
        <v>2754</v>
      </c>
      <c r="X293" s="3" t="s">
        <v>2755</v>
      </c>
      <c r="Y293" s="3" t="s">
        <v>45</v>
      </c>
      <c r="Z293" s="3" t="s">
        <v>74</v>
      </c>
      <c r="AA293" s="3" t="s">
        <v>45</v>
      </c>
      <c r="AB293" s="3" t="s">
        <v>45</v>
      </c>
      <c r="AC293" s="3" t="s">
        <v>45</v>
      </c>
      <c r="AD293" s="3" t="s">
        <v>45</v>
      </c>
      <c r="AE293" s="3" t="s">
        <v>45</v>
      </c>
      <c r="AF293" s="3" t="s">
        <v>45</v>
      </c>
      <c r="AG293" s="3" t="s">
        <v>45</v>
      </c>
      <c r="AH293" s="3" t="s">
        <v>57</v>
      </c>
      <c r="AI293" s="5" t="s">
        <v>2756</v>
      </c>
      <c r="AJ293" s="5" t="s">
        <v>2757</v>
      </c>
      <c r="AK293" s="3" t="s">
        <v>45</v>
      </c>
      <c r="AL293" s="3" t="s">
        <v>45</v>
      </c>
      <c r="AM293" s="3" t="s">
        <v>45</v>
      </c>
      <c r="AN293" s="3" t="s">
        <v>45</v>
      </c>
      <c r="AO293" s="3" t="s">
        <v>45</v>
      </c>
      <c r="AP293" s="3" t="s">
        <v>45</v>
      </c>
      <c r="AQ293" s="4" t="s">
        <v>2758</v>
      </c>
      <c r="AR293" s="4" t="s">
        <v>2759</v>
      </c>
    </row>
    <row r="294">
      <c r="A294" s="3" t="s">
        <v>2760</v>
      </c>
      <c r="B294" s="3" t="s">
        <v>2761</v>
      </c>
      <c r="C294" s="3" t="s">
        <v>2762</v>
      </c>
      <c r="D294" s="3" t="s">
        <v>2743</v>
      </c>
      <c r="E294" s="3" t="s">
        <v>45</v>
      </c>
      <c r="F294" s="3" t="s">
        <v>2763</v>
      </c>
      <c r="G294" s="4" t="s">
        <v>2764</v>
      </c>
      <c r="H294" s="4" t="s">
        <v>2765</v>
      </c>
      <c r="I294" s="3" t="s">
        <v>49</v>
      </c>
      <c r="J294" s="3" t="s">
        <v>50</v>
      </c>
      <c r="K294" s="3" t="s">
        <v>2766</v>
      </c>
      <c r="L294" s="3" t="s">
        <v>45</v>
      </c>
      <c r="M294" s="3" t="s">
        <v>45</v>
      </c>
      <c r="N294" s="3" t="s">
        <v>45</v>
      </c>
      <c r="O294" s="3" t="s">
        <v>74</v>
      </c>
      <c r="P294" s="3" t="s">
        <v>45</v>
      </c>
      <c r="Q294" s="3" t="s">
        <v>45</v>
      </c>
      <c r="R294" s="3" t="s">
        <v>45</v>
      </c>
      <c r="S294" s="4" t="s">
        <v>861</v>
      </c>
      <c r="T294" s="3" t="s">
        <v>45</v>
      </c>
      <c r="U294" s="3" t="s">
        <v>45</v>
      </c>
      <c r="V294" s="4" t="s">
        <v>2767</v>
      </c>
      <c r="W294" s="3" t="s">
        <v>45</v>
      </c>
      <c r="X294" s="3" t="s">
        <v>45</v>
      </c>
      <c r="Y294" s="3" t="s">
        <v>45</v>
      </c>
      <c r="Z294" s="3" t="s">
        <v>74</v>
      </c>
      <c r="AA294" s="3" t="s">
        <v>45</v>
      </c>
      <c r="AB294" s="3" t="s">
        <v>45</v>
      </c>
      <c r="AC294" s="3" t="s">
        <v>45</v>
      </c>
      <c r="AD294" s="3" t="s">
        <v>45</v>
      </c>
      <c r="AE294" s="3" t="s">
        <v>45</v>
      </c>
      <c r="AF294" s="3" t="s">
        <v>45</v>
      </c>
      <c r="AG294" s="3" t="s">
        <v>2768</v>
      </c>
      <c r="AH294" s="3" t="s">
        <v>57</v>
      </c>
      <c r="AI294" s="5" t="s">
        <v>2769</v>
      </c>
      <c r="AJ294" s="3" t="s">
        <v>45</v>
      </c>
      <c r="AK294" s="3" t="s">
        <v>45</v>
      </c>
      <c r="AL294" s="3" t="s">
        <v>45</v>
      </c>
      <c r="AM294" s="3" t="s">
        <v>45</v>
      </c>
      <c r="AN294" s="3" t="s">
        <v>45</v>
      </c>
      <c r="AO294" s="3" t="s">
        <v>45</v>
      </c>
      <c r="AP294" s="3" t="s">
        <v>45</v>
      </c>
      <c r="AQ294" s="4" t="s">
        <v>2037</v>
      </c>
      <c r="AR294" s="4" t="s">
        <v>2037</v>
      </c>
    </row>
    <row r="295">
      <c r="A295" s="3" t="s">
        <v>2760</v>
      </c>
      <c r="B295" s="3" t="s">
        <v>2770</v>
      </c>
      <c r="C295" s="3" t="s">
        <v>2771</v>
      </c>
      <c r="D295" s="3" t="s">
        <v>2743</v>
      </c>
      <c r="E295" s="4" t="s">
        <v>2772</v>
      </c>
      <c r="F295" s="3" t="s">
        <v>2773</v>
      </c>
      <c r="G295" s="4" t="s">
        <v>2774</v>
      </c>
      <c r="H295" s="4" t="s">
        <v>2775</v>
      </c>
      <c r="I295" s="3" t="s">
        <v>49</v>
      </c>
      <c r="J295" s="3" t="s">
        <v>50</v>
      </c>
      <c r="K295" s="3" t="s">
        <v>2766</v>
      </c>
      <c r="L295" s="3" t="s">
        <v>45</v>
      </c>
      <c r="M295" s="3" t="s">
        <v>45</v>
      </c>
      <c r="N295" s="3" t="s">
        <v>45</v>
      </c>
      <c r="O295" s="3" t="s">
        <v>74</v>
      </c>
      <c r="P295" s="3" t="s">
        <v>45</v>
      </c>
      <c r="Q295" s="3" t="s">
        <v>45</v>
      </c>
      <c r="R295" s="3" t="s">
        <v>45</v>
      </c>
      <c r="S295" s="3" t="s">
        <v>45</v>
      </c>
      <c r="T295" s="3" t="s">
        <v>45</v>
      </c>
      <c r="U295" s="3" t="s">
        <v>45</v>
      </c>
      <c r="V295" s="3" t="s">
        <v>45</v>
      </c>
      <c r="W295" s="4" t="s">
        <v>583</v>
      </c>
      <c r="X295" s="3" t="s">
        <v>45</v>
      </c>
      <c r="Y295" s="3" t="s">
        <v>45</v>
      </c>
      <c r="Z295" s="3" t="s">
        <v>55</v>
      </c>
      <c r="AA295" s="3" t="s">
        <v>45</v>
      </c>
      <c r="AB295" s="3" t="s">
        <v>45</v>
      </c>
      <c r="AC295" s="3" t="s">
        <v>45</v>
      </c>
      <c r="AD295" s="3" t="s">
        <v>45</v>
      </c>
      <c r="AE295" s="3" t="s">
        <v>45</v>
      </c>
      <c r="AF295" s="3" t="s">
        <v>45</v>
      </c>
      <c r="AG295" s="3" t="s">
        <v>45</v>
      </c>
      <c r="AH295" s="3" t="s">
        <v>57</v>
      </c>
      <c r="AI295" s="5" t="s">
        <v>2776</v>
      </c>
      <c r="AJ295" s="3" t="s">
        <v>45</v>
      </c>
      <c r="AK295" s="3" t="s">
        <v>45</v>
      </c>
      <c r="AL295" s="3" t="s">
        <v>45</v>
      </c>
      <c r="AM295" s="3" t="s">
        <v>45</v>
      </c>
      <c r="AN295" s="3" t="s">
        <v>45</v>
      </c>
      <c r="AO295" s="3" t="s">
        <v>45</v>
      </c>
      <c r="AP295" s="3" t="s">
        <v>45</v>
      </c>
      <c r="AQ295" s="4" t="s">
        <v>2037</v>
      </c>
      <c r="AR295" s="4" t="s">
        <v>2037</v>
      </c>
    </row>
    <row r="296">
      <c r="A296" s="3" t="s">
        <v>2777</v>
      </c>
      <c r="B296" s="3" t="s">
        <v>2778</v>
      </c>
      <c r="C296" s="3" t="s">
        <v>2779</v>
      </c>
      <c r="D296" s="3" t="s">
        <v>2743</v>
      </c>
      <c r="E296" s="4" t="s">
        <v>2780</v>
      </c>
      <c r="F296" s="3" t="s">
        <v>2781</v>
      </c>
      <c r="G296" s="4" t="s">
        <v>2782</v>
      </c>
      <c r="H296" s="4" t="s">
        <v>2783</v>
      </c>
      <c r="I296" s="3" t="s">
        <v>49</v>
      </c>
      <c r="J296" s="3" t="s">
        <v>126</v>
      </c>
      <c r="K296" s="3" t="s">
        <v>743</v>
      </c>
      <c r="L296" s="3" t="s">
        <v>176</v>
      </c>
      <c r="M296" s="3" t="s">
        <v>45</v>
      </c>
      <c r="N296" s="3" t="s">
        <v>45</v>
      </c>
      <c r="O296" s="3" t="s">
        <v>74</v>
      </c>
      <c r="P296" s="3" t="s">
        <v>45</v>
      </c>
      <c r="Q296" s="3" t="s">
        <v>45</v>
      </c>
      <c r="R296" s="3" t="s">
        <v>45</v>
      </c>
      <c r="S296" s="3" t="s">
        <v>45</v>
      </c>
      <c r="T296" s="3" t="s">
        <v>45</v>
      </c>
      <c r="U296" s="3" t="s">
        <v>45</v>
      </c>
      <c r="V296" s="3" t="s">
        <v>45</v>
      </c>
      <c r="W296" s="3" t="s">
        <v>45</v>
      </c>
      <c r="X296" s="3" t="s">
        <v>2784</v>
      </c>
      <c r="Y296" s="3" t="s">
        <v>45</v>
      </c>
      <c r="Z296" s="3" t="s">
        <v>74</v>
      </c>
      <c r="AA296" s="3" t="s">
        <v>45</v>
      </c>
      <c r="AB296" s="3" t="s">
        <v>45</v>
      </c>
      <c r="AC296" s="3" t="s">
        <v>45</v>
      </c>
      <c r="AD296" s="3" t="s">
        <v>45</v>
      </c>
      <c r="AE296" s="3" t="s">
        <v>45</v>
      </c>
      <c r="AF296" s="3" t="s">
        <v>45</v>
      </c>
      <c r="AG296" s="3" t="s">
        <v>45</v>
      </c>
      <c r="AH296" s="3" t="s">
        <v>57</v>
      </c>
      <c r="AI296" s="5" t="s">
        <v>2785</v>
      </c>
      <c r="AJ296" s="5" t="s">
        <v>2786</v>
      </c>
      <c r="AK296" s="3" t="s">
        <v>45</v>
      </c>
      <c r="AL296" s="3" t="s">
        <v>45</v>
      </c>
      <c r="AM296" s="3" t="s">
        <v>45</v>
      </c>
      <c r="AN296" s="3" t="s">
        <v>45</v>
      </c>
      <c r="AO296" s="3" t="s">
        <v>45</v>
      </c>
      <c r="AP296" s="3" t="s">
        <v>45</v>
      </c>
      <c r="AQ296" s="4" t="s">
        <v>2787</v>
      </c>
      <c r="AR296" s="4" t="s">
        <v>2787</v>
      </c>
    </row>
    <row r="297">
      <c r="A297" s="3" t="s">
        <v>2788</v>
      </c>
      <c r="B297" s="3" t="s">
        <v>2789</v>
      </c>
      <c r="C297" s="3" t="s">
        <v>2790</v>
      </c>
      <c r="D297" s="3" t="s">
        <v>2743</v>
      </c>
      <c r="E297" s="4" t="s">
        <v>2791</v>
      </c>
      <c r="F297" s="3" t="s">
        <v>2792</v>
      </c>
      <c r="G297" s="4" t="s">
        <v>2793</v>
      </c>
      <c r="H297" s="4" t="s">
        <v>2794</v>
      </c>
      <c r="I297" s="3" t="s">
        <v>85</v>
      </c>
      <c r="J297" s="3" t="s">
        <v>126</v>
      </c>
      <c r="K297" s="3" t="s">
        <v>45</v>
      </c>
      <c r="L297" s="3" t="s">
        <v>176</v>
      </c>
      <c r="M297" s="3" t="s">
        <v>45</v>
      </c>
      <c r="N297" s="3" t="s">
        <v>45</v>
      </c>
      <c r="O297" s="3" t="s">
        <v>74</v>
      </c>
      <c r="P297" s="3" t="s">
        <v>45</v>
      </c>
      <c r="Q297" s="3" t="s">
        <v>45</v>
      </c>
      <c r="R297" s="3" t="s">
        <v>45</v>
      </c>
      <c r="S297" s="3" t="s">
        <v>45</v>
      </c>
      <c r="T297" s="3" t="s">
        <v>45</v>
      </c>
      <c r="U297" s="3" t="s">
        <v>45</v>
      </c>
      <c r="V297" s="4" t="s">
        <v>2795</v>
      </c>
      <c r="W297" s="3" t="s">
        <v>45</v>
      </c>
      <c r="X297" s="3" t="s">
        <v>45</v>
      </c>
      <c r="Y297" s="3" t="s">
        <v>45</v>
      </c>
      <c r="Z297" s="3" t="s">
        <v>74</v>
      </c>
      <c r="AA297" s="3" t="s">
        <v>45</v>
      </c>
      <c r="AB297" s="3" t="s">
        <v>45</v>
      </c>
      <c r="AC297" s="3" t="s">
        <v>45</v>
      </c>
      <c r="AD297" s="3" t="s">
        <v>45</v>
      </c>
      <c r="AE297" s="3" t="s">
        <v>45</v>
      </c>
      <c r="AF297" s="3" t="s">
        <v>45</v>
      </c>
      <c r="AG297" s="3" t="s">
        <v>45</v>
      </c>
      <c r="AH297" s="3" t="s">
        <v>57</v>
      </c>
      <c r="AI297" s="5" t="s">
        <v>2796</v>
      </c>
      <c r="AJ297" s="3" t="s">
        <v>45</v>
      </c>
      <c r="AK297" s="3" t="s">
        <v>45</v>
      </c>
      <c r="AL297" s="3" t="s">
        <v>45</v>
      </c>
      <c r="AM297" s="3" t="s">
        <v>45</v>
      </c>
      <c r="AN297" s="3" t="s">
        <v>45</v>
      </c>
      <c r="AO297" s="3" t="s">
        <v>45</v>
      </c>
      <c r="AP297" s="3" t="s">
        <v>45</v>
      </c>
      <c r="AQ297" s="4" t="s">
        <v>2759</v>
      </c>
      <c r="AR297" s="4" t="s">
        <v>2759</v>
      </c>
    </row>
    <row r="298">
      <c r="A298" s="3" t="s">
        <v>2797</v>
      </c>
      <c r="B298" s="3" t="s">
        <v>2798</v>
      </c>
      <c r="C298" s="3" t="s">
        <v>2790</v>
      </c>
      <c r="D298" s="3" t="s">
        <v>2743</v>
      </c>
      <c r="E298" s="4" t="s">
        <v>2799</v>
      </c>
      <c r="F298" s="3" t="s">
        <v>2792</v>
      </c>
      <c r="G298" s="4" t="s">
        <v>2800</v>
      </c>
      <c r="H298" s="4" t="s">
        <v>2801</v>
      </c>
      <c r="I298" s="3" t="s">
        <v>49</v>
      </c>
      <c r="J298" s="3" t="s">
        <v>126</v>
      </c>
      <c r="K298" s="3" t="s">
        <v>45</v>
      </c>
      <c r="L298" s="3" t="s">
        <v>45</v>
      </c>
      <c r="M298" s="3" t="s">
        <v>45</v>
      </c>
      <c r="N298" s="4" t="s">
        <v>419</v>
      </c>
      <c r="O298" s="3" t="s">
        <v>88</v>
      </c>
      <c r="P298" s="3" t="s">
        <v>45</v>
      </c>
      <c r="Q298" s="3" t="s">
        <v>45</v>
      </c>
      <c r="R298" s="3" t="s">
        <v>45</v>
      </c>
      <c r="S298" s="4" t="s">
        <v>233</v>
      </c>
      <c r="T298" s="3" t="s">
        <v>45</v>
      </c>
      <c r="U298" s="3" t="s">
        <v>45</v>
      </c>
      <c r="V298" s="4" t="s">
        <v>2802</v>
      </c>
      <c r="W298" s="3" t="s">
        <v>45</v>
      </c>
      <c r="X298" s="3" t="s">
        <v>45</v>
      </c>
      <c r="Y298" s="3" t="s">
        <v>45</v>
      </c>
      <c r="Z298" s="3" t="s">
        <v>74</v>
      </c>
      <c r="AA298" s="3" t="s">
        <v>45</v>
      </c>
      <c r="AB298" s="3" t="s">
        <v>45</v>
      </c>
      <c r="AC298" s="3" t="s">
        <v>45</v>
      </c>
      <c r="AD298" s="3" t="s">
        <v>45</v>
      </c>
      <c r="AE298" s="3" t="s">
        <v>45</v>
      </c>
      <c r="AF298" s="3" t="s">
        <v>45</v>
      </c>
      <c r="AG298" s="3" t="s">
        <v>45</v>
      </c>
      <c r="AH298" s="3" t="s">
        <v>57</v>
      </c>
      <c r="AI298" s="5" t="s">
        <v>2803</v>
      </c>
      <c r="AJ298" s="3" t="s">
        <v>45</v>
      </c>
      <c r="AK298" s="3" t="s">
        <v>45</v>
      </c>
      <c r="AL298" s="3" t="s">
        <v>45</v>
      </c>
      <c r="AM298" s="3" t="s">
        <v>45</v>
      </c>
      <c r="AN298" s="3" t="s">
        <v>45</v>
      </c>
      <c r="AO298" s="3" t="s">
        <v>45</v>
      </c>
      <c r="AP298" s="3" t="s">
        <v>45</v>
      </c>
      <c r="AQ298" s="4" t="s">
        <v>2402</v>
      </c>
      <c r="AR298" s="4" t="s">
        <v>2759</v>
      </c>
    </row>
    <row r="299">
      <c r="A299" s="3" t="s">
        <v>2804</v>
      </c>
      <c r="B299" s="3" t="s">
        <v>2805</v>
      </c>
      <c r="C299" s="3" t="s">
        <v>2806</v>
      </c>
      <c r="D299" s="3" t="s">
        <v>2743</v>
      </c>
      <c r="E299" s="4" t="s">
        <v>2807</v>
      </c>
      <c r="F299" s="3" t="s">
        <v>2808</v>
      </c>
      <c r="G299" s="4" t="s">
        <v>2809</v>
      </c>
      <c r="H299" s="4" t="s">
        <v>2810</v>
      </c>
      <c r="I299" s="3" t="s">
        <v>85</v>
      </c>
      <c r="J299" s="3" t="s">
        <v>126</v>
      </c>
      <c r="K299" s="3" t="s">
        <v>45</v>
      </c>
      <c r="L299" s="3" t="s">
        <v>409</v>
      </c>
      <c r="M299" s="3" t="s">
        <v>45</v>
      </c>
      <c r="N299" s="3" t="s">
        <v>45</v>
      </c>
      <c r="O299" s="3" t="s">
        <v>74</v>
      </c>
      <c r="P299" s="3" t="s">
        <v>45</v>
      </c>
      <c r="Q299" s="3" t="s">
        <v>45</v>
      </c>
      <c r="R299" s="3" t="s">
        <v>45</v>
      </c>
      <c r="S299" s="3" t="s">
        <v>45</v>
      </c>
      <c r="T299" s="3" t="s">
        <v>45</v>
      </c>
      <c r="U299" s="3" t="s">
        <v>45</v>
      </c>
      <c r="V299" s="4" t="s">
        <v>1968</v>
      </c>
      <c r="W299" s="3" t="s">
        <v>45</v>
      </c>
      <c r="X299" s="3" t="s">
        <v>45</v>
      </c>
      <c r="Y299" s="3" t="s">
        <v>45</v>
      </c>
      <c r="Z299" s="3" t="s">
        <v>74</v>
      </c>
      <c r="AA299" s="3" t="s">
        <v>45</v>
      </c>
      <c r="AB299" s="3" t="s">
        <v>45</v>
      </c>
      <c r="AC299" s="3" t="s">
        <v>45</v>
      </c>
      <c r="AD299" s="3" t="s">
        <v>45</v>
      </c>
      <c r="AE299" s="3" t="s">
        <v>45</v>
      </c>
      <c r="AF299" s="3" t="s">
        <v>45</v>
      </c>
      <c r="AG299" s="3" t="s">
        <v>45</v>
      </c>
      <c r="AH299" s="3" t="s">
        <v>57</v>
      </c>
      <c r="AI299" s="3" t="s">
        <v>45</v>
      </c>
      <c r="AJ299" s="3" t="s">
        <v>45</v>
      </c>
      <c r="AK299" s="3" t="s">
        <v>45</v>
      </c>
      <c r="AL299" s="3" t="s">
        <v>45</v>
      </c>
      <c r="AM299" s="3" t="s">
        <v>45</v>
      </c>
      <c r="AN299" s="3" t="s">
        <v>45</v>
      </c>
      <c r="AO299" s="3" t="s">
        <v>45</v>
      </c>
      <c r="AP299" s="3" t="s">
        <v>45</v>
      </c>
      <c r="AQ299" s="4" t="s">
        <v>2811</v>
      </c>
      <c r="AR299" s="4" t="s">
        <v>2811</v>
      </c>
    </row>
    <row r="300">
      <c r="A300" s="3" t="s">
        <v>2812</v>
      </c>
      <c r="B300" s="3" t="s">
        <v>2813</v>
      </c>
      <c r="C300" s="3" t="s">
        <v>2806</v>
      </c>
      <c r="D300" s="3" t="s">
        <v>2743</v>
      </c>
      <c r="E300" s="4" t="s">
        <v>2814</v>
      </c>
      <c r="F300" s="3" t="s">
        <v>202</v>
      </c>
      <c r="G300" s="4" t="s">
        <v>2815</v>
      </c>
      <c r="H300" s="4" t="s">
        <v>2816</v>
      </c>
      <c r="I300" s="3" t="s">
        <v>49</v>
      </c>
      <c r="J300" s="3" t="s">
        <v>50</v>
      </c>
      <c r="K300" s="3" t="s">
        <v>45</v>
      </c>
      <c r="L300" s="3" t="s">
        <v>409</v>
      </c>
      <c r="M300" s="3" t="s">
        <v>45</v>
      </c>
      <c r="N300" s="3" t="s">
        <v>219</v>
      </c>
      <c r="O300" s="3" t="s">
        <v>88</v>
      </c>
      <c r="P300" s="3" t="s">
        <v>45</v>
      </c>
      <c r="Q300" s="3" t="s">
        <v>45</v>
      </c>
      <c r="R300" s="3" t="s">
        <v>45</v>
      </c>
      <c r="S300" s="3" t="s">
        <v>45</v>
      </c>
      <c r="T300" s="3" t="s">
        <v>45</v>
      </c>
      <c r="U300" s="3" t="s">
        <v>45</v>
      </c>
      <c r="V300" s="4" t="s">
        <v>2817</v>
      </c>
      <c r="W300" s="4" t="s">
        <v>2818</v>
      </c>
      <c r="X300" s="3" t="s">
        <v>2819</v>
      </c>
      <c r="Y300" s="3" t="s">
        <v>45</v>
      </c>
      <c r="Z300" s="3" t="s">
        <v>74</v>
      </c>
      <c r="AA300" s="3" t="s">
        <v>45</v>
      </c>
      <c r="AB300" s="3" t="s">
        <v>45</v>
      </c>
      <c r="AC300" s="3" t="s">
        <v>45</v>
      </c>
      <c r="AD300" s="3" t="s">
        <v>45</v>
      </c>
      <c r="AE300" s="3" t="s">
        <v>45</v>
      </c>
      <c r="AF300" s="3" t="s">
        <v>45</v>
      </c>
      <c r="AG300" s="3" t="s">
        <v>45</v>
      </c>
      <c r="AH300" s="3" t="s">
        <v>57</v>
      </c>
      <c r="AI300" s="5" t="s">
        <v>2820</v>
      </c>
      <c r="AJ300" s="5" t="s">
        <v>362</v>
      </c>
      <c r="AK300" s="3" t="s">
        <v>45</v>
      </c>
      <c r="AL300" s="3" t="s">
        <v>45</v>
      </c>
      <c r="AM300" s="3" t="s">
        <v>45</v>
      </c>
      <c r="AN300" s="3" t="s">
        <v>45</v>
      </c>
      <c r="AO300" s="3" t="s">
        <v>45</v>
      </c>
      <c r="AP300" s="3" t="s">
        <v>45</v>
      </c>
      <c r="AQ300" s="4" t="s">
        <v>2811</v>
      </c>
      <c r="AR300" s="4" t="s">
        <v>2811</v>
      </c>
    </row>
    <row r="301">
      <c r="A301" s="3" t="s">
        <v>1755</v>
      </c>
      <c r="B301" s="3" t="s">
        <v>2821</v>
      </c>
      <c r="C301" s="3" t="s">
        <v>2822</v>
      </c>
      <c r="D301" s="3" t="s">
        <v>2743</v>
      </c>
      <c r="E301" s="4" t="s">
        <v>2823</v>
      </c>
      <c r="F301" s="3" t="s">
        <v>173</v>
      </c>
      <c r="G301" s="4" t="s">
        <v>2824</v>
      </c>
      <c r="H301" s="4" t="s">
        <v>2825</v>
      </c>
      <c r="I301" s="3" t="s">
        <v>49</v>
      </c>
      <c r="J301" s="3" t="s">
        <v>50</v>
      </c>
      <c r="K301" s="3" t="s">
        <v>45</v>
      </c>
      <c r="L301" s="3" t="s">
        <v>45</v>
      </c>
      <c r="M301" s="3" t="s">
        <v>45</v>
      </c>
      <c r="N301" s="3" t="s">
        <v>45</v>
      </c>
      <c r="O301" s="3" t="s">
        <v>74</v>
      </c>
      <c r="P301" s="3" t="s">
        <v>45</v>
      </c>
      <c r="Q301" s="3" t="s">
        <v>45</v>
      </c>
      <c r="R301" s="3" t="s">
        <v>45</v>
      </c>
      <c r="S301" s="3" t="s">
        <v>45</v>
      </c>
      <c r="T301" s="3" t="s">
        <v>45</v>
      </c>
      <c r="U301" s="3" t="s">
        <v>45</v>
      </c>
      <c r="V301" s="3" t="s">
        <v>45</v>
      </c>
      <c r="W301" s="4" t="s">
        <v>2826</v>
      </c>
      <c r="X301" s="3" t="s">
        <v>45</v>
      </c>
      <c r="Y301" s="3" t="s">
        <v>45</v>
      </c>
      <c r="Z301" s="3" t="s">
        <v>55</v>
      </c>
      <c r="AA301" s="3" t="s">
        <v>45</v>
      </c>
      <c r="AB301" s="3" t="s">
        <v>56</v>
      </c>
      <c r="AC301" s="3" t="s">
        <v>45</v>
      </c>
      <c r="AD301" s="3" t="s">
        <v>45</v>
      </c>
      <c r="AE301" s="3" t="s">
        <v>45</v>
      </c>
      <c r="AF301" s="3" t="s">
        <v>45</v>
      </c>
      <c r="AG301" s="3" t="s">
        <v>45</v>
      </c>
      <c r="AH301" s="3" t="s">
        <v>57</v>
      </c>
      <c r="AI301" s="5" t="s">
        <v>2827</v>
      </c>
      <c r="AJ301" s="5" t="s">
        <v>2828</v>
      </c>
      <c r="AK301" s="3" t="s">
        <v>45</v>
      </c>
      <c r="AL301" s="3" t="s">
        <v>45</v>
      </c>
      <c r="AM301" s="3" t="s">
        <v>45</v>
      </c>
      <c r="AN301" s="3" t="s">
        <v>45</v>
      </c>
      <c r="AO301" s="3" t="s">
        <v>45</v>
      </c>
      <c r="AP301" s="3" t="s">
        <v>45</v>
      </c>
      <c r="AQ301" s="4" t="s">
        <v>898</v>
      </c>
      <c r="AR301" s="4" t="s">
        <v>898</v>
      </c>
    </row>
    <row r="302">
      <c r="A302" s="3" t="s">
        <v>1077</v>
      </c>
      <c r="B302" s="3" t="s">
        <v>45</v>
      </c>
      <c r="C302" s="3" t="s">
        <v>2829</v>
      </c>
      <c r="D302" s="3" t="s">
        <v>2743</v>
      </c>
      <c r="E302" s="3" t="s">
        <v>45</v>
      </c>
      <c r="F302" s="3" t="s">
        <v>1179</v>
      </c>
      <c r="G302" s="4" t="s">
        <v>2830</v>
      </c>
      <c r="H302" s="4" t="s">
        <v>2831</v>
      </c>
      <c r="I302" s="3" t="s">
        <v>49</v>
      </c>
      <c r="J302" s="3" t="s">
        <v>99</v>
      </c>
      <c r="K302" s="3" t="s">
        <v>45</v>
      </c>
      <c r="L302" s="3" t="s">
        <v>45</v>
      </c>
      <c r="M302" s="3" t="s">
        <v>45</v>
      </c>
      <c r="N302" s="4" t="s">
        <v>1962</v>
      </c>
      <c r="O302" s="3" t="s">
        <v>88</v>
      </c>
      <c r="P302" s="3" t="s">
        <v>45</v>
      </c>
      <c r="Q302" s="3" t="s">
        <v>45</v>
      </c>
      <c r="R302" s="3" t="s">
        <v>45</v>
      </c>
      <c r="S302" s="3" t="s">
        <v>45</v>
      </c>
      <c r="T302" s="3" t="s">
        <v>45</v>
      </c>
      <c r="U302" s="3" t="s">
        <v>45</v>
      </c>
      <c r="V302" s="3" t="s">
        <v>45</v>
      </c>
      <c r="W302" s="4" t="s">
        <v>2832</v>
      </c>
      <c r="X302" s="3" t="s">
        <v>45</v>
      </c>
      <c r="Y302" s="3" t="s">
        <v>45</v>
      </c>
      <c r="Z302" s="3" t="s">
        <v>74</v>
      </c>
      <c r="AA302" s="3" t="s">
        <v>45</v>
      </c>
      <c r="AB302" s="3" t="s">
        <v>45</v>
      </c>
      <c r="AC302" s="3" t="s">
        <v>45</v>
      </c>
      <c r="AD302" s="3" t="s">
        <v>45</v>
      </c>
      <c r="AE302" s="3" t="s">
        <v>45</v>
      </c>
      <c r="AF302" s="3" t="s">
        <v>45</v>
      </c>
      <c r="AG302" s="3" t="s">
        <v>45</v>
      </c>
      <c r="AH302" s="3" t="s">
        <v>57</v>
      </c>
      <c r="AI302" s="5" t="s">
        <v>1084</v>
      </c>
      <c r="AJ302" s="3" t="s">
        <v>45</v>
      </c>
      <c r="AK302" s="3" t="s">
        <v>45</v>
      </c>
      <c r="AL302" s="3" t="s">
        <v>45</v>
      </c>
      <c r="AM302" s="3" t="s">
        <v>45</v>
      </c>
      <c r="AN302" s="3" t="s">
        <v>45</v>
      </c>
      <c r="AO302" s="3" t="s">
        <v>45</v>
      </c>
      <c r="AP302" s="3" t="s">
        <v>45</v>
      </c>
      <c r="AQ302" s="4" t="s">
        <v>1085</v>
      </c>
      <c r="AR302" s="4" t="s">
        <v>1085</v>
      </c>
    </row>
    <row r="303">
      <c r="A303" s="3" t="s">
        <v>2833</v>
      </c>
      <c r="B303" s="3" t="s">
        <v>2834</v>
      </c>
      <c r="C303" s="3" t="s">
        <v>2763</v>
      </c>
      <c r="D303" s="3" t="s">
        <v>2743</v>
      </c>
      <c r="E303" s="4" t="s">
        <v>2835</v>
      </c>
      <c r="F303" s="3" t="s">
        <v>2763</v>
      </c>
      <c r="G303" s="4" t="s">
        <v>2836</v>
      </c>
      <c r="H303" s="4" t="s">
        <v>2837</v>
      </c>
      <c r="I303" s="3" t="s">
        <v>85</v>
      </c>
      <c r="J303" s="3" t="s">
        <v>126</v>
      </c>
      <c r="K303" s="3" t="s">
        <v>2838</v>
      </c>
      <c r="L303" s="3" t="s">
        <v>291</v>
      </c>
      <c r="M303" s="3" t="s">
        <v>45</v>
      </c>
      <c r="N303" s="3" t="s">
        <v>45</v>
      </c>
      <c r="O303" s="3" t="s">
        <v>53</v>
      </c>
      <c r="P303" s="3" t="s">
        <v>45</v>
      </c>
      <c r="Q303" s="3" t="s">
        <v>45</v>
      </c>
      <c r="R303" s="3" t="s">
        <v>45</v>
      </c>
      <c r="S303" s="3" t="s">
        <v>45</v>
      </c>
      <c r="T303" s="3" t="s">
        <v>45</v>
      </c>
      <c r="U303" s="3" t="s">
        <v>45</v>
      </c>
      <c r="V303" s="4" t="s">
        <v>2839</v>
      </c>
      <c r="W303" s="3" t="s">
        <v>45</v>
      </c>
      <c r="X303" s="3" t="s">
        <v>45</v>
      </c>
      <c r="Y303" s="3" t="s">
        <v>45</v>
      </c>
      <c r="Z303" s="3" t="s">
        <v>74</v>
      </c>
      <c r="AA303" s="3" t="s">
        <v>45</v>
      </c>
      <c r="AB303" s="3" t="s">
        <v>45</v>
      </c>
      <c r="AC303" s="3" t="s">
        <v>45</v>
      </c>
      <c r="AD303" s="3" t="s">
        <v>45</v>
      </c>
      <c r="AE303" s="3" t="s">
        <v>45</v>
      </c>
      <c r="AF303" s="3" t="s">
        <v>45</v>
      </c>
      <c r="AG303" s="3" t="s">
        <v>45</v>
      </c>
      <c r="AH303" s="3" t="s">
        <v>57</v>
      </c>
      <c r="AI303" s="5" t="s">
        <v>2840</v>
      </c>
      <c r="AJ303" s="3" t="s">
        <v>45</v>
      </c>
      <c r="AK303" s="3" t="s">
        <v>45</v>
      </c>
      <c r="AL303" s="3" t="s">
        <v>45</v>
      </c>
      <c r="AM303" s="3" t="s">
        <v>45</v>
      </c>
      <c r="AN303" s="3" t="s">
        <v>45</v>
      </c>
      <c r="AO303" s="3" t="s">
        <v>45</v>
      </c>
      <c r="AP303" s="3" t="s">
        <v>45</v>
      </c>
      <c r="AQ303" s="4" t="s">
        <v>295</v>
      </c>
      <c r="AR303" s="4" t="s">
        <v>1943</v>
      </c>
    </row>
    <row r="304">
      <c r="A304" s="3" t="s">
        <v>2841</v>
      </c>
      <c r="B304" s="3" t="s">
        <v>2842</v>
      </c>
      <c r="C304" s="3" t="s">
        <v>2763</v>
      </c>
      <c r="D304" s="3" t="s">
        <v>2743</v>
      </c>
      <c r="E304" s="4" t="s">
        <v>2835</v>
      </c>
      <c r="F304" s="3" t="s">
        <v>2763</v>
      </c>
      <c r="G304" s="4" t="s">
        <v>2843</v>
      </c>
      <c r="H304" s="4" t="s">
        <v>2844</v>
      </c>
      <c r="I304" s="3" t="s">
        <v>49</v>
      </c>
      <c r="J304" s="3" t="s">
        <v>50</v>
      </c>
      <c r="K304" s="3" t="s">
        <v>45</v>
      </c>
      <c r="L304" s="3" t="s">
        <v>2845</v>
      </c>
      <c r="M304" s="3" t="s">
        <v>45</v>
      </c>
      <c r="N304" s="3" t="s">
        <v>45</v>
      </c>
      <c r="O304" s="3" t="s">
        <v>74</v>
      </c>
      <c r="P304" s="3" t="s">
        <v>45</v>
      </c>
      <c r="Q304" s="3" t="s">
        <v>45</v>
      </c>
      <c r="R304" s="3" t="s">
        <v>45</v>
      </c>
      <c r="S304" s="3" t="s">
        <v>45</v>
      </c>
      <c r="T304" s="3" t="s">
        <v>45</v>
      </c>
      <c r="U304" s="3" t="s">
        <v>45</v>
      </c>
      <c r="V304" s="3" t="s">
        <v>45</v>
      </c>
      <c r="W304" s="3" t="s">
        <v>45</v>
      </c>
      <c r="X304" s="3" t="s">
        <v>45</v>
      </c>
      <c r="Y304" s="3" t="s">
        <v>45</v>
      </c>
      <c r="Z304" s="3" t="s">
        <v>55</v>
      </c>
      <c r="AA304" s="3" t="s">
        <v>45</v>
      </c>
      <c r="AB304" s="3" t="s">
        <v>109</v>
      </c>
      <c r="AC304" s="3" t="s">
        <v>45</v>
      </c>
      <c r="AD304" s="3" t="s">
        <v>45</v>
      </c>
      <c r="AE304" s="3" t="s">
        <v>45</v>
      </c>
      <c r="AF304" s="3" t="s">
        <v>45</v>
      </c>
      <c r="AG304" s="3" t="s">
        <v>45</v>
      </c>
      <c r="AH304" s="3" t="s">
        <v>57</v>
      </c>
      <c r="AI304" s="5" t="s">
        <v>2846</v>
      </c>
      <c r="AJ304" s="5" t="s">
        <v>2847</v>
      </c>
      <c r="AK304" s="3" t="s">
        <v>45</v>
      </c>
      <c r="AL304" s="3" t="s">
        <v>45</v>
      </c>
      <c r="AM304" s="3" t="s">
        <v>45</v>
      </c>
      <c r="AN304" s="3" t="s">
        <v>45</v>
      </c>
      <c r="AO304" s="3" t="s">
        <v>45</v>
      </c>
      <c r="AP304" s="3" t="s">
        <v>45</v>
      </c>
      <c r="AQ304" s="4" t="s">
        <v>60</v>
      </c>
      <c r="AR304" s="4" t="s">
        <v>60</v>
      </c>
    </row>
    <row r="305">
      <c r="A305" s="3" t="s">
        <v>2848</v>
      </c>
      <c r="B305" s="3" t="s">
        <v>2849</v>
      </c>
      <c r="C305" s="3" t="s">
        <v>2850</v>
      </c>
      <c r="D305" s="3" t="s">
        <v>2743</v>
      </c>
      <c r="E305" s="4" t="s">
        <v>2851</v>
      </c>
      <c r="F305" s="3" t="s">
        <v>2781</v>
      </c>
      <c r="G305" s="4" t="s">
        <v>2852</v>
      </c>
      <c r="H305" s="4" t="s">
        <v>2853</v>
      </c>
      <c r="I305" s="3" t="s">
        <v>218</v>
      </c>
      <c r="J305" s="3" t="s">
        <v>50</v>
      </c>
      <c r="K305" s="3" t="s">
        <v>45</v>
      </c>
      <c r="L305" s="3" t="s">
        <v>45</v>
      </c>
      <c r="M305" s="3" t="s">
        <v>45</v>
      </c>
      <c r="N305" s="3" t="s">
        <v>45</v>
      </c>
      <c r="O305" s="3" t="s">
        <v>74</v>
      </c>
      <c r="P305" s="3" t="s">
        <v>45</v>
      </c>
      <c r="Q305" s="3" t="s">
        <v>45</v>
      </c>
      <c r="R305" s="3" t="s">
        <v>45</v>
      </c>
      <c r="S305" s="3" t="s">
        <v>45</v>
      </c>
      <c r="T305" s="3" t="s">
        <v>45</v>
      </c>
      <c r="U305" s="3" t="s">
        <v>45</v>
      </c>
      <c r="V305" s="4" t="s">
        <v>333</v>
      </c>
      <c r="W305" s="4" t="s">
        <v>2854</v>
      </c>
      <c r="X305" s="3" t="s">
        <v>2855</v>
      </c>
      <c r="Y305" s="3" t="s">
        <v>45</v>
      </c>
      <c r="Z305" s="3" t="s">
        <v>74</v>
      </c>
      <c r="AA305" s="3" t="s">
        <v>45</v>
      </c>
      <c r="AB305" s="3" t="s">
        <v>45</v>
      </c>
      <c r="AC305" s="3" t="s">
        <v>45</v>
      </c>
      <c r="AD305" s="3" t="s">
        <v>45</v>
      </c>
      <c r="AE305" s="3" t="s">
        <v>45</v>
      </c>
      <c r="AF305" s="3" t="s">
        <v>45</v>
      </c>
      <c r="AG305" s="3" t="s">
        <v>45</v>
      </c>
      <c r="AH305" s="3" t="s">
        <v>57</v>
      </c>
      <c r="AI305" s="5" t="s">
        <v>2856</v>
      </c>
      <c r="AJ305" s="5" t="s">
        <v>2857</v>
      </c>
      <c r="AK305" s="5" t="s">
        <v>2858</v>
      </c>
      <c r="AL305" s="3" t="s">
        <v>45</v>
      </c>
      <c r="AM305" s="3" t="s">
        <v>45</v>
      </c>
      <c r="AN305" s="3" t="s">
        <v>45</v>
      </c>
      <c r="AO305" s="3" t="s">
        <v>45</v>
      </c>
      <c r="AP305" s="3" t="s">
        <v>45</v>
      </c>
      <c r="AQ305" s="4" t="s">
        <v>2859</v>
      </c>
      <c r="AR305" s="4" t="s">
        <v>2859</v>
      </c>
    </row>
    <row r="306">
      <c r="A306" s="3" t="s">
        <v>2860</v>
      </c>
      <c r="B306" s="3" t="s">
        <v>2861</v>
      </c>
      <c r="C306" s="3" t="s">
        <v>2862</v>
      </c>
      <c r="D306" s="3" t="s">
        <v>2743</v>
      </c>
      <c r="E306" s="4" t="s">
        <v>2863</v>
      </c>
      <c r="F306" s="3" t="s">
        <v>2808</v>
      </c>
      <c r="G306" s="4" t="s">
        <v>2864</v>
      </c>
      <c r="H306" s="4" t="s">
        <v>2865</v>
      </c>
      <c r="I306" s="3" t="s">
        <v>49</v>
      </c>
      <c r="J306" s="3" t="s">
        <v>126</v>
      </c>
      <c r="K306" s="3" t="s">
        <v>45</v>
      </c>
      <c r="L306" s="3" t="s">
        <v>570</v>
      </c>
      <c r="M306" s="3" t="s">
        <v>45</v>
      </c>
      <c r="N306" s="3" t="s">
        <v>45</v>
      </c>
      <c r="O306" s="3" t="s">
        <v>74</v>
      </c>
      <c r="P306" s="3" t="s">
        <v>45</v>
      </c>
      <c r="Q306" s="3" t="s">
        <v>45</v>
      </c>
      <c r="R306" s="3" t="s">
        <v>45</v>
      </c>
      <c r="S306" s="3" t="s">
        <v>45</v>
      </c>
      <c r="T306" s="3" t="s">
        <v>45</v>
      </c>
      <c r="U306" s="3" t="s">
        <v>45</v>
      </c>
      <c r="V306" s="3" t="s">
        <v>45</v>
      </c>
      <c r="W306" s="4" t="s">
        <v>2866</v>
      </c>
      <c r="X306" s="3" t="s">
        <v>2867</v>
      </c>
      <c r="Y306" s="3" t="s">
        <v>45</v>
      </c>
      <c r="Z306" s="3" t="s">
        <v>55</v>
      </c>
      <c r="AA306" s="3" t="s">
        <v>45</v>
      </c>
      <c r="AB306" s="3" t="s">
        <v>45</v>
      </c>
      <c r="AC306" s="3" t="s">
        <v>45</v>
      </c>
      <c r="AD306" s="3" t="s">
        <v>45</v>
      </c>
      <c r="AE306" s="3" t="s">
        <v>45</v>
      </c>
      <c r="AF306" s="3" t="s">
        <v>45</v>
      </c>
      <c r="AG306" s="3" t="s">
        <v>45</v>
      </c>
      <c r="AH306" s="3" t="s">
        <v>57</v>
      </c>
      <c r="AI306" s="5" t="s">
        <v>2868</v>
      </c>
      <c r="AJ306" s="5" t="s">
        <v>2869</v>
      </c>
      <c r="AK306" s="3" t="s">
        <v>45</v>
      </c>
      <c r="AL306" s="3" t="s">
        <v>45</v>
      </c>
      <c r="AM306" s="3" t="s">
        <v>45</v>
      </c>
      <c r="AN306" s="3" t="s">
        <v>45</v>
      </c>
      <c r="AO306" s="3" t="s">
        <v>45</v>
      </c>
      <c r="AP306" s="3" t="s">
        <v>45</v>
      </c>
      <c r="AQ306" s="4" t="s">
        <v>2870</v>
      </c>
      <c r="AR306" s="4" t="s">
        <v>2870</v>
      </c>
    </row>
    <row r="307">
      <c r="A307" s="3" t="s">
        <v>2871</v>
      </c>
      <c r="B307" s="3" t="s">
        <v>2872</v>
      </c>
      <c r="C307" s="3" t="s">
        <v>2873</v>
      </c>
      <c r="D307" s="3" t="s">
        <v>2743</v>
      </c>
      <c r="E307" s="4" t="s">
        <v>2874</v>
      </c>
      <c r="F307" s="3" t="s">
        <v>2875</v>
      </c>
      <c r="G307" s="4" t="s">
        <v>2876</v>
      </c>
      <c r="H307" s="4" t="s">
        <v>2877</v>
      </c>
      <c r="I307" s="3" t="s">
        <v>49</v>
      </c>
      <c r="J307" s="3" t="s">
        <v>50</v>
      </c>
      <c r="K307" s="3" t="s">
        <v>45</v>
      </c>
      <c r="L307" s="3" t="s">
        <v>45</v>
      </c>
      <c r="M307" s="3" t="s">
        <v>45</v>
      </c>
      <c r="N307" s="3" t="s">
        <v>45</v>
      </c>
      <c r="O307" s="3" t="s">
        <v>74</v>
      </c>
      <c r="P307" s="3" t="s">
        <v>45</v>
      </c>
      <c r="Q307" s="3" t="s">
        <v>45</v>
      </c>
      <c r="R307" s="3" t="s">
        <v>45</v>
      </c>
      <c r="S307" s="3" t="s">
        <v>45</v>
      </c>
      <c r="T307" s="3" t="s">
        <v>45</v>
      </c>
      <c r="U307" s="3" t="s">
        <v>45</v>
      </c>
      <c r="V307" s="3" t="s">
        <v>45</v>
      </c>
      <c r="W307" s="4" t="s">
        <v>1296</v>
      </c>
      <c r="X307" s="3" t="s">
        <v>45</v>
      </c>
      <c r="Y307" s="3" t="s">
        <v>45</v>
      </c>
      <c r="Z307" s="3" t="s">
        <v>55</v>
      </c>
      <c r="AA307" s="3" t="s">
        <v>45</v>
      </c>
      <c r="AB307" s="3" t="s">
        <v>109</v>
      </c>
      <c r="AC307" s="3" t="s">
        <v>45</v>
      </c>
      <c r="AD307" s="3" t="s">
        <v>45</v>
      </c>
      <c r="AE307" s="3" t="s">
        <v>45</v>
      </c>
      <c r="AF307" s="5" t="s">
        <v>2878</v>
      </c>
      <c r="AG307" s="3" t="s">
        <v>45</v>
      </c>
      <c r="AH307" s="3" t="s">
        <v>57</v>
      </c>
      <c r="AI307" s="5" t="s">
        <v>2879</v>
      </c>
      <c r="AJ307" s="3" t="s">
        <v>45</v>
      </c>
      <c r="AK307" s="3" t="s">
        <v>45</v>
      </c>
      <c r="AL307" s="3" t="s">
        <v>45</v>
      </c>
      <c r="AM307" s="3" t="s">
        <v>45</v>
      </c>
      <c r="AN307" s="3" t="s">
        <v>45</v>
      </c>
      <c r="AO307" s="3" t="s">
        <v>45</v>
      </c>
      <c r="AP307" s="3" t="s">
        <v>45</v>
      </c>
      <c r="AQ307" s="4" t="s">
        <v>60</v>
      </c>
      <c r="AR307" s="4" t="s">
        <v>60</v>
      </c>
    </row>
    <row r="308">
      <c r="A308" s="3" t="s">
        <v>2880</v>
      </c>
      <c r="B308" s="3" t="s">
        <v>2881</v>
      </c>
      <c r="C308" s="3" t="s">
        <v>2882</v>
      </c>
      <c r="D308" s="3" t="s">
        <v>2743</v>
      </c>
      <c r="E308" s="4" t="s">
        <v>2883</v>
      </c>
      <c r="F308" s="3" t="s">
        <v>2884</v>
      </c>
      <c r="G308" s="4" t="s">
        <v>2885</v>
      </c>
      <c r="H308" s="4" t="s">
        <v>2886</v>
      </c>
      <c r="I308" s="3" t="s">
        <v>408</v>
      </c>
      <c r="J308" s="3" t="s">
        <v>126</v>
      </c>
      <c r="K308" s="3" t="s">
        <v>45</v>
      </c>
      <c r="L308" s="3" t="s">
        <v>2887</v>
      </c>
      <c r="M308" s="3" t="s">
        <v>45</v>
      </c>
      <c r="N308" s="4" t="s">
        <v>233</v>
      </c>
      <c r="O308" s="3" t="s">
        <v>53</v>
      </c>
      <c r="P308" s="3" t="s">
        <v>45</v>
      </c>
      <c r="Q308" s="3" t="s">
        <v>45</v>
      </c>
      <c r="R308" s="3" t="s">
        <v>45</v>
      </c>
      <c r="S308" s="3" t="s">
        <v>45</v>
      </c>
      <c r="T308" s="3" t="s">
        <v>45</v>
      </c>
      <c r="U308" s="3" t="s">
        <v>45</v>
      </c>
      <c r="V308" s="4" t="s">
        <v>2888</v>
      </c>
      <c r="W308" s="3" t="s">
        <v>45</v>
      </c>
      <c r="X308" s="3" t="s">
        <v>45</v>
      </c>
      <c r="Y308" s="3" t="s">
        <v>45</v>
      </c>
      <c r="Z308" s="3" t="s">
        <v>74</v>
      </c>
      <c r="AA308" s="3" t="s">
        <v>45</v>
      </c>
      <c r="AB308" s="3" t="s">
        <v>45</v>
      </c>
      <c r="AC308" s="3" t="s">
        <v>45</v>
      </c>
      <c r="AD308" s="3" t="s">
        <v>45</v>
      </c>
      <c r="AE308" s="3" t="s">
        <v>45</v>
      </c>
      <c r="AF308" s="3" t="s">
        <v>45</v>
      </c>
      <c r="AG308" s="3" t="s">
        <v>45</v>
      </c>
      <c r="AH308" s="3" t="s">
        <v>57</v>
      </c>
      <c r="AI308" s="5" t="s">
        <v>2889</v>
      </c>
      <c r="AJ308" s="5" t="s">
        <v>2890</v>
      </c>
      <c r="AK308" s="5" t="s">
        <v>2891</v>
      </c>
      <c r="AL308" s="3" t="s">
        <v>45</v>
      </c>
      <c r="AM308" s="3" t="s">
        <v>45</v>
      </c>
      <c r="AN308" s="3" t="s">
        <v>45</v>
      </c>
      <c r="AO308" s="3" t="s">
        <v>45</v>
      </c>
      <c r="AP308" s="3" t="s">
        <v>45</v>
      </c>
      <c r="AQ308" s="4" t="s">
        <v>2402</v>
      </c>
      <c r="AR308" s="4" t="s">
        <v>1943</v>
      </c>
    </row>
    <row r="309">
      <c r="A309" s="3" t="s">
        <v>2892</v>
      </c>
      <c r="B309" s="3" t="s">
        <v>2893</v>
      </c>
      <c r="C309" s="3" t="s">
        <v>2894</v>
      </c>
      <c r="D309" s="3" t="s">
        <v>2743</v>
      </c>
      <c r="E309" s="4" t="s">
        <v>2895</v>
      </c>
      <c r="F309" s="3" t="s">
        <v>1179</v>
      </c>
      <c r="G309" s="4" t="s">
        <v>2896</v>
      </c>
      <c r="H309" s="4" t="s">
        <v>2897</v>
      </c>
      <c r="I309" s="3" t="s">
        <v>218</v>
      </c>
      <c r="J309" s="3" t="s">
        <v>126</v>
      </c>
      <c r="K309" s="3" t="s">
        <v>45</v>
      </c>
      <c r="L309" s="3" t="s">
        <v>409</v>
      </c>
      <c r="M309" s="3" t="s">
        <v>45</v>
      </c>
      <c r="N309" s="3" t="s">
        <v>45</v>
      </c>
      <c r="O309" s="3" t="s">
        <v>74</v>
      </c>
      <c r="P309" s="3" t="s">
        <v>45</v>
      </c>
      <c r="Q309" s="3" t="s">
        <v>45</v>
      </c>
      <c r="R309" s="3" t="s">
        <v>45</v>
      </c>
      <c r="S309" s="3" t="s">
        <v>45</v>
      </c>
      <c r="T309" s="3" t="s">
        <v>45</v>
      </c>
      <c r="U309" s="3" t="s">
        <v>45</v>
      </c>
      <c r="V309" s="4" t="s">
        <v>2898</v>
      </c>
      <c r="W309" s="3" t="s">
        <v>45</v>
      </c>
      <c r="X309" s="3" t="s">
        <v>45</v>
      </c>
      <c r="Y309" s="3" t="s">
        <v>45</v>
      </c>
      <c r="Z309" s="3" t="s">
        <v>74</v>
      </c>
      <c r="AA309" s="3" t="s">
        <v>45</v>
      </c>
      <c r="AB309" s="3" t="s">
        <v>45</v>
      </c>
      <c r="AC309" s="3" t="s">
        <v>45</v>
      </c>
      <c r="AD309" s="3" t="s">
        <v>45</v>
      </c>
      <c r="AE309" s="3" t="s">
        <v>45</v>
      </c>
      <c r="AF309" s="3" t="s">
        <v>45</v>
      </c>
      <c r="AG309" s="3" t="s">
        <v>45</v>
      </c>
      <c r="AH309" s="3" t="s">
        <v>57</v>
      </c>
      <c r="AI309" s="5" t="s">
        <v>2820</v>
      </c>
      <c r="AJ309" s="5" t="s">
        <v>2899</v>
      </c>
      <c r="AK309" s="3" t="s">
        <v>45</v>
      </c>
      <c r="AL309" s="3" t="s">
        <v>45</v>
      </c>
      <c r="AM309" s="3" t="s">
        <v>45</v>
      </c>
      <c r="AN309" s="3" t="s">
        <v>45</v>
      </c>
      <c r="AO309" s="3" t="s">
        <v>45</v>
      </c>
      <c r="AP309" s="3" t="s">
        <v>45</v>
      </c>
      <c r="AQ309" s="4" t="s">
        <v>2811</v>
      </c>
      <c r="AR309" s="4" t="s">
        <v>2759</v>
      </c>
    </row>
    <row r="310">
      <c r="A310" s="3" t="s">
        <v>2900</v>
      </c>
      <c r="B310" s="3" t="s">
        <v>2901</v>
      </c>
      <c r="C310" s="3" t="s">
        <v>2894</v>
      </c>
      <c r="D310" s="3" t="s">
        <v>2743</v>
      </c>
      <c r="E310" s="4" t="s">
        <v>2895</v>
      </c>
      <c r="F310" s="3" t="s">
        <v>1179</v>
      </c>
      <c r="G310" s="4" t="s">
        <v>2902</v>
      </c>
      <c r="H310" s="4" t="s">
        <v>2903</v>
      </c>
      <c r="I310" s="3" t="s">
        <v>85</v>
      </c>
      <c r="J310" s="3" t="s">
        <v>126</v>
      </c>
      <c r="K310" s="3" t="s">
        <v>45</v>
      </c>
      <c r="L310" s="3" t="s">
        <v>409</v>
      </c>
      <c r="M310" s="3" t="s">
        <v>45</v>
      </c>
      <c r="N310" s="3" t="s">
        <v>45</v>
      </c>
      <c r="O310" s="3" t="s">
        <v>74</v>
      </c>
      <c r="P310" s="3" t="s">
        <v>45</v>
      </c>
      <c r="Q310" s="3" t="s">
        <v>45</v>
      </c>
      <c r="R310" s="3" t="s">
        <v>45</v>
      </c>
      <c r="S310" s="3" t="s">
        <v>45</v>
      </c>
      <c r="T310" s="3" t="s">
        <v>45</v>
      </c>
      <c r="U310" s="3" t="s">
        <v>45</v>
      </c>
      <c r="V310" s="4" t="s">
        <v>106</v>
      </c>
      <c r="W310" s="3" t="s">
        <v>45</v>
      </c>
      <c r="X310" s="3" t="s">
        <v>45</v>
      </c>
      <c r="Y310" s="3" t="s">
        <v>45</v>
      </c>
      <c r="Z310" s="3" t="s">
        <v>74</v>
      </c>
      <c r="AA310" s="3" t="s">
        <v>45</v>
      </c>
      <c r="AB310" s="3" t="s">
        <v>45</v>
      </c>
      <c r="AC310" s="3" t="s">
        <v>45</v>
      </c>
      <c r="AD310" s="3" t="s">
        <v>45</v>
      </c>
      <c r="AE310" s="3" t="s">
        <v>45</v>
      </c>
      <c r="AF310" s="3" t="s">
        <v>45</v>
      </c>
      <c r="AG310" s="3" t="s">
        <v>45</v>
      </c>
      <c r="AH310" s="3" t="s">
        <v>57</v>
      </c>
      <c r="AI310" s="5" t="s">
        <v>2820</v>
      </c>
      <c r="AJ310" s="3" t="s">
        <v>45</v>
      </c>
      <c r="AK310" s="3" t="s">
        <v>45</v>
      </c>
      <c r="AL310" s="3" t="s">
        <v>45</v>
      </c>
      <c r="AM310" s="3" t="s">
        <v>45</v>
      </c>
      <c r="AN310" s="3" t="s">
        <v>45</v>
      </c>
      <c r="AO310" s="3" t="s">
        <v>45</v>
      </c>
      <c r="AP310" s="3" t="s">
        <v>45</v>
      </c>
      <c r="AQ310" s="4" t="s">
        <v>2811</v>
      </c>
      <c r="AR310" s="4" t="s">
        <v>2811</v>
      </c>
    </row>
    <row r="311">
      <c r="A311" s="3" t="s">
        <v>2904</v>
      </c>
      <c r="B311" s="3" t="s">
        <v>2905</v>
      </c>
      <c r="C311" s="3" t="s">
        <v>2894</v>
      </c>
      <c r="D311" s="3" t="s">
        <v>2743</v>
      </c>
      <c r="E311" s="4" t="s">
        <v>2895</v>
      </c>
      <c r="F311" s="3" t="s">
        <v>1179</v>
      </c>
      <c r="G311" s="4" t="s">
        <v>2906</v>
      </c>
      <c r="H311" s="4" t="s">
        <v>2907</v>
      </c>
      <c r="I311" s="3" t="s">
        <v>49</v>
      </c>
      <c r="J311" s="3" t="s">
        <v>50</v>
      </c>
      <c r="K311" s="3" t="s">
        <v>45</v>
      </c>
      <c r="L311" s="3" t="s">
        <v>409</v>
      </c>
      <c r="M311" s="3" t="s">
        <v>45</v>
      </c>
      <c r="N311" s="4" t="s">
        <v>419</v>
      </c>
      <c r="O311" s="3" t="s">
        <v>88</v>
      </c>
      <c r="P311" s="3" t="s">
        <v>45</v>
      </c>
      <c r="Q311" s="3" t="s">
        <v>45</v>
      </c>
      <c r="R311" s="3" t="s">
        <v>45</v>
      </c>
      <c r="S311" s="3" t="s">
        <v>45</v>
      </c>
      <c r="T311" s="3" t="s">
        <v>45</v>
      </c>
      <c r="U311" s="3" t="s">
        <v>45</v>
      </c>
      <c r="V311" s="4" t="s">
        <v>2120</v>
      </c>
      <c r="W311" s="4" t="s">
        <v>2908</v>
      </c>
      <c r="X311" s="3" t="s">
        <v>305</v>
      </c>
      <c r="Y311" s="3" t="s">
        <v>45</v>
      </c>
      <c r="Z311" s="3" t="s">
        <v>74</v>
      </c>
      <c r="AA311" s="3" t="s">
        <v>45</v>
      </c>
      <c r="AB311" s="3" t="s">
        <v>45</v>
      </c>
      <c r="AC311" s="3" t="s">
        <v>45</v>
      </c>
      <c r="AD311" s="3" t="s">
        <v>45</v>
      </c>
      <c r="AE311" s="3" t="s">
        <v>45</v>
      </c>
      <c r="AF311" s="3" t="s">
        <v>45</v>
      </c>
      <c r="AG311" s="3" t="s">
        <v>45</v>
      </c>
      <c r="AH311" s="3" t="s">
        <v>57</v>
      </c>
      <c r="AI311" s="5" t="s">
        <v>2820</v>
      </c>
      <c r="AJ311" s="5" t="s">
        <v>362</v>
      </c>
      <c r="AK311" s="3" t="s">
        <v>45</v>
      </c>
      <c r="AL311" s="3" t="s">
        <v>45</v>
      </c>
      <c r="AM311" s="3" t="s">
        <v>45</v>
      </c>
      <c r="AN311" s="3" t="s">
        <v>45</v>
      </c>
      <c r="AO311" s="3" t="s">
        <v>45</v>
      </c>
      <c r="AP311" s="3" t="s">
        <v>45</v>
      </c>
      <c r="AQ311" s="4" t="s">
        <v>2811</v>
      </c>
      <c r="AR311" s="4" t="s">
        <v>2811</v>
      </c>
    </row>
    <row r="312">
      <c r="A312" s="3" t="s">
        <v>2909</v>
      </c>
      <c r="B312" s="3" t="s">
        <v>2910</v>
      </c>
      <c r="C312" s="3" t="s">
        <v>2894</v>
      </c>
      <c r="D312" s="3" t="s">
        <v>2743</v>
      </c>
      <c r="E312" s="4" t="s">
        <v>2911</v>
      </c>
      <c r="F312" s="3" t="s">
        <v>2884</v>
      </c>
      <c r="G312" s="4" t="s">
        <v>2912</v>
      </c>
      <c r="H312" s="4" t="s">
        <v>2913</v>
      </c>
      <c r="I312" s="3" t="s">
        <v>218</v>
      </c>
      <c r="J312" s="3" t="s">
        <v>126</v>
      </c>
      <c r="K312" s="3" t="s">
        <v>45</v>
      </c>
      <c r="L312" s="3" t="s">
        <v>409</v>
      </c>
      <c r="M312" s="3" t="s">
        <v>45</v>
      </c>
      <c r="N312" s="4" t="s">
        <v>419</v>
      </c>
      <c r="O312" s="3" t="s">
        <v>88</v>
      </c>
      <c r="P312" s="3" t="s">
        <v>45</v>
      </c>
      <c r="Q312" s="3" t="s">
        <v>45</v>
      </c>
      <c r="R312" s="3" t="s">
        <v>45</v>
      </c>
      <c r="S312" s="4" t="s">
        <v>233</v>
      </c>
      <c r="T312" s="3" t="s">
        <v>45</v>
      </c>
      <c r="U312" s="3" t="s">
        <v>45</v>
      </c>
      <c r="V312" s="4" t="s">
        <v>2120</v>
      </c>
      <c r="W312" s="4" t="s">
        <v>535</v>
      </c>
      <c r="X312" s="3" t="s">
        <v>305</v>
      </c>
      <c r="Y312" s="3" t="s">
        <v>45</v>
      </c>
      <c r="Z312" s="3" t="s">
        <v>74</v>
      </c>
      <c r="AA312" s="3" t="s">
        <v>45</v>
      </c>
      <c r="AB312" s="3" t="s">
        <v>45</v>
      </c>
      <c r="AC312" s="3" t="s">
        <v>45</v>
      </c>
      <c r="AD312" s="3" t="s">
        <v>45</v>
      </c>
      <c r="AE312" s="3" t="s">
        <v>45</v>
      </c>
      <c r="AF312" s="3" t="s">
        <v>45</v>
      </c>
      <c r="AG312" s="3" t="s">
        <v>45</v>
      </c>
      <c r="AH312" s="3" t="s">
        <v>57</v>
      </c>
      <c r="AI312" s="5" t="s">
        <v>2820</v>
      </c>
      <c r="AJ312" s="5" t="s">
        <v>362</v>
      </c>
      <c r="AK312" s="3" t="s">
        <v>45</v>
      </c>
      <c r="AL312" s="3" t="s">
        <v>45</v>
      </c>
      <c r="AM312" s="3" t="s">
        <v>45</v>
      </c>
      <c r="AN312" s="3" t="s">
        <v>45</v>
      </c>
      <c r="AO312" s="3" t="s">
        <v>45</v>
      </c>
      <c r="AP312" s="3" t="s">
        <v>45</v>
      </c>
      <c r="AQ312" s="4" t="s">
        <v>2811</v>
      </c>
      <c r="AR312" s="4" t="s">
        <v>2811</v>
      </c>
    </row>
    <row r="313">
      <c r="A313" s="3" t="s">
        <v>2914</v>
      </c>
      <c r="B313" s="3" t="s">
        <v>2915</v>
      </c>
      <c r="C313" s="3" t="s">
        <v>2894</v>
      </c>
      <c r="D313" s="3" t="s">
        <v>2743</v>
      </c>
      <c r="E313" s="4" t="s">
        <v>2911</v>
      </c>
      <c r="F313" s="3" t="s">
        <v>2884</v>
      </c>
      <c r="G313" s="4" t="s">
        <v>2916</v>
      </c>
      <c r="H313" s="4" t="s">
        <v>2917</v>
      </c>
      <c r="I313" s="3" t="s">
        <v>85</v>
      </c>
      <c r="J313" s="3" t="s">
        <v>126</v>
      </c>
      <c r="K313" s="3" t="s">
        <v>45</v>
      </c>
      <c r="L313" s="3" t="s">
        <v>409</v>
      </c>
      <c r="M313" s="3" t="s">
        <v>45</v>
      </c>
      <c r="N313" s="3" t="s">
        <v>45</v>
      </c>
      <c r="O313" s="3" t="s">
        <v>74</v>
      </c>
      <c r="P313" s="3" t="s">
        <v>45</v>
      </c>
      <c r="Q313" s="3" t="s">
        <v>45</v>
      </c>
      <c r="R313" s="3" t="s">
        <v>45</v>
      </c>
      <c r="S313" s="3" t="s">
        <v>45</v>
      </c>
      <c r="T313" s="3" t="s">
        <v>45</v>
      </c>
      <c r="U313" s="3" t="s">
        <v>45</v>
      </c>
      <c r="V313" s="3" t="s">
        <v>45</v>
      </c>
      <c r="W313" s="3" t="s">
        <v>45</v>
      </c>
      <c r="X313" s="3" t="s">
        <v>45</v>
      </c>
      <c r="Y313" s="3" t="s">
        <v>45</v>
      </c>
      <c r="Z313" s="3" t="s">
        <v>74</v>
      </c>
      <c r="AA313" s="3" t="s">
        <v>45</v>
      </c>
      <c r="AB313" s="3" t="s">
        <v>45</v>
      </c>
      <c r="AC313" s="3" t="s">
        <v>45</v>
      </c>
      <c r="AD313" s="3" t="s">
        <v>45</v>
      </c>
      <c r="AE313" s="3" t="s">
        <v>45</v>
      </c>
      <c r="AF313" s="3" t="s">
        <v>45</v>
      </c>
      <c r="AG313" s="3" t="s">
        <v>45</v>
      </c>
      <c r="AH313" s="3" t="s">
        <v>57</v>
      </c>
      <c r="AI313" s="5" t="s">
        <v>2820</v>
      </c>
      <c r="AJ313" s="3" t="s">
        <v>45</v>
      </c>
      <c r="AK313" s="3" t="s">
        <v>45</v>
      </c>
      <c r="AL313" s="3" t="s">
        <v>45</v>
      </c>
      <c r="AM313" s="3" t="s">
        <v>45</v>
      </c>
      <c r="AN313" s="3" t="s">
        <v>45</v>
      </c>
      <c r="AO313" s="3" t="s">
        <v>45</v>
      </c>
      <c r="AP313" s="3" t="s">
        <v>45</v>
      </c>
      <c r="AQ313" s="4" t="s">
        <v>2811</v>
      </c>
      <c r="AR313" s="4" t="s">
        <v>2811</v>
      </c>
    </row>
    <row r="314">
      <c r="A314" s="3" t="s">
        <v>2918</v>
      </c>
      <c r="B314" s="3" t="s">
        <v>2919</v>
      </c>
      <c r="C314" s="3" t="s">
        <v>2920</v>
      </c>
      <c r="D314" s="3" t="s">
        <v>2921</v>
      </c>
      <c r="E314" s="4" t="s">
        <v>2922</v>
      </c>
      <c r="F314" s="3" t="s">
        <v>2923</v>
      </c>
      <c r="G314" s="4" t="s">
        <v>2924</v>
      </c>
      <c r="H314" s="4" t="s">
        <v>2925</v>
      </c>
      <c r="I314" s="3" t="s">
        <v>49</v>
      </c>
      <c r="J314" s="3" t="s">
        <v>50</v>
      </c>
      <c r="K314" s="3" t="s">
        <v>45</v>
      </c>
      <c r="L314" s="3" t="s">
        <v>45</v>
      </c>
      <c r="M314" s="3" t="s">
        <v>45</v>
      </c>
      <c r="N314" s="4" t="s">
        <v>1228</v>
      </c>
      <c r="O314" s="3" t="s">
        <v>722</v>
      </c>
      <c r="P314" s="3" t="s">
        <v>2926</v>
      </c>
      <c r="Q314" s="3" t="s">
        <v>45</v>
      </c>
      <c r="R314" s="3" t="s">
        <v>45</v>
      </c>
      <c r="S314" s="3" t="s">
        <v>45</v>
      </c>
      <c r="T314" s="3" t="s">
        <v>45</v>
      </c>
      <c r="U314" s="3" t="s">
        <v>45</v>
      </c>
      <c r="V314" s="3" t="s">
        <v>45</v>
      </c>
      <c r="W314" s="3" t="s">
        <v>45</v>
      </c>
      <c r="X314" s="3" t="s">
        <v>45</v>
      </c>
      <c r="Y314" s="3" t="s">
        <v>45</v>
      </c>
      <c r="Z314" s="3" t="s">
        <v>55</v>
      </c>
      <c r="AA314" s="3" t="s">
        <v>45</v>
      </c>
      <c r="AB314" s="3" t="s">
        <v>45</v>
      </c>
      <c r="AC314" s="3" t="s">
        <v>45</v>
      </c>
      <c r="AD314" s="3" t="s">
        <v>45</v>
      </c>
      <c r="AE314" s="3" t="s">
        <v>45</v>
      </c>
      <c r="AF314" s="5" t="s">
        <v>2927</v>
      </c>
      <c r="AG314" s="3" t="s">
        <v>45</v>
      </c>
      <c r="AH314" s="3" t="s">
        <v>57</v>
      </c>
      <c r="AI314" s="5" t="s">
        <v>2928</v>
      </c>
      <c r="AJ314" s="3" t="s">
        <v>45</v>
      </c>
      <c r="AK314" s="3" t="s">
        <v>45</v>
      </c>
      <c r="AL314" s="3" t="s">
        <v>45</v>
      </c>
      <c r="AM314" s="3" t="s">
        <v>45</v>
      </c>
      <c r="AN314" s="3" t="s">
        <v>45</v>
      </c>
      <c r="AO314" s="3" t="s">
        <v>45</v>
      </c>
      <c r="AP314" s="3" t="s">
        <v>45</v>
      </c>
      <c r="AQ314" s="4" t="s">
        <v>1728</v>
      </c>
      <c r="AR314" s="4" t="s">
        <v>2929</v>
      </c>
    </row>
    <row r="315">
      <c r="A315" s="3" t="s">
        <v>2930</v>
      </c>
      <c r="B315" s="3" t="s">
        <v>2931</v>
      </c>
      <c r="C315" s="3" t="s">
        <v>2932</v>
      </c>
      <c r="D315" s="3" t="s">
        <v>2921</v>
      </c>
      <c r="E315" s="4" t="s">
        <v>2933</v>
      </c>
      <c r="F315" s="3" t="s">
        <v>2934</v>
      </c>
      <c r="G315" s="4" t="s">
        <v>2935</v>
      </c>
      <c r="H315" s="4" t="s">
        <v>2936</v>
      </c>
      <c r="I315" s="3" t="s">
        <v>49</v>
      </c>
      <c r="J315" s="3" t="s">
        <v>126</v>
      </c>
      <c r="K315" s="3" t="s">
        <v>45</v>
      </c>
      <c r="L315" s="3" t="s">
        <v>45</v>
      </c>
      <c r="M315" s="3" t="s">
        <v>45</v>
      </c>
      <c r="N315" s="4" t="s">
        <v>90</v>
      </c>
      <c r="O315" s="3" t="s">
        <v>88</v>
      </c>
      <c r="P315" s="3" t="s">
        <v>45</v>
      </c>
      <c r="Q315" s="3" t="s">
        <v>45</v>
      </c>
      <c r="R315" s="3" t="s">
        <v>45</v>
      </c>
      <c r="S315" s="4" t="s">
        <v>1872</v>
      </c>
      <c r="T315" s="3" t="s">
        <v>45</v>
      </c>
      <c r="U315" s="3" t="s">
        <v>45</v>
      </c>
      <c r="V315" s="4" t="s">
        <v>2937</v>
      </c>
      <c r="W315" s="3" t="s">
        <v>45</v>
      </c>
      <c r="X315" s="3" t="s">
        <v>45</v>
      </c>
      <c r="Y315" s="3" t="s">
        <v>45</v>
      </c>
      <c r="Z315" s="3" t="s">
        <v>55</v>
      </c>
      <c r="AA315" s="3" t="s">
        <v>45</v>
      </c>
      <c r="AB315" s="3" t="s">
        <v>109</v>
      </c>
      <c r="AC315" s="3" t="s">
        <v>45</v>
      </c>
      <c r="AD315" s="3" t="s">
        <v>45</v>
      </c>
      <c r="AE315" s="3" t="s">
        <v>45</v>
      </c>
      <c r="AF315" s="3" t="s">
        <v>45</v>
      </c>
      <c r="AG315" s="3" t="s">
        <v>2938</v>
      </c>
      <c r="AH315" s="3" t="s">
        <v>57</v>
      </c>
      <c r="AI315" s="5" t="s">
        <v>2939</v>
      </c>
      <c r="AJ315" s="3" t="s">
        <v>45</v>
      </c>
      <c r="AK315" s="3" t="s">
        <v>45</v>
      </c>
      <c r="AL315" s="3" t="s">
        <v>45</v>
      </c>
      <c r="AM315" s="3" t="s">
        <v>45</v>
      </c>
      <c r="AN315" s="3" t="s">
        <v>45</v>
      </c>
      <c r="AO315" s="3" t="s">
        <v>45</v>
      </c>
      <c r="AP315" s="3" t="s">
        <v>45</v>
      </c>
      <c r="AQ315" s="4" t="s">
        <v>1016</v>
      </c>
      <c r="AR315" s="4" t="s">
        <v>1016</v>
      </c>
    </row>
    <row r="316">
      <c r="A316" s="3" t="s">
        <v>2797</v>
      </c>
      <c r="B316" s="3" t="s">
        <v>2940</v>
      </c>
      <c r="C316" s="3" t="s">
        <v>1004</v>
      </c>
      <c r="D316" s="3" t="s">
        <v>2941</v>
      </c>
      <c r="E316" s="4" t="s">
        <v>2942</v>
      </c>
      <c r="F316" s="3" t="s">
        <v>2943</v>
      </c>
      <c r="G316" s="4" t="s">
        <v>2944</v>
      </c>
      <c r="H316" s="4" t="s">
        <v>2945</v>
      </c>
      <c r="I316" s="3" t="s">
        <v>218</v>
      </c>
      <c r="J316" s="3" t="s">
        <v>126</v>
      </c>
      <c r="K316" s="3" t="s">
        <v>743</v>
      </c>
      <c r="L316" s="3" t="s">
        <v>470</v>
      </c>
      <c r="M316" s="3" t="s">
        <v>45</v>
      </c>
      <c r="N316" s="4" t="s">
        <v>945</v>
      </c>
      <c r="O316" s="3" t="s">
        <v>722</v>
      </c>
      <c r="P316" s="3" t="s">
        <v>45</v>
      </c>
      <c r="Q316" s="3" t="s">
        <v>45</v>
      </c>
      <c r="R316" s="3" t="s">
        <v>45</v>
      </c>
      <c r="S316" s="3" t="s">
        <v>45</v>
      </c>
      <c r="T316" s="3" t="s">
        <v>89</v>
      </c>
      <c r="U316" s="3" t="s">
        <v>221</v>
      </c>
      <c r="V316" s="3" t="s">
        <v>45</v>
      </c>
      <c r="W316" s="3" t="s">
        <v>45</v>
      </c>
      <c r="X316" s="3" t="s">
        <v>45</v>
      </c>
      <c r="Y316" s="4" t="s">
        <v>317</v>
      </c>
      <c r="Z316" s="3" t="s">
        <v>74</v>
      </c>
      <c r="AA316" s="3" t="s">
        <v>45</v>
      </c>
      <c r="AB316" s="3" t="s">
        <v>45</v>
      </c>
      <c r="AC316" s="3" t="s">
        <v>45</v>
      </c>
      <c r="AD316" s="3" t="s">
        <v>45</v>
      </c>
      <c r="AE316" s="3" t="s">
        <v>45</v>
      </c>
      <c r="AF316" s="3" t="s">
        <v>45</v>
      </c>
      <c r="AG316" s="3" t="s">
        <v>2946</v>
      </c>
      <c r="AH316" s="3" t="s">
        <v>57</v>
      </c>
      <c r="AI316" s="5" t="s">
        <v>2947</v>
      </c>
      <c r="AJ316" s="3" t="s">
        <v>45</v>
      </c>
      <c r="AK316" s="3" t="s">
        <v>45</v>
      </c>
      <c r="AL316" s="3" t="s">
        <v>45</v>
      </c>
      <c r="AM316" s="3" t="s">
        <v>45</v>
      </c>
      <c r="AN316" s="3" t="s">
        <v>45</v>
      </c>
      <c r="AO316" s="3" t="s">
        <v>45</v>
      </c>
      <c r="AP316" s="3" t="s">
        <v>45</v>
      </c>
      <c r="AQ316" s="4" t="s">
        <v>2052</v>
      </c>
      <c r="AR316" s="4" t="s">
        <v>2052</v>
      </c>
    </row>
    <row r="317">
      <c r="A317" s="3" t="s">
        <v>2948</v>
      </c>
      <c r="B317" s="3" t="s">
        <v>2949</v>
      </c>
      <c r="C317" s="3" t="s">
        <v>1004</v>
      </c>
      <c r="D317" s="3" t="s">
        <v>2941</v>
      </c>
      <c r="E317" s="4" t="s">
        <v>2950</v>
      </c>
      <c r="F317" s="3" t="s">
        <v>2951</v>
      </c>
      <c r="G317" s="4" t="s">
        <v>2952</v>
      </c>
      <c r="H317" s="4" t="s">
        <v>2953</v>
      </c>
      <c r="I317" s="3" t="s">
        <v>85</v>
      </c>
      <c r="J317" s="3" t="s">
        <v>126</v>
      </c>
      <c r="K317" s="3" t="s">
        <v>45</v>
      </c>
      <c r="L317" s="3" t="s">
        <v>45</v>
      </c>
      <c r="M317" s="3" t="s">
        <v>45</v>
      </c>
      <c r="N317" s="3" t="s">
        <v>2954</v>
      </c>
      <c r="O317" s="3" t="s">
        <v>53</v>
      </c>
      <c r="P317" s="3" t="s">
        <v>45</v>
      </c>
      <c r="Q317" s="3" t="s">
        <v>45</v>
      </c>
      <c r="R317" s="3" t="s">
        <v>45</v>
      </c>
      <c r="S317" s="3" t="s">
        <v>45</v>
      </c>
      <c r="T317" s="3" t="s">
        <v>45</v>
      </c>
      <c r="U317" s="3" t="s">
        <v>45</v>
      </c>
      <c r="V317" s="4" t="s">
        <v>1446</v>
      </c>
      <c r="W317" s="3" t="s">
        <v>45</v>
      </c>
      <c r="X317" s="3" t="s">
        <v>45</v>
      </c>
      <c r="Y317" s="3" t="s">
        <v>45</v>
      </c>
      <c r="Z317" s="3" t="s">
        <v>74</v>
      </c>
      <c r="AA317" s="3" t="s">
        <v>45</v>
      </c>
      <c r="AB317" s="3" t="s">
        <v>45</v>
      </c>
      <c r="AC317" s="3" t="s">
        <v>45</v>
      </c>
      <c r="AD317" s="3" t="s">
        <v>45</v>
      </c>
      <c r="AE317" s="3" t="s">
        <v>45</v>
      </c>
      <c r="AF317" s="3" t="s">
        <v>45</v>
      </c>
      <c r="AG317" s="3" t="s">
        <v>45</v>
      </c>
      <c r="AH317" s="3" t="s">
        <v>57</v>
      </c>
      <c r="AI317" s="5" t="s">
        <v>2955</v>
      </c>
      <c r="AJ317" s="3" t="s">
        <v>45</v>
      </c>
      <c r="AK317" s="3" t="s">
        <v>45</v>
      </c>
      <c r="AL317" s="3" t="s">
        <v>45</v>
      </c>
      <c r="AM317" s="3" t="s">
        <v>45</v>
      </c>
      <c r="AN317" s="3" t="s">
        <v>45</v>
      </c>
      <c r="AO317" s="3" t="s">
        <v>45</v>
      </c>
      <c r="AP317" s="3" t="s">
        <v>45</v>
      </c>
      <c r="AQ317" s="4" t="s">
        <v>1113</v>
      </c>
      <c r="AR317" s="4" t="s">
        <v>1114</v>
      </c>
    </row>
    <row r="318">
      <c r="A318" s="3" t="s">
        <v>2956</v>
      </c>
      <c r="B318" s="3" t="s">
        <v>2957</v>
      </c>
      <c r="C318" s="3" t="s">
        <v>2958</v>
      </c>
      <c r="D318" s="3" t="s">
        <v>2941</v>
      </c>
      <c r="E318" s="4" t="s">
        <v>2959</v>
      </c>
      <c r="F318" s="3" t="s">
        <v>2960</v>
      </c>
      <c r="G318" s="4" t="s">
        <v>2961</v>
      </c>
      <c r="H318" s="4" t="s">
        <v>2962</v>
      </c>
      <c r="I318" s="3" t="s">
        <v>436</v>
      </c>
      <c r="J318" s="3" t="s">
        <v>126</v>
      </c>
      <c r="K318" s="3" t="s">
        <v>45</v>
      </c>
      <c r="L318" s="3" t="s">
        <v>45</v>
      </c>
      <c r="M318" s="3" t="s">
        <v>45</v>
      </c>
      <c r="N318" s="3" t="s">
        <v>45</v>
      </c>
      <c r="O318" s="3" t="s">
        <v>74</v>
      </c>
      <c r="P318" s="3" t="s">
        <v>45</v>
      </c>
      <c r="Q318" s="3" t="s">
        <v>45</v>
      </c>
      <c r="R318" s="3" t="s">
        <v>45</v>
      </c>
      <c r="S318" s="3" t="s">
        <v>45</v>
      </c>
      <c r="T318" s="3" t="s">
        <v>45</v>
      </c>
      <c r="U318" s="3" t="s">
        <v>45</v>
      </c>
      <c r="V318" s="3" t="s">
        <v>45</v>
      </c>
      <c r="W318" s="3" t="s">
        <v>45</v>
      </c>
      <c r="X318" s="3" t="s">
        <v>2963</v>
      </c>
      <c r="Y318" s="3" t="s">
        <v>45</v>
      </c>
      <c r="Z318" s="3" t="s">
        <v>55</v>
      </c>
      <c r="AA318" s="3" t="s">
        <v>2964</v>
      </c>
      <c r="AB318" s="3" t="s">
        <v>45</v>
      </c>
      <c r="AC318" s="3" t="s">
        <v>45</v>
      </c>
      <c r="AD318" s="5" t="s">
        <v>2965</v>
      </c>
      <c r="AE318" s="3" t="s">
        <v>45</v>
      </c>
      <c r="AF318" s="5" t="s">
        <v>2966</v>
      </c>
      <c r="AG318" s="3" t="s">
        <v>45</v>
      </c>
      <c r="AH318" s="3" t="s">
        <v>57</v>
      </c>
      <c r="AI318" s="5" t="s">
        <v>2967</v>
      </c>
      <c r="AJ318" s="5" t="s">
        <v>2968</v>
      </c>
      <c r="AK318" s="3" t="s">
        <v>45</v>
      </c>
      <c r="AL318" s="3" t="s">
        <v>45</v>
      </c>
      <c r="AM318" s="3" t="s">
        <v>45</v>
      </c>
      <c r="AN318" s="3" t="s">
        <v>45</v>
      </c>
      <c r="AO318" s="3" t="s">
        <v>45</v>
      </c>
      <c r="AP318" s="3" t="s">
        <v>45</v>
      </c>
      <c r="AQ318" s="4" t="s">
        <v>379</v>
      </c>
      <c r="AR318" s="4" t="s">
        <v>1754</v>
      </c>
    </row>
    <row r="319">
      <c r="A319" s="3" t="s">
        <v>184</v>
      </c>
      <c r="B319" s="3" t="s">
        <v>2969</v>
      </c>
      <c r="C319" s="3" t="s">
        <v>2970</v>
      </c>
      <c r="D319" s="3" t="s">
        <v>2941</v>
      </c>
      <c r="E319" s="4" t="s">
        <v>2971</v>
      </c>
      <c r="F319" s="3" t="s">
        <v>2972</v>
      </c>
      <c r="G319" s="4" t="s">
        <v>2973</v>
      </c>
      <c r="H319" s="4" t="s">
        <v>2974</v>
      </c>
      <c r="I319" s="3" t="s">
        <v>245</v>
      </c>
      <c r="J319" s="3" t="s">
        <v>126</v>
      </c>
      <c r="K319" s="3" t="s">
        <v>45</v>
      </c>
      <c r="L319" s="3" t="s">
        <v>45</v>
      </c>
      <c r="M319" s="3" t="s">
        <v>45</v>
      </c>
      <c r="N319" s="3" t="s">
        <v>45</v>
      </c>
      <c r="O319" s="3" t="s">
        <v>74</v>
      </c>
      <c r="P319" s="3" t="s">
        <v>45</v>
      </c>
      <c r="Q319" s="3" t="s">
        <v>45</v>
      </c>
      <c r="R319" s="3" t="s">
        <v>45</v>
      </c>
      <c r="S319" s="4" t="s">
        <v>1610</v>
      </c>
      <c r="T319" s="3" t="s">
        <v>45</v>
      </c>
      <c r="U319" s="3" t="s">
        <v>45</v>
      </c>
      <c r="V319" s="3" t="s">
        <v>45</v>
      </c>
      <c r="W319" s="3" t="s">
        <v>45</v>
      </c>
      <c r="X319" s="3" t="s">
        <v>45</v>
      </c>
      <c r="Y319" s="3" t="s">
        <v>45</v>
      </c>
      <c r="Z319" s="3" t="s">
        <v>74</v>
      </c>
      <c r="AA319" s="3" t="s">
        <v>45</v>
      </c>
      <c r="AB319" s="3" t="s">
        <v>45</v>
      </c>
      <c r="AC319" s="3" t="s">
        <v>45</v>
      </c>
      <c r="AD319" s="3" t="s">
        <v>45</v>
      </c>
      <c r="AE319" s="3" t="s">
        <v>45</v>
      </c>
      <c r="AF319" s="3" t="s">
        <v>45</v>
      </c>
      <c r="AG319" s="3" t="s">
        <v>2975</v>
      </c>
      <c r="AH319" s="3" t="s">
        <v>57</v>
      </c>
      <c r="AI319" s="5" t="s">
        <v>194</v>
      </c>
      <c r="AJ319" s="3" t="s">
        <v>45</v>
      </c>
      <c r="AK319" s="3" t="s">
        <v>45</v>
      </c>
      <c r="AL319" s="3" t="s">
        <v>45</v>
      </c>
      <c r="AM319" s="3" t="s">
        <v>45</v>
      </c>
      <c r="AN319" s="3" t="s">
        <v>45</v>
      </c>
      <c r="AO319" s="3" t="s">
        <v>45</v>
      </c>
      <c r="AP319" s="3" t="s">
        <v>45</v>
      </c>
      <c r="AQ319" s="4" t="s">
        <v>197</v>
      </c>
      <c r="AR319" s="4" t="s">
        <v>197</v>
      </c>
    </row>
    <row r="320">
      <c r="A320" s="3" t="s">
        <v>2976</v>
      </c>
      <c r="B320" s="3" t="s">
        <v>2977</v>
      </c>
      <c r="C320" s="3" t="s">
        <v>2978</v>
      </c>
      <c r="D320" s="3" t="s">
        <v>2941</v>
      </c>
      <c r="E320" s="4" t="s">
        <v>2979</v>
      </c>
      <c r="F320" s="3" t="s">
        <v>2960</v>
      </c>
      <c r="G320" s="4" t="s">
        <v>2980</v>
      </c>
      <c r="H320" s="4" t="s">
        <v>2981</v>
      </c>
      <c r="I320" s="3" t="s">
        <v>218</v>
      </c>
      <c r="J320" s="3" t="s">
        <v>126</v>
      </c>
      <c r="K320" s="3" t="s">
        <v>45</v>
      </c>
      <c r="L320" s="3" t="s">
        <v>45</v>
      </c>
      <c r="M320" s="3" t="s">
        <v>45</v>
      </c>
      <c r="N320" s="4" t="s">
        <v>2982</v>
      </c>
      <c r="O320" s="3" t="s">
        <v>390</v>
      </c>
      <c r="P320" s="3" t="s">
        <v>45</v>
      </c>
      <c r="Q320" s="3" t="s">
        <v>45</v>
      </c>
      <c r="R320" s="3" t="s">
        <v>45</v>
      </c>
      <c r="S320" s="3" t="s">
        <v>45</v>
      </c>
      <c r="T320" s="3" t="s">
        <v>89</v>
      </c>
      <c r="U320" s="3" t="s">
        <v>221</v>
      </c>
      <c r="V320" s="3" t="s">
        <v>45</v>
      </c>
      <c r="W320" s="3" t="s">
        <v>45</v>
      </c>
      <c r="X320" s="3" t="s">
        <v>45</v>
      </c>
      <c r="Y320" s="3" t="s">
        <v>45</v>
      </c>
      <c r="Z320" s="3" t="s">
        <v>55</v>
      </c>
      <c r="AA320" s="3" t="s">
        <v>2983</v>
      </c>
      <c r="AB320" s="3" t="s">
        <v>45</v>
      </c>
      <c r="AC320" s="3" t="s">
        <v>45</v>
      </c>
      <c r="AD320" s="3" t="s">
        <v>45</v>
      </c>
      <c r="AE320" s="3" t="s">
        <v>45</v>
      </c>
      <c r="AF320" s="5" t="s">
        <v>2984</v>
      </c>
      <c r="AG320" s="3" t="s">
        <v>2985</v>
      </c>
      <c r="AH320" s="3" t="s">
        <v>57</v>
      </c>
      <c r="AI320" s="5" t="s">
        <v>2986</v>
      </c>
      <c r="AJ320" s="3" t="s">
        <v>45</v>
      </c>
      <c r="AK320" s="3" t="s">
        <v>45</v>
      </c>
      <c r="AL320" s="3" t="s">
        <v>45</v>
      </c>
      <c r="AM320" s="3" t="s">
        <v>45</v>
      </c>
      <c r="AN320" s="3" t="s">
        <v>45</v>
      </c>
      <c r="AO320" s="3" t="s">
        <v>45</v>
      </c>
      <c r="AP320" s="3" t="s">
        <v>45</v>
      </c>
      <c r="AQ320" s="4" t="s">
        <v>2987</v>
      </c>
      <c r="AR320" s="4" t="s">
        <v>2988</v>
      </c>
    </row>
    <row r="321">
      <c r="A321" s="3" t="s">
        <v>2989</v>
      </c>
      <c r="B321" s="3" t="s">
        <v>2990</v>
      </c>
      <c r="C321" s="3" t="s">
        <v>1692</v>
      </c>
      <c r="D321" s="3" t="s">
        <v>2941</v>
      </c>
      <c r="E321" s="4" t="s">
        <v>2991</v>
      </c>
      <c r="F321" s="3" t="s">
        <v>1408</v>
      </c>
      <c r="G321" s="4" t="s">
        <v>2992</v>
      </c>
      <c r="H321" s="4" t="s">
        <v>2993</v>
      </c>
      <c r="I321" s="3" t="s">
        <v>49</v>
      </c>
      <c r="J321" s="3" t="s">
        <v>50</v>
      </c>
      <c r="K321" s="3" t="s">
        <v>45</v>
      </c>
      <c r="L321" s="3" t="s">
        <v>45</v>
      </c>
      <c r="M321" s="3" t="s">
        <v>45</v>
      </c>
      <c r="N321" s="3" t="s">
        <v>45</v>
      </c>
      <c r="O321" s="3" t="s">
        <v>74</v>
      </c>
      <c r="P321" s="3" t="s">
        <v>45</v>
      </c>
      <c r="Q321" s="3" t="s">
        <v>45</v>
      </c>
      <c r="R321" s="3" t="s">
        <v>45</v>
      </c>
      <c r="S321" s="4" t="s">
        <v>1872</v>
      </c>
      <c r="T321" s="3" t="s">
        <v>45</v>
      </c>
      <c r="U321" s="3" t="s">
        <v>45</v>
      </c>
      <c r="V321" s="4" t="s">
        <v>2994</v>
      </c>
      <c r="W321" s="4" t="s">
        <v>2995</v>
      </c>
      <c r="X321" s="3" t="s">
        <v>45</v>
      </c>
      <c r="Y321" s="3" t="s">
        <v>45</v>
      </c>
      <c r="Z321" s="3" t="s">
        <v>74</v>
      </c>
      <c r="AA321" s="3" t="s">
        <v>45</v>
      </c>
      <c r="AB321" s="3" t="s">
        <v>45</v>
      </c>
      <c r="AC321" s="3" t="s">
        <v>45</v>
      </c>
      <c r="AD321" s="3" t="s">
        <v>45</v>
      </c>
      <c r="AE321" s="3" t="s">
        <v>45</v>
      </c>
      <c r="AF321" s="3" t="s">
        <v>45</v>
      </c>
      <c r="AG321" s="3" t="s">
        <v>2996</v>
      </c>
      <c r="AH321" s="3" t="s">
        <v>57</v>
      </c>
      <c r="AI321" s="5" t="s">
        <v>2997</v>
      </c>
      <c r="AJ321" s="3" t="s">
        <v>45</v>
      </c>
      <c r="AK321" s="3" t="s">
        <v>45</v>
      </c>
      <c r="AL321" s="3" t="s">
        <v>45</v>
      </c>
      <c r="AM321" s="3" t="s">
        <v>45</v>
      </c>
      <c r="AN321" s="3" t="s">
        <v>45</v>
      </c>
      <c r="AO321" s="3" t="s">
        <v>45</v>
      </c>
      <c r="AP321" s="3" t="s">
        <v>45</v>
      </c>
      <c r="AQ321" s="4" t="s">
        <v>1260</v>
      </c>
      <c r="AR321" s="4" t="s">
        <v>1260</v>
      </c>
    </row>
    <row r="322">
      <c r="A322" s="3" t="s">
        <v>2998</v>
      </c>
      <c r="B322" s="3" t="s">
        <v>2999</v>
      </c>
      <c r="C322" s="3" t="s">
        <v>1408</v>
      </c>
      <c r="D322" s="3" t="s">
        <v>2941</v>
      </c>
      <c r="E322" s="4" t="s">
        <v>2991</v>
      </c>
      <c r="F322" s="3" t="s">
        <v>1408</v>
      </c>
      <c r="G322" s="4" t="s">
        <v>3000</v>
      </c>
      <c r="H322" s="4" t="s">
        <v>3001</v>
      </c>
      <c r="I322" s="3" t="s">
        <v>85</v>
      </c>
      <c r="J322" s="3" t="s">
        <v>126</v>
      </c>
      <c r="K322" s="3" t="s">
        <v>45</v>
      </c>
      <c r="L322" s="3" t="s">
        <v>210</v>
      </c>
      <c r="M322" s="3" t="s">
        <v>45</v>
      </c>
      <c r="N322" s="3" t="s">
        <v>45</v>
      </c>
      <c r="O322" s="3" t="s">
        <v>88</v>
      </c>
      <c r="P322" s="3" t="s">
        <v>45</v>
      </c>
      <c r="Q322" s="3" t="s">
        <v>45</v>
      </c>
      <c r="R322" s="3" t="s">
        <v>45</v>
      </c>
      <c r="S322" s="4" t="s">
        <v>582</v>
      </c>
      <c r="T322" s="3" t="s">
        <v>45</v>
      </c>
      <c r="U322" s="3" t="s">
        <v>45</v>
      </c>
      <c r="V322" s="3" t="s">
        <v>45</v>
      </c>
      <c r="W322" s="3" t="s">
        <v>45</v>
      </c>
      <c r="X322" s="3" t="s">
        <v>305</v>
      </c>
      <c r="Y322" s="3" t="s">
        <v>45</v>
      </c>
      <c r="Z322" s="3" t="s">
        <v>74</v>
      </c>
      <c r="AA322" s="3" t="s">
        <v>45</v>
      </c>
      <c r="AB322" s="3" t="s">
        <v>45</v>
      </c>
      <c r="AC322" s="3" t="s">
        <v>45</v>
      </c>
      <c r="AD322" s="3" t="s">
        <v>45</v>
      </c>
      <c r="AE322" s="3" t="s">
        <v>45</v>
      </c>
      <c r="AF322" s="3" t="s">
        <v>45</v>
      </c>
      <c r="AG322" s="3" t="s">
        <v>45</v>
      </c>
      <c r="AH322" s="3" t="s">
        <v>840</v>
      </c>
      <c r="AI322" s="5" t="s">
        <v>3002</v>
      </c>
      <c r="AJ322" s="3" t="s">
        <v>45</v>
      </c>
      <c r="AK322" s="3" t="s">
        <v>45</v>
      </c>
      <c r="AL322" s="3" t="s">
        <v>45</v>
      </c>
      <c r="AM322" s="3" t="s">
        <v>45</v>
      </c>
      <c r="AN322" s="3" t="s">
        <v>45</v>
      </c>
      <c r="AO322" s="3" t="s">
        <v>45</v>
      </c>
      <c r="AP322" s="3" t="s">
        <v>45</v>
      </c>
      <c r="AQ322" s="4" t="s">
        <v>3003</v>
      </c>
      <c r="AR322" s="4" t="s">
        <v>3003</v>
      </c>
    </row>
    <row r="323">
      <c r="A323" s="3" t="s">
        <v>3004</v>
      </c>
      <c r="B323" s="3" t="s">
        <v>3005</v>
      </c>
      <c r="C323" s="3" t="s">
        <v>1408</v>
      </c>
      <c r="D323" s="3" t="s">
        <v>2941</v>
      </c>
      <c r="E323" s="4" t="s">
        <v>2991</v>
      </c>
      <c r="F323" s="3" t="s">
        <v>1408</v>
      </c>
      <c r="G323" s="4" t="s">
        <v>3006</v>
      </c>
      <c r="H323" s="4" t="s">
        <v>3007</v>
      </c>
      <c r="I323" s="3" t="s">
        <v>218</v>
      </c>
      <c r="J323" s="3" t="s">
        <v>50</v>
      </c>
      <c r="K323" s="3" t="s">
        <v>45</v>
      </c>
      <c r="L323" s="3" t="s">
        <v>210</v>
      </c>
      <c r="M323" s="3" t="s">
        <v>45</v>
      </c>
      <c r="N323" s="4" t="s">
        <v>410</v>
      </c>
      <c r="O323" s="3" t="s">
        <v>88</v>
      </c>
      <c r="P323" s="3" t="s">
        <v>45</v>
      </c>
      <c r="Q323" s="3" t="s">
        <v>45</v>
      </c>
      <c r="R323" s="3" t="s">
        <v>45</v>
      </c>
      <c r="S323" s="3" t="s">
        <v>45</v>
      </c>
      <c r="T323" s="3" t="s">
        <v>45</v>
      </c>
      <c r="U323" s="3" t="s">
        <v>45</v>
      </c>
      <c r="V323" s="3" t="s">
        <v>45</v>
      </c>
      <c r="W323" s="3" t="s">
        <v>45</v>
      </c>
      <c r="X323" s="3" t="s">
        <v>45</v>
      </c>
      <c r="Y323" s="4" t="s">
        <v>73</v>
      </c>
      <c r="Z323" s="3" t="s">
        <v>74</v>
      </c>
      <c r="AA323" s="3" t="s">
        <v>45</v>
      </c>
      <c r="AB323" s="3" t="s">
        <v>45</v>
      </c>
      <c r="AC323" s="3" t="s">
        <v>45</v>
      </c>
      <c r="AD323" s="3" t="s">
        <v>45</v>
      </c>
      <c r="AE323" s="3" t="s">
        <v>45</v>
      </c>
      <c r="AF323" s="3" t="s">
        <v>45</v>
      </c>
      <c r="AG323" s="3" t="s">
        <v>45</v>
      </c>
      <c r="AH323" s="3" t="s">
        <v>57</v>
      </c>
      <c r="AI323" s="5" t="s">
        <v>3008</v>
      </c>
      <c r="AJ323" s="5" t="s">
        <v>3009</v>
      </c>
      <c r="AK323" s="3" t="s">
        <v>45</v>
      </c>
      <c r="AL323" s="3" t="s">
        <v>45</v>
      </c>
      <c r="AM323" s="3" t="s">
        <v>45</v>
      </c>
      <c r="AN323" s="3" t="s">
        <v>45</v>
      </c>
      <c r="AO323" s="3" t="s">
        <v>45</v>
      </c>
      <c r="AP323" s="3" t="s">
        <v>45</v>
      </c>
      <c r="AQ323" s="4" t="s">
        <v>3003</v>
      </c>
      <c r="AR323" s="4" t="s">
        <v>3003</v>
      </c>
    </row>
    <row r="324">
      <c r="A324" s="3" t="s">
        <v>2841</v>
      </c>
      <c r="B324" s="3" t="s">
        <v>3010</v>
      </c>
      <c r="C324" s="3" t="s">
        <v>3011</v>
      </c>
      <c r="D324" s="3" t="s">
        <v>2941</v>
      </c>
      <c r="E324" s="4" t="s">
        <v>3012</v>
      </c>
      <c r="F324" s="3" t="s">
        <v>2960</v>
      </c>
      <c r="G324" s="4" t="s">
        <v>3013</v>
      </c>
      <c r="H324" s="4" t="s">
        <v>3014</v>
      </c>
      <c r="I324" s="3" t="s">
        <v>436</v>
      </c>
      <c r="J324" s="3" t="s">
        <v>126</v>
      </c>
      <c r="K324" s="3" t="s">
        <v>45</v>
      </c>
      <c r="L324" s="3" t="s">
        <v>2845</v>
      </c>
      <c r="M324" s="3" t="s">
        <v>45</v>
      </c>
      <c r="N324" s="3" t="s">
        <v>45</v>
      </c>
      <c r="O324" s="3" t="s">
        <v>74</v>
      </c>
      <c r="P324" s="3" t="s">
        <v>45</v>
      </c>
      <c r="Q324" s="3" t="s">
        <v>45</v>
      </c>
      <c r="R324" s="3" t="s">
        <v>45</v>
      </c>
      <c r="S324" s="3" t="s">
        <v>45</v>
      </c>
      <c r="T324" s="3" t="s">
        <v>45</v>
      </c>
      <c r="U324" s="3" t="s">
        <v>45</v>
      </c>
      <c r="V324" s="3" t="s">
        <v>45</v>
      </c>
      <c r="W324" s="4" t="s">
        <v>3015</v>
      </c>
      <c r="X324" s="3" t="s">
        <v>45</v>
      </c>
      <c r="Y324" s="3" t="s">
        <v>45</v>
      </c>
      <c r="Z324" s="3" t="s">
        <v>55</v>
      </c>
      <c r="AA324" s="3" t="s">
        <v>45</v>
      </c>
      <c r="AB324" s="3" t="s">
        <v>45</v>
      </c>
      <c r="AC324" s="3" t="s">
        <v>45</v>
      </c>
      <c r="AD324" s="3" t="s">
        <v>45</v>
      </c>
      <c r="AE324" s="3" t="s">
        <v>45</v>
      </c>
      <c r="AF324" s="3" t="s">
        <v>45</v>
      </c>
      <c r="AG324" s="3" t="s">
        <v>3016</v>
      </c>
      <c r="AH324" s="3" t="s">
        <v>57</v>
      </c>
      <c r="AI324" s="5" t="s">
        <v>3017</v>
      </c>
      <c r="AJ324" s="3" t="s">
        <v>45</v>
      </c>
      <c r="AK324" s="3" t="s">
        <v>45</v>
      </c>
      <c r="AL324" s="3" t="s">
        <v>45</v>
      </c>
      <c r="AM324" s="3" t="s">
        <v>45</v>
      </c>
      <c r="AN324" s="3" t="s">
        <v>45</v>
      </c>
      <c r="AO324" s="3" t="s">
        <v>45</v>
      </c>
      <c r="AP324" s="3" t="s">
        <v>45</v>
      </c>
      <c r="AQ324" s="4" t="s">
        <v>237</v>
      </c>
      <c r="AR324" s="4" t="s">
        <v>237</v>
      </c>
    </row>
    <row r="325">
      <c r="A325" s="3" t="s">
        <v>3018</v>
      </c>
      <c r="B325" s="3" t="s">
        <v>3019</v>
      </c>
      <c r="C325" s="3" t="s">
        <v>3020</v>
      </c>
      <c r="D325" s="3" t="s">
        <v>2941</v>
      </c>
      <c r="E325" s="4" t="s">
        <v>3021</v>
      </c>
      <c r="F325" s="3" t="s">
        <v>3020</v>
      </c>
      <c r="G325" s="4" t="s">
        <v>3022</v>
      </c>
      <c r="H325" s="4" t="s">
        <v>3023</v>
      </c>
      <c r="I325" s="3" t="s">
        <v>49</v>
      </c>
      <c r="J325" s="3" t="s">
        <v>126</v>
      </c>
      <c r="K325" s="3" t="s">
        <v>45</v>
      </c>
      <c r="L325" s="3" t="s">
        <v>3024</v>
      </c>
      <c r="M325" s="3" t="s">
        <v>45</v>
      </c>
      <c r="N325" s="3" t="s">
        <v>45</v>
      </c>
      <c r="O325" s="3" t="s">
        <v>74</v>
      </c>
      <c r="P325" s="3" t="s">
        <v>3025</v>
      </c>
      <c r="Q325" s="3" t="s">
        <v>45</v>
      </c>
      <c r="R325" s="3" t="s">
        <v>45</v>
      </c>
      <c r="S325" s="3" t="s">
        <v>45</v>
      </c>
      <c r="T325" s="3" t="s">
        <v>45</v>
      </c>
      <c r="U325" s="3" t="s">
        <v>45</v>
      </c>
      <c r="V325" s="3" t="s">
        <v>45</v>
      </c>
      <c r="W325" s="3" t="s">
        <v>45</v>
      </c>
      <c r="X325" s="3" t="s">
        <v>45</v>
      </c>
      <c r="Y325" s="4" t="s">
        <v>317</v>
      </c>
      <c r="Z325" s="3" t="s">
        <v>74</v>
      </c>
      <c r="AA325" s="3" t="s">
        <v>45</v>
      </c>
      <c r="AB325" s="3" t="s">
        <v>45</v>
      </c>
      <c r="AC325" s="3" t="s">
        <v>45</v>
      </c>
      <c r="AD325" s="3" t="s">
        <v>45</v>
      </c>
      <c r="AE325" s="3" t="s">
        <v>45</v>
      </c>
      <c r="AF325" s="3" t="s">
        <v>45</v>
      </c>
      <c r="AG325" s="3" t="s">
        <v>3026</v>
      </c>
      <c r="AH325" s="3" t="s">
        <v>57</v>
      </c>
      <c r="AI325" s="5" t="s">
        <v>3027</v>
      </c>
      <c r="AJ325" s="5" t="s">
        <v>3028</v>
      </c>
      <c r="AK325" s="5" t="s">
        <v>3029</v>
      </c>
      <c r="AL325" s="3" t="s">
        <v>45</v>
      </c>
      <c r="AM325" s="3" t="s">
        <v>45</v>
      </c>
      <c r="AN325" s="3" t="s">
        <v>45</v>
      </c>
      <c r="AO325" s="3" t="s">
        <v>45</v>
      </c>
      <c r="AP325" s="3" t="s">
        <v>45</v>
      </c>
      <c r="AQ325" s="4" t="s">
        <v>2053</v>
      </c>
      <c r="AR325" s="4" t="s">
        <v>2053</v>
      </c>
    </row>
    <row r="326">
      <c r="A326" s="3" t="s">
        <v>529</v>
      </c>
      <c r="B326" s="3" t="s">
        <v>3030</v>
      </c>
      <c r="C326" s="3" t="s">
        <v>3031</v>
      </c>
      <c r="D326" s="3" t="s">
        <v>2941</v>
      </c>
      <c r="E326" s="4" t="s">
        <v>3032</v>
      </c>
      <c r="F326" s="3" t="s">
        <v>2960</v>
      </c>
      <c r="G326" s="4" t="s">
        <v>3033</v>
      </c>
      <c r="H326" s="4" t="s">
        <v>3034</v>
      </c>
      <c r="I326" s="3" t="s">
        <v>49</v>
      </c>
      <c r="J326" s="3" t="s">
        <v>126</v>
      </c>
      <c r="K326" s="3" t="s">
        <v>45</v>
      </c>
      <c r="L326" s="3" t="s">
        <v>45</v>
      </c>
      <c r="M326" s="3" t="s">
        <v>45</v>
      </c>
      <c r="N326" s="3" t="s">
        <v>45</v>
      </c>
      <c r="O326" s="3" t="s">
        <v>74</v>
      </c>
      <c r="P326" s="3" t="s">
        <v>45</v>
      </c>
      <c r="Q326" s="3" t="s">
        <v>45</v>
      </c>
      <c r="R326" s="3" t="s">
        <v>45</v>
      </c>
      <c r="S326" s="3" t="s">
        <v>45</v>
      </c>
      <c r="T326" s="3" t="s">
        <v>45</v>
      </c>
      <c r="U326" s="3" t="s">
        <v>45</v>
      </c>
      <c r="V326" s="4" t="s">
        <v>1844</v>
      </c>
      <c r="W326" s="3" t="s">
        <v>45</v>
      </c>
      <c r="X326" s="3" t="s">
        <v>45</v>
      </c>
      <c r="Y326" s="3" t="s">
        <v>45</v>
      </c>
      <c r="Z326" s="3" t="s">
        <v>74</v>
      </c>
      <c r="AA326" s="3" t="s">
        <v>45</v>
      </c>
      <c r="AB326" s="3" t="s">
        <v>45</v>
      </c>
      <c r="AC326" s="3" t="s">
        <v>45</v>
      </c>
      <c r="AD326" s="3" t="s">
        <v>45</v>
      </c>
      <c r="AE326" s="3" t="s">
        <v>45</v>
      </c>
      <c r="AF326" s="3" t="s">
        <v>45</v>
      </c>
      <c r="AG326" s="3" t="s">
        <v>45</v>
      </c>
      <c r="AH326" s="3" t="s">
        <v>57</v>
      </c>
      <c r="AI326" s="5" t="s">
        <v>3035</v>
      </c>
      <c r="AJ326" s="5" t="s">
        <v>3036</v>
      </c>
      <c r="AK326" s="3" t="s">
        <v>45</v>
      </c>
      <c r="AL326" s="3" t="s">
        <v>45</v>
      </c>
      <c r="AM326" s="3" t="s">
        <v>45</v>
      </c>
      <c r="AN326" s="3" t="s">
        <v>45</v>
      </c>
      <c r="AO326" s="3" t="s">
        <v>45</v>
      </c>
      <c r="AP326" s="3" t="s">
        <v>45</v>
      </c>
      <c r="AQ326" s="4" t="s">
        <v>661</v>
      </c>
      <c r="AR326" s="4" t="s">
        <v>661</v>
      </c>
    </row>
    <row r="327">
      <c r="A327" s="3" t="s">
        <v>529</v>
      </c>
      <c r="B327" s="3" t="s">
        <v>3037</v>
      </c>
      <c r="C327" s="3" t="s">
        <v>3031</v>
      </c>
      <c r="D327" s="3" t="s">
        <v>2941</v>
      </c>
      <c r="E327" s="4" t="s">
        <v>3032</v>
      </c>
      <c r="F327" s="3" t="s">
        <v>2960</v>
      </c>
      <c r="G327" s="4" t="s">
        <v>3038</v>
      </c>
      <c r="H327" s="4" t="s">
        <v>3039</v>
      </c>
      <c r="I327" s="3" t="s">
        <v>49</v>
      </c>
      <c r="J327" s="3" t="s">
        <v>126</v>
      </c>
      <c r="K327" s="3" t="s">
        <v>45</v>
      </c>
      <c r="L327" s="3" t="s">
        <v>45</v>
      </c>
      <c r="M327" s="3" t="s">
        <v>45</v>
      </c>
      <c r="N327" s="3" t="s">
        <v>45</v>
      </c>
      <c r="O327" s="3" t="s">
        <v>74</v>
      </c>
      <c r="P327" s="3" t="s">
        <v>45</v>
      </c>
      <c r="Q327" s="3" t="s">
        <v>45</v>
      </c>
      <c r="R327" s="3" t="s">
        <v>45</v>
      </c>
      <c r="S327" s="3" t="s">
        <v>45</v>
      </c>
      <c r="T327" s="3" t="s">
        <v>45</v>
      </c>
      <c r="U327" s="3" t="s">
        <v>45</v>
      </c>
      <c r="V327" s="4" t="s">
        <v>3040</v>
      </c>
      <c r="W327" s="3" t="s">
        <v>45</v>
      </c>
      <c r="X327" s="3" t="s">
        <v>45</v>
      </c>
      <c r="Y327" s="3" t="s">
        <v>45</v>
      </c>
      <c r="Z327" s="3" t="s">
        <v>74</v>
      </c>
      <c r="AA327" s="3" t="s">
        <v>45</v>
      </c>
      <c r="AB327" s="3" t="s">
        <v>45</v>
      </c>
      <c r="AC327" s="3" t="s">
        <v>45</v>
      </c>
      <c r="AD327" s="3" t="s">
        <v>45</v>
      </c>
      <c r="AE327" s="3" t="s">
        <v>45</v>
      </c>
      <c r="AF327" s="3" t="s">
        <v>45</v>
      </c>
      <c r="AG327" s="3" t="s">
        <v>45</v>
      </c>
      <c r="AH327" s="3" t="s">
        <v>57</v>
      </c>
      <c r="AI327" s="5" t="s">
        <v>3035</v>
      </c>
      <c r="AJ327" s="3" t="s">
        <v>45</v>
      </c>
      <c r="AK327" s="3" t="s">
        <v>45</v>
      </c>
      <c r="AL327" s="3" t="s">
        <v>45</v>
      </c>
      <c r="AM327" s="3" t="s">
        <v>45</v>
      </c>
      <c r="AN327" s="3" t="s">
        <v>45</v>
      </c>
      <c r="AO327" s="3" t="s">
        <v>45</v>
      </c>
      <c r="AP327" s="3" t="s">
        <v>45</v>
      </c>
      <c r="AQ327" s="4" t="s">
        <v>661</v>
      </c>
      <c r="AR327" s="4" t="s">
        <v>661</v>
      </c>
    </row>
    <row r="328">
      <c r="A328" s="3" t="s">
        <v>529</v>
      </c>
      <c r="B328" s="3" t="s">
        <v>3041</v>
      </c>
      <c r="C328" s="3" t="s">
        <v>3031</v>
      </c>
      <c r="D328" s="3" t="s">
        <v>2941</v>
      </c>
      <c r="E328" s="4" t="s">
        <v>3032</v>
      </c>
      <c r="F328" s="3" t="s">
        <v>2960</v>
      </c>
      <c r="G328" s="4" t="s">
        <v>3042</v>
      </c>
      <c r="H328" s="4" t="s">
        <v>3043</v>
      </c>
      <c r="I328" s="3" t="s">
        <v>49</v>
      </c>
      <c r="J328" s="3" t="s">
        <v>126</v>
      </c>
      <c r="K328" s="3" t="s">
        <v>45</v>
      </c>
      <c r="L328" s="3" t="s">
        <v>45</v>
      </c>
      <c r="M328" s="3" t="s">
        <v>45</v>
      </c>
      <c r="N328" s="3" t="s">
        <v>45</v>
      </c>
      <c r="O328" s="3" t="s">
        <v>74</v>
      </c>
      <c r="P328" s="3" t="s">
        <v>45</v>
      </c>
      <c r="Q328" s="3" t="s">
        <v>45</v>
      </c>
      <c r="R328" s="3" t="s">
        <v>45</v>
      </c>
      <c r="S328" s="3" t="s">
        <v>45</v>
      </c>
      <c r="T328" s="3" t="s">
        <v>45</v>
      </c>
      <c r="U328" s="3" t="s">
        <v>45</v>
      </c>
      <c r="V328" s="4" t="s">
        <v>3044</v>
      </c>
      <c r="W328" s="3" t="s">
        <v>45</v>
      </c>
      <c r="X328" s="3" t="s">
        <v>45</v>
      </c>
      <c r="Y328" s="3" t="s">
        <v>45</v>
      </c>
      <c r="Z328" s="3" t="s">
        <v>74</v>
      </c>
      <c r="AA328" s="3" t="s">
        <v>45</v>
      </c>
      <c r="AB328" s="3" t="s">
        <v>45</v>
      </c>
      <c r="AC328" s="3" t="s">
        <v>45</v>
      </c>
      <c r="AD328" s="3" t="s">
        <v>45</v>
      </c>
      <c r="AE328" s="3" t="s">
        <v>45</v>
      </c>
      <c r="AF328" s="3" t="s">
        <v>45</v>
      </c>
      <c r="AG328" s="3" t="s">
        <v>45</v>
      </c>
      <c r="AH328" s="3" t="s">
        <v>57</v>
      </c>
      <c r="AI328" s="5" t="s">
        <v>3035</v>
      </c>
      <c r="AJ328" s="3" t="s">
        <v>45</v>
      </c>
      <c r="AK328" s="3" t="s">
        <v>45</v>
      </c>
      <c r="AL328" s="3" t="s">
        <v>45</v>
      </c>
      <c r="AM328" s="3" t="s">
        <v>45</v>
      </c>
      <c r="AN328" s="3" t="s">
        <v>45</v>
      </c>
      <c r="AO328" s="3" t="s">
        <v>45</v>
      </c>
      <c r="AP328" s="3" t="s">
        <v>45</v>
      </c>
      <c r="AQ328" s="4" t="s">
        <v>661</v>
      </c>
      <c r="AR328" s="4" t="s">
        <v>661</v>
      </c>
    </row>
    <row r="329">
      <c r="A329" s="3" t="s">
        <v>3045</v>
      </c>
      <c r="B329" s="3" t="s">
        <v>3046</v>
      </c>
      <c r="C329" s="3" t="s">
        <v>3031</v>
      </c>
      <c r="D329" s="3" t="s">
        <v>2941</v>
      </c>
      <c r="E329" s="4" t="s">
        <v>3032</v>
      </c>
      <c r="F329" s="3" t="s">
        <v>2960</v>
      </c>
      <c r="G329" s="4" t="s">
        <v>3047</v>
      </c>
      <c r="H329" s="4" t="s">
        <v>3048</v>
      </c>
      <c r="I329" s="3" t="s">
        <v>49</v>
      </c>
      <c r="J329" s="3" t="s">
        <v>126</v>
      </c>
      <c r="K329" s="3" t="s">
        <v>45</v>
      </c>
      <c r="L329" s="3" t="s">
        <v>45</v>
      </c>
      <c r="M329" s="3" t="s">
        <v>45</v>
      </c>
      <c r="N329" s="3" t="s">
        <v>45</v>
      </c>
      <c r="O329" s="3" t="s">
        <v>74</v>
      </c>
      <c r="P329" s="3" t="s">
        <v>45</v>
      </c>
      <c r="Q329" s="3" t="s">
        <v>45</v>
      </c>
      <c r="R329" s="3" t="s">
        <v>45</v>
      </c>
      <c r="S329" s="3" t="s">
        <v>45</v>
      </c>
      <c r="T329" s="3" t="s">
        <v>45</v>
      </c>
      <c r="U329" s="3" t="s">
        <v>45</v>
      </c>
      <c r="V329" s="4" t="s">
        <v>2937</v>
      </c>
      <c r="W329" s="3" t="s">
        <v>45</v>
      </c>
      <c r="X329" s="3" t="s">
        <v>45</v>
      </c>
      <c r="Y329" s="3" t="s">
        <v>45</v>
      </c>
      <c r="Z329" s="3" t="s">
        <v>74</v>
      </c>
      <c r="AA329" s="3" t="s">
        <v>45</v>
      </c>
      <c r="AB329" s="3" t="s">
        <v>45</v>
      </c>
      <c r="AC329" s="3" t="s">
        <v>45</v>
      </c>
      <c r="AD329" s="3" t="s">
        <v>45</v>
      </c>
      <c r="AE329" s="3" t="s">
        <v>45</v>
      </c>
      <c r="AF329" s="3" t="s">
        <v>45</v>
      </c>
      <c r="AG329" s="3" t="s">
        <v>45</v>
      </c>
      <c r="AH329" s="3" t="s">
        <v>57</v>
      </c>
      <c r="AI329" s="5" t="s">
        <v>3035</v>
      </c>
      <c r="AJ329" s="3" t="s">
        <v>45</v>
      </c>
      <c r="AK329" s="3" t="s">
        <v>45</v>
      </c>
      <c r="AL329" s="3" t="s">
        <v>45</v>
      </c>
      <c r="AM329" s="3" t="s">
        <v>45</v>
      </c>
      <c r="AN329" s="3" t="s">
        <v>45</v>
      </c>
      <c r="AO329" s="3" t="s">
        <v>45</v>
      </c>
      <c r="AP329" s="3" t="s">
        <v>45</v>
      </c>
      <c r="AQ329" s="4" t="s">
        <v>661</v>
      </c>
      <c r="AR329" s="4" t="s">
        <v>661</v>
      </c>
    </row>
    <row r="330">
      <c r="A330" s="3" t="s">
        <v>414</v>
      </c>
      <c r="B330" s="3" t="s">
        <v>3049</v>
      </c>
      <c r="C330" s="3" t="s">
        <v>3031</v>
      </c>
      <c r="D330" s="3" t="s">
        <v>2941</v>
      </c>
      <c r="E330" s="4" t="s">
        <v>3032</v>
      </c>
      <c r="F330" s="3" t="s">
        <v>2960</v>
      </c>
      <c r="G330" s="4" t="s">
        <v>3050</v>
      </c>
      <c r="H330" s="4" t="s">
        <v>3051</v>
      </c>
      <c r="I330" s="3" t="s">
        <v>49</v>
      </c>
      <c r="J330" s="3" t="s">
        <v>126</v>
      </c>
      <c r="K330" s="3" t="s">
        <v>45</v>
      </c>
      <c r="L330" s="3" t="s">
        <v>45</v>
      </c>
      <c r="M330" s="3" t="s">
        <v>45</v>
      </c>
      <c r="N330" s="3" t="s">
        <v>45</v>
      </c>
      <c r="O330" s="3" t="s">
        <v>74</v>
      </c>
      <c r="P330" s="3" t="s">
        <v>45</v>
      </c>
      <c r="Q330" s="3" t="s">
        <v>45</v>
      </c>
      <c r="R330" s="3" t="s">
        <v>45</v>
      </c>
      <c r="S330" s="3" t="s">
        <v>45</v>
      </c>
      <c r="T330" s="3" t="s">
        <v>45</v>
      </c>
      <c r="U330" s="3" t="s">
        <v>45</v>
      </c>
      <c r="V330" s="3" t="s">
        <v>45</v>
      </c>
      <c r="W330" s="3" t="s">
        <v>45</v>
      </c>
      <c r="X330" s="3" t="s">
        <v>45</v>
      </c>
      <c r="Y330" s="3" t="s">
        <v>45</v>
      </c>
      <c r="Z330" s="3" t="s">
        <v>74</v>
      </c>
      <c r="AA330" s="3" t="s">
        <v>45</v>
      </c>
      <c r="AB330" s="3" t="s">
        <v>45</v>
      </c>
      <c r="AC330" s="3" t="s">
        <v>45</v>
      </c>
      <c r="AD330" s="3" t="s">
        <v>45</v>
      </c>
      <c r="AE330" s="3" t="s">
        <v>45</v>
      </c>
      <c r="AF330" s="3" t="s">
        <v>45</v>
      </c>
      <c r="AG330" s="3" t="s">
        <v>3052</v>
      </c>
      <c r="AH330" s="3" t="s">
        <v>57</v>
      </c>
      <c r="AI330" s="5" t="s">
        <v>3035</v>
      </c>
      <c r="AJ330" s="3" t="s">
        <v>45</v>
      </c>
      <c r="AK330" s="3" t="s">
        <v>45</v>
      </c>
      <c r="AL330" s="3" t="s">
        <v>45</v>
      </c>
      <c r="AM330" s="3" t="s">
        <v>45</v>
      </c>
      <c r="AN330" s="3" t="s">
        <v>45</v>
      </c>
      <c r="AO330" s="3" t="s">
        <v>45</v>
      </c>
      <c r="AP330" s="3" t="s">
        <v>45</v>
      </c>
      <c r="AQ330" s="4" t="s">
        <v>661</v>
      </c>
      <c r="AR330" s="4" t="s">
        <v>661</v>
      </c>
    </row>
    <row r="331">
      <c r="A331" s="3" t="s">
        <v>3053</v>
      </c>
      <c r="B331" s="3" t="s">
        <v>3054</v>
      </c>
      <c r="C331" s="3" t="s">
        <v>3031</v>
      </c>
      <c r="D331" s="3" t="s">
        <v>2941</v>
      </c>
      <c r="E331" s="4" t="s">
        <v>3032</v>
      </c>
      <c r="F331" s="3" t="s">
        <v>2960</v>
      </c>
      <c r="G331" s="4" t="s">
        <v>3055</v>
      </c>
      <c r="H331" s="4" t="s">
        <v>3056</v>
      </c>
      <c r="I331" s="3" t="s">
        <v>85</v>
      </c>
      <c r="J331" s="3" t="s">
        <v>126</v>
      </c>
      <c r="K331" s="3" t="s">
        <v>45</v>
      </c>
      <c r="L331" s="3" t="s">
        <v>45</v>
      </c>
      <c r="M331" s="3" t="s">
        <v>45</v>
      </c>
      <c r="N331" s="4" t="s">
        <v>247</v>
      </c>
      <c r="O331" s="3" t="s">
        <v>390</v>
      </c>
      <c r="P331" s="3" t="s">
        <v>45</v>
      </c>
      <c r="Q331" s="3" t="s">
        <v>45</v>
      </c>
      <c r="R331" s="3" t="s">
        <v>45</v>
      </c>
      <c r="S331" s="3" t="s">
        <v>45</v>
      </c>
      <c r="T331" s="3" t="s">
        <v>45</v>
      </c>
      <c r="U331" s="3" t="s">
        <v>45</v>
      </c>
      <c r="V331" s="4" t="s">
        <v>3057</v>
      </c>
      <c r="W331" s="3" t="s">
        <v>45</v>
      </c>
      <c r="X331" s="3" t="s">
        <v>45</v>
      </c>
      <c r="Y331" s="3" t="s">
        <v>45</v>
      </c>
      <c r="Z331" s="3" t="s">
        <v>74</v>
      </c>
      <c r="AA331" s="3" t="s">
        <v>45</v>
      </c>
      <c r="AB331" s="3" t="s">
        <v>45</v>
      </c>
      <c r="AC331" s="3" t="s">
        <v>45</v>
      </c>
      <c r="AD331" s="3" t="s">
        <v>45</v>
      </c>
      <c r="AE331" s="3" t="s">
        <v>45</v>
      </c>
      <c r="AF331" s="3" t="s">
        <v>45</v>
      </c>
      <c r="AG331" s="3" t="s">
        <v>45</v>
      </c>
      <c r="AH331" s="3" t="s">
        <v>57</v>
      </c>
      <c r="AI331" s="5" t="s">
        <v>3035</v>
      </c>
      <c r="AJ331" s="3" t="s">
        <v>45</v>
      </c>
      <c r="AK331" s="3" t="s">
        <v>45</v>
      </c>
      <c r="AL331" s="3" t="s">
        <v>45</v>
      </c>
      <c r="AM331" s="3" t="s">
        <v>45</v>
      </c>
      <c r="AN331" s="3" t="s">
        <v>45</v>
      </c>
      <c r="AO331" s="3" t="s">
        <v>45</v>
      </c>
      <c r="AP331" s="3" t="s">
        <v>45</v>
      </c>
      <c r="AQ331" s="4" t="s">
        <v>661</v>
      </c>
      <c r="AR331" s="4" t="s">
        <v>1943</v>
      </c>
    </row>
    <row r="332">
      <c r="A332" s="3" t="s">
        <v>3058</v>
      </c>
      <c r="B332" s="3" t="s">
        <v>3059</v>
      </c>
      <c r="C332" s="3" t="s">
        <v>3031</v>
      </c>
      <c r="D332" s="3" t="s">
        <v>2941</v>
      </c>
      <c r="E332" s="4" t="s">
        <v>3032</v>
      </c>
      <c r="F332" s="3" t="s">
        <v>2960</v>
      </c>
      <c r="G332" s="4" t="s">
        <v>3060</v>
      </c>
      <c r="H332" s="4" t="s">
        <v>3061</v>
      </c>
      <c r="I332" s="3" t="s">
        <v>85</v>
      </c>
      <c r="J332" s="3" t="s">
        <v>126</v>
      </c>
      <c r="K332" s="3" t="s">
        <v>45</v>
      </c>
      <c r="L332" s="3" t="s">
        <v>45</v>
      </c>
      <c r="M332" s="3" t="s">
        <v>45</v>
      </c>
      <c r="N332" s="4" t="s">
        <v>389</v>
      </c>
      <c r="O332" s="3" t="s">
        <v>390</v>
      </c>
      <c r="P332" s="3" t="s">
        <v>45</v>
      </c>
      <c r="Q332" s="3" t="s">
        <v>45</v>
      </c>
      <c r="R332" s="3" t="s">
        <v>45</v>
      </c>
      <c r="S332" s="3" t="s">
        <v>45</v>
      </c>
      <c r="T332" s="3" t="s">
        <v>45</v>
      </c>
      <c r="U332" s="3" t="s">
        <v>45</v>
      </c>
      <c r="V332" s="4" t="s">
        <v>3062</v>
      </c>
      <c r="W332" s="3" t="s">
        <v>45</v>
      </c>
      <c r="X332" s="3" t="s">
        <v>45</v>
      </c>
      <c r="Y332" s="3" t="s">
        <v>45</v>
      </c>
      <c r="Z332" s="3" t="s">
        <v>74</v>
      </c>
      <c r="AA332" s="3" t="s">
        <v>45</v>
      </c>
      <c r="AB332" s="3" t="s">
        <v>45</v>
      </c>
      <c r="AC332" s="3" t="s">
        <v>45</v>
      </c>
      <c r="AD332" s="3" t="s">
        <v>45</v>
      </c>
      <c r="AE332" s="3" t="s">
        <v>45</v>
      </c>
      <c r="AF332" s="3" t="s">
        <v>45</v>
      </c>
      <c r="AG332" s="3" t="s">
        <v>45</v>
      </c>
      <c r="AH332" s="3" t="s">
        <v>57</v>
      </c>
      <c r="AI332" s="5" t="s">
        <v>3035</v>
      </c>
      <c r="AJ332" s="3" t="s">
        <v>45</v>
      </c>
      <c r="AK332" s="3" t="s">
        <v>45</v>
      </c>
      <c r="AL332" s="3" t="s">
        <v>45</v>
      </c>
      <c r="AM332" s="3" t="s">
        <v>45</v>
      </c>
      <c r="AN332" s="3" t="s">
        <v>45</v>
      </c>
      <c r="AO332" s="3" t="s">
        <v>45</v>
      </c>
      <c r="AP332" s="3" t="s">
        <v>45</v>
      </c>
      <c r="AQ332" s="4" t="s">
        <v>661</v>
      </c>
      <c r="AR332" s="4" t="s">
        <v>1943</v>
      </c>
    </row>
    <row r="333">
      <c r="A333" s="3" t="s">
        <v>3063</v>
      </c>
      <c r="B333" s="3" t="s">
        <v>3064</v>
      </c>
      <c r="C333" s="3" t="s">
        <v>3031</v>
      </c>
      <c r="D333" s="3" t="s">
        <v>2941</v>
      </c>
      <c r="E333" s="4" t="s">
        <v>3032</v>
      </c>
      <c r="F333" s="3" t="s">
        <v>2960</v>
      </c>
      <c r="G333" s="4" t="s">
        <v>3065</v>
      </c>
      <c r="H333" s="4" t="s">
        <v>3066</v>
      </c>
      <c r="I333" s="3" t="s">
        <v>218</v>
      </c>
      <c r="J333" s="3" t="s">
        <v>126</v>
      </c>
      <c r="K333" s="3" t="s">
        <v>45</v>
      </c>
      <c r="L333" s="3" t="s">
        <v>45</v>
      </c>
      <c r="M333" s="3" t="s">
        <v>45</v>
      </c>
      <c r="N333" s="4" t="s">
        <v>471</v>
      </c>
      <c r="O333" s="3" t="s">
        <v>390</v>
      </c>
      <c r="P333" s="3" t="s">
        <v>45</v>
      </c>
      <c r="Q333" s="3" t="s">
        <v>45</v>
      </c>
      <c r="R333" s="3" t="s">
        <v>45</v>
      </c>
      <c r="S333" s="3" t="s">
        <v>45</v>
      </c>
      <c r="T333" s="3" t="s">
        <v>45</v>
      </c>
      <c r="U333" s="3" t="s">
        <v>45</v>
      </c>
      <c r="V333" s="4" t="s">
        <v>1650</v>
      </c>
      <c r="W333" s="3" t="s">
        <v>45</v>
      </c>
      <c r="X333" s="3" t="s">
        <v>45</v>
      </c>
      <c r="Y333" s="3" t="s">
        <v>45</v>
      </c>
      <c r="Z333" s="3" t="s">
        <v>74</v>
      </c>
      <c r="AA333" s="3" t="s">
        <v>45</v>
      </c>
      <c r="AB333" s="3" t="s">
        <v>45</v>
      </c>
      <c r="AC333" s="3" t="s">
        <v>45</v>
      </c>
      <c r="AD333" s="3" t="s">
        <v>45</v>
      </c>
      <c r="AE333" s="3" t="s">
        <v>45</v>
      </c>
      <c r="AF333" s="3" t="s">
        <v>45</v>
      </c>
      <c r="AG333" s="3" t="s">
        <v>45</v>
      </c>
      <c r="AH333" s="3" t="s">
        <v>57</v>
      </c>
      <c r="AI333" s="5" t="s">
        <v>3067</v>
      </c>
      <c r="AJ333" s="3" t="s">
        <v>45</v>
      </c>
      <c r="AK333" s="3" t="s">
        <v>45</v>
      </c>
      <c r="AL333" s="3" t="s">
        <v>45</v>
      </c>
      <c r="AM333" s="3" t="s">
        <v>45</v>
      </c>
      <c r="AN333" s="3" t="s">
        <v>45</v>
      </c>
      <c r="AO333" s="3" t="s">
        <v>45</v>
      </c>
      <c r="AP333" s="3" t="s">
        <v>45</v>
      </c>
      <c r="AQ333" s="4" t="s">
        <v>295</v>
      </c>
      <c r="AR333" s="4" t="s">
        <v>1943</v>
      </c>
    </row>
    <row r="334">
      <c r="A334" s="3" t="s">
        <v>184</v>
      </c>
      <c r="B334" s="3" t="s">
        <v>3068</v>
      </c>
      <c r="C334" s="3" t="s">
        <v>3069</v>
      </c>
      <c r="D334" s="3" t="s">
        <v>2941</v>
      </c>
      <c r="E334" s="4" t="s">
        <v>3070</v>
      </c>
      <c r="F334" s="3" t="s">
        <v>3071</v>
      </c>
      <c r="G334" s="4" t="s">
        <v>3072</v>
      </c>
      <c r="H334" s="4" t="s">
        <v>3073</v>
      </c>
      <c r="I334" s="3" t="s">
        <v>436</v>
      </c>
      <c r="J334" s="3" t="s">
        <v>126</v>
      </c>
      <c r="K334" s="3" t="s">
        <v>45</v>
      </c>
      <c r="L334" s="3" t="s">
        <v>45</v>
      </c>
      <c r="M334" s="3" t="s">
        <v>45</v>
      </c>
      <c r="N334" s="3" t="s">
        <v>45</v>
      </c>
      <c r="O334" s="3" t="s">
        <v>74</v>
      </c>
      <c r="P334" s="3" t="s">
        <v>45</v>
      </c>
      <c r="Q334" s="3" t="s">
        <v>45</v>
      </c>
      <c r="R334" s="3" t="s">
        <v>45</v>
      </c>
      <c r="S334" s="3" t="s">
        <v>45</v>
      </c>
      <c r="T334" s="3" t="s">
        <v>45</v>
      </c>
      <c r="U334" s="3" t="s">
        <v>45</v>
      </c>
      <c r="V334" s="3" t="s">
        <v>45</v>
      </c>
      <c r="W334" s="4" t="s">
        <v>3074</v>
      </c>
      <c r="X334" s="3" t="s">
        <v>45</v>
      </c>
      <c r="Y334" s="3" t="s">
        <v>45</v>
      </c>
      <c r="Z334" s="3" t="s">
        <v>74</v>
      </c>
      <c r="AA334" s="3" t="s">
        <v>45</v>
      </c>
      <c r="AB334" s="3" t="s">
        <v>45</v>
      </c>
      <c r="AC334" s="3" t="s">
        <v>45</v>
      </c>
      <c r="AD334" s="3" t="s">
        <v>45</v>
      </c>
      <c r="AE334" s="3" t="s">
        <v>45</v>
      </c>
      <c r="AF334" s="3" t="s">
        <v>45</v>
      </c>
      <c r="AG334" s="3" t="s">
        <v>45</v>
      </c>
      <c r="AH334" s="3" t="s">
        <v>57</v>
      </c>
      <c r="AI334" s="5" t="s">
        <v>3075</v>
      </c>
      <c r="AJ334" s="5" t="s">
        <v>3076</v>
      </c>
      <c r="AK334" s="5" t="s">
        <v>3077</v>
      </c>
      <c r="AL334" s="3" t="s">
        <v>45</v>
      </c>
      <c r="AM334" s="3" t="s">
        <v>45</v>
      </c>
      <c r="AN334" s="3" t="s">
        <v>45</v>
      </c>
      <c r="AO334" s="3" t="s">
        <v>45</v>
      </c>
      <c r="AP334" s="3" t="s">
        <v>45</v>
      </c>
      <c r="AQ334" s="4" t="s">
        <v>197</v>
      </c>
      <c r="AR334" s="4" t="s">
        <v>457</v>
      </c>
    </row>
    <row r="335">
      <c r="A335" s="3" t="s">
        <v>3078</v>
      </c>
      <c r="B335" s="3" t="s">
        <v>3079</v>
      </c>
      <c r="C335" s="3" t="s">
        <v>3080</v>
      </c>
      <c r="D335" s="3" t="s">
        <v>2941</v>
      </c>
      <c r="E335" s="4" t="s">
        <v>3081</v>
      </c>
      <c r="F335" s="3" t="s">
        <v>2972</v>
      </c>
      <c r="G335" s="4" t="s">
        <v>3082</v>
      </c>
      <c r="H335" s="4" t="s">
        <v>3083</v>
      </c>
      <c r="I335" s="3" t="s">
        <v>49</v>
      </c>
      <c r="J335" s="3" t="s">
        <v>126</v>
      </c>
      <c r="K335" s="3" t="s">
        <v>45</v>
      </c>
      <c r="L335" s="3" t="s">
        <v>45</v>
      </c>
      <c r="M335" s="3" t="s">
        <v>45</v>
      </c>
      <c r="N335" s="4" t="s">
        <v>3084</v>
      </c>
      <c r="O335" s="3" t="s">
        <v>70</v>
      </c>
      <c r="P335" s="3" t="s">
        <v>45</v>
      </c>
      <c r="Q335" s="3" t="s">
        <v>45</v>
      </c>
      <c r="R335" s="3" t="s">
        <v>45</v>
      </c>
      <c r="S335" s="4" t="s">
        <v>3085</v>
      </c>
      <c r="T335" s="3" t="s">
        <v>45</v>
      </c>
      <c r="U335" s="3" t="s">
        <v>45</v>
      </c>
      <c r="V335" s="4" t="s">
        <v>3086</v>
      </c>
      <c r="W335" s="4" t="s">
        <v>3087</v>
      </c>
      <c r="X335" s="3" t="s">
        <v>3088</v>
      </c>
      <c r="Y335" s="3" t="s">
        <v>45</v>
      </c>
      <c r="Z335" s="3" t="s">
        <v>55</v>
      </c>
      <c r="AA335" s="3" t="s">
        <v>45</v>
      </c>
      <c r="AB335" s="3" t="s">
        <v>45</v>
      </c>
      <c r="AC335" s="3" t="s">
        <v>45</v>
      </c>
      <c r="AD335" s="3" t="s">
        <v>45</v>
      </c>
      <c r="AE335" s="3" t="s">
        <v>45</v>
      </c>
      <c r="AF335" s="3" t="s">
        <v>45</v>
      </c>
      <c r="AG335" s="3" t="s">
        <v>45</v>
      </c>
      <c r="AH335" s="3" t="s">
        <v>57</v>
      </c>
      <c r="AI335" s="5" t="s">
        <v>3089</v>
      </c>
      <c r="AJ335" s="3" t="s">
        <v>45</v>
      </c>
      <c r="AK335" s="3" t="s">
        <v>45</v>
      </c>
      <c r="AL335" s="3" t="s">
        <v>45</v>
      </c>
      <c r="AM335" s="3" t="s">
        <v>45</v>
      </c>
      <c r="AN335" s="3" t="s">
        <v>45</v>
      </c>
      <c r="AO335" s="3" t="s">
        <v>45</v>
      </c>
      <c r="AP335" s="3" t="s">
        <v>45</v>
      </c>
      <c r="AQ335" s="4" t="s">
        <v>148</v>
      </c>
      <c r="AR335" s="4" t="s">
        <v>148</v>
      </c>
    </row>
    <row r="336">
      <c r="A336" s="3" t="s">
        <v>3090</v>
      </c>
      <c r="B336" s="3" t="s">
        <v>3091</v>
      </c>
      <c r="C336" s="3" t="s">
        <v>3092</v>
      </c>
      <c r="D336" s="3" t="s">
        <v>2941</v>
      </c>
      <c r="E336" s="4" t="s">
        <v>3081</v>
      </c>
      <c r="F336" s="3" t="s">
        <v>2972</v>
      </c>
      <c r="G336" s="4" t="s">
        <v>3093</v>
      </c>
      <c r="H336" s="4" t="s">
        <v>3094</v>
      </c>
      <c r="I336" s="3" t="s">
        <v>218</v>
      </c>
      <c r="J336" s="3" t="s">
        <v>126</v>
      </c>
      <c r="K336" s="3" t="s">
        <v>45</v>
      </c>
      <c r="L336" s="3" t="s">
        <v>3095</v>
      </c>
      <c r="M336" s="3" t="s">
        <v>45</v>
      </c>
      <c r="N336" s="4" t="s">
        <v>3084</v>
      </c>
      <c r="O336" s="3" t="s">
        <v>70</v>
      </c>
      <c r="P336" s="3" t="s">
        <v>45</v>
      </c>
      <c r="Q336" s="3" t="s">
        <v>45</v>
      </c>
      <c r="R336" s="3" t="s">
        <v>45</v>
      </c>
      <c r="S336" s="4" t="s">
        <v>3085</v>
      </c>
      <c r="T336" s="3" t="s">
        <v>45</v>
      </c>
      <c r="U336" s="3" t="s">
        <v>45</v>
      </c>
      <c r="V336" s="4" t="s">
        <v>3086</v>
      </c>
      <c r="W336" s="4" t="s">
        <v>3087</v>
      </c>
      <c r="X336" s="3" t="s">
        <v>3088</v>
      </c>
      <c r="Y336" s="3" t="s">
        <v>45</v>
      </c>
      <c r="Z336" s="3" t="s">
        <v>74</v>
      </c>
      <c r="AA336" s="3" t="s">
        <v>45</v>
      </c>
      <c r="AB336" s="3" t="s">
        <v>45</v>
      </c>
      <c r="AC336" s="3" t="s">
        <v>45</v>
      </c>
      <c r="AD336" s="3" t="s">
        <v>45</v>
      </c>
      <c r="AE336" s="3" t="s">
        <v>45</v>
      </c>
      <c r="AF336" s="3" t="s">
        <v>45</v>
      </c>
      <c r="AG336" s="3" t="s">
        <v>45</v>
      </c>
      <c r="AH336" s="3" t="s">
        <v>57</v>
      </c>
      <c r="AI336" s="5" t="s">
        <v>3096</v>
      </c>
      <c r="AJ336" s="3" t="s">
        <v>45</v>
      </c>
      <c r="AK336" s="3" t="s">
        <v>45</v>
      </c>
      <c r="AL336" s="3" t="s">
        <v>45</v>
      </c>
      <c r="AM336" s="3" t="s">
        <v>45</v>
      </c>
      <c r="AN336" s="3" t="s">
        <v>45</v>
      </c>
      <c r="AO336" s="3" t="s">
        <v>45</v>
      </c>
      <c r="AP336" s="3" t="s">
        <v>45</v>
      </c>
      <c r="AQ336" s="4" t="s">
        <v>2037</v>
      </c>
      <c r="AR336" s="4" t="s">
        <v>2037</v>
      </c>
    </row>
    <row r="337">
      <c r="A337" s="3" t="s">
        <v>3097</v>
      </c>
      <c r="B337" s="3" t="s">
        <v>3098</v>
      </c>
      <c r="C337" s="3" t="s">
        <v>3099</v>
      </c>
      <c r="D337" s="3" t="s">
        <v>2941</v>
      </c>
      <c r="E337" s="4" t="s">
        <v>3100</v>
      </c>
      <c r="F337" s="3" t="s">
        <v>1090</v>
      </c>
      <c r="G337" s="4" t="s">
        <v>3101</v>
      </c>
      <c r="H337" s="4" t="s">
        <v>3102</v>
      </c>
      <c r="I337" s="3" t="s">
        <v>49</v>
      </c>
      <c r="J337" s="3" t="s">
        <v>50</v>
      </c>
      <c r="K337" s="3" t="s">
        <v>45</v>
      </c>
      <c r="L337" s="3" t="s">
        <v>3103</v>
      </c>
      <c r="M337" s="3" t="s">
        <v>45</v>
      </c>
      <c r="N337" s="4" t="s">
        <v>102</v>
      </c>
      <c r="O337" s="3" t="s">
        <v>88</v>
      </c>
      <c r="P337" s="3" t="s">
        <v>220</v>
      </c>
      <c r="Q337" s="3" t="s">
        <v>45</v>
      </c>
      <c r="R337" s="3" t="s">
        <v>45</v>
      </c>
      <c r="S337" s="4" t="s">
        <v>3104</v>
      </c>
      <c r="T337" s="3" t="s">
        <v>105</v>
      </c>
      <c r="U337" s="3" t="s">
        <v>221</v>
      </c>
      <c r="V337" s="4" t="s">
        <v>106</v>
      </c>
      <c r="W337" s="4" t="s">
        <v>410</v>
      </c>
      <c r="X337" s="3" t="s">
        <v>1977</v>
      </c>
      <c r="Y337" s="4" t="s">
        <v>2073</v>
      </c>
      <c r="Z337" s="3" t="s">
        <v>55</v>
      </c>
      <c r="AA337" s="3" t="s">
        <v>45</v>
      </c>
      <c r="AB337" s="3" t="s">
        <v>45</v>
      </c>
      <c r="AC337" s="3" t="s">
        <v>45</v>
      </c>
      <c r="AD337" s="3" t="s">
        <v>45</v>
      </c>
      <c r="AE337" s="3" t="s">
        <v>45</v>
      </c>
      <c r="AF337" s="3" t="s">
        <v>45</v>
      </c>
      <c r="AG337" s="3" t="s">
        <v>45</v>
      </c>
      <c r="AH337" s="3" t="s">
        <v>57</v>
      </c>
      <c r="AI337" s="5" t="s">
        <v>3105</v>
      </c>
      <c r="AJ337" s="5" t="s">
        <v>3106</v>
      </c>
      <c r="AK337" s="5" t="s">
        <v>3107</v>
      </c>
      <c r="AL337" s="3" t="s">
        <v>45</v>
      </c>
      <c r="AM337" s="3" t="s">
        <v>45</v>
      </c>
      <c r="AN337" s="3" t="s">
        <v>45</v>
      </c>
      <c r="AO337" s="3" t="s">
        <v>45</v>
      </c>
      <c r="AP337" s="3" t="s">
        <v>45</v>
      </c>
      <c r="AQ337" s="4" t="s">
        <v>3108</v>
      </c>
      <c r="AR337" s="4" t="s">
        <v>3108</v>
      </c>
    </row>
    <row r="338">
      <c r="A338" s="3" t="s">
        <v>3109</v>
      </c>
      <c r="B338" s="3" t="s">
        <v>3110</v>
      </c>
      <c r="C338" s="3" t="s">
        <v>3111</v>
      </c>
      <c r="D338" s="3" t="s">
        <v>2941</v>
      </c>
      <c r="E338" s="4" t="s">
        <v>3112</v>
      </c>
      <c r="F338" s="3" t="s">
        <v>2943</v>
      </c>
      <c r="G338" s="4" t="s">
        <v>3113</v>
      </c>
      <c r="H338" s="4" t="s">
        <v>3114</v>
      </c>
      <c r="I338" s="3" t="s">
        <v>49</v>
      </c>
      <c r="J338" s="3" t="s">
        <v>126</v>
      </c>
      <c r="K338" s="3" t="s">
        <v>45</v>
      </c>
      <c r="L338" s="3" t="s">
        <v>3115</v>
      </c>
      <c r="M338" s="3" t="s">
        <v>45</v>
      </c>
      <c r="N338" s="4" t="s">
        <v>709</v>
      </c>
      <c r="O338" s="3" t="s">
        <v>390</v>
      </c>
      <c r="P338" s="3" t="s">
        <v>45</v>
      </c>
      <c r="Q338" s="3" t="s">
        <v>45</v>
      </c>
      <c r="R338" s="3" t="s">
        <v>45</v>
      </c>
      <c r="S338" s="3" t="s">
        <v>45</v>
      </c>
      <c r="T338" s="3" t="s">
        <v>45</v>
      </c>
      <c r="U338" s="3" t="s">
        <v>45</v>
      </c>
      <c r="V338" s="4" t="s">
        <v>3116</v>
      </c>
      <c r="W338" s="3" t="s">
        <v>45</v>
      </c>
      <c r="X338" s="3" t="s">
        <v>45</v>
      </c>
      <c r="Y338" s="4" t="s">
        <v>317</v>
      </c>
      <c r="Z338" s="3" t="s">
        <v>55</v>
      </c>
      <c r="AA338" s="3" t="s">
        <v>45</v>
      </c>
      <c r="AB338" s="3" t="s">
        <v>45</v>
      </c>
      <c r="AC338" s="3" t="s">
        <v>45</v>
      </c>
      <c r="AD338" s="3" t="s">
        <v>45</v>
      </c>
      <c r="AE338" s="3" t="s">
        <v>45</v>
      </c>
      <c r="AF338" s="3" t="s">
        <v>45</v>
      </c>
      <c r="AG338" s="3" t="s">
        <v>45</v>
      </c>
      <c r="AH338" s="3" t="s">
        <v>57</v>
      </c>
      <c r="AI338" s="5" t="s">
        <v>3117</v>
      </c>
      <c r="AJ338" s="5" t="s">
        <v>3118</v>
      </c>
      <c r="AK338" s="3" t="s">
        <v>45</v>
      </c>
      <c r="AL338" s="3" t="s">
        <v>45</v>
      </c>
      <c r="AM338" s="3" t="s">
        <v>45</v>
      </c>
      <c r="AN338" s="3" t="s">
        <v>45</v>
      </c>
      <c r="AO338" s="3" t="s">
        <v>45</v>
      </c>
      <c r="AP338" s="3" t="s">
        <v>45</v>
      </c>
      <c r="AQ338" s="4" t="s">
        <v>948</v>
      </c>
      <c r="AR338" s="4" t="s">
        <v>948</v>
      </c>
    </row>
    <row r="339">
      <c r="A339" s="3" t="s">
        <v>3119</v>
      </c>
      <c r="B339" s="3" t="s">
        <v>3120</v>
      </c>
      <c r="C339" s="3" t="s">
        <v>3121</v>
      </c>
      <c r="D339" s="3" t="s">
        <v>2941</v>
      </c>
      <c r="E339" s="4" t="s">
        <v>3122</v>
      </c>
      <c r="F339" s="3" t="s">
        <v>2943</v>
      </c>
      <c r="G339" s="4" t="s">
        <v>3123</v>
      </c>
      <c r="H339" s="4" t="s">
        <v>3124</v>
      </c>
      <c r="I339" s="3" t="s">
        <v>218</v>
      </c>
      <c r="J339" s="3" t="s">
        <v>126</v>
      </c>
      <c r="K339" s="3" t="s">
        <v>45</v>
      </c>
      <c r="L339" s="3" t="s">
        <v>45</v>
      </c>
      <c r="M339" s="3" t="s">
        <v>45</v>
      </c>
      <c r="N339" s="4" t="s">
        <v>129</v>
      </c>
      <c r="O339" s="3" t="s">
        <v>390</v>
      </c>
      <c r="P339" s="3" t="s">
        <v>45</v>
      </c>
      <c r="Q339" s="3" t="s">
        <v>45</v>
      </c>
      <c r="R339" s="3" t="s">
        <v>45</v>
      </c>
      <c r="S339" s="3" t="s">
        <v>45</v>
      </c>
      <c r="T339" s="3" t="s">
        <v>45</v>
      </c>
      <c r="U339" s="3" t="s">
        <v>45</v>
      </c>
      <c r="V339" s="4" t="s">
        <v>2656</v>
      </c>
      <c r="W339" s="3" t="s">
        <v>45</v>
      </c>
      <c r="X339" s="3" t="s">
        <v>45</v>
      </c>
      <c r="Y339" s="3" t="s">
        <v>45</v>
      </c>
      <c r="Z339" s="3" t="s">
        <v>74</v>
      </c>
      <c r="AA339" s="3" t="s">
        <v>45</v>
      </c>
      <c r="AB339" s="3" t="s">
        <v>45</v>
      </c>
      <c r="AC339" s="3" t="s">
        <v>45</v>
      </c>
      <c r="AD339" s="3" t="s">
        <v>45</v>
      </c>
      <c r="AE339" s="3" t="s">
        <v>45</v>
      </c>
      <c r="AF339" s="3" t="s">
        <v>45</v>
      </c>
      <c r="AG339" s="3" t="s">
        <v>45</v>
      </c>
      <c r="AH339" s="3" t="s">
        <v>57</v>
      </c>
      <c r="AI339" s="5" t="s">
        <v>3067</v>
      </c>
      <c r="AJ339" s="3" t="s">
        <v>45</v>
      </c>
      <c r="AK339" s="3" t="s">
        <v>45</v>
      </c>
      <c r="AL339" s="3" t="s">
        <v>45</v>
      </c>
      <c r="AM339" s="3" t="s">
        <v>45</v>
      </c>
      <c r="AN339" s="3" t="s">
        <v>45</v>
      </c>
      <c r="AO339" s="3" t="s">
        <v>45</v>
      </c>
      <c r="AP339" s="3" t="s">
        <v>45</v>
      </c>
      <c r="AQ339" s="4" t="s">
        <v>295</v>
      </c>
      <c r="AR339" s="4" t="s">
        <v>2231</v>
      </c>
    </row>
    <row r="340">
      <c r="A340" s="3" t="s">
        <v>1077</v>
      </c>
      <c r="B340" s="3" t="s">
        <v>45</v>
      </c>
      <c r="C340" s="3" t="s">
        <v>3125</v>
      </c>
      <c r="D340" s="3" t="s">
        <v>2941</v>
      </c>
      <c r="E340" s="4" t="s">
        <v>3126</v>
      </c>
      <c r="F340" s="3" t="s">
        <v>3127</v>
      </c>
      <c r="G340" s="4" t="s">
        <v>3128</v>
      </c>
      <c r="H340" s="4" t="s">
        <v>3129</v>
      </c>
      <c r="I340" s="3" t="s">
        <v>49</v>
      </c>
      <c r="J340" s="3" t="s">
        <v>99</v>
      </c>
      <c r="K340" s="3" t="s">
        <v>45</v>
      </c>
      <c r="L340" s="3" t="s">
        <v>45</v>
      </c>
      <c r="M340" s="3" t="s">
        <v>45</v>
      </c>
      <c r="N340" s="4" t="s">
        <v>102</v>
      </c>
      <c r="O340" s="3" t="s">
        <v>88</v>
      </c>
      <c r="P340" s="3" t="s">
        <v>45</v>
      </c>
      <c r="Q340" s="3" t="s">
        <v>45</v>
      </c>
      <c r="R340" s="3" t="s">
        <v>45</v>
      </c>
      <c r="S340" s="3" t="s">
        <v>45</v>
      </c>
      <c r="T340" s="3" t="s">
        <v>45</v>
      </c>
      <c r="U340" s="3" t="s">
        <v>45</v>
      </c>
      <c r="V340" s="3" t="s">
        <v>45</v>
      </c>
      <c r="W340" s="4" t="s">
        <v>888</v>
      </c>
      <c r="X340" s="3" t="s">
        <v>45</v>
      </c>
      <c r="Y340" s="3" t="s">
        <v>45</v>
      </c>
      <c r="Z340" s="3" t="s">
        <v>74</v>
      </c>
      <c r="AA340" s="3" t="s">
        <v>45</v>
      </c>
      <c r="AB340" s="3" t="s">
        <v>45</v>
      </c>
      <c r="AC340" s="3" t="s">
        <v>45</v>
      </c>
      <c r="AD340" s="3" t="s">
        <v>45</v>
      </c>
      <c r="AE340" s="3" t="s">
        <v>45</v>
      </c>
      <c r="AF340" s="3" t="s">
        <v>45</v>
      </c>
      <c r="AG340" s="3" t="s">
        <v>45</v>
      </c>
      <c r="AH340" s="3" t="s">
        <v>57</v>
      </c>
      <c r="AI340" s="5" t="s">
        <v>1084</v>
      </c>
      <c r="AJ340" s="3" t="s">
        <v>45</v>
      </c>
      <c r="AK340" s="3" t="s">
        <v>45</v>
      </c>
      <c r="AL340" s="3" t="s">
        <v>45</v>
      </c>
      <c r="AM340" s="3" t="s">
        <v>45</v>
      </c>
      <c r="AN340" s="3" t="s">
        <v>45</v>
      </c>
      <c r="AO340" s="3" t="s">
        <v>45</v>
      </c>
      <c r="AP340" s="3" t="s">
        <v>45</v>
      </c>
      <c r="AQ340" s="4" t="s">
        <v>1085</v>
      </c>
      <c r="AR340" s="4" t="s">
        <v>1085</v>
      </c>
    </row>
    <row r="341">
      <c r="A341" s="3" t="s">
        <v>3130</v>
      </c>
      <c r="B341" s="3" t="s">
        <v>3131</v>
      </c>
      <c r="C341" s="3" t="s">
        <v>3132</v>
      </c>
      <c r="D341" s="3" t="s">
        <v>2941</v>
      </c>
      <c r="E341" s="4" t="s">
        <v>3133</v>
      </c>
      <c r="F341" s="3" t="s">
        <v>3127</v>
      </c>
      <c r="G341" s="4" t="s">
        <v>3134</v>
      </c>
      <c r="H341" s="4" t="s">
        <v>3135</v>
      </c>
      <c r="I341" s="3" t="s">
        <v>49</v>
      </c>
      <c r="J341" s="3" t="s">
        <v>126</v>
      </c>
      <c r="K341" s="3" t="s">
        <v>45</v>
      </c>
      <c r="L341" s="3" t="s">
        <v>570</v>
      </c>
      <c r="M341" s="3" t="s">
        <v>45</v>
      </c>
      <c r="N341" s="4" t="s">
        <v>3136</v>
      </c>
      <c r="O341" s="3" t="s">
        <v>70</v>
      </c>
      <c r="P341" s="3" t="s">
        <v>45</v>
      </c>
      <c r="Q341" s="3" t="s">
        <v>45</v>
      </c>
      <c r="R341" s="3" t="s">
        <v>45</v>
      </c>
      <c r="S341" s="3" t="s">
        <v>45</v>
      </c>
      <c r="T341" s="3" t="s">
        <v>45</v>
      </c>
      <c r="U341" s="3" t="s">
        <v>45</v>
      </c>
      <c r="V341" s="4" t="s">
        <v>3137</v>
      </c>
      <c r="W341" s="4" t="s">
        <v>3138</v>
      </c>
      <c r="X341" s="3" t="s">
        <v>45</v>
      </c>
      <c r="Y341" s="4" t="s">
        <v>73</v>
      </c>
      <c r="Z341" s="3" t="s">
        <v>74</v>
      </c>
      <c r="AA341" s="3" t="s">
        <v>45</v>
      </c>
      <c r="AB341" s="3" t="s">
        <v>45</v>
      </c>
      <c r="AC341" s="3" t="s">
        <v>45</v>
      </c>
      <c r="AD341" s="3" t="s">
        <v>45</v>
      </c>
      <c r="AE341" s="3" t="s">
        <v>45</v>
      </c>
      <c r="AF341" s="3" t="s">
        <v>45</v>
      </c>
      <c r="AG341" s="3" t="s">
        <v>45</v>
      </c>
      <c r="AH341" s="3" t="s">
        <v>57</v>
      </c>
      <c r="AI341" s="5" t="s">
        <v>3139</v>
      </c>
      <c r="AJ341" s="5" t="s">
        <v>3140</v>
      </c>
      <c r="AK341" s="3" t="s">
        <v>45</v>
      </c>
      <c r="AL341" s="3" t="s">
        <v>45</v>
      </c>
      <c r="AM341" s="3" t="s">
        <v>45</v>
      </c>
      <c r="AN341" s="3" t="s">
        <v>45</v>
      </c>
      <c r="AO341" s="3" t="s">
        <v>45</v>
      </c>
      <c r="AP341" s="3" t="s">
        <v>45</v>
      </c>
      <c r="AQ341" s="4" t="s">
        <v>671</v>
      </c>
      <c r="AR341" s="4" t="s">
        <v>2459</v>
      </c>
    </row>
    <row r="342">
      <c r="A342" s="3" t="s">
        <v>2989</v>
      </c>
      <c r="B342" s="3" t="s">
        <v>3141</v>
      </c>
      <c r="C342" s="3" t="s">
        <v>3142</v>
      </c>
      <c r="D342" s="3" t="s">
        <v>2941</v>
      </c>
      <c r="E342" s="4" t="s">
        <v>3143</v>
      </c>
      <c r="F342" s="3" t="s">
        <v>2943</v>
      </c>
      <c r="G342" s="4" t="s">
        <v>3144</v>
      </c>
      <c r="H342" s="4" t="s">
        <v>3145</v>
      </c>
      <c r="I342" s="3" t="s">
        <v>436</v>
      </c>
      <c r="J342" s="3" t="s">
        <v>126</v>
      </c>
      <c r="K342" s="3" t="s">
        <v>45</v>
      </c>
      <c r="L342" s="3" t="s">
        <v>45</v>
      </c>
      <c r="M342" s="3" t="s">
        <v>45</v>
      </c>
      <c r="N342" s="4" t="s">
        <v>471</v>
      </c>
      <c r="O342" s="3" t="s">
        <v>390</v>
      </c>
      <c r="P342" s="3" t="s">
        <v>45</v>
      </c>
      <c r="Q342" s="3" t="s">
        <v>45</v>
      </c>
      <c r="R342" s="4" t="s">
        <v>3146</v>
      </c>
      <c r="S342" s="3" t="s">
        <v>45</v>
      </c>
      <c r="T342" s="3" t="s">
        <v>45</v>
      </c>
      <c r="U342" s="3" t="s">
        <v>45</v>
      </c>
      <c r="V342" s="4" t="s">
        <v>3147</v>
      </c>
      <c r="W342" s="3" t="s">
        <v>45</v>
      </c>
      <c r="X342" s="3" t="s">
        <v>45</v>
      </c>
      <c r="Y342" s="3" t="s">
        <v>45</v>
      </c>
      <c r="Z342" s="3" t="s">
        <v>55</v>
      </c>
      <c r="AA342" s="3" t="s">
        <v>45</v>
      </c>
      <c r="AB342" s="3" t="s">
        <v>45</v>
      </c>
      <c r="AC342" s="3" t="s">
        <v>45</v>
      </c>
      <c r="AD342" s="3" t="s">
        <v>45</v>
      </c>
      <c r="AE342" s="3" t="s">
        <v>45</v>
      </c>
      <c r="AF342" s="5" t="s">
        <v>3148</v>
      </c>
      <c r="AG342" s="3" t="s">
        <v>45</v>
      </c>
      <c r="AH342" s="3" t="s">
        <v>57</v>
      </c>
      <c r="AI342" s="5" t="s">
        <v>3149</v>
      </c>
      <c r="AJ342" s="5" t="s">
        <v>3150</v>
      </c>
      <c r="AK342" s="5" t="s">
        <v>3151</v>
      </c>
      <c r="AL342" s="5" t="s">
        <v>3152</v>
      </c>
      <c r="AM342" s="3" t="s">
        <v>45</v>
      </c>
      <c r="AN342" s="3" t="s">
        <v>45</v>
      </c>
      <c r="AO342" s="3" t="s">
        <v>45</v>
      </c>
      <c r="AP342" s="3" t="s">
        <v>45</v>
      </c>
      <c r="AQ342" s="4" t="s">
        <v>1260</v>
      </c>
      <c r="AR342" s="4" t="s">
        <v>3153</v>
      </c>
    </row>
    <row r="343">
      <c r="A343" s="3" t="s">
        <v>2841</v>
      </c>
      <c r="B343" s="3" t="s">
        <v>3154</v>
      </c>
      <c r="C343" s="3" t="s">
        <v>3142</v>
      </c>
      <c r="D343" s="3" t="s">
        <v>2941</v>
      </c>
      <c r="E343" s="4" t="s">
        <v>3143</v>
      </c>
      <c r="F343" s="3" t="s">
        <v>2943</v>
      </c>
      <c r="G343" s="4" t="s">
        <v>3155</v>
      </c>
      <c r="H343" s="4" t="s">
        <v>3156</v>
      </c>
      <c r="I343" s="3" t="s">
        <v>49</v>
      </c>
      <c r="J343" s="3" t="s">
        <v>126</v>
      </c>
      <c r="K343" s="3" t="s">
        <v>45</v>
      </c>
      <c r="L343" s="3" t="s">
        <v>45</v>
      </c>
      <c r="M343" s="3" t="s">
        <v>45</v>
      </c>
      <c r="N343" s="3" t="s">
        <v>45</v>
      </c>
      <c r="O343" s="3" t="s">
        <v>74</v>
      </c>
      <c r="P343" s="3" t="s">
        <v>45</v>
      </c>
      <c r="Q343" s="3" t="s">
        <v>45</v>
      </c>
      <c r="R343" s="3" t="s">
        <v>45</v>
      </c>
      <c r="S343" s="3" t="s">
        <v>45</v>
      </c>
      <c r="T343" s="3" t="s">
        <v>45</v>
      </c>
      <c r="U343" s="3" t="s">
        <v>45</v>
      </c>
      <c r="V343" s="3" t="s">
        <v>45</v>
      </c>
      <c r="W343" s="4" t="s">
        <v>3157</v>
      </c>
      <c r="X343" s="3" t="s">
        <v>45</v>
      </c>
      <c r="Y343" s="3" t="s">
        <v>45</v>
      </c>
      <c r="Z343" s="3" t="s">
        <v>74</v>
      </c>
      <c r="AA343" s="3" t="s">
        <v>45</v>
      </c>
      <c r="AB343" s="3" t="s">
        <v>45</v>
      </c>
      <c r="AC343" s="3" t="s">
        <v>45</v>
      </c>
      <c r="AD343" s="3" t="s">
        <v>45</v>
      </c>
      <c r="AE343" s="3" t="s">
        <v>45</v>
      </c>
      <c r="AF343" s="3" t="s">
        <v>45</v>
      </c>
      <c r="AG343" s="3" t="s">
        <v>45</v>
      </c>
      <c r="AH343" s="3" t="s">
        <v>57</v>
      </c>
      <c r="AI343" s="5" t="s">
        <v>3158</v>
      </c>
      <c r="AJ343" s="3" t="s">
        <v>45</v>
      </c>
      <c r="AK343" s="3" t="s">
        <v>45</v>
      </c>
      <c r="AL343" s="3" t="s">
        <v>45</v>
      </c>
      <c r="AM343" s="3" t="s">
        <v>45</v>
      </c>
      <c r="AN343" s="3" t="s">
        <v>45</v>
      </c>
      <c r="AO343" s="3" t="s">
        <v>45</v>
      </c>
      <c r="AP343" s="3" t="s">
        <v>45</v>
      </c>
      <c r="AQ343" s="4" t="s">
        <v>652</v>
      </c>
      <c r="AR343" s="4" t="s">
        <v>652</v>
      </c>
    </row>
    <row r="344">
      <c r="A344" s="3" t="s">
        <v>1077</v>
      </c>
      <c r="B344" s="3" t="s">
        <v>45</v>
      </c>
      <c r="C344" s="3" t="s">
        <v>3159</v>
      </c>
      <c r="D344" s="3" t="s">
        <v>2941</v>
      </c>
      <c r="E344" s="4" t="s">
        <v>3160</v>
      </c>
      <c r="F344" s="3" t="s">
        <v>2972</v>
      </c>
      <c r="G344" s="4" t="s">
        <v>3161</v>
      </c>
      <c r="H344" s="4" t="s">
        <v>3162</v>
      </c>
      <c r="I344" s="3" t="s">
        <v>49</v>
      </c>
      <c r="J344" s="3" t="s">
        <v>99</v>
      </c>
      <c r="K344" s="3" t="s">
        <v>45</v>
      </c>
      <c r="L344" s="3" t="s">
        <v>45</v>
      </c>
      <c r="M344" s="3" t="s">
        <v>45</v>
      </c>
      <c r="N344" s="4" t="s">
        <v>2501</v>
      </c>
      <c r="O344" s="3" t="s">
        <v>88</v>
      </c>
      <c r="P344" s="3" t="s">
        <v>45</v>
      </c>
      <c r="Q344" s="3" t="s">
        <v>45</v>
      </c>
      <c r="R344" s="3" t="s">
        <v>45</v>
      </c>
      <c r="S344" s="3" t="s">
        <v>45</v>
      </c>
      <c r="T344" s="3" t="s">
        <v>45</v>
      </c>
      <c r="U344" s="3" t="s">
        <v>45</v>
      </c>
      <c r="V344" s="3" t="s">
        <v>45</v>
      </c>
      <c r="W344" s="4" t="s">
        <v>3163</v>
      </c>
      <c r="X344" s="3" t="s">
        <v>45</v>
      </c>
      <c r="Y344" s="3" t="s">
        <v>45</v>
      </c>
      <c r="Z344" s="3" t="s">
        <v>74</v>
      </c>
      <c r="AA344" s="3" t="s">
        <v>45</v>
      </c>
      <c r="AB344" s="3" t="s">
        <v>45</v>
      </c>
      <c r="AC344" s="3" t="s">
        <v>45</v>
      </c>
      <c r="AD344" s="3" t="s">
        <v>45</v>
      </c>
      <c r="AE344" s="3" t="s">
        <v>45</v>
      </c>
      <c r="AF344" s="3" t="s">
        <v>45</v>
      </c>
      <c r="AG344" s="3" t="s">
        <v>45</v>
      </c>
      <c r="AH344" s="3" t="s">
        <v>57</v>
      </c>
      <c r="AI344" s="5" t="s">
        <v>1084</v>
      </c>
      <c r="AJ344" s="3" t="s">
        <v>45</v>
      </c>
      <c r="AK344" s="3" t="s">
        <v>45</v>
      </c>
      <c r="AL344" s="3" t="s">
        <v>45</v>
      </c>
      <c r="AM344" s="3" t="s">
        <v>45</v>
      </c>
      <c r="AN344" s="3" t="s">
        <v>45</v>
      </c>
      <c r="AO344" s="3" t="s">
        <v>45</v>
      </c>
      <c r="AP344" s="3" t="s">
        <v>45</v>
      </c>
      <c r="AQ344" s="4" t="s">
        <v>1085</v>
      </c>
      <c r="AR344" s="4" t="s">
        <v>1085</v>
      </c>
    </row>
    <row r="345">
      <c r="A345" s="3" t="s">
        <v>3164</v>
      </c>
      <c r="B345" s="3" t="s">
        <v>3165</v>
      </c>
      <c r="C345" s="3" t="s">
        <v>3166</v>
      </c>
      <c r="D345" s="3" t="s">
        <v>2941</v>
      </c>
      <c r="E345" s="4" t="s">
        <v>3167</v>
      </c>
      <c r="F345" s="3" t="s">
        <v>2960</v>
      </c>
      <c r="G345" s="4" t="s">
        <v>3168</v>
      </c>
      <c r="H345" s="4" t="s">
        <v>3169</v>
      </c>
      <c r="I345" s="3" t="s">
        <v>85</v>
      </c>
      <c r="J345" s="3" t="s">
        <v>126</v>
      </c>
      <c r="K345" s="3" t="s">
        <v>45</v>
      </c>
      <c r="L345" s="3" t="s">
        <v>659</v>
      </c>
      <c r="M345" s="3" t="s">
        <v>45</v>
      </c>
      <c r="N345" s="4" t="s">
        <v>564</v>
      </c>
      <c r="O345" s="3" t="s">
        <v>390</v>
      </c>
      <c r="P345" s="3" t="s">
        <v>45</v>
      </c>
      <c r="Q345" s="3" t="s">
        <v>45</v>
      </c>
      <c r="R345" s="3" t="s">
        <v>45</v>
      </c>
      <c r="S345" s="3" t="s">
        <v>45</v>
      </c>
      <c r="T345" s="3" t="s">
        <v>45</v>
      </c>
      <c r="U345" s="3" t="s">
        <v>45</v>
      </c>
      <c r="V345" s="4" t="s">
        <v>3170</v>
      </c>
      <c r="W345" s="3" t="s">
        <v>45</v>
      </c>
      <c r="X345" s="3" t="s">
        <v>45</v>
      </c>
      <c r="Y345" s="3" t="s">
        <v>45</v>
      </c>
      <c r="Z345" s="3" t="s">
        <v>74</v>
      </c>
      <c r="AA345" s="3" t="s">
        <v>45</v>
      </c>
      <c r="AB345" s="3" t="s">
        <v>45</v>
      </c>
      <c r="AC345" s="3" t="s">
        <v>45</v>
      </c>
      <c r="AD345" s="3" t="s">
        <v>45</v>
      </c>
      <c r="AE345" s="3" t="s">
        <v>45</v>
      </c>
      <c r="AF345" s="3" t="s">
        <v>45</v>
      </c>
      <c r="AG345" s="3" t="s">
        <v>45</v>
      </c>
      <c r="AH345" s="3" t="s">
        <v>57</v>
      </c>
      <c r="AI345" s="5" t="s">
        <v>3171</v>
      </c>
      <c r="AJ345" s="3" t="s">
        <v>45</v>
      </c>
      <c r="AK345" s="3" t="s">
        <v>45</v>
      </c>
      <c r="AL345" s="3" t="s">
        <v>45</v>
      </c>
      <c r="AM345" s="3" t="s">
        <v>45</v>
      </c>
      <c r="AN345" s="3" t="s">
        <v>45</v>
      </c>
      <c r="AO345" s="3" t="s">
        <v>45</v>
      </c>
      <c r="AP345" s="3" t="s">
        <v>45</v>
      </c>
      <c r="AQ345" s="4" t="s">
        <v>661</v>
      </c>
      <c r="AR345" s="4" t="s">
        <v>2231</v>
      </c>
    </row>
    <row r="346">
      <c r="A346" s="3" t="s">
        <v>3172</v>
      </c>
      <c r="B346" s="3" t="s">
        <v>3173</v>
      </c>
      <c r="C346" s="3" t="s">
        <v>3166</v>
      </c>
      <c r="D346" s="3" t="s">
        <v>2941</v>
      </c>
      <c r="E346" s="4" t="s">
        <v>3167</v>
      </c>
      <c r="F346" s="3" t="s">
        <v>2960</v>
      </c>
      <c r="G346" s="4" t="s">
        <v>3174</v>
      </c>
      <c r="H346" s="4" t="s">
        <v>3175</v>
      </c>
      <c r="I346" s="3" t="s">
        <v>218</v>
      </c>
      <c r="J346" s="3" t="s">
        <v>126</v>
      </c>
      <c r="K346" s="3" t="s">
        <v>45</v>
      </c>
      <c r="L346" s="3" t="s">
        <v>659</v>
      </c>
      <c r="M346" s="3" t="s">
        <v>45</v>
      </c>
      <c r="N346" s="3" t="s">
        <v>45</v>
      </c>
      <c r="O346" s="3" t="s">
        <v>74</v>
      </c>
      <c r="P346" s="3" t="s">
        <v>45</v>
      </c>
      <c r="Q346" s="3" t="s">
        <v>45</v>
      </c>
      <c r="R346" s="3" t="s">
        <v>45</v>
      </c>
      <c r="S346" s="3" t="s">
        <v>45</v>
      </c>
      <c r="T346" s="3" t="s">
        <v>45</v>
      </c>
      <c r="U346" s="3" t="s">
        <v>45</v>
      </c>
      <c r="V346" s="3" t="s">
        <v>45</v>
      </c>
      <c r="W346" s="3" t="s">
        <v>45</v>
      </c>
      <c r="X346" s="3" t="s">
        <v>45</v>
      </c>
      <c r="Y346" s="3" t="s">
        <v>45</v>
      </c>
      <c r="Z346" s="3" t="s">
        <v>74</v>
      </c>
      <c r="AA346" s="3" t="s">
        <v>45</v>
      </c>
      <c r="AB346" s="3" t="s">
        <v>45</v>
      </c>
      <c r="AC346" s="3" t="s">
        <v>45</v>
      </c>
      <c r="AD346" s="3" t="s">
        <v>45</v>
      </c>
      <c r="AE346" s="3" t="s">
        <v>45</v>
      </c>
      <c r="AF346" s="3" t="s">
        <v>45</v>
      </c>
      <c r="AG346" s="3" t="s">
        <v>45</v>
      </c>
      <c r="AH346" s="3" t="s">
        <v>57</v>
      </c>
      <c r="AI346" s="5" t="s">
        <v>3171</v>
      </c>
      <c r="AJ346" s="3" t="s">
        <v>45</v>
      </c>
      <c r="AK346" s="3" t="s">
        <v>45</v>
      </c>
      <c r="AL346" s="3" t="s">
        <v>45</v>
      </c>
      <c r="AM346" s="3" t="s">
        <v>45</v>
      </c>
      <c r="AN346" s="3" t="s">
        <v>45</v>
      </c>
      <c r="AO346" s="3" t="s">
        <v>45</v>
      </c>
      <c r="AP346" s="3" t="s">
        <v>45</v>
      </c>
      <c r="AQ346" s="4" t="s">
        <v>661</v>
      </c>
      <c r="AR346" s="4" t="s">
        <v>2231</v>
      </c>
    </row>
    <row r="347">
      <c r="A347" s="3" t="s">
        <v>3176</v>
      </c>
      <c r="B347" s="3" t="s">
        <v>3177</v>
      </c>
      <c r="C347" s="3" t="s">
        <v>3178</v>
      </c>
      <c r="D347" s="3" t="s">
        <v>2941</v>
      </c>
      <c r="E347" s="4" t="s">
        <v>3070</v>
      </c>
      <c r="F347" s="3" t="s">
        <v>3071</v>
      </c>
      <c r="G347" s="4" t="s">
        <v>3179</v>
      </c>
      <c r="H347" s="4" t="s">
        <v>3180</v>
      </c>
      <c r="I347" s="3" t="s">
        <v>436</v>
      </c>
      <c r="J347" s="3" t="s">
        <v>126</v>
      </c>
      <c r="K347" s="3" t="s">
        <v>45</v>
      </c>
      <c r="L347" s="3" t="s">
        <v>3181</v>
      </c>
      <c r="M347" s="3" t="s">
        <v>45</v>
      </c>
      <c r="N347" s="3" t="s">
        <v>45</v>
      </c>
      <c r="O347" s="3" t="s">
        <v>74</v>
      </c>
      <c r="P347" s="3" t="s">
        <v>45</v>
      </c>
      <c r="Q347" s="3" t="s">
        <v>45</v>
      </c>
      <c r="R347" s="3" t="s">
        <v>45</v>
      </c>
      <c r="S347" s="3" t="s">
        <v>45</v>
      </c>
      <c r="T347" s="3" t="s">
        <v>45</v>
      </c>
      <c r="U347" s="3" t="s">
        <v>45</v>
      </c>
      <c r="V347" s="3" t="s">
        <v>45</v>
      </c>
      <c r="W347" s="3" t="s">
        <v>45</v>
      </c>
      <c r="X347" s="3" t="s">
        <v>45</v>
      </c>
      <c r="Y347" s="3" t="s">
        <v>45</v>
      </c>
      <c r="Z347" s="3" t="s">
        <v>74</v>
      </c>
      <c r="AA347" s="3" t="s">
        <v>45</v>
      </c>
      <c r="AB347" s="3" t="s">
        <v>45</v>
      </c>
      <c r="AC347" s="3" t="s">
        <v>45</v>
      </c>
      <c r="AD347" s="3" t="s">
        <v>45</v>
      </c>
      <c r="AE347" s="3" t="s">
        <v>45</v>
      </c>
      <c r="AF347" s="3" t="s">
        <v>45</v>
      </c>
      <c r="AG347" s="3" t="s">
        <v>45</v>
      </c>
      <c r="AH347" s="3" t="s">
        <v>57</v>
      </c>
      <c r="AI347" s="5" t="s">
        <v>3182</v>
      </c>
      <c r="AJ347" s="3" t="s">
        <v>45</v>
      </c>
      <c r="AK347" s="3" t="s">
        <v>45</v>
      </c>
      <c r="AL347" s="3" t="s">
        <v>45</v>
      </c>
      <c r="AM347" s="3" t="s">
        <v>45</v>
      </c>
      <c r="AN347" s="3" t="s">
        <v>45</v>
      </c>
      <c r="AO347" s="3" t="s">
        <v>45</v>
      </c>
      <c r="AP347" s="3" t="s">
        <v>45</v>
      </c>
      <c r="AQ347" s="4" t="s">
        <v>3183</v>
      </c>
      <c r="AR347" s="4" t="s">
        <v>3183</v>
      </c>
    </row>
    <row r="348">
      <c r="A348" s="3" t="s">
        <v>3184</v>
      </c>
      <c r="B348" s="3" t="s">
        <v>3185</v>
      </c>
      <c r="C348" s="3" t="s">
        <v>3186</v>
      </c>
      <c r="D348" s="3" t="s">
        <v>2941</v>
      </c>
      <c r="E348" s="4" t="s">
        <v>3187</v>
      </c>
      <c r="F348" s="3" t="s">
        <v>3188</v>
      </c>
      <c r="G348" s="4" t="s">
        <v>3189</v>
      </c>
      <c r="H348" s="4" t="s">
        <v>3190</v>
      </c>
      <c r="I348" s="3" t="s">
        <v>49</v>
      </c>
      <c r="J348" s="3" t="s">
        <v>45</v>
      </c>
      <c r="K348" s="3" t="s">
        <v>45</v>
      </c>
      <c r="L348" s="3" t="s">
        <v>3191</v>
      </c>
      <c r="M348" s="3" t="s">
        <v>45</v>
      </c>
      <c r="N348" s="4" t="s">
        <v>1196</v>
      </c>
      <c r="O348" s="3" t="s">
        <v>70</v>
      </c>
      <c r="P348" s="3" t="s">
        <v>45</v>
      </c>
      <c r="Q348" s="3" t="s">
        <v>45</v>
      </c>
      <c r="R348" s="3" t="s">
        <v>45</v>
      </c>
      <c r="S348" s="4" t="s">
        <v>52</v>
      </c>
      <c r="T348" s="3" t="s">
        <v>45</v>
      </c>
      <c r="U348" s="3" t="s">
        <v>45</v>
      </c>
      <c r="V348" s="3" t="s">
        <v>45</v>
      </c>
      <c r="W348" s="4" t="s">
        <v>3192</v>
      </c>
      <c r="X348" s="3" t="s">
        <v>3193</v>
      </c>
      <c r="Y348" s="3" t="s">
        <v>45</v>
      </c>
      <c r="Z348" s="3" t="s">
        <v>55</v>
      </c>
      <c r="AA348" s="3" t="s">
        <v>45</v>
      </c>
      <c r="AB348" s="3" t="s">
        <v>45</v>
      </c>
      <c r="AC348" s="3" t="s">
        <v>45</v>
      </c>
      <c r="AD348" s="3" t="s">
        <v>45</v>
      </c>
      <c r="AE348" s="3" t="s">
        <v>45</v>
      </c>
      <c r="AF348" s="3" t="s">
        <v>45</v>
      </c>
      <c r="AG348" s="3" t="s">
        <v>45</v>
      </c>
      <c r="AH348" s="3" t="s">
        <v>57</v>
      </c>
      <c r="AI348" s="5" t="s">
        <v>3194</v>
      </c>
      <c r="AJ348" s="3" t="s">
        <v>45</v>
      </c>
      <c r="AK348" s="3" t="s">
        <v>45</v>
      </c>
      <c r="AL348" s="3" t="s">
        <v>45</v>
      </c>
      <c r="AM348" s="3" t="s">
        <v>45</v>
      </c>
      <c r="AN348" s="3" t="s">
        <v>45</v>
      </c>
      <c r="AO348" s="3" t="s">
        <v>45</v>
      </c>
      <c r="AP348" s="3" t="s">
        <v>45</v>
      </c>
      <c r="AQ348" s="4" t="s">
        <v>1230</v>
      </c>
      <c r="AR348" s="4" t="s">
        <v>1230</v>
      </c>
    </row>
    <row r="349">
      <c r="A349" s="3" t="s">
        <v>45</v>
      </c>
      <c r="B349" s="3" t="s">
        <v>3195</v>
      </c>
      <c r="C349" s="3" t="s">
        <v>3196</v>
      </c>
      <c r="D349" s="3" t="s">
        <v>2941</v>
      </c>
      <c r="E349" s="4" t="s">
        <v>3197</v>
      </c>
      <c r="F349" s="3" t="s">
        <v>2960</v>
      </c>
      <c r="G349" s="4" t="s">
        <v>3198</v>
      </c>
      <c r="H349" s="4" t="s">
        <v>3199</v>
      </c>
      <c r="I349" s="3" t="s">
        <v>49</v>
      </c>
      <c r="J349" s="3" t="s">
        <v>126</v>
      </c>
      <c r="K349" s="3" t="s">
        <v>45</v>
      </c>
      <c r="L349" s="3" t="s">
        <v>45</v>
      </c>
      <c r="M349" s="3" t="s">
        <v>45</v>
      </c>
      <c r="N349" s="3" t="s">
        <v>45</v>
      </c>
      <c r="O349" s="3" t="s">
        <v>74</v>
      </c>
      <c r="P349" s="3" t="s">
        <v>71</v>
      </c>
      <c r="Q349" s="3" t="s">
        <v>45</v>
      </c>
      <c r="R349" s="3" t="s">
        <v>45</v>
      </c>
      <c r="S349" s="3" t="s">
        <v>45</v>
      </c>
      <c r="T349" s="3" t="s">
        <v>45</v>
      </c>
      <c r="U349" s="3" t="s">
        <v>45</v>
      </c>
      <c r="V349" s="3" t="s">
        <v>45</v>
      </c>
      <c r="W349" s="4" t="s">
        <v>789</v>
      </c>
      <c r="X349" s="3" t="s">
        <v>45</v>
      </c>
      <c r="Y349" s="3" t="s">
        <v>45</v>
      </c>
      <c r="Z349" s="3" t="s">
        <v>74</v>
      </c>
      <c r="AA349" s="3" t="s">
        <v>45</v>
      </c>
      <c r="AB349" s="3" t="s">
        <v>45</v>
      </c>
      <c r="AC349" s="3" t="s">
        <v>45</v>
      </c>
      <c r="AD349" s="3" t="s">
        <v>45</v>
      </c>
      <c r="AE349" s="3" t="s">
        <v>45</v>
      </c>
      <c r="AF349" s="3" t="s">
        <v>45</v>
      </c>
      <c r="AG349" s="3" t="s">
        <v>3200</v>
      </c>
      <c r="AH349" s="3" t="s">
        <v>57</v>
      </c>
      <c r="AI349" s="5" t="s">
        <v>3201</v>
      </c>
      <c r="AJ349" s="3" t="s">
        <v>45</v>
      </c>
      <c r="AK349" s="3" t="s">
        <v>45</v>
      </c>
      <c r="AL349" s="3" t="s">
        <v>45</v>
      </c>
      <c r="AM349" s="3" t="s">
        <v>45</v>
      </c>
      <c r="AN349" s="3" t="s">
        <v>45</v>
      </c>
      <c r="AO349" s="3" t="s">
        <v>45</v>
      </c>
      <c r="AP349" s="3" t="s">
        <v>45</v>
      </c>
      <c r="AQ349" s="4" t="s">
        <v>78</v>
      </c>
      <c r="AR349" s="4" t="s">
        <v>78</v>
      </c>
    </row>
    <row r="350">
      <c r="A350" s="3" t="s">
        <v>3202</v>
      </c>
      <c r="B350" s="3" t="s">
        <v>3203</v>
      </c>
      <c r="C350" s="3" t="s">
        <v>3204</v>
      </c>
      <c r="D350" s="3" t="s">
        <v>2941</v>
      </c>
      <c r="E350" s="4" t="s">
        <v>3205</v>
      </c>
      <c r="F350" s="3" t="s">
        <v>202</v>
      </c>
      <c r="G350" s="4" t="s">
        <v>3206</v>
      </c>
      <c r="H350" s="4" t="s">
        <v>3207</v>
      </c>
      <c r="I350" s="3" t="s">
        <v>49</v>
      </c>
      <c r="J350" s="3" t="s">
        <v>126</v>
      </c>
      <c r="K350" s="3" t="s">
        <v>45</v>
      </c>
      <c r="L350" s="3" t="s">
        <v>3208</v>
      </c>
      <c r="M350" s="3" t="s">
        <v>45</v>
      </c>
      <c r="N350" s="4" t="s">
        <v>102</v>
      </c>
      <c r="O350" s="3" t="s">
        <v>88</v>
      </c>
      <c r="P350" s="3" t="s">
        <v>45</v>
      </c>
      <c r="Q350" s="3" t="s">
        <v>45</v>
      </c>
      <c r="R350" s="3" t="s">
        <v>45</v>
      </c>
      <c r="S350" s="4" t="s">
        <v>275</v>
      </c>
      <c r="T350" s="3" t="s">
        <v>45</v>
      </c>
      <c r="U350" s="3" t="s">
        <v>45</v>
      </c>
      <c r="V350" s="4" t="s">
        <v>3209</v>
      </c>
      <c r="W350" s="4" t="s">
        <v>156</v>
      </c>
      <c r="X350" s="3" t="s">
        <v>45</v>
      </c>
      <c r="Y350" s="4" t="s">
        <v>73</v>
      </c>
      <c r="Z350" s="3" t="s">
        <v>55</v>
      </c>
      <c r="AA350" s="3" t="s">
        <v>45</v>
      </c>
      <c r="AB350" s="3" t="s">
        <v>45</v>
      </c>
      <c r="AC350" s="3" t="s">
        <v>45</v>
      </c>
      <c r="AD350" s="3" t="s">
        <v>45</v>
      </c>
      <c r="AE350" s="3" t="s">
        <v>45</v>
      </c>
      <c r="AF350" s="5" t="s">
        <v>3210</v>
      </c>
      <c r="AG350" s="3" t="s">
        <v>45</v>
      </c>
      <c r="AH350" s="3" t="s">
        <v>57</v>
      </c>
      <c r="AI350" s="5" t="s">
        <v>3211</v>
      </c>
      <c r="AJ350" s="5" t="s">
        <v>3212</v>
      </c>
      <c r="AK350" s="3" t="s">
        <v>45</v>
      </c>
      <c r="AL350" s="3" t="s">
        <v>45</v>
      </c>
      <c r="AM350" s="3" t="s">
        <v>45</v>
      </c>
      <c r="AN350" s="3" t="s">
        <v>45</v>
      </c>
      <c r="AO350" s="3" t="s">
        <v>45</v>
      </c>
      <c r="AP350" s="3" t="s">
        <v>45</v>
      </c>
      <c r="AQ350" s="4" t="s">
        <v>2630</v>
      </c>
      <c r="AR350" s="4" t="s">
        <v>2929</v>
      </c>
    </row>
    <row r="351">
      <c r="A351" s="3" t="s">
        <v>3213</v>
      </c>
      <c r="B351" s="3" t="s">
        <v>3214</v>
      </c>
      <c r="C351" s="3" t="s">
        <v>3215</v>
      </c>
      <c r="D351" s="3" t="s">
        <v>2941</v>
      </c>
      <c r="E351" s="4" t="s">
        <v>3216</v>
      </c>
      <c r="F351" s="3" t="s">
        <v>3217</v>
      </c>
      <c r="G351" s="4" t="s">
        <v>3218</v>
      </c>
      <c r="H351" s="4" t="s">
        <v>3219</v>
      </c>
      <c r="I351" s="3" t="s">
        <v>218</v>
      </c>
      <c r="J351" s="3" t="s">
        <v>126</v>
      </c>
      <c r="K351" s="3" t="s">
        <v>45</v>
      </c>
      <c r="L351" s="3" t="s">
        <v>45</v>
      </c>
      <c r="M351" s="3" t="s">
        <v>45</v>
      </c>
      <c r="N351" s="4" t="s">
        <v>3220</v>
      </c>
      <c r="O351" s="3" t="s">
        <v>88</v>
      </c>
      <c r="P351" s="3" t="s">
        <v>3025</v>
      </c>
      <c r="Q351" s="3" t="s">
        <v>45</v>
      </c>
      <c r="R351" s="3" t="s">
        <v>45</v>
      </c>
      <c r="S351" s="4" t="s">
        <v>275</v>
      </c>
      <c r="T351" s="3" t="s">
        <v>105</v>
      </c>
      <c r="U351" s="3" t="s">
        <v>221</v>
      </c>
      <c r="V351" s="4" t="s">
        <v>1650</v>
      </c>
      <c r="W351" s="4" t="s">
        <v>3221</v>
      </c>
      <c r="X351" s="3" t="s">
        <v>3222</v>
      </c>
      <c r="Y351" s="4" t="s">
        <v>317</v>
      </c>
      <c r="Z351" s="3" t="s">
        <v>55</v>
      </c>
      <c r="AA351" s="3" t="s">
        <v>45</v>
      </c>
      <c r="AB351" s="3" t="s">
        <v>45</v>
      </c>
      <c r="AC351" s="3" t="s">
        <v>45</v>
      </c>
      <c r="AD351" s="3" t="s">
        <v>45</v>
      </c>
      <c r="AE351" s="3" t="s">
        <v>45</v>
      </c>
      <c r="AF351" s="3" t="s">
        <v>45</v>
      </c>
      <c r="AG351" s="3" t="s">
        <v>3223</v>
      </c>
      <c r="AH351" s="3" t="s">
        <v>57</v>
      </c>
      <c r="AI351" s="5" t="s">
        <v>3224</v>
      </c>
      <c r="AJ351" s="5" t="s">
        <v>3225</v>
      </c>
      <c r="AK351" s="3" t="s">
        <v>45</v>
      </c>
      <c r="AL351" s="3" t="s">
        <v>45</v>
      </c>
      <c r="AM351" s="3" t="s">
        <v>45</v>
      </c>
      <c r="AN351" s="3" t="s">
        <v>45</v>
      </c>
      <c r="AO351" s="3" t="s">
        <v>45</v>
      </c>
      <c r="AP351" s="3" t="s">
        <v>45</v>
      </c>
      <c r="AQ351" s="4" t="s">
        <v>3108</v>
      </c>
      <c r="AR351" s="4" t="s">
        <v>1589</v>
      </c>
    </row>
    <row r="352">
      <c r="A352" s="3" t="s">
        <v>3119</v>
      </c>
      <c r="B352" s="3" t="s">
        <v>3226</v>
      </c>
      <c r="C352" s="3" t="s">
        <v>3227</v>
      </c>
      <c r="D352" s="3" t="s">
        <v>2941</v>
      </c>
      <c r="E352" s="4" t="s">
        <v>3228</v>
      </c>
      <c r="F352" s="3" t="s">
        <v>3229</v>
      </c>
      <c r="G352" s="4" t="s">
        <v>3230</v>
      </c>
      <c r="H352" s="4" t="s">
        <v>3231</v>
      </c>
      <c r="I352" s="3" t="s">
        <v>218</v>
      </c>
      <c r="J352" s="3" t="s">
        <v>126</v>
      </c>
      <c r="K352" s="3" t="s">
        <v>45</v>
      </c>
      <c r="L352" s="3" t="s">
        <v>45</v>
      </c>
      <c r="M352" s="3" t="s">
        <v>45</v>
      </c>
      <c r="N352" s="3" t="s">
        <v>45</v>
      </c>
      <c r="O352" s="3" t="s">
        <v>74</v>
      </c>
      <c r="P352" s="3" t="s">
        <v>45</v>
      </c>
      <c r="Q352" s="3" t="s">
        <v>45</v>
      </c>
      <c r="R352" s="3" t="s">
        <v>45</v>
      </c>
      <c r="S352" s="4" t="s">
        <v>922</v>
      </c>
      <c r="T352" s="3" t="s">
        <v>45</v>
      </c>
      <c r="U352" s="3" t="s">
        <v>45</v>
      </c>
      <c r="V352" s="3" t="s">
        <v>45</v>
      </c>
      <c r="W352" s="3" t="s">
        <v>45</v>
      </c>
      <c r="X352" s="3" t="s">
        <v>45</v>
      </c>
      <c r="Y352" s="3" t="s">
        <v>45</v>
      </c>
      <c r="Z352" s="3" t="s">
        <v>74</v>
      </c>
      <c r="AA352" s="3" t="s">
        <v>45</v>
      </c>
      <c r="AB352" s="3" t="s">
        <v>45</v>
      </c>
      <c r="AC352" s="3" t="s">
        <v>45</v>
      </c>
      <c r="AD352" s="3" t="s">
        <v>45</v>
      </c>
      <c r="AE352" s="3" t="s">
        <v>45</v>
      </c>
      <c r="AF352" s="3" t="s">
        <v>45</v>
      </c>
      <c r="AG352" s="3" t="s">
        <v>45</v>
      </c>
      <c r="AH352" s="3" t="s">
        <v>57</v>
      </c>
      <c r="AI352" s="5" t="s">
        <v>3232</v>
      </c>
      <c r="AJ352" s="3" t="s">
        <v>45</v>
      </c>
      <c r="AK352" s="3" t="s">
        <v>45</v>
      </c>
      <c r="AL352" s="3" t="s">
        <v>45</v>
      </c>
      <c r="AM352" s="3" t="s">
        <v>45</v>
      </c>
      <c r="AN352" s="3" t="s">
        <v>45</v>
      </c>
      <c r="AO352" s="3" t="s">
        <v>45</v>
      </c>
      <c r="AP352" s="3" t="s">
        <v>45</v>
      </c>
      <c r="AQ352" s="4" t="s">
        <v>3233</v>
      </c>
      <c r="AR352" s="4" t="s">
        <v>3233</v>
      </c>
    </row>
    <row r="353">
      <c r="A353" s="3" t="s">
        <v>3119</v>
      </c>
      <c r="B353" s="3" t="s">
        <v>3234</v>
      </c>
      <c r="C353" s="3" t="s">
        <v>3227</v>
      </c>
      <c r="D353" s="3" t="s">
        <v>2941</v>
      </c>
      <c r="E353" s="4" t="s">
        <v>3235</v>
      </c>
      <c r="F353" s="3" t="s">
        <v>3229</v>
      </c>
      <c r="G353" s="4" t="s">
        <v>3236</v>
      </c>
      <c r="H353" s="4" t="s">
        <v>3237</v>
      </c>
      <c r="I353" s="3" t="s">
        <v>49</v>
      </c>
      <c r="J353" s="3" t="s">
        <v>126</v>
      </c>
      <c r="K353" s="3" t="s">
        <v>45</v>
      </c>
      <c r="L353" s="3" t="s">
        <v>45</v>
      </c>
      <c r="M353" s="3" t="s">
        <v>45</v>
      </c>
      <c r="N353" s="3" t="s">
        <v>45</v>
      </c>
      <c r="O353" s="3" t="s">
        <v>74</v>
      </c>
      <c r="P353" s="3" t="s">
        <v>45</v>
      </c>
      <c r="Q353" s="3" t="s">
        <v>45</v>
      </c>
      <c r="R353" s="3" t="s">
        <v>45</v>
      </c>
      <c r="S353" s="3" t="s">
        <v>45</v>
      </c>
      <c r="T353" s="3" t="s">
        <v>45</v>
      </c>
      <c r="U353" s="3" t="s">
        <v>45</v>
      </c>
      <c r="V353" s="4" t="s">
        <v>3238</v>
      </c>
      <c r="W353" s="4" t="s">
        <v>3239</v>
      </c>
      <c r="X353" s="3" t="s">
        <v>45</v>
      </c>
      <c r="Y353" s="3" t="s">
        <v>45</v>
      </c>
      <c r="Z353" s="3" t="s">
        <v>74</v>
      </c>
      <c r="AA353" s="3" t="s">
        <v>45</v>
      </c>
      <c r="AB353" s="3" t="s">
        <v>45</v>
      </c>
      <c r="AC353" s="3" t="s">
        <v>45</v>
      </c>
      <c r="AD353" s="3" t="s">
        <v>45</v>
      </c>
      <c r="AE353" s="3" t="s">
        <v>45</v>
      </c>
      <c r="AF353" s="3" t="s">
        <v>45</v>
      </c>
      <c r="AG353" s="3" t="s">
        <v>45</v>
      </c>
      <c r="AH353" s="3" t="s">
        <v>57</v>
      </c>
      <c r="AI353" s="5" t="s">
        <v>3240</v>
      </c>
      <c r="AJ353" s="3" t="s">
        <v>45</v>
      </c>
      <c r="AK353" s="3" t="s">
        <v>45</v>
      </c>
      <c r="AL353" s="3" t="s">
        <v>45</v>
      </c>
      <c r="AM353" s="3" t="s">
        <v>45</v>
      </c>
      <c r="AN353" s="3" t="s">
        <v>45</v>
      </c>
      <c r="AO353" s="3" t="s">
        <v>45</v>
      </c>
      <c r="AP353" s="3" t="s">
        <v>45</v>
      </c>
      <c r="AQ353" s="4" t="s">
        <v>3233</v>
      </c>
      <c r="AR353" s="4" t="s">
        <v>3233</v>
      </c>
    </row>
    <row r="354">
      <c r="A354" s="3" t="s">
        <v>3241</v>
      </c>
      <c r="B354" s="3" t="s">
        <v>3242</v>
      </c>
      <c r="C354" s="3" t="s">
        <v>3243</v>
      </c>
      <c r="D354" s="3" t="s">
        <v>3244</v>
      </c>
      <c r="E354" s="4" t="s">
        <v>3245</v>
      </c>
      <c r="F354" s="3" t="s">
        <v>3246</v>
      </c>
      <c r="G354" s="4" t="s">
        <v>3247</v>
      </c>
      <c r="H354" s="4" t="s">
        <v>3248</v>
      </c>
      <c r="I354" s="3" t="s">
        <v>85</v>
      </c>
      <c r="J354" s="3" t="s">
        <v>126</v>
      </c>
      <c r="K354" s="3" t="s">
        <v>45</v>
      </c>
      <c r="L354" s="3" t="s">
        <v>45</v>
      </c>
      <c r="M354" s="3" t="s">
        <v>45</v>
      </c>
      <c r="N354" s="4" t="s">
        <v>3249</v>
      </c>
      <c r="O354" s="3" t="s">
        <v>53</v>
      </c>
      <c r="P354" s="3" t="s">
        <v>45</v>
      </c>
      <c r="Q354" s="3" t="s">
        <v>45</v>
      </c>
      <c r="R354" s="3" t="s">
        <v>45</v>
      </c>
      <c r="S354" s="3" t="s">
        <v>45</v>
      </c>
      <c r="T354" s="3" t="s">
        <v>45</v>
      </c>
      <c r="U354" s="3" t="s">
        <v>45</v>
      </c>
      <c r="V354" s="4" t="s">
        <v>3250</v>
      </c>
      <c r="W354" s="3" t="s">
        <v>45</v>
      </c>
      <c r="X354" s="3" t="s">
        <v>45</v>
      </c>
      <c r="Y354" s="3" t="s">
        <v>45</v>
      </c>
      <c r="Z354" s="3" t="s">
        <v>74</v>
      </c>
      <c r="AA354" s="3" t="s">
        <v>45</v>
      </c>
      <c r="AB354" s="3" t="s">
        <v>45</v>
      </c>
      <c r="AC354" s="3" t="s">
        <v>45</v>
      </c>
      <c r="AD354" s="3" t="s">
        <v>45</v>
      </c>
      <c r="AE354" s="3" t="s">
        <v>45</v>
      </c>
      <c r="AF354" s="3" t="s">
        <v>45</v>
      </c>
      <c r="AG354" s="3" t="s">
        <v>45</v>
      </c>
      <c r="AH354" s="3" t="s">
        <v>57</v>
      </c>
      <c r="AI354" s="5" t="s">
        <v>3251</v>
      </c>
      <c r="AJ354" s="3" t="s">
        <v>45</v>
      </c>
      <c r="AK354" s="3" t="s">
        <v>45</v>
      </c>
      <c r="AL354" s="3" t="s">
        <v>45</v>
      </c>
      <c r="AM354" s="3" t="s">
        <v>45</v>
      </c>
      <c r="AN354" s="3" t="s">
        <v>45</v>
      </c>
      <c r="AO354" s="3" t="s">
        <v>45</v>
      </c>
      <c r="AP354" s="3" t="s">
        <v>45</v>
      </c>
      <c r="AQ354" s="4" t="s">
        <v>3252</v>
      </c>
      <c r="AR354" s="4" t="s">
        <v>3252</v>
      </c>
    </row>
    <row r="355">
      <c r="A355" s="3" t="s">
        <v>3253</v>
      </c>
      <c r="B355" s="3" t="s">
        <v>3254</v>
      </c>
      <c r="C355" s="3" t="s">
        <v>3255</v>
      </c>
      <c r="D355" s="3" t="s">
        <v>3244</v>
      </c>
      <c r="E355" s="4" t="s">
        <v>3256</v>
      </c>
      <c r="F355" s="3" t="s">
        <v>3257</v>
      </c>
      <c r="G355" s="4" t="s">
        <v>3258</v>
      </c>
      <c r="H355" s="4" t="s">
        <v>3259</v>
      </c>
      <c r="I355" s="3" t="s">
        <v>49</v>
      </c>
      <c r="J355" s="3" t="s">
        <v>45</v>
      </c>
      <c r="K355" s="3" t="s">
        <v>45</v>
      </c>
      <c r="L355" s="3" t="s">
        <v>45</v>
      </c>
      <c r="M355" s="3" t="s">
        <v>45</v>
      </c>
      <c r="N355" s="4" t="s">
        <v>835</v>
      </c>
      <c r="O355" s="3" t="s">
        <v>53</v>
      </c>
      <c r="P355" s="3" t="s">
        <v>45</v>
      </c>
      <c r="Q355" s="3" t="s">
        <v>45</v>
      </c>
      <c r="R355" s="3" t="s">
        <v>45</v>
      </c>
      <c r="S355" s="3" t="s">
        <v>45</v>
      </c>
      <c r="T355" s="3" t="s">
        <v>45</v>
      </c>
      <c r="U355" s="3" t="s">
        <v>45</v>
      </c>
      <c r="V355" s="4" t="s">
        <v>3260</v>
      </c>
      <c r="W355" s="4" t="s">
        <v>472</v>
      </c>
      <c r="X355" s="3" t="s">
        <v>3261</v>
      </c>
      <c r="Y355" s="3" t="s">
        <v>45</v>
      </c>
      <c r="Z355" s="3" t="s">
        <v>55</v>
      </c>
      <c r="AA355" s="3" t="s">
        <v>45</v>
      </c>
      <c r="AB355" s="3" t="s">
        <v>56</v>
      </c>
      <c r="AC355" s="3" t="s">
        <v>45</v>
      </c>
      <c r="AD355" s="3" t="s">
        <v>45</v>
      </c>
      <c r="AE355" s="3" t="s">
        <v>45</v>
      </c>
      <c r="AF355" s="3" t="s">
        <v>45</v>
      </c>
      <c r="AG355" s="3" t="s">
        <v>45</v>
      </c>
      <c r="AH355" s="3" t="s">
        <v>57</v>
      </c>
      <c r="AI355" s="5" t="s">
        <v>3262</v>
      </c>
      <c r="AJ355" s="5" t="s">
        <v>3263</v>
      </c>
      <c r="AK355" s="3" t="s">
        <v>45</v>
      </c>
      <c r="AL355" s="3" t="s">
        <v>45</v>
      </c>
      <c r="AM355" s="3" t="s">
        <v>45</v>
      </c>
      <c r="AN355" s="3" t="s">
        <v>45</v>
      </c>
      <c r="AO355" s="3" t="s">
        <v>45</v>
      </c>
      <c r="AP355" s="3" t="s">
        <v>45</v>
      </c>
      <c r="AQ355" s="4" t="s">
        <v>413</v>
      </c>
      <c r="AR355" s="4" t="s">
        <v>413</v>
      </c>
    </row>
    <row r="356">
      <c r="A356" s="3" t="s">
        <v>3264</v>
      </c>
      <c r="B356" s="3" t="s">
        <v>3265</v>
      </c>
      <c r="C356" s="3" t="s">
        <v>3266</v>
      </c>
      <c r="D356" s="3" t="s">
        <v>3244</v>
      </c>
      <c r="E356" s="4" t="s">
        <v>3267</v>
      </c>
      <c r="F356" s="3" t="s">
        <v>3268</v>
      </c>
      <c r="G356" s="4" t="s">
        <v>3269</v>
      </c>
      <c r="H356" s="4" t="s">
        <v>3270</v>
      </c>
      <c r="I356" s="3" t="s">
        <v>436</v>
      </c>
      <c r="J356" s="3" t="s">
        <v>126</v>
      </c>
      <c r="K356" s="3" t="s">
        <v>45</v>
      </c>
      <c r="L356" s="3" t="s">
        <v>45</v>
      </c>
      <c r="M356" s="3" t="s">
        <v>45</v>
      </c>
      <c r="N356" s="3" t="s">
        <v>45</v>
      </c>
      <c r="O356" s="3" t="s">
        <v>74</v>
      </c>
      <c r="P356" s="3" t="s">
        <v>45</v>
      </c>
      <c r="Q356" s="3" t="s">
        <v>45</v>
      </c>
      <c r="R356" s="3" t="s">
        <v>45</v>
      </c>
      <c r="S356" s="3" t="s">
        <v>45</v>
      </c>
      <c r="T356" s="3" t="s">
        <v>45</v>
      </c>
      <c r="U356" s="3" t="s">
        <v>45</v>
      </c>
      <c r="V356" s="3" t="s">
        <v>45</v>
      </c>
      <c r="W356" s="3" t="s">
        <v>45</v>
      </c>
      <c r="X356" s="3" t="s">
        <v>45</v>
      </c>
      <c r="Y356" s="3" t="s">
        <v>45</v>
      </c>
      <c r="Z356" s="3" t="s">
        <v>55</v>
      </c>
      <c r="AA356" s="3" t="s">
        <v>45</v>
      </c>
      <c r="AB356" s="3" t="s">
        <v>45</v>
      </c>
      <c r="AC356" s="3" t="s">
        <v>45</v>
      </c>
      <c r="AD356" s="3" t="s">
        <v>45</v>
      </c>
      <c r="AE356" s="3" t="s">
        <v>45</v>
      </c>
      <c r="AF356" s="3" t="s">
        <v>45</v>
      </c>
      <c r="AG356" s="3" t="s">
        <v>3271</v>
      </c>
      <c r="AH356" s="3" t="s">
        <v>57</v>
      </c>
      <c r="AI356" s="5" t="s">
        <v>3272</v>
      </c>
      <c r="AJ356" s="5" t="s">
        <v>572</v>
      </c>
      <c r="AK356" s="3" t="s">
        <v>45</v>
      </c>
      <c r="AL356" s="3" t="s">
        <v>45</v>
      </c>
      <c r="AM356" s="3" t="s">
        <v>45</v>
      </c>
      <c r="AN356" s="3" t="s">
        <v>45</v>
      </c>
      <c r="AO356" s="3" t="s">
        <v>45</v>
      </c>
      <c r="AP356" s="3" t="s">
        <v>45</v>
      </c>
      <c r="AQ356" s="4" t="s">
        <v>364</v>
      </c>
      <c r="AR356" s="4" t="s">
        <v>364</v>
      </c>
    </row>
    <row r="357">
      <c r="A357" s="3" t="s">
        <v>3273</v>
      </c>
      <c r="B357" s="3" t="s">
        <v>3274</v>
      </c>
      <c r="C357" s="3" t="s">
        <v>1838</v>
      </c>
      <c r="D357" s="3" t="s">
        <v>3244</v>
      </c>
      <c r="E357" s="4" t="s">
        <v>3275</v>
      </c>
      <c r="F357" s="3" t="s">
        <v>3276</v>
      </c>
      <c r="G357" s="4" t="s">
        <v>3277</v>
      </c>
      <c r="H357" s="4" t="s">
        <v>3278</v>
      </c>
      <c r="I357" s="3" t="s">
        <v>85</v>
      </c>
      <c r="J357" s="3" t="s">
        <v>126</v>
      </c>
      <c r="K357" s="3" t="s">
        <v>45</v>
      </c>
      <c r="L357" s="3" t="s">
        <v>45</v>
      </c>
      <c r="M357" s="3" t="s">
        <v>45</v>
      </c>
      <c r="N357" s="3" t="s">
        <v>45</v>
      </c>
      <c r="O357" s="3" t="s">
        <v>74</v>
      </c>
      <c r="P357" s="3" t="s">
        <v>45</v>
      </c>
      <c r="Q357" s="3" t="s">
        <v>45</v>
      </c>
      <c r="R357" s="3" t="s">
        <v>45</v>
      </c>
      <c r="S357" s="3" t="s">
        <v>45</v>
      </c>
      <c r="T357" s="3" t="s">
        <v>45</v>
      </c>
      <c r="U357" s="3" t="s">
        <v>45</v>
      </c>
      <c r="V357" s="4" t="s">
        <v>3279</v>
      </c>
      <c r="W357" s="3" t="s">
        <v>45</v>
      </c>
      <c r="X357" s="3" t="s">
        <v>45</v>
      </c>
      <c r="Y357" s="3" t="s">
        <v>45</v>
      </c>
      <c r="Z357" s="3" t="s">
        <v>74</v>
      </c>
      <c r="AA357" s="3" t="s">
        <v>45</v>
      </c>
      <c r="AB357" s="3" t="s">
        <v>45</v>
      </c>
      <c r="AC357" s="3" t="s">
        <v>45</v>
      </c>
      <c r="AD357" s="3" t="s">
        <v>45</v>
      </c>
      <c r="AE357" s="3" t="s">
        <v>45</v>
      </c>
      <c r="AF357" s="3" t="s">
        <v>45</v>
      </c>
      <c r="AG357" s="3" t="s">
        <v>45</v>
      </c>
      <c r="AH357" s="3" t="s">
        <v>57</v>
      </c>
      <c r="AI357" s="3" t="s">
        <v>45</v>
      </c>
      <c r="AJ357" s="3" t="s">
        <v>45</v>
      </c>
      <c r="AK357" s="3" t="s">
        <v>45</v>
      </c>
      <c r="AL357" s="3" t="s">
        <v>45</v>
      </c>
      <c r="AM357" s="3" t="s">
        <v>45</v>
      </c>
      <c r="AN357" s="3" t="s">
        <v>45</v>
      </c>
      <c r="AO357" s="3" t="s">
        <v>45</v>
      </c>
      <c r="AP357" s="3" t="s">
        <v>45</v>
      </c>
      <c r="AQ357" s="4" t="s">
        <v>3280</v>
      </c>
      <c r="AR357" s="4" t="s">
        <v>3280</v>
      </c>
    </row>
    <row r="358">
      <c r="A358" s="3" t="s">
        <v>2989</v>
      </c>
      <c r="B358" s="3" t="s">
        <v>3281</v>
      </c>
      <c r="C358" s="3" t="s">
        <v>3282</v>
      </c>
      <c r="D358" s="3" t="s">
        <v>3244</v>
      </c>
      <c r="E358" s="4" t="s">
        <v>3283</v>
      </c>
      <c r="F358" s="3" t="s">
        <v>3284</v>
      </c>
      <c r="G358" s="4" t="s">
        <v>3285</v>
      </c>
      <c r="H358" s="4" t="s">
        <v>3286</v>
      </c>
      <c r="I358" s="3" t="s">
        <v>49</v>
      </c>
      <c r="J358" s="3" t="s">
        <v>50</v>
      </c>
      <c r="K358" s="3" t="s">
        <v>45</v>
      </c>
      <c r="L358" s="3" t="s">
        <v>45</v>
      </c>
      <c r="M358" s="3" t="s">
        <v>45</v>
      </c>
      <c r="N358" s="3" t="s">
        <v>45</v>
      </c>
      <c r="O358" s="3" t="s">
        <v>74</v>
      </c>
      <c r="P358" s="3" t="s">
        <v>45</v>
      </c>
      <c r="Q358" s="3" t="s">
        <v>45</v>
      </c>
      <c r="R358" s="3" t="s">
        <v>45</v>
      </c>
      <c r="S358" s="3" t="s">
        <v>45</v>
      </c>
      <c r="T358" s="3" t="s">
        <v>45</v>
      </c>
      <c r="U358" s="3" t="s">
        <v>45</v>
      </c>
      <c r="V358" s="3" t="s">
        <v>45</v>
      </c>
      <c r="W358" s="4" t="s">
        <v>3287</v>
      </c>
      <c r="X358" s="3" t="s">
        <v>3288</v>
      </c>
      <c r="Y358" s="3" t="s">
        <v>45</v>
      </c>
      <c r="Z358" s="3" t="s">
        <v>74</v>
      </c>
      <c r="AA358" s="3" t="s">
        <v>45</v>
      </c>
      <c r="AB358" s="3" t="s">
        <v>45</v>
      </c>
      <c r="AC358" s="3" t="s">
        <v>45</v>
      </c>
      <c r="AD358" s="3" t="s">
        <v>45</v>
      </c>
      <c r="AE358" s="3" t="s">
        <v>45</v>
      </c>
      <c r="AF358" s="3" t="s">
        <v>45</v>
      </c>
      <c r="AG358" s="3" t="s">
        <v>45</v>
      </c>
      <c r="AH358" s="3" t="s">
        <v>57</v>
      </c>
      <c r="AI358" s="5" t="s">
        <v>3289</v>
      </c>
      <c r="AJ358" s="5" t="s">
        <v>3290</v>
      </c>
      <c r="AK358" s="3" t="s">
        <v>45</v>
      </c>
      <c r="AL358" s="3" t="s">
        <v>45</v>
      </c>
      <c r="AM358" s="3" t="s">
        <v>45</v>
      </c>
      <c r="AN358" s="3" t="s">
        <v>45</v>
      </c>
      <c r="AO358" s="3" t="s">
        <v>45</v>
      </c>
      <c r="AP358" s="3" t="s">
        <v>45</v>
      </c>
      <c r="AQ358" s="4" t="s">
        <v>1260</v>
      </c>
      <c r="AR358" s="4" t="s">
        <v>1260</v>
      </c>
    </row>
    <row r="359">
      <c r="A359" s="3" t="s">
        <v>3291</v>
      </c>
      <c r="B359" s="3" t="s">
        <v>3292</v>
      </c>
      <c r="C359" s="3" t="s">
        <v>3282</v>
      </c>
      <c r="D359" s="3" t="s">
        <v>3244</v>
      </c>
      <c r="E359" s="4" t="s">
        <v>3283</v>
      </c>
      <c r="F359" s="3" t="s">
        <v>3284</v>
      </c>
      <c r="G359" s="4" t="s">
        <v>3293</v>
      </c>
      <c r="H359" s="4" t="s">
        <v>3294</v>
      </c>
      <c r="I359" s="3" t="s">
        <v>49</v>
      </c>
      <c r="J359" s="3" t="s">
        <v>50</v>
      </c>
      <c r="K359" s="3" t="s">
        <v>45</v>
      </c>
      <c r="L359" s="3" t="s">
        <v>45</v>
      </c>
      <c r="M359" s="3" t="s">
        <v>45</v>
      </c>
      <c r="N359" s="3" t="s">
        <v>45</v>
      </c>
      <c r="O359" s="3" t="s">
        <v>74</v>
      </c>
      <c r="P359" s="3" t="s">
        <v>45</v>
      </c>
      <c r="Q359" s="3" t="s">
        <v>45</v>
      </c>
      <c r="R359" s="3" t="s">
        <v>45</v>
      </c>
      <c r="S359" s="3" t="s">
        <v>45</v>
      </c>
      <c r="T359" s="3" t="s">
        <v>45</v>
      </c>
      <c r="U359" s="3" t="s">
        <v>45</v>
      </c>
      <c r="V359" s="4" t="s">
        <v>2044</v>
      </c>
      <c r="W359" s="3" t="s">
        <v>45</v>
      </c>
      <c r="X359" s="3" t="s">
        <v>45</v>
      </c>
      <c r="Y359" s="3" t="s">
        <v>45</v>
      </c>
      <c r="Z359" s="3" t="s">
        <v>74</v>
      </c>
      <c r="AA359" s="3" t="s">
        <v>45</v>
      </c>
      <c r="AB359" s="3" t="s">
        <v>45</v>
      </c>
      <c r="AC359" s="3" t="s">
        <v>45</v>
      </c>
      <c r="AD359" s="3" t="s">
        <v>45</v>
      </c>
      <c r="AE359" s="3" t="s">
        <v>45</v>
      </c>
      <c r="AF359" s="3" t="s">
        <v>45</v>
      </c>
      <c r="AG359" s="3" t="s">
        <v>45</v>
      </c>
      <c r="AH359" s="3" t="s">
        <v>57</v>
      </c>
      <c r="AI359" s="5" t="s">
        <v>3290</v>
      </c>
      <c r="AJ359" s="3" t="s">
        <v>45</v>
      </c>
      <c r="AK359" s="3" t="s">
        <v>45</v>
      </c>
      <c r="AL359" s="3" t="s">
        <v>45</v>
      </c>
      <c r="AM359" s="3" t="s">
        <v>45</v>
      </c>
      <c r="AN359" s="3" t="s">
        <v>45</v>
      </c>
      <c r="AO359" s="3" t="s">
        <v>45</v>
      </c>
      <c r="AP359" s="3" t="s">
        <v>45</v>
      </c>
      <c r="AQ359" s="4" t="s">
        <v>1260</v>
      </c>
      <c r="AR359" s="4" t="s">
        <v>1260</v>
      </c>
    </row>
    <row r="360">
      <c r="A360" s="3" t="s">
        <v>3295</v>
      </c>
      <c r="B360" s="3" t="s">
        <v>3296</v>
      </c>
      <c r="C360" s="3" t="s">
        <v>3297</v>
      </c>
      <c r="D360" s="3" t="s">
        <v>3244</v>
      </c>
      <c r="E360" s="4" t="s">
        <v>3298</v>
      </c>
      <c r="F360" s="3" t="s">
        <v>3299</v>
      </c>
      <c r="G360" s="4" t="s">
        <v>3300</v>
      </c>
      <c r="H360" s="4" t="s">
        <v>3301</v>
      </c>
      <c r="I360" s="3" t="s">
        <v>49</v>
      </c>
      <c r="J360" s="3" t="s">
        <v>126</v>
      </c>
      <c r="K360" s="3" t="s">
        <v>45</v>
      </c>
      <c r="L360" s="3" t="s">
        <v>45</v>
      </c>
      <c r="M360" s="3" t="s">
        <v>45</v>
      </c>
      <c r="N360" s="4" t="s">
        <v>410</v>
      </c>
      <c r="O360" s="3" t="s">
        <v>88</v>
      </c>
      <c r="P360" s="3" t="s">
        <v>45</v>
      </c>
      <c r="Q360" s="3" t="s">
        <v>45</v>
      </c>
      <c r="R360" s="3" t="s">
        <v>45</v>
      </c>
      <c r="S360" s="4" t="s">
        <v>233</v>
      </c>
      <c r="T360" s="3" t="s">
        <v>45</v>
      </c>
      <c r="U360" s="3" t="s">
        <v>45</v>
      </c>
      <c r="V360" s="4" t="s">
        <v>2105</v>
      </c>
      <c r="W360" s="4" t="s">
        <v>3302</v>
      </c>
      <c r="X360" s="3" t="s">
        <v>3303</v>
      </c>
      <c r="Y360" s="4" t="s">
        <v>73</v>
      </c>
      <c r="Z360" s="3" t="s">
        <v>74</v>
      </c>
      <c r="AA360" s="3" t="s">
        <v>45</v>
      </c>
      <c r="AB360" s="3" t="s">
        <v>45</v>
      </c>
      <c r="AC360" s="3" t="s">
        <v>45</v>
      </c>
      <c r="AD360" s="3" t="s">
        <v>45</v>
      </c>
      <c r="AE360" s="3" t="s">
        <v>45</v>
      </c>
      <c r="AF360" s="3" t="s">
        <v>45</v>
      </c>
      <c r="AG360" s="3" t="s">
        <v>3304</v>
      </c>
      <c r="AH360" s="3" t="s">
        <v>57</v>
      </c>
      <c r="AI360" s="5" t="s">
        <v>3305</v>
      </c>
      <c r="AJ360" s="3" t="s">
        <v>45</v>
      </c>
      <c r="AK360" s="3" t="s">
        <v>45</v>
      </c>
      <c r="AL360" s="3" t="s">
        <v>45</v>
      </c>
      <c r="AM360" s="3" t="s">
        <v>45</v>
      </c>
      <c r="AN360" s="3" t="s">
        <v>45</v>
      </c>
      <c r="AO360" s="3" t="s">
        <v>45</v>
      </c>
      <c r="AP360" s="3" t="s">
        <v>45</v>
      </c>
      <c r="AQ360" s="4" t="s">
        <v>2037</v>
      </c>
      <c r="AR360" s="4" t="s">
        <v>2037</v>
      </c>
    </row>
    <row r="361">
      <c r="A361" s="3" t="s">
        <v>3306</v>
      </c>
      <c r="B361" s="3" t="s">
        <v>3307</v>
      </c>
      <c r="C361" s="3" t="s">
        <v>3308</v>
      </c>
      <c r="D361" s="3" t="s">
        <v>3244</v>
      </c>
      <c r="E361" s="4" t="s">
        <v>3309</v>
      </c>
      <c r="F361" s="3" t="s">
        <v>3310</v>
      </c>
      <c r="G361" s="4" t="s">
        <v>3311</v>
      </c>
      <c r="H361" s="4" t="s">
        <v>3312</v>
      </c>
      <c r="I361" s="3" t="s">
        <v>218</v>
      </c>
      <c r="J361" s="3" t="s">
        <v>50</v>
      </c>
      <c r="K361" s="3" t="s">
        <v>45</v>
      </c>
      <c r="L361" s="3" t="s">
        <v>176</v>
      </c>
      <c r="M361" s="3" t="s">
        <v>45</v>
      </c>
      <c r="N361" s="3" t="s">
        <v>3313</v>
      </c>
      <c r="O361" s="3" t="s">
        <v>88</v>
      </c>
      <c r="P361" s="3" t="s">
        <v>45</v>
      </c>
      <c r="Q361" s="3" t="s">
        <v>45</v>
      </c>
      <c r="R361" s="3" t="s">
        <v>45</v>
      </c>
      <c r="S361" s="4" t="s">
        <v>472</v>
      </c>
      <c r="T361" s="3" t="s">
        <v>45</v>
      </c>
      <c r="U361" s="3" t="s">
        <v>45</v>
      </c>
      <c r="V361" s="3" t="s">
        <v>45</v>
      </c>
      <c r="W361" s="4" t="s">
        <v>667</v>
      </c>
      <c r="X361" s="3" t="s">
        <v>2963</v>
      </c>
      <c r="Y361" s="3" t="s">
        <v>45</v>
      </c>
      <c r="Z361" s="3" t="s">
        <v>55</v>
      </c>
      <c r="AA361" s="3" t="s">
        <v>45</v>
      </c>
      <c r="AB361" s="3" t="s">
        <v>45</v>
      </c>
      <c r="AC361" s="3" t="s">
        <v>45</v>
      </c>
      <c r="AD361" s="3" t="s">
        <v>45</v>
      </c>
      <c r="AE361" s="3" t="s">
        <v>45</v>
      </c>
      <c r="AF361" s="3" t="s">
        <v>45</v>
      </c>
      <c r="AG361" s="3" t="s">
        <v>45</v>
      </c>
      <c r="AH361" s="3" t="s">
        <v>57</v>
      </c>
      <c r="AI361" s="5" t="s">
        <v>3314</v>
      </c>
      <c r="AJ361" s="5" t="s">
        <v>362</v>
      </c>
      <c r="AK361" s="5" t="s">
        <v>3315</v>
      </c>
      <c r="AL361" s="5" t="s">
        <v>3316</v>
      </c>
      <c r="AM361" s="3" t="s">
        <v>45</v>
      </c>
      <c r="AN361" s="3" t="s">
        <v>45</v>
      </c>
      <c r="AO361" s="3" t="s">
        <v>45</v>
      </c>
      <c r="AP361" s="3" t="s">
        <v>45</v>
      </c>
      <c r="AQ361" s="4" t="s">
        <v>3233</v>
      </c>
      <c r="AR361" s="4" t="s">
        <v>2759</v>
      </c>
    </row>
    <row r="362">
      <c r="A362" s="3" t="s">
        <v>3317</v>
      </c>
      <c r="B362" s="3" t="s">
        <v>45</v>
      </c>
      <c r="C362" s="3" t="s">
        <v>3318</v>
      </c>
      <c r="D362" s="3" t="s">
        <v>3244</v>
      </c>
      <c r="E362" s="4" t="s">
        <v>3319</v>
      </c>
      <c r="F362" s="3" t="s">
        <v>3320</v>
      </c>
      <c r="G362" s="4" t="s">
        <v>3321</v>
      </c>
      <c r="H362" s="4" t="s">
        <v>3322</v>
      </c>
      <c r="I362" s="3" t="s">
        <v>245</v>
      </c>
      <c r="J362" s="3" t="s">
        <v>50</v>
      </c>
      <c r="K362" s="3" t="s">
        <v>45</v>
      </c>
      <c r="L362" s="3" t="s">
        <v>45</v>
      </c>
      <c r="M362" s="3" t="s">
        <v>45</v>
      </c>
      <c r="N362" s="4" t="s">
        <v>156</v>
      </c>
      <c r="O362" s="3" t="s">
        <v>88</v>
      </c>
      <c r="P362" s="3" t="s">
        <v>45</v>
      </c>
      <c r="Q362" s="3" t="s">
        <v>45</v>
      </c>
      <c r="R362" s="3" t="s">
        <v>45</v>
      </c>
      <c r="S362" s="3" t="s">
        <v>45</v>
      </c>
      <c r="T362" s="3" t="s">
        <v>45</v>
      </c>
      <c r="U362" s="3" t="s">
        <v>45</v>
      </c>
      <c r="V362" s="3" t="s">
        <v>45</v>
      </c>
      <c r="W362" s="4" t="s">
        <v>3323</v>
      </c>
      <c r="X362" s="3" t="s">
        <v>45</v>
      </c>
      <c r="Y362" s="3" t="s">
        <v>45</v>
      </c>
      <c r="Z362" s="3" t="s">
        <v>74</v>
      </c>
      <c r="AA362" s="3" t="s">
        <v>45</v>
      </c>
      <c r="AB362" s="3" t="s">
        <v>45</v>
      </c>
      <c r="AC362" s="3" t="s">
        <v>45</v>
      </c>
      <c r="AD362" s="3" t="s">
        <v>45</v>
      </c>
      <c r="AE362" s="3" t="s">
        <v>45</v>
      </c>
      <c r="AF362" s="3" t="s">
        <v>45</v>
      </c>
      <c r="AG362" s="3" t="s">
        <v>3324</v>
      </c>
      <c r="AH362" s="3" t="s">
        <v>57</v>
      </c>
      <c r="AI362" s="5" t="s">
        <v>3325</v>
      </c>
      <c r="AJ362" s="3" t="s">
        <v>45</v>
      </c>
      <c r="AK362" s="3" t="s">
        <v>45</v>
      </c>
      <c r="AL362" s="3" t="s">
        <v>45</v>
      </c>
      <c r="AM362" s="3" t="s">
        <v>45</v>
      </c>
      <c r="AN362" s="3" t="s">
        <v>45</v>
      </c>
      <c r="AO362" s="3" t="s">
        <v>45</v>
      </c>
      <c r="AP362" s="3" t="s">
        <v>45</v>
      </c>
      <c r="AQ362" s="4" t="s">
        <v>3233</v>
      </c>
      <c r="AR362" s="4" t="s">
        <v>3233</v>
      </c>
    </row>
    <row r="363">
      <c r="A363" s="3" t="s">
        <v>3326</v>
      </c>
      <c r="B363" s="3" t="s">
        <v>3327</v>
      </c>
      <c r="C363" s="3" t="s">
        <v>3328</v>
      </c>
      <c r="D363" s="3" t="s">
        <v>3244</v>
      </c>
      <c r="E363" s="4" t="s">
        <v>3329</v>
      </c>
      <c r="F363" s="3" t="s">
        <v>3330</v>
      </c>
      <c r="G363" s="4" t="s">
        <v>3331</v>
      </c>
      <c r="H363" s="4" t="s">
        <v>3332</v>
      </c>
      <c r="I363" s="3" t="s">
        <v>49</v>
      </c>
      <c r="J363" s="3" t="s">
        <v>126</v>
      </c>
      <c r="K363" s="3" t="s">
        <v>45</v>
      </c>
      <c r="L363" s="3" t="s">
        <v>409</v>
      </c>
      <c r="M363" s="3" t="s">
        <v>45</v>
      </c>
      <c r="N363" s="3" t="s">
        <v>45</v>
      </c>
      <c r="O363" s="3" t="s">
        <v>74</v>
      </c>
      <c r="P363" s="3" t="s">
        <v>45</v>
      </c>
      <c r="Q363" s="3" t="s">
        <v>45</v>
      </c>
      <c r="R363" s="3" t="s">
        <v>45</v>
      </c>
      <c r="S363" s="3" t="s">
        <v>45</v>
      </c>
      <c r="T363" s="3" t="s">
        <v>45</v>
      </c>
      <c r="U363" s="3" t="s">
        <v>45</v>
      </c>
      <c r="V363" s="3" t="s">
        <v>45</v>
      </c>
      <c r="W363" s="4" t="s">
        <v>1296</v>
      </c>
      <c r="X363" s="3" t="s">
        <v>45</v>
      </c>
      <c r="Y363" s="3" t="s">
        <v>45</v>
      </c>
      <c r="Z363" s="3" t="s">
        <v>74</v>
      </c>
      <c r="AA363" s="3" t="s">
        <v>45</v>
      </c>
      <c r="AB363" s="3" t="s">
        <v>45</v>
      </c>
      <c r="AC363" s="3" t="s">
        <v>45</v>
      </c>
      <c r="AD363" s="3" t="s">
        <v>45</v>
      </c>
      <c r="AE363" s="3" t="s">
        <v>45</v>
      </c>
      <c r="AF363" s="3" t="s">
        <v>45</v>
      </c>
      <c r="AG363" s="3" t="s">
        <v>3333</v>
      </c>
      <c r="AH363" s="3" t="s">
        <v>57</v>
      </c>
      <c r="AI363" s="5" t="s">
        <v>3334</v>
      </c>
      <c r="AJ363" s="3" t="s">
        <v>45</v>
      </c>
      <c r="AK363" s="3" t="s">
        <v>45</v>
      </c>
      <c r="AL363" s="3" t="s">
        <v>45</v>
      </c>
      <c r="AM363" s="3" t="s">
        <v>45</v>
      </c>
      <c r="AN363" s="3" t="s">
        <v>45</v>
      </c>
      <c r="AO363" s="3" t="s">
        <v>45</v>
      </c>
      <c r="AP363" s="3" t="s">
        <v>45</v>
      </c>
      <c r="AQ363" s="4" t="s">
        <v>3335</v>
      </c>
      <c r="AR363" s="4" t="s">
        <v>2231</v>
      </c>
    </row>
    <row r="364">
      <c r="A364" s="3" t="s">
        <v>3336</v>
      </c>
      <c r="B364" s="3" t="s">
        <v>3337</v>
      </c>
      <c r="C364" s="3" t="s">
        <v>3338</v>
      </c>
      <c r="D364" s="3" t="s">
        <v>3244</v>
      </c>
      <c r="E364" s="4" t="s">
        <v>3339</v>
      </c>
      <c r="F364" s="3" t="s">
        <v>3297</v>
      </c>
      <c r="G364" s="4" t="s">
        <v>3340</v>
      </c>
      <c r="H364" s="4" t="s">
        <v>3341</v>
      </c>
      <c r="I364" s="3" t="s">
        <v>49</v>
      </c>
      <c r="J364" s="3" t="s">
        <v>126</v>
      </c>
      <c r="K364" s="3" t="s">
        <v>45</v>
      </c>
      <c r="L364" s="3" t="s">
        <v>45</v>
      </c>
      <c r="M364" s="3" t="s">
        <v>45</v>
      </c>
      <c r="N364" s="3" t="s">
        <v>45</v>
      </c>
      <c r="O364" s="3" t="s">
        <v>88</v>
      </c>
      <c r="P364" s="3" t="s">
        <v>45</v>
      </c>
      <c r="Q364" s="3" t="s">
        <v>45</v>
      </c>
      <c r="R364" s="3" t="s">
        <v>45</v>
      </c>
      <c r="S364" s="3" t="s">
        <v>3342</v>
      </c>
      <c r="T364" s="3" t="s">
        <v>45</v>
      </c>
      <c r="U364" s="3" t="s">
        <v>45</v>
      </c>
      <c r="V364" s="3" t="s">
        <v>45</v>
      </c>
      <c r="W364" s="4" t="s">
        <v>3343</v>
      </c>
      <c r="X364" s="3" t="s">
        <v>223</v>
      </c>
      <c r="Y364" s="3" t="s">
        <v>45</v>
      </c>
      <c r="Z364" s="3" t="s">
        <v>55</v>
      </c>
      <c r="AA364" s="3" t="s">
        <v>45</v>
      </c>
      <c r="AB364" s="3" t="s">
        <v>45</v>
      </c>
      <c r="AC364" s="3" t="s">
        <v>45</v>
      </c>
      <c r="AD364" s="5" t="s">
        <v>3344</v>
      </c>
      <c r="AE364" s="3" t="s">
        <v>45</v>
      </c>
      <c r="AF364" s="5" t="s">
        <v>3345</v>
      </c>
      <c r="AG364" s="3" t="s">
        <v>45</v>
      </c>
      <c r="AH364" s="3" t="s">
        <v>840</v>
      </c>
      <c r="AI364" s="5" t="s">
        <v>3346</v>
      </c>
      <c r="AJ364" s="5" t="s">
        <v>3347</v>
      </c>
      <c r="AK364" s="5" t="s">
        <v>3348</v>
      </c>
      <c r="AL364" s="3" t="s">
        <v>45</v>
      </c>
      <c r="AM364" s="3" t="s">
        <v>45</v>
      </c>
      <c r="AN364" s="3" t="s">
        <v>45</v>
      </c>
      <c r="AO364" s="3" t="s">
        <v>45</v>
      </c>
      <c r="AP364" s="3" t="s">
        <v>45</v>
      </c>
      <c r="AQ364" s="4" t="s">
        <v>3349</v>
      </c>
      <c r="AR364" s="4" t="s">
        <v>3350</v>
      </c>
    </row>
    <row r="365">
      <c r="A365" s="3" t="s">
        <v>3351</v>
      </c>
      <c r="B365" s="3" t="s">
        <v>3352</v>
      </c>
      <c r="C365" s="3" t="s">
        <v>3353</v>
      </c>
      <c r="D365" s="3" t="s">
        <v>3244</v>
      </c>
      <c r="E365" s="4" t="s">
        <v>3354</v>
      </c>
      <c r="F365" s="3" t="s">
        <v>3284</v>
      </c>
      <c r="G365" s="4" t="s">
        <v>3355</v>
      </c>
      <c r="H365" s="4" t="s">
        <v>3356</v>
      </c>
      <c r="I365" s="3" t="s">
        <v>49</v>
      </c>
      <c r="J365" s="3" t="s">
        <v>126</v>
      </c>
      <c r="K365" s="3" t="s">
        <v>45</v>
      </c>
      <c r="L365" s="3" t="s">
        <v>45</v>
      </c>
      <c r="M365" s="3" t="s">
        <v>45</v>
      </c>
      <c r="N365" s="4" t="s">
        <v>535</v>
      </c>
      <c r="O365" s="3" t="s">
        <v>88</v>
      </c>
      <c r="P365" s="3" t="s">
        <v>45</v>
      </c>
      <c r="Q365" s="3" t="s">
        <v>45</v>
      </c>
      <c r="R365" s="3" t="s">
        <v>45</v>
      </c>
      <c r="S365" s="3" t="s">
        <v>45</v>
      </c>
      <c r="T365" s="3" t="s">
        <v>45</v>
      </c>
      <c r="U365" s="3" t="s">
        <v>45</v>
      </c>
      <c r="V365" s="4" t="s">
        <v>3357</v>
      </c>
      <c r="W365" s="3" t="s">
        <v>45</v>
      </c>
      <c r="X365" s="3" t="s">
        <v>45</v>
      </c>
      <c r="Y365" s="3" t="s">
        <v>45</v>
      </c>
      <c r="Z365" s="3" t="s">
        <v>74</v>
      </c>
      <c r="AA365" s="3" t="s">
        <v>45</v>
      </c>
      <c r="AB365" s="3" t="s">
        <v>45</v>
      </c>
      <c r="AC365" s="3" t="s">
        <v>45</v>
      </c>
      <c r="AD365" s="3" t="s">
        <v>45</v>
      </c>
      <c r="AE365" s="3" t="s">
        <v>45</v>
      </c>
      <c r="AF365" s="3" t="s">
        <v>45</v>
      </c>
      <c r="AG365" s="3" t="s">
        <v>45</v>
      </c>
      <c r="AH365" s="3" t="s">
        <v>57</v>
      </c>
      <c r="AI365" s="5" t="s">
        <v>3358</v>
      </c>
      <c r="AJ365" s="3" t="s">
        <v>45</v>
      </c>
      <c r="AK365" s="3" t="s">
        <v>45</v>
      </c>
      <c r="AL365" s="3" t="s">
        <v>45</v>
      </c>
      <c r="AM365" s="3" t="s">
        <v>45</v>
      </c>
      <c r="AN365" s="3" t="s">
        <v>45</v>
      </c>
      <c r="AO365" s="3" t="s">
        <v>45</v>
      </c>
      <c r="AP365" s="3" t="s">
        <v>45</v>
      </c>
      <c r="AQ365" s="4" t="s">
        <v>2758</v>
      </c>
      <c r="AR365" s="4" t="s">
        <v>2758</v>
      </c>
    </row>
    <row r="366">
      <c r="A366" s="3" t="s">
        <v>3359</v>
      </c>
      <c r="B366" s="3" t="s">
        <v>3360</v>
      </c>
      <c r="C366" s="3" t="s">
        <v>3353</v>
      </c>
      <c r="D366" s="3" t="s">
        <v>3244</v>
      </c>
      <c r="E366" s="4" t="s">
        <v>3354</v>
      </c>
      <c r="F366" s="3" t="s">
        <v>3284</v>
      </c>
      <c r="G366" s="4" t="s">
        <v>3361</v>
      </c>
      <c r="H366" s="4" t="s">
        <v>3362</v>
      </c>
      <c r="I366" s="3" t="s">
        <v>85</v>
      </c>
      <c r="J366" s="3" t="s">
        <v>126</v>
      </c>
      <c r="K366" s="3" t="s">
        <v>45</v>
      </c>
      <c r="L366" s="3" t="s">
        <v>45</v>
      </c>
      <c r="M366" s="3" t="s">
        <v>45</v>
      </c>
      <c r="N366" s="3" t="s">
        <v>45</v>
      </c>
      <c r="O366" s="3" t="s">
        <v>74</v>
      </c>
      <c r="P366" s="3" t="s">
        <v>45</v>
      </c>
      <c r="Q366" s="3" t="s">
        <v>45</v>
      </c>
      <c r="R366" s="3" t="s">
        <v>45</v>
      </c>
      <c r="S366" s="3" t="s">
        <v>45</v>
      </c>
      <c r="T366" s="3" t="s">
        <v>45</v>
      </c>
      <c r="U366" s="3" t="s">
        <v>45</v>
      </c>
      <c r="V366" s="3" t="s">
        <v>45</v>
      </c>
      <c r="W366" s="3" t="s">
        <v>45</v>
      </c>
      <c r="X366" s="3" t="s">
        <v>45</v>
      </c>
      <c r="Y366" s="3" t="s">
        <v>45</v>
      </c>
      <c r="Z366" s="3" t="s">
        <v>74</v>
      </c>
      <c r="AA366" s="3" t="s">
        <v>45</v>
      </c>
      <c r="AB366" s="3" t="s">
        <v>45</v>
      </c>
      <c r="AC366" s="3" t="s">
        <v>45</v>
      </c>
      <c r="AD366" s="3" t="s">
        <v>45</v>
      </c>
      <c r="AE366" s="3" t="s">
        <v>45</v>
      </c>
      <c r="AF366" s="3" t="s">
        <v>45</v>
      </c>
      <c r="AG366" s="3" t="s">
        <v>3363</v>
      </c>
      <c r="AH366" s="3" t="s">
        <v>57</v>
      </c>
      <c r="AI366" s="5" t="s">
        <v>3364</v>
      </c>
      <c r="AJ366" s="3" t="s">
        <v>45</v>
      </c>
      <c r="AK366" s="3" t="s">
        <v>45</v>
      </c>
      <c r="AL366" s="3" t="s">
        <v>45</v>
      </c>
      <c r="AM366" s="3" t="s">
        <v>45</v>
      </c>
      <c r="AN366" s="3" t="s">
        <v>45</v>
      </c>
      <c r="AO366" s="3" t="s">
        <v>45</v>
      </c>
      <c r="AP366" s="3" t="s">
        <v>45</v>
      </c>
      <c r="AQ366" s="4" t="s">
        <v>295</v>
      </c>
      <c r="AR366" s="4" t="s">
        <v>2231</v>
      </c>
    </row>
    <row r="367">
      <c r="A367" s="3" t="s">
        <v>3365</v>
      </c>
      <c r="B367" s="3" t="s">
        <v>45</v>
      </c>
      <c r="C367" s="3" t="s">
        <v>3366</v>
      </c>
      <c r="D367" s="3" t="s">
        <v>3244</v>
      </c>
      <c r="E367" s="3" t="s">
        <v>45</v>
      </c>
      <c r="F367" s="3" t="s">
        <v>3367</v>
      </c>
      <c r="G367" s="4" t="s">
        <v>3368</v>
      </c>
      <c r="H367" s="4" t="s">
        <v>3369</v>
      </c>
      <c r="I367" s="3" t="s">
        <v>49</v>
      </c>
      <c r="J367" s="3" t="s">
        <v>99</v>
      </c>
      <c r="K367" s="3" t="s">
        <v>45</v>
      </c>
      <c r="L367" s="3" t="s">
        <v>45</v>
      </c>
      <c r="M367" s="3" t="s">
        <v>45</v>
      </c>
      <c r="N367" s="3" t="s">
        <v>45</v>
      </c>
      <c r="O367" s="3" t="s">
        <v>74</v>
      </c>
      <c r="P367" s="3" t="s">
        <v>45</v>
      </c>
      <c r="Q367" s="3" t="s">
        <v>45</v>
      </c>
      <c r="R367" s="3" t="s">
        <v>45</v>
      </c>
      <c r="S367" s="3" t="s">
        <v>45</v>
      </c>
      <c r="T367" s="3" t="s">
        <v>45</v>
      </c>
      <c r="U367" s="3" t="s">
        <v>45</v>
      </c>
      <c r="V367" s="3" t="s">
        <v>45</v>
      </c>
      <c r="W367" s="3" t="s">
        <v>45</v>
      </c>
      <c r="X367" s="3" t="s">
        <v>305</v>
      </c>
      <c r="Y367" s="3" t="s">
        <v>45</v>
      </c>
      <c r="Z367" s="3" t="s">
        <v>74</v>
      </c>
      <c r="AA367" s="3" t="s">
        <v>45</v>
      </c>
      <c r="AB367" s="3" t="s">
        <v>45</v>
      </c>
      <c r="AC367" s="3" t="s">
        <v>45</v>
      </c>
      <c r="AD367" s="3" t="s">
        <v>45</v>
      </c>
      <c r="AE367" s="3" t="s">
        <v>45</v>
      </c>
      <c r="AF367" s="3" t="s">
        <v>45</v>
      </c>
      <c r="AG367" s="3" t="s">
        <v>45</v>
      </c>
      <c r="AH367" s="3" t="s">
        <v>57</v>
      </c>
      <c r="AI367" s="5" t="s">
        <v>3370</v>
      </c>
      <c r="AJ367" s="3" t="s">
        <v>45</v>
      </c>
      <c r="AK367" s="3" t="s">
        <v>45</v>
      </c>
      <c r="AL367" s="3" t="s">
        <v>45</v>
      </c>
      <c r="AM367" s="3" t="s">
        <v>45</v>
      </c>
      <c r="AN367" s="3" t="s">
        <v>45</v>
      </c>
      <c r="AO367" s="3" t="s">
        <v>45</v>
      </c>
      <c r="AP367" s="3" t="s">
        <v>45</v>
      </c>
      <c r="AQ367" s="4" t="s">
        <v>3371</v>
      </c>
      <c r="AR367" s="4" t="s">
        <v>3371</v>
      </c>
    </row>
    <row r="368">
      <c r="A368" s="3" t="s">
        <v>3372</v>
      </c>
      <c r="B368" s="3" t="s">
        <v>3373</v>
      </c>
      <c r="C368" s="3" t="s">
        <v>3374</v>
      </c>
      <c r="D368" s="3" t="s">
        <v>3244</v>
      </c>
      <c r="E368" s="4" t="s">
        <v>3375</v>
      </c>
      <c r="F368" s="3" t="s">
        <v>3284</v>
      </c>
      <c r="G368" s="4" t="s">
        <v>3376</v>
      </c>
      <c r="H368" s="4" t="s">
        <v>3377</v>
      </c>
      <c r="I368" s="3" t="s">
        <v>49</v>
      </c>
      <c r="J368" s="3" t="s">
        <v>126</v>
      </c>
      <c r="K368" s="3" t="s">
        <v>45</v>
      </c>
      <c r="L368" s="3" t="s">
        <v>3378</v>
      </c>
      <c r="M368" s="3" t="s">
        <v>45</v>
      </c>
      <c r="N368" s="4" t="s">
        <v>102</v>
      </c>
      <c r="O368" s="3" t="s">
        <v>88</v>
      </c>
      <c r="P368" s="3" t="s">
        <v>45</v>
      </c>
      <c r="Q368" s="3" t="s">
        <v>45</v>
      </c>
      <c r="R368" s="3" t="s">
        <v>45</v>
      </c>
      <c r="S368" s="3" t="s">
        <v>45</v>
      </c>
      <c r="T368" s="3" t="s">
        <v>45</v>
      </c>
      <c r="U368" s="3" t="s">
        <v>45</v>
      </c>
      <c r="V368" s="3" t="s">
        <v>45</v>
      </c>
      <c r="W368" s="4" t="s">
        <v>668</v>
      </c>
      <c r="X368" s="3" t="s">
        <v>1977</v>
      </c>
      <c r="Y368" s="3" t="s">
        <v>45</v>
      </c>
      <c r="Z368" s="3" t="s">
        <v>55</v>
      </c>
      <c r="AA368" s="3" t="s">
        <v>45</v>
      </c>
      <c r="AB368" s="3" t="s">
        <v>56</v>
      </c>
      <c r="AC368" s="3" t="s">
        <v>45</v>
      </c>
      <c r="AD368" s="3" t="s">
        <v>45</v>
      </c>
      <c r="AE368" s="3" t="s">
        <v>45</v>
      </c>
      <c r="AF368" s="3" t="s">
        <v>45</v>
      </c>
      <c r="AG368" s="3" t="s">
        <v>45</v>
      </c>
      <c r="AH368" s="3" t="s">
        <v>840</v>
      </c>
      <c r="AI368" s="5" t="s">
        <v>3379</v>
      </c>
      <c r="AJ368" s="5" t="s">
        <v>3380</v>
      </c>
      <c r="AK368" s="5" t="s">
        <v>3381</v>
      </c>
      <c r="AL368" s="3" t="s">
        <v>45</v>
      </c>
      <c r="AM368" s="3" t="s">
        <v>45</v>
      </c>
      <c r="AN368" s="3" t="s">
        <v>45</v>
      </c>
      <c r="AO368" s="3" t="s">
        <v>45</v>
      </c>
      <c r="AP368" s="3" t="s">
        <v>45</v>
      </c>
      <c r="AQ368" s="4" t="s">
        <v>3382</v>
      </c>
      <c r="AR368" s="4" t="s">
        <v>3382</v>
      </c>
    </row>
    <row r="369">
      <c r="A369" s="3" t="s">
        <v>3383</v>
      </c>
      <c r="B369" s="3" t="s">
        <v>3384</v>
      </c>
      <c r="C369" s="3" t="s">
        <v>3385</v>
      </c>
      <c r="D369" s="3" t="s">
        <v>3244</v>
      </c>
      <c r="E369" s="4" t="s">
        <v>3386</v>
      </c>
      <c r="F369" s="3" t="s">
        <v>3284</v>
      </c>
      <c r="G369" s="4" t="s">
        <v>3387</v>
      </c>
      <c r="H369" s="4" t="s">
        <v>3388</v>
      </c>
      <c r="I369" s="3" t="s">
        <v>218</v>
      </c>
      <c r="J369" s="3" t="s">
        <v>126</v>
      </c>
      <c r="K369" s="3" t="s">
        <v>45</v>
      </c>
      <c r="L369" s="3" t="s">
        <v>479</v>
      </c>
      <c r="M369" s="3" t="s">
        <v>45</v>
      </c>
      <c r="N369" s="4" t="s">
        <v>3389</v>
      </c>
      <c r="O369" s="3" t="s">
        <v>70</v>
      </c>
      <c r="P369" s="3" t="s">
        <v>45</v>
      </c>
      <c r="Q369" s="3" t="s">
        <v>45</v>
      </c>
      <c r="R369" s="3" t="s">
        <v>45</v>
      </c>
      <c r="S369" s="4" t="s">
        <v>275</v>
      </c>
      <c r="T369" s="3" t="s">
        <v>45</v>
      </c>
      <c r="U369" s="3" t="s">
        <v>45</v>
      </c>
      <c r="V369" s="3" t="s">
        <v>45</v>
      </c>
      <c r="W369" s="4" t="s">
        <v>1296</v>
      </c>
      <c r="X369" s="3" t="s">
        <v>3390</v>
      </c>
      <c r="Y369" s="3" t="s">
        <v>45</v>
      </c>
      <c r="Z369" s="3" t="s">
        <v>55</v>
      </c>
      <c r="AA369" s="3" t="s">
        <v>45</v>
      </c>
      <c r="AB369" s="3" t="s">
        <v>45</v>
      </c>
      <c r="AC369" s="3" t="s">
        <v>45</v>
      </c>
      <c r="AD369" s="5" t="s">
        <v>3391</v>
      </c>
      <c r="AE369" s="5" t="s">
        <v>3392</v>
      </c>
      <c r="AF369" s="5" t="s">
        <v>3393</v>
      </c>
      <c r="AG369" s="3" t="s">
        <v>3394</v>
      </c>
      <c r="AH369" s="3" t="s">
        <v>57</v>
      </c>
      <c r="AI369" s="5" t="s">
        <v>3395</v>
      </c>
      <c r="AJ369" s="5" t="s">
        <v>3396</v>
      </c>
      <c r="AK369" s="5" t="s">
        <v>3397</v>
      </c>
      <c r="AL369" s="5" t="s">
        <v>3398</v>
      </c>
      <c r="AM369" s="3" t="s">
        <v>45</v>
      </c>
      <c r="AN369" s="3" t="s">
        <v>45</v>
      </c>
      <c r="AO369" s="3" t="s">
        <v>45</v>
      </c>
      <c r="AP369" s="3" t="s">
        <v>45</v>
      </c>
      <c r="AQ369" s="4" t="s">
        <v>2509</v>
      </c>
      <c r="AR369" s="4" t="s">
        <v>2231</v>
      </c>
    </row>
    <row r="370">
      <c r="A370" s="3" t="s">
        <v>3399</v>
      </c>
      <c r="B370" s="3" t="s">
        <v>3400</v>
      </c>
      <c r="C370" s="3" t="s">
        <v>3401</v>
      </c>
      <c r="D370" s="3" t="s">
        <v>3244</v>
      </c>
      <c r="E370" s="4" t="s">
        <v>3402</v>
      </c>
      <c r="F370" s="3" t="s">
        <v>3299</v>
      </c>
      <c r="G370" s="4" t="s">
        <v>3403</v>
      </c>
      <c r="H370" s="4" t="s">
        <v>3404</v>
      </c>
      <c r="I370" s="3" t="s">
        <v>245</v>
      </c>
      <c r="J370" s="3" t="s">
        <v>126</v>
      </c>
      <c r="K370" s="3" t="s">
        <v>45</v>
      </c>
      <c r="L370" s="3" t="s">
        <v>45</v>
      </c>
      <c r="M370" s="3" t="s">
        <v>45</v>
      </c>
      <c r="N370" s="4" t="s">
        <v>104</v>
      </c>
      <c r="O370" s="3" t="s">
        <v>53</v>
      </c>
      <c r="P370" s="3" t="s">
        <v>45</v>
      </c>
      <c r="Q370" s="3" t="s">
        <v>45</v>
      </c>
      <c r="R370" s="3" t="s">
        <v>45</v>
      </c>
      <c r="S370" s="3" t="s">
        <v>45</v>
      </c>
      <c r="T370" s="3" t="s">
        <v>45</v>
      </c>
      <c r="U370" s="3" t="s">
        <v>221</v>
      </c>
      <c r="V370" s="4" t="s">
        <v>2888</v>
      </c>
      <c r="W370" s="4" t="s">
        <v>1872</v>
      </c>
      <c r="X370" s="3" t="s">
        <v>45</v>
      </c>
      <c r="Y370" s="3" t="s">
        <v>45</v>
      </c>
      <c r="Z370" s="3" t="s">
        <v>55</v>
      </c>
      <c r="AA370" s="3" t="s">
        <v>45</v>
      </c>
      <c r="AB370" s="3" t="s">
        <v>45</v>
      </c>
      <c r="AC370" s="3" t="s">
        <v>45</v>
      </c>
      <c r="AD370" s="5" t="s">
        <v>3405</v>
      </c>
      <c r="AE370" s="3" t="s">
        <v>45</v>
      </c>
      <c r="AF370" s="3" t="s">
        <v>45</v>
      </c>
      <c r="AG370" s="3" t="s">
        <v>45</v>
      </c>
      <c r="AH370" s="3" t="s">
        <v>57</v>
      </c>
      <c r="AI370" s="5" t="s">
        <v>3406</v>
      </c>
      <c r="AJ370" s="3" t="s">
        <v>45</v>
      </c>
      <c r="AK370" s="3" t="s">
        <v>45</v>
      </c>
      <c r="AL370" s="3" t="s">
        <v>45</v>
      </c>
      <c r="AM370" s="3" t="s">
        <v>45</v>
      </c>
      <c r="AN370" s="3" t="s">
        <v>45</v>
      </c>
      <c r="AO370" s="3" t="s">
        <v>45</v>
      </c>
      <c r="AP370" s="3" t="s">
        <v>45</v>
      </c>
      <c r="AQ370" s="4" t="s">
        <v>1729</v>
      </c>
      <c r="AR370" s="4" t="s">
        <v>1729</v>
      </c>
    </row>
    <row r="371">
      <c r="A371" s="3" t="s">
        <v>3407</v>
      </c>
      <c r="B371" s="3" t="s">
        <v>3408</v>
      </c>
      <c r="C371" s="3" t="s">
        <v>3401</v>
      </c>
      <c r="D371" s="3" t="s">
        <v>3244</v>
      </c>
      <c r="E371" s="4" t="s">
        <v>3409</v>
      </c>
      <c r="F371" s="3" t="s">
        <v>3299</v>
      </c>
      <c r="G371" s="4" t="s">
        <v>3410</v>
      </c>
      <c r="H371" s="4" t="s">
        <v>3411</v>
      </c>
      <c r="I371" s="3" t="s">
        <v>218</v>
      </c>
      <c r="J371" s="3" t="s">
        <v>126</v>
      </c>
      <c r="K371" s="3" t="s">
        <v>45</v>
      </c>
      <c r="L371" s="3" t="s">
        <v>3412</v>
      </c>
      <c r="M371" s="3" t="s">
        <v>45</v>
      </c>
      <c r="N371" s="3" t="s">
        <v>45</v>
      </c>
      <c r="O371" s="3" t="s">
        <v>74</v>
      </c>
      <c r="P371" s="3" t="s">
        <v>45</v>
      </c>
      <c r="Q371" s="3" t="s">
        <v>45</v>
      </c>
      <c r="R371" s="3" t="s">
        <v>45</v>
      </c>
      <c r="S371" s="3" t="s">
        <v>45</v>
      </c>
      <c r="T371" s="3" t="s">
        <v>45</v>
      </c>
      <c r="U371" s="3" t="s">
        <v>221</v>
      </c>
      <c r="V371" s="3" t="s">
        <v>45</v>
      </c>
      <c r="W371" s="4" t="s">
        <v>259</v>
      </c>
      <c r="X371" s="3" t="s">
        <v>45</v>
      </c>
      <c r="Y371" s="3" t="s">
        <v>45</v>
      </c>
      <c r="Z371" s="3" t="s">
        <v>55</v>
      </c>
      <c r="AA371" s="3" t="s">
        <v>45</v>
      </c>
      <c r="AB371" s="3" t="s">
        <v>45</v>
      </c>
      <c r="AC371" s="3" t="s">
        <v>45</v>
      </c>
      <c r="AD371" s="5" t="s">
        <v>3413</v>
      </c>
      <c r="AE371" s="3" t="s">
        <v>45</v>
      </c>
      <c r="AF371" s="3" t="s">
        <v>45</v>
      </c>
      <c r="AG371" s="3" t="s">
        <v>3414</v>
      </c>
      <c r="AH371" s="3" t="s">
        <v>57</v>
      </c>
      <c r="AI371" s="5" t="s">
        <v>3415</v>
      </c>
      <c r="AJ371" s="5" t="s">
        <v>3416</v>
      </c>
      <c r="AK371" s="5" t="s">
        <v>3417</v>
      </c>
      <c r="AL371" s="5" t="s">
        <v>3418</v>
      </c>
      <c r="AM371" s="3" t="s">
        <v>45</v>
      </c>
      <c r="AN371" s="3" t="s">
        <v>45</v>
      </c>
      <c r="AO371" s="3" t="s">
        <v>45</v>
      </c>
      <c r="AP371" s="3" t="s">
        <v>45</v>
      </c>
      <c r="AQ371" s="4" t="s">
        <v>3419</v>
      </c>
      <c r="AR371" s="4" t="s">
        <v>1049</v>
      </c>
    </row>
    <row r="372">
      <c r="A372" s="3" t="s">
        <v>3420</v>
      </c>
      <c r="B372" s="3" t="s">
        <v>3421</v>
      </c>
      <c r="C372" s="3" t="s">
        <v>3401</v>
      </c>
      <c r="D372" s="3" t="s">
        <v>3244</v>
      </c>
      <c r="E372" s="4" t="s">
        <v>3422</v>
      </c>
      <c r="F372" s="3" t="s">
        <v>3299</v>
      </c>
      <c r="G372" s="4" t="s">
        <v>3423</v>
      </c>
      <c r="H372" s="4" t="s">
        <v>3424</v>
      </c>
      <c r="I372" s="3" t="s">
        <v>85</v>
      </c>
      <c r="J372" s="3" t="s">
        <v>126</v>
      </c>
      <c r="K372" s="3" t="s">
        <v>45</v>
      </c>
      <c r="L372" s="3" t="s">
        <v>45</v>
      </c>
      <c r="M372" s="3" t="s">
        <v>45</v>
      </c>
      <c r="N372" s="3" t="s">
        <v>45</v>
      </c>
      <c r="O372" s="3" t="s">
        <v>74</v>
      </c>
      <c r="P372" s="3" t="s">
        <v>45</v>
      </c>
      <c r="Q372" s="3" t="s">
        <v>45</v>
      </c>
      <c r="R372" s="3" t="s">
        <v>45</v>
      </c>
      <c r="S372" s="3" t="s">
        <v>45</v>
      </c>
      <c r="T372" s="3" t="s">
        <v>45</v>
      </c>
      <c r="U372" s="3" t="s">
        <v>45</v>
      </c>
      <c r="V372" s="3" t="s">
        <v>45</v>
      </c>
      <c r="W372" s="3" t="s">
        <v>45</v>
      </c>
      <c r="X372" s="3" t="s">
        <v>45</v>
      </c>
      <c r="Y372" s="3" t="s">
        <v>45</v>
      </c>
      <c r="Z372" s="3" t="s">
        <v>74</v>
      </c>
      <c r="AA372" s="3" t="s">
        <v>45</v>
      </c>
      <c r="AB372" s="3" t="s">
        <v>45</v>
      </c>
      <c r="AC372" s="3" t="s">
        <v>45</v>
      </c>
      <c r="AD372" s="3" t="s">
        <v>45</v>
      </c>
      <c r="AE372" s="3" t="s">
        <v>45</v>
      </c>
      <c r="AF372" s="3" t="s">
        <v>45</v>
      </c>
      <c r="AG372" s="3" t="s">
        <v>45</v>
      </c>
      <c r="AH372" s="3" t="s">
        <v>57</v>
      </c>
      <c r="AI372" s="5" t="s">
        <v>3425</v>
      </c>
      <c r="AJ372" s="3" t="s">
        <v>45</v>
      </c>
      <c r="AK372" s="3" t="s">
        <v>45</v>
      </c>
      <c r="AL372" s="3" t="s">
        <v>45</v>
      </c>
      <c r="AM372" s="3" t="s">
        <v>45</v>
      </c>
      <c r="AN372" s="3" t="s">
        <v>45</v>
      </c>
      <c r="AO372" s="3" t="s">
        <v>45</v>
      </c>
      <c r="AP372" s="3" t="s">
        <v>45</v>
      </c>
      <c r="AQ372" s="4" t="s">
        <v>295</v>
      </c>
      <c r="AR372" s="4" t="s">
        <v>2231</v>
      </c>
    </row>
    <row r="373">
      <c r="A373" s="3" t="s">
        <v>3426</v>
      </c>
      <c r="B373" s="3" t="s">
        <v>3427</v>
      </c>
      <c r="C373" s="3" t="s">
        <v>3401</v>
      </c>
      <c r="D373" s="3" t="s">
        <v>3244</v>
      </c>
      <c r="E373" s="4" t="s">
        <v>3428</v>
      </c>
      <c r="F373" s="3" t="s">
        <v>3299</v>
      </c>
      <c r="G373" s="4" t="s">
        <v>3429</v>
      </c>
      <c r="H373" s="4" t="s">
        <v>3430</v>
      </c>
      <c r="I373" s="3" t="s">
        <v>85</v>
      </c>
      <c r="J373" s="3" t="s">
        <v>126</v>
      </c>
      <c r="K373" s="3" t="s">
        <v>45</v>
      </c>
      <c r="L373" s="3" t="s">
        <v>45</v>
      </c>
      <c r="M373" s="3" t="s">
        <v>45</v>
      </c>
      <c r="N373" s="3" t="s">
        <v>45</v>
      </c>
      <c r="O373" s="3" t="s">
        <v>74</v>
      </c>
      <c r="P373" s="3" t="s">
        <v>45</v>
      </c>
      <c r="Q373" s="3" t="s">
        <v>45</v>
      </c>
      <c r="R373" s="3" t="s">
        <v>45</v>
      </c>
      <c r="S373" s="3" t="s">
        <v>45</v>
      </c>
      <c r="T373" s="3" t="s">
        <v>45</v>
      </c>
      <c r="U373" s="3" t="s">
        <v>45</v>
      </c>
      <c r="V373" s="3" t="s">
        <v>45</v>
      </c>
      <c r="W373" s="3" t="s">
        <v>45</v>
      </c>
      <c r="X373" s="3" t="s">
        <v>45</v>
      </c>
      <c r="Y373" s="3" t="s">
        <v>45</v>
      </c>
      <c r="Z373" s="3" t="s">
        <v>74</v>
      </c>
      <c r="AA373" s="3" t="s">
        <v>45</v>
      </c>
      <c r="AB373" s="3" t="s">
        <v>45</v>
      </c>
      <c r="AC373" s="3" t="s">
        <v>45</v>
      </c>
      <c r="AD373" s="3" t="s">
        <v>45</v>
      </c>
      <c r="AE373" s="3" t="s">
        <v>45</v>
      </c>
      <c r="AF373" s="3" t="s">
        <v>45</v>
      </c>
      <c r="AG373" s="3" t="s">
        <v>45</v>
      </c>
      <c r="AH373" s="3" t="s">
        <v>57</v>
      </c>
      <c r="AI373" s="5" t="s">
        <v>3425</v>
      </c>
      <c r="AJ373" s="3" t="s">
        <v>45</v>
      </c>
      <c r="AK373" s="3" t="s">
        <v>45</v>
      </c>
      <c r="AL373" s="3" t="s">
        <v>45</v>
      </c>
      <c r="AM373" s="3" t="s">
        <v>45</v>
      </c>
      <c r="AN373" s="3" t="s">
        <v>45</v>
      </c>
      <c r="AO373" s="3" t="s">
        <v>45</v>
      </c>
      <c r="AP373" s="3" t="s">
        <v>45</v>
      </c>
      <c r="AQ373" s="4" t="s">
        <v>295</v>
      </c>
      <c r="AR373" s="4" t="s">
        <v>295</v>
      </c>
    </row>
    <row r="374">
      <c r="A374" s="3" t="s">
        <v>3431</v>
      </c>
      <c r="B374" s="3" t="s">
        <v>3432</v>
      </c>
      <c r="C374" s="3" t="s">
        <v>3401</v>
      </c>
      <c r="D374" s="3" t="s">
        <v>3244</v>
      </c>
      <c r="E374" s="4" t="s">
        <v>3422</v>
      </c>
      <c r="F374" s="3" t="s">
        <v>3299</v>
      </c>
      <c r="G374" s="4" t="s">
        <v>3433</v>
      </c>
      <c r="H374" s="4" t="s">
        <v>3434</v>
      </c>
      <c r="I374" s="3" t="s">
        <v>218</v>
      </c>
      <c r="J374" s="3" t="s">
        <v>126</v>
      </c>
      <c r="K374" s="3" t="s">
        <v>45</v>
      </c>
      <c r="L374" s="3" t="s">
        <v>163</v>
      </c>
      <c r="M374" s="3" t="s">
        <v>45</v>
      </c>
      <c r="N374" s="3" t="s">
        <v>45</v>
      </c>
      <c r="O374" s="3" t="s">
        <v>74</v>
      </c>
      <c r="P374" s="3" t="s">
        <v>45</v>
      </c>
      <c r="Q374" s="3" t="s">
        <v>45</v>
      </c>
      <c r="R374" s="3" t="s">
        <v>45</v>
      </c>
      <c r="S374" s="3" t="s">
        <v>45</v>
      </c>
      <c r="T374" s="3" t="s">
        <v>45</v>
      </c>
      <c r="U374" s="3" t="s">
        <v>45</v>
      </c>
      <c r="V374" s="4" t="s">
        <v>3435</v>
      </c>
      <c r="W374" s="3" t="s">
        <v>45</v>
      </c>
      <c r="X374" s="3" t="s">
        <v>3436</v>
      </c>
      <c r="Y374" s="4" t="s">
        <v>73</v>
      </c>
      <c r="Z374" s="3" t="s">
        <v>55</v>
      </c>
      <c r="AA374" s="3" t="s">
        <v>45</v>
      </c>
      <c r="AB374" s="3" t="s">
        <v>109</v>
      </c>
      <c r="AC374" s="3" t="s">
        <v>45</v>
      </c>
      <c r="AD374" s="3" t="s">
        <v>45</v>
      </c>
      <c r="AE374" s="3" t="s">
        <v>45</v>
      </c>
      <c r="AF374" s="5" t="s">
        <v>3437</v>
      </c>
      <c r="AG374" s="3" t="s">
        <v>45</v>
      </c>
      <c r="AH374" s="3" t="s">
        <v>57</v>
      </c>
      <c r="AI374" s="5" t="s">
        <v>3438</v>
      </c>
      <c r="AJ374" s="5" t="s">
        <v>3439</v>
      </c>
      <c r="AK374" s="3" t="s">
        <v>45</v>
      </c>
      <c r="AL374" s="3" t="s">
        <v>45</v>
      </c>
      <c r="AM374" s="3" t="s">
        <v>45</v>
      </c>
      <c r="AN374" s="3" t="s">
        <v>45</v>
      </c>
      <c r="AO374" s="3" t="s">
        <v>45</v>
      </c>
      <c r="AP374" s="3" t="s">
        <v>45</v>
      </c>
      <c r="AQ374" s="4" t="s">
        <v>474</v>
      </c>
      <c r="AR374" s="4" t="s">
        <v>1050</v>
      </c>
    </row>
    <row r="375">
      <c r="A375" s="3" t="s">
        <v>2948</v>
      </c>
      <c r="B375" s="3" t="s">
        <v>3440</v>
      </c>
      <c r="C375" s="3" t="s">
        <v>3401</v>
      </c>
      <c r="D375" s="3" t="s">
        <v>3244</v>
      </c>
      <c r="E375" s="4" t="s">
        <v>3402</v>
      </c>
      <c r="F375" s="3" t="s">
        <v>3299</v>
      </c>
      <c r="G375" s="4" t="s">
        <v>3441</v>
      </c>
      <c r="H375" s="4" t="s">
        <v>3442</v>
      </c>
      <c r="I375" s="3" t="s">
        <v>85</v>
      </c>
      <c r="J375" s="3" t="s">
        <v>126</v>
      </c>
      <c r="K375" s="3" t="s">
        <v>45</v>
      </c>
      <c r="L375" s="3" t="s">
        <v>45</v>
      </c>
      <c r="M375" s="3" t="s">
        <v>45</v>
      </c>
      <c r="N375" s="3" t="s">
        <v>45</v>
      </c>
      <c r="O375" s="3" t="s">
        <v>74</v>
      </c>
      <c r="P375" s="3" t="s">
        <v>45</v>
      </c>
      <c r="Q375" s="3" t="s">
        <v>45</v>
      </c>
      <c r="R375" s="3" t="s">
        <v>45</v>
      </c>
      <c r="S375" s="3" t="s">
        <v>45</v>
      </c>
      <c r="T375" s="3" t="s">
        <v>45</v>
      </c>
      <c r="U375" s="3" t="s">
        <v>45</v>
      </c>
      <c r="V375" s="4" t="s">
        <v>3443</v>
      </c>
      <c r="W375" s="3" t="s">
        <v>45</v>
      </c>
      <c r="X375" s="3" t="s">
        <v>45</v>
      </c>
      <c r="Y375" s="3" t="s">
        <v>45</v>
      </c>
      <c r="Z375" s="3" t="s">
        <v>74</v>
      </c>
      <c r="AA375" s="3" t="s">
        <v>45</v>
      </c>
      <c r="AB375" s="3" t="s">
        <v>45</v>
      </c>
      <c r="AC375" s="3" t="s">
        <v>45</v>
      </c>
      <c r="AD375" s="3" t="s">
        <v>45</v>
      </c>
      <c r="AE375" s="3" t="s">
        <v>45</v>
      </c>
      <c r="AF375" s="3" t="s">
        <v>45</v>
      </c>
      <c r="AG375" s="3" t="s">
        <v>45</v>
      </c>
      <c r="AH375" s="3" t="s">
        <v>57</v>
      </c>
      <c r="AI375" s="5" t="s">
        <v>3444</v>
      </c>
      <c r="AJ375" s="3" t="s">
        <v>45</v>
      </c>
      <c r="AK375" s="3" t="s">
        <v>45</v>
      </c>
      <c r="AL375" s="3" t="s">
        <v>45</v>
      </c>
      <c r="AM375" s="3" t="s">
        <v>45</v>
      </c>
      <c r="AN375" s="3" t="s">
        <v>45</v>
      </c>
      <c r="AO375" s="3" t="s">
        <v>45</v>
      </c>
      <c r="AP375" s="3" t="s">
        <v>45</v>
      </c>
      <c r="AQ375" s="4" t="s">
        <v>295</v>
      </c>
      <c r="AR375" s="4" t="s">
        <v>3445</v>
      </c>
    </row>
    <row r="376">
      <c r="A376" s="3" t="s">
        <v>205</v>
      </c>
      <c r="B376" s="3" t="s">
        <v>3446</v>
      </c>
      <c r="C376" s="3" t="s">
        <v>3447</v>
      </c>
      <c r="D376" s="3" t="s">
        <v>3244</v>
      </c>
      <c r="E376" s="4" t="s">
        <v>3448</v>
      </c>
      <c r="F376" s="3" t="s">
        <v>3257</v>
      </c>
      <c r="G376" s="4" t="s">
        <v>3449</v>
      </c>
      <c r="H376" s="4" t="s">
        <v>3450</v>
      </c>
      <c r="I376" s="3" t="s">
        <v>218</v>
      </c>
      <c r="J376" s="3" t="s">
        <v>50</v>
      </c>
      <c r="K376" s="3" t="s">
        <v>45</v>
      </c>
      <c r="L376" s="3" t="s">
        <v>210</v>
      </c>
      <c r="M376" s="3" t="s">
        <v>45</v>
      </c>
      <c r="N376" s="3" t="s">
        <v>45</v>
      </c>
      <c r="O376" s="3" t="s">
        <v>88</v>
      </c>
      <c r="P376" s="3" t="s">
        <v>45</v>
      </c>
      <c r="Q376" s="3" t="s">
        <v>45</v>
      </c>
      <c r="R376" s="3" t="s">
        <v>45</v>
      </c>
      <c r="S376" s="3" t="s">
        <v>45</v>
      </c>
      <c r="T376" s="3" t="s">
        <v>45</v>
      </c>
      <c r="U376" s="3" t="s">
        <v>45</v>
      </c>
      <c r="V376" s="4" t="s">
        <v>2937</v>
      </c>
      <c r="W376" s="4" t="s">
        <v>3451</v>
      </c>
      <c r="X376" s="3" t="s">
        <v>223</v>
      </c>
      <c r="Y376" s="3" t="s">
        <v>45</v>
      </c>
      <c r="Z376" s="3" t="s">
        <v>74</v>
      </c>
      <c r="AA376" s="3" t="s">
        <v>45</v>
      </c>
      <c r="AB376" s="3" t="s">
        <v>45</v>
      </c>
      <c r="AC376" s="3" t="s">
        <v>45</v>
      </c>
      <c r="AD376" s="3" t="s">
        <v>45</v>
      </c>
      <c r="AE376" s="3" t="s">
        <v>45</v>
      </c>
      <c r="AF376" s="3" t="s">
        <v>45</v>
      </c>
      <c r="AG376" s="3" t="s">
        <v>45</v>
      </c>
      <c r="AH376" s="3" t="s">
        <v>57</v>
      </c>
      <c r="AI376" s="5" t="s">
        <v>3452</v>
      </c>
      <c r="AJ376" s="5" t="s">
        <v>3453</v>
      </c>
      <c r="AK376" s="3" t="s">
        <v>45</v>
      </c>
      <c r="AL376" s="3" t="s">
        <v>45</v>
      </c>
      <c r="AM376" s="3" t="s">
        <v>45</v>
      </c>
      <c r="AN376" s="3" t="s">
        <v>45</v>
      </c>
      <c r="AO376" s="3" t="s">
        <v>45</v>
      </c>
      <c r="AP376" s="3" t="s">
        <v>45</v>
      </c>
      <c r="AQ376" s="4" t="s">
        <v>295</v>
      </c>
      <c r="AR376" s="4" t="s">
        <v>162</v>
      </c>
    </row>
    <row r="377">
      <c r="A377" s="3" t="s">
        <v>3454</v>
      </c>
      <c r="B377" s="3" t="s">
        <v>3455</v>
      </c>
      <c r="C377" s="3" t="s">
        <v>3456</v>
      </c>
      <c r="D377" s="3" t="s">
        <v>3244</v>
      </c>
      <c r="E377" s="4" t="s">
        <v>3457</v>
      </c>
      <c r="F377" s="3" t="s">
        <v>3456</v>
      </c>
      <c r="G377" s="4" t="s">
        <v>3458</v>
      </c>
      <c r="H377" s="4" t="s">
        <v>3459</v>
      </c>
      <c r="I377" s="3" t="s">
        <v>218</v>
      </c>
      <c r="J377" s="3" t="s">
        <v>126</v>
      </c>
      <c r="K377" s="3" t="s">
        <v>45</v>
      </c>
      <c r="L377" s="3" t="s">
        <v>409</v>
      </c>
      <c r="M377" s="3" t="s">
        <v>45</v>
      </c>
      <c r="N377" s="3" t="s">
        <v>45</v>
      </c>
      <c r="O377" s="3" t="s">
        <v>70</v>
      </c>
      <c r="P377" s="3" t="s">
        <v>45</v>
      </c>
      <c r="Q377" s="3" t="s">
        <v>45</v>
      </c>
      <c r="R377" s="3" t="s">
        <v>45</v>
      </c>
      <c r="S377" s="4" t="s">
        <v>2754</v>
      </c>
      <c r="T377" s="3" t="s">
        <v>45</v>
      </c>
      <c r="U377" s="3" t="s">
        <v>45</v>
      </c>
      <c r="V377" s="4" t="s">
        <v>106</v>
      </c>
      <c r="W377" s="4" t="s">
        <v>3460</v>
      </c>
      <c r="X377" s="3" t="s">
        <v>305</v>
      </c>
      <c r="Y377" s="4" t="s">
        <v>2073</v>
      </c>
      <c r="Z377" s="3" t="s">
        <v>74</v>
      </c>
      <c r="AA377" s="3" t="s">
        <v>45</v>
      </c>
      <c r="AB377" s="3" t="s">
        <v>45</v>
      </c>
      <c r="AC377" s="3" t="s">
        <v>45</v>
      </c>
      <c r="AD377" s="3" t="s">
        <v>45</v>
      </c>
      <c r="AE377" s="3" t="s">
        <v>45</v>
      </c>
      <c r="AF377" s="3" t="s">
        <v>45</v>
      </c>
      <c r="AG377" s="3" t="s">
        <v>45</v>
      </c>
      <c r="AH377" s="3" t="s">
        <v>57</v>
      </c>
      <c r="AI377" s="5" t="s">
        <v>3461</v>
      </c>
      <c r="AJ377" s="5" t="s">
        <v>3462</v>
      </c>
      <c r="AK377" s="5" t="s">
        <v>3463</v>
      </c>
      <c r="AL377" s="3" t="s">
        <v>45</v>
      </c>
      <c r="AM377" s="3" t="s">
        <v>45</v>
      </c>
      <c r="AN377" s="3" t="s">
        <v>45</v>
      </c>
      <c r="AO377" s="3" t="s">
        <v>45</v>
      </c>
      <c r="AP377" s="3" t="s">
        <v>45</v>
      </c>
      <c r="AQ377" s="4" t="s">
        <v>2509</v>
      </c>
      <c r="AR377" s="4" t="s">
        <v>1050</v>
      </c>
    </row>
    <row r="378">
      <c r="A378" s="3" t="s">
        <v>3464</v>
      </c>
      <c r="B378" s="3" t="s">
        <v>45</v>
      </c>
      <c r="C378" s="3" t="s">
        <v>3465</v>
      </c>
      <c r="D378" s="3" t="s">
        <v>3244</v>
      </c>
      <c r="E378" s="4" t="s">
        <v>3466</v>
      </c>
      <c r="F378" s="3" t="s">
        <v>287</v>
      </c>
      <c r="G378" s="4" t="s">
        <v>3467</v>
      </c>
      <c r="H378" s="4" t="s">
        <v>3468</v>
      </c>
      <c r="I378" s="3" t="s">
        <v>218</v>
      </c>
      <c r="J378" s="3" t="s">
        <v>126</v>
      </c>
      <c r="K378" s="3" t="s">
        <v>45</v>
      </c>
      <c r="L378" s="3" t="s">
        <v>210</v>
      </c>
      <c r="M378" s="3" t="s">
        <v>45</v>
      </c>
      <c r="N378" s="4" t="s">
        <v>1196</v>
      </c>
      <c r="O378" s="3" t="s">
        <v>70</v>
      </c>
      <c r="P378" s="3" t="s">
        <v>45</v>
      </c>
      <c r="Q378" s="3" t="s">
        <v>45</v>
      </c>
      <c r="R378" s="3" t="s">
        <v>45</v>
      </c>
      <c r="S378" s="4" t="s">
        <v>247</v>
      </c>
      <c r="T378" s="3" t="s">
        <v>45</v>
      </c>
      <c r="U378" s="3" t="s">
        <v>45</v>
      </c>
      <c r="V378" s="3" t="s">
        <v>45</v>
      </c>
      <c r="W378" s="4" t="s">
        <v>622</v>
      </c>
      <c r="X378" s="3" t="s">
        <v>3303</v>
      </c>
      <c r="Y378" s="3" t="s">
        <v>45</v>
      </c>
      <c r="Z378" s="3" t="s">
        <v>74</v>
      </c>
      <c r="AA378" s="3" t="s">
        <v>45</v>
      </c>
      <c r="AB378" s="3" t="s">
        <v>45</v>
      </c>
      <c r="AC378" s="3" t="s">
        <v>45</v>
      </c>
      <c r="AD378" s="3" t="s">
        <v>45</v>
      </c>
      <c r="AE378" s="3" t="s">
        <v>45</v>
      </c>
      <c r="AF378" s="3" t="s">
        <v>45</v>
      </c>
      <c r="AG378" s="3" t="s">
        <v>3464</v>
      </c>
      <c r="AH378" s="3" t="s">
        <v>57</v>
      </c>
      <c r="AI378" s="5" t="s">
        <v>3469</v>
      </c>
      <c r="AJ378" s="5" t="s">
        <v>3470</v>
      </c>
      <c r="AK378" s="5" t="s">
        <v>3453</v>
      </c>
      <c r="AL378" s="3" t="s">
        <v>45</v>
      </c>
      <c r="AM378" s="3" t="s">
        <v>45</v>
      </c>
      <c r="AN378" s="3" t="s">
        <v>45</v>
      </c>
      <c r="AO378" s="3" t="s">
        <v>45</v>
      </c>
      <c r="AP378" s="3" t="s">
        <v>45</v>
      </c>
      <c r="AQ378" s="4" t="s">
        <v>295</v>
      </c>
      <c r="AR378" s="4" t="s">
        <v>162</v>
      </c>
    </row>
    <row r="379">
      <c r="A379" s="3" t="s">
        <v>882</v>
      </c>
      <c r="B379" s="3" t="s">
        <v>3471</v>
      </c>
      <c r="C379" s="3" t="s">
        <v>3472</v>
      </c>
      <c r="D379" s="3" t="s">
        <v>3244</v>
      </c>
      <c r="E379" s="4" t="s">
        <v>3473</v>
      </c>
      <c r="F379" s="3" t="s">
        <v>3474</v>
      </c>
      <c r="G379" s="4" t="s">
        <v>3475</v>
      </c>
      <c r="H379" s="4" t="s">
        <v>3476</v>
      </c>
      <c r="I379" s="3" t="s">
        <v>436</v>
      </c>
      <c r="J379" s="3" t="s">
        <v>126</v>
      </c>
      <c r="K379" s="3" t="s">
        <v>45</v>
      </c>
      <c r="L379" s="3" t="s">
        <v>45</v>
      </c>
      <c r="M379" s="3" t="s">
        <v>45</v>
      </c>
      <c r="N379" s="3" t="s">
        <v>45</v>
      </c>
      <c r="O379" s="3" t="s">
        <v>88</v>
      </c>
      <c r="P379" s="3" t="s">
        <v>45</v>
      </c>
      <c r="Q379" s="3" t="s">
        <v>45</v>
      </c>
      <c r="R379" s="3" t="s">
        <v>45</v>
      </c>
      <c r="S379" s="3" t="s">
        <v>45</v>
      </c>
      <c r="T379" s="3" t="s">
        <v>45</v>
      </c>
      <c r="U379" s="3" t="s">
        <v>45</v>
      </c>
      <c r="V379" s="3" t="s">
        <v>45</v>
      </c>
      <c r="W379" s="4" t="s">
        <v>3343</v>
      </c>
      <c r="X379" s="3" t="s">
        <v>360</v>
      </c>
      <c r="Y379" s="3" t="s">
        <v>45</v>
      </c>
      <c r="Z379" s="3" t="s">
        <v>55</v>
      </c>
      <c r="AA379" s="3" t="s">
        <v>45</v>
      </c>
      <c r="AB379" s="3" t="s">
        <v>45</v>
      </c>
      <c r="AC379" s="3" t="s">
        <v>45</v>
      </c>
      <c r="AD379" s="3" t="s">
        <v>45</v>
      </c>
      <c r="AE379" s="3" t="s">
        <v>45</v>
      </c>
      <c r="AF379" s="3" t="s">
        <v>45</v>
      </c>
      <c r="AG379" s="3" t="s">
        <v>3477</v>
      </c>
      <c r="AH379" s="3" t="s">
        <v>57</v>
      </c>
      <c r="AI379" s="5" t="s">
        <v>3478</v>
      </c>
      <c r="AJ379" s="5" t="s">
        <v>3479</v>
      </c>
      <c r="AK379" s="3" t="s">
        <v>45</v>
      </c>
      <c r="AL379" s="3" t="s">
        <v>45</v>
      </c>
      <c r="AM379" s="3" t="s">
        <v>45</v>
      </c>
      <c r="AN379" s="3" t="s">
        <v>45</v>
      </c>
      <c r="AO379" s="3" t="s">
        <v>45</v>
      </c>
      <c r="AP379" s="3" t="s">
        <v>45</v>
      </c>
      <c r="AQ379" s="4" t="s">
        <v>1789</v>
      </c>
      <c r="AR379" s="4" t="s">
        <v>1789</v>
      </c>
    </row>
    <row r="380">
      <c r="A380" s="3" t="s">
        <v>3480</v>
      </c>
      <c r="B380" s="3" t="s">
        <v>3481</v>
      </c>
      <c r="C380" s="3" t="s">
        <v>202</v>
      </c>
      <c r="D380" s="3" t="s">
        <v>3244</v>
      </c>
      <c r="E380" s="4" t="s">
        <v>3482</v>
      </c>
      <c r="F380" s="3" t="s">
        <v>123</v>
      </c>
      <c r="G380" s="4" t="s">
        <v>3483</v>
      </c>
      <c r="H380" s="4" t="s">
        <v>3484</v>
      </c>
      <c r="I380" s="3" t="s">
        <v>49</v>
      </c>
      <c r="J380" s="3" t="s">
        <v>99</v>
      </c>
      <c r="K380" s="3" t="s">
        <v>45</v>
      </c>
      <c r="L380" s="3" t="s">
        <v>45</v>
      </c>
      <c r="M380" s="3" t="s">
        <v>45</v>
      </c>
      <c r="N380" s="3" t="s">
        <v>45</v>
      </c>
      <c r="O380" s="3" t="s">
        <v>74</v>
      </c>
      <c r="P380" s="3" t="s">
        <v>45</v>
      </c>
      <c r="Q380" s="3" t="s">
        <v>45</v>
      </c>
      <c r="R380" s="3" t="s">
        <v>45</v>
      </c>
      <c r="S380" s="3" t="s">
        <v>45</v>
      </c>
      <c r="T380" s="3" t="s">
        <v>45</v>
      </c>
      <c r="U380" s="3" t="s">
        <v>45</v>
      </c>
      <c r="V380" s="3" t="s">
        <v>45</v>
      </c>
      <c r="W380" s="3" t="s">
        <v>45</v>
      </c>
      <c r="X380" s="3" t="s">
        <v>45</v>
      </c>
      <c r="Y380" s="3" t="s">
        <v>45</v>
      </c>
      <c r="Z380" s="3" t="s">
        <v>74</v>
      </c>
      <c r="AA380" s="3" t="s">
        <v>45</v>
      </c>
      <c r="AB380" s="3" t="s">
        <v>45</v>
      </c>
      <c r="AC380" s="3" t="s">
        <v>45</v>
      </c>
      <c r="AD380" s="3" t="s">
        <v>45</v>
      </c>
      <c r="AE380" s="3" t="s">
        <v>45</v>
      </c>
      <c r="AF380" s="3" t="s">
        <v>45</v>
      </c>
      <c r="AG380" s="3" t="s">
        <v>3485</v>
      </c>
      <c r="AH380" s="3" t="s">
        <v>840</v>
      </c>
      <c r="AI380" s="5" t="s">
        <v>3486</v>
      </c>
      <c r="AJ380" s="5" t="s">
        <v>3487</v>
      </c>
      <c r="AK380" s="3" t="s">
        <v>45</v>
      </c>
      <c r="AL380" s="3" t="s">
        <v>45</v>
      </c>
      <c r="AM380" s="3" t="s">
        <v>45</v>
      </c>
      <c r="AN380" s="3" t="s">
        <v>45</v>
      </c>
      <c r="AO380" s="3" t="s">
        <v>45</v>
      </c>
      <c r="AP380" s="3" t="s">
        <v>45</v>
      </c>
      <c r="AQ380" s="4" t="s">
        <v>1102</v>
      </c>
      <c r="AR380" s="4" t="s">
        <v>1102</v>
      </c>
    </row>
    <row r="381">
      <c r="A381" s="3" t="s">
        <v>3488</v>
      </c>
      <c r="B381" s="3" t="s">
        <v>3489</v>
      </c>
      <c r="C381" s="3" t="s">
        <v>3490</v>
      </c>
      <c r="D381" s="3" t="s">
        <v>3244</v>
      </c>
      <c r="E381" s="4" t="s">
        <v>3491</v>
      </c>
      <c r="F381" s="3" t="s">
        <v>3367</v>
      </c>
      <c r="G381" s="4" t="s">
        <v>3492</v>
      </c>
      <c r="H381" s="4" t="s">
        <v>3493</v>
      </c>
      <c r="I381" s="3" t="s">
        <v>436</v>
      </c>
      <c r="J381" s="3" t="s">
        <v>126</v>
      </c>
      <c r="K381" s="3" t="s">
        <v>45</v>
      </c>
      <c r="L381" s="3" t="s">
        <v>45</v>
      </c>
      <c r="M381" s="3" t="s">
        <v>45</v>
      </c>
      <c r="N381" s="3" t="s">
        <v>45</v>
      </c>
      <c r="O381" s="3" t="s">
        <v>74</v>
      </c>
      <c r="P381" s="3" t="s">
        <v>45</v>
      </c>
      <c r="Q381" s="3" t="s">
        <v>45</v>
      </c>
      <c r="R381" s="3" t="s">
        <v>45</v>
      </c>
      <c r="S381" s="3" t="s">
        <v>45</v>
      </c>
      <c r="T381" s="3" t="s">
        <v>45</v>
      </c>
      <c r="U381" s="3" t="s">
        <v>45</v>
      </c>
      <c r="V381" s="3" t="s">
        <v>45</v>
      </c>
      <c r="W381" s="3" t="s">
        <v>45</v>
      </c>
      <c r="X381" s="3" t="s">
        <v>45</v>
      </c>
      <c r="Y381" s="3" t="s">
        <v>45</v>
      </c>
      <c r="Z381" s="3" t="s">
        <v>74</v>
      </c>
      <c r="AA381" s="3" t="s">
        <v>45</v>
      </c>
      <c r="AB381" s="3" t="s">
        <v>45</v>
      </c>
      <c r="AC381" s="3" t="s">
        <v>45</v>
      </c>
      <c r="AD381" s="3" t="s">
        <v>45</v>
      </c>
      <c r="AE381" s="3" t="s">
        <v>45</v>
      </c>
      <c r="AF381" s="3" t="s">
        <v>45</v>
      </c>
      <c r="AG381" s="3" t="s">
        <v>45</v>
      </c>
      <c r="AH381" s="3" t="s">
        <v>57</v>
      </c>
      <c r="AI381" s="5" t="s">
        <v>3494</v>
      </c>
      <c r="AJ381" s="5" t="s">
        <v>3495</v>
      </c>
      <c r="AK381" s="3" t="s">
        <v>45</v>
      </c>
      <c r="AL381" s="3" t="s">
        <v>45</v>
      </c>
      <c r="AM381" s="3" t="s">
        <v>45</v>
      </c>
      <c r="AN381" s="3" t="s">
        <v>45</v>
      </c>
      <c r="AO381" s="3" t="s">
        <v>45</v>
      </c>
      <c r="AP381" s="3" t="s">
        <v>45</v>
      </c>
      <c r="AQ381" s="4" t="s">
        <v>3335</v>
      </c>
      <c r="AR381" s="4" t="s">
        <v>3335</v>
      </c>
    </row>
    <row r="382">
      <c r="A382" s="3" t="s">
        <v>3496</v>
      </c>
      <c r="B382" s="3" t="s">
        <v>3497</v>
      </c>
      <c r="C382" s="3" t="s">
        <v>3498</v>
      </c>
      <c r="D382" s="3" t="s">
        <v>3244</v>
      </c>
      <c r="E382" s="4" t="s">
        <v>3499</v>
      </c>
      <c r="F382" s="3" t="s">
        <v>3284</v>
      </c>
      <c r="G382" s="4" t="s">
        <v>3500</v>
      </c>
      <c r="H382" s="4" t="s">
        <v>3501</v>
      </c>
      <c r="I382" s="3" t="s">
        <v>49</v>
      </c>
      <c r="J382" s="3" t="s">
        <v>50</v>
      </c>
      <c r="K382" s="3" t="s">
        <v>45</v>
      </c>
      <c r="L382" s="3" t="s">
        <v>45</v>
      </c>
      <c r="M382" s="3" t="s">
        <v>45</v>
      </c>
      <c r="N382" s="3" t="s">
        <v>45</v>
      </c>
      <c r="O382" s="3" t="s">
        <v>74</v>
      </c>
      <c r="P382" s="3" t="s">
        <v>45</v>
      </c>
      <c r="Q382" s="3" t="s">
        <v>45</v>
      </c>
      <c r="R382" s="3" t="s">
        <v>45</v>
      </c>
      <c r="S382" s="3" t="s">
        <v>45</v>
      </c>
      <c r="T382" s="3" t="s">
        <v>45</v>
      </c>
      <c r="U382" s="3" t="s">
        <v>45</v>
      </c>
      <c r="V382" s="4" t="s">
        <v>106</v>
      </c>
      <c r="W382" s="3" t="s">
        <v>45</v>
      </c>
      <c r="X382" s="3" t="s">
        <v>3222</v>
      </c>
      <c r="Y382" s="3" t="s">
        <v>45</v>
      </c>
      <c r="Z382" s="3" t="s">
        <v>74</v>
      </c>
      <c r="AA382" s="3" t="s">
        <v>45</v>
      </c>
      <c r="AB382" s="3" t="s">
        <v>45</v>
      </c>
      <c r="AC382" s="3" t="s">
        <v>45</v>
      </c>
      <c r="AD382" s="3" t="s">
        <v>45</v>
      </c>
      <c r="AE382" s="3" t="s">
        <v>45</v>
      </c>
      <c r="AF382" s="3" t="s">
        <v>45</v>
      </c>
      <c r="AG382" s="3" t="s">
        <v>45</v>
      </c>
      <c r="AH382" s="3" t="s">
        <v>57</v>
      </c>
      <c r="AI382" s="5" t="s">
        <v>3290</v>
      </c>
      <c r="AJ382" s="5" t="s">
        <v>3502</v>
      </c>
      <c r="AK382" s="3" t="s">
        <v>45</v>
      </c>
      <c r="AL382" s="3" t="s">
        <v>45</v>
      </c>
      <c r="AM382" s="3" t="s">
        <v>45</v>
      </c>
      <c r="AN382" s="3" t="s">
        <v>45</v>
      </c>
      <c r="AO382" s="3" t="s">
        <v>45</v>
      </c>
      <c r="AP382" s="3" t="s">
        <v>45</v>
      </c>
      <c r="AQ382" s="4" t="s">
        <v>1260</v>
      </c>
      <c r="AR382" s="4" t="s">
        <v>1260</v>
      </c>
    </row>
    <row r="383">
      <c r="A383" s="3" t="s">
        <v>3503</v>
      </c>
      <c r="B383" s="3" t="s">
        <v>3504</v>
      </c>
      <c r="C383" s="3" t="s">
        <v>3505</v>
      </c>
      <c r="D383" s="3" t="s">
        <v>3244</v>
      </c>
      <c r="E383" s="4" t="s">
        <v>3506</v>
      </c>
      <c r="F383" s="3" t="s">
        <v>3456</v>
      </c>
      <c r="G383" s="4" t="s">
        <v>3507</v>
      </c>
      <c r="H383" s="4" t="s">
        <v>3508</v>
      </c>
      <c r="I383" s="3" t="s">
        <v>49</v>
      </c>
      <c r="J383" s="3" t="s">
        <v>126</v>
      </c>
      <c r="K383" s="3" t="s">
        <v>45</v>
      </c>
      <c r="L383" s="3" t="s">
        <v>176</v>
      </c>
      <c r="M383" s="3" t="s">
        <v>45</v>
      </c>
      <c r="N383" s="3" t="s">
        <v>45</v>
      </c>
      <c r="O383" s="3" t="s">
        <v>74</v>
      </c>
      <c r="P383" s="3" t="s">
        <v>45</v>
      </c>
      <c r="Q383" s="3" t="s">
        <v>45</v>
      </c>
      <c r="R383" s="3" t="s">
        <v>45</v>
      </c>
      <c r="S383" s="3" t="s">
        <v>45</v>
      </c>
      <c r="T383" s="3" t="s">
        <v>45</v>
      </c>
      <c r="U383" s="3" t="s">
        <v>45</v>
      </c>
      <c r="V383" s="3" t="s">
        <v>45</v>
      </c>
      <c r="W383" s="3" t="s">
        <v>45</v>
      </c>
      <c r="X383" s="3" t="s">
        <v>3509</v>
      </c>
      <c r="Y383" s="3" t="s">
        <v>45</v>
      </c>
      <c r="Z383" s="3" t="s">
        <v>74</v>
      </c>
      <c r="AA383" s="3" t="s">
        <v>45</v>
      </c>
      <c r="AB383" s="3" t="s">
        <v>45</v>
      </c>
      <c r="AC383" s="3" t="s">
        <v>45</v>
      </c>
      <c r="AD383" s="3" t="s">
        <v>45</v>
      </c>
      <c r="AE383" s="3" t="s">
        <v>45</v>
      </c>
      <c r="AF383" s="3" t="s">
        <v>45</v>
      </c>
      <c r="AG383" s="3" t="s">
        <v>3510</v>
      </c>
      <c r="AH383" s="3" t="s">
        <v>57</v>
      </c>
      <c r="AI383" s="5" t="s">
        <v>3370</v>
      </c>
      <c r="AJ383" s="5" t="s">
        <v>3511</v>
      </c>
      <c r="AK383" s="5" t="s">
        <v>3512</v>
      </c>
      <c r="AL383" s="5" t="s">
        <v>3513</v>
      </c>
      <c r="AM383" s="5" t="s">
        <v>3514</v>
      </c>
      <c r="AN383" s="3" t="s">
        <v>45</v>
      </c>
      <c r="AO383" s="3" t="s">
        <v>45</v>
      </c>
      <c r="AP383" s="3" t="s">
        <v>45</v>
      </c>
      <c r="AQ383" s="4" t="s">
        <v>182</v>
      </c>
      <c r="AR383" s="4" t="s">
        <v>2459</v>
      </c>
    </row>
    <row r="384">
      <c r="A384" s="3" t="s">
        <v>3515</v>
      </c>
      <c r="B384" s="3" t="s">
        <v>3516</v>
      </c>
      <c r="C384" s="3" t="s">
        <v>3517</v>
      </c>
      <c r="D384" s="3" t="s">
        <v>3244</v>
      </c>
      <c r="E384" s="4" t="s">
        <v>3518</v>
      </c>
      <c r="F384" s="3" t="s">
        <v>242</v>
      </c>
      <c r="G384" s="4" t="s">
        <v>3519</v>
      </c>
      <c r="H384" s="4" t="s">
        <v>3520</v>
      </c>
      <c r="I384" s="3" t="s">
        <v>49</v>
      </c>
      <c r="J384" s="3" t="s">
        <v>126</v>
      </c>
      <c r="K384" s="3" t="s">
        <v>45</v>
      </c>
      <c r="L384" s="3" t="s">
        <v>45</v>
      </c>
      <c r="M384" s="3" t="s">
        <v>45</v>
      </c>
      <c r="N384" s="3" t="s">
        <v>45</v>
      </c>
      <c r="O384" s="3" t="s">
        <v>74</v>
      </c>
      <c r="P384" s="3" t="s">
        <v>45</v>
      </c>
      <c r="Q384" s="3" t="s">
        <v>45</v>
      </c>
      <c r="R384" s="3" t="s">
        <v>45</v>
      </c>
      <c r="S384" s="3" t="s">
        <v>45</v>
      </c>
      <c r="T384" s="3" t="s">
        <v>45</v>
      </c>
      <c r="U384" s="3" t="s">
        <v>45</v>
      </c>
      <c r="V384" s="3" t="s">
        <v>45</v>
      </c>
      <c r="W384" s="4" t="s">
        <v>3521</v>
      </c>
      <c r="X384" s="3" t="s">
        <v>45</v>
      </c>
      <c r="Y384" s="3" t="s">
        <v>45</v>
      </c>
      <c r="Z384" s="3" t="s">
        <v>74</v>
      </c>
      <c r="AA384" s="3" t="s">
        <v>45</v>
      </c>
      <c r="AB384" s="3" t="s">
        <v>45</v>
      </c>
      <c r="AC384" s="3" t="s">
        <v>45</v>
      </c>
      <c r="AD384" s="3" t="s">
        <v>45</v>
      </c>
      <c r="AE384" s="3" t="s">
        <v>45</v>
      </c>
      <c r="AF384" s="3" t="s">
        <v>45</v>
      </c>
      <c r="AG384" s="3" t="s">
        <v>45</v>
      </c>
      <c r="AH384" s="3" t="s">
        <v>57</v>
      </c>
      <c r="AI384" s="5" t="s">
        <v>3522</v>
      </c>
      <c r="AJ384" s="5" t="s">
        <v>3370</v>
      </c>
      <c r="AK384" s="3" t="s">
        <v>45</v>
      </c>
      <c r="AL384" s="3" t="s">
        <v>45</v>
      </c>
      <c r="AM384" s="3" t="s">
        <v>45</v>
      </c>
      <c r="AN384" s="3" t="s">
        <v>45</v>
      </c>
      <c r="AO384" s="3" t="s">
        <v>45</v>
      </c>
      <c r="AP384" s="3" t="s">
        <v>45</v>
      </c>
      <c r="AQ384" s="4" t="s">
        <v>295</v>
      </c>
      <c r="AR384" s="4" t="s">
        <v>295</v>
      </c>
    </row>
    <row r="385">
      <c r="A385" s="3" t="s">
        <v>3523</v>
      </c>
      <c r="B385" s="3" t="s">
        <v>3524</v>
      </c>
      <c r="C385" s="3" t="s">
        <v>3525</v>
      </c>
      <c r="D385" s="3" t="s">
        <v>3244</v>
      </c>
      <c r="E385" s="4" t="s">
        <v>3526</v>
      </c>
      <c r="F385" s="3" t="s">
        <v>3299</v>
      </c>
      <c r="G385" s="4" t="s">
        <v>3527</v>
      </c>
      <c r="H385" s="4" t="s">
        <v>3528</v>
      </c>
      <c r="I385" s="3" t="s">
        <v>245</v>
      </c>
      <c r="J385" s="3" t="s">
        <v>126</v>
      </c>
      <c r="K385" s="3" t="s">
        <v>45</v>
      </c>
      <c r="L385" s="3" t="s">
        <v>3529</v>
      </c>
      <c r="M385" s="3" t="s">
        <v>45</v>
      </c>
      <c r="N385" s="3" t="s">
        <v>45</v>
      </c>
      <c r="O385" s="3" t="s">
        <v>74</v>
      </c>
      <c r="P385" s="3" t="s">
        <v>45</v>
      </c>
      <c r="Q385" s="3" t="s">
        <v>45</v>
      </c>
      <c r="R385" s="3" t="s">
        <v>45</v>
      </c>
      <c r="S385" s="3" t="s">
        <v>45</v>
      </c>
      <c r="T385" s="3" t="s">
        <v>45</v>
      </c>
      <c r="U385" s="3" t="s">
        <v>45</v>
      </c>
      <c r="V385" s="3" t="s">
        <v>45</v>
      </c>
      <c r="W385" s="4" t="s">
        <v>3530</v>
      </c>
      <c r="X385" s="3" t="s">
        <v>305</v>
      </c>
      <c r="Y385" s="3" t="s">
        <v>45</v>
      </c>
      <c r="Z385" s="3" t="s">
        <v>74</v>
      </c>
      <c r="AA385" s="3" t="s">
        <v>45</v>
      </c>
      <c r="AB385" s="3" t="s">
        <v>45</v>
      </c>
      <c r="AC385" s="3" t="s">
        <v>45</v>
      </c>
      <c r="AD385" s="3" t="s">
        <v>45</v>
      </c>
      <c r="AE385" s="3" t="s">
        <v>45</v>
      </c>
      <c r="AF385" s="3" t="s">
        <v>45</v>
      </c>
      <c r="AG385" s="3" t="s">
        <v>3531</v>
      </c>
      <c r="AH385" s="3" t="s">
        <v>57</v>
      </c>
      <c r="AI385" s="5" t="s">
        <v>3532</v>
      </c>
      <c r="AJ385" s="5" t="s">
        <v>3533</v>
      </c>
      <c r="AK385" s="5" t="s">
        <v>3534</v>
      </c>
      <c r="AL385" s="5" t="s">
        <v>3535</v>
      </c>
      <c r="AM385" s="5" t="s">
        <v>3536</v>
      </c>
      <c r="AN385" s="5" t="s">
        <v>3537</v>
      </c>
      <c r="AO385" s="3" t="s">
        <v>45</v>
      </c>
      <c r="AP385" s="3" t="s">
        <v>45</v>
      </c>
      <c r="AQ385" s="4" t="s">
        <v>168</v>
      </c>
      <c r="AR385" s="4" t="s">
        <v>168</v>
      </c>
    </row>
    <row r="386">
      <c r="A386" s="3" t="s">
        <v>3538</v>
      </c>
      <c r="B386" s="3" t="s">
        <v>3539</v>
      </c>
      <c r="C386" s="3" t="s">
        <v>3540</v>
      </c>
      <c r="D386" s="3" t="s">
        <v>3244</v>
      </c>
      <c r="E386" s="4" t="s">
        <v>3541</v>
      </c>
      <c r="F386" s="3" t="s">
        <v>3330</v>
      </c>
      <c r="G386" s="4" t="s">
        <v>3542</v>
      </c>
      <c r="H386" s="4" t="s">
        <v>3543</v>
      </c>
      <c r="I386" s="3" t="s">
        <v>245</v>
      </c>
      <c r="J386" s="3" t="s">
        <v>126</v>
      </c>
      <c r="K386" s="3" t="s">
        <v>45</v>
      </c>
      <c r="L386" s="3" t="s">
        <v>45</v>
      </c>
      <c r="M386" s="3" t="s">
        <v>45</v>
      </c>
      <c r="N386" s="3" t="s">
        <v>45</v>
      </c>
      <c r="O386" s="3" t="s">
        <v>88</v>
      </c>
      <c r="P386" s="3" t="s">
        <v>45</v>
      </c>
      <c r="Q386" s="3" t="s">
        <v>45</v>
      </c>
      <c r="R386" s="3" t="s">
        <v>45</v>
      </c>
      <c r="S386" s="4" t="s">
        <v>259</v>
      </c>
      <c r="T386" s="3" t="s">
        <v>45</v>
      </c>
      <c r="U386" s="3" t="s">
        <v>45</v>
      </c>
      <c r="V386" s="3" t="s">
        <v>45</v>
      </c>
      <c r="W386" s="4" t="s">
        <v>3544</v>
      </c>
      <c r="X386" s="3" t="s">
        <v>2867</v>
      </c>
      <c r="Y386" s="3" t="s">
        <v>45</v>
      </c>
      <c r="Z386" s="3" t="s">
        <v>55</v>
      </c>
      <c r="AA386" s="3" t="s">
        <v>45</v>
      </c>
      <c r="AB386" s="3" t="s">
        <v>45</v>
      </c>
      <c r="AC386" s="3" t="s">
        <v>45</v>
      </c>
      <c r="AD386" s="3" t="s">
        <v>45</v>
      </c>
      <c r="AE386" s="3" t="s">
        <v>45</v>
      </c>
      <c r="AF386" s="3" t="s">
        <v>45</v>
      </c>
      <c r="AG386" s="3" t="s">
        <v>3545</v>
      </c>
      <c r="AH386" s="3" t="s">
        <v>57</v>
      </c>
      <c r="AI386" s="5" t="s">
        <v>3546</v>
      </c>
      <c r="AJ386" s="5" t="s">
        <v>3547</v>
      </c>
      <c r="AK386" s="5" t="s">
        <v>3548</v>
      </c>
      <c r="AL386" s="5" t="s">
        <v>3549</v>
      </c>
      <c r="AM386" s="5" t="s">
        <v>3550</v>
      </c>
      <c r="AN386" s="5" t="s">
        <v>3551</v>
      </c>
      <c r="AO386" s="3" t="s">
        <v>45</v>
      </c>
      <c r="AP386" s="3" t="s">
        <v>45</v>
      </c>
      <c r="AQ386" s="4" t="s">
        <v>3233</v>
      </c>
      <c r="AR386" s="4" t="s">
        <v>3552</v>
      </c>
    </row>
    <row r="387">
      <c r="A387" s="3" t="s">
        <v>3553</v>
      </c>
      <c r="B387" s="3" t="s">
        <v>3554</v>
      </c>
      <c r="C387" s="3" t="s">
        <v>3540</v>
      </c>
      <c r="D387" s="3" t="s">
        <v>3244</v>
      </c>
      <c r="E387" s="4" t="s">
        <v>3555</v>
      </c>
      <c r="F387" s="3" t="s">
        <v>3330</v>
      </c>
      <c r="G387" s="4" t="s">
        <v>3556</v>
      </c>
      <c r="H387" s="4" t="s">
        <v>3557</v>
      </c>
      <c r="I387" s="3" t="s">
        <v>85</v>
      </c>
      <c r="J387" s="3" t="s">
        <v>126</v>
      </c>
      <c r="K387" s="3" t="s">
        <v>743</v>
      </c>
      <c r="L387" s="3" t="s">
        <v>479</v>
      </c>
      <c r="M387" s="3" t="s">
        <v>45</v>
      </c>
      <c r="N387" s="4" t="s">
        <v>3558</v>
      </c>
      <c r="O387" s="3" t="s">
        <v>70</v>
      </c>
      <c r="P387" s="3" t="s">
        <v>45</v>
      </c>
      <c r="Q387" s="3" t="s">
        <v>45</v>
      </c>
      <c r="R387" s="3" t="s">
        <v>45</v>
      </c>
      <c r="S387" s="4" t="s">
        <v>2608</v>
      </c>
      <c r="T387" s="3" t="s">
        <v>89</v>
      </c>
      <c r="U387" s="3" t="s">
        <v>45</v>
      </c>
      <c r="V387" s="3" t="s">
        <v>45</v>
      </c>
      <c r="W387" s="4" t="s">
        <v>128</v>
      </c>
      <c r="X387" s="3" t="s">
        <v>45</v>
      </c>
      <c r="Y387" s="3" t="s">
        <v>45</v>
      </c>
      <c r="Z387" s="3" t="s">
        <v>74</v>
      </c>
      <c r="AA387" s="3" t="s">
        <v>45</v>
      </c>
      <c r="AB387" s="3" t="s">
        <v>45</v>
      </c>
      <c r="AC387" s="3" t="s">
        <v>45</v>
      </c>
      <c r="AD387" s="3" t="s">
        <v>45</v>
      </c>
      <c r="AE387" s="3" t="s">
        <v>45</v>
      </c>
      <c r="AF387" s="3" t="s">
        <v>45</v>
      </c>
      <c r="AG387" s="3" t="s">
        <v>45</v>
      </c>
      <c r="AH387" s="3" t="s">
        <v>57</v>
      </c>
      <c r="AI387" s="5" t="s">
        <v>3559</v>
      </c>
      <c r="AJ387" s="5" t="s">
        <v>3560</v>
      </c>
      <c r="AK387" s="5" t="s">
        <v>3334</v>
      </c>
      <c r="AL387" s="5" t="s">
        <v>362</v>
      </c>
      <c r="AM387" s="5" t="s">
        <v>3561</v>
      </c>
      <c r="AN387" s="5" t="s">
        <v>3562</v>
      </c>
      <c r="AO387" s="3" t="s">
        <v>45</v>
      </c>
      <c r="AP387" s="3" t="s">
        <v>45</v>
      </c>
      <c r="AQ387" s="4" t="s">
        <v>3335</v>
      </c>
      <c r="AR387" s="4" t="s">
        <v>2053</v>
      </c>
    </row>
    <row r="388">
      <c r="A388" s="3" t="s">
        <v>3563</v>
      </c>
      <c r="B388" s="3" t="s">
        <v>3564</v>
      </c>
      <c r="C388" s="3" t="s">
        <v>3565</v>
      </c>
      <c r="D388" s="3" t="s">
        <v>3244</v>
      </c>
      <c r="E388" s="4" t="s">
        <v>3566</v>
      </c>
      <c r="F388" s="3" t="s">
        <v>3567</v>
      </c>
      <c r="G388" s="4" t="s">
        <v>3568</v>
      </c>
      <c r="H388" s="4" t="s">
        <v>3569</v>
      </c>
      <c r="I388" s="3" t="s">
        <v>49</v>
      </c>
      <c r="J388" s="3" t="s">
        <v>126</v>
      </c>
      <c r="K388" s="3" t="s">
        <v>45</v>
      </c>
      <c r="L388" s="3" t="s">
        <v>45</v>
      </c>
      <c r="M388" s="3" t="s">
        <v>45</v>
      </c>
      <c r="N388" s="3" t="s">
        <v>45</v>
      </c>
      <c r="O388" s="3" t="s">
        <v>74</v>
      </c>
      <c r="P388" s="3" t="s">
        <v>45</v>
      </c>
      <c r="Q388" s="3" t="s">
        <v>45</v>
      </c>
      <c r="R388" s="3" t="s">
        <v>45</v>
      </c>
      <c r="S388" s="4" t="s">
        <v>233</v>
      </c>
      <c r="T388" s="3" t="s">
        <v>45</v>
      </c>
      <c r="U388" s="3" t="s">
        <v>45</v>
      </c>
      <c r="V388" s="4" t="s">
        <v>3570</v>
      </c>
      <c r="W388" s="4" t="s">
        <v>2373</v>
      </c>
      <c r="X388" s="3" t="s">
        <v>45</v>
      </c>
      <c r="Y388" s="3" t="s">
        <v>45</v>
      </c>
      <c r="Z388" s="3" t="s">
        <v>55</v>
      </c>
      <c r="AA388" s="3" t="s">
        <v>45</v>
      </c>
      <c r="AB388" s="3" t="s">
        <v>45</v>
      </c>
      <c r="AC388" s="3" t="s">
        <v>45</v>
      </c>
      <c r="AD388" s="3" t="s">
        <v>45</v>
      </c>
      <c r="AE388" s="3" t="s">
        <v>45</v>
      </c>
      <c r="AF388" s="5" t="s">
        <v>3571</v>
      </c>
      <c r="AG388" s="3" t="s">
        <v>45</v>
      </c>
      <c r="AH388" s="3" t="s">
        <v>57</v>
      </c>
      <c r="AI388" s="5" t="s">
        <v>3572</v>
      </c>
      <c r="AJ388" s="5" t="s">
        <v>3573</v>
      </c>
      <c r="AK388" s="3" t="s">
        <v>45</v>
      </c>
      <c r="AL388" s="3" t="s">
        <v>45</v>
      </c>
      <c r="AM388" s="3" t="s">
        <v>45</v>
      </c>
      <c r="AN388" s="3" t="s">
        <v>45</v>
      </c>
      <c r="AO388" s="3" t="s">
        <v>45</v>
      </c>
      <c r="AP388" s="3" t="s">
        <v>45</v>
      </c>
      <c r="AQ388" s="4" t="s">
        <v>3574</v>
      </c>
      <c r="AR388" s="4" t="s">
        <v>324</v>
      </c>
    </row>
    <row r="389">
      <c r="A389" s="3" t="s">
        <v>3575</v>
      </c>
      <c r="B389" s="3" t="s">
        <v>3576</v>
      </c>
      <c r="C389" s="3" t="s">
        <v>3268</v>
      </c>
      <c r="D389" s="3" t="s">
        <v>3244</v>
      </c>
      <c r="E389" s="4" t="s">
        <v>3267</v>
      </c>
      <c r="F389" s="3" t="s">
        <v>3268</v>
      </c>
      <c r="G389" s="4" t="s">
        <v>3577</v>
      </c>
      <c r="H389" s="4" t="s">
        <v>3578</v>
      </c>
      <c r="I389" s="3" t="s">
        <v>49</v>
      </c>
      <c r="J389" s="3" t="s">
        <v>50</v>
      </c>
      <c r="K389" s="3" t="s">
        <v>45</v>
      </c>
      <c r="L389" s="3" t="s">
        <v>45</v>
      </c>
      <c r="M389" s="3" t="s">
        <v>45</v>
      </c>
      <c r="N389" s="3" t="s">
        <v>45</v>
      </c>
      <c r="O389" s="3" t="s">
        <v>74</v>
      </c>
      <c r="P389" s="3" t="s">
        <v>45</v>
      </c>
      <c r="Q389" s="3" t="s">
        <v>45</v>
      </c>
      <c r="R389" s="3" t="s">
        <v>45</v>
      </c>
      <c r="S389" s="3" t="s">
        <v>45</v>
      </c>
      <c r="T389" s="3" t="s">
        <v>45</v>
      </c>
      <c r="U389" s="3" t="s">
        <v>45</v>
      </c>
      <c r="V389" s="3" t="s">
        <v>45</v>
      </c>
      <c r="W389" s="4" t="s">
        <v>500</v>
      </c>
      <c r="X389" s="3" t="s">
        <v>45</v>
      </c>
      <c r="Y389" s="3" t="s">
        <v>45</v>
      </c>
      <c r="Z389" s="3" t="s">
        <v>74</v>
      </c>
      <c r="AA389" s="3" t="s">
        <v>45</v>
      </c>
      <c r="AB389" s="3" t="s">
        <v>45</v>
      </c>
      <c r="AC389" s="3" t="s">
        <v>45</v>
      </c>
      <c r="AD389" s="3" t="s">
        <v>45</v>
      </c>
      <c r="AE389" s="3" t="s">
        <v>45</v>
      </c>
      <c r="AF389" s="3" t="s">
        <v>45</v>
      </c>
      <c r="AG389" s="3" t="s">
        <v>45</v>
      </c>
      <c r="AH389" s="3" t="s">
        <v>57</v>
      </c>
      <c r="AI389" s="5" t="s">
        <v>3579</v>
      </c>
      <c r="AJ389" s="3" t="s">
        <v>45</v>
      </c>
      <c r="AK389" s="3" t="s">
        <v>45</v>
      </c>
      <c r="AL389" s="3" t="s">
        <v>45</v>
      </c>
      <c r="AM389" s="3" t="s">
        <v>45</v>
      </c>
      <c r="AN389" s="3" t="s">
        <v>45</v>
      </c>
      <c r="AO389" s="3" t="s">
        <v>45</v>
      </c>
      <c r="AP389" s="3" t="s">
        <v>45</v>
      </c>
      <c r="AQ389" s="4" t="s">
        <v>168</v>
      </c>
      <c r="AR389" s="4" t="s">
        <v>168</v>
      </c>
    </row>
    <row r="390">
      <c r="A390" s="3" t="s">
        <v>882</v>
      </c>
      <c r="B390" s="3" t="s">
        <v>3580</v>
      </c>
      <c r="C390" s="3" t="s">
        <v>3581</v>
      </c>
      <c r="D390" s="3" t="s">
        <v>3244</v>
      </c>
      <c r="E390" s="4" t="s">
        <v>3582</v>
      </c>
      <c r="F390" s="3" t="s">
        <v>3581</v>
      </c>
      <c r="G390" s="4" t="s">
        <v>3583</v>
      </c>
      <c r="H390" s="4" t="s">
        <v>3584</v>
      </c>
      <c r="I390" s="3" t="s">
        <v>49</v>
      </c>
      <c r="J390" s="3" t="s">
        <v>126</v>
      </c>
      <c r="K390" s="3" t="s">
        <v>45</v>
      </c>
      <c r="L390" s="3" t="s">
        <v>45</v>
      </c>
      <c r="M390" s="3" t="s">
        <v>45</v>
      </c>
      <c r="N390" s="3" t="s">
        <v>3585</v>
      </c>
      <c r="O390" s="3" t="s">
        <v>70</v>
      </c>
      <c r="P390" s="3" t="s">
        <v>45</v>
      </c>
      <c r="Q390" s="3" t="s">
        <v>45</v>
      </c>
      <c r="R390" s="3" t="s">
        <v>45</v>
      </c>
      <c r="S390" s="4" t="s">
        <v>1843</v>
      </c>
      <c r="T390" s="3" t="s">
        <v>45</v>
      </c>
      <c r="U390" s="3" t="s">
        <v>45</v>
      </c>
      <c r="V390" s="3" t="s">
        <v>45</v>
      </c>
      <c r="W390" s="4" t="s">
        <v>3586</v>
      </c>
      <c r="X390" s="3" t="s">
        <v>45</v>
      </c>
      <c r="Y390" s="3" t="s">
        <v>45</v>
      </c>
      <c r="Z390" s="3" t="s">
        <v>55</v>
      </c>
      <c r="AA390" s="3" t="s">
        <v>45</v>
      </c>
      <c r="AB390" s="3" t="s">
        <v>45</v>
      </c>
      <c r="AC390" s="3" t="s">
        <v>45</v>
      </c>
      <c r="AD390" s="3" t="s">
        <v>45</v>
      </c>
      <c r="AE390" s="3" t="s">
        <v>45</v>
      </c>
      <c r="AF390" s="5" t="s">
        <v>3587</v>
      </c>
      <c r="AG390" s="3" t="s">
        <v>45</v>
      </c>
      <c r="AH390" s="3" t="s">
        <v>57</v>
      </c>
      <c r="AI390" s="5" t="s">
        <v>3588</v>
      </c>
      <c r="AJ390" s="3" t="s">
        <v>45</v>
      </c>
      <c r="AK390" s="3" t="s">
        <v>45</v>
      </c>
      <c r="AL390" s="3" t="s">
        <v>45</v>
      </c>
      <c r="AM390" s="3" t="s">
        <v>45</v>
      </c>
      <c r="AN390" s="3" t="s">
        <v>45</v>
      </c>
      <c r="AO390" s="3" t="s">
        <v>45</v>
      </c>
      <c r="AP390" s="3" t="s">
        <v>45</v>
      </c>
      <c r="AQ390" s="4" t="s">
        <v>3574</v>
      </c>
      <c r="AR390" s="4" t="s">
        <v>3574</v>
      </c>
    </row>
    <row r="391">
      <c r="A391" s="3" t="s">
        <v>3589</v>
      </c>
      <c r="B391" s="3" t="s">
        <v>3590</v>
      </c>
      <c r="C391" s="3" t="s">
        <v>3591</v>
      </c>
      <c r="D391" s="3" t="s">
        <v>3244</v>
      </c>
      <c r="E391" s="4" t="s">
        <v>3592</v>
      </c>
      <c r="F391" s="3" t="s">
        <v>3268</v>
      </c>
      <c r="G391" s="4" t="s">
        <v>3593</v>
      </c>
      <c r="H391" s="4" t="s">
        <v>3594</v>
      </c>
      <c r="I391" s="3" t="s">
        <v>245</v>
      </c>
      <c r="J391" s="3" t="s">
        <v>126</v>
      </c>
      <c r="K391" s="3" t="s">
        <v>45</v>
      </c>
      <c r="L391" s="3" t="s">
        <v>45</v>
      </c>
      <c r="M391" s="3" t="s">
        <v>45</v>
      </c>
      <c r="N391" s="3" t="s">
        <v>45</v>
      </c>
      <c r="O391" s="3" t="s">
        <v>74</v>
      </c>
      <c r="P391" s="3" t="s">
        <v>45</v>
      </c>
      <c r="Q391" s="3" t="s">
        <v>45</v>
      </c>
      <c r="R391" s="3" t="s">
        <v>45</v>
      </c>
      <c r="S391" s="3" t="s">
        <v>45</v>
      </c>
      <c r="T391" s="3" t="s">
        <v>45</v>
      </c>
      <c r="U391" s="3" t="s">
        <v>45</v>
      </c>
      <c r="V391" s="3" t="s">
        <v>45</v>
      </c>
      <c r="W391" s="4" t="s">
        <v>3595</v>
      </c>
      <c r="X391" s="3" t="s">
        <v>305</v>
      </c>
      <c r="Y391" s="3" t="s">
        <v>45</v>
      </c>
      <c r="Z391" s="3" t="s">
        <v>74</v>
      </c>
      <c r="AA391" s="3" t="s">
        <v>45</v>
      </c>
      <c r="AB391" s="3" t="s">
        <v>45</v>
      </c>
      <c r="AC391" s="3" t="s">
        <v>45</v>
      </c>
      <c r="AD391" s="3" t="s">
        <v>45</v>
      </c>
      <c r="AE391" s="3" t="s">
        <v>45</v>
      </c>
      <c r="AF391" s="3" t="s">
        <v>45</v>
      </c>
      <c r="AG391" s="3" t="s">
        <v>3596</v>
      </c>
      <c r="AH391" s="3" t="s">
        <v>57</v>
      </c>
      <c r="AI391" s="5" t="s">
        <v>3597</v>
      </c>
      <c r="AJ391" s="5" t="s">
        <v>3598</v>
      </c>
      <c r="AK391" s="3" t="s">
        <v>45</v>
      </c>
      <c r="AL391" s="3" t="s">
        <v>45</v>
      </c>
      <c r="AM391" s="3" t="s">
        <v>45</v>
      </c>
      <c r="AN391" s="3" t="s">
        <v>45</v>
      </c>
      <c r="AO391" s="3" t="s">
        <v>45</v>
      </c>
      <c r="AP391" s="3" t="s">
        <v>45</v>
      </c>
      <c r="AQ391" s="4" t="s">
        <v>147</v>
      </c>
      <c r="AR391" s="4" t="s">
        <v>147</v>
      </c>
    </row>
    <row r="392">
      <c r="A392" s="3" t="s">
        <v>3599</v>
      </c>
      <c r="B392" s="3" t="s">
        <v>3590</v>
      </c>
      <c r="C392" s="3" t="s">
        <v>3591</v>
      </c>
      <c r="D392" s="3" t="s">
        <v>3244</v>
      </c>
      <c r="E392" s="4" t="s">
        <v>3592</v>
      </c>
      <c r="F392" s="3" t="s">
        <v>3268</v>
      </c>
      <c r="G392" s="4" t="s">
        <v>3600</v>
      </c>
      <c r="H392" s="4" t="s">
        <v>3601</v>
      </c>
      <c r="I392" s="3" t="s">
        <v>245</v>
      </c>
      <c r="J392" s="3" t="s">
        <v>126</v>
      </c>
      <c r="K392" s="3" t="s">
        <v>45</v>
      </c>
      <c r="L392" s="3" t="s">
        <v>45</v>
      </c>
      <c r="M392" s="3" t="s">
        <v>45</v>
      </c>
      <c r="N392" s="3" t="s">
        <v>45</v>
      </c>
      <c r="O392" s="3" t="s">
        <v>74</v>
      </c>
      <c r="P392" s="3" t="s">
        <v>45</v>
      </c>
      <c r="Q392" s="3" t="s">
        <v>45</v>
      </c>
      <c r="R392" s="3" t="s">
        <v>45</v>
      </c>
      <c r="S392" s="3" t="s">
        <v>45</v>
      </c>
      <c r="T392" s="3" t="s">
        <v>45</v>
      </c>
      <c r="U392" s="3" t="s">
        <v>45</v>
      </c>
      <c r="V392" s="3" t="s">
        <v>45</v>
      </c>
      <c r="W392" s="4" t="s">
        <v>3595</v>
      </c>
      <c r="X392" s="3" t="s">
        <v>305</v>
      </c>
      <c r="Y392" s="3" t="s">
        <v>45</v>
      </c>
      <c r="Z392" s="3" t="s">
        <v>74</v>
      </c>
      <c r="AA392" s="3" t="s">
        <v>45</v>
      </c>
      <c r="AB392" s="3" t="s">
        <v>45</v>
      </c>
      <c r="AC392" s="3" t="s">
        <v>45</v>
      </c>
      <c r="AD392" s="3" t="s">
        <v>45</v>
      </c>
      <c r="AE392" s="3" t="s">
        <v>45</v>
      </c>
      <c r="AF392" s="3" t="s">
        <v>45</v>
      </c>
      <c r="AG392" s="3" t="s">
        <v>3596</v>
      </c>
      <c r="AH392" s="3" t="s">
        <v>57</v>
      </c>
      <c r="AI392" s="5" t="s">
        <v>3597</v>
      </c>
      <c r="AJ392" s="5" t="s">
        <v>3598</v>
      </c>
      <c r="AK392" s="3" t="s">
        <v>45</v>
      </c>
      <c r="AL392" s="3" t="s">
        <v>45</v>
      </c>
      <c r="AM392" s="3" t="s">
        <v>45</v>
      </c>
      <c r="AN392" s="3" t="s">
        <v>45</v>
      </c>
      <c r="AO392" s="3" t="s">
        <v>45</v>
      </c>
      <c r="AP392" s="3" t="s">
        <v>45</v>
      </c>
      <c r="AQ392" s="4" t="s">
        <v>147</v>
      </c>
      <c r="AR392" s="4" t="s">
        <v>147</v>
      </c>
    </row>
    <row r="393">
      <c r="A393" s="3" t="s">
        <v>3602</v>
      </c>
      <c r="B393" s="3" t="s">
        <v>3603</v>
      </c>
      <c r="C393" s="3" t="s">
        <v>3604</v>
      </c>
      <c r="D393" s="3" t="s">
        <v>3244</v>
      </c>
      <c r="E393" s="4" t="s">
        <v>3605</v>
      </c>
      <c r="F393" s="3" t="s">
        <v>3268</v>
      </c>
      <c r="G393" s="4" t="s">
        <v>3606</v>
      </c>
      <c r="H393" s="4" t="s">
        <v>3607</v>
      </c>
      <c r="I393" s="3" t="s">
        <v>245</v>
      </c>
      <c r="J393" s="3" t="s">
        <v>50</v>
      </c>
      <c r="K393" s="3" t="s">
        <v>45</v>
      </c>
      <c r="L393" s="3" t="s">
        <v>45</v>
      </c>
      <c r="M393" s="3" t="s">
        <v>45</v>
      </c>
      <c r="N393" s="3" t="s">
        <v>45</v>
      </c>
      <c r="O393" s="3" t="s">
        <v>88</v>
      </c>
      <c r="P393" s="3" t="s">
        <v>45</v>
      </c>
      <c r="Q393" s="3" t="s">
        <v>45</v>
      </c>
      <c r="R393" s="3" t="s">
        <v>45</v>
      </c>
      <c r="S393" s="4" t="s">
        <v>104</v>
      </c>
      <c r="T393" s="3" t="s">
        <v>45</v>
      </c>
      <c r="U393" s="3" t="s">
        <v>45</v>
      </c>
      <c r="V393" s="4" t="s">
        <v>2507</v>
      </c>
      <c r="W393" s="4" t="s">
        <v>3608</v>
      </c>
      <c r="X393" s="3" t="s">
        <v>45</v>
      </c>
      <c r="Y393" s="3" t="s">
        <v>45</v>
      </c>
      <c r="Z393" s="3" t="s">
        <v>55</v>
      </c>
      <c r="AA393" s="3" t="s">
        <v>45</v>
      </c>
      <c r="AB393" s="3" t="s">
        <v>45</v>
      </c>
      <c r="AC393" s="3" t="s">
        <v>45</v>
      </c>
      <c r="AD393" s="3" t="s">
        <v>45</v>
      </c>
      <c r="AE393" s="3" t="s">
        <v>45</v>
      </c>
      <c r="AF393" s="3" t="s">
        <v>45</v>
      </c>
      <c r="AG393" s="3" t="s">
        <v>45</v>
      </c>
      <c r="AH393" s="3" t="s">
        <v>57</v>
      </c>
      <c r="AI393" s="5" t="s">
        <v>3609</v>
      </c>
      <c r="AJ393" s="5" t="s">
        <v>3610</v>
      </c>
      <c r="AK393" s="3" t="s">
        <v>45</v>
      </c>
      <c r="AL393" s="3" t="s">
        <v>45</v>
      </c>
      <c r="AM393" s="3" t="s">
        <v>45</v>
      </c>
      <c r="AN393" s="3" t="s">
        <v>45</v>
      </c>
      <c r="AO393" s="3" t="s">
        <v>45</v>
      </c>
      <c r="AP393" s="3" t="s">
        <v>45</v>
      </c>
      <c r="AQ393" s="4" t="s">
        <v>1789</v>
      </c>
      <c r="AR393" s="4" t="s">
        <v>1789</v>
      </c>
    </row>
    <row r="394">
      <c r="A394" s="3" t="s">
        <v>3611</v>
      </c>
      <c r="B394" s="3" t="s">
        <v>3612</v>
      </c>
      <c r="C394" s="3" t="s">
        <v>3613</v>
      </c>
      <c r="D394" s="3" t="s">
        <v>3244</v>
      </c>
      <c r="E394" s="4" t="s">
        <v>3614</v>
      </c>
      <c r="F394" s="3" t="s">
        <v>3615</v>
      </c>
      <c r="G394" s="4" t="s">
        <v>3616</v>
      </c>
      <c r="H394" s="4" t="s">
        <v>3617</v>
      </c>
      <c r="I394" s="3" t="s">
        <v>49</v>
      </c>
      <c r="J394" s="3" t="s">
        <v>126</v>
      </c>
      <c r="K394" s="3" t="s">
        <v>45</v>
      </c>
      <c r="L394" s="3" t="s">
        <v>479</v>
      </c>
      <c r="M394" s="3" t="s">
        <v>45</v>
      </c>
      <c r="N394" s="3" t="s">
        <v>45</v>
      </c>
      <c r="O394" s="3" t="s">
        <v>74</v>
      </c>
      <c r="P394" s="3" t="s">
        <v>3618</v>
      </c>
      <c r="Q394" s="3" t="s">
        <v>45</v>
      </c>
      <c r="R394" s="3" t="s">
        <v>45</v>
      </c>
      <c r="S394" s="4" t="s">
        <v>922</v>
      </c>
      <c r="T394" s="3" t="s">
        <v>89</v>
      </c>
      <c r="U394" s="3" t="s">
        <v>3619</v>
      </c>
      <c r="V394" s="3" t="s">
        <v>45</v>
      </c>
      <c r="W394" s="4" t="s">
        <v>3620</v>
      </c>
      <c r="X394" s="3" t="s">
        <v>3621</v>
      </c>
      <c r="Y394" s="3" t="s">
        <v>45</v>
      </c>
      <c r="Z394" s="3" t="s">
        <v>74</v>
      </c>
      <c r="AA394" s="3" t="s">
        <v>45</v>
      </c>
      <c r="AB394" s="3" t="s">
        <v>45</v>
      </c>
      <c r="AC394" s="3" t="s">
        <v>45</v>
      </c>
      <c r="AD394" s="3" t="s">
        <v>45</v>
      </c>
      <c r="AE394" s="3" t="s">
        <v>45</v>
      </c>
      <c r="AF394" s="3" t="s">
        <v>45</v>
      </c>
      <c r="AG394" s="3" t="s">
        <v>45</v>
      </c>
      <c r="AH394" s="3" t="s">
        <v>57</v>
      </c>
      <c r="AI394" s="5" t="s">
        <v>3622</v>
      </c>
      <c r="AJ394" s="3" t="s">
        <v>45</v>
      </c>
      <c r="AK394" s="3" t="s">
        <v>45</v>
      </c>
      <c r="AL394" s="3" t="s">
        <v>45</v>
      </c>
      <c r="AM394" s="3" t="s">
        <v>45</v>
      </c>
      <c r="AN394" s="3" t="s">
        <v>45</v>
      </c>
      <c r="AO394" s="3" t="s">
        <v>45</v>
      </c>
      <c r="AP394" s="3" t="s">
        <v>45</v>
      </c>
      <c r="AQ394" s="4" t="s">
        <v>413</v>
      </c>
      <c r="AR394" s="4" t="s">
        <v>413</v>
      </c>
    </row>
    <row r="395">
      <c r="A395" s="3" t="s">
        <v>3623</v>
      </c>
      <c r="B395" s="3" t="s">
        <v>3624</v>
      </c>
      <c r="C395" s="3" t="s">
        <v>3625</v>
      </c>
      <c r="D395" s="3" t="s">
        <v>3244</v>
      </c>
      <c r="E395" s="4" t="s">
        <v>3626</v>
      </c>
      <c r="F395" s="3" t="s">
        <v>3627</v>
      </c>
      <c r="G395" s="4" t="s">
        <v>3628</v>
      </c>
      <c r="H395" s="4" t="s">
        <v>3629</v>
      </c>
      <c r="I395" s="3" t="s">
        <v>49</v>
      </c>
      <c r="J395" s="3" t="s">
        <v>50</v>
      </c>
      <c r="K395" s="3" t="s">
        <v>45</v>
      </c>
      <c r="L395" s="3" t="s">
        <v>3630</v>
      </c>
      <c r="M395" s="3" t="s">
        <v>45</v>
      </c>
      <c r="N395" s="3" t="s">
        <v>45</v>
      </c>
      <c r="O395" s="3" t="s">
        <v>74</v>
      </c>
      <c r="P395" s="3" t="s">
        <v>45</v>
      </c>
      <c r="Q395" s="3" t="s">
        <v>45</v>
      </c>
      <c r="R395" s="3" t="s">
        <v>45</v>
      </c>
      <c r="S395" s="4" t="s">
        <v>104</v>
      </c>
      <c r="T395" s="3" t="s">
        <v>45</v>
      </c>
      <c r="U395" s="3" t="s">
        <v>221</v>
      </c>
      <c r="V395" s="4" t="s">
        <v>3631</v>
      </c>
      <c r="W395" s="4" t="s">
        <v>3632</v>
      </c>
      <c r="X395" s="3" t="s">
        <v>45</v>
      </c>
      <c r="Y395" s="3" t="s">
        <v>45</v>
      </c>
      <c r="Z395" s="3" t="s">
        <v>45</v>
      </c>
      <c r="AA395" s="3" t="s">
        <v>45</v>
      </c>
      <c r="AB395" s="3" t="s">
        <v>45</v>
      </c>
      <c r="AC395" s="3" t="s">
        <v>45</v>
      </c>
      <c r="AD395" s="3" t="s">
        <v>45</v>
      </c>
      <c r="AE395" s="3" t="s">
        <v>45</v>
      </c>
      <c r="AF395" s="3" t="s">
        <v>45</v>
      </c>
      <c r="AG395" s="3" t="s">
        <v>45</v>
      </c>
      <c r="AH395" s="3" t="s">
        <v>57</v>
      </c>
      <c r="AI395" s="5" t="s">
        <v>3633</v>
      </c>
      <c r="AJ395" s="5" t="s">
        <v>3634</v>
      </c>
      <c r="AK395" s="5" t="s">
        <v>3635</v>
      </c>
      <c r="AL395" s="3" t="s">
        <v>45</v>
      </c>
      <c r="AM395" s="3" t="s">
        <v>45</v>
      </c>
      <c r="AN395" s="3" t="s">
        <v>45</v>
      </c>
      <c r="AO395" s="3" t="s">
        <v>45</v>
      </c>
      <c r="AP395" s="3" t="s">
        <v>45</v>
      </c>
      <c r="AQ395" s="4" t="s">
        <v>3636</v>
      </c>
      <c r="AR395" s="4" t="s">
        <v>3636</v>
      </c>
    </row>
    <row r="396">
      <c r="A396" s="3" t="s">
        <v>3637</v>
      </c>
      <c r="B396" s="3" t="s">
        <v>3638</v>
      </c>
      <c r="C396" s="3" t="s">
        <v>3639</v>
      </c>
      <c r="D396" s="3" t="s">
        <v>3640</v>
      </c>
      <c r="E396" s="4" t="s">
        <v>3641</v>
      </c>
      <c r="F396" s="3" t="s">
        <v>271</v>
      </c>
      <c r="G396" s="4" t="s">
        <v>3642</v>
      </c>
      <c r="H396" s="4" t="s">
        <v>3643</v>
      </c>
      <c r="I396" s="3" t="s">
        <v>49</v>
      </c>
      <c r="J396" s="3" t="s">
        <v>126</v>
      </c>
      <c r="K396" s="3" t="s">
        <v>45</v>
      </c>
      <c r="L396" s="3" t="s">
        <v>921</v>
      </c>
      <c r="M396" s="3" t="s">
        <v>45</v>
      </c>
      <c r="N396" s="4" t="s">
        <v>2222</v>
      </c>
      <c r="O396" s="3" t="s">
        <v>74</v>
      </c>
      <c r="P396" s="3" t="s">
        <v>45</v>
      </c>
      <c r="Q396" s="3" t="s">
        <v>45</v>
      </c>
      <c r="R396" s="3" t="s">
        <v>45</v>
      </c>
      <c r="S396" s="3" t="s">
        <v>45</v>
      </c>
      <c r="T396" s="3" t="s">
        <v>45</v>
      </c>
      <c r="U396" s="3" t="s">
        <v>45</v>
      </c>
      <c r="V396" s="4" t="s">
        <v>260</v>
      </c>
      <c r="W396" s="4" t="s">
        <v>3644</v>
      </c>
      <c r="X396" s="3" t="s">
        <v>45</v>
      </c>
      <c r="Y396" s="4" t="s">
        <v>73</v>
      </c>
      <c r="Z396" s="3" t="s">
        <v>74</v>
      </c>
      <c r="AA396" s="3" t="s">
        <v>45</v>
      </c>
      <c r="AB396" s="3" t="s">
        <v>45</v>
      </c>
      <c r="AC396" s="3" t="s">
        <v>45</v>
      </c>
      <c r="AD396" s="3" t="s">
        <v>45</v>
      </c>
      <c r="AE396" s="3" t="s">
        <v>45</v>
      </c>
      <c r="AF396" s="3" t="s">
        <v>45</v>
      </c>
      <c r="AG396" s="3" t="s">
        <v>2975</v>
      </c>
      <c r="AH396" s="3" t="s">
        <v>57</v>
      </c>
      <c r="AI396" s="5" t="s">
        <v>3645</v>
      </c>
      <c r="AJ396" s="3" t="s">
        <v>45</v>
      </c>
      <c r="AK396" s="3" t="s">
        <v>45</v>
      </c>
      <c r="AL396" s="3" t="s">
        <v>45</v>
      </c>
      <c r="AM396" s="3" t="s">
        <v>45</v>
      </c>
      <c r="AN396" s="3" t="s">
        <v>45</v>
      </c>
      <c r="AO396" s="3" t="s">
        <v>45</v>
      </c>
      <c r="AP396" s="3" t="s">
        <v>45</v>
      </c>
      <c r="AQ396" s="4" t="s">
        <v>1050</v>
      </c>
      <c r="AR396" s="4" t="s">
        <v>1050</v>
      </c>
    </row>
    <row r="397">
      <c r="A397" s="3" t="s">
        <v>3646</v>
      </c>
      <c r="B397" s="3" t="s">
        <v>3647</v>
      </c>
      <c r="C397" s="3" t="s">
        <v>3639</v>
      </c>
      <c r="D397" s="3" t="s">
        <v>3640</v>
      </c>
      <c r="E397" s="4" t="s">
        <v>3641</v>
      </c>
      <c r="F397" s="3" t="s">
        <v>271</v>
      </c>
      <c r="G397" s="4" t="s">
        <v>3648</v>
      </c>
      <c r="H397" s="4" t="s">
        <v>3649</v>
      </c>
      <c r="I397" s="3" t="s">
        <v>49</v>
      </c>
      <c r="J397" s="3" t="s">
        <v>126</v>
      </c>
      <c r="K397" s="3" t="s">
        <v>45</v>
      </c>
      <c r="L397" s="3" t="s">
        <v>45</v>
      </c>
      <c r="M397" s="3" t="s">
        <v>45</v>
      </c>
      <c r="N397" s="3" t="s">
        <v>45</v>
      </c>
      <c r="O397" s="3" t="s">
        <v>74</v>
      </c>
      <c r="P397" s="3" t="s">
        <v>45</v>
      </c>
      <c r="Q397" s="3" t="s">
        <v>45</v>
      </c>
      <c r="R397" s="3" t="s">
        <v>45</v>
      </c>
      <c r="S397" s="4" t="s">
        <v>104</v>
      </c>
      <c r="T397" s="3" t="s">
        <v>45</v>
      </c>
      <c r="U397" s="3" t="s">
        <v>45</v>
      </c>
      <c r="V397" s="4" t="s">
        <v>106</v>
      </c>
      <c r="W397" s="3" t="s">
        <v>45</v>
      </c>
      <c r="X397" s="3" t="s">
        <v>3650</v>
      </c>
      <c r="Y397" s="3" t="s">
        <v>45</v>
      </c>
      <c r="Z397" s="3" t="s">
        <v>74</v>
      </c>
      <c r="AA397" s="3" t="s">
        <v>45</v>
      </c>
      <c r="AB397" s="3" t="s">
        <v>45</v>
      </c>
      <c r="AC397" s="3" t="s">
        <v>45</v>
      </c>
      <c r="AD397" s="3" t="s">
        <v>45</v>
      </c>
      <c r="AE397" s="3" t="s">
        <v>45</v>
      </c>
      <c r="AF397" s="3" t="s">
        <v>45</v>
      </c>
      <c r="AG397" s="3" t="s">
        <v>45</v>
      </c>
      <c r="AH397" s="3" t="s">
        <v>57</v>
      </c>
      <c r="AI397" s="5" t="s">
        <v>3651</v>
      </c>
      <c r="AJ397" s="5" t="s">
        <v>3652</v>
      </c>
      <c r="AK397" s="5" t="s">
        <v>3653</v>
      </c>
      <c r="AL397" s="5" t="s">
        <v>3654</v>
      </c>
      <c r="AM397" s="3" t="s">
        <v>45</v>
      </c>
      <c r="AN397" s="3" t="s">
        <v>45</v>
      </c>
      <c r="AO397" s="3" t="s">
        <v>45</v>
      </c>
      <c r="AP397" s="3" t="s">
        <v>45</v>
      </c>
      <c r="AQ397" s="4" t="s">
        <v>3655</v>
      </c>
      <c r="AR397" s="4" t="s">
        <v>3655</v>
      </c>
    </row>
    <row r="398">
      <c r="A398" s="3" t="s">
        <v>3656</v>
      </c>
      <c r="B398" s="3" t="s">
        <v>3657</v>
      </c>
      <c r="C398" s="3" t="s">
        <v>3639</v>
      </c>
      <c r="D398" s="3" t="s">
        <v>3640</v>
      </c>
      <c r="E398" s="4" t="s">
        <v>3641</v>
      </c>
      <c r="F398" s="3" t="s">
        <v>271</v>
      </c>
      <c r="G398" s="4" t="s">
        <v>3658</v>
      </c>
      <c r="H398" s="4" t="s">
        <v>3659</v>
      </c>
      <c r="I398" s="3" t="s">
        <v>218</v>
      </c>
      <c r="J398" s="3" t="s">
        <v>126</v>
      </c>
      <c r="K398" s="3" t="s">
        <v>45</v>
      </c>
      <c r="L398" s="3" t="s">
        <v>447</v>
      </c>
      <c r="M398" s="3" t="s">
        <v>45</v>
      </c>
      <c r="N398" s="3" t="s">
        <v>45</v>
      </c>
      <c r="O398" s="3" t="s">
        <v>74</v>
      </c>
      <c r="P398" s="3" t="s">
        <v>45</v>
      </c>
      <c r="Q398" s="3" t="s">
        <v>45</v>
      </c>
      <c r="R398" s="3" t="s">
        <v>45</v>
      </c>
      <c r="S398" s="4" t="s">
        <v>104</v>
      </c>
      <c r="T398" s="3" t="s">
        <v>45</v>
      </c>
      <c r="U398" s="3" t="s">
        <v>45</v>
      </c>
      <c r="V398" s="3" t="s">
        <v>45</v>
      </c>
      <c r="W398" s="4" t="s">
        <v>642</v>
      </c>
      <c r="X398" s="3" t="s">
        <v>45</v>
      </c>
      <c r="Y398" s="4" t="s">
        <v>317</v>
      </c>
      <c r="Z398" s="3" t="s">
        <v>74</v>
      </c>
      <c r="AA398" s="3" t="s">
        <v>45</v>
      </c>
      <c r="AB398" s="3" t="s">
        <v>45</v>
      </c>
      <c r="AC398" s="3" t="s">
        <v>45</v>
      </c>
      <c r="AD398" s="3" t="s">
        <v>45</v>
      </c>
      <c r="AE398" s="3" t="s">
        <v>45</v>
      </c>
      <c r="AF398" s="3" t="s">
        <v>45</v>
      </c>
      <c r="AG398" s="3" t="s">
        <v>45</v>
      </c>
      <c r="AH398" s="3" t="s">
        <v>57</v>
      </c>
      <c r="AI398" s="5" t="s">
        <v>3660</v>
      </c>
      <c r="AJ398" s="5" t="s">
        <v>3661</v>
      </c>
      <c r="AK398" s="3" t="s">
        <v>45</v>
      </c>
      <c r="AL398" s="3" t="s">
        <v>45</v>
      </c>
      <c r="AM398" s="3" t="s">
        <v>45</v>
      </c>
      <c r="AN398" s="3" t="s">
        <v>45</v>
      </c>
      <c r="AO398" s="3" t="s">
        <v>45</v>
      </c>
      <c r="AP398" s="3" t="s">
        <v>45</v>
      </c>
      <c r="AQ398" s="4" t="s">
        <v>324</v>
      </c>
      <c r="AR398" s="4" t="s">
        <v>1589</v>
      </c>
    </row>
    <row r="399">
      <c r="A399" s="3" t="s">
        <v>3662</v>
      </c>
      <c r="B399" s="3" t="s">
        <v>3663</v>
      </c>
      <c r="C399" s="3" t="s">
        <v>3664</v>
      </c>
      <c r="D399" s="3" t="s">
        <v>3640</v>
      </c>
      <c r="E399" s="4" t="s">
        <v>3665</v>
      </c>
      <c r="F399" s="3" t="s">
        <v>3666</v>
      </c>
      <c r="G399" s="4" t="s">
        <v>3667</v>
      </c>
      <c r="H399" s="4" t="s">
        <v>3668</v>
      </c>
      <c r="I399" s="3" t="s">
        <v>49</v>
      </c>
      <c r="J399" s="3" t="s">
        <v>50</v>
      </c>
      <c r="K399" s="3" t="s">
        <v>45</v>
      </c>
      <c r="L399" s="3" t="s">
        <v>45</v>
      </c>
      <c r="M399" s="3" t="s">
        <v>45</v>
      </c>
      <c r="N399" s="4" t="s">
        <v>1196</v>
      </c>
      <c r="O399" s="3" t="s">
        <v>70</v>
      </c>
      <c r="P399" s="3" t="s">
        <v>45</v>
      </c>
      <c r="Q399" s="3" t="s">
        <v>45</v>
      </c>
      <c r="R399" s="3" t="s">
        <v>45</v>
      </c>
      <c r="S399" s="3" t="s">
        <v>45</v>
      </c>
      <c r="T399" s="3" t="s">
        <v>45</v>
      </c>
      <c r="U399" s="3" t="s">
        <v>45</v>
      </c>
      <c r="V399" s="3" t="s">
        <v>45</v>
      </c>
      <c r="W399" s="3" t="s">
        <v>45</v>
      </c>
      <c r="X399" s="3" t="s">
        <v>45</v>
      </c>
      <c r="Y399" s="3" t="s">
        <v>45</v>
      </c>
      <c r="Z399" s="3" t="s">
        <v>74</v>
      </c>
      <c r="AA399" s="3" t="s">
        <v>45</v>
      </c>
      <c r="AB399" s="3" t="s">
        <v>45</v>
      </c>
      <c r="AC399" s="3" t="s">
        <v>45</v>
      </c>
      <c r="AD399" s="3" t="s">
        <v>45</v>
      </c>
      <c r="AE399" s="3" t="s">
        <v>45</v>
      </c>
      <c r="AF399" s="3" t="s">
        <v>45</v>
      </c>
      <c r="AG399" s="3" t="s">
        <v>45</v>
      </c>
      <c r="AH399" s="3" t="s">
        <v>57</v>
      </c>
      <c r="AI399" s="5" t="s">
        <v>3669</v>
      </c>
      <c r="AJ399" s="3" t="s">
        <v>45</v>
      </c>
      <c r="AK399" s="3" t="s">
        <v>45</v>
      </c>
      <c r="AL399" s="3" t="s">
        <v>45</v>
      </c>
      <c r="AM399" s="3" t="s">
        <v>45</v>
      </c>
      <c r="AN399" s="3" t="s">
        <v>45</v>
      </c>
      <c r="AO399" s="3" t="s">
        <v>45</v>
      </c>
      <c r="AP399" s="3" t="s">
        <v>45</v>
      </c>
      <c r="AQ399" s="4" t="s">
        <v>652</v>
      </c>
      <c r="AR399" s="4" t="s">
        <v>652</v>
      </c>
    </row>
    <row r="400">
      <c r="A400" s="3" t="s">
        <v>3670</v>
      </c>
      <c r="B400" s="3" t="s">
        <v>3671</v>
      </c>
      <c r="C400" s="3" t="s">
        <v>3672</v>
      </c>
      <c r="D400" s="3" t="s">
        <v>3640</v>
      </c>
      <c r="E400" s="4" t="s">
        <v>3673</v>
      </c>
      <c r="F400" s="3" t="s">
        <v>3674</v>
      </c>
      <c r="G400" s="4" t="s">
        <v>3675</v>
      </c>
      <c r="H400" s="4" t="s">
        <v>3676</v>
      </c>
      <c r="I400" s="3" t="s">
        <v>49</v>
      </c>
      <c r="J400" s="3" t="s">
        <v>126</v>
      </c>
      <c r="K400" s="3" t="s">
        <v>45</v>
      </c>
      <c r="L400" s="3" t="s">
        <v>45</v>
      </c>
      <c r="M400" s="3" t="s">
        <v>45</v>
      </c>
      <c r="N400" s="4" t="s">
        <v>2222</v>
      </c>
      <c r="O400" s="3" t="s">
        <v>88</v>
      </c>
      <c r="P400" s="3" t="s">
        <v>45</v>
      </c>
      <c r="Q400" s="3" t="s">
        <v>45</v>
      </c>
      <c r="R400" s="3" t="s">
        <v>45</v>
      </c>
      <c r="S400" s="4" t="s">
        <v>275</v>
      </c>
      <c r="T400" s="3" t="s">
        <v>45</v>
      </c>
      <c r="U400" s="3" t="s">
        <v>45</v>
      </c>
      <c r="V400" s="4" t="s">
        <v>3677</v>
      </c>
      <c r="W400" s="4" t="s">
        <v>3678</v>
      </c>
      <c r="X400" s="3" t="s">
        <v>2867</v>
      </c>
      <c r="Y400" s="3" t="s">
        <v>45</v>
      </c>
      <c r="Z400" s="3" t="s">
        <v>55</v>
      </c>
      <c r="AA400" s="3" t="s">
        <v>45</v>
      </c>
      <c r="AB400" s="3" t="s">
        <v>45</v>
      </c>
      <c r="AC400" s="3" t="s">
        <v>45</v>
      </c>
      <c r="AD400" s="5" t="s">
        <v>3679</v>
      </c>
      <c r="AE400" s="3" t="s">
        <v>45</v>
      </c>
      <c r="AF400" s="3" t="s">
        <v>45</v>
      </c>
      <c r="AG400" s="3" t="s">
        <v>45</v>
      </c>
      <c r="AH400" s="3" t="s">
        <v>57</v>
      </c>
      <c r="AI400" s="5" t="s">
        <v>3680</v>
      </c>
      <c r="AJ400" s="5" t="s">
        <v>3681</v>
      </c>
      <c r="AK400" s="5" t="s">
        <v>3682</v>
      </c>
      <c r="AL400" s="3" t="s">
        <v>45</v>
      </c>
      <c r="AM400" s="3" t="s">
        <v>45</v>
      </c>
      <c r="AN400" s="3" t="s">
        <v>45</v>
      </c>
      <c r="AO400" s="3" t="s">
        <v>45</v>
      </c>
      <c r="AP400" s="3" t="s">
        <v>45</v>
      </c>
      <c r="AQ400" s="4" t="s">
        <v>168</v>
      </c>
      <c r="AR400" s="4" t="s">
        <v>3683</v>
      </c>
    </row>
    <row r="401">
      <c r="A401" s="3" t="s">
        <v>3684</v>
      </c>
      <c r="B401" s="3" t="s">
        <v>3685</v>
      </c>
      <c r="C401" s="3" t="s">
        <v>3686</v>
      </c>
      <c r="D401" s="3" t="s">
        <v>3640</v>
      </c>
      <c r="E401" s="4" t="s">
        <v>3687</v>
      </c>
      <c r="F401" s="3" t="s">
        <v>1263</v>
      </c>
      <c r="G401" s="4" t="s">
        <v>3688</v>
      </c>
      <c r="H401" s="4" t="s">
        <v>3689</v>
      </c>
      <c r="I401" s="3" t="s">
        <v>49</v>
      </c>
      <c r="J401" s="3" t="s">
        <v>50</v>
      </c>
      <c r="K401" s="3" t="s">
        <v>45</v>
      </c>
      <c r="L401" s="3" t="s">
        <v>45</v>
      </c>
      <c r="M401" s="3" t="s">
        <v>45</v>
      </c>
      <c r="N401" s="4" t="s">
        <v>709</v>
      </c>
      <c r="O401" s="3" t="s">
        <v>88</v>
      </c>
      <c r="P401" s="3" t="s">
        <v>45</v>
      </c>
      <c r="Q401" s="3" t="s">
        <v>45</v>
      </c>
      <c r="R401" s="3" t="s">
        <v>45</v>
      </c>
      <c r="S401" s="3" t="s">
        <v>45</v>
      </c>
      <c r="T401" s="3" t="s">
        <v>45</v>
      </c>
      <c r="U401" s="3" t="s">
        <v>45</v>
      </c>
      <c r="V401" s="4" t="s">
        <v>1227</v>
      </c>
      <c r="W401" s="4" t="s">
        <v>3690</v>
      </c>
      <c r="X401" s="3" t="s">
        <v>3691</v>
      </c>
      <c r="Y401" s="3" t="s">
        <v>45</v>
      </c>
      <c r="Z401" s="3" t="s">
        <v>74</v>
      </c>
      <c r="AA401" s="3" t="s">
        <v>45</v>
      </c>
      <c r="AB401" s="3" t="s">
        <v>45</v>
      </c>
      <c r="AC401" s="3" t="s">
        <v>45</v>
      </c>
      <c r="AD401" s="3" t="s">
        <v>45</v>
      </c>
      <c r="AE401" s="3" t="s">
        <v>45</v>
      </c>
      <c r="AF401" s="3" t="s">
        <v>45</v>
      </c>
      <c r="AG401" s="3" t="s">
        <v>45</v>
      </c>
      <c r="AH401" s="3" t="s">
        <v>57</v>
      </c>
      <c r="AI401" s="5" t="s">
        <v>3692</v>
      </c>
      <c r="AJ401" s="3" t="s">
        <v>45</v>
      </c>
      <c r="AK401" s="3" t="s">
        <v>45</v>
      </c>
      <c r="AL401" s="3" t="s">
        <v>45</v>
      </c>
      <c r="AM401" s="3" t="s">
        <v>45</v>
      </c>
      <c r="AN401" s="3" t="s">
        <v>45</v>
      </c>
      <c r="AO401" s="3" t="s">
        <v>45</v>
      </c>
      <c r="AP401" s="3" t="s">
        <v>45</v>
      </c>
      <c r="AQ401" s="4" t="s">
        <v>3693</v>
      </c>
      <c r="AR401" s="4" t="s">
        <v>3693</v>
      </c>
    </row>
    <row r="402">
      <c r="A402" s="3" t="s">
        <v>3694</v>
      </c>
      <c r="B402" s="3" t="s">
        <v>3695</v>
      </c>
      <c r="C402" s="3" t="s">
        <v>3696</v>
      </c>
      <c r="D402" s="3" t="s">
        <v>3640</v>
      </c>
      <c r="E402" s="4" t="s">
        <v>3697</v>
      </c>
      <c r="F402" s="3" t="s">
        <v>3698</v>
      </c>
      <c r="G402" s="4" t="s">
        <v>3699</v>
      </c>
      <c r="H402" s="4" t="s">
        <v>3700</v>
      </c>
      <c r="I402" s="3" t="s">
        <v>49</v>
      </c>
      <c r="J402" s="3" t="s">
        <v>126</v>
      </c>
      <c r="K402" s="3" t="s">
        <v>45</v>
      </c>
      <c r="L402" s="3" t="s">
        <v>3701</v>
      </c>
      <c r="M402" s="3" t="s">
        <v>45</v>
      </c>
      <c r="N402" s="4" t="s">
        <v>2982</v>
      </c>
      <c r="O402" s="3" t="s">
        <v>390</v>
      </c>
      <c r="P402" s="3" t="s">
        <v>45</v>
      </c>
      <c r="Q402" s="3" t="s">
        <v>45</v>
      </c>
      <c r="R402" s="3" t="s">
        <v>45</v>
      </c>
      <c r="S402" s="3" t="s">
        <v>45</v>
      </c>
      <c r="T402" s="3" t="s">
        <v>45</v>
      </c>
      <c r="U402" s="3" t="s">
        <v>221</v>
      </c>
      <c r="V402" s="3" t="s">
        <v>45</v>
      </c>
      <c r="W402" s="4" t="s">
        <v>2982</v>
      </c>
      <c r="X402" s="3" t="s">
        <v>45</v>
      </c>
      <c r="Y402" s="3" t="s">
        <v>45</v>
      </c>
      <c r="Z402" s="3" t="s">
        <v>45</v>
      </c>
      <c r="AA402" s="3" t="s">
        <v>45</v>
      </c>
      <c r="AB402" s="3" t="s">
        <v>45</v>
      </c>
      <c r="AC402" s="3" t="s">
        <v>45</v>
      </c>
      <c r="AD402" s="3" t="s">
        <v>45</v>
      </c>
      <c r="AE402" s="3" t="s">
        <v>45</v>
      </c>
      <c r="AF402" s="3" t="s">
        <v>45</v>
      </c>
      <c r="AG402" s="3" t="s">
        <v>45</v>
      </c>
      <c r="AH402" s="3" t="s">
        <v>57</v>
      </c>
      <c r="AI402" s="5" t="s">
        <v>3702</v>
      </c>
      <c r="AJ402" s="5" t="s">
        <v>3703</v>
      </c>
      <c r="AK402" s="3" t="s">
        <v>45</v>
      </c>
      <c r="AL402" s="3" t="s">
        <v>45</v>
      </c>
      <c r="AM402" s="3" t="s">
        <v>45</v>
      </c>
      <c r="AN402" s="3" t="s">
        <v>45</v>
      </c>
      <c r="AO402" s="3" t="s">
        <v>45</v>
      </c>
      <c r="AP402" s="3" t="s">
        <v>45</v>
      </c>
      <c r="AQ402" s="4" t="s">
        <v>898</v>
      </c>
      <c r="AR402" s="4" t="s">
        <v>898</v>
      </c>
    </row>
    <row r="403">
      <c r="A403" s="3" t="s">
        <v>3704</v>
      </c>
      <c r="B403" s="3" t="s">
        <v>3705</v>
      </c>
      <c r="C403" s="3" t="s">
        <v>3706</v>
      </c>
      <c r="D403" s="3" t="s">
        <v>3640</v>
      </c>
      <c r="E403" s="4" t="s">
        <v>3707</v>
      </c>
      <c r="F403" s="3" t="s">
        <v>3708</v>
      </c>
      <c r="G403" s="4" t="s">
        <v>3709</v>
      </c>
      <c r="H403" s="4" t="s">
        <v>3710</v>
      </c>
      <c r="I403" s="3" t="s">
        <v>245</v>
      </c>
      <c r="J403" s="3" t="s">
        <v>126</v>
      </c>
      <c r="K403" s="3" t="s">
        <v>45</v>
      </c>
      <c r="L403" s="3" t="s">
        <v>45</v>
      </c>
      <c r="M403" s="3" t="s">
        <v>45</v>
      </c>
      <c r="N403" s="4" t="s">
        <v>879</v>
      </c>
      <c r="O403" s="3" t="s">
        <v>88</v>
      </c>
      <c r="P403" s="3" t="s">
        <v>45</v>
      </c>
      <c r="Q403" s="3" t="s">
        <v>45</v>
      </c>
      <c r="R403" s="3" t="s">
        <v>45</v>
      </c>
      <c r="S403" s="3" t="s">
        <v>45</v>
      </c>
      <c r="T403" s="3" t="s">
        <v>45</v>
      </c>
      <c r="U403" s="3" t="s">
        <v>45</v>
      </c>
      <c r="V403" s="3" t="s">
        <v>45</v>
      </c>
      <c r="W403" s="4" t="s">
        <v>1072</v>
      </c>
      <c r="X403" s="3" t="s">
        <v>45</v>
      </c>
      <c r="Y403" s="3" t="s">
        <v>45</v>
      </c>
      <c r="Z403" s="3" t="s">
        <v>55</v>
      </c>
      <c r="AA403" s="3" t="s">
        <v>45</v>
      </c>
      <c r="AB403" s="3" t="s">
        <v>45</v>
      </c>
      <c r="AC403" s="3" t="s">
        <v>45</v>
      </c>
      <c r="AD403" s="3" t="s">
        <v>45</v>
      </c>
      <c r="AE403" s="3" t="s">
        <v>45</v>
      </c>
      <c r="AF403" s="3" t="s">
        <v>45</v>
      </c>
      <c r="AG403" s="3" t="s">
        <v>3711</v>
      </c>
      <c r="AH403" s="3" t="s">
        <v>57</v>
      </c>
      <c r="AI403" s="5" t="s">
        <v>3712</v>
      </c>
      <c r="AJ403" s="3" t="s">
        <v>45</v>
      </c>
      <c r="AK403" s="3" t="s">
        <v>45</v>
      </c>
      <c r="AL403" s="3" t="s">
        <v>45</v>
      </c>
      <c r="AM403" s="3" t="s">
        <v>45</v>
      </c>
      <c r="AN403" s="3" t="s">
        <v>45</v>
      </c>
      <c r="AO403" s="3" t="s">
        <v>45</v>
      </c>
      <c r="AP403" s="3" t="s">
        <v>45</v>
      </c>
      <c r="AQ403" s="4" t="s">
        <v>3713</v>
      </c>
      <c r="AR403" s="4" t="s">
        <v>3713</v>
      </c>
    </row>
    <row r="404">
      <c r="A404" s="3" t="s">
        <v>3714</v>
      </c>
      <c r="B404" s="3" t="s">
        <v>3715</v>
      </c>
      <c r="C404" s="3" t="s">
        <v>3716</v>
      </c>
      <c r="D404" s="3" t="s">
        <v>3640</v>
      </c>
      <c r="E404" s="4" t="s">
        <v>3717</v>
      </c>
      <c r="F404" s="3" t="s">
        <v>271</v>
      </c>
      <c r="G404" s="4" t="s">
        <v>3718</v>
      </c>
      <c r="H404" s="4" t="s">
        <v>3719</v>
      </c>
      <c r="I404" s="3" t="s">
        <v>436</v>
      </c>
      <c r="J404" s="3" t="s">
        <v>126</v>
      </c>
      <c r="K404" s="3" t="s">
        <v>45</v>
      </c>
      <c r="L404" s="3" t="s">
        <v>45</v>
      </c>
      <c r="M404" s="3" t="s">
        <v>45</v>
      </c>
      <c r="N404" s="3" t="s">
        <v>45</v>
      </c>
      <c r="O404" s="3" t="s">
        <v>74</v>
      </c>
      <c r="P404" s="3" t="s">
        <v>45</v>
      </c>
      <c r="Q404" s="3" t="s">
        <v>45</v>
      </c>
      <c r="R404" s="3" t="s">
        <v>45</v>
      </c>
      <c r="S404" s="3" t="s">
        <v>45</v>
      </c>
      <c r="T404" s="3" t="s">
        <v>45</v>
      </c>
      <c r="U404" s="3" t="s">
        <v>45</v>
      </c>
      <c r="V404" s="3" t="s">
        <v>45</v>
      </c>
      <c r="W404" s="4" t="s">
        <v>3720</v>
      </c>
      <c r="X404" s="3" t="s">
        <v>45</v>
      </c>
      <c r="Y404" s="3" t="s">
        <v>45</v>
      </c>
      <c r="Z404" s="3" t="s">
        <v>74</v>
      </c>
      <c r="AA404" s="3" t="s">
        <v>45</v>
      </c>
      <c r="AB404" s="3" t="s">
        <v>45</v>
      </c>
      <c r="AC404" s="3" t="s">
        <v>45</v>
      </c>
      <c r="AD404" s="3" t="s">
        <v>45</v>
      </c>
      <c r="AE404" s="3" t="s">
        <v>45</v>
      </c>
      <c r="AF404" s="3" t="s">
        <v>45</v>
      </c>
      <c r="AG404" s="3" t="s">
        <v>45</v>
      </c>
      <c r="AH404" s="3" t="s">
        <v>57</v>
      </c>
      <c r="AI404" s="5" t="s">
        <v>3721</v>
      </c>
      <c r="AJ404" s="3" t="s">
        <v>45</v>
      </c>
      <c r="AK404" s="3" t="s">
        <v>45</v>
      </c>
      <c r="AL404" s="3" t="s">
        <v>45</v>
      </c>
      <c r="AM404" s="3" t="s">
        <v>45</v>
      </c>
      <c r="AN404" s="3" t="s">
        <v>45</v>
      </c>
      <c r="AO404" s="3" t="s">
        <v>45</v>
      </c>
      <c r="AP404" s="3" t="s">
        <v>45</v>
      </c>
      <c r="AQ404" s="4" t="s">
        <v>148</v>
      </c>
      <c r="AR404" s="4" t="s">
        <v>148</v>
      </c>
    </row>
    <row r="405">
      <c r="A405" s="3" t="s">
        <v>3722</v>
      </c>
      <c r="B405" s="3" t="s">
        <v>3723</v>
      </c>
      <c r="C405" s="3" t="s">
        <v>3724</v>
      </c>
      <c r="D405" s="3" t="s">
        <v>3640</v>
      </c>
      <c r="E405" s="4" t="s">
        <v>3725</v>
      </c>
      <c r="F405" s="3" t="s">
        <v>3726</v>
      </c>
      <c r="G405" s="4" t="s">
        <v>3727</v>
      </c>
      <c r="H405" s="4" t="s">
        <v>3728</v>
      </c>
      <c r="I405" s="3" t="s">
        <v>3729</v>
      </c>
      <c r="J405" s="3" t="s">
        <v>126</v>
      </c>
      <c r="K405" s="3" t="s">
        <v>45</v>
      </c>
      <c r="L405" s="3" t="s">
        <v>2204</v>
      </c>
      <c r="M405" s="3" t="s">
        <v>45</v>
      </c>
      <c r="N405" s="4" t="s">
        <v>128</v>
      </c>
      <c r="O405" s="3" t="s">
        <v>70</v>
      </c>
      <c r="P405" s="3" t="s">
        <v>45</v>
      </c>
      <c r="Q405" s="3" t="s">
        <v>45</v>
      </c>
      <c r="R405" s="3" t="s">
        <v>45</v>
      </c>
      <c r="S405" s="4" t="s">
        <v>3730</v>
      </c>
      <c r="T405" s="3" t="s">
        <v>45</v>
      </c>
      <c r="U405" s="3" t="s">
        <v>221</v>
      </c>
      <c r="V405" s="4" t="s">
        <v>260</v>
      </c>
      <c r="W405" s="4" t="s">
        <v>1094</v>
      </c>
      <c r="X405" s="3" t="s">
        <v>132</v>
      </c>
      <c r="Y405" s="3" t="s">
        <v>45</v>
      </c>
      <c r="Z405" s="3" t="s">
        <v>55</v>
      </c>
      <c r="AA405" s="3" t="s">
        <v>45</v>
      </c>
      <c r="AB405" s="3" t="s">
        <v>109</v>
      </c>
      <c r="AC405" s="3" t="s">
        <v>45</v>
      </c>
      <c r="AD405" s="3" t="s">
        <v>45</v>
      </c>
      <c r="AE405" s="3" t="s">
        <v>45</v>
      </c>
      <c r="AF405" s="3" t="s">
        <v>45</v>
      </c>
      <c r="AG405" s="3" t="s">
        <v>3731</v>
      </c>
      <c r="AH405" s="3" t="s">
        <v>840</v>
      </c>
      <c r="AI405" s="5" t="s">
        <v>3732</v>
      </c>
      <c r="AJ405" s="5" t="s">
        <v>3733</v>
      </c>
      <c r="AK405" s="5" t="s">
        <v>3734</v>
      </c>
      <c r="AL405" s="3" t="s">
        <v>45</v>
      </c>
      <c r="AM405" s="3" t="s">
        <v>45</v>
      </c>
      <c r="AN405" s="3" t="s">
        <v>45</v>
      </c>
      <c r="AO405" s="3" t="s">
        <v>45</v>
      </c>
      <c r="AP405" s="3" t="s">
        <v>45</v>
      </c>
      <c r="AQ405" s="4" t="s">
        <v>1016</v>
      </c>
      <c r="AR405" s="4" t="s">
        <v>1016</v>
      </c>
    </row>
    <row r="406">
      <c r="A406" s="3" t="s">
        <v>3735</v>
      </c>
      <c r="B406" s="3" t="s">
        <v>3736</v>
      </c>
      <c r="C406" s="3" t="s">
        <v>3737</v>
      </c>
      <c r="D406" s="3" t="s">
        <v>3738</v>
      </c>
      <c r="E406" s="4" t="s">
        <v>3739</v>
      </c>
      <c r="F406" s="3" t="s">
        <v>3740</v>
      </c>
      <c r="G406" s="4" t="s">
        <v>3741</v>
      </c>
      <c r="H406" s="4" t="s">
        <v>3742</v>
      </c>
      <c r="I406" s="3" t="s">
        <v>49</v>
      </c>
      <c r="J406" s="3" t="s">
        <v>50</v>
      </c>
      <c r="K406" s="3" t="s">
        <v>45</v>
      </c>
      <c r="L406" s="3" t="s">
        <v>3743</v>
      </c>
      <c r="M406" s="3" t="s">
        <v>45</v>
      </c>
      <c r="N406" s="4" t="s">
        <v>102</v>
      </c>
      <c r="O406" s="3" t="s">
        <v>70</v>
      </c>
      <c r="P406" s="3" t="s">
        <v>220</v>
      </c>
      <c r="Q406" s="3" t="s">
        <v>45</v>
      </c>
      <c r="R406" s="3" t="s">
        <v>45</v>
      </c>
      <c r="S406" s="3" t="s">
        <v>45</v>
      </c>
      <c r="T406" s="3" t="s">
        <v>45</v>
      </c>
      <c r="U406" s="3" t="s">
        <v>45</v>
      </c>
      <c r="V406" s="3" t="s">
        <v>45</v>
      </c>
      <c r="W406" s="4" t="s">
        <v>2566</v>
      </c>
      <c r="X406" s="3" t="s">
        <v>45</v>
      </c>
      <c r="Y406" s="4" t="s">
        <v>73</v>
      </c>
      <c r="Z406" s="3" t="s">
        <v>74</v>
      </c>
      <c r="AA406" s="3" t="s">
        <v>45</v>
      </c>
      <c r="AB406" s="3" t="s">
        <v>45</v>
      </c>
      <c r="AC406" s="3" t="s">
        <v>45</v>
      </c>
      <c r="AD406" s="3" t="s">
        <v>45</v>
      </c>
      <c r="AE406" s="3" t="s">
        <v>45</v>
      </c>
      <c r="AF406" s="3" t="s">
        <v>45</v>
      </c>
      <c r="AG406" s="3" t="s">
        <v>3744</v>
      </c>
      <c r="AH406" s="3" t="s">
        <v>57</v>
      </c>
      <c r="AI406" s="5" t="s">
        <v>3745</v>
      </c>
      <c r="AJ406" s="5" t="s">
        <v>3746</v>
      </c>
      <c r="AK406" s="5" t="s">
        <v>3747</v>
      </c>
      <c r="AL406" s="3" t="s">
        <v>45</v>
      </c>
      <c r="AM406" s="3" t="s">
        <v>45</v>
      </c>
      <c r="AN406" s="3" t="s">
        <v>45</v>
      </c>
      <c r="AO406" s="3" t="s">
        <v>45</v>
      </c>
      <c r="AP406" s="3" t="s">
        <v>45</v>
      </c>
      <c r="AQ406" s="4" t="s">
        <v>3748</v>
      </c>
      <c r="AR406" s="4" t="s">
        <v>3748</v>
      </c>
    </row>
    <row r="407">
      <c r="A407" s="3" t="s">
        <v>3749</v>
      </c>
      <c r="B407" s="3" t="s">
        <v>3750</v>
      </c>
      <c r="C407" s="3" t="s">
        <v>3751</v>
      </c>
      <c r="D407" s="3" t="s">
        <v>3738</v>
      </c>
      <c r="E407" s="4" t="s">
        <v>3752</v>
      </c>
      <c r="F407" s="3" t="s">
        <v>3753</v>
      </c>
      <c r="G407" s="4" t="s">
        <v>3754</v>
      </c>
      <c r="H407" s="4" t="s">
        <v>3755</v>
      </c>
      <c r="I407" s="3" t="s">
        <v>245</v>
      </c>
      <c r="J407" s="3" t="s">
        <v>126</v>
      </c>
      <c r="K407" s="3" t="s">
        <v>45</v>
      </c>
      <c r="L407" s="3" t="s">
        <v>3756</v>
      </c>
      <c r="M407" s="3" t="s">
        <v>45</v>
      </c>
      <c r="N407" s="4" t="s">
        <v>128</v>
      </c>
      <c r="O407" s="3" t="s">
        <v>70</v>
      </c>
      <c r="P407" s="3" t="s">
        <v>45</v>
      </c>
      <c r="Q407" s="3" t="s">
        <v>45</v>
      </c>
      <c r="R407" s="3" t="s">
        <v>45</v>
      </c>
      <c r="S407" s="4" t="s">
        <v>52</v>
      </c>
      <c r="T407" s="3" t="s">
        <v>45</v>
      </c>
      <c r="U407" s="3" t="s">
        <v>45</v>
      </c>
      <c r="V407" s="4" t="s">
        <v>420</v>
      </c>
      <c r="W407" s="4" t="s">
        <v>3757</v>
      </c>
      <c r="X407" s="3" t="s">
        <v>45</v>
      </c>
      <c r="Y407" s="3" t="s">
        <v>45</v>
      </c>
      <c r="Z407" s="3" t="s">
        <v>55</v>
      </c>
      <c r="AA407" s="3" t="s">
        <v>45</v>
      </c>
      <c r="AB407" s="3" t="s">
        <v>109</v>
      </c>
      <c r="AC407" s="3" t="s">
        <v>45</v>
      </c>
      <c r="AD407" s="3" t="s">
        <v>45</v>
      </c>
      <c r="AE407" s="3" t="s">
        <v>45</v>
      </c>
      <c r="AF407" s="3" t="s">
        <v>45</v>
      </c>
      <c r="AG407" s="3" t="s">
        <v>3758</v>
      </c>
      <c r="AH407" s="3" t="s">
        <v>57</v>
      </c>
      <c r="AI407" s="5" t="s">
        <v>3759</v>
      </c>
      <c r="AJ407" s="3" t="s">
        <v>45</v>
      </c>
      <c r="AK407" s="3" t="s">
        <v>45</v>
      </c>
      <c r="AL407" s="3" t="s">
        <v>45</v>
      </c>
      <c r="AM407" s="3" t="s">
        <v>45</v>
      </c>
      <c r="AN407" s="3" t="s">
        <v>45</v>
      </c>
      <c r="AO407" s="3" t="s">
        <v>45</v>
      </c>
      <c r="AP407" s="3" t="s">
        <v>45</v>
      </c>
      <c r="AQ407" s="4" t="s">
        <v>60</v>
      </c>
      <c r="AR407" s="4" t="s">
        <v>60</v>
      </c>
    </row>
    <row r="408">
      <c r="A408" s="3" t="s">
        <v>3760</v>
      </c>
      <c r="B408" s="3" t="s">
        <v>3761</v>
      </c>
      <c r="C408" s="3" t="s">
        <v>3762</v>
      </c>
      <c r="D408" s="3" t="s">
        <v>3738</v>
      </c>
      <c r="E408" s="4" t="s">
        <v>3763</v>
      </c>
      <c r="F408" s="3" t="s">
        <v>3764</v>
      </c>
      <c r="G408" s="4" t="s">
        <v>3765</v>
      </c>
      <c r="H408" s="4" t="s">
        <v>3766</v>
      </c>
      <c r="I408" s="3" t="s">
        <v>436</v>
      </c>
      <c r="J408" s="3" t="s">
        <v>126</v>
      </c>
      <c r="K408" s="3" t="s">
        <v>45</v>
      </c>
      <c r="L408" s="3" t="s">
        <v>45</v>
      </c>
      <c r="M408" s="3" t="s">
        <v>45</v>
      </c>
      <c r="N408" s="3" t="s">
        <v>45</v>
      </c>
      <c r="O408" s="3" t="s">
        <v>74</v>
      </c>
      <c r="P408" s="3" t="s">
        <v>45</v>
      </c>
      <c r="Q408" s="3" t="s">
        <v>45</v>
      </c>
      <c r="R408" s="3" t="s">
        <v>45</v>
      </c>
      <c r="S408" s="3" t="s">
        <v>45</v>
      </c>
      <c r="T408" s="3" t="s">
        <v>45</v>
      </c>
      <c r="U408" s="3" t="s">
        <v>45</v>
      </c>
      <c r="V408" s="3" t="s">
        <v>45</v>
      </c>
      <c r="W408" s="4" t="s">
        <v>3302</v>
      </c>
      <c r="X408" s="3" t="s">
        <v>45</v>
      </c>
      <c r="Y408" s="3" t="s">
        <v>45</v>
      </c>
      <c r="Z408" s="3" t="s">
        <v>55</v>
      </c>
      <c r="AA408" s="3" t="s">
        <v>45</v>
      </c>
      <c r="AB408" s="3" t="s">
        <v>45</v>
      </c>
      <c r="AC408" s="3" t="s">
        <v>45</v>
      </c>
      <c r="AD408" s="3" t="s">
        <v>45</v>
      </c>
      <c r="AE408" s="3" t="s">
        <v>45</v>
      </c>
      <c r="AF408" s="5" t="s">
        <v>3767</v>
      </c>
      <c r="AG408" s="3" t="s">
        <v>3768</v>
      </c>
      <c r="AH408" s="3" t="s">
        <v>57</v>
      </c>
      <c r="AI408" s="5" t="s">
        <v>3769</v>
      </c>
      <c r="AJ408" s="3" t="s">
        <v>45</v>
      </c>
      <c r="AK408" s="3" t="s">
        <v>45</v>
      </c>
      <c r="AL408" s="3" t="s">
        <v>45</v>
      </c>
      <c r="AM408" s="3" t="s">
        <v>45</v>
      </c>
      <c r="AN408" s="3" t="s">
        <v>45</v>
      </c>
      <c r="AO408" s="3" t="s">
        <v>45</v>
      </c>
      <c r="AP408" s="3" t="s">
        <v>45</v>
      </c>
      <c r="AQ408" s="4" t="s">
        <v>1203</v>
      </c>
      <c r="AR408" s="4" t="s">
        <v>1203</v>
      </c>
    </row>
    <row r="409">
      <c r="A409" s="3" t="s">
        <v>3770</v>
      </c>
      <c r="B409" s="3" t="s">
        <v>3771</v>
      </c>
      <c r="C409" s="3" t="s">
        <v>3772</v>
      </c>
      <c r="D409" s="3" t="s">
        <v>3738</v>
      </c>
      <c r="E409" s="4" t="s">
        <v>3773</v>
      </c>
      <c r="F409" s="3" t="s">
        <v>3774</v>
      </c>
      <c r="G409" s="4" t="s">
        <v>3775</v>
      </c>
      <c r="H409" s="4" t="s">
        <v>3776</v>
      </c>
      <c r="I409" s="3" t="s">
        <v>218</v>
      </c>
      <c r="J409" s="3" t="s">
        <v>50</v>
      </c>
      <c r="K409" s="3" t="s">
        <v>45</v>
      </c>
      <c r="L409" s="3" t="s">
        <v>45</v>
      </c>
      <c r="M409" s="3" t="s">
        <v>45</v>
      </c>
      <c r="N409" s="3" t="s">
        <v>45</v>
      </c>
      <c r="O409" s="3" t="s">
        <v>74</v>
      </c>
      <c r="P409" s="3" t="s">
        <v>45</v>
      </c>
      <c r="Q409" s="3" t="s">
        <v>45</v>
      </c>
      <c r="R409" s="3" t="s">
        <v>45</v>
      </c>
      <c r="S409" s="4" t="s">
        <v>835</v>
      </c>
      <c r="T409" s="3" t="s">
        <v>45</v>
      </c>
      <c r="U409" s="3" t="s">
        <v>221</v>
      </c>
      <c r="V409" s="4" t="s">
        <v>1227</v>
      </c>
      <c r="W409" s="3" t="s">
        <v>45</v>
      </c>
      <c r="X409" s="3" t="s">
        <v>45</v>
      </c>
      <c r="Y409" s="3" t="s">
        <v>45</v>
      </c>
      <c r="Z409" s="3" t="s">
        <v>55</v>
      </c>
      <c r="AA409" s="3" t="s">
        <v>45</v>
      </c>
      <c r="AB409" s="3" t="s">
        <v>45</v>
      </c>
      <c r="AC409" s="3" t="s">
        <v>45</v>
      </c>
      <c r="AD409" s="3" t="s">
        <v>45</v>
      </c>
      <c r="AE409" s="3" t="s">
        <v>45</v>
      </c>
      <c r="AF409" s="3" t="s">
        <v>45</v>
      </c>
      <c r="AG409" s="3" t="s">
        <v>45</v>
      </c>
      <c r="AH409" s="3" t="s">
        <v>57</v>
      </c>
      <c r="AI409" s="5" t="s">
        <v>3777</v>
      </c>
      <c r="AJ409" s="5" t="s">
        <v>3778</v>
      </c>
      <c r="AK409" s="5" t="s">
        <v>3779</v>
      </c>
      <c r="AL409" s="3" t="s">
        <v>45</v>
      </c>
      <c r="AM409" s="3" t="s">
        <v>45</v>
      </c>
      <c r="AN409" s="3" t="s">
        <v>45</v>
      </c>
      <c r="AO409" s="3" t="s">
        <v>45</v>
      </c>
      <c r="AP409" s="3" t="s">
        <v>45</v>
      </c>
      <c r="AQ409" s="4" t="s">
        <v>380</v>
      </c>
      <c r="AR409" s="4" t="s">
        <v>380</v>
      </c>
    </row>
    <row r="410">
      <c r="A410" s="3" t="s">
        <v>3780</v>
      </c>
      <c r="B410" s="3" t="s">
        <v>3781</v>
      </c>
      <c r="C410" s="3" t="s">
        <v>3782</v>
      </c>
      <c r="D410" s="3" t="s">
        <v>3738</v>
      </c>
      <c r="E410" s="4" t="s">
        <v>3783</v>
      </c>
      <c r="F410" s="3" t="s">
        <v>3784</v>
      </c>
      <c r="G410" s="4" t="s">
        <v>3785</v>
      </c>
      <c r="H410" s="4" t="s">
        <v>3786</v>
      </c>
      <c r="I410" s="3" t="s">
        <v>49</v>
      </c>
      <c r="J410" s="3" t="s">
        <v>126</v>
      </c>
      <c r="K410" s="3" t="s">
        <v>45</v>
      </c>
      <c r="L410" s="3" t="s">
        <v>3787</v>
      </c>
      <c r="M410" s="3" t="s">
        <v>45</v>
      </c>
      <c r="N410" s="4" t="s">
        <v>3788</v>
      </c>
      <c r="O410" s="3" t="s">
        <v>88</v>
      </c>
      <c r="P410" s="3" t="s">
        <v>220</v>
      </c>
      <c r="Q410" s="3" t="s">
        <v>3789</v>
      </c>
      <c r="R410" s="3" t="s">
        <v>45</v>
      </c>
      <c r="S410" s="3" t="s">
        <v>45</v>
      </c>
      <c r="T410" s="3" t="s">
        <v>45</v>
      </c>
      <c r="U410" s="3" t="s">
        <v>45</v>
      </c>
      <c r="V410" s="3" t="s">
        <v>45</v>
      </c>
      <c r="W410" s="4" t="s">
        <v>3790</v>
      </c>
      <c r="X410" s="3" t="s">
        <v>45</v>
      </c>
      <c r="Y410" s="4" t="s">
        <v>957</v>
      </c>
      <c r="Z410" s="3" t="s">
        <v>55</v>
      </c>
      <c r="AA410" s="3" t="s">
        <v>45</v>
      </c>
      <c r="AB410" s="3" t="s">
        <v>45</v>
      </c>
      <c r="AC410" s="3" t="s">
        <v>45</v>
      </c>
      <c r="AD410" s="5" t="s">
        <v>3791</v>
      </c>
      <c r="AE410" s="3" t="s">
        <v>45</v>
      </c>
      <c r="AF410" s="5" t="s">
        <v>3792</v>
      </c>
      <c r="AG410" s="3" t="s">
        <v>45</v>
      </c>
      <c r="AH410" s="3" t="s">
        <v>840</v>
      </c>
      <c r="AI410" s="5" t="s">
        <v>3793</v>
      </c>
      <c r="AJ410" s="5" t="s">
        <v>3794</v>
      </c>
      <c r="AK410" s="5" t="s">
        <v>3795</v>
      </c>
      <c r="AL410" s="5" t="s">
        <v>3796</v>
      </c>
      <c r="AM410" s="3" t="s">
        <v>45</v>
      </c>
      <c r="AN410" s="3" t="s">
        <v>45</v>
      </c>
      <c r="AO410" s="3" t="s">
        <v>45</v>
      </c>
      <c r="AP410" s="3" t="s">
        <v>45</v>
      </c>
      <c r="AQ410" s="4" t="s">
        <v>3797</v>
      </c>
      <c r="AR410" s="4" t="s">
        <v>3797</v>
      </c>
    </row>
    <row r="411">
      <c r="A411" s="3" t="s">
        <v>3798</v>
      </c>
      <c r="B411" s="3" t="s">
        <v>3799</v>
      </c>
      <c r="C411" s="3" t="s">
        <v>3800</v>
      </c>
      <c r="D411" s="3" t="s">
        <v>3738</v>
      </c>
      <c r="E411" s="4" t="s">
        <v>3801</v>
      </c>
      <c r="F411" s="3" t="s">
        <v>3367</v>
      </c>
      <c r="G411" s="4" t="s">
        <v>3802</v>
      </c>
      <c r="H411" s="4" t="s">
        <v>3803</v>
      </c>
      <c r="I411" s="3" t="s">
        <v>49</v>
      </c>
      <c r="J411" s="3" t="s">
        <v>126</v>
      </c>
      <c r="K411" s="3" t="s">
        <v>45</v>
      </c>
      <c r="L411" s="3" t="s">
        <v>3743</v>
      </c>
      <c r="M411" s="3" t="s">
        <v>3804</v>
      </c>
      <c r="N411" s="4" t="s">
        <v>3805</v>
      </c>
      <c r="O411" s="3" t="s">
        <v>88</v>
      </c>
      <c r="P411" s="3" t="s">
        <v>220</v>
      </c>
      <c r="Q411" s="3" t="s">
        <v>45</v>
      </c>
      <c r="R411" s="3" t="s">
        <v>45</v>
      </c>
      <c r="S411" s="3" t="s">
        <v>45</v>
      </c>
      <c r="T411" s="3" t="s">
        <v>45</v>
      </c>
      <c r="U411" s="3" t="s">
        <v>45</v>
      </c>
      <c r="V411" s="3" t="s">
        <v>45</v>
      </c>
      <c r="W411" s="4" t="s">
        <v>410</v>
      </c>
      <c r="X411" s="3" t="s">
        <v>45</v>
      </c>
      <c r="Y411" s="3" t="s">
        <v>45</v>
      </c>
      <c r="Z411" s="3" t="s">
        <v>74</v>
      </c>
      <c r="AA411" s="3" t="s">
        <v>45</v>
      </c>
      <c r="AB411" s="3" t="s">
        <v>45</v>
      </c>
      <c r="AC411" s="3" t="s">
        <v>45</v>
      </c>
      <c r="AD411" s="3" t="s">
        <v>45</v>
      </c>
      <c r="AE411" s="3" t="s">
        <v>45</v>
      </c>
      <c r="AF411" s="3" t="s">
        <v>45</v>
      </c>
      <c r="AG411" s="3" t="s">
        <v>45</v>
      </c>
      <c r="AH411" s="3" t="s">
        <v>57</v>
      </c>
      <c r="AI411" s="5" t="s">
        <v>3806</v>
      </c>
      <c r="AJ411" s="5" t="s">
        <v>3807</v>
      </c>
      <c r="AK411" s="5" t="s">
        <v>3808</v>
      </c>
      <c r="AL411" s="3" t="s">
        <v>45</v>
      </c>
      <c r="AM411" s="3" t="s">
        <v>45</v>
      </c>
      <c r="AN411" s="3" t="s">
        <v>45</v>
      </c>
      <c r="AO411" s="3" t="s">
        <v>45</v>
      </c>
      <c r="AP411" s="3" t="s">
        <v>45</v>
      </c>
      <c r="AQ411" s="4" t="s">
        <v>3108</v>
      </c>
      <c r="AR411" s="4" t="s">
        <v>237</v>
      </c>
    </row>
    <row r="412">
      <c r="A412" s="3" t="s">
        <v>3809</v>
      </c>
      <c r="B412" s="3" t="s">
        <v>3810</v>
      </c>
      <c r="C412" s="3" t="s">
        <v>3811</v>
      </c>
      <c r="D412" s="3" t="s">
        <v>3738</v>
      </c>
      <c r="E412" s="4" t="s">
        <v>3812</v>
      </c>
      <c r="F412" s="3" t="s">
        <v>3813</v>
      </c>
      <c r="G412" s="4" t="s">
        <v>3814</v>
      </c>
      <c r="H412" s="4" t="s">
        <v>3815</v>
      </c>
      <c r="I412" s="3" t="s">
        <v>436</v>
      </c>
      <c r="J412" s="3" t="s">
        <v>126</v>
      </c>
      <c r="K412" s="3" t="s">
        <v>45</v>
      </c>
      <c r="L412" s="3" t="s">
        <v>45</v>
      </c>
      <c r="M412" s="3" t="s">
        <v>45</v>
      </c>
      <c r="N412" s="4" t="s">
        <v>2222</v>
      </c>
      <c r="O412" s="3" t="s">
        <v>88</v>
      </c>
      <c r="P412" s="3" t="s">
        <v>45</v>
      </c>
      <c r="Q412" s="3" t="s">
        <v>45</v>
      </c>
      <c r="R412" s="3" t="s">
        <v>45</v>
      </c>
      <c r="S412" s="3" t="s">
        <v>45</v>
      </c>
      <c r="T412" s="3" t="s">
        <v>45</v>
      </c>
      <c r="U412" s="3" t="s">
        <v>45</v>
      </c>
      <c r="V412" s="3" t="s">
        <v>45</v>
      </c>
      <c r="W412" s="4" t="s">
        <v>3816</v>
      </c>
      <c r="X412" s="3" t="s">
        <v>192</v>
      </c>
      <c r="Y412" s="3" t="s">
        <v>45</v>
      </c>
      <c r="Z412" s="3" t="s">
        <v>55</v>
      </c>
      <c r="AA412" s="3" t="s">
        <v>45</v>
      </c>
      <c r="AB412" s="3" t="s">
        <v>45</v>
      </c>
      <c r="AC412" s="3" t="s">
        <v>45</v>
      </c>
      <c r="AD412" s="5" t="s">
        <v>3817</v>
      </c>
      <c r="AE412" s="3" t="s">
        <v>45</v>
      </c>
      <c r="AF412" s="3" t="s">
        <v>45</v>
      </c>
      <c r="AG412" s="3" t="s">
        <v>3818</v>
      </c>
      <c r="AH412" s="3" t="s">
        <v>57</v>
      </c>
      <c r="AI412" s="5" t="s">
        <v>3819</v>
      </c>
      <c r="AJ412" s="3" t="s">
        <v>45</v>
      </c>
      <c r="AK412" s="3" t="s">
        <v>45</v>
      </c>
      <c r="AL412" s="3" t="s">
        <v>45</v>
      </c>
      <c r="AM412" s="3" t="s">
        <v>45</v>
      </c>
      <c r="AN412" s="3" t="s">
        <v>45</v>
      </c>
      <c r="AO412" s="3" t="s">
        <v>45</v>
      </c>
      <c r="AP412" s="3" t="s">
        <v>45</v>
      </c>
      <c r="AQ412" s="4" t="s">
        <v>1203</v>
      </c>
      <c r="AR412" s="4" t="s">
        <v>1203</v>
      </c>
    </row>
    <row r="413">
      <c r="A413" s="3" t="s">
        <v>3820</v>
      </c>
      <c r="B413" s="3" t="s">
        <v>3821</v>
      </c>
      <c r="C413" s="3" t="s">
        <v>3811</v>
      </c>
      <c r="D413" s="3" t="s">
        <v>3738</v>
      </c>
      <c r="E413" s="4" t="s">
        <v>3812</v>
      </c>
      <c r="F413" s="3" t="s">
        <v>3813</v>
      </c>
      <c r="G413" s="4" t="s">
        <v>3822</v>
      </c>
      <c r="H413" s="4" t="s">
        <v>3823</v>
      </c>
      <c r="I413" s="3" t="s">
        <v>49</v>
      </c>
      <c r="J413" s="3" t="s">
        <v>126</v>
      </c>
      <c r="K413" s="3" t="s">
        <v>45</v>
      </c>
      <c r="L413" s="3" t="s">
        <v>3824</v>
      </c>
      <c r="M413" s="3" t="s">
        <v>45</v>
      </c>
      <c r="N413" s="3" t="s">
        <v>45</v>
      </c>
      <c r="O413" s="3" t="s">
        <v>88</v>
      </c>
      <c r="P413" s="3" t="s">
        <v>45</v>
      </c>
      <c r="Q413" s="3" t="s">
        <v>45</v>
      </c>
      <c r="R413" s="3" t="s">
        <v>45</v>
      </c>
      <c r="S413" s="3" t="s">
        <v>45</v>
      </c>
      <c r="T413" s="3" t="s">
        <v>45</v>
      </c>
      <c r="U413" s="3" t="s">
        <v>45</v>
      </c>
      <c r="V413" s="4" t="s">
        <v>2565</v>
      </c>
      <c r="W413" s="3" t="s">
        <v>45</v>
      </c>
      <c r="X413" s="3" t="s">
        <v>2164</v>
      </c>
      <c r="Y413" s="3" t="s">
        <v>45</v>
      </c>
      <c r="Z413" s="3" t="s">
        <v>55</v>
      </c>
      <c r="AA413" s="3" t="s">
        <v>45</v>
      </c>
      <c r="AB413" s="3" t="s">
        <v>45</v>
      </c>
      <c r="AC413" s="3" t="s">
        <v>45</v>
      </c>
      <c r="AD413" s="3" t="s">
        <v>45</v>
      </c>
      <c r="AE413" s="3" t="s">
        <v>45</v>
      </c>
      <c r="AF413" s="3" t="s">
        <v>45</v>
      </c>
      <c r="AG413" s="3" t="s">
        <v>3825</v>
      </c>
      <c r="AH413" s="3" t="s">
        <v>57</v>
      </c>
      <c r="AI413" s="5" t="s">
        <v>3826</v>
      </c>
      <c r="AJ413" s="5" t="s">
        <v>3827</v>
      </c>
      <c r="AK413" s="5" t="s">
        <v>3828</v>
      </c>
      <c r="AL413" s="5" t="s">
        <v>3829</v>
      </c>
      <c r="AM413" s="5" t="s">
        <v>3819</v>
      </c>
      <c r="AN413" s="5" t="s">
        <v>3830</v>
      </c>
      <c r="AO413" s="3" t="s">
        <v>45</v>
      </c>
      <c r="AP413" s="3" t="s">
        <v>45</v>
      </c>
      <c r="AQ413" s="4" t="s">
        <v>3831</v>
      </c>
      <c r="AR413" s="4" t="s">
        <v>1789</v>
      </c>
    </row>
    <row r="414">
      <c r="A414" s="3" t="s">
        <v>3832</v>
      </c>
      <c r="B414" s="3" t="s">
        <v>3833</v>
      </c>
      <c r="C414" s="3" t="s">
        <v>3834</v>
      </c>
      <c r="D414" s="3" t="s">
        <v>3738</v>
      </c>
      <c r="E414" s="4" t="s">
        <v>3835</v>
      </c>
      <c r="F414" s="3" t="s">
        <v>2031</v>
      </c>
      <c r="G414" s="4" t="s">
        <v>3836</v>
      </c>
      <c r="H414" s="4" t="s">
        <v>3837</v>
      </c>
      <c r="I414" s="3" t="s">
        <v>85</v>
      </c>
      <c r="J414" s="3" t="s">
        <v>126</v>
      </c>
      <c r="K414" s="3" t="s">
        <v>45</v>
      </c>
      <c r="L414" s="3" t="s">
        <v>45</v>
      </c>
      <c r="M414" s="3" t="s">
        <v>45</v>
      </c>
      <c r="N414" s="3" t="s">
        <v>45</v>
      </c>
      <c r="O414" s="3" t="s">
        <v>74</v>
      </c>
      <c r="P414" s="3" t="s">
        <v>45</v>
      </c>
      <c r="Q414" s="3" t="s">
        <v>45</v>
      </c>
      <c r="R414" s="3" t="s">
        <v>45</v>
      </c>
      <c r="S414" s="3" t="s">
        <v>45</v>
      </c>
      <c r="T414" s="3" t="s">
        <v>45</v>
      </c>
      <c r="U414" s="3" t="s">
        <v>45</v>
      </c>
      <c r="V414" s="4" t="s">
        <v>3838</v>
      </c>
      <c r="W414" s="3" t="s">
        <v>45</v>
      </c>
      <c r="X414" s="3" t="s">
        <v>45</v>
      </c>
      <c r="Y414" s="3" t="s">
        <v>45</v>
      </c>
      <c r="Z414" s="3" t="s">
        <v>74</v>
      </c>
      <c r="AA414" s="3" t="s">
        <v>45</v>
      </c>
      <c r="AB414" s="3" t="s">
        <v>45</v>
      </c>
      <c r="AC414" s="3" t="s">
        <v>45</v>
      </c>
      <c r="AD414" s="3" t="s">
        <v>45</v>
      </c>
      <c r="AE414" s="3" t="s">
        <v>45</v>
      </c>
      <c r="AF414" s="3" t="s">
        <v>45</v>
      </c>
      <c r="AG414" s="3" t="s">
        <v>45</v>
      </c>
      <c r="AH414" s="3" t="s">
        <v>57</v>
      </c>
      <c r="AI414" s="5" t="s">
        <v>294</v>
      </c>
      <c r="AJ414" s="3" t="s">
        <v>45</v>
      </c>
      <c r="AK414" s="3" t="s">
        <v>45</v>
      </c>
      <c r="AL414" s="3" t="s">
        <v>45</v>
      </c>
      <c r="AM414" s="3" t="s">
        <v>45</v>
      </c>
      <c r="AN414" s="3" t="s">
        <v>45</v>
      </c>
      <c r="AO414" s="3" t="s">
        <v>45</v>
      </c>
      <c r="AP414" s="3" t="s">
        <v>45</v>
      </c>
      <c r="AQ414" s="4" t="s">
        <v>295</v>
      </c>
      <c r="AR414" s="4" t="s">
        <v>2231</v>
      </c>
    </row>
    <row r="415">
      <c r="A415" s="3" t="s">
        <v>3078</v>
      </c>
      <c r="B415" s="3" t="s">
        <v>3839</v>
      </c>
      <c r="C415" s="3" t="s">
        <v>3840</v>
      </c>
      <c r="D415" s="3" t="s">
        <v>3738</v>
      </c>
      <c r="E415" s="4" t="s">
        <v>3841</v>
      </c>
      <c r="F415" s="3" t="s">
        <v>123</v>
      </c>
      <c r="G415" s="4" t="s">
        <v>3842</v>
      </c>
      <c r="H415" s="4" t="s">
        <v>3843</v>
      </c>
      <c r="I415" s="3" t="s">
        <v>218</v>
      </c>
      <c r="J415" s="3" t="s">
        <v>126</v>
      </c>
      <c r="K415" s="3" t="s">
        <v>45</v>
      </c>
      <c r="L415" s="3" t="s">
        <v>45</v>
      </c>
      <c r="M415" s="3" t="s">
        <v>45</v>
      </c>
      <c r="N415" s="4" t="s">
        <v>2908</v>
      </c>
      <c r="O415" s="3" t="s">
        <v>88</v>
      </c>
      <c r="P415" s="3" t="s">
        <v>45</v>
      </c>
      <c r="Q415" s="3" t="s">
        <v>45</v>
      </c>
      <c r="R415" s="3" t="s">
        <v>45</v>
      </c>
      <c r="S415" s="4" t="s">
        <v>1872</v>
      </c>
      <c r="T415" s="3" t="s">
        <v>45</v>
      </c>
      <c r="U415" s="3" t="s">
        <v>45</v>
      </c>
      <c r="V415" s="4" t="s">
        <v>2120</v>
      </c>
      <c r="W415" s="4" t="s">
        <v>1962</v>
      </c>
      <c r="X415" s="3" t="s">
        <v>192</v>
      </c>
      <c r="Y415" s="4" t="s">
        <v>727</v>
      </c>
      <c r="Z415" s="3" t="s">
        <v>74</v>
      </c>
      <c r="AA415" s="3" t="s">
        <v>45</v>
      </c>
      <c r="AB415" s="3" t="s">
        <v>45</v>
      </c>
      <c r="AC415" s="3" t="s">
        <v>45</v>
      </c>
      <c r="AD415" s="3" t="s">
        <v>45</v>
      </c>
      <c r="AE415" s="3" t="s">
        <v>45</v>
      </c>
      <c r="AF415" s="3" t="s">
        <v>45</v>
      </c>
      <c r="AG415" s="3" t="s">
        <v>45</v>
      </c>
      <c r="AH415" s="3" t="s">
        <v>57</v>
      </c>
      <c r="AI415" s="5" t="s">
        <v>3844</v>
      </c>
      <c r="AJ415" s="5" t="s">
        <v>3845</v>
      </c>
      <c r="AK415" s="5" t="s">
        <v>3846</v>
      </c>
      <c r="AL415" s="3" t="s">
        <v>45</v>
      </c>
      <c r="AM415" s="3" t="s">
        <v>45</v>
      </c>
      <c r="AN415" s="3" t="s">
        <v>45</v>
      </c>
      <c r="AO415" s="3" t="s">
        <v>45</v>
      </c>
      <c r="AP415" s="3" t="s">
        <v>45</v>
      </c>
      <c r="AQ415" s="4" t="s">
        <v>3847</v>
      </c>
      <c r="AR415" s="4" t="s">
        <v>148</v>
      </c>
    </row>
    <row r="416">
      <c r="A416" s="3" t="s">
        <v>3848</v>
      </c>
      <c r="B416" s="3" t="s">
        <v>3839</v>
      </c>
      <c r="C416" s="3" t="s">
        <v>3840</v>
      </c>
      <c r="D416" s="3" t="s">
        <v>3738</v>
      </c>
      <c r="E416" s="4" t="s">
        <v>3841</v>
      </c>
      <c r="F416" s="3" t="s">
        <v>123</v>
      </c>
      <c r="G416" s="4" t="s">
        <v>3849</v>
      </c>
      <c r="H416" s="4" t="s">
        <v>3850</v>
      </c>
      <c r="I416" s="3" t="s">
        <v>218</v>
      </c>
      <c r="J416" s="3" t="s">
        <v>126</v>
      </c>
      <c r="K416" s="3" t="s">
        <v>45</v>
      </c>
      <c r="L416" s="3" t="s">
        <v>3078</v>
      </c>
      <c r="M416" s="3" t="s">
        <v>45</v>
      </c>
      <c r="N416" s="4" t="s">
        <v>3595</v>
      </c>
      <c r="O416" s="3" t="s">
        <v>88</v>
      </c>
      <c r="P416" s="3" t="s">
        <v>220</v>
      </c>
      <c r="Q416" s="3" t="s">
        <v>45</v>
      </c>
      <c r="R416" s="3" t="s">
        <v>45</v>
      </c>
      <c r="S416" s="3" t="s">
        <v>45</v>
      </c>
      <c r="T416" s="3" t="s">
        <v>45</v>
      </c>
      <c r="U416" s="3" t="s">
        <v>45</v>
      </c>
      <c r="V416" s="4" t="s">
        <v>2342</v>
      </c>
      <c r="W416" s="4" t="s">
        <v>1962</v>
      </c>
      <c r="X416" s="3" t="s">
        <v>45</v>
      </c>
      <c r="Y416" s="4" t="s">
        <v>727</v>
      </c>
      <c r="Z416" s="3" t="s">
        <v>55</v>
      </c>
      <c r="AA416" s="3" t="s">
        <v>45</v>
      </c>
      <c r="AB416" s="3" t="s">
        <v>109</v>
      </c>
      <c r="AC416" s="3" t="s">
        <v>45</v>
      </c>
      <c r="AD416" s="3" t="s">
        <v>3851</v>
      </c>
      <c r="AE416" s="3" t="s">
        <v>45</v>
      </c>
      <c r="AF416" s="3" t="s">
        <v>45</v>
      </c>
      <c r="AG416" s="3" t="s">
        <v>45</v>
      </c>
      <c r="AH416" s="3" t="s">
        <v>840</v>
      </c>
      <c r="AI416" s="5" t="s">
        <v>3852</v>
      </c>
      <c r="AJ416" s="5" t="s">
        <v>3853</v>
      </c>
      <c r="AK416" s="5" t="s">
        <v>3854</v>
      </c>
      <c r="AL416" s="3" t="s">
        <v>45</v>
      </c>
      <c r="AM416" s="3" t="s">
        <v>45</v>
      </c>
      <c r="AN416" s="3" t="s">
        <v>45</v>
      </c>
      <c r="AO416" s="3" t="s">
        <v>45</v>
      </c>
      <c r="AP416" s="3" t="s">
        <v>45</v>
      </c>
      <c r="AQ416" s="4" t="s">
        <v>3855</v>
      </c>
      <c r="AR416" s="4" t="s">
        <v>3855</v>
      </c>
    </row>
    <row r="417">
      <c r="A417" s="3" t="s">
        <v>3856</v>
      </c>
      <c r="B417" s="3" t="s">
        <v>3857</v>
      </c>
      <c r="C417" s="3" t="s">
        <v>2391</v>
      </c>
      <c r="D417" s="3" t="s">
        <v>3738</v>
      </c>
      <c r="E417" s="4" t="s">
        <v>3858</v>
      </c>
      <c r="F417" s="3" t="s">
        <v>3859</v>
      </c>
      <c r="G417" s="4" t="s">
        <v>3860</v>
      </c>
      <c r="H417" s="4" t="s">
        <v>3861</v>
      </c>
      <c r="I417" s="3" t="s">
        <v>49</v>
      </c>
      <c r="J417" s="3" t="s">
        <v>126</v>
      </c>
      <c r="K417" s="3" t="s">
        <v>45</v>
      </c>
      <c r="L417" s="3" t="s">
        <v>45</v>
      </c>
      <c r="M417" s="3" t="s">
        <v>45</v>
      </c>
      <c r="N417" s="4" t="s">
        <v>3595</v>
      </c>
      <c r="O417" s="3" t="s">
        <v>88</v>
      </c>
      <c r="P417" s="3" t="s">
        <v>45</v>
      </c>
      <c r="Q417" s="3" t="s">
        <v>45</v>
      </c>
      <c r="R417" s="3" t="s">
        <v>45</v>
      </c>
      <c r="S417" s="4" t="s">
        <v>275</v>
      </c>
      <c r="T417" s="3" t="s">
        <v>45</v>
      </c>
      <c r="U417" s="3" t="s">
        <v>45</v>
      </c>
      <c r="V417" s="3" t="s">
        <v>45</v>
      </c>
      <c r="W417" s="4" t="s">
        <v>1094</v>
      </c>
      <c r="X417" s="3" t="s">
        <v>45</v>
      </c>
      <c r="Y417" s="3" t="s">
        <v>45</v>
      </c>
      <c r="Z417" s="3" t="s">
        <v>74</v>
      </c>
      <c r="AA417" s="3" t="s">
        <v>45</v>
      </c>
      <c r="AB417" s="3" t="s">
        <v>45</v>
      </c>
      <c r="AC417" s="3" t="s">
        <v>45</v>
      </c>
      <c r="AD417" s="3" t="s">
        <v>45</v>
      </c>
      <c r="AE417" s="3" t="s">
        <v>45</v>
      </c>
      <c r="AF417" s="3" t="s">
        <v>45</v>
      </c>
      <c r="AG417" s="3" t="s">
        <v>45</v>
      </c>
      <c r="AH417" s="3" t="s">
        <v>57</v>
      </c>
      <c r="AI417" s="5" t="s">
        <v>3862</v>
      </c>
      <c r="AJ417" s="5" t="s">
        <v>3863</v>
      </c>
      <c r="AK417" s="5" t="s">
        <v>3864</v>
      </c>
      <c r="AL417" s="5" t="s">
        <v>3865</v>
      </c>
      <c r="AM417" s="3" t="s">
        <v>45</v>
      </c>
      <c r="AN417" s="3" t="s">
        <v>45</v>
      </c>
      <c r="AO417" s="3" t="s">
        <v>45</v>
      </c>
      <c r="AP417" s="3" t="s">
        <v>45</v>
      </c>
      <c r="AQ417" s="4" t="s">
        <v>3866</v>
      </c>
      <c r="AR417" s="4" t="s">
        <v>3866</v>
      </c>
    </row>
    <row r="418">
      <c r="A418" s="3" t="s">
        <v>3867</v>
      </c>
      <c r="B418" s="3" t="s">
        <v>45</v>
      </c>
      <c r="C418" s="3" t="s">
        <v>3868</v>
      </c>
      <c r="D418" s="3" t="s">
        <v>3738</v>
      </c>
      <c r="E418" s="3" t="s">
        <v>45</v>
      </c>
      <c r="F418" s="3" t="s">
        <v>3869</v>
      </c>
      <c r="G418" s="4" t="s">
        <v>3870</v>
      </c>
      <c r="H418" s="4" t="s">
        <v>3871</v>
      </c>
      <c r="I418" s="3" t="s">
        <v>85</v>
      </c>
      <c r="J418" s="3" t="s">
        <v>99</v>
      </c>
      <c r="K418" s="3" t="s">
        <v>45</v>
      </c>
      <c r="L418" s="3" t="s">
        <v>45</v>
      </c>
      <c r="M418" s="3" t="s">
        <v>45</v>
      </c>
      <c r="N418" s="4" t="s">
        <v>1153</v>
      </c>
      <c r="O418" s="3" t="s">
        <v>390</v>
      </c>
      <c r="P418" s="3" t="s">
        <v>45</v>
      </c>
      <c r="Q418" s="3" t="s">
        <v>45</v>
      </c>
      <c r="R418" s="3" t="s">
        <v>45</v>
      </c>
      <c r="S418" s="3" t="s">
        <v>45</v>
      </c>
      <c r="T418" s="3" t="s">
        <v>45</v>
      </c>
      <c r="U418" s="3" t="s">
        <v>45</v>
      </c>
      <c r="V418" s="3" t="s">
        <v>45</v>
      </c>
      <c r="W418" s="3" t="s">
        <v>45</v>
      </c>
      <c r="X418" s="3" t="s">
        <v>45</v>
      </c>
      <c r="Y418" s="3" t="s">
        <v>45</v>
      </c>
      <c r="Z418" s="3" t="s">
        <v>74</v>
      </c>
      <c r="AA418" s="3" t="s">
        <v>45</v>
      </c>
      <c r="AB418" s="3" t="s">
        <v>45</v>
      </c>
      <c r="AC418" s="3" t="s">
        <v>45</v>
      </c>
      <c r="AD418" s="3" t="s">
        <v>45</v>
      </c>
      <c r="AE418" s="3" t="s">
        <v>45</v>
      </c>
      <c r="AF418" s="3" t="s">
        <v>45</v>
      </c>
      <c r="AG418" s="3" t="s">
        <v>45</v>
      </c>
      <c r="AH418" s="3" t="s">
        <v>57</v>
      </c>
      <c r="AI418" s="5" t="s">
        <v>3872</v>
      </c>
      <c r="AJ418" s="5" t="s">
        <v>3873</v>
      </c>
      <c r="AK418" s="3" t="s">
        <v>45</v>
      </c>
      <c r="AL418" s="3" t="s">
        <v>45</v>
      </c>
      <c r="AM418" s="3" t="s">
        <v>45</v>
      </c>
      <c r="AN418" s="3" t="s">
        <v>45</v>
      </c>
      <c r="AO418" s="3" t="s">
        <v>45</v>
      </c>
      <c r="AP418" s="3" t="s">
        <v>45</v>
      </c>
      <c r="AQ418" s="4" t="s">
        <v>3655</v>
      </c>
      <c r="AR418" s="4" t="s">
        <v>3655</v>
      </c>
    </row>
    <row r="419">
      <c r="A419" s="3" t="s">
        <v>3874</v>
      </c>
      <c r="B419" s="3" t="s">
        <v>3875</v>
      </c>
      <c r="C419" s="3" t="s">
        <v>3876</v>
      </c>
      <c r="D419" s="3" t="s">
        <v>3738</v>
      </c>
      <c r="E419" s="4" t="s">
        <v>3877</v>
      </c>
      <c r="F419" s="3" t="s">
        <v>3878</v>
      </c>
      <c r="G419" s="4" t="s">
        <v>3879</v>
      </c>
      <c r="H419" s="4" t="s">
        <v>3880</v>
      </c>
      <c r="I419" s="3" t="s">
        <v>408</v>
      </c>
      <c r="J419" s="3" t="s">
        <v>126</v>
      </c>
      <c r="K419" s="3" t="s">
        <v>45</v>
      </c>
      <c r="L419" s="3" t="s">
        <v>3881</v>
      </c>
      <c r="M419" s="3" t="s">
        <v>45</v>
      </c>
      <c r="N419" s="3" t="s">
        <v>45</v>
      </c>
      <c r="O419" s="3" t="s">
        <v>3882</v>
      </c>
      <c r="P419" s="3" t="s">
        <v>45</v>
      </c>
      <c r="Q419" s="3" t="s">
        <v>45</v>
      </c>
      <c r="R419" s="3" t="s">
        <v>45</v>
      </c>
      <c r="S419" s="3" t="s">
        <v>45</v>
      </c>
      <c r="T419" s="3" t="s">
        <v>45</v>
      </c>
      <c r="U419" s="3" t="s">
        <v>45</v>
      </c>
      <c r="V419" s="3" t="s">
        <v>45</v>
      </c>
      <c r="W419" s="3" t="s">
        <v>45</v>
      </c>
      <c r="X419" s="3" t="s">
        <v>45</v>
      </c>
      <c r="Y419" s="3" t="s">
        <v>45</v>
      </c>
      <c r="Z419" s="3" t="s">
        <v>74</v>
      </c>
      <c r="AA419" s="3" t="s">
        <v>45</v>
      </c>
      <c r="AB419" s="3" t="s">
        <v>45</v>
      </c>
      <c r="AC419" s="3" t="s">
        <v>45</v>
      </c>
      <c r="AD419" s="3" t="s">
        <v>45</v>
      </c>
      <c r="AE419" s="3" t="s">
        <v>45</v>
      </c>
      <c r="AF419" s="3" t="s">
        <v>45</v>
      </c>
      <c r="AG419" s="3" t="s">
        <v>3883</v>
      </c>
      <c r="AH419" s="3" t="s">
        <v>57</v>
      </c>
      <c r="AI419" s="5" t="s">
        <v>3884</v>
      </c>
      <c r="AJ419" s="5" t="s">
        <v>3885</v>
      </c>
      <c r="AK419" s="3" t="s">
        <v>45</v>
      </c>
      <c r="AL419" s="3" t="s">
        <v>45</v>
      </c>
      <c r="AM419" s="3" t="s">
        <v>45</v>
      </c>
      <c r="AN419" s="3" t="s">
        <v>45</v>
      </c>
      <c r="AO419" s="3" t="s">
        <v>45</v>
      </c>
      <c r="AP419" s="3" t="s">
        <v>45</v>
      </c>
      <c r="AQ419" s="4" t="s">
        <v>671</v>
      </c>
      <c r="AR419" s="4" t="s">
        <v>671</v>
      </c>
    </row>
    <row r="420">
      <c r="A420" s="3" t="s">
        <v>3886</v>
      </c>
      <c r="B420" s="3" t="s">
        <v>3887</v>
      </c>
      <c r="C420" s="3" t="s">
        <v>3876</v>
      </c>
      <c r="D420" s="3" t="s">
        <v>3738</v>
      </c>
      <c r="E420" s="4" t="s">
        <v>3877</v>
      </c>
      <c r="F420" s="3" t="s">
        <v>3878</v>
      </c>
      <c r="G420" s="4" t="s">
        <v>3888</v>
      </c>
      <c r="H420" s="4" t="s">
        <v>3889</v>
      </c>
      <c r="I420" s="3" t="s">
        <v>408</v>
      </c>
      <c r="J420" s="3" t="s">
        <v>50</v>
      </c>
      <c r="K420" s="3" t="s">
        <v>45</v>
      </c>
      <c r="L420" s="3" t="s">
        <v>3881</v>
      </c>
      <c r="M420" s="3" t="s">
        <v>45</v>
      </c>
      <c r="N420" s="4" t="s">
        <v>1228</v>
      </c>
      <c r="O420" s="3" t="s">
        <v>722</v>
      </c>
      <c r="P420" s="3" t="s">
        <v>220</v>
      </c>
      <c r="Q420" s="3" t="s">
        <v>45</v>
      </c>
      <c r="R420" s="3" t="s">
        <v>45</v>
      </c>
      <c r="S420" s="3" t="s">
        <v>45</v>
      </c>
      <c r="T420" s="3" t="s">
        <v>45</v>
      </c>
      <c r="U420" s="3" t="s">
        <v>45</v>
      </c>
      <c r="V420" s="3" t="s">
        <v>45</v>
      </c>
      <c r="W420" s="3" t="s">
        <v>45</v>
      </c>
      <c r="X420" s="3" t="s">
        <v>45</v>
      </c>
      <c r="Y420" s="3" t="s">
        <v>45</v>
      </c>
      <c r="Z420" s="3" t="s">
        <v>74</v>
      </c>
      <c r="AA420" s="3" t="s">
        <v>45</v>
      </c>
      <c r="AB420" s="3" t="s">
        <v>45</v>
      </c>
      <c r="AC420" s="3" t="s">
        <v>45</v>
      </c>
      <c r="AD420" s="3" t="s">
        <v>45</v>
      </c>
      <c r="AE420" s="3" t="s">
        <v>45</v>
      </c>
      <c r="AF420" s="3" t="s">
        <v>45</v>
      </c>
      <c r="AG420" s="3" t="s">
        <v>3890</v>
      </c>
      <c r="AH420" s="3" t="s">
        <v>57</v>
      </c>
      <c r="AI420" s="5" t="s">
        <v>3884</v>
      </c>
      <c r="AJ420" s="3" t="s">
        <v>45</v>
      </c>
      <c r="AK420" s="3" t="s">
        <v>45</v>
      </c>
      <c r="AL420" s="3" t="s">
        <v>45</v>
      </c>
      <c r="AM420" s="3" t="s">
        <v>45</v>
      </c>
      <c r="AN420" s="3" t="s">
        <v>45</v>
      </c>
      <c r="AO420" s="3" t="s">
        <v>45</v>
      </c>
      <c r="AP420" s="3" t="s">
        <v>45</v>
      </c>
      <c r="AQ420" s="4" t="s">
        <v>671</v>
      </c>
      <c r="AR420" s="4" t="s">
        <v>671</v>
      </c>
    </row>
    <row r="421">
      <c r="A421" s="3" t="s">
        <v>3891</v>
      </c>
      <c r="B421" s="3" t="s">
        <v>3892</v>
      </c>
      <c r="C421" s="3" t="s">
        <v>3893</v>
      </c>
      <c r="D421" s="3" t="s">
        <v>3894</v>
      </c>
      <c r="E421" s="4" t="s">
        <v>3895</v>
      </c>
      <c r="F421" s="3" t="s">
        <v>3896</v>
      </c>
      <c r="G421" s="4" t="s">
        <v>3897</v>
      </c>
      <c r="H421" s="4" t="s">
        <v>3898</v>
      </c>
      <c r="I421" s="3" t="s">
        <v>49</v>
      </c>
      <c r="J421" s="3" t="s">
        <v>99</v>
      </c>
      <c r="K421" s="3" t="s">
        <v>45</v>
      </c>
      <c r="L421" s="3" t="s">
        <v>3899</v>
      </c>
      <c r="M421" s="3" t="s">
        <v>45</v>
      </c>
      <c r="N421" s="3" t="s">
        <v>45</v>
      </c>
      <c r="O421" s="3" t="s">
        <v>74</v>
      </c>
      <c r="P421" s="3" t="s">
        <v>45</v>
      </c>
      <c r="Q421" s="3" t="s">
        <v>45</v>
      </c>
      <c r="R421" s="3" t="s">
        <v>45</v>
      </c>
      <c r="S421" s="3" t="s">
        <v>45</v>
      </c>
      <c r="T421" s="3" t="s">
        <v>105</v>
      </c>
      <c r="U421" s="3" t="s">
        <v>45</v>
      </c>
      <c r="V421" s="3" t="s">
        <v>45</v>
      </c>
      <c r="W421" s="4" t="s">
        <v>3900</v>
      </c>
      <c r="X421" s="3" t="s">
        <v>45</v>
      </c>
      <c r="Y421" s="3" t="s">
        <v>45</v>
      </c>
      <c r="Z421" s="3" t="s">
        <v>74</v>
      </c>
      <c r="AA421" s="3" t="s">
        <v>45</v>
      </c>
      <c r="AB421" s="3" t="s">
        <v>45</v>
      </c>
      <c r="AC421" s="3" t="s">
        <v>45</v>
      </c>
      <c r="AD421" s="3" t="s">
        <v>45</v>
      </c>
      <c r="AE421" s="3" t="s">
        <v>45</v>
      </c>
      <c r="AF421" s="3" t="s">
        <v>45</v>
      </c>
      <c r="AG421" s="3" t="s">
        <v>3901</v>
      </c>
      <c r="AH421" s="3" t="s">
        <v>57</v>
      </c>
      <c r="AI421" s="5" t="s">
        <v>3902</v>
      </c>
      <c r="AJ421" s="3" t="s">
        <v>45</v>
      </c>
      <c r="AK421" s="3" t="s">
        <v>45</v>
      </c>
      <c r="AL421" s="3" t="s">
        <v>45</v>
      </c>
      <c r="AM421" s="3" t="s">
        <v>45</v>
      </c>
      <c r="AN421" s="3" t="s">
        <v>45</v>
      </c>
      <c r="AO421" s="3" t="s">
        <v>45</v>
      </c>
      <c r="AP421" s="3" t="s">
        <v>45</v>
      </c>
      <c r="AQ421" s="4" t="s">
        <v>671</v>
      </c>
      <c r="AR421" s="4" t="s">
        <v>671</v>
      </c>
    </row>
    <row r="422">
      <c r="A422" s="3" t="s">
        <v>3903</v>
      </c>
      <c r="B422" s="3" t="s">
        <v>3904</v>
      </c>
      <c r="C422" s="3" t="s">
        <v>3905</v>
      </c>
      <c r="D422" s="3" t="s">
        <v>3894</v>
      </c>
      <c r="E422" s="3" t="s">
        <v>45</v>
      </c>
      <c r="F422" s="3" t="s">
        <v>3906</v>
      </c>
      <c r="G422" s="4" t="s">
        <v>3907</v>
      </c>
      <c r="H422" s="4" t="s">
        <v>3908</v>
      </c>
      <c r="I422" s="3" t="s">
        <v>49</v>
      </c>
      <c r="J422" s="3" t="s">
        <v>99</v>
      </c>
      <c r="K422" s="3" t="s">
        <v>45</v>
      </c>
      <c r="L422" s="3" t="s">
        <v>3899</v>
      </c>
      <c r="M422" s="3" t="s">
        <v>45</v>
      </c>
      <c r="N422" s="3" t="s">
        <v>45</v>
      </c>
      <c r="O422" s="3" t="s">
        <v>74</v>
      </c>
      <c r="P422" s="3" t="s">
        <v>45</v>
      </c>
      <c r="Q422" s="3" t="s">
        <v>45</v>
      </c>
      <c r="R422" s="3" t="s">
        <v>45</v>
      </c>
      <c r="S422" s="3" t="s">
        <v>45</v>
      </c>
      <c r="T422" s="3" t="s">
        <v>45</v>
      </c>
      <c r="U422" s="3" t="s">
        <v>45</v>
      </c>
      <c r="V422" s="3" t="s">
        <v>45</v>
      </c>
      <c r="W422" s="4" t="s">
        <v>3909</v>
      </c>
      <c r="X422" s="3" t="s">
        <v>45</v>
      </c>
      <c r="Y422" s="3" t="s">
        <v>45</v>
      </c>
      <c r="Z422" s="3" t="s">
        <v>74</v>
      </c>
      <c r="AA422" s="3" t="s">
        <v>45</v>
      </c>
      <c r="AB422" s="3" t="s">
        <v>45</v>
      </c>
      <c r="AC422" s="3" t="s">
        <v>45</v>
      </c>
      <c r="AD422" s="3" t="s">
        <v>45</v>
      </c>
      <c r="AE422" s="3" t="s">
        <v>45</v>
      </c>
      <c r="AF422" s="3" t="s">
        <v>45</v>
      </c>
      <c r="AG422" s="3" t="s">
        <v>45</v>
      </c>
      <c r="AH422" s="3" t="s">
        <v>57</v>
      </c>
      <c r="AI422" s="5" t="s">
        <v>3902</v>
      </c>
      <c r="AJ422" s="3" t="s">
        <v>45</v>
      </c>
      <c r="AK422" s="3" t="s">
        <v>45</v>
      </c>
      <c r="AL422" s="3" t="s">
        <v>45</v>
      </c>
      <c r="AM422" s="3" t="s">
        <v>45</v>
      </c>
      <c r="AN422" s="3" t="s">
        <v>45</v>
      </c>
      <c r="AO422" s="3" t="s">
        <v>45</v>
      </c>
      <c r="AP422" s="3" t="s">
        <v>45</v>
      </c>
      <c r="AQ422" s="4" t="s">
        <v>671</v>
      </c>
      <c r="AR422" s="4" t="s">
        <v>671</v>
      </c>
    </row>
    <row r="423">
      <c r="A423" s="3" t="s">
        <v>3910</v>
      </c>
      <c r="B423" s="3" t="s">
        <v>3911</v>
      </c>
      <c r="C423" s="3" t="s">
        <v>3912</v>
      </c>
      <c r="D423" s="3" t="s">
        <v>3894</v>
      </c>
      <c r="E423" s="4" t="s">
        <v>3913</v>
      </c>
      <c r="F423" s="3" t="s">
        <v>3914</v>
      </c>
      <c r="G423" s="4" t="s">
        <v>3915</v>
      </c>
      <c r="H423" s="4" t="s">
        <v>3916</v>
      </c>
      <c r="I423" s="3" t="s">
        <v>245</v>
      </c>
      <c r="J423" s="3" t="s">
        <v>50</v>
      </c>
      <c r="K423" s="3" t="s">
        <v>45</v>
      </c>
      <c r="L423" s="3" t="s">
        <v>45</v>
      </c>
      <c r="M423" s="3" t="s">
        <v>45</v>
      </c>
      <c r="N423" s="3" t="s">
        <v>45</v>
      </c>
      <c r="O423" s="3" t="s">
        <v>74</v>
      </c>
      <c r="P423" s="3" t="s">
        <v>45</v>
      </c>
      <c r="Q423" s="3" t="s">
        <v>45</v>
      </c>
      <c r="R423" s="3" t="s">
        <v>45</v>
      </c>
      <c r="S423" s="3" t="s">
        <v>45</v>
      </c>
      <c r="T423" s="3" t="s">
        <v>45</v>
      </c>
      <c r="U423" s="3" t="s">
        <v>45</v>
      </c>
      <c r="V423" s="3" t="s">
        <v>45</v>
      </c>
      <c r="W423" s="3" t="s">
        <v>45</v>
      </c>
      <c r="X423" s="3" t="s">
        <v>45</v>
      </c>
      <c r="Y423" s="3" t="s">
        <v>45</v>
      </c>
      <c r="Z423" s="3" t="s">
        <v>74</v>
      </c>
      <c r="AA423" s="3" t="s">
        <v>45</v>
      </c>
      <c r="AB423" s="3" t="s">
        <v>45</v>
      </c>
      <c r="AC423" s="3" t="s">
        <v>45</v>
      </c>
      <c r="AD423" s="5" t="s">
        <v>3917</v>
      </c>
      <c r="AE423" s="3" t="s">
        <v>45</v>
      </c>
      <c r="AF423" s="3" t="s">
        <v>45</v>
      </c>
      <c r="AG423" s="3" t="s">
        <v>3918</v>
      </c>
      <c r="AH423" s="3" t="s">
        <v>840</v>
      </c>
      <c r="AI423" s="5" t="s">
        <v>3919</v>
      </c>
      <c r="AJ423" s="5" t="s">
        <v>3917</v>
      </c>
      <c r="AK423" s="5" t="s">
        <v>3920</v>
      </c>
      <c r="AL423" s="5" t="s">
        <v>3921</v>
      </c>
      <c r="AM423" s="3" t="s">
        <v>45</v>
      </c>
      <c r="AN423" s="3" t="s">
        <v>45</v>
      </c>
      <c r="AO423" s="3" t="s">
        <v>45</v>
      </c>
      <c r="AP423" s="3" t="s">
        <v>45</v>
      </c>
      <c r="AQ423" s="4" t="s">
        <v>1398</v>
      </c>
      <c r="AR423" s="4" t="s">
        <v>1398</v>
      </c>
    </row>
    <row r="424">
      <c r="A424" s="3" t="s">
        <v>3922</v>
      </c>
      <c r="B424" s="3" t="s">
        <v>3923</v>
      </c>
      <c r="C424" s="3" t="s">
        <v>3924</v>
      </c>
      <c r="D424" s="3" t="s">
        <v>3894</v>
      </c>
      <c r="E424" s="4" t="s">
        <v>3925</v>
      </c>
      <c r="F424" s="3" t="s">
        <v>3926</v>
      </c>
      <c r="G424" s="4" t="s">
        <v>3927</v>
      </c>
      <c r="H424" s="4" t="s">
        <v>3928</v>
      </c>
      <c r="I424" s="3" t="s">
        <v>408</v>
      </c>
      <c r="J424" s="3" t="s">
        <v>126</v>
      </c>
      <c r="K424" s="3" t="s">
        <v>45</v>
      </c>
      <c r="L424" s="3" t="s">
        <v>210</v>
      </c>
      <c r="M424" s="3" t="s">
        <v>45</v>
      </c>
      <c r="N424" s="3" t="s">
        <v>3929</v>
      </c>
      <c r="O424" s="3" t="s">
        <v>70</v>
      </c>
      <c r="P424" s="3" t="s">
        <v>71</v>
      </c>
      <c r="Q424" s="4" t="s">
        <v>233</v>
      </c>
      <c r="R424" s="3" t="s">
        <v>45</v>
      </c>
      <c r="S424" s="3" t="s">
        <v>45</v>
      </c>
      <c r="T424" s="3" t="s">
        <v>45</v>
      </c>
      <c r="U424" s="3" t="s">
        <v>45</v>
      </c>
      <c r="V424" s="4" t="s">
        <v>3930</v>
      </c>
      <c r="W424" s="4" t="s">
        <v>3931</v>
      </c>
      <c r="X424" s="3" t="s">
        <v>360</v>
      </c>
      <c r="Y424" s="4" t="s">
        <v>73</v>
      </c>
      <c r="Z424" s="3" t="s">
        <v>55</v>
      </c>
      <c r="AA424" s="3" t="s">
        <v>45</v>
      </c>
      <c r="AB424" s="3" t="s">
        <v>45</v>
      </c>
      <c r="AC424" s="3" t="s">
        <v>45</v>
      </c>
      <c r="AD424" s="3" t="s">
        <v>3932</v>
      </c>
      <c r="AE424" s="5" t="s">
        <v>3933</v>
      </c>
      <c r="AF424" s="3" t="s">
        <v>45</v>
      </c>
      <c r="AG424" s="3" t="s">
        <v>3934</v>
      </c>
      <c r="AH424" s="3" t="s">
        <v>840</v>
      </c>
      <c r="AI424" s="5" t="s">
        <v>3935</v>
      </c>
      <c r="AJ424" s="5" t="s">
        <v>3936</v>
      </c>
      <c r="AK424" s="5" t="s">
        <v>3937</v>
      </c>
      <c r="AL424" s="5" t="s">
        <v>3938</v>
      </c>
      <c r="AM424" s="5" t="s">
        <v>3939</v>
      </c>
      <c r="AN424" s="5" t="s">
        <v>2569</v>
      </c>
      <c r="AO424" s="5" t="s">
        <v>3940</v>
      </c>
      <c r="AP424" s="5" t="s">
        <v>3941</v>
      </c>
      <c r="AQ424" s="4" t="s">
        <v>3942</v>
      </c>
      <c r="AR424" s="4" t="s">
        <v>1016</v>
      </c>
    </row>
    <row r="425">
      <c r="A425" s="3" t="s">
        <v>3273</v>
      </c>
      <c r="B425" s="3" t="s">
        <v>3943</v>
      </c>
      <c r="C425" s="3" t="s">
        <v>3944</v>
      </c>
      <c r="D425" s="3" t="s">
        <v>3894</v>
      </c>
      <c r="E425" s="4" t="s">
        <v>3945</v>
      </c>
      <c r="F425" s="3" t="s">
        <v>3896</v>
      </c>
      <c r="G425" s="4" t="s">
        <v>3946</v>
      </c>
      <c r="H425" s="4" t="s">
        <v>3947</v>
      </c>
      <c r="I425" s="3" t="s">
        <v>85</v>
      </c>
      <c r="J425" s="3" t="s">
        <v>126</v>
      </c>
      <c r="K425" s="3" t="s">
        <v>45</v>
      </c>
      <c r="L425" s="3" t="s">
        <v>45</v>
      </c>
      <c r="M425" s="3" t="s">
        <v>45</v>
      </c>
      <c r="N425" s="3" t="s">
        <v>45</v>
      </c>
      <c r="O425" s="3" t="s">
        <v>74</v>
      </c>
      <c r="P425" s="3" t="s">
        <v>45</v>
      </c>
      <c r="Q425" s="3" t="s">
        <v>45</v>
      </c>
      <c r="R425" s="3" t="s">
        <v>45</v>
      </c>
      <c r="S425" s="3" t="s">
        <v>45</v>
      </c>
      <c r="T425" s="3" t="s">
        <v>45</v>
      </c>
      <c r="U425" s="3" t="s">
        <v>45</v>
      </c>
      <c r="V425" s="4" t="s">
        <v>3948</v>
      </c>
      <c r="W425" s="3" t="s">
        <v>45</v>
      </c>
      <c r="X425" s="3" t="s">
        <v>45</v>
      </c>
      <c r="Y425" s="3" t="s">
        <v>45</v>
      </c>
      <c r="Z425" s="3" t="s">
        <v>74</v>
      </c>
      <c r="AA425" s="3" t="s">
        <v>45</v>
      </c>
      <c r="AB425" s="3" t="s">
        <v>45</v>
      </c>
      <c r="AC425" s="3" t="s">
        <v>45</v>
      </c>
      <c r="AD425" s="3" t="s">
        <v>45</v>
      </c>
      <c r="AE425" s="3" t="s">
        <v>45</v>
      </c>
      <c r="AF425" s="3" t="s">
        <v>45</v>
      </c>
      <c r="AG425" s="3" t="s">
        <v>45</v>
      </c>
      <c r="AH425" s="3" t="s">
        <v>57</v>
      </c>
      <c r="AI425" s="5" t="s">
        <v>3949</v>
      </c>
      <c r="AJ425" s="3" t="s">
        <v>45</v>
      </c>
      <c r="AK425" s="3" t="s">
        <v>45</v>
      </c>
      <c r="AL425" s="3" t="s">
        <v>45</v>
      </c>
      <c r="AM425" s="3" t="s">
        <v>45</v>
      </c>
      <c r="AN425" s="3" t="s">
        <v>45</v>
      </c>
      <c r="AO425" s="3" t="s">
        <v>45</v>
      </c>
      <c r="AP425" s="3" t="s">
        <v>45</v>
      </c>
      <c r="AQ425" s="4" t="s">
        <v>147</v>
      </c>
      <c r="AR425" s="4" t="s">
        <v>147</v>
      </c>
    </row>
    <row r="426">
      <c r="A426" s="3" t="s">
        <v>3950</v>
      </c>
      <c r="B426" s="3" t="s">
        <v>3951</v>
      </c>
      <c r="C426" s="3" t="s">
        <v>3944</v>
      </c>
      <c r="D426" s="3" t="s">
        <v>3894</v>
      </c>
      <c r="E426" s="4" t="s">
        <v>3952</v>
      </c>
      <c r="F426" s="3" t="s">
        <v>3896</v>
      </c>
      <c r="G426" s="4" t="s">
        <v>3953</v>
      </c>
      <c r="H426" s="4" t="s">
        <v>3954</v>
      </c>
      <c r="I426" s="3" t="s">
        <v>49</v>
      </c>
      <c r="J426" s="3" t="s">
        <v>126</v>
      </c>
      <c r="K426" s="3" t="s">
        <v>45</v>
      </c>
      <c r="L426" s="3" t="s">
        <v>45</v>
      </c>
      <c r="M426" s="3" t="s">
        <v>45</v>
      </c>
      <c r="N426" s="3" t="s">
        <v>45</v>
      </c>
      <c r="O426" s="3" t="s">
        <v>74</v>
      </c>
      <c r="P426" s="3" t="s">
        <v>45</v>
      </c>
      <c r="Q426" s="3" t="s">
        <v>45</v>
      </c>
      <c r="R426" s="3" t="s">
        <v>45</v>
      </c>
      <c r="S426" s="3" t="s">
        <v>45</v>
      </c>
      <c r="T426" s="3" t="s">
        <v>45</v>
      </c>
      <c r="U426" s="3" t="s">
        <v>45</v>
      </c>
      <c r="V426" s="4" t="s">
        <v>106</v>
      </c>
      <c r="W426" s="3" t="s">
        <v>45</v>
      </c>
      <c r="X426" s="3" t="s">
        <v>45</v>
      </c>
      <c r="Y426" s="3" t="s">
        <v>45</v>
      </c>
      <c r="Z426" s="3" t="s">
        <v>74</v>
      </c>
      <c r="AA426" s="3" t="s">
        <v>45</v>
      </c>
      <c r="AB426" s="3" t="s">
        <v>45</v>
      </c>
      <c r="AC426" s="3" t="s">
        <v>45</v>
      </c>
      <c r="AD426" s="3" t="s">
        <v>45</v>
      </c>
      <c r="AE426" s="3" t="s">
        <v>45</v>
      </c>
      <c r="AF426" s="3" t="s">
        <v>45</v>
      </c>
      <c r="AG426" s="3" t="s">
        <v>45</v>
      </c>
      <c r="AH426" s="3" t="s">
        <v>57</v>
      </c>
      <c r="AI426" s="5" t="s">
        <v>3955</v>
      </c>
      <c r="AJ426" s="3" t="s">
        <v>45</v>
      </c>
      <c r="AK426" s="3" t="s">
        <v>45</v>
      </c>
      <c r="AL426" s="3" t="s">
        <v>45</v>
      </c>
      <c r="AM426" s="3" t="s">
        <v>45</v>
      </c>
      <c r="AN426" s="3" t="s">
        <v>45</v>
      </c>
      <c r="AO426" s="3" t="s">
        <v>45</v>
      </c>
      <c r="AP426" s="3" t="s">
        <v>45</v>
      </c>
      <c r="AQ426" s="4" t="s">
        <v>3956</v>
      </c>
      <c r="AR426" s="4" t="s">
        <v>3956</v>
      </c>
    </row>
    <row r="427">
      <c r="A427" s="3" t="s">
        <v>3957</v>
      </c>
      <c r="B427" s="3" t="s">
        <v>3958</v>
      </c>
      <c r="C427" s="3" t="s">
        <v>3959</v>
      </c>
      <c r="D427" s="3" t="s">
        <v>3894</v>
      </c>
      <c r="E427" s="4" t="s">
        <v>3960</v>
      </c>
      <c r="F427" s="3" t="s">
        <v>3961</v>
      </c>
      <c r="G427" s="4" t="s">
        <v>3962</v>
      </c>
      <c r="H427" s="4" t="s">
        <v>3963</v>
      </c>
      <c r="I427" s="3" t="s">
        <v>218</v>
      </c>
      <c r="J427" s="3" t="s">
        <v>99</v>
      </c>
      <c r="K427" s="3" t="s">
        <v>3964</v>
      </c>
      <c r="L427" s="3" t="s">
        <v>3965</v>
      </c>
      <c r="M427" s="3" t="s">
        <v>45</v>
      </c>
      <c r="N427" s="4" t="s">
        <v>156</v>
      </c>
      <c r="O427" s="3" t="s">
        <v>88</v>
      </c>
      <c r="P427" s="3" t="s">
        <v>45</v>
      </c>
      <c r="Q427" s="3" t="s">
        <v>45</v>
      </c>
      <c r="R427" s="3" t="s">
        <v>45</v>
      </c>
      <c r="S427" s="4" t="s">
        <v>233</v>
      </c>
      <c r="T427" s="3" t="s">
        <v>45</v>
      </c>
      <c r="U427" s="3" t="s">
        <v>221</v>
      </c>
      <c r="V427" s="4" t="s">
        <v>2105</v>
      </c>
      <c r="W427" s="4" t="s">
        <v>3966</v>
      </c>
      <c r="X427" s="3" t="s">
        <v>3967</v>
      </c>
      <c r="Y427" s="4" t="s">
        <v>727</v>
      </c>
      <c r="Z427" s="3" t="s">
        <v>74</v>
      </c>
      <c r="AA427" s="3" t="s">
        <v>45</v>
      </c>
      <c r="AB427" s="3" t="s">
        <v>45</v>
      </c>
      <c r="AC427" s="3" t="s">
        <v>45</v>
      </c>
      <c r="AD427" s="3" t="s">
        <v>45</v>
      </c>
      <c r="AE427" s="3" t="s">
        <v>45</v>
      </c>
      <c r="AF427" s="3" t="s">
        <v>45</v>
      </c>
      <c r="AG427" s="3" t="s">
        <v>3968</v>
      </c>
      <c r="AH427" s="3" t="s">
        <v>57</v>
      </c>
      <c r="AI427" s="5" t="s">
        <v>3969</v>
      </c>
      <c r="AJ427" s="5" t="s">
        <v>3970</v>
      </c>
      <c r="AK427" s="5" t="s">
        <v>3971</v>
      </c>
      <c r="AL427" s="3" t="s">
        <v>45</v>
      </c>
      <c r="AM427" s="3" t="s">
        <v>45</v>
      </c>
      <c r="AN427" s="3" t="s">
        <v>45</v>
      </c>
      <c r="AO427" s="3" t="s">
        <v>45</v>
      </c>
      <c r="AP427" s="3" t="s">
        <v>45</v>
      </c>
      <c r="AQ427" s="4" t="s">
        <v>2052</v>
      </c>
      <c r="AR427" s="4" t="s">
        <v>1589</v>
      </c>
    </row>
    <row r="428">
      <c r="A428" s="3" t="s">
        <v>3972</v>
      </c>
      <c r="B428" s="3" t="s">
        <v>3973</v>
      </c>
      <c r="C428" s="3" t="s">
        <v>3959</v>
      </c>
      <c r="D428" s="3" t="s">
        <v>3894</v>
      </c>
      <c r="E428" s="4" t="s">
        <v>3974</v>
      </c>
      <c r="F428" s="3" t="s">
        <v>3975</v>
      </c>
      <c r="G428" s="4" t="s">
        <v>3976</v>
      </c>
      <c r="H428" s="4" t="s">
        <v>3977</v>
      </c>
      <c r="I428" s="3" t="s">
        <v>49</v>
      </c>
      <c r="J428" s="3" t="s">
        <v>50</v>
      </c>
      <c r="K428" s="3" t="s">
        <v>45</v>
      </c>
      <c r="L428" s="3" t="s">
        <v>3978</v>
      </c>
      <c r="M428" s="3" t="s">
        <v>45</v>
      </c>
      <c r="N428" s="4" t="s">
        <v>3979</v>
      </c>
      <c r="O428" s="3" t="s">
        <v>88</v>
      </c>
      <c r="P428" s="3" t="s">
        <v>45</v>
      </c>
      <c r="Q428" s="3" t="s">
        <v>45</v>
      </c>
      <c r="R428" s="3" t="s">
        <v>45</v>
      </c>
      <c r="S428" s="3" t="s">
        <v>45</v>
      </c>
      <c r="T428" s="3" t="s">
        <v>45</v>
      </c>
      <c r="U428" s="3" t="s">
        <v>45</v>
      </c>
      <c r="V428" s="3" t="s">
        <v>45</v>
      </c>
      <c r="W428" s="4" t="s">
        <v>3980</v>
      </c>
      <c r="X428" s="3" t="s">
        <v>3981</v>
      </c>
      <c r="Y428" s="4" t="s">
        <v>317</v>
      </c>
      <c r="Z428" s="3" t="s">
        <v>74</v>
      </c>
      <c r="AA428" s="3" t="s">
        <v>45</v>
      </c>
      <c r="AB428" s="3" t="s">
        <v>45</v>
      </c>
      <c r="AC428" s="3" t="s">
        <v>45</v>
      </c>
      <c r="AD428" s="3" t="s">
        <v>45</v>
      </c>
      <c r="AE428" s="3" t="s">
        <v>45</v>
      </c>
      <c r="AF428" s="3" t="s">
        <v>45</v>
      </c>
      <c r="AG428" s="3" t="s">
        <v>45</v>
      </c>
      <c r="AH428" s="3" t="s">
        <v>57</v>
      </c>
      <c r="AI428" s="5" t="s">
        <v>3982</v>
      </c>
      <c r="AJ428" s="3" t="s">
        <v>45</v>
      </c>
      <c r="AK428" s="3" t="s">
        <v>45</v>
      </c>
      <c r="AL428" s="3" t="s">
        <v>45</v>
      </c>
      <c r="AM428" s="3" t="s">
        <v>45</v>
      </c>
      <c r="AN428" s="3" t="s">
        <v>45</v>
      </c>
      <c r="AO428" s="3" t="s">
        <v>45</v>
      </c>
      <c r="AP428" s="3" t="s">
        <v>45</v>
      </c>
      <c r="AQ428" s="4" t="s">
        <v>1386</v>
      </c>
      <c r="AR428" s="4" t="s">
        <v>1386</v>
      </c>
    </row>
    <row r="429">
      <c r="A429" s="3" t="s">
        <v>3983</v>
      </c>
      <c r="B429" s="3" t="s">
        <v>3984</v>
      </c>
      <c r="C429" s="3" t="s">
        <v>3985</v>
      </c>
      <c r="D429" s="3" t="s">
        <v>3986</v>
      </c>
      <c r="E429" s="4" t="s">
        <v>3987</v>
      </c>
      <c r="F429" s="3" t="s">
        <v>3988</v>
      </c>
      <c r="G429" s="4" t="s">
        <v>3989</v>
      </c>
      <c r="H429" s="4" t="s">
        <v>3990</v>
      </c>
      <c r="I429" s="3" t="s">
        <v>85</v>
      </c>
      <c r="J429" s="3" t="s">
        <v>126</v>
      </c>
      <c r="K429" s="3" t="s">
        <v>45</v>
      </c>
      <c r="L429" s="3" t="s">
        <v>45</v>
      </c>
      <c r="M429" s="3" t="s">
        <v>45</v>
      </c>
      <c r="N429" s="4" t="s">
        <v>2608</v>
      </c>
      <c r="O429" s="3" t="s">
        <v>390</v>
      </c>
      <c r="P429" s="3" t="s">
        <v>45</v>
      </c>
      <c r="Q429" s="3" t="s">
        <v>45</v>
      </c>
      <c r="R429" s="3" t="s">
        <v>45</v>
      </c>
      <c r="S429" s="3" t="s">
        <v>45</v>
      </c>
      <c r="T429" s="3" t="s">
        <v>45</v>
      </c>
      <c r="U429" s="3" t="s">
        <v>45</v>
      </c>
      <c r="V429" s="4" t="s">
        <v>3991</v>
      </c>
      <c r="W429" s="3" t="s">
        <v>45</v>
      </c>
      <c r="X429" s="3" t="s">
        <v>45</v>
      </c>
      <c r="Y429" s="3" t="s">
        <v>45</v>
      </c>
      <c r="Z429" s="3" t="s">
        <v>74</v>
      </c>
      <c r="AA429" s="3" t="s">
        <v>45</v>
      </c>
      <c r="AB429" s="3" t="s">
        <v>45</v>
      </c>
      <c r="AC429" s="3" t="s">
        <v>45</v>
      </c>
      <c r="AD429" s="3" t="s">
        <v>45</v>
      </c>
      <c r="AE429" s="3" t="s">
        <v>45</v>
      </c>
      <c r="AF429" s="3" t="s">
        <v>45</v>
      </c>
      <c r="AG429" s="3" t="s">
        <v>45</v>
      </c>
      <c r="AH429" s="3" t="s">
        <v>57</v>
      </c>
      <c r="AI429" s="5" t="s">
        <v>3992</v>
      </c>
      <c r="AJ429" s="5" t="s">
        <v>3993</v>
      </c>
      <c r="AK429" s="3" t="s">
        <v>45</v>
      </c>
      <c r="AL429" s="3" t="s">
        <v>45</v>
      </c>
      <c r="AM429" s="3" t="s">
        <v>45</v>
      </c>
      <c r="AN429" s="3" t="s">
        <v>45</v>
      </c>
      <c r="AO429" s="3" t="s">
        <v>45</v>
      </c>
      <c r="AP429" s="3" t="s">
        <v>45</v>
      </c>
      <c r="AQ429" s="4" t="s">
        <v>3994</v>
      </c>
      <c r="AR429" s="4" t="s">
        <v>3994</v>
      </c>
    </row>
    <row r="430">
      <c r="A430" s="3" t="s">
        <v>3995</v>
      </c>
      <c r="B430" s="3" t="s">
        <v>3996</v>
      </c>
      <c r="C430" s="3" t="s">
        <v>3997</v>
      </c>
      <c r="D430" s="3" t="s">
        <v>3986</v>
      </c>
      <c r="E430" s="4" t="s">
        <v>3998</v>
      </c>
      <c r="F430" s="3" t="s">
        <v>3999</v>
      </c>
      <c r="G430" s="4" t="s">
        <v>4000</v>
      </c>
      <c r="H430" s="4" t="s">
        <v>4001</v>
      </c>
      <c r="I430" s="3" t="s">
        <v>49</v>
      </c>
      <c r="J430" s="3" t="s">
        <v>50</v>
      </c>
      <c r="K430" s="3" t="s">
        <v>45</v>
      </c>
      <c r="L430" s="3" t="s">
        <v>45</v>
      </c>
      <c r="M430" s="3" t="s">
        <v>45</v>
      </c>
      <c r="N430" s="3" t="s">
        <v>45</v>
      </c>
      <c r="O430" s="3" t="s">
        <v>74</v>
      </c>
      <c r="P430" s="3" t="s">
        <v>45</v>
      </c>
      <c r="Q430" s="3" t="s">
        <v>45</v>
      </c>
      <c r="R430" s="3" t="s">
        <v>45</v>
      </c>
      <c r="S430" s="3" t="s">
        <v>45</v>
      </c>
      <c r="T430" s="3" t="s">
        <v>45</v>
      </c>
      <c r="U430" s="3" t="s">
        <v>45</v>
      </c>
      <c r="V430" s="3" t="s">
        <v>45</v>
      </c>
      <c r="W430" s="3" t="s">
        <v>45</v>
      </c>
      <c r="X430" s="3" t="s">
        <v>45</v>
      </c>
      <c r="Y430" s="3" t="s">
        <v>45</v>
      </c>
      <c r="Z430" s="3" t="s">
        <v>74</v>
      </c>
      <c r="AA430" s="3" t="s">
        <v>45</v>
      </c>
      <c r="AB430" s="3" t="s">
        <v>45</v>
      </c>
      <c r="AC430" s="3" t="s">
        <v>45</v>
      </c>
      <c r="AD430" s="3" t="s">
        <v>45</v>
      </c>
      <c r="AE430" s="3" t="s">
        <v>45</v>
      </c>
      <c r="AF430" s="3" t="s">
        <v>45</v>
      </c>
      <c r="AG430" s="3" t="s">
        <v>45</v>
      </c>
      <c r="AH430" s="3" t="s">
        <v>57</v>
      </c>
      <c r="AI430" s="5" t="s">
        <v>4002</v>
      </c>
      <c r="AJ430" s="3" t="s">
        <v>45</v>
      </c>
      <c r="AK430" s="3" t="s">
        <v>45</v>
      </c>
      <c r="AL430" s="3" t="s">
        <v>45</v>
      </c>
      <c r="AM430" s="3" t="s">
        <v>45</v>
      </c>
      <c r="AN430" s="3" t="s">
        <v>45</v>
      </c>
      <c r="AO430" s="3" t="s">
        <v>45</v>
      </c>
      <c r="AP430" s="3" t="s">
        <v>45</v>
      </c>
      <c r="AQ430" s="4" t="s">
        <v>864</v>
      </c>
      <c r="AR430" s="4" t="s">
        <v>864</v>
      </c>
    </row>
    <row r="431">
      <c r="A431" s="3" t="s">
        <v>3983</v>
      </c>
      <c r="B431" s="3" t="s">
        <v>4003</v>
      </c>
      <c r="C431" s="3" t="s">
        <v>4004</v>
      </c>
      <c r="D431" s="3" t="s">
        <v>3986</v>
      </c>
      <c r="E431" s="4" t="s">
        <v>4005</v>
      </c>
      <c r="F431" s="3" t="s">
        <v>3999</v>
      </c>
      <c r="G431" s="4" t="s">
        <v>4006</v>
      </c>
      <c r="H431" s="4" t="s">
        <v>4007</v>
      </c>
      <c r="I431" s="3" t="s">
        <v>408</v>
      </c>
      <c r="J431" s="3" t="s">
        <v>126</v>
      </c>
      <c r="K431" s="3" t="s">
        <v>45</v>
      </c>
      <c r="L431" s="3" t="s">
        <v>45</v>
      </c>
      <c r="M431" s="3" t="s">
        <v>45</v>
      </c>
      <c r="N431" s="3" t="s">
        <v>45</v>
      </c>
      <c r="O431" s="3" t="s">
        <v>74</v>
      </c>
      <c r="P431" s="3" t="s">
        <v>45</v>
      </c>
      <c r="Q431" s="3" t="s">
        <v>45</v>
      </c>
      <c r="R431" s="3" t="s">
        <v>45</v>
      </c>
      <c r="S431" s="4" t="s">
        <v>956</v>
      </c>
      <c r="T431" s="3" t="s">
        <v>45</v>
      </c>
      <c r="U431" s="3" t="s">
        <v>45</v>
      </c>
      <c r="V431" s="4" t="s">
        <v>4008</v>
      </c>
      <c r="W431" s="4" t="s">
        <v>259</v>
      </c>
      <c r="X431" s="3" t="s">
        <v>45</v>
      </c>
      <c r="Y431" s="3" t="s">
        <v>45</v>
      </c>
      <c r="Z431" s="3" t="s">
        <v>55</v>
      </c>
      <c r="AA431" s="3" t="s">
        <v>4009</v>
      </c>
      <c r="AB431" s="3" t="s">
        <v>45</v>
      </c>
      <c r="AC431" s="3" t="s">
        <v>45</v>
      </c>
      <c r="AD431" s="3" t="s">
        <v>45</v>
      </c>
      <c r="AE431" s="3" t="s">
        <v>45</v>
      </c>
      <c r="AF431" s="3" t="s">
        <v>45</v>
      </c>
      <c r="AG431" s="3" t="s">
        <v>45</v>
      </c>
      <c r="AH431" s="3" t="s">
        <v>57</v>
      </c>
      <c r="AI431" s="5" t="s">
        <v>3992</v>
      </c>
      <c r="AJ431" s="5" t="s">
        <v>3993</v>
      </c>
      <c r="AK431" s="5" t="s">
        <v>4010</v>
      </c>
      <c r="AL431" s="5" t="s">
        <v>4011</v>
      </c>
      <c r="AM431" s="5" t="s">
        <v>4012</v>
      </c>
      <c r="AN431" s="5" t="s">
        <v>4013</v>
      </c>
      <c r="AO431" s="3" t="s">
        <v>45</v>
      </c>
      <c r="AP431" s="3" t="s">
        <v>45</v>
      </c>
      <c r="AQ431" s="4" t="s">
        <v>3994</v>
      </c>
      <c r="AR431" s="4" t="s">
        <v>652</v>
      </c>
    </row>
    <row r="432">
      <c r="A432" s="3" t="s">
        <v>4014</v>
      </c>
      <c r="B432" s="3" t="s">
        <v>4015</v>
      </c>
      <c r="C432" s="3" t="s">
        <v>4016</v>
      </c>
      <c r="D432" s="3" t="s">
        <v>3986</v>
      </c>
      <c r="E432" s="4" t="s">
        <v>4017</v>
      </c>
      <c r="F432" s="3" t="s">
        <v>3999</v>
      </c>
      <c r="G432" s="4" t="s">
        <v>4018</v>
      </c>
      <c r="H432" s="4" t="s">
        <v>4019</v>
      </c>
      <c r="I432" s="3" t="s">
        <v>85</v>
      </c>
      <c r="J432" s="3" t="s">
        <v>126</v>
      </c>
      <c r="K432" s="3" t="s">
        <v>45</v>
      </c>
      <c r="L432" s="3" t="s">
        <v>45</v>
      </c>
      <c r="M432" s="3" t="s">
        <v>45</v>
      </c>
      <c r="N432" s="4" t="s">
        <v>4020</v>
      </c>
      <c r="O432" s="3" t="s">
        <v>53</v>
      </c>
      <c r="P432" s="3" t="s">
        <v>45</v>
      </c>
      <c r="Q432" s="3" t="s">
        <v>45</v>
      </c>
      <c r="R432" s="3" t="s">
        <v>45</v>
      </c>
      <c r="S432" s="3" t="s">
        <v>45</v>
      </c>
      <c r="T432" s="3" t="s">
        <v>45</v>
      </c>
      <c r="U432" s="3" t="s">
        <v>45</v>
      </c>
      <c r="V432" s="4" t="s">
        <v>1814</v>
      </c>
      <c r="W432" s="3" t="s">
        <v>45</v>
      </c>
      <c r="X432" s="3" t="s">
        <v>45</v>
      </c>
      <c r="Y432" s="3" t="s">
        <v>45</v>
      </c>
      <c r="Z432" s="3" t="s">
        <v>74</v>
      </c>
      <c r="AA432" s="3" t="s">
        <v>45</v>
      </c>
      <c r="AB432" s="3" t="s">
        <v>45</v>
      </c>
      <c r="AC432" s="3" t="s">
        <v>45</v>
      </c>
      <c r="AD432" s="3" t="s">
        <v>45</v>
      </c>
      <c r="AE432" s="3" t="s">
        <v>45</v>
      </c>
      <c r="AF432" s="3" t="s">
        <v>45</v>
      </c>
      <c r="AG432" s="3" t="s">
        <v>45</v>
      </c>
      <c r="AH432" s="3" t="s">
        <v>57</v>
      </c>
      <c r="AI432" s="5" t="s">
        <v>4021</v>
      </c>
      <c r="AJ432" s="3" t="s">
        <v>45</v>
      </c>
      <c r="AK432" s="3" t="s">
        <v>45</v>
      </c>
      <c r="AL432" s="3" t="s">
        <v>45</v>
      </c>
      <c r="AM432" s="3" t="s">
        <v>45</v>
      </c>
      <c r="AN432" s="3" t="s">
        <v>45</v>
      </c>
      <c r="AO432" s="3" t="s">
        <v>45</v>
      </c>
      <c r="AP432" s="3" t="s">
        <v>45</v>
      </c>
      <c r="AQ432" s="4" t="s">
        <v>3252</v>
      </c>
      <c r="AR432" s="4" t="s">
        <v>3252</v>
      </c>
    </row>
    <row r="433">
      <c r="A433" s="3" t="s">
        <v>4022</v>
      </c>
      <c r="B433" s="3" t="s">
        <v>4023</v>
      </c>
      <c r="C433" s="3" t="s">
        <v>4024</v>
      </c>
      <c r="D433" s="3" t="s">
        <v>3986</v>
      </c>
      <c r="E433" s="4" t="s">
        <v>4025</v>
      </c>
      <c r="F433" s="3" t="s">
        <v>4026</v>
      </c>
      <c r="G433" s="4" t="s">
        <v>4027</v>
      </c>
      <c r="H433" s="4" t="s">
        <v>4028</v>
      </c>
      <c r="I433" s="3" t="s">
        <v>49</v>
      </c>
      <c r="J433" s="3" t="s">
        <v>126</v>
      </c>
      <c r="K433" s="3" t="s">
        <v>45</v>
      </c>
      <c r="L433" s="3" t="s">
        <v>45</v>
      </c>
      <c r="M433" s="3" t="s">
        <v>45</v>
      </c>
      <c r="N433" s="4" t="s">
        <v>156</v>
      </c>
      <c r="O433" s="3" t="s">
        <v>88</v>
      </c>
      <c r="P433" s="3" t="s">
        <v>220</v>
      </c>
      <c r="Q433" s="3" t="s">
        <v>45</v>
      </c>
      <c r="R433" s="3" t="s">
        <v>45</v>
      </c>
      <c r="S433" s="4" t="s">
        <v>52</v>
      </c>
      <c r="T433" s="3" t="s">
        <v>45</v>
      </c>
      <c r="U433" s="3" t="s">
        <v>45</v>
      </c>
      <c r="V433" s="4" t="s">
        <v>4029</v>
      </c>
      <c r="W433" s="4" t="s">
        <v>4030</v>
      </c>
      <c r="X433" s="3" t="s">
        <v>45</v>
      </c>
      <c r="Y433" s="3" t="s">
        <v>45</v>
      </c>
      <c r="Z433" s="3" t="s">
        <v>74</v>
      </c>
      <c r="AA433" s="3" t="s">
        <v>45</v>
      </c>
      <c r="AB433" s="3" t="s">
        <v>45</v>
      </c>
      <c r="AC433" s="3" t="s">
        <v>45</v>
      </c>
      <c r="AD433" s="3" t="s">
        <v>45</v>
      </c>
      <c r="AE433" s="3" t="s">
        <v>45</v>
      </c>
      <c r="AF433" s="3" t="s">
        <v>45</v>
      </c>
      <c r="AG433" s="3" t="s">
        <v>45</v>
      </c>
      <c r="AH433" s="3" t="s">
        <v>57</v>
      </c>
      <c r="AI433" s="5" t="s">
        <v>4031</v>
      </c>
      <c r="AJ433" s="5" t="s">
        <v>4032</v>
      </c>
      <c r="AK433" s="3" t="s">
        <v>45</v>
      </c>
      <c r="AL433" s="3" t="s">
        <v>45</v>
      </c>
      <c r="AM433" s="3" t="s">
        <v>45</v>
      </c>
      <c r="AN433" s="3" t="s">
        <v>45</v>
      </c>
      <c r="AO433" s="3" t="s">
        <v>45</v>
      </c>
      <c r="AP433" s="3" t="s">
        <v>45</v>
      </c>
      <c r="AQ433" s="4" t="s">
        <v>3994</v>
      </c>
      <c r="AR433" s="4" t="s">
        <v>3994</v>
      </c>
    </row>
    <row r="434">
      <c r="A434" s="3" t="s">
        <v>4033</v>
      </c>
      <c r="B434" s="3" t="s">
        <v>4034</v>
      </c>
      <c r="C434" s="3" t="s">
        <v>4035</v>
      </c>
      <c r="D434" s="3" t="s">
        <v>4036</v>
      </c>
      <c r="E434" s="4" t="s">
        <v>4037</v>
      </c>
      <c r="F434" s="3" t="s">
        <v>4035</v>
      </c>
      <c r="G434" s="4" t="s">
        <v>4038</v>
      </c>
      <c r="H434" s="4" t="s">
        <v>4039</v>
      </c>
      <c r="I434" s="3" t="s">
        <v>85</v>
      </c>
      <c r="J434" s="3" t="s">
        <v>126</v>
      </c>
      <c r="K434" s="3" t="s">
        <v>45</v>
      </c>
      <c r="L434" s="3" t="s">
        <v>45</v>
      </c>
      <c r="M434" s="3" t="s">
        <v>45</v>
      </c>
      <c r="N434" s="4" t="s">
        <v>4040</v>
      </c>
      <c r="O434" s="3" t="s">
        <v>53</v>
      </c>
      <c r="P434" s="3" t="s">
        <v>45</v>
      </c>
      <c r="Q434" s="3" t="s">
        <v>45</v>
      </c>
      <c r="R434" s="3" t="s">
        <v>45</v>
      </c>
      <c r="S434" s="3" t="s">
        <v>45</v>
      </c>
      <c r="T434" s="3" t="s">
        <v>45</v>
      </c>
      <c r="U434" s="3" t="s">
        <v>45</v>
      </c>
      <c r="V434" s="4" t="s">
        <v>4041</v>
      </c>
      <c r="W434" s="3" t="s">
        <v>45</v>
      </c>
      <c r="X434" s="3" t="s">
        <v>45</v>
      </c>
      <c r="Y434" s="3" t="s">
        <v>45</v>
      </c>
      <c r="Z434" s="3" t="s">
        <v>74</v>
      </c>
      <c r="AA434" s="3" t="s">
        <v>45</v>
      </c>
      <c r="AB434" s="3" t="s">
        <v>45</v>
      </c>
      <c r="AC434" s="3" t="s">
        <v>45</v>
      </c>
      <c r="AD434" s="3" t="s">
        <v>45</v>
      </c>
      <c r="AE434" s="3" t="s">
        <v>45</v>
      </c>
      <c r="AF434" s="3" t="s">
        <v>45</v>
      </c>
      <c r="AG434" s="3" t="s">
        <v>45</v>
      </c>
      <c r="AH434" s="3" t="s">
        <v>57</v>
      </c>
      <c r="AI434" s="5" t="s">
        <v>4042</v>
      </c>
      <c r="AJ434" s="3" t="s">
        <v>45</v>
      </c>
      <c r="AK434" s="3" t="s">
        <v>45</v>
      </c>
      <c r="AL434" s="3" t="s">
        <v>45</v>
      </c>
      <c r="AM434" s="3" t="s">
        <v>45</v>
      </c>
      <c r="AN434" s="3" t="s">
        <v>45</v>
      </c>
      <c r="AO434" s="3" t="s">
        <v>45</v>
      </c>
      <c r="AP434" s="3" t="s">
        <v>45</v>
      </c>
      <c r="AQ434" s="4" t="s">
        <v>3252</v>
      </c>
      <c r="AR434" s="4" t="s">
        <v>3252</v>
      </c>
    </row>
    <row r="435">
      <c r="A435" s="3" t="s">
        <v>4043</v>
      </c>
      <c r="B435" s="3" t="s">
        <v>45</v>
      </c>
      <c r="C435" s="3" t="s">
        <v>4044</v>
      </c>
      <c r="D435" s="3" t="s">
        <v>4036</v>
      </c>
      <c r="E435" s="4" t="s">
        <v>4037</v>
      </c>
      <c r="F435" s="3" t="s">
        <v>4035</v>
      </c>
      <c r="G435" s="4" t="s">
        <v>4045</v>
      </c>
      <c r="H435" s="4" t="s">
        <v>4046</v>
      </c>
      <c r="I435" s="3" t="s">
        <v>49</v>
      </c>
      <c r="J435" s="3" t="s">
        <v>50</v>
      </c>
      <c r="K435" s="3" t="s">
        <v>45</v>
      </c>
      <c r="L435" s="3" t="s">
        <v>45</v>
      </c>
      <c r="M435" s="3" t="s">
        <v>45</v>
      </c>
      <c r="N435" s="3" t="s">
        <v>45</v>
      </c>
      <c r="O435" s="3" t="s">
        <v>74</v>
      </c>
      <c r="P435" s="3" t="s">
        <v>45</v>
      </c>
      <c r="Q435" s="3" t="s">
        <v>45</v>
      </c>
      <c r="R435" s="3" t="s">
        <v>45</v>
      </c>
      <c r="S435" s="3" t="s">
        <v>45</v>
      </c>
      <c r="T435" s="3" t="s">
        <v>45</v>
      </c>
      <c r="U435" s="3" t="s">
        <v>45</v>
      </c>
      <c r="V435" s="3" t="s">
        <v>45</v>
      </c>
      <c r="W435" s="4" t="s">
        <v>4047</v>
      </c>
      <c r="X435" s="3" t="s">
        <v>45</v>
      </c>
      <c r="Y435" s="3" t="s">
        <v>45</v>
      </c>
      <c r="Z435" s="3" t="s">
        <v>74</v>
      </c>
      <c r="AA435" s="3" t="s">
        <v>45</v>
      </c>
      <c r="AB435" s="3" t="s">
        <v>45</v>
      </c>
      <c r="AC435" s="3" t="s">
        <v>45</v>
      </c>
      <c r="AD435" s="3" t="s">
        <v>45</v>
      </c>
      <c r="AE435" s="3" t="s">
        <v>45</v>
      </c>
      <c r="AF435" s="3" t="s">
        <v>45</v>
      </c>
      <c r="AG435" s="3" t="s">
        <v>45</v>
      </c>
      <c r="AH435" s="3" t="s">
        <v>57</v>
      </c>
      <c r="AI435" s="5" t="s">
        <v>4048</v>
      </c>
      <c r="AJ435" s="3" t="s">
        <v>45</v>
      </c>
      <c r="AK435" s="3" t="s">
        <v>45</v>
      </c>
      <c r="AL435" s="3" t="s">
        <v>45</v>
      </c>
      <c r="AM435" s="3" t="s">
        <v>45</v>
      </c>
      <c r="AN435" s="3" t="s">
        <v>45</v>
      </c>
      <c r="AO435" s="3" t="s">
        <v>45</v>
      </c>
      <c r="AP435" s="3" t="s">
        <v>45</v>
      </c>
      <c r="AQ435" s="4" t="s">
        <v>651</v>
      </c>
      <c r="AR435" s="4" t="s">
        <v>651</v>
      </c>
    </row>
    <row r="436">
      <c r="A436" s="3" t="s">
        <v>4049</v>
      </c>
      <c r="B436" s="3" t="s">
        <v>4050</v>
      </c>
      <c r="C436" s="3" t="s">
        <v>4051</v>
      </c>
      <c r="D436" s="3" t="s">
        <v>4036</v>
      </c>
      <c r="E436" s="4" t="s">
        <v>4052</v>
      </c>
      <c r="F436" s="3" t="s">
        <v>214</v>
      </c>
      <c r="G436" s="4" t="s">
        <v>4053</v>
      </c>
      <c r="H436" s="4" t="s">
        <v>4054</v>
      </c>
      <c r="I436" s="3" t="s">
        <v>49</v>
      </c>
      <c r="J436" s="3" t="s">
        <v>126</v>
      </c>
      <c r="K436" s="3" t="s">
        <v>45</v>
      </c>
      <c r="L436" s="3" t="s">
        <v>45</v>
      </c>
      <c r="M436" s="3" t="s">
        <v>45</v>
      </c>
      <c r="N436" s="4" t="s">
        <v>156</v>
      </c>
      <c r="O436" s="3" t="s">
        <v>70</v>
      </c>
      <c r="P436" s="3" t="s">
        <v>220</v>
      </c>
      <c r="Q436" s="3" t="s">
        <v>45</v>
      </c>
      <c r="R436" s="3" t="s">
        <v>4055</v>
      </c>
      <c r="S436" s="4" t="s">
        <v>582</v>
      </c>
      <c r="T436" s="3" t="s">
        <v>45</v>
      </c>
      <c r="U436" s="3" t="s">
        <v>45</v>
      </c>
      <c r="V436" s="3" t="s">
        <v>45</v>
      </c>
      <c r="W436" s="4" t="s">
        <v>2279</v>
      </c>
      <c r="X436" s="3" t="s">
        <v>45</v>
      </c>
      <c r="Y436" s="3" t="s">
        <v>45</v>
      </c>
      <c r="Z436" s="3" t="s">
        <v>55</v>
      </c>
      <c r="AA436" s="3" t="s">
        <v>45</v>
      </c>
      <c r="AB436" s="3" t="s">
        <v>45</v>
      </c>
      <c r="AC436" s="3" t="s">
        <v>45</v>
      </c>
      <c r="AD436" s="5" t="s">
        <v>4056</v>
      </c>
      <c r="AE436" s="5" t="s">
        <v>4057</v>
      </c>
      <c r="AF436" s="3" t="s">
        <v>45</v>
      </c>
      <c r="AG436" s="3" t="s">
        <v>4058</v>
      </c>
      <c r="AH436" s="3" t="s">
        <v>840</v>
      </c>
      <c r="AI436" s="5" t="s">
        <v>4059</v>
      </c>
      <c r="AJ436" s="5" t="s">
        <v>4060</v>
      </c>
      <c r="AK436" s="3" t="s">
        <v>45</v>
      </c>
      <c r="AL436" s="3" t="s">
        <v>45</v>
      </c>
      <c r="AM436" s="3" t="s">
        <v>45</v>
      </c>
      <c r="AN436" s="3" t="s">
        <v>45</v>
      </c>
      <c r="AO436" s="3" t="s">
        <v>45</v>
      </c>
      <c r="AP436" s="3" t="s">
        <v>45</v>
      </c>
      <c r="AQ436" s="4" t="s">
        <v>3797</v>
      </c>
      <c r="AR436" s="4" t="s">
        <v>2929</v>
      </c>
    </row>
    <row r="437">
      <c r="A437" s="3" t="s">
        <v>4061</v>
      </c>
      <c r="B437" s="3" t="s">
        <v>4062</v>
      </c>
      <c r="C437" s="3" t="s">
        <v>4063</v>
      </c>
      <c r="D437" s="3" t="s">
        <v>4036</v>
      </c>
      <c r="E437" s="4" t="s">
        <v>4064</v>
      </c>
      <c r="F437" s="3" t="s">
        <v>4063</v>
      </c>
      <c r="G437" s="4" t="s">
        <v>4065</v>
      </c>
      <c r="H437" s="4" t="s">
        <v>4066</v>
      </c>
      <c r="I437" s="3" t="s">
        <v>218</v>
      </c>
      <c r="J437" s="3" t="s">
        <v>50</v>
      </c>
      <c r="K437" s="3" t="s">
        <v>45</v>
      </c>
      <c r="L437" s="3" t="s">
        <v>45</v>
      </c>
      <c r="M437" s="3" t="s">
        <v>45</v>
      </c>
      <c r="N437" s="4" t="s">
        <v>945</v>
      </c>
      <c r="O437" s="3" t="s">
        <v>722</v>
      </c>
      <c r="P437" s="3" t="s">
        <v>45</v>
      </c>
      <c r="Q437" s="3" t="s">
        <v>45</v>
      </c>
      <c r="R437" s="3" t="s">
        <v>45</v>
      </c>
      <c r="S437" s="3" t="s">
        <v>45</v>
      </c>
      <c r="T437" s="3" t="s">
        <v>45</v>
      </c>
      <c r="U437" s="3" t="s">
        <v>45</v>
      </c>
      <c r="V437" s="4" t="s">
        <v>3357</v>
      </c>
      <c r="W437" s="4" t="s">
        <v>1072</v>
      </c>
      <c r="X437" s="3" t="s">
        <v>45</v>
      </c>
      <c r="Y437" s="3" t="s">
        <v>45</v>
      </c>
      <c r="Z437" s="3" t="s">
        <v>74</v>
      </c>
      <c r="AA437" s="3" t="s">
        <v>45</v>
      </c>
      <c r="AB437" s="3" t="s">
        <v>45</v>
      </c>
      <c r="AC437" s="3" t="s">
        <v>45</v>
      </c>
      <c r="AD437" s="3" t="s">
        <v>45</v>
      </c>
      <c r="AE437" s="3" t="s">
        <v>45</v>
      </c>
      <c r="AF437" s="3" t="s">
        <v>45</v>
      </c>
      <c r="AG437" s="3" t="s">
        <v>4067</v>
      </c>
      <c r="AH437" s="3" t="s">
        <v>57</v>
      </c>
      <c r="AI437" s="5" t="s">
        <v>4068</v>
      </c>
      <c r="AJ437" s="3" t="s">
        <v>45</v>
      </c>
      <c r="AK437" s="3" t="s">
        <v>45</v>
      </c>
      <c r="AL437" s="3" t="s">
        <v>45</v>
      </c>
      <c r="AM437" s="3" t="s">
        <v>45</v>
      </c>
      <c r="AN437" s="3" t="s">
        <v>45</v>
      </c>
      <c r="AO437" s="3" t="s">
        <v>45</v>
      </c>
      <c r="AP437" s="3" t="s">
        <v>45</v>
      </c>
      <c r="AQ437" s="4" t="s">
        <v>2649</v>
      </c>
      <c r="AR437" s="4" t="s">
        <v>2649</v>
      </c>
    </row>
    <row r="438">
      <c r="A438" s="3" t="s">
        <v>4069</v>
      </c>
      <c r="B438" s="3" t="s">
        <v>4070</v>
      </c>
      <c r="C438" s="3" t="s">
        <v>4063</v>
      </c>
      <c r="D438" s="3" t="s">
        <v>4036</v>
      </c>
      <c r="E438" s="4" t="s">
        <v>4064</v>
      </c>
      <c r="F438" s="3" t="s">
        <v>4063</v>
      </c>
      <c r="G438" s="4" t="s">
        <v>4071</v>
      </c>
      <c r="H438" s="4" t="s">
        <v>4072</v>
      </c>
      <c r="I438" s="3" t="s">
        <v>49</v>
      </c>
      <c r="J438" s="3" t="s">
        <v>126</v>
      </c>
      <c r="K438" s="3" t="s">
        <v>45</v>
      </c>
      <c r="L438" s="3" t="s">
        <v>45</v>
      </c>
      <c r="M438" s="3" t="s">
        <v>45</v>
      </c>
      <c r="N438" s="3" t="s">
        <v>4073</v>
      </c>
      <c r="O438" s="3" t="s">
        <v>70</v>
      </c>
      <c r="P438" s="3" t="s">
        <v>45</v>
      </c>
      <c r="Q438" s="3" t="s">
        <v>45</v>
      </c>
      <c r="R438" s="3" t="s">
        <v>45</v>
      </c>
      <c r="S438" s="3" t="s">
        <v>45</v>
      </c>
      <c r="T438" s="3" t="s">
        <v>45</v>
      </c>
      <c r="U438" s="3" t="s">
        <v>45</v>
      </c>
      <c r="V438" s="4" t="s">
        <v>4074</v>
      </c>
      <c r="W438" s="4" t="s">
        <v>623</v>
      </c>
      <c r="X438" s="3" t="s">
        <v>45</v>
      </c>
      <c r="Y438" s="3" t="s">
        <v>45</v>
      </c>
      <c r="Z438" s="3" t="s">
        <v>55</v>
      </c>
      <c r="AA438" s="3" t="s">
        <v>45</v>
      </c>
      <c r="AB438" s="3" t="s">
        <v>45</v>
      </c>
      <c r="AC438" s="3" t="s">
        <v>45</v>
      </c>
      <c r="AD438" s="5" t="s">
        <v>4075</v>
      </c>
      <c r="AE438" s="3" t="s">
        <v>45</v>
      </c>
      <c r="AF438" s="5" t="s">
        <v>4076</v>
      </c>
      <c r="AG438" s="3" t="s">
        <v>4077</v>
      </c>
      <c r="AH438" s="3" t="s">
        <v>57</v>
      </c>
      <c r="AI438" s="5" t="s">
        <v>4078</v>
      </c>
      <c r="AJ438" s="5" t="s">
        <v>4079</v>
      </c>
      <c r="AK438" s="5" t="s">
        <v>4080</v>
      </c>
      <c r="AL438" s="3" t="s">
        <v>45</v>
      </c>
      <c r="AM438" s="3" t="s">
        <v>45</v>
      </c>
      <c r="AN438" s="3" t="s">
        <v>45</v>
      </c>
      <c r="AO438" s="3" t="s">
        <v>45</v>
      </c>
      <c r="AP438" s="3" t="s">
        <v>45</v>
      </c>
      <c r="AQ438" s="4" t="s">
        <v>2787</v>
      </c>
      <c r="AR438" s="4" t="s">
        <v>2929</v>
      </c>
    </row>
    <row r="439">
      <c r="A439" s="3" t="s">
        <v>4081</v>
      </c>
      <c r="B439" s="3" t="s">
        <v>4082</v>
      </c>
      <c r="C439" s="3" t="s">
        <v>4083</v>
      </c>
      <c r="D439" s="3" t="s">
        <v>4036</v>
      </c>
      <c r="E439" s="4" t="s">
        <v>4084</v>
      </c>
      <c r="F439" s="3" t="s">
        <v>4085</v>
      </c>
      <c r="G439" s="4" t="s">
        <v>4086</v>
      </c>
      <c r="H439" s="4" t="s">
        <v>4087</v>
      </c>
      <c r="I439" s="3" t="s">
        <v>245</v>
      </c>
      <c r="J439" s="3" t="s">
        <v>126</v>
      </c>
      <c r="K439" s="3" t="s">
        <v>45</v>
      </c>
      <c r="L439" s="3" t="s">
        <v>45</v>
      </c>
      <c r="M439" s="3" t="s">
        <v>45</v>
      </c>
      <c r="N439" s="4" t="s">
        <v>4088</v>
      </c>
      <c r="O439" s="3" t="s">
        <v>88</v>
      </c>
      <c r="P439" s="3" t="s">
        <v>45</v>
      </c>
      <c r="Q439" s="3" t="s">
        <v>45</v>
      </c>
      <c r="R439" s="3" t="s">
        <v>45</v>
      </c>
      <c r="S439" s="3" t="s">
        <v>45</v>
      </c>
      <c r="T439" s="3" t="s">
        <v>45</v>
      </c>
      <c r="U439" s="3" t="s">
        <v>45</v>
      </c>
      <c r="V439" s="4" t="s">
        <v>4089</v>
      </c>
      <c r="W439" s="3" t="s">
        <v>45</v>
      </c>
      <c r="X439" s="3" t="s">
        <v>1977</v>
      </c>
      <c r="Y439" s="3" t="s">
        <v>45</v>
      </c>
      <c r="Z439" s="3" t="s">
        <v>55</v>
      </c>
      <c r="AA439" s="3" t="s">
        <v>45</v>
      </c>
      <c r="AB439" s="3" t="s">
        <v>45</v>
      </c>
      <c r="AC439" s="3" t="s">
        <v>45</v>
      </c>
      <c r="AD439" s="3" t="s">
        <v>45</v>
      </c>
      <c r="AE439" s="3" t="s">
        <v>45</v>
      </c>
      <c r="AF439" s="5" t="s">
        <v>4090</v>
      </c>
      <c r="AG439" s="3" t="s">
        <v>45</v>
      </c>
      <c r="AH439" s="3" t="s">
        <v>57</v>
      </c>
      <c r="AI439" s="5" t="s">
        <v>4091</v>
      </c>
      <c r="AJ439" s="5" t="s">
        <v>4092</v>
      </c>
      <c r="AK439" s="5" t="s">
        <v>4093</v>
      </c>
      <c r="AL439" s="5" t="s">
        <v>4092</v>
      </c>
      <c r="AM439" s="3" t="s">
        <v>45</v>
      </c>
      <c r="AN439" s="3" t="s">
        <v>45</v>
      </c>
      <c r="AO439" s="3" t="s">
        <v>45</v>
      </c>
      <c r="AP439" s="3" t="s">
        <v>45</v>
      </c>
      <c r="AQ439" s="4" t="s">
        <v>2987</v>
      </c>
      <c r="AR439" s="4" t="s">
        <v>2929</v>
      </c>
    </row>
    <row r="440">
      <c r="A440" s="3" t="s">
        <v>4094</v>
      </c>
      <c r="B440" s="3" t="s">
        <v>4095</v>
      </c>
      <c r="C440" s="3" t="s">
        <v>4096</v>
      </c>
      <c r="D440" s="3" t="s">
        <v>4036</v>
      </c>
      <c r="E440" s="4" t="s">
        <v>4097</v>
      </c>
      <c r="F440" s="3" t="s">
        <v>4085</v>
      </c>
      <c r="G440" s="4" t="s">
        <v>4098</v>
      </c>
      <c r="H440" s="4" t="s">
        <v>4099</v>
      </c>
      <c r="I440" s="3" t="s">
        <v>49</v>
      </c>
      <c r="J440" s="3" t="s">
        <v>126</v>
      </c>
      <c r="K440" s="3" t="s">
        <v>45</v>
      </c>
      <c r="L440" s="3" t="s">
        <v>45</v>
      </c>
      <c r="M440" s="3" t="s">
        <v>45</v>
      </c>
      <c r="N440" s="3" t="s">
        <v>45</v>
      </c>
      <c r="O440" s="3" t="s">
        <v>74</v>
      </c>
      <c r="P440" s="3" t="s">
        <v>45</v>
      </c>
      <c r="Q440" s="3" t="s">
        <v>45</v>
      </c>
      <c r="R440" s="3" t="s">
        <v>45</v>
      </c>
      <c r="S440" s="3" t="s">
        <v>45</v>
      </c>
      <c r="T440" s="3" t="s">
        <v>45</v>
      </c>
      <c r="U440" s="3" t="s">
        <v>45</v>
      </c>
      <c r="V440" s="3" t="s">
        <v>45</v>
      </c>
      <c r="W440" s="3" t="s">
        <v>45</v>
      </c>
      <c r="X440" s="3" t="s">
        <v>45</v>
      </c>
      <c r="Y440" s="3" t="s">
        <v>45</v>
      </c>
      <c r="Z440" s="3" t="s">
        <v>74</v>
      </c>
      <c r="AA440" s="3" t="s">
        <v>45</v>
      </c>
      <c r="AB440" s="3" t="s">
        <v>45</v>
      </c>
      <c r="AC440" s="3" t="s">
        <v>45</v>
      </c>
      <c r="AD440" s="3" t="s">
        <v>45</v>
      </c>
      <c r="AE440" s="3" t="s">
        <v>45</v>
      </c>
      <c r="AF440" s="3" t="s">
        <v>45</v>
      </c>
      <c r="AG440" s="3" t="s">
        <v>45</v>
      </c>
      <c r="AH440" s="3" t="s">
        <v>57</v>
      </c>
      <c r="AI440" s="5" t="s">
        <v>4100</v>
      </c>
      <c r="AJ440" s="3" t="s">
        <v>45</v>
      </c>
      <c r="AK440" s="3" t="s">
        <v>45</v>
      </c>
      <c r="AL440" s="3" t="s">
        <v>45</v>
      </c>
      <c r="AM440" s="3" t="s">
        <v>45</v>
      </c>
      <c r="AN440" s="3" t="s">
        <v>45</v>
      </c>
      <c r="AO440" s="3" t="s">
        <v>45</v>
      </c>
      <c r="AP440" s="3" t="s">
        <v>45</v>
      </c>
      <c r="AQ440" s="4" t="s">
        <v>2649</v>
      </c>
      <c r="AR440" s="4" t="s">
        <v>2649</v>
      </c>
    </row>
    <row r="441">
      <c r="A441" s="3" t="s">
        <v>4101</v>
      </c>
      <c r="B441" s="3" t="s">
        <v>4102</v>
      </c>
      <c r="C441" s="3" t="s">
        <v>4103</v>
      </c>
      <c r="D441" s="3" t="s">
        <v>4036</v>
      </c>
      <c r="E441" s="4" t="s">
        <v>4104</v>
      </c>
      <c r="F441" s="3" t="s">
        <v>4105</v>
      </c>
      <c r="G441" s="4" t="s">
        <v>4106</v>
      </c>
      <c r="H441" s="4" t="s">
        <v>4107</v>
      </c>
      <c r="I441" s="3" t="s">
        <v>49</v>
      </c>
      <c r="J441" s="3" t="s">
        <v>50</v>
      </c>
      <c r="K441" s="3" t="s">
        <v>45</v>
      </c>
      <c r="L441" s="3" t="s">
        <v>479</v>
      </c>
      <c r="M441" s="3" t="s">
        <v>45</v>
      </c>
      <c r="N441" s="3" t="s">
        <v>45</v>
      </c>
      <c r="O441" s="3" t="s">
        <v>74</v>
      </c>
      <c r="P441" s="3" t="s">
        <v>2926</v>
      </c>
      <c r="Q441" s="3" t="s">
        <v>45</v>
      </c>
      <c r="R441" s="3" t="s">
        <v>45</v>
      </c>
      <c r="S441" s="3" t="s">
        <v>45</v>
      </c>
      <c r="T441" s="3" t="s">
        <v>45</v>
      </c>
      <c r="U441" s="3" t="s">
        <v>45</v>
      </c>
      <c r="V441" s="3" t="s">
        <v>45</v>
      </c>
      <c r="W441" s="3" t="s">
        <v>45</v>
      </c>
      <c r="X441" s="3" t="s">
        <v>45</v>
      </c>
      <c r="Y441" s="3" t="s">
        <v>45</v>
      </c>
      <c r="Z441" s="3" t="s">
        <v>74</v>
      </c>
      <c r="AA441" s="3" t="s">
        <v>45</v>
      </c>
      <c r="AB441" s="3" t="s">
        <v>45</v>
      </c>
      <c r="AC441" s="3" t="s">
        <v>45</v>
      </c>
      <c r="AD441" s="3" t="s">
        <v>45</v>
      </c>
      <c r="AE441" s="3" t="s">
        <v>45</v>
      </c>
      <c r="AF441" s="3" t="s">
        <v>45</v>
      </c>
      <c r="AG441" s="3" t="s">
        <v>45</v>
      </c>
      <c r="AH441" s="3" t="s">
        <v>57</v>
      </c>
      <c r="AI441" s="5" t="s">
        <v>4108</v>
      </c>
      <c r="AJ441" s="3" t="s">
        <v>45</v>
      </c>
      <c r="AK441" s="3" t="s">
        <v>45</v>
      </c>
      <c r="AL441" s="3" t="s">
        <v>45</v>
      </c>
      <c r="AM441" s="3" t="s">
        <v>45</v>
      </c>
      <c r="AN441" s="3" t="s">
        <v>45</v>
      </c>
      <c r="AO441" s="3" t="s">
        <v>45</v>
      </c>
      <c r="AP441" s="3" t="s">
        <v>45</v>
      </c>
      <c r="AQ441" s="4" t="s">
        <v>3713</v>
      </c>
      <c r="AR441" s="4" t="s">
        <v>3713</v>
      </c>
    </row>
    <row r="442">
      <c r="A442" s="3" t="s">
        <v>4109</v>
      </c>
      <c r="B442" s="3" t="s">
        <v>4110</v>
      </c>
      <c r="C442" s="3" t="s">
        <v>4111</v>
      </c>
      <c r="D442" s="3" t="s">
        <v>4036</v>
      </c>
      <c r="E442" s="4" t="s">
        <v>4112</v>
      </c>
      <c r="F442" s="3" t="s">
        <v>4113</v>
      </c>
      <c r="G442" s="4" t="s">
        <v>4114</v>
      </c>
      <c r="H442" s="4" t="s">
        <v>4115</v>
      </c>
      <c r="I442" s="3" t="s">
        <v>49</v>
      </c>
      <c r="J442" s="3" t="s">
        <v>4116</v>
      </c>
      <c r="K442" s="3" t="s">
        <v>4117</v>
      </c>
      <c r="L442" s="3" t="s">
        <v>4118</v>
      </c>
      <c r="M442" s="3" t="s">
        <v>45</v>
      </c>
      <c r="N442" s="3" t="s">
        <v>4119</v>
      </c>
      <c r="O442" s="3" t="s">
        <v>88</v>
      </c>
      <c r="P442" s="3" t="s">
        <v>45</v>
      </c>
      <c r="Q442" s="3" t="s">
        <v>45</v>
      </c>
      <c r="R442" s="3" t="s">
        <v>45</v>
      </c>
      <c r="S442" s="3" t="s">
        <v>45</v>
      </c>
      <c r="T442" s="3" t="s">
        <v>45</v>
      </c>
      <c r="U442" s="3" t="s">
        <v>45</v>
      </c>
      <c r="V442" s="3" t="s">
        <v>45</v>
      </c>
      <c r="W442" s="4" t="s">
        <v>410</v>
      </c>
      <c r="X442" s="3" t="s">
        <v>45</v>
      </c>
      <c r="Y442" s="3" t="s">
        <v>45</v>
      </c>
      <c r="Z442" s="3" t="s">
        <v>55</v>
      </c>
      <c r="AA442" s="3" t="s">
        <v>45</v>
      </c>
      <c r="AB442" s="3" t="s">
        <v>45</v>
      </c>
      <c r="AC442" s="3" t="s">
        <v>45</v>
      </c>
      <c r="AD442" s="5" t="s">
        <v>4120</v>
      </c>
      <c r="AE442" s="3" t="s">
        <v>45</v>
      </c>
      <c r="AF442" s="5" t="s">
        <v>4121</v>
      </c>
      <c r="AG442" s="3" t="s">
        <v>4122</v>
      </c>
      <c r="AH442" s="3" t="s">
        <v>57</v>
      </c>
      <c r="AI442" s="5" t="s">
        <v>4123</v>
      </c>
      <c r="AJ442" s="3" t="s">
        <v>45</v>
      </c>
      <c r="AK442" s="3" t="s">
        <v>45</v>
      </c>
      <c r="AL442" s="3" t="s">
        <v>45</v>
      </c>
      <c r="AM442" s="3" t="s">
        <v>45</v>
      </c>
      <c r="AN442" s="3" t="s">
        <v>45</v>
      </c>
      <c r="AO442" s="3" t="s">
        <v>45</v>
      </c>
      <c r="AP442" s="3" t="s">
        <v>45</v>
      </c>
      <c r="AQ442" s="4" t="s">
        <v>2929</v>
      </c>
      <c r="AR442" s="4" t="s">
        <v>2929</v>
      </c>
    </row>
    <row r="443">
      <c r="A443" s="3" t="s">
        <v>3798</v>
      </c>
      <c r="B443" s="3" t="s">
        <v>4124</v>
      </c>
      <c r="C443" s="3" t="s">
        <v>4111</v>
      </c>
      <c r="D443" s="3" t="s">
        <v>4036</v>
      </c>
      <c r="E443" s="4" t="s">
        <v>4112</v>
      </c>
      <c r="F443" s="3" t="s">
        <v>4113</v>
      </c>
      <c r="G443" s="4" t="s">
        <v>4125</v>
      </c>
      <c r="H443" s="4" t="s">
        <v>4126</v>
      </c>
      <c r="I443" s="3" t="s">
        <v>49</v>
      </c>
      <c r="J443" s="3" t="s">
        <v>126</v>
      </c>
      <c r="K443" s="3" t="s">
        <v>45</v>
      </c>
      <c r="L443" s="3" t="s">
        <v>3743</v>
      </c>
      <c r="M443" s="3" t="s">
        <v>45</v>
      </c>
      <c r="N443" s="3" t="s">
        <v>4127</v>
      </c>
      <c r="O443" s="3" t="s">
        <v>88</v>
      </c>
      <c r="P443" s="3" t="s">
        <v>45</v>
      </c>
      <c r="Q443" s="3" t="s">
        <v>45</v>
      </c>
      <c r="R443" s="3" t="s">
        <v>45</v>
      </c>
      <c r="S443" s="3" t="s">
        <v>45</v>
      </c>
      <c r="T443" s="3" t="s">
        <v>45</v>
      </c>
      <c r="U443" s="3" t="s">
        <v>45</v>
      </c>
      <c r="V443" s="3" t="s">
        <v>45</v>
      </c>
      <c r="W443" s="4" t="s">
        <v>410</v>
      </c>
      <c r="X443" s="3" t="s">
        <v>45</v>
      </c>
      <c r="Y443" s="3" t="s">
        <v>45</v>
      </c>
      <c r="Z443" s="3" t="s">
        <v>74</v>
      </c>
      <c r="AA443" s="3" t="s">
        <v>45</v>
      </c>
      <c r="AB443" s="3" t="s">
        <v>45</v>
      </c>
      <c r="AC443" s="3" t="s">
        <v>45</v>
      </c>
      <c r="AD443" s="3" t="s">
        <v>45</v>
      </c>
      <c r="AE443" s="3" t="s">
        <v>45</v>
      </c>
      <c r="AF443" s="3" t="s">
        <v>45</v>
      </c>
      <c r="AG443" s="3" t="s">
        <v>45</v>
      </c>
      <c r="AH443" s="3" t="s">
        <v>57</v>
      </c>
      <c r="AI443" s="5" t="s">
        <v>3806</v>
      </c>
      <c r="AJ443" s="3" t="s">
        <v>45</v>
      </c>
      <c r="AK443" s="3" t="s">
        <v>45</v>
      </c>
      <c r="AL443" s="3" t="s">
        <v>45</v>
      </c>
      <c r="AM443" s="3" t="s">
        <v>45</v>
      </c>
      <c r="AN443" s="3" t="s">
        <v>45</v>
      </c>
      <c r="AO443" s="3" t="s">
        <v>45</v>
      </c>
      <c r="AP443" s="3" t="s">
        <v>45</v>
      </c>
      <c r="AQ443" s="4" t="s">
        <v>3108</v>
      </c>
      <c r="AR443" s="4" t="s">
        <v>3108</v>
      </c>
    </row>
    <row r="444">
      <c r="A444" s="3" t="s">
        <v>4128</v>
      </c>
      <c r="B444" s="3" t="s">
        <v>4129</v>
      </c>
      <c r="C444" s="3" t="s">
        <v>4130</v>
      </c>
      <c r="D444" s="3" t="s">
        <v>4036</v>
      </c>
      <c r="E444" s="4" t="s">
        <v>4131</v>
      </c>
      <c r="F444" s="3" t="s">
        <v>4035</v>
      </c>
      <c r="G444" s="4" t="s">
        <v>4132</v>
      </c>
      <c r="H444" s="4" t="s">
        <v>4133</v>
      </c>
      <c r="I444" s="3" t="s">
        <v>85</v>
      </c>
      <c r="J444" s="3" t="s">
        <v>126</v>
      </c>
      <c r="K444" s="3" t="s">
        <v>45</v>
      </c>
      <c r="L444" s="3" t="s">
        <v>45</v>
      </c>
      <c r="M444" s="3" t="s">
        <v>45</v>
      </c>
      <c r="N444" s="4" t="s">
        <v>4134</v>
      </c>
      <c r="O444" s="3" t="s">
        <v>53</v>
      </c>
      <c r="P444" s="3" t="s">
        <v>45</v>
      </c>
      <c r="Q444" s="3" t="s">
        <v>45</v>
      </c>
      <c r="R444" s="3" t="s">
        <v>45</v>
      </c>
      <c r="S444" s="3" t="s">
        <v>45</v>
      </c>
      <c r="T444" s="3" t="s">
        <v>45</v>
      </c>
      <c r="U444" s="3" t="s">
        <v>45</v>
      </c>
      <c r="V444" s="4" t="s">
        <v>4135</v>
      </c>
      <c r="W444" s="3" t="s">
        <v>45</v>
      </c>
      <c r="X444" s="3" t="s">
        <v>45</v>
      </c>
      <c r="Y444" s="3" t="s">
        <v>45</v>
      </c>
      <c r="Z444" s="3" t="s">
        <v>74</v>
      </c>
      <c r="AA444" s="3" t="s">
        <v>45</v>
      </c>
      <c r="AB444" s="3" t="s">
        <v>45</v>
      </c>
      <c r="AC444" s="3" t="s">
        <v>45</v>
      </c>
      <c r="AD444" s="3" t="s">
        <v>45</v>
      </c>
      <c r="AE444" s="3" t="s">
        <v>45</v>
      </c>
      <c r="AF444" s="3" t="s">
        <v>45</v>
      </c>
      <c r="AG444" s="3" t="s">
        <v>45</v>
      </c>
      <c r="AH444" s="3" t="s">
        <v>57</v>
      </c>
      <c r="AI444" s="5" t="s">
        <v>4042</v>
      </c>
      <c r="AJ444" s="3" t="s">
        <v>45</v>
      </c>
      <c r="AK444" s="3" t="s">
        <v>45</v>
      </c>
      <c r="AL444" s="3" t="s">
        <v>45</v>
      </c>
      <c r="AM444" s="3" t="s">
        <v>45</v>
      </c>
      <c r="AN444" s="3" t="s">
        <v>45</v>
      </c>
      <c r="AO444" s="3" t="s">
        <v>45</v>
      </c>
      <c r="AP444" s="3" t="s">
        <v>45</v>
      </c>
      <c r="AQ444" s="4" t="s">
        <v>3252</v>
      </c>
      <c r="AR444" s="4" t="s">
        <v>3252</v>
      </c>
    </row>
    <row r="445">
      <c r="A445" s="3" t="s">
        <v>4136</v>
      </c>
      <c r="B445" s="3" t="s">
        <v>4137</v>
      </c>
      <c r="C445" s="3" t="s">
        <v>4138</v>
      </c>
      <c r="D445" s="3" t="s">
        <v>4036</v>
      </c>
      <c r="E445" s="4" t="s">
        <v>4139</v>
      </c>
      <c r="F445" s="3" t="s">
        <v>4140</v>
      </c>
      <c r="G445" s="4" t="s">
        <v>4141</v>
      </c>
      <c r="H445" s="4" t="s">
        <v>4142</v>
      </c>
      <c r="I445" s="3" t="s">
        <v>49</v>
      </c>
      <c r="J445" s="3" t="s">
        <v>126</v>
      </c>
      <c r="K445" s="3" t="s">
        <v>45</v>
      </c>
      <c r="L445" s="3" t="s">
        <v>45</v>
      </c>
      <c r="M445" s="3" t="s">
        <v>45</v>
      </c>
      <c r="N445" s="3" t="s">
        <v>45</v>
      </c>
      <c r="O445" s="3" t="s">
        <v>74</v>
      </c>
      <c r="P445" s="3" t="s">
        <v>45</v>
      </c>
      <c r="Q445" s="3" t="s">
        <v>45</v>
      </c>
      <c r="R445" s="3" t="s">
        <v>45</v>
      </c>
      <c r="S445" s="3" t="s">
        <v>45</v>
      </c>
      <c r="T445" s="3" t="s">
        <v>45</v>
      </c>
      <c r="U445" s="3" t="s">
        <v>45</v>
      </c>
      <c r="V445" s="3" t="s">
        <v>45</v>
      </c>
      <c r="W445" s="3" t="s">
        <v>45</v>
      </c>
      <c r="X445" s="3" t="s">
        <v>45</v>
      </c>
      <c r="Y445" s="3" t="s">
        <v>45</v>
      </c>
      <c r="Z445" s="3" t="s">
        <v>74</v>
      </c>
      <c r="AA445" s="3" t="s">
        <v>45</v>
      </c>
      <c r="AB445" s="3" t="s">
        <v>45</v>
      </c>
      <c r="AC445" s="3" t="s">
        <v>45</v>
      </c>
      <c r="AD445" s="3" t="s">
        <v>45</v>
      </c>
      <c r="AE445" s="3" t="s">
        <v>45</v>
      </c>
      <c r="AF445" s="3" t="s">
        <v>45</v>
      </c>
      <c r="AG445" s="3" t="s">
        <v>45</v>
      </c>
      <c r="AH445" s="3" t="s">
        <v>57</v>
      </c>
      <c r="AI445" s="5" t="s">
        <v>4100</v>
      </c>
      <c r="AJ445" s="3" t="s">
        <v>45</v>
      </c>
      <c r="AK445" s="3" t="s">
        <v>45</v>
      </c>
      <c r="AL445" s="3" t="s">
        <v>45</v>
      </c>
      <c r="AM445" s="3" t="s">
        <v>45</v>
      </c>
      <c r="AN445" s="3" t="s">
        <v>45</v>
      </c>
      <c r="AO445" s="3" t="s">
        <v>45</v>
      </c>
      <c r="AP445" s="3" t="s">
        <v>45</v>
      </c>
      <c r="AQ445" s="4" t="s">
        <v>2649</v>
      </c>
      <c r="AR445" s="4" t="s">
        <v>2649</v>
      </c>
    </row>
    <row r="446">
      <c r="A446" s="3" t="s">
        <v>4143</v>
      </c>
      <c r="B446" s="3" t="s">
        <v>4144</v>
      </c>
      <c r="C446" s="3" t="s">
        <v>4145</v>
      </c>
      <c r="D446" s="3" t="s">
        <v>4036</v>
      </c>
      <c r="E446" s="4" t="s">
        <v>4146</v>
      </c>
      <c r="F446" s="3" t="s">
        <v>214</v>
      </c>
      <c r="G446" s="4" t="s">
        <v>4147</v>
      </c>
      <c r="H446" s="4" t="s">
        <v>4148</v>
      </c>
      <c r="I446" s="3" t="s">
        <v>85</v>
      </c>
      <c r="J446" s="3" t="s">
        <v>126</v>
      </c>
      <c r="K446" s="3" t="s">
        <v>45</v>
      </c>
      <c r="L446" s="3" t="s">
        <v>45</v>
      </c>
      <c r="M446" s="3" t="s">
        <v>45</v>
      </c>
      <c r="N446" s="3" t="s">
        <v>4149</v>
      </c>
      <c r="O446" s="3" t="s">
        <v>74</v>
      </c>
      <c r="P446" s="3" t="s">
        <v>45</v>
      </c>
      <c r="Q446" s="3" t="s">
        <v>45</v>
      </c>
      <c r="R446" s="3" t="s">
        <v>45</v>
      </c>
      <c r="S446" s="3" t="s">
        <v>45</v>
      </c>
      <c r="T446" s="3" t="s">
        <v>45</v>
      </c>
      <c r="U446" s="3" t="s">
        <v>45</v>
      </c>
      <c r="V446" s="4" t="s">
        <v>4150</v>
      </c>
      <c r="W446" s="3" t="s">
        <v>45</v>
      </c>
      <c r="X446" s="3" t="s">
        <v>45</v>
      </c>
      <c r="Y446" s="3" t="s">
        <v>45</v>
      </c>
      <c r="Z446" s="3" t="s">
        <v>74</v>
      </c>
      <c r="AA446" s="3" t="s">
        <v>45</v>
      </c>
      <c r="AB446" s="3" t="s">
        <v>45</v>
      </c>
      <c r="AC446" s="3" t="s">
        <v>45</v>
      </c>
      <c r="AD446" s="3" t="s">
        <v>45</v>
      </c>
      <c r="AE446" s="3" t="s">
        <v>45</v>
      </c>
      <c r="AF446" s="3" t="s">
        <v>45</v>
      </c>
      <c r="AG446" s="3" t="s">
        <v>45</v>
      </c>
      <c r="AH446" s="3" t="s">
        <v>57</v>
      </c>
      <c r="AI446" s="5" t="s">
        <v>4151</v>
      </c>
      <c r="AJ446" s="3" t="s">
        <v>45</v>
      </c>
      <c r="AK446" s="3" t="s">
        <v>45</v>
      </c>
      <c r="AL446" s="3" t="s">
        <v>45</v>
      </c>
      <c r="AM446" s="3" t="s">
        <v>45</v>
      </c>
      <c r="AN446" s="3" t="s">
        <v>45</v>
      </c>
      <c r="AO446" s="3" t="s">
        <v>45</v>
      </c>
      <c r="AP446" s="3" t="s">
        <v>45</v>
      </c>
      <c r="AQ446" s="4" t="s">
        <v>4152</v>
      </c>
      <c r="AR446" s="4" t="s">
        <v>4152</v>
      </c>
    </row>
    <row r="447">
      <c r="A447" s="3" t="s">
        <v>4153</v>
      </c>
      <c r="B447" s="3" t="s">
        <v>45</v>
      </c>
      <c r="C447" s="3" t="s">
        <v>4154</v>
      </c>
      <c r="D447" s="3" t="s">
        <v>4036</v>
      </c>
      <c r="E447" s="3" t="s">
        <v>45</v>
      </c>
      <c r="F447" s="3" t="s">
        <v>4035</v>
      </c>
      <c r="G447" s="4" t="s">
        <v>4155</v>
      </c>
      <c r="H447" s="4" t="s">
        <v>4156</v>
      </c>
      <c r="I447" s="3" t="s">
        <v>49</v>
      </c>
      <c r="J447" s="3" t="s">
        <v>99</v>
      </c>
      <c r="K447" s="3" t="s">
        <v>45</v>
      </c>
      <c r="L447" s="3" t="s">
        <v>45</v>
      </c>
      <c r="M447" s="3" t="s">
        <v>45</v>
      </c>
      <c r="N447" s="4" t="s">
        <v>1962</v>
      </c>
      <c r="O447" s="3" t="s">
        <v>88</v>
      </c>
      <c r="P447" s="3" t="s">
        <v>45</v>
      </c>
      <c r="Q447" s="3" t="s">
        <v>45</v>
      </c>
      <c r="R447" s="3" t="s">
        <v>45</v>
      </c>
      <c r="S447" s="3" t="s">
        <v>45</v>
      </c>
      <c r="T447" s="3" t="s">
        <v>45</v>
      </c>
      <c r="U447" s="3" t="s">
        <v>45</v>
      </c>
      <c r="V447" s="3" t="s">
        <v>45</v>
      </c>
      <c r="W447" s="4" t="s">
        <v>564</v>
      </c>
      <c r="X447" s="3" t="s">
        <v>45</v>
      </c>
      <c r="Y447" s="3" t="s">
        <v>45</v>
      </c>
      <c r="Z447" s="3" t="s">
        <v>74</v>
      </c>
      <c r="AA447" s="3" t="s">
        <v>45</v>
      </c>
      <c r="AB447" s="3" t="s">
        <v>45</v>
      </c>
      <c r="AC447" s="3" t="s">
        <v>45</v>
      </c>
      <c r="AD447" s="3" t="s">
        <v>45</v>
      </c>
      <c r="AE447" s="3" t="s">
        <v>45</v>
      </c>
      <c r="AF447" s="3" t="s">
        <v>45</v>
      </c>
      <c r="AG447" s="3" t="s">
        <v>45</v>
      </c>
      <c r="AH447" s="3" t="s">
        <v>57</v>
      </c>
      <c r="AI447" s="5" t="s">
        <v>4157</v>
      </c>
      <c r="AJ447" s="3" t="s">
        <v>45</v>
      </c>
      <c r="AK447" s="3" t="s">
        <v>45</v>
      </c>
      <c r="AL447" s="3" t="s">
        <v>45</v>
      </c>
      <c r="AM447" s="3" t="s">
        <v>45</v>
      </c>
      <c r="AN447" s="3" t="s">
        <v>45</v>
      </c>
      <c r="AO447" s="3" t="s">
        <v>45</v>
      </c>
      <c r="AP447" s="3" t="s">
        <v>45</v>
      </c>
      <c r="AQ447" s="4" t="s">
        <v>1249</v>
      </c>
      <c r="AR447" s="4" t="s">
        <v>1249</v>
      </c>
    </row>
    <row r="448">
      <c r="A448" s="3" t="s">
        <v>4158</v>
      </c>
      <c r="B448" s="3" t="s">
        <v>4159</v>
      </c>
      <c r="C448" s="3" t="s">
        <v>4160</v>
      </c>
      <c r="D448" s="3" t="s">
        <v>4161</v>
      </c>
      <c r="E448" s="4" t="s">
        <v>4162</v>
      </c>
      <c r="F448" s="3" t="s">
        <v>2525</v>
      </c>
      <c r="G448" s="4" t="s">
        <v>4163</v>
      </c>
      <c r="H448" s="4" t="s">
        <v>4164</v>
      </c>
      <c r="I448" s="3" t="s">
        <v>49</v>
      </c>
      <c r="J448" s="3" t="s">
        <v>50</v>
      </c>
      <c r="K448" s="3" t="s">
        <v>45</v>
      </c>
      <c r="L448" s="3" t="s">
        <v>4165</v>
      </c>
      <c r="M448" s="3" t="s">
        <v>45</v>
      </c>
      <c r="N448" s="4" t="s">
        <v>4166</v>
      </c>
      <c r="O448" s="3" t="s">
        <v>722</v>
      </c>
      <c r="P448" s="3" t="s">
        <v>45</v>
      </c>
      <c r="Q448" s="3" t="s">
        <v>45</v>
      </c>
      <c r="R448" s="3" t="s">
        <v>45</v>
      </c>
      <c r="S448" s="3" t="s">
        <v>45</v>
      </c>
      <c r="T448" s="3" t="s">
        <v>45</v>
      </c>
      <c r="U448" s="3" t="s">
        <v>45</v>
      </c>
      <c r="V448" s="3" t="s">
        <v>45</v>
      </c>
      <c r="W448" s="3" t="s">
        <v>45</v>
      </c>
      <c r="X448" s="3" t="s">
        <v>4167</v>
      </c>
      <c r="Y448" s="3" t="s">
        <v>45</v>
      </c>
      <c r="Z448" s="3" t="s">
        <v>74</v>
      </c>
      <c r="AA448" s="3" t="s">
        <v>45</v>
      </c>
      <c r="AB448" s="3" t="s">
        <v>45</v>
      </c>
      <c r="AC448" s="3" t="s">
        <v>45</v>
      </c>
      <c r="AD448" s="5" t="s">
        <v>4168</v>
      </c>
      <c r="AE448" s="3" t="s">
        <v>45</v>
      </c>
      <c r="AF448" s="3" t="s">
        <v>45</v>
      </c>
      <c r="AG448" s="3" t="s">
        <v>4169</v>
      </c>
      <c r="AH448" s="3" t="s">
        <v>57</v>
      </c>
      <c r="AI448" s="5" t="s">
        <v>4170</v>
      </c>
      <c r="AJ448" s="3" t="s">
        <v>45</v>
      </c>
      <c r="AK448" s="3" t="s">
        <v>45</v>
      </c>
      <c r="AL448" s="3" t="s">
        <v>45</v>
      </c>
      <c r="AM448" s="3" t="s">
        <v>45</v>
      </c>
      <c r="AN448" s="3" t="s">
        <v>45</v>
      </c>
      <c r="AO448" s="3" t="s">
        <v>45</v>
      </c>
      <c r="AP448" s="3" t="s">
        <v>45</v>
      </c>
      <c r="AQ448" s="4" t="s">
        <v>148</v>
      </c>
      <c r="AR448" s="4" t="s">
        <v>148</v>
      </c>
    </row>
    <row r="449">
      <c r="A449" s="3" t="s">
        <v>4171</v>
      </c>
      <c r="B449" s="3" t="s">
        <v>4172</v>
      </c>
      <c r="C449" s="3" t="s">
        <v>4173</v>
      </c>
      <c r="D449" s="3" t="s">
        <v>4161</v>
      </c>
      <c r="E449" s="4" t="s">
        <v>4174</v>
      </c>
      <c r="F449" s="3" t="s">
        <v>4175</v>
      </c>
      <c r="G449" s="4" t="s">
        <v>4176</v>
      </c>
      <c r="H449" s="4" t="s">
        <v>4177</v>
      </c>
      <c r="I449" s="3" t="s">
        <v>436</v>
      </c>
      <c r="J449" s="3" t="s">
        <v>126</v>
      </c>
      <c r="K449" s="3" t="s">
        <v>743</v>
      </c>
      <c r="L449" s="3" t="s">
        <v>4178</v>
      </c>
      <c r="M449" s="3" t="s">
        <v>45</v>
      </c>
      <c r="N449" s="3" t="s">
        <v>45</v>
      </c>
      <c r="O449" s="3" t="s">
        <v>74</v>
      </c>
      <c r="P449" s="3" t="s">
        <v>45</v>
      </c>
      <c r="Q449" s="3" t="s">
        <v>45</v>
      </c>
      <c r="R449" s="3" t="s">
        <v>45</v>
      </c>
      <c r="S449" s="3" t="s">
        <v>45</v>
      </c>
      <c r="T449" s="3" t="s">
        <v>45</v>
      </c>
      <c r="U449" s="3" t="s">
        <v>45</v>
      </c>
      <c r="V449" s="4" t="s">
        <v>4179</v>
      </c>
      <c r="W449" s="3" t="s">
        <v>45</v>
      </c>
      <c r="X449" s="3" t="s">
        <v>511</v>
      </c>
      <c r="Y449" s="3" t="s">
        <v>45</v>
      </c>
      <c r="Z449" s="3" t="s">
        <v>55</v>
      </c>
      <c r="AA449" s="3" t="s">
        <v>45</v>
      </c>
      <c r="AB449" s="3" t="s">
        <v>45</v>
      </c>
      <c r="AC449" s="3" t="s">
        <v>45</v>
      </c>
      <c r="AD449" s="5" t="s">
        <v>4180</v>
      </c>
      <c r="AE449" s="3" t="s">
        <v>45</v>
      </c>
      <c r="AF449" s="3" t="s">
        <v>45</v>
      </c>
      <c r="AG449" s="3" t="s">
        <v>4181</v>
      </c>
      <c r="AH449" s="3" t="s">
        <v>57</v>
      </c>
      <c r="AI449" s="5" t="s">
        <v>4182</v>
      </c>
      <c r="AJ449" s="5" t="s">
        <v>4183</v>
      </c>
      <c r="AK449" s="5" t="s">
        <v>4184</v>
      </c>
      <c r="AL449" s="3" t="s">
        <v>45</v>
      </c>
      <c r="AM449" s="3" t="s">
        <v>45</v>
      </c>
      <c r="AN449" s="3" t="s">
        <v>45</v>
      </c>
      <c r="AO449" s="3" t="s">
        <v>45</v>
      </c>
      <c r="AP449" s="3" t="s">
        <v>45</v>
      </c>
      <c r="AQ449" s="4" t="s">
        <v>1386</v>
      </c>
      <c r="AR449" s="4" t="s">
        <v>4185</v>
      </c>
    </row>
    <row r="450">
      <c r="A450" s="3" t="s">
        <v>4186</v>
      </c>
      <c r="B450" s="3" t="s">
        <v>4187</v>
      </c>
      <c r="C450" s="3" t="s">
        <v>4188</v>
      </c>
      <c r="D450" s="3" t="s">
        <v>4161</v>
      </c>
      <c r="E450" s="4" t="s">
        <v>4189</v>
      </c>
      <c r="F450" s="3" t="s">
        <v>4190</v>
      </c>
      <c r="G450" s="4" t="s">
        <v>4191</v>
      </c>
      <c r="H450" s="4" t="s">
        <v>4192</v>
      </c>
      <c r="I450" s="3" t="s">
        <v>49</v>
      </c>
      <c r="J450" s="3" t="s">
        <v>50</v>
      </c>
      <c r="K450" s="3" t="s">
        <v>45</v>
      </c>
      <c r="L450" s="3" t="s">
        <v>45</v>
      </c>
      <c r="M450" s="3" t="s">
        <v>45</v>
      </c>
      <c r="N450" s="4" t="s">
        <v>275</v>
      </c>
      <c r="O450" s="3" t="s">
        <v>390</v>
      </c>
      <c r="P450" s="3" t="s">
        <v>4193</v>
      </c>
      <c r="Q450" s="3" t="s">
        <v>45</v>
      </c>
      <c r="R450" s="3" t="s">
        <v>45</v>
      </c>
      <c r="S450" s="3" t="s">
        <v>45</v>
      </c>
      <c r="T450" s="3" t="s">
        <v>45</v>
      </c>
      <c r="U450" s="3" t="s">
        <v>45</v>
      </c>
      <c r="V450" s="3" t="s">
        <v>45</v>
      </c>
      <c r="W450" s="3" t="s">
        <v>45</v>
      </c>
      <c r="X450" s="3" t="s">
        <v>45</v>
      </c>
      <c r="Y450" s="3" t="s">
        <v>45</v>
      </c>
      <c r="Z450" s="3" t="s">
        <v>45</v>
      </c>
      <c r="AA450" s="3" t="s">
        <v>45</v>
      </c>
      <c r="AB450" s="3" t="s">
        <v>45</v>
      </c>
      <c r="AC450" s="3" t="s">
        <v>45</v>
      </c>
      <c r="AD450" s="3" t="s">
        <v>45</v>
      </c>
      <c r="AE450" s="3" t="s">
        <v>45</v>
      </c>
      <c r="AF450" s="3" t="s">
        <v>45</v>
      </c>
      <c r="AG450" s="3" t="s">
        <v>45</v>
      </c>
      <c r="AH450" s="3" t="s">
        <v>57</v>
      </c>
      <c r="AI450" s="5" t="s">
        <v>4194</v>
      </c>
      <c r="AJ450" s="3" t="s">
        <v>45</v>
      </c>
      <c r="AK450" s="3" t="s">
        <v>45</v>
      </c>
      <c r="AL450" s="3" t="s">
        <v>45</v>
      </c>
      <c r="AM450" s="3" t="s">
        <v>45</v>
      </c>
      <c r="AN450" s="3" t="s">
        <v>45</v>
      </c>
      <c r="AO450" s="3" t="s">
        <v>45</v>
      </c>
      <c r="AP450" s="3" t="s">
        <v>45</v>
      </c>
      <c r="AQ450" s="4" t="s">
        <v>309</v>
      </c>
      <c r="AR450" s="4" t="s">
        <v>309</v>
      </c>
    </row>
    <row r="451">
      <c r="A451" s="3" t="s">
        <v>4195</v>
      </c>
      <c r="B451" s="3" t="s">
        <v>4196</v>
      </c>
      <c r="C451" s="3" t="s">
        <v>4197</v>
      </c>
      <c r="D451" s="3" t="s">
        <v>4161</v>
      </c>
      <c r="E451" s="4" t="s">
        <v>4198</v>
      </c>
      <c r="F451" s="3" t="s">
        <v>4199</v>
      </c>
      <c r="G451" s="4" t="s">
        <v>4200</v>
      </c>
      <c r="H451" s="4" t="s">
        <v>4201</v>
      </c>
      <c r="I451" s="3" t="s">
        <v>49</v>
      </c>
      <c r="J451" s="3" t="s">
        <v>126</v>
      </c>
      <c r="K451" s="3" t="s">
        <v>45</v>
      </c>
      <c r="L451" s="3" t="s">
        <v>45</v>
      </c>
      <c r="M451" s="3" t="s">
        <v>45</v>
      </c>
      <c r="N451" s="3" t="s">
        <v>45</v>
      </c>
      <c r="O451" s="3" t="s">
        <v>74</v>
      </c>
      <c r="P451" s="3" t="s">
        <v>45</v>
      </c>
      <c r="Q451" s="3" t="s">
        <v>45</v>
      </c>
      <c r="R451" s="3" t="s">
        <v>45</v>
      </c>
      <c r="S451" s="3" t="s">
        <v>45</v>
      </c>
      <c r="T451" s="3" t="s">
        <v>45</v>
      </c>
      <c r="U451" s="3" t="s">
        <v>45</v>
      </c>
      <c r="V451" s="3" t="s">
        <v>45</v>
      </c>
      <c r="W451" s="3" t="s">
        <v>45</v>
      </c>
      <c r="X451" s="3" t="s">
        <v>45</v>
      </c>
      <c r="Y451" s="3" t="s">
        <v>45</v>
      </c>
      <c r="Z451" s="3" t="s">
        <v>74</v>
      </c>
      <c r="AA451" s="3" t="s">
        <v>45</v>
      </c>
      <c r="AB451" s="3" t="s">
        <v>45</v>
      </c>
      <c r="AC451" s="3" t="s">
        <v>45</v>
      </c>
      <c r="AD451" s="3" t="s">
        <v>45</v>
      </c>
      <c r="AE451" s="3" t="s">
        <v>45</v>
      </c>
      <c r="AF451" s="3" t="s">
        <v>45</v>
      </c>
      <c r="AG451" s="3" t="s">
        <v>45</v>
      </c>
      <c r="AH451" s="3" t="s">
        <v>57</v>
      </c>
      <c r="AI451" s="5" t="s">
        <v>4202</v>
      </c>
      <c r="AJ451" s="3" t="s">
        <v>45</v>
      </c>
      <c r="AK451" s="3" t="s">
        <v>45</v>
      </c>
      <c r="AL451" s="3" t="s">
        <v>45</v>
      </c>
      <c r="AM451" s="3" t="s">
        <v>45</v>
      </c>
      <c r="AN451" s="3" t="s">
        <v>45</v>
      </c>
      <c r="AO451" s="3" t="s">
        <v>45</v>
      </c>
      <c r="AP451" s="3" t="s">
        <v>45</v>
      </c>
      <c r="AQ451" s="4" t="s">
        <v>2096</v>
      </c>
      <c r="AR451" s="4" t="s">
        <v>2096</v>
      </c>
    </row>
    <row r="452">
      <c r="A452" s="3" t="s">
        <v>4203</v>
      </c>
      <c r="B452" s="3" t="s">
        <v>4204</v>
      </c>
      <c r="C452" s="3" t="s">
        <v>4205</v>
      </c>
      <c r="D452" s="3" t="s">
        <v>4206</v>
      </c>
      <c r="E452" s="3" t="s">
        <v>45</v>
      </c>
      <c r="F452" s="3" t="s">
        <v>4207</v>
      </c>
      <c r="G452" s="4" t="s">
        <v>4208</v>
      </c>
      <c r="H452" s="4" t="s">
        <v>4209</v>
      </c>
      <c r="I452" s="3" t="s">
        <v>245</v>
      </c>
      <c r="J452" s="3" t="s">
        <v>126</v>
      </c>
      <c r="K452" s="3" t="s">
        <v>45</v>
      </c>
      <c r="L452" s="3" t="s">
        <v>4210</v>
      </c>
      <c r="M452" s="3" t="s">
        <v>45</v>
      </c>
      <c r="N452" s="4" t="s">
        <v>2600</v>
      </c>
      <c r="O452" s="3" t="s">
        <v>390</v>
      </c>
      <c r="P452" s="3" t="s">
        <v>45</v>
      </c>
      <c r="Q452" s="3" t="s">
        <v>45</v>
      </c>
      <c r="R452" s="4" t="s">
        <v>472</v>
      </c>
      <c r="S452" s="3" t="s">
        <v>45</v>
      </c>
      <c r="T452" s="3" t="s">
        <v>45</v>
      </c>
      <c r="U452" s="3" t="s">
        <v>45</v>
      </c>
      <c r="V452" s="4" t="s">
        <v>4211</v>
      </c>
      <c r="W452" s="3" t="s">
        <v>45</v>
      </c>
      <c r="X452" s="3" t="s">
        <v>45</v>
      </c>
      <c r="Y452" s="3" t="s">
        <v>45</v>
      </c>
      <c r="Z452" s="3" t="s">
        <v>55</v>
      </c>
      <c r="AA452" s="3" t="s">
        <v>45</v>
      </c>
      <c r="AB452" s="3" t="s">
        <v>45</v>
      </c>
      <c r="AC452" s="3" t="s">
        <v>45</v>
      </c>
      <c r="AD452" s="5" t="s">
        <v>4212</v>
      </c>
      <c r="AE452" s="3" t="s">
        <v>45</v>
      </c>
      <c r="AF452" s="5" t="s">
        <v>4213</v>
      </c>
      <c r="AG452" s="3" t="s">
        <v>45</v>
      </c>
      <c r="AH452" s="3" t="s">
        <v>840</v>
      </c>
      <c r="AI452" s="5" t="s">
        <v>4214</v>
      </c>
      <c r="AJ452" s="5" t="s">
        <v>4215</v>
      </c>
      <c r="AK452" s="5" t="s">
        <v>4216</v>
      </c>
      <c r="AL452" s="5" t="s">
        <v>4217</v>
      </c>
      <c r="AM452" s="5" t="s">
        <v>4218</v>
      </c>
      <c r="AN452" s="3" t="s">
        <v>45</v>
      </c>
      <c r="AO452" s="3" t="s">
        <v>45</v>
      </c>
      <c r="AP452" s="3" t="s">
        <v>45</v>
      </c>
      <c r="AQ452" s="4" t="s">
        <v>4219</v>
      </c>
      <c r="AR452" s="4" t="s">
        <v>2156</v>
      </c>
    </row>
    <row r="453">
      <c r="A453" s="3" t="s">
        <v>4220</v>
      </c>
      <c r="B453" s="3" t="s">
        <v>4221</v>
      </c>
      <c r="C453" s="3" t="s">
        <v>4222</v>
      </c>
      <c r="D453" s="3" t="s">
        <v>4206</v>
      </c>
      <c r="E453" s="4" t="s">
        <v>4223</v>
      </c>
      <c r="F453" s="3" t="s">
        <v>4224</v>
      </c>
      <c r="G453" s="4" t="s">
        <v>4225</v>
      </c>
      <c r="H453" s="4" t="s">
        <v>4226</v>
      </c>
      <c r="I453" s="3" t="s">
        <v>436</v>
      </c>
      <c r="J453" s="3" t="s">
        <v>126</v>
      </c>
      <c r="K453" s="3" t="s">
        <v>45</v>
      </c>
      <c r="L453" s="3" t="s">
        <v>45</v>
      </c>
      <c r="M453" s="3" t="s">
        <v>45</v>
      </c>
      <c r="N453" s="3" t="s">
        <v>4227</v>
      </c>
      <c r="O453" s="3" t="s">
        <v>88</v>
      </c>
      <c r="P453" s="3" t="s">
        <v>45</v>
      </c>
      <c r="Q453" s="3" t="s">
        <v>45</v>
      </c>
      <c r="R453" s="3" t="s">
        <v>45</v>
      </c>
      <c r="S453" s="3" t="s">
        <v>45</v>
      </c>
      <c r="T453" s="3" t="s">
        <v>45</v>
      </c>
      <c r="U453" s="3" t="s">
        <v>45</v>
      </c>
      <c r="V453" s="4" t="s">
        <v>4228</v>
      </c>
      <c r="W453" s="4" t="s">
        <v>4229</v>
      </c>
      <c r="X453" s="3" t="s">
        <v>45</v>
      </c>
      <c r="Y453" s="3" t="s">
        <v>45</v>
      </c>
      <c r="Z453" s="3" t="s">
        <v>74</v>
      </c>
      <c r="AA453" s="3" t="s">
        <v>45</v>
      </c>
      <c r="AB453" s="3" t="s">
        <v>45</v>
      </c>
      <c r="AC453" s="3" t="s">
        <v>45</v>
      </c>
      <c r="AD453" s="3" t="s">
        <v>45</v>
      </c>
      <c r="AE453" s="3" t="s">
        <v>45</v>
      </c>
      <c r="AF453" s="3" t="s">
        <v>45</v>
      </c>
      <c r="AG453" s="3" t="s">
        <v>4230</v>
      </c>
      <c r="AH453" s="3" t="s">
        <v>57</v>
      </c>
      <c r="AI453" s="5" t="s">
        <v>4231</v>
      </c>
      <c r="AJ453" s="3" t="s">
        <v>45</v>
      </c>
      <c r="AK453" s="3" t="s">
        <v>45</v>
      </c>
      <c r="AL453" s="3" t="s">
        <v>45</v>
      </c>
      <c r="AM453" s="3" t="s">
        <v>45</v>
      </c>
      <c r="AN453" s="3" t="s">
        <v>45</v>
      </c>
      <c r="AO453" s="3" t="s">
        <v>45</v>
      </c>
      <c r="AP453" s="3" t="s">
        <v>45</v>
      </c>
      <c r="AQ453" s="4" t="s">
        <v>3713</v>
      </c>
      <c r="AR453" s="4" t="s">
        <v>3713</v>
      </c>
    </row>
    <row r="454">
      <c r="A454" s="3" t="s">
        <v>4232</v>
      </c>
      <c r="B454" s="3" t="s">
        <v>4233</v>
      </c>
      <c r="C454" s="3" t="s">
        <v>4234</v>
      </c>
      <c r="D454" s="3" t="s">
        <v>4206</v>
      </c>
      <c r="E454" s="4" t="s">
        <v>4235</v>
      </c>
      <c r="F454" s="3" t="s">
        <v>4236</v>
      </c>
      <c r="G454" s="4" t="s">
        <v>4237</v>
      </c>
      <c r="H454" s="4" t="s">
        <v>4238</v>
      </c>
      <c r="I454" s="3" t="s">
        <v>49</v>
      </c>
      <c r="J454" s="3" t="s">
        <v>50</v>
      </c>
      <c r="K454" s="3" t="s">
        <v>45</v>
      </c>
      <c r="L454" s="3" t="s">
        <v>45</v>
      </c>
      <c r="M454" s="3" t="s">
        <v>45</v>
      </c>
      <c r="N454" s="3" t="s">
        <v>45</v>
      </c>
      <c r="O454" s="3" t="s">
        <v>88</v>
      </c>
      <c r="P454" s="3" t="s">
        <v>45</v>
      </c>
      <c r="Q454" s="3" t="s">
        <v>45</v>
      </c>
      <c r="R454" s="3" t="s">
        <v>45</v>
      </c>
      <c r="S454" s="3" t="s">
        <v>4239</v>
      </c>
      <c r="T454" s="3" t="s">
        <v>45</v>
      </c>
      <c r="U454" s="3" t="s">
        <v>45</v>
      </c>
      <c r="V454" s="3" t="s">
        <v>45</v>
      </c>
      <c r="W454" s="4" t="s">
        <v>4240</v>
      </c>
      <c r="X454" s="3" t="s">
        <v>305</v>
      </c>
      <c r="Y454" s="3" t="s">
        <v>45</v>
      </c>
      <c r="Z454" s="3" t="s">
        <v>55</v>
      </c>
      <c r="AA454" s="3" t="s">
        <v>45</v>
      </c>
      <c r="AB454" s="3" t="s">
        <v>45</v>
      </c>
      <c r="AC454" s="3" t="s">
        <v>45</v>
      </c>
      <c r="AD454" s="3" t="s">
        <v>45</v>
      </c>
      <c r="AE454" s="3" t="s">
        <v>45</v>
      </c>
      <c r="AF454" s="3" t="s">
        <v>45</v>
      </c>
      <c r="AG454" s="3" t="s">
        <v>45</v>
      </c>
      <c r="AH454" s="3" t="s">
        <v>57</v>
      </c>
      <c r="AI454" s="5" t="s">
        <v>4241</v>
      </c>
      <c r="AJ454" s="5" t="s">
        <v>4242</v>
      </c>
      <c r="AK454" s="5" t="s">
        <v>4243</v>
      </c>
      <c r="AL454" s="5" t="s">
        <v>4244</v>
      </c>
      <c r="AM454" s="3" t="s">
        <v>45</v>
      </c>
      <c r="AN454" s="3" t="s">
        <v>45</v>
      </c>
      <c r="AO454" s="3" t="s">
        <v>45</v>
      </c>
      <c r="AP454" s="3" t="s">
        <v>45</v>
      </c>
      <c r="AQ454" s="4" t="s">
        <v>1203</v>
      </c>
      <c r="AR454" s="4" t="s">
        <v>1203</v>
      </c>
    </row>
    <row r="455">
      <c r="A455" s="3" t="s">
        <v>2948</v>
      </c>
      <c r="B455" s="3" t="s">
        <v>4245</v>
      </c>
      <c r="C455" s="3" t="s">
        <v>4246</v>
      </c>
      <c r="D455" s="3" t="s">
        <v>4206</v>
      </c>
      <c r="E455" s="4" t="s">
        <v>4247</v>
      </c>
      <c r="F455" s="3" t="s">
        <v>4207</v>
      </c>
      <c r="G455" s="4" t="s">
        <v>4248</v>
      </c>
      <c r="H455" s="4" t="s">
        <v>4249</v>
      </c>
      <c r="I455" s="3" t="s">
        <v>408</v>
      </c>
      <c r="J455" s="3" t="s">
        <v>126</v>
      </c>
      <c r="K455" s="3" t="s">
        <v>45</v>
      </c>
      <c r="L455" s="3" t="s">
        <v>45</v>
      </c>
      <c r="M455" s="3" t="s">
        <v>45</v>
      </c>
      <c r="N455" s="4" t="s">
        <v>4040</v>
      </c>
      <c r="O455" s="3" t="s">
        <v>53</v>
      </c>
      <c r="P455" s="3" t="s">
        <v>45</v>
      </c>
      <c r="Q455" s="3" t="s">
        <v>45</v>
      </c>
      <c r="R455" s="3" t="s">
        <v>45</v>
      </c>
      <c r="S455" s="3" t="s">
        <v>45</v>
      </c>
      <c r="T455" s="3" t="s">
        <v>45</v>
      </c>
      <c r="U455" s="3" t="s">
        <v>45</v>
      </c>
      <c r="V455" s="4" t="s">
        <v>4250</v>
      </c>
      <c r="W455" s="3" t="s">
        <v>45</v>
      </c>
      <c r="X455" s="3" t="s">
        <v>45</v>
      </c>
      <c r="Y455" s="3" t="s">
        <v>45</v>
      </c>
      <c r="Z455" s="3" t="s">
        <v>74</v>
      </c>
      <c r="AA455" s="3" t="s">
        <v>45</v>
      </c>
      <c r="AB455" s="3" t="s">
        <v>45</v>
      </c>
      <c r="AC455" s="3" t="s">
        <v>45</v>
      </c>
      <c r="AD455" s="3" t="s">
        <v>45</v>
      </c>
      <c r="AE455" s="3" t="s">
        <v>45</v>
      </c>
      <c r="AF455" s="3" t="s">
        <v>45</v>
      </c>
      <c r="AG455" s="3" t="s">
        <v>4251</v>
      </c>
      <c r="AH455" s="3" t="s">
        <v>57</v>
      </c>
      <c r="AI455" s="5" t="s">
        <v>2889</v>
      </c>
      <c r="AJ455" s="5" t="s">
        <v>4252</v>
      </c>
      <c r="AK455" s="5" t="s">
        <v>4253</v>
      </c>
      <c r="AL455" s="3" t="s">
        <v>45</v>
      </c>
      <c r="AM455" s="3" t="s">
        <v>45</v>
      </c>
      <c r="AN455" s="3" t="s">
        <v>45</v>
      </c>
      <c r="AO455" s="3" t="s">
        <v>45</v>
      </c>
      <c r="AP455" s="3" t="s">
        <v>45</v>
      </c>
      <c r="AQ455" s="4" t="s">
        <v>2402</v>
      </c>
      <c r="AR455" s="4" t="s">
        <v>4219</v>
      </c>
    </row>
    <row r="456">
      <c r="A456" s="3" t="s">
        <v>4254</v>
      </c>
      <c r="B456" s="3" t="s">
        <v>4255</v>
      </c>
      <c r="C456" s="3" t="s">
        <v>4256</v>
      </c>
      <c r="D456" s="3" t="s">
        <v>4206</v>
      </c>
      <c r="E456" s="4" t="s">
        <v>4257</v>
      </c>
      <c r="F456" s="3" t="s">
        <v>4258</v>
      </c>
      <c r="G456" s="4" t="s">
        <v>4259</v>
      </c>
      <c r="H456" s="4" t="s">
        <v>4260</v>
      </c>
      <c r="I456" s="3" t="s">
        <v>49</v>
      </c>
      <c r="J456" s="3" t="s">
        <v>126</v>
      </c>
      <c r="K456" s="3" t="s">
        <v>45</v>
      </c>
      <c r="L456" s="3" t="s">
        <v>409</v>
      </c>
      <c r="M456" s="3" t="s">
        <v>45</v>
      </c>
      <c r="N456" s="3" t="s">
        <v>45</v>
      </c>
      <c r="O456" s="3" t="s">
        <v>74</v>
      </c>
      <c r="P456" s="3" t="s">
        <v>45</v>
      </c>
      <c r="Q456" s="3" t="s">
        <v>45</v>
      </c>
      <c r="R456" s="3" t="s">
        <v>45</v>
      </c>
      <c r="S456" s="3" t="s">
        <v>45</v>
      </c>
      <c r="T456" s="3" t="s">
        <v>45</v>
      </c>
      <c r="U456" s="3" t="s">
        <v>45</v>
      </c>
      <c r="V456" s="3" t="s">
        <v>45</v>
      </c>
      <c r="W456" s="4" t="s">
        <v>4261</v>
      </c>
      <c r="X456" s="3" t="s">
        <v>45</v>
      </c>
      <c r="Y456" s="3" t="s">
        <v>45</v>
      </c>
      <c r="Z456" s="3" t="s">
        <v>74</v>
      </c>
      <c r="AA456" s="3" t="s">
        <v>45</v>
      </c>
      <c r="AB456" s="3" t="s">
        <v>45</v>
      </c>
      <c r="AC456" s="3" t="s">
        <v>45</v>
      </c>
      <c r="AD456" s="3" t="s">
        <v>45</v>
      </c>
      <c r="AE456" s="3" t="s">
        <v>45</v>
      </c>
      <c r="AF456" s="3" t="s">
        <v>45</v>
      </c>
      <c r="AG456" s="3" t="s">
        <v>45</v>
      </c>
      <c r="AH456" s="3" t="s">
        <v>57</v>
      </c>
      <c r="AI456" s="5" t="s">
        <v>4262</v>
      </c>
      <c r="AJ456" s="3" t="s">
        <v>45</v>
      </c>
      <c r="AK456" s="3" t="s">
        <v>45</v>
      </c>
      <c r="AL456" s="3" t="s">
        <v>45</v>
      </c>
      <c r="AM456" s="3" t="s">
        <v>45</v>
      </c>
      <c r="AN456" s="3" t="s">
        <v>45</v>
      </c>
      <c r="AO456" s="3" t="s">
        <v>45</v>
      </c>
      <c r="AP456" s="3" t="s">
        <v>45</v>
      </c>
      <c r="AQ456" s="4" t="s">
        <v>2037</v>
      </c>
      <c r="AR456" s="4" t="s">
        <v>2037</v>
      </c>
    </row>
    <row r="457">
      <c r="A457" s="3" t="s">
        <v>4263</v>
      </c>
      <c r="B457" s="3" t="s">
        <v>4264</v>
      </c>
      <c r="C457" s="3" t="s">
        <v>4256</v>
      </c>
      <c r="D457" s="3" t="s">
        <v>4206</v>
      </c>
      <c r="E457" s="4" t="s">
        <v>4257</v>
      </c>
      <c r="F457" s="3" t="s">
        <v>4258</v>
      </c>
      <c r="G457" s="4" t="s">
        <v>4265</v>
      </c>
      <c r="H457" s="4" t="s">
        <v>4266</v>
      </c>
      <c r="I457" s="3" t="s">
        <v>218</v>
      </c>
      <c r="J457" s="3" t="s">
        <v>126</v>
      </c>
      <c r="K457" s="3" t="s">
        <v>45</v>
      </c>
      <c r="L457" s="3" t="s">
        <v>1798</v>
      </c>
      <c r="M457" s="3" t="s">
        <v>45</v>
      </c>
      <c r="N457" s="4" t="s">
        <v>3074</v>
      </c>
      <c r="O457" s="3" t="s">
        <v>88</v>
      </c>
      <c r="P457" s="3" t="s">
        <v>45</v>
      </c>
      <c r="Q457" s="3" t="s">
        <v>45</v>
      </c>
      <c r="R457" s="3" t="s">
        <v>45</v>
      </c>
      <c r="S457" s="4" t="s">
        <v>835</v>
      </c>
      <c r="T457" s="3" t="s">
        <v>45</v>
      </c>
      <c r="U457" s="3" t="s">
        <v>45</v>
      </c>
      <c r="V457" s="4" t="s">
        <v>2120</v>
      </c>
      <c r="W457" s="3" t="s">
        <v>45</v>
      </c>
      <c r="X457" s="3" t="s">
        <v>1977</v>
      </c>
      <c r="Y457" s="3" t="s">
        <v>45</v>
      </c>
      <c r="Z457" s="3" t="s">
        <v>74</v>
      </c>
      <c r="AA457" s="3" t="s">
        <v>45</v>
      </c>
      <c r="AB457" s="3" t="s">
        <v>45</v>
      </c>
      <c r="AC457" s="3" t="s">
        <v>45</v>
      </c>
      <c r="AD457" s="3" t="s">
        <v>45</v>
      </c>
      <c r="AE457" s="3" t="s">
        <v>45</v>
      </c>
      <c r="AF457" s="3" t="s">
        <v>45</v>
      </c>
      <c r="AG457" s="3" t="s">
        <v>4267</v>
      </c>
      <c r="AH457" s="3" t="s">
        <v>840</v>
      </c>
      <c r="AI457" s="5" t="s">
        <v>4268</v>
      </c>
      <c r="AJ457" s="3" t="s">
        <v>45</v>
      </c>
      <c r="AK457" s="3" t="s">
        <v>45</v>
      </c>
      <c r="AL457" s="3" t="s">
        <v>45</v>
      </c>
      <c r="AM457" s="3" t="s">
        <v>45</v>
      </c>
      <c r="AN457" s="3" t="s">
        <v>45</v>
      </c>
      <c r="AO457" s="3" t="s">
        <v>45</v>
      </c>
      <c r="AP457" s="3" t="s">
        <v>45</v>
      </c>
      <c r="AQ457" s="4" t="s">
        <v>3552</v>
      </c>
      <c r="AR457" s="4" t="s">
        <v>3552</v>
      </c>
    </row>
    <row r="458">
      <c r="A458" s="3" t="s">
        <v>4269</v>
      </c>
      <c r="B458" s="3" t="s">
        <v>4270</v>
      </c>
      <c r="C458" s="3" t="s">
        <v>4271</v>
      </c>
      <c r="D458" s="3" t="s">
        <v>4206</v>
      </c>
      <c r="E458" s="4" t="s">
        <v>4272</v>
      </c>
      <c r="F458" s="3" t="s">
        <v>4258</v>
      </c>
      <c r="G458" s="4" t="s">
        <v>4273</v>
      </c>
      <c r="H458" s="4" t="s">
        <v>4274</v>
      </c>
      <c r="I458" s="3" t="s">
        <v>49</v>
      </c>
      <c r="J458" s="3" t="s">
        <v>45</v>
      </c>
      <c r="K458" s="3" t="s">
        <v>45</v>
      </c>
      <c r="L458" s="3" t="s">
        <v>4275</v>
      </c>
      <c r="M458" s="3" t="s">
        <v>45</v>
      </c>
      <c r="N458" s="3" t="s">
        <v>45</v>
      </c>
      <c r="O458" s="3" t="s">
        <v>74</v>
      </c>
      <c r="P458" s="3" t="s">
        <v>45</v>
      </c>
      <c r="Q458" s="3" t="s">
        <v>45</v>
      </c>
      <c r="R458" s="3" t="s">
        <v>45</v>
      </c>
      <c r="S458" s="3" t="s">
        <v>45</v>
      </c>
      <c r="T458" s="3" t="s">
        <v>45</v>
      </c>
      <c r="U458" s="3" t="s">
        <v>45</v>
      </c>
      <c r="V458" s="4" t="s">
        <v>4276</v>
      </c>
      <c r="W458" s="4" t="s">
        <v>4277</v>
      </c>
      <c r="X458" s="3" t="s">
        <v>305</v>
      </c>
      <c r="Y458" s="3" t="s">
        <v>45</v>
      </c>
      <c r="Z458" s="3" t="s">
        <v>74</v>
      </c>
      <c r="AA458" s="3" t="s">
        <v>45</v>
      </c>
      <c r="AB458" s="3" t="s">
        <v>45</v>
      </c>
      <c r="AC458" s="3" t="s">
        <v>55</v>
      </c>
      <c r="AD458" s="3" t="s">
        <v>45</v>
      </c>
      <c r="AE458" s="3" t="s">
        <v>45</v>
      </c>
      <c r="AF458" s="3" t="s">
        <v>45</v>
      </c>
      <c r="AG458" s="3" t="s">
        <v>45</v>
      </c>
      <c r="AH458" s="3" t="s">
        <v>57</v>
      </c>
      <c r="AI458" s="5" t="s">
        <v>4278</v>
      </c>
      <c r="AJ458" s="3" t="s">
        <v>45</v>
      </c>
      <c r="AK458" s="3" t="s">
        <v>45</v>
      </c>
      <c r="AL458" s="3" t="s">
        <v>45</v>
      </c>
      <c r="AM458" s="3" t="s">
        <v>45</v>
      </c>
      <c r="AN458" s="3" t="s">
        <v>45</v>
      </c>
      <c r="AO458" s="3" t="s">
        <v>45</v>
      </c>
      <c r="AP458" s="3" t="s">
        <v>45</v>
      </c>
      <c r="AQ458" s="4" t="s">
        <v>60</v>
      </c>
      <c r="AR458" s="4" t="s">
        <v>60</v>
      </c>
    </row>
    <row r="459">
      <c r="A459" s="3" t="s">
        <v>4279</v>
      </c>
      <c r="B459" s="3" t="s">
        <v>4280</v>
      </c>
      <c r="C459" s="3" t="s">
        <v>4281</v>
      </c>
      <c r="D459" s="3" t="s">
        <v>4206</v>
      </c>
      <c r="E459" s="4" t="s">
        <v>4282</v>
      </c>
      <c r="F459" s="3" t="s">
        <v>4281</v>
      </c>
      <c r="G459" s="4" t="s">
        <v>4283</v>
      </c>
      <c r="H459" s="4" t="s">
        <v>4284</v>
      </c>
      <c r="I459" s="3" t="s">
        <v>436</v>
      </c>
      <c r="J459" s="3" t="s">
        <v>126</v>
      </c>
      <c r="K459" s="3" t="s">
        <v>45</v>
      </c>
      <c r="L459" s="3" t="s">
        <v>4285</v>
      </c>
      <c r="M459" s="3" t="s">
        <v>45</v>
      </c>
      <c r="N459" s="3" t="s">
        <v>45</v>
      </c>
      <c r="O459" s="3" t="s">
        <v>74</v>
      </c>
      <c r="P459" s="3" t="s">
        <v>45</v>
      </c>
      <c r="Q459" s="3" t="s">
        <v>45</v>
      </c>
      <c r="R459" s="3" t="s">
        <v>45</v>
      </c>
      <c r="S459" s="3" t="s">
        <v>45</v>
      </c>
      <c r="T459" s="3" t="s">
        <v>45</v>
      </c>
      <c r="U459" s="3" t="s">
        <v>45</v>
      </c>
      <c r="V459" s="3" t="s">
        <v>45</v>
      </c>
      <c r="W459" s="4" t="s">
        <v>102</v>
      </c>
      <c r="X459" s="3" t="s">
        <v>45</v>
      </c>
      <c r="Y459" s="3" t="s">
        <v>45</v>
      </c>
      <c r="Z459" s="3" t="s">
        <v>74</v>
      </c>
      <c r="AA459" s="3" t="s">
        <v>45</v>
      </c>
      <c r="AB459" s="3" t="s">
        <v>109</v>
      </c>
      <c r="AC459" s="3" t="s">
        <v>45</v>
      </c>
      <c r="AD459" s="5" t="s">
        <v>4286</v>
      </c>
      <c r="AE459" s="3" t="s">
        <v>45</v>
      </c>
      <c r="AF459" s="3" t="s">
        <v>45</v>
      </c>
      <c r="AG459" s="3" t="s">
        <v>45</v>
      </c>
      <c r="AH459" s="3" t="s">
        <v>840</v>
      </c>
      <c r="AI459" s="5" t="s">
        <v>4287</v>
      </c>
      <c r="AJ459" s="5" t="s">
        <v>4288</v>
      </c>
      <c r="AK459" s="5" t="s">
        <v>4289</v>
      </c>
      <c r="AL459" s="3" t="s">
        <v>45</v>
      </c>
      <c r="AM459" s="3" t="s">
        <v>45</v>
      </c>
      <c r="AN459" s="3" t="s">
        <v>45</v>
      </c>
      <c r="AO459" s="3" t="s">
        <v>45</v>
      </c>
      <c r="AP459" s="3" t="s">
        <v>45</v>
      </c>
      <c r="AQ459" s="4" t="s">
        <v>4290</v>
      </c>
      <c r="AR459" s="4" t="s">
        <v>4290</v>
      </c>
    </row>
    <row r="460">
      <c r="A460" s="3" t="s">
        <v>4291</v>
      </c>
      <c r="B460" s="3" t="s">
        <v>4292</v>
      </c>
      <c r="C460" s="3" t="s">
        <v>4293</v>
      </c>
      <c r="D460" s="3" t="s">
        <v>4206</v>
      </c>
      <c r="E460" s="4" t="s">
        <v>4294</v>
      </c>
      <c r="F460" s="3" t="s">
        <v>4295</v>
      </c>
      <c r="G460" s="4" t="s">
        <v>4296</v>
      </c>
      <c r="H460" s="4" t="s">
        <v>4297</v>
      </c>
      <c r="I460" s="3" t="s">
        <v>49</v>
      </c>
      <c r="J460" s="3" t="s">
        <v>4116</v>
      </c>
      <c r="K460" s="3" t="s">
        <v>45</v>
      </c>
      <c r="L460" s="3" t="s">
        <v>409</v>
      </c>
      <c r="M460" s="3" t="s">
        <v>45</v>
      </c>
      <c r="N460" s="3" t="s">
        <v>45</v>
      </c>
      <c r="O460" s="3" t="s">
        <v>74</v>
      </c>
      <c r="P460" s="3" t="s">
        <v>45</v>
      </c>
      <c r="Q460" s="3" t="s">
        <v>45</v>
      </c>
      <c r="R460" s="3" t="s">
        <v>45</v>
      </c>
      <c r="S460" s="3" t="s">
        <v>45</v>
      </c>
      <c r="T460" s="3" t="s">
        <v>45</v>
      </c>
      <c r="U460" s="3" t="s">
        <v>45</v>
      </c>
      <c r="V460" s="3" t="s">
        <v>45</v>
      </c>
      <c r="W460" s="4" t="s">
        <v>4298</v>
      </c>
      <c r="X460" s="3" t="s">
        <v>45</v>
      </c>
      <c r="Y460" s="3" t="s">
        <v>45</v>
      </c>
      <c r="Z460" s="3" t="s">
        <v>74</v>
      </c>
      <c r="AA460" s="3" t="s">
        <v>45</v>
      </c>
      <c r="AB460" s="3" t="s">
        <v>45</v>
      </c>
      <c r="AC460" s="3" t="s">
        <v>45</v>
      </c>
      <c r="AD460" s="3" t="s">
        <v>45</v>
      </c>
      <c r="AE460" s="3" t="s">
        <v>45</v>
      </c>
      <c r="AF460" s="3" t="s">
        <v>45</v>
      </c>
      <c r="AG460" s="3" t="s">
        <v>45</v>
      </c>
      <c r="AH460" s="3" t="s">
        <v>57</v>
      </c>
      <c r="AI460" s="5" t="s">
        <v>4299</v>
      </c>
      <c r="AJ460" s="3" t="s">
        <v>45</v>
      </c>
      <c r="AK460" s="3" t="s">
        <v>45</v>
      </c>
      <c r="AL460" s="3" t="s">
        <v>45</v>
      </c>
      <c r="AM460" s="3" t="s">
        <v>45</v>
      </c>
      <c r="AN460" s="3" t="s">
        <v>45</v>
      </c>
      <c r="AO460" s="3" t="s">
        <v>45</v>
      </c>
      <c r="AP460" s="3" t="s">
        <v>45</v>
      </c>
      <c r="AQ460" s="4" t="s">
        <v>2037</v>
      </c>
      <c r="AR460" s="4" t="s">
        <v>2037</v>
      </c>
    </row>
    <row r="461">
      <c r="A461" s="3" t="s">
        <v>4300</v>
      </c>
      <c r="B461" s="3" t="s">
        <v>4301</v>
      </c>
      <c r="C461" s="3" t="s">
        <v>4302</v>
      </c>
      <c r="D461" s="3" t="s">
        <v>4206</v>
      </c>
      <c r="E461" s="4" t="s">
        <v>4303</v>
      </c>
      <c r="F461" s="3" t="s">
        <v>4304</v>
      </c>
      <c r="G461" s="4" t="s">
        <v>4305</v>
      </c>
      <c r="H461" s="4" t="s">
        <v>4306</v>
      </c>
      <c r="I461" s="3" t="s">
        <v>85</v>
      </c>
      <c r="J461" s="3" t="s">
        <v>126</v>
      </c>
      <c r="K461" s="3" t="s">
        <v>45</v>
      </c>
      <c r="L461" s="3" t="s">
        <v>45</v>
      </c>
      <c r="M461" s="3" t="s">
        <v>45</v>
      </c>
      <c r="N461" s="4" t="s">
        <v>2608</v>
      </c>
      <c r="O461" s="3" t="s">
        <v>88</v>
      </c>
      <c r="P461" s="3" t="s">
        <v>45</v>
      </c>
      <c r="Q461" s="3" t="s">
        <v>45</v>
      </c>
      <c r="R461" s="3" t="s">
        <v>45</v>
      </c>
      <c r="S461" s="3" t="s">
        <v>45</v>
      </c>
      <c r="T461" s="3" t="s">
        <v>45</v>
      </c>
      <c r="U461" s="3" t="s">
        <v>45</v>
      </c>
      <c r="V461" s="4" t="s">
        <v>4307</v>
      </c>
      <c r="W461" s="4" t="s">
        <v>914</v>
      </c>
      <c r="X461" s="3" t="s">
        <v>45</v>
      </c>
      <c r="Y461" s="4" t="s">
        <v>2073</v>
      </c>
      <c r="Z461" s="3" t="s">
        <v>74</v>
      </c>
      <c r="AA461" s="3" t="s">
        <v>45</v>
      </c>
      <c r="AB461" s="3" t="s">
        <v>45</v>
      </c>
      <c r="AC461" s="3" t="s">
        <v>45</v>
      </c>
      <c r="AD461" s="3" t="s">
        <v>45</v>
      </c>
      <c r="AE461" s="3" t="s">
        <v>45</v>
      </c>
      <c r="AF461" s="3" t="s">
        <v>45</v>
      </c>
      <c r="AG461" s="3" t="s">
        <v>4308</v>
      </c>
      <c r="AH461" s="3" t="s">
        <v>840</v>
      </c>
      <c r="AI461" s="5" t="s">
        <v>4309</v>
      </c>
      <c r="AJ461" s="5" t="s">
        <v>4310</v>
      </c>
      <c r="AK461" s="5" t="s">
        <v>4311</v>
      </c>
      <c r="AL461" s="5" t="s">
        <v>4312</v>
      </c>
      <c r="AM461" s="5" t="s">
        <v>4313</v>
      </c>
      <c r="AN461" s="3" t="s">
        <v>45</v>
      </c>
      <c r="AO461" s="3" t="s">
        <v>45</v>
      </c>
      <c r="AP461" s="3" t="s">
        <v>45</v>
      </c>
      <c r="AQ461" s="4" t="s">
        <v>1742</v>
      </c>
      <c r="AR461" s="4" t="s">
        <v>1767</v>
      </c>
    </row>
    <row r="462">
      <c r="A462" s="3" t="s">
        <v>4314</v>
      </c>
      <c r="B462" s="3" t="s">
        <v>4315</v>
      </c>
      <c r="C462" s="3" t="s">
        <v>3011</v>
      </c>
      <c r="D462" s="3" t="s">
        <v>4206</v>
      </c>
      <c r="E462" s="4" t="s">
        <v>4316</v>
      </c>
      <c r="F462" s="3" t="s">
        <v>1718</v>
      </c>
      <c r="G462" s="4" t="s">
        <v>4317</v>
      </c>
      <c r="H462" s="4" t="s">
        <v>4318</v>
      </c>
      <c r="I462" s="3" t="s">
        <v>245</v>
      </c>
      <c r="J462" s="3" t="s">
        <v>126</v>
      </c>
      <c r="K462" s="3" t="s">
        <v>45</v>
      </c>
      <c r="L462" s="3" t="s">
        <v>45</v>
      </c>
      <c r="M462" s="3" t="s">
        <v>45</v>
      </c>
      <c r="N462" s="3" t="s">
        <v>45</v>
      </c>
      <c r="O462" s="3" t="s">
        <v>74</v>
      </c>
      <c r="P462" s="3" t="s">
        <v>45</v>
      </c>
      <c r="Q462" s="3" t="s">
        <v>45</v>
      </c>
      <c r="R462" s="3" t="s">
        <v>45</v>
      </c>
      <c r="S462" s="3" t="s">
        <v>45</v>
      </c>
      <c r="T462" s="3" t="s">
        <v>45</v>
      </c>
      <c r="U462" s="3" t="s">
        <v>45</v>
      </c>
      <c r="V462" s="3" t="s">
        <v>45</v>
      </c>
      <c r="W462" s="4" t="s">
        <v>1083</v>
      </c>
      <c r="X462" s="3" t="s">
        <v>45</v>
      </c>
      <c r="Y462" s="3" t="s">
        <v>45</v>
      </c>
      <c r="Z462" s="3" t="s">
        <v>55</v>
      </c>
      <c r="AA462" s="3" t="s">
        <v>45</v>
      </c>
      <c r="AB462" s="3" t="s">
        <v>45</v>
      </c>
      <c r="AC462" s="3" t="s">
        <v>45</v>
      </c>
      <c r="AD462" s="3" t="s">
        <v>45</v>
      </c>
      <c r="AE462" s="3" t="s">
        <v>45</v>
      </c>
      <c r="AF462" s="5" t="s">
        <v>4319</v>
      </c>
      <c r="AG462" s="3" t="s">
        <v>45</v>
      </c>
      <c r="AH462" s="3" t="s">
        <v>57</v>
      </c>
      <c r="AI462" s="5" t="s">
        <v>4320</v>
      </c>
      <c r="AJ462" s="3" t="s">
        <v>45</v>
      </c>
      <c r="AK462" s="3" t="s">
        <v>45</v>
      </c>
      <c r="AL462" s="3" t="s">
        <v>45</v>
      </c>
      <c r="AM462" s="3" t="s">
        <v>45</v>
      </c>
      <c r="AN462" s="3" t="s">
        <v>45</v>
      </c>
      <c r="AO462" s="3" t="s">
        <v>45</v>
      </c>
      <c r="AP462" s="3" t="s">
        <v>45</v>
      </c>
      <c r="AQ462" s="4" t="s">
        <v>365</v>
      </c>
      <c r="AR462" s="4" t="s">
        <v>365</v>
      </c>
    </row>
    <row r="463">
      <c r="A463" s="3" t="s">
        <v>4321</v>
      </c>
      <c r="B463" s="3" t="s">
        <v>4322</v>
      </c>
      <c r="C463" s="3" t="s">
        <v>4323</v>
      </c>
      <c r="D463" s="3" t="s">
        <v>4206</v>
      </c>
      <c r="E463" s="4" t="s">
        <v>4324</v>
      </c>
      <c r="F463" s="3" t="s">
        <v>4325</v>
      </c>
      <c r="G463" s="4" t="s">
        <v>4326</v>
      </c>
      <c r="H463" s="4" t="s">
        <v>4327</v>
      </c>
      <c r="I463" s="3" t="s">
        <v>49</v>
      </c>
      <c r="J463" s="3" t="s">
        <v>50</v>
      </c>
      <c r="K463" s="3" t="s">
        <v>45</v>
      </c>
      <c r="L463" s="3" t="s">
        <v>3412</v>
      </c>
      <c r="M463" s="3" t="s">
        <v>45</v>
      </c>
      <c r="N463" s="4" t="s">
        <v>90</v>
      </c>
      <c r="O463" s="3" t="s">
        <v>88</v>
      </c>
      <c r="P463" s="3" t="s">
        <v>220</v>
      </c>
      <c r="Q463" s="3" t="s">
        <v>45</v>
      </c>
      <c r="R463" s="3" t="s">
        <v>45</v>
      </c>
      <c r="S463" s="3" t="s">
        <v>45</v>
      </c>
      <c r="T463" s="3" t="s">
        <v>45</v>
      </c>
      <c r="U463" s="3" t="s">
        <v>45</v>
      </c>
      <c r="V463" s="4" t="s">
        <v>1611</v>
      </c>
      <c r="W463" s="3" t="s">
        <v>45</v>
      </c>
      <c r="X463" s="3" t="s">
        <v>45</v>
      </c>
      <c r="Y463" s="3" t="s">
        <v>45</v>
      </c>
      <c r="Z463" s="3" t="s">
        <v>55</v>
      </c>
      <c r="AA463" s="3" t="s">
        <v>45</v>
      </c>
      <c r="AB463" s="3" t="s">
        <v>45</v>
      </c>
      <c r="AC463" s="3" t="s">
        <v>45</v>
      </c>
      <c r="AD463" s="3" t="s">
        <v>45</v>
      </c>
      <c r="AE463" s="3" t="s">
        <v>45</v>
      </c>
      <c r="AF463" s="3" t="s">
        <v>45</v>
      </c>
      <c r="AG463" s="3" t="s">
        <v>45</v>
      </c>
      <c r="AH463" s="3" t="s">
        <v>57</v>
      </c>
      <c r="AI463" s="5" t="s">
        <v>4328</v>
      </c>
      <c r="AJ463" s="5" t="s">
        <v>4329</v>
      </c>
      <c r="AK463" s="5" t="s">
        <v>4330</v>
      </c>
      <c r="AL463" s="5" t="s">
        <v>4331</v>
      </c>
      <c r="AM463" s="3" t="s">
        <v>45</v>
      </c>
      <c r="AN463" s="3" t="s">
        <v>45</v>
      </c>
      <c r="AO463" s="3" t="s">
        <v>45</v>
      </c>
      <c r="AP463" s="3" t="s">
        <v>45</v>
      </c>
      <c r="AQ463" s="4" t="s">
        <v>4332</v>
      </c>
      <c r="AR463" s="4" t="s">
        <v>4332</v>
      </c>
    </row>
    <row r="464">
      <c r="A464" s="3" t="s">
        <v>4333</v>
      </c>
      <c r="B464" s="3" t="s">
        <v>4334</v>
      </c>
      <c r="C464" s="3" t="s">
        <v>4335</v>
      </c>
      <c r="D464" s="3" t="s">
        <v>4206</v>
      </c>
      <c r="E464" s="4" t="s">
        <v>4336</v>
      </c>
      <c r="F464" s="3" t="s">
        <v>4337</v>
      </c>
      <c r="G464" s="4" t="s">
        <v>4338</v>
      </c>
      <c r="H464" s="4" t="s">
        <v>4339</v>
      </c>
      <c r="I464" s="3" t="s">
        <v>436</v>
      </c>
      <c r="J464" s="3" t="s">
        <v>126</v>
      </c>
      <c r="K464" s="3" t="s">
        <v>45</v>
      </c>
      <c r="L464" s="3" t="s">
        <v>4340</v>
      </c>
      <c r="M464" s="3" t="s">
        <v>45</v>
      </c>
      <c r="N464" s="3" t="s">
        <v>45</v>
      </c>
      <c r="O464" s="3" t="s">
        <v>88</v>
      </c>
      <c r="P464" s="3" t="s">
        <v>45</v>
      </c>
      <c r="Q464" s="3" t="s">
        <v>45</v>
      </c>
      <c r="R464" s="3" t="s">
        <v>45</v>
      </c>
      <c r="S464" s="3" t="s">
        <v>45</v>
      </c>
      <c r="T464" s="3" t="s">
        <v>45</v>
      </c>
      <c r="U464" s="3" t="s">
        <v>45</v>
      </c>
      <c r="V464" s="3" t="s">
        <v>45</v>
      </c>
      <c r="W464" s="4" t="s">
        <v>4341</v>
      </c>
      <c r="X464" s="3" t="s">
        <v>305</v>
      </c>
      <c r="Y464" s="3" t="s">
        <v>45</v>
      </c>
      <c r="Z464" s="3" t="s">
        <v>55</v>
      </c>
      <c r="AA464" s="3" t="s">
        <v>45</v>
      </c>
      <c r="AB464" s="3" t="s">
        <v>45</v>
      </c>
      <c r="AC464" s="3" t="s">
        <v>45</v>
      </c>
      <c r="AD464" s="5" t="s">
        <v>4342</v>
      </c>
      <c r="AE464" s="5" t="s">
        <v>4343</v>
      </c>
      <c r="AF464" s="5" t="s">
        <v>4344</v>
      </c>
      <c r="AG464" s="3" t="s">
        <v>4345</v>
      </c>
      <c r="AH464" s="3" t="s">
        <v>57</v>
      </c>
      <c r="AI464" s="5" t="s">
        <v>4346</v>
      </c>
      <c r="AJ464" s="5" t="s">
        <v>4347</v>
      </c>
      <c r="AK464" s="5" t="s">
        <v>4348</v>
      </c>
      <c r="AL464" s="5" t="s">
        <v>4349</v>
      </c>
      <c r="AM464" s="5" t="s">
        <v>4350</v>
      </c>
      <c r="AN464" s="5" t="s">
        <v>4351</v>
      </c>
      <c r="AO464" s="5" t="s">
        <v>4352</v>
      </c>
      <c r="AP464" s="5" t="s">
        <v>4353</v>
      </c>
      <c r="AQ464" s="4" t="s">
        <v>1203</v>
      </c>
      <c r="AR464" s="4" t="s">
        <v>1059</v>
      </c>
    </row>
    <row r="465">
      <c r="A465" s="3" t="s">
        <v>4354</v>
      </c>
      <c r="B465" s="3" t="s">
        <v>4355</v>
      </c>
      <c r="C465" s="3" t="s">
        <v>4356</v>
      </c>
      <c r="D465" s="3" t="s">
        <v>4206</v>
      </c>
      <c r="E465" s="4" t="s">
        <v>4357</v>
      </c>
      <c r="F465" s="3" t="s">
        <v>4258</v>
      </c>
      <c r="G465" s="4" t="s">
        <v>4358</v>
      </c>
      <c r="H465" s="4" t="s">
        <v>4359</v>
      </c>
      <c r="I465" s="3" t="s">
        <v>49</v>
      </c>
      <c r="J465" s="3" t="s">
        <v>126</v>
      </c>
      <c r="K465" s="3" t="s">
        <v>45</v>
      </c>
      <c r="L465" s="3" t="s">
        <v>409</v>
      </c>
      <c r="M465" s="3" t="s">
        <v>45</v>
      </c>
      <c r="N465" s="3" t="s">
        <v>45</v>
      </c>
      <c r="O465" s="3" t="s">
        <v>74</v>
      </c>
      <c r="P465" s="3" t="s">
        <v>45</v>
      </c>
      <c r="Q465" s="3" t="s">
        <v>45</v>
      </c>
      <c r="R465" s="3" t="s">
        <v>45</v>
      </c>
      <c r="S465" s="3" t="s">
        <v>45</v>
      </c>
      <c r="T465" s="3" t="s">
        <v>45</v>
      </c>
      <c r="U465" s="3" t="s">
        <v>45</v>
      </c>
      <c r="V465" s="3" t="s">
        <v>45</v>
      </c>
      <c r="W465" s="4" t="s">
        <v>3720</v>
      </c>
      <c r="X465" s="3" t="s">
        <v>45</v>
      </c>
      <c r="Y465" s="3" t="s">
        <v>45</v>
      </c>
      <c r="Z465" s="3" t="s">
        <v>74</v>
      </c>
      <c r="AA465" s="3" t="s">
        <v>45</v>
      </c>
      <c r="AB465" s="3" t="s">
        <v>45</v>
      </c>
      <c r="AC465" s="3" t="s">
        <v>45</v>
      </c>
      <c r="AD465" s="3" t="s">
        <v>45</v>
      </c>
      <c r="AE465" s="3" t="s">
        <v>45</v>
      </c>
      <c r="AF465" s="3" t="s">
        <v>45</v>
      </c>
      <c r="AG465" s="3" t="s">
        <v>45</v>
      </c>
      <c r="AH465" s="3" t="s">
        <v>57</v>
      </c>
      <c r="AI465" s="5" t="s">
        <v>4360</v>
      </c>
      <c r="AJ465" s="3" t="s">
        <v>45</v>
      </c>
      <c r="AK465" s="3" t="s">
        <v>45</v>
      </c>
      <c r="AL465" s="3" t="s">
        <v>45</v>
      </c>
      <c r="AM465" s="3" t="s">
        <v>45</v>
      </c>
      <c r="AN465" s="3" t="s">
        <v>45</v>
      </c>
      <c r="AO465" s="3" t="s">
        <v>45</v>
      </c>
      <c r="AP465" s="3" t="s">
        <v>45</v>
      </c>
      <c r="AQ465" s="4" t="s">
        <v>1386</v>
      </c>
      <c r="AR465" s="4" t="s">
        <v>1386</v>
      </c>
    </row>
    <row r="466">
      <c r="A466" s="3" t="s">
        <v>4361</v>
      </c>
      <c r="B466" s="3" t="s">
        <v>4362</v>
      </c>
      <c r="C466" s="3" t="s">
        <v>4363</v>
      </c>
      <c r="D466" s="3" t="s">
        <v>4206</v>
      </c>
      <c r="E466" s="4" t="s">
        <v>4364</v>
      </c>
      <c r="F466" s="3" t="s">
        <v>4363</v>
      </c>
      <c r="G466" s="4" t="s">
        <v>4365</v>
      </c>
      <c r="H466" s="4" t="s">
        <v>4366</v>
      </c>
      <c r="I466" s="3" t="s">
        <v>49</v>
      </c>
      <c r="J466" s="3" t="s">
        <v>126</v>
      </c>
      <c r="K466" s="3" t="s">
        <v>45</v>
      </c>
      <c r="L466" s="3" t="s">
        <v>45</v>
      </c>
      <c r="M466" s="3" t="s">
        <v>45</v>
      </c>
      <c r="N466" s="4" t="s">
        <v>480</v>
      </c>
      <c r="O466" s="3" t="s">
        <v>53</v>
      </c>
      <c r="P466" s="3" t="s">
        <v>45</v>
      </c>
      <c r="Q466" s="3" t="s">
        <v>45</v>
      </c>
      <c r="R466" s="3" t="s">
        <v>45</v>
      </c>
      <c r="S466" s="3" t="s">
        <v>45</v>
      </c>
      <c r="T466" s="3" t="s">
        <v>45</v>
      </c>
      <c r="U466" s="3" t="s">
        <v>45</v>
      </c>
      <c r="V466" s="3" t="s">
        <v>45</v>
      </c>
      <c r="W466" s="3" t="s">
        <v>45</v>
      </c>
      <c r="X466" s="3" t="s">
        <v>45</v>
      </c>
      <c r="Y466" s="3" t="s">
        <v>45</v>
      </c>
      <c r="Z466" s="3" t="s">
        <v>74</v>
      </c>
      <c r="AA466" s="3" t="s">
        <v>45</v>
      </c>
      <c r="AB466" s="3" t="s">
        <v>45</v>
      </c>
      <c r="AC466" s="3" t="s">
        <v>45</v>
      </c>
      <c r="AD466" s="3" t="s">
        <v>45</v>
      </c>
      <c r="AE466" s="3" t="s">
        <v>45</v>
      </c>
      <c r="AF466" s="3" t="s">
        <v>45</v>
      </c>
      <c r="AG466" s="3" t="s">
        <v>45</v>
      </c>
      <c r="AH466" s="3" t="s">
        <v>57</v>
      </c>
      <c r="AI466" s="5" t="s">
        <v>412</v>
      </c>
      <c r="AJ466" s="3" t="s">
        <v>45</v>
      </c>
      <c r="AK466" s="3" t="s">
        <v>45</v>
      </c>
      <c r="AL466" s="3" t="s">
        <v>45</v>
      </c>
      <c r="AM466" s="3" t="s">
        <v>45</v>
      </c>
      <c r="AN466" s="3" t="s">
        <v>45</v>
      </c>
      <c r="AO466" s="3" t="s">
        <v>45</v>
      </c>
      <c r="AP466" s="3" t="s">
        <v>45</v>
      </c>
      <c r="AQ466" s="4" t="s">
        <v>413</v>
      </c>
      <c r="AR466" s="4" t="s">
        <v>413</v>
      </c>
    </row>
    <row r="467">
      <c r="A467" s="3" t="s">
        <v>4367</v>
      </c>
      <c r="B467" s="3" t="s">
        <v>4368</v>
      </c>
      <c r="C467" s="3" t="s">
        <v>4363</v>
      </c>
      <c r="D467" s="3" t="s">
        <v>4206</v>
      </c>
      <c r="E467" s="4" t="s">
        <v>4369</v>
      </c>
      <c r="F467" s="3" t="s">
        <v>4363</v>
      </c>
      <c r="G467" s="4" t="s">
        <v>4370</v>
      </c>
      <c r="H467" s="4" t="s">
        <v>4371</v>
      </c>
      <c r="I467" s="3" t="s">
        <v>245</v>
      </c>
      <c r="J467" s="3" t="s">
        <v>126</v>
      </c>
      <c r="K467" s="3" t="s">
        <v>45</v>
      </c>
      <c r="L467" s="3" t="s">
        <v>45</v>
      </c>
      <c r="M467" s="3" t="s">
        <v>45</v>
      </c>
      <c r="N467" s="3" t="s">
        <v>45</v>
      </c>
      <c r="O467" s="3" t="s">
        <v>74</v>
      </c>
      <c r="P467" s="3" t="s">
        <v>45</v>
      </c>
      <c r="Q467" s="3" t="s">
        <v>45</v>
      </c>
      <c r="R467" s="3" t="s">
        <v>45</v>
      </c>
      <c r="S467" s="3" t="s">
        <v>45</v>
      </c>
      <c r="T467" s="3" t="s">
        <v>45</v>
      </c>
      <c r="U467" s="3" t="s">
        <v>45</v>
      </c>
      <c r="V467" s="3" t="s">
        <v>45</v>
      </c>
      <c r="W467" s="3" t="s">
        <v>45</v>
      </c>
      <c r="X467" s="3" t="s">
        <v>45</v>
      </c>
      <c r="Y467" s="3" t="s">
        <v>45</v>
      </c>
      <c r="Z467" s="3" t="s">
        <v>55</v>
      </c>
      <c r="AA467" s="3" t="s">
        <v>4372</v>
      </c>
      <c r="AB467" s="3" t="s">
        <v>45</v>
      </c>
      <c r="AC467" s="3" t="s">
        <v>45</v>
      </c>
      <c r="AD467" s="5" t="s">
        <v>4373</v>
      </c>
      <c r="AE467" s="3" t="s">
        <v>45</v>
      </c>
      <c r="AF467" s="3" t="s">
        <v>45</v>
      </c>
      <c r="AG467" s="3" t="s">
        <v>4374</v>
      </c>
      <c r="AH467" s="3" t="s">
        <v>57</v>
      </c>
      <c r="AI467" s="5" t="s">
        <v>4375</v>
      </c>
      <c r="AJ467" s="5" t="s">
        <v>4376</v>
      </c>
      <c r="AK467" s="3" t="s">
        <v>45</v>
      </c>
      <c r="AL467" s="3" t="s">
        <v>45</v>
      </c>
      <c r="AM467" s="3" t="s">
        <v>45</v>
      </c>
      <c r="AN467" s="3" t="s">
        <v>45</v>
      </c>
      <c r="AO467" s="3" t="s">
        <v>45</v>
      </c>
      <c r="AP467" s="3" t="s">
        <v>45</v>
      </c>
      <c r="AQ467" s="4" t="s">
        <v>365</v>
      </c>
      <c r="AR467" s="4" t="s">
        <v>2231</v>
      </c>
    </row>
    <row r="468">
      <c r="A468" s="3" t="s">
        <v>4377</v>
      </c>
      <c r="B468" s="3" t="s">
        <v>4378</v>
      </c>
      <c r="C468" s="3" t="s">
        <v>4379</v>
      </c>
      <c r="D468" s="3" t="s">
        <v>4206</v>
      </c>
      <c r="E468" s="4" t="s">
        <v>4380</v>
      </c>
      <c r="F468" s="3" t="s">
        <v>4381</v>
      </c>
      <c r="G468" s="4" t="s">
        <v>4382</v>
      </c>
      <c r="H468" s="4" t="s">
        <v>4383</v>
      </c>
      <c r="I468" s="3" t="s">
        <v>436</v>
      </c>
      <c r="J468" s="3" t="s">
        <v>50</v>
      </c>
      <c r="K468" s="3" t="s">
        <v>45</v>
      </c>
      <c r="L468" s="3" t="s">
        <v>45</v>
      </c>
      <c r="M468" s="3" t="s">
        <v>45</v>
      </c>
      <c r="N468" s="4" t="s">
        <v>1196</v>
      </c>
      <c r="O468" s="3" t="s">
        <v>70</v>
      </c>
      <c r="P468" s="3" t="s">
        <v>45</v>
      </c>
      <c r="Q468" s="3" t="s">
        <v>45</v>
      </c>
      <c r="R468" s="3" t="s">
        <v>45</v>
      </c>
      <c r="S468" s="3" t="s">
        <v>45</v>
      </c>
      <c r="T468" s="3" t="s">
        <v>45</v>
      </c>
      <c r="U468" s="3" t="s">
        <v>45</v>
      </c>
      <c r="V468" s="3" t="s">
        <v>45</v>
      </c>
      <c r="W468" s="4" t="s">
        <v>4384</v>
      </c>
      <c r="X468" s="3" t="s">
        <v>45</v>
      </c>
      <c r="Y468" s="3" t="s">
        <v>45</v>
      </c>
      <c r="Z468" s="3" t="s">
        <v>55</v>
      </c>
      <c r="AA468" s="3" t="s">
        <v>45</v>
      </c>
      <c r="AB468" s="3" t="s">
        <v>45</v>
      </c>
      <c r="AC468" s="3" t="s">
        <v>45</v>
      </c>
      <c r="AD468" s="3" t="s">
        <v>45</v>
      </c>
      <c r="AE468" s="3" t="s">
        <v>45</v>
      </c>
      <c r="AF468" s="3" t="s">
        <v>45</v>
      </c>
      <c r="AG468" s="3" t="s">
        <v>45</v>
      </c>
      <c r="AH468" s="3" t="s">
        <v>57</v>
      </c>
      <c r="AI468" s="5" t="s">
        <v>4385</v>
      </c>
      <c r="AJ468" s="5" t="s">
        <v>4386</v>
      </c>
      <c r="AK468" s="5" t="s">
        <v>4387</v>
      </c>
      <c r="AL468" s="3" t="s">
        <v>45</v>
      </c>
      <c r="AM468" s="3" t="s">
        <v>45</v>
      </c>
      <c r="AN468" s="3" t="s">
        <v>45</v>
      </c>
      <c r="AO468" s="3" t="s">
        <v>45</v>
      </c>
      <c r="AP468" s="3" t="s">
        <v>45</v>
      </c>
      <c r="AQ468" s="4" t="s">
        <v>282</v>
      </c>
      <c r="AR468" s="4" t="s">
        <v>4388</v>
      </c>
    </row>
    <row r="469">
      <c r="A469" s="3" t="s">
        <v>4389</v>
      </c>
      <c r="B469" s="3" t="s">
        <v>4390</v>
      </c>
      <c r="C469" s="3" t="s">
        <v>4391</v>
      </c>
      <c r="D469" s="3" t="s">
        <v>4206</v>
      </c>
      <c r="E469" s="4" t="s">
        <v>4392</v>
      </c>
      <c r="F469" s="3" t="s">
        <v>4393</v>
      </c>
      <c r="G469" s="4" t="s">
        <v>4394</v>
      </c>
      <c r="H469" s="4" t="s">
        <v>4395</v>
      </c>
      <c r="I469" s="3" t="s">
        <v>436</v>
      </c>
      <c r="J469" s="3" t="s">
        <v>126</v>
      </c>
      <c r="K469" s="3" t="s">
        <v>45</v>
      </c>
      <c r="L469" s="3" t="s">
        <v>4396</v>
      </c>
      <c r="M469" s="3" t="s">
        <v>45</v>
      </c>
      <c r="N469" s="4" t="s">
        <v>3085</v>
      </c>
      <c r="O469" s="3" t="s">
        <v>390</v>
      </c>
      <c r="P469" s="3" t="s">
        <v>45</v>
      </c>
      <c r="Q469" s="3" t="s">
        <v>45</v>
      </c>
      <c r="R469" s="3" t="s">
        <v>45</v>
      </c>
      <c r="S469" s="4" t="s">
        <v>480</v>
      </c>
      <c r="T469" s="3" t="s">
        <v>45</v>
      </c>
      <c r="U469" s="3" t="s">
        <v>45</v>
      </c>
      <c r="V469" s="4" t="s">
        <v>4397</v>
      </c>
      <c r="W469" s="4" t="s">
        <v>835</v>
      </c>
      <c r="X469" s="3" t="s">
        <v>4398</v>
      </c>
      <c r="Y469" s="3" t="s">
        <v>45</v>
      </c>
      <c r="Z469" s="3" t="s">
        <v>74</v>
      </c>
      <c r="AA469" s="3" t="s">
        <v>45</v>
      </c>
      <c r="AB469" s="3" t="s">
        <v>45</v>
      </c>
      <c r="AC469" s="3" t="s">
        <v>45</v>
      </c>
      <c r="AD469" s="3" t="s">
        <v>45</v>
      </c>
      <c r="AE469" s="3" t="s">
        <v>45</v>
      </c>
      <c r="AF469" s="3" t="s">
        <v>45</v>
      </c>
      <c r="AG469" s="3" t="s">
        <v>45</v>
      </c>
      <c r="AH469" s="3" t="s">
        <v>57</v>
      </c>
      <c r="AI469" s="5" t="s">
        <v>4399</v>
      </c>
      <c r="AJ469" s="5" t="s">
        <v>4400</v>
      </c>
      <c r="AK469" s="5" t="s">
        <v>4401</v>
      </c>
      <c r="AL469" s="5" t="s">
        <v>4402</v>
      </c>
      <c r="AM469" s="3" t="s">
        <v>45</v>
      </c>
      <c r="AN469" s="3" t="s">
        <v>45</v>
      </c>
      <c r="AO469" s="3" t="s">
        <v>45</v>
      </c>
      <c r="AP469" s="3" t="s">
        <v>45</v>
      </c>
      <c r="AQ469" s="4" t="s">
        <v>2230</v>
      </c>
      <c r="AR469" s="4" t="s">
        <v>1049</v>
      </c>
    </row>
    <row r="470">
      <c r="A470" s="3" t="s">
        <v>4403</v>
      </c>
      <c r="B470" s="3" t="s">
        <v>4404</v>
      </c>
      <c r="C470" s="3" t="s">
        <v>4004</v>
      </c>
      <c r="D470" s="3" t="s">
        <v>4206</v>
      </c>
      <c r="E470" s="4" t="s">
        <v>4405</v>
      </c>
      <c r="F470" s="3" t="s">
        <v>4258</v>
      </c>
      <c r="G470" s="4" t="s">
        <v>4406</v>
      </c>
      <c r="H470" s="4" t="s">
        <v>4407</v>
      </c>
      <c r="I470" s="3" t="s">
        <v>245</v>
      </c>
      <c r="J470" s="3" t="s">
        <v>126</v>
      </c>
      <c r="K470" s="3" t="s">
        <v>45</v>
      </c>
      <c r="L470" s="3" t="s">
        <v>4408</v>
      </c>
      <c r="M470" s="3" t="s">
        <v>45</v>
      </c>
      <c r="N470" s="3" t="s">
        <v>45</v>
      </c>
      <c r="O470" s="3" t="s">
        <v>88</v>
      </c>
      <c r="P470" s="3" t="s">
        <v>45</v>
      </c>
      <c r="Q470" s="3" t="s">
        <v>45</v>
      </c>
      <c r="R470" s="3" t="s">
        <v>45</v>
      </c>
      <c r="S470" s="3" t="s">
        <v>45</v>
      </c>
      <c r="T470" s="3" t="s">
        <v>45</v>
      </c>
      <c r="U470" s="3" t="s">
        <v>45</v>
      </c>
      <c r="V470" s="3" t="s">
        <v>45</v>
      </c>
      <c r="W470" s="4" t="s">
        <v>4409</v>
      </c>
      <c r="X470" s="3" t="s">
        <v>45</v>
      </c>
      <c r="Y470" s="3" t="s">
        <v>45</v>
      </c>
      <c r="Z470" s="3" t="s">
        <v>55</v>
      </c>
      <c r="AA470" s="3" t="s">
        <v>45</v>
      </c>
      <c r="AB470" s="3" t="s">
        <v>45</v>
      </c>
      <c r="AC470" s="3" t="s">
        <v>45</v>
      </c>
      <c r="AD470" s="5" t="s">
        <v>4410</v>
      </c>
      <c r="AE470" s="5" t="s">
        <v>4411</v>
      </c>
      <c r="AF470" s="5" t="s">
        <v>4412</v>
      </c>
      <c r="AG470" s="3" t="s">
        <v>45</v>
      </c>
      <c r="AH470" s="3" t="s">
        <v>57</v>
      </c>
      <c r="AI470" s="5" t="s">
        <v>4413</v>
      </c>
      <c r="AJ470" s="5" t="s">
        <v>4414</v>
      </c>
      <c r="AK470" s="5" t="s">
        <v>4415</v>
      </c>
      <c r="AL470" s="5" t="s">
        <v>4416</v>
      </c>
      <c r="AM470" s="5" t="s">
        <v>4299</v>
      </c>
      <c r="AN470" s="3" t="s">
        <v>45</v>
      </c>
      <c r="AO470" s="3" t="s">
        <v>45</v>
      </c>
      <c r="AP470" s="3" t="s">
        <v>45</v>
      </c>
      <c r="AQ470" s="4" t="s">
        <v>1728</v>
      </c>
      <c r="AR470" s="4" t="s">
        <v>1754</v>
      </c>
    </row>
    <row r="471">
      <c r="A471" s="3" t="s">
        <v>4417</v>
      </c>
      <c r="B471" s="3" t="s">
        <v>4418</v>
      </c>
      <c r="C471" s="3" t="s">
        <v>4418</v>
      </c>
      <c r="D471" s="3" t="s">
        <v>4206</v>
      </c>
      <c r="E471" s="3" t="s">
        <v>45</v>
      </c>
      <c r="F471" s="3" t="s">
        <v>4419</v>
      </c>
      <c r="G471" s="4" t="s">
        <v>4420</v>
      </c>
      <c r="H471" s="4" t="s">
        <v>4421</v>
      </c>
      <c r="I471" s="3" t="s">
        <v>49</v>
      </c>
      <c r="J471" s="3" t="s">
        <v>99</v>
      </c>
      <c r="K471" s="3" t="s">
        <v>45</v>
      </c>
      <c r="L471" s="3" t="s">
        <v>45</v>
      </c>
      <c r="M471" s="3" t="s">
        <v>45</v>
      </c>
      <c r="N471" s="4" t="s">
        <v>1196</v>
      </c>
      <c r="O471" s="3" t="s">
        <v>70</v>
      </c>
      <c r="P471" s="3" t="s">
        <v>45</v>
      </c>
      <c r="Q471" s="3" t="s">
        <v>45</v>
      </c>
      <c r="R471" s="3" t="s">
        <v>45</v>
      </c>
      <c r="S471" s="3" t="s">
        <v>45</v>
      </c>
      <c r="T471" s="3" t="s">
        <v>45</v>
      </c>
      <c r="U471" s="3" t="s">
        <v>45</v>
      </c>
      <c r="V471" s="3" t="s">
        <v>45</v>
      </c>
      <c r="W471" s="3" t="s">
        <v>45</v>
      </c>
      <c r="X471" s="3" t="s">
        <v>45</v>
      </c>
      <c r="Y471" s="3" t="s">
        <v>45</v>
      </c>
      <c r="Z471" s="3" t="s">
        <v>74</v>
      </c>
      <c r="AA471" s="3" t="s">
        <v>45</v>
      </c>
      <c r="AB471" s="3" t="s">
        <v>45</v>
      </c>
      <c r="AC471" s="3" t="s">
        <v>45</v>
      </c>
      <c r="AD471" s="3" t="s">
        <v>45</v>
      </c>
      <c r="AE471" s="3" t="s">
        <v>45</v>
      </c>
      <c r="AF471" s="3" t="s">
        <v>45</v>
      </c>
      <c r="AG471" s="3" t="s">
        <v>4422</v>
      </c>
      <c r="AH471" s="3" t="s">
        <v>57</v>
      </c>
      <c r="AI471" s="5" t="s">
        <v>4423</v>
      </c>
      <c r="AJ471" s="3" t="s">
        <v>45</v>
      </c>
      <c r="AK471" s="3" t="s">
        <v>45</v>
      </c>
      <c r="AL471" s="3" t="s">
        <v>45</v>
      </c>
      <c r="AM471" s="3" t="s">
        <v>45</v>
      </c>
      <c r="AN471" s="3" t="s">
        <v>45</v>
      </c>
      <c r="AO471" s="3" t="s">
        <v>45</v>
      </c>
      <c r="AP471" s="3" t="s">
        <v>45</v>
      </c>
      <c r="AQ471" s="4" t="s">
        <v>4424</v>
      </c>
      <c r="AR471" s="4" t="s">
        <v>4424</v>
      </c>
    </row>
    <row r="472">
      <c r="A472" s="3" t="s">
        <v>4425</v>
      </c>
      <c r="B472" s="3" t="s">
        <v>4426</v>
      </c>
      <c r="C472" s="3" t="s">
        <v>4427</v>
      </c>
      <c r="D472" s="3" t="s">
        <v>4206</v>
      </c>
      <c r="E472" s="4" t="s">
        <v>4428</v>
      </c>
      <c r="F472" s="3" t="s">
        <v>1757</v>
      </c>
      <c r="G472" s="4" t="s">
        <v>4429</v>
      </c>
      <c r="H472" s="4" t="s">
        <v>4430</v>
      </c>
      <c r="I472" s="3" t="s">
        <v>49</v>
      </c>
      <c r="J472" s="3" t="s">
        <v>50</v>
      </c>
      <c r="K472" s="3" t="s">
        <v>45</v>
      </c>
      <c r="L472" s="3" t="s">
        <v>4431</v>
      </c>
      <c r="M472" s="3" t="s">
        <v>45</v>
      </c>
      <c r="N472" s="3" t="s">
        <v>45</v>
      </c>
      <c r="O472" s="3" t="s">
        <v>70</v>
      </c>
      <c r="P472" s="3" t="s">
        <v>220</v>
      </c>
      <c r="Q472" s="3" t="s">
        <v>45</v>
      </c>
      <c r="R472" s="3" t="s">
        <v>45</v>
      </c>
      <c r="S472" s="3" t="s">
        <v>45</v>
      </c>
      <c r="T472" s="3" t="s">
        <v>45</v>
      </c>
      <c r="U472" s="3" t="s">
        <v>221</v>
      </c>
      <c r="V472" s="3" t="s">
        <v>45</v>
      </c>
      <c r="W472" s="4" t="s">
        <v>4432</v>
      </c>
      <c r="X472" s="3" t="s">
        <v>4433</v>
      </c>
      <c r="Y472" s="3" t="s">
        <v>45</v>
      </c>
      <c r="Z472" s="3" t="s">
        <v>74</v>
      </c>
      <c r="AA472" s="3" t="s">
        <v>45</v>
      </c>
      <c r="AB472" s="3" t="s">
        <v>45</v>
      </c>
      <c r="AC472" s="3" t="s">
        <v>45</v>
      </c>
      <c r="AD472" s="3" t="s">
        <v>45</v>
      </c>
      <c r="AE472" s="3" t="s">
        <v>45</v>
      </c>
      <c r="AF472" s="3" t="s">
        <v>45</v>
      </c>
      <c r="AG472" s="3" t="s">
        <v>4434</v>
      </c>
      <c r="AH472" s="3" t="s">
        <v>840</v>
      </c>
      <c r="AI472" s="5" t="s">
        <v>4435</v>
      </c>
      <c r="AJ472" s="5" t="s">
        <v>4436</v>
      </c>
      <c r="AK472" s="3" t="s">
        <v>45</v>
      </c>
      <c r="AL472" s="3" t="s">
        <v>45</v>
      </c>
      <c r="AM472" s="3" t="s">
        <v>45</v>
      </c>
      <c r="AN472" s="3" t="s">
        <v>45</v>
      </c>
      <c r="AO472" s="3" t="s">
        <v>45</v>
      </c>
      <c r="AP472" s="3" t="s">
        <v>45</v>
      </c>
      <c r="AQ472" s="4" t="s">
        <v>4437</v>
      </c>
      <c r="AR472" s="4" t="s">
        <v>4437</v>
      </c>
    </row>
    <row r="473">
      <c r="A473" s="3" t="s">
        <v>4438</v>
      </c>
      <c r="B473" s="3" t="s">
        <v>4439</v>
      </c>
      <c r="C473" s="3" t="s">
        <v>4440</v>
      </c>
      <c r="D473" s="3" t="s">
        <v>4206</v>
      </c>
      <c r="E473" s="4" t="s">
        <v>4441</v>
      </c>
      <c r="F473" s="3" t="s">
        <v>4325</v>
      </c>
      <c r="G473" s="4" t="s">
        <v>4442</v>
      </c>
      <c r="H473" s="4" t="s">
        <v>4443</v>
      </c>
      <c r="I473" s="3" t="s">
        <v>218</v>
      </c>
      <c r="J473" s="3" t="s">
        <v>126</v>
      </c>
      <c r="K473" s="3" t="s">
        <v>4444</v>
      </c>
      <c r="L473" s="3" t="s">
        <v>4445</v>
      </c>
      <c r="M473" s="3" t="s">
        <v>45</v>
      </c>
      <c r="N473" s="3" t="s">
        <v>4446</v>
      </c>
      <c r="O473" s="3" t="s">
        <v>88</v>
      </c>
      <c r="P473" s="3" t="s">
        <v>220</v>
      </c>
      <c r="Q473" s="3" t="s">
        <v>45</v>
      </c>
      <c r="R473" s="3" t="s">
        <v>45</v>
      </c>
      <c r="S473" s="4" t="s">
        <v>275</v>
      </c>
      <c r="T473" s="3" t="s">
        <v>45</v>
      </c>
      <c r="U473" s="3" t="s">
        <v>45</v>
      </c>
      <c r="V473" s="4" t="s">
        <v>2120</v>
      </c>
      <c r="W473" s="4" t="s">
        <v>4447</v>
      </c>
      <c r="X473" s="3" t="s">
        <v>45</v>
      </c>
      <c r="Y473" s="3" t="s">
        <v>45</v>
      </c>
      <c r="Z473" s="3" t="s">
        <v>55</v>
      </c>
      <c r="AA473" s="3" t="s">
        <v>45</v>
      </c>
      <c r="AB473" s="3" t="s">
        <v>45</v>
      </c>
      <c r="AC473" s="3" t="s">
        <v>4448</v>
      </c>
      <c r="AD473" s="5" t="s">
        <v>4449</v>
      </c>
      <c r="AE473" s="3" t="s">
        <v>45</v>
      </c>
      <c r="AF473" s="3" t="s">
        <v>45</v>
      </c>
      <c r="AG473" s="3" t="s">
        <v>4450</v>
      </c>
      <c r="AH473" s="3" t="s">
        <v>840</v>
      </c>
      <c r="AI473" s="5" t="s">
        <v>4451</v>
      </c>
      <c r="AJ473" s="5" t="s">
        <v>4452</v>
      </c>
      <c r="AK473" s="5" t="s">
        <v>4453</v>
      </c>
      <c r="AL473" s="5" t="s">
        <v>4454</v>
      </c>
      <c r="AM473" s="5" t="s">
        <v>4455</v>
      </c>
      <c r="AN473" s="5" t="s">
        <v>4456</v>
      </c>
      <c r="AO473" s="5" t="s">
        <v>4457</v>
      </c>
      <c r="AP473" s="3" t="s">
        <v>45</v>
      </c>
      <c r="AQ473" s="4" t="s">
        <v>4458</v>
      </c>
      <c r="AR473" s="4" t="s">
        <v>117</v>
      </c>
    </row>
    <row r="474">
      <c r="A474" s="3" t="s">
        <v>4459</v>
      </c>
      <c r="B474" s="3" t="s">
        <v>4460</v>
      </c>
      <c r="C474" s="3" t="s">
        <v>4461</v>
      </c>
      <c r="D474" s="3" t="s">
        <v>4206</v>
      </c>
      <c r="E474" s="4" t="s">
        <v>4462</v>
      </c>
      <c r="F474" s="3" t="s">
        <v>4325</v>
      </c>
      <c r="G474" s="4" t="s">
        <v>4463</v>
      </c>
      <c r="H474" s="4" t="s">
        <v>4464</v>
      </c>
      <c r="I474" s="3" t="s">
        <v>49</v>
      </c>
      <c r="J474" s="3" t="s">
        <v>45</v>
      </c>
      <c r="K474" s="3" t="s">
        <v>45</v>
      </c>
      <c r="L474" s="3" t="s">
        <v>45</v>
      </c>
      <c r="M474" s="3" t="s">
        <v>45</v>
      </c>
      <c r="N474" s="4" t="s">
        <v>2600</v>
      </c>
      <c r="O474" s="3" t="s">
        <v>390</v>
      </c>
      <c r="P474" s="3" t="s">
        <v>45</v>
      </c>
      <c r="Q474" s="3" t="s">
        <v>45</v>
      </c>
      <c r="R474" s="3" t="s">
        <v>45</v>
      </c>
      <c r="S474" s="3" t="s">
        <v>45</v>
      </c>
      <c r="T474" s="3" t="s">
        <v>45</v>
      </c>
      <c r="U474" s="3" t="s">
        <v>45</v>
      </c>
      <c r="V474" s="3" t="s">
        <v>45</v>
      </c>
      <c r="W474" s="3" t="s">
        <v>45</v>
      </c>
      <c r="X474" s="3" t="s">
        <v>45</v>
      </c>
      <c r="Y474" s="3" t="s">
        <v>45</v>
      </c>
      <c r="Z474" s="3" t="s">
        <v>74</v>
      </c>
      <c r="AA474" s="3" t="s">
        <v>45</v>
      </c>
      <c r="AB474" s="3" t="s">
        <v>45</v>
      </c>
      <c r="AC474" s="3" t="s">
        <v>45</v>
      </c>
      <c r="AD474" s="3" t="s">
        <v>45</v>
      </c>
      <c r="AE474" s="3" t="s">
        <v>45</v>
      </c>
      <c r="AF474" s="3" t="s">
        <v>45</v>
      </c>
      <c r="AG474" s="3" t="s">
        <v>45</v>
      </c>
      <c r="AH474" s="3" t="s">
        <v>57</v>
      </c>
      <c r="AI474" s="5" t="s">
        <v>4465</v>
      </c>
      <c r="AJ474" s="5" t="s">
        <v>4466</v>
      </c>
      <c r="AK474" s="3" t="s">
        <v>45</v>
      </c>
      <c r="AL474" s="3" t="s">
        <v>45</v>
      </c>
      <c r="AM474" s="3" t="s">
        <v>45</v>
      </c>
      <c r="AN474" s="3" t="s">
        <v>45</v>
      </c>
      <c r="AO474" s="3" t="s">
        <v>45</v>
      </c>
      <c r="AP474" s="3" t="s">
        <v>45</v>
      </c>
      <c r="AQ474" s="4" t="s">
        <v>1767</v>
      </c>
      <c r="AR474" s="4" t="s">
        <v>1767</v>
      </c>
    </row>
    <row r="475">
      <c r="A475" s="3" t="s">
        <v>4467</v>
      </c>
      <c r="B475" s="3" t="s">
        <v>4468</v>
      </c>
      <c r="C475" s="3" t="s">
        <v>4469</v>
      </c>
      <c r="D475" s="3" t="s">
        <v>4206</v>
      </c>
      <c r="E475" s="4" t="s">
        <v>4470</v>
      </c>
      <c r="F475" s="3" t="s">
        <v>4236</v>
      </c>
      <c r="G475" s="4" t="s">
        <v>4471</v>
      </c>
      <c r="H475" s="4" t="s">
        <v>4472</v>
      </c>
      <c r="I475" s="3" t="s">
        <v>218</v>
      </c>
      <c r="J475" s="3" t="s">
        <v>50</v>
      </c>
      <c r="K475" s="3" t="s">
        <v>45</v>
      </c>
      <c r="L475" s="3" t="s">
        <v>4473</v>
      </c>
      <c r="M475" s="3" t="s">
        <v>45</v>
      </c>
      <c r="N475" s="4" t="s">
        <v>1219</v>
      </c>
      <c r="O475" s="3" t="s">
        <v>70</v>
      </c>
      <c r="P475" s="3" t="s">
        <v>220</v>
      </c>
      <c r="Q475" s="3" t="s">
        <v>45</v>
      </c>
      <c r="R475" s="3" t="s">
        <v>45</v>
      </c>
      <c r="S475" s="3" t="s">
        <v>4474</v>
      </c>
      <c r="T475" s="3" t="s">
        <v>45</v>
      </c>
      <c r="U475" s="3" t="s">
        <v>45</v>
      </c>
      <c r="V475" s="4" t="s">
        <v>2140</v>
      </c>
      <c r="W475" s="4" t="s">
        <v>4475</v>
      </c>
      <c r="X475" s="3" t="s">
        <v>4476</v>
      </c>
      <c r="Y475" s="3" t="s">
        <v>45</v>
      </c>
      <c r="Z475" s="3" t="s">
        <v>55</v>
      </c>
      <c r="AA475" s="3" t="s">
        <v>45</v>
      </c>
      <c r="AB475" s="3" t="s">
        <v>45</v>
      </c>
      <c r="AC475" s="3" t="s">
        <v>45</v>
      </c>
      <c r="AD475" s="5" t="s">
        <v>4477</v>
      </c>
      <c r="AE475" s="5" t="s">
        <v>4478</v>
      </c>
      <c r="AF475" s="3" t="s">
        <v>45</v>
      </c>
      <c r="AG475" s="3" t="s">
        <v>4479</v>
      </c>
      <c r="AH475" s="3" t="s">
        <v>57</v>
      </c>
      <c r="AI475" s="5" t="s">
        <v>4480</v>
      </c>
      <c r="AJ475" s="5" t="s">
        <v>4481</v>
      </c>
      <c r="AK475" s="5" t="s">
        <v>4482</v>
      </c>
      <c r="AL475" s="5" t="s">
        <v>4483</v>
      </c>
      <c r="AM475" s="5" t="s">
        <v>4484</v>
      </c>
      <c r="AN475" s="5" t="s">
        <v>4485</v>
      </c>
      <c r="AO475" s="5" t="s">
        <v>4486</v>
      </c>
      <c r="AP475" s="3" t="s">
        <v>45</v>
      </c>
      <c r="AQ475" s="4" t="s">
        <v>4487</v>
      </c>
      <c r="AR475" s="4" t="s">
        <v>1589</v>
      </c>
    </row>
    <row r="476">
      <c r="A476" s="3" t="s">
        <v>4488</v>
      </c>
      <c r="B476" s="3" t="s">
        <v>4489</v>
      </c>
      <c r="C476" s="3" t="s">
        <v>4490</v>
      </c>
      <c r="D476" s="3" t="s">
        <v>4206</v>
      </c>
      <c r="E476" s="4" t="s">
        <v>4247</v>
      </c>
      <c r="F476" s="3" t="s">
        <v>4207</v>
      </c>
      <c r="G476" s="4" t="s">
        <v>4491</v>
      </c>
      <c r="H476" s="4" t="s">
        <v>4492</v>
      </c>
      <c r="I476" s="3" t="s">
        <v>49</v>
      </c>
      <c r="J476" s="3" t="s">
        <v>126</v>
      </c>
      <c r="K476" s="3" t="s">
        <v>45</v>
      </c>
      <c r="L476" s="3" t="s">
        <v>176</v>
      </c>
      <c r="M476" s="3" t="s">
        <v>45</v>
      </c>
      <c r="N476" s="4" t="s">
        <v>1196</v>
      </c>
      <c r="O476" s="3" t="s">
        <v>70</v>
      </c>
      <c r="P476" s="3" t="s">
        <v>45</v>
      </c>
      <c r="Q476" s="3" t="s">
        <v>45</v>
      </c>
      <c r="R476" s="3" t="s">
        <v>45</v>
      </c>
      <c r="S476" s="4" t="s">
        <v>835</v>
      </c>
      <c r="T476" s="3" t="s">
        <v>105</v>
      </c>
      <c r="U476" s="3" t="s">
        <v>45</v>
      </c>
      <c r="V476" s="4" t="s">
        <v>4276</v>
      </c>
      <c r="W476" s="4" t="s">
        <v>2866</v>
      </c>
      <c r="X476" s="3" t="s">
        <v>45</v>
      </c>
      <c r="Y476" s="3" t="s">
        <v>45</v>
      </c>
      <c r="Z476" s="3" t="s">
        <v>55</v>
      </c>
      <c r="AA476" s="3" t="s">
        <v>45</v>
      </c>
      <c r="AB476" s="3" t="s">
        <v>45</v>
      </c>
      <c r="AC476" s="3" t="s">
        <v>45</v>
      </c>
      <c r="AD476" s="3" t="s">
        <v>45</v>
      </c>
      <c r="AE476" s="3" t="s">
        <v>45</v>
      </c>
      <c r="AF476" s="5" t="s">
        <v>4493</v>
      </c>
      <c r="AG476" s="3" t="s">
        <v>4494</v>
      </c>
      <c r="AH476" s="3" t="s">
        <v>57</v>
      </c>
      <c r="AI476" s="5" t="s">
        <v>4253</v>
      </c>
      <c r="AJ476" s="5" t="s">
        <v>4495</v>
      </c>
      <c r="AK476" s="5" t="s">
        <v>4496</v>
      </c>
      <c r="AL476" s="5" t="s">
        <v>4497</v>
      </c>
      <c r="AM476" s="5" t="s">
        <v>4498</v>
      </c>
      <c r="AN476" s="5" t="s">
        <v>4499</v>
      </c>
      <c r="AO476" s="5" t="s">
        <v>4500</v>
      </c>
      <c r="AP476" s="3" t="s">
        <v>45</v>
      </c>
      <c r="AQ476" s="4" t="s">
        <v>3350</v>
      </c>
      <c r="AR476" s="4" t="s">
        <v>2870</v>
      </c>
    </row>
    <row r="477">
      <c r="A477" s="3" t="s">
        <v>4501</v>
      </c>
      <c r="B477" s="3" t="s">
        <v>4502</v>
      </c>
      <c r="C477" s="3" t="s">
        <v>4503</v>
      </c>
      <c r="D477" s="3" t="s">
        <v>4206</v>
      </c>
      <c r="E477" s="4" t="s">
        <v>4504</v>
      </c>
      <c r="F477" s="3" t="s">
        <v>4505</v>
      </c>
      <c r="G477" s="4" t="s">
        <v>4506</v>
      </c>
      <c r="H477" s="4" t="s">
        <v>4507</v>
      </c>
      <c r="I477" s="3" t="s">
        <v>49</v>
      </c>
      <c r="J477" s="3" t="s">
        <v>50</v>
      </c>
      <c r="K477" s="3" t="s">
        <v>45</v>
      </c>
      <c r="L477" s="3" t="s">
        <v>882</v>
      </c>
      <c r="M477" s="3" t="s">
        <v>45</v>
      </c>
      <c r="N477" s="3" t="s">
        <v>45</v>
      </c>
      <c r="O477" s="3" t="s">
        <v>74</v>
      </c>
      <c r="P477" s="3" t="s">
        <v>45</v>
      </c>
      <c r="Q477" s="3" t="s">
        <v>45</v>
      </c>
      <c r="R477" s="3" t="s">
        <v>45</v>
      </c>
      <c r="S477" s="3" t="s">
        <v>45</v>
      </c>
      <c r="T477" s="3" t="s">
        <v>45</v>
      </c>
      <c r="U477" s="3" t="s">
        <v>45</v>
      </c>
      <c r="V477" s="3" t="s">
        <v>45</v>
      </c>
      <c r="W477" s="3" t="s">
        <v>45</v>
      </c>
      <c r="X477" s="3" t="s">
        <v>45</v>
      </c>
      <c r="Y477" s="3" t="s">
        <v>45</v>
      </c>
      <c r="Z477" s="3" t="s">
        <v>55</v>
      </c>
      <c r="AA477" s="3" t="s">
        <v>45</v>
      </c>
      <c r="AB477" s="3" t="s">
        <v>45</v>
      </c>
      <c r="AC477" s="3" t="s">
        <v>45</v>
      </c>
      <c r="AD477" s="5" t="s">
        <v>4508</v>
      </c>
      <c r="AE477" s="3" t="s">
        <v>45</v>
      </c>
      <c r="AF477" s="3" t="s">
        <v>45</v>
      </c>
      <c r="AG477" s="3" t="s">
        <v>4509</v>
      </c>
      <c r="AH477" s="3" t="s">
        <v>57</v>
      </c>
      <c r="AI477" s="5" t="s">
        <v>4510</v>
      </c>
      <c r="AJ477" s="3" t="s">
        <v>45</v>
      </c>
      <c r="AK477" s="3" t="s">
        <v>45</v>
      </c>
      <c r="AL477" s="3" t="s">
        <v>45</v>
      </c>
      <c r="AM477" s="3" t="s">
        <v>45</v>
      </c>
      <c r="AN477" s="3" t="s">
        <v>45</v>
      </c>
      <c r="AO477" s="3" t="s">
        <v>45</v>
      </c>
      <c r="AP477" s="3" t="s">
        <v>45</v>
      </c>
      <c r="AQ477" s="4" t="s">
        <v>4332</v>
      </c>
      <c r="AR477" s="4" t="s">
        <v>4332</v>
      </c>
    </row>
    <row r="478">
      <c r="A478" s="3" t="s">
        <v>4511</v>
      </c>
      <c r="B478" s="3" t="s">
        <v>4512</v>
      </c>
      <c r="C478" s="3" t="s">
        <v>4513</v>
      </c>
      <c r="D478" s="3" t="s">
        <v>4206</v>
      </c>
      <c r="E478" s="4" t="s">
        <v>4514</v>
      </c>
      <c r="F478" s="3" t="s">
        <v>4236</v>
      </c>
      <c r="G478" s="4" t="s">
        <v>4515</v>
      </c>
      <c r="H478" s="4" t="s">
        <v>4516</v>
      </c>
      <c r="I478" s="3" t="s">
        <v>49</v>
      </c>
      <c r="J478" s="3" t="s">
        <v>126</v>
      </c>
      <c r="K478" s="3" t="s">
        <v>4517</v>
      </c>
      <c r="L478" s="3" t="s">
        <v>4518</v>
      </c>
      <c r="M478" s="3" t="s">
        <v>45</v>
      </c>
      <c r="N478" s="3" t="s">
        <v>45</v>
      </c>
      <c r="O478" s="3" t="s">
        <v>74</v>
      </c>
      <c r="P478" s="3" t="s">
        <v>45</v>
      </c>
      <c r="Q478" s="3" t="s">
        <v>45</v>
      </c>
      <c r="R478" s="3" t="s">
        <v>45</v>
      </c>
      <c r="S478" s="3" t="s">
        <v>45</v>
      </c>
      <c r="T478" s="3" t="s">
        <v>45</v>
      </c>
      <c r="U478" s="3" t="s">
        <v>45</v>
      </c>
      <c r="V478" s="3" t="s">
        <v>45</v>
      </c>
      <c r="W478" s="3" t="s">
        <v>45</v>
      </c>
      <c r="X478" s="3" t="s">
        <v>2091</v>
      </c>
      <c r="Y478" s="3" t="s">
        <v>45</v>
      </c>
      <c r="Z478" s="3" t="s">
        <v>74</v>
      </c>
      <c r="AA478" s="3" t="s">
        <v>45</v>
      </c>
      <c r="AB478" s="3" t="s">
        <v>45</v>
      </c>
      <c r="AC478" s="3" t="s">
        <v>45</v>
      </c>
      <c r="AD478" s="3" t="s">
        <v>45</v>
      </c>
      <c r="AE478" s="3" t="s">
        <v>45</v>
      </c>
      <c r="AF478" s="3" t="s">
        <v>45</v>
      </c>
      <c r="AG478" s="3" t="s">
        <v>4519</v>
      </c>
      <c r="AH478" s="3" t="s">
        <v>57</v>
      </c>
      <c r="AI478" s="5" t="s">
        <v>4520</v>
      </c>
      <c r="AJ478" s="5" t="s">
        <v>4521</v>
      </c>
      <c r="AK478" s="5" t="s">
        <v>4522</v>
      </c>
      <c r="AL478" s="5" t="s">
        <v>4523</v>
      </c>
      <c r="AM478" s="5" t="s">
        <v>4524</v>
      </c>
      <c r="AN478" s="3" t="s">
        <v>45</v>
      </c>
      <c r="AO478" s="3" t="s">
        <v>45</v>
      </c>
      <c r="AP478" s="3" t="s">
        <v>45</v>
      </c>
      <c r="AQ478" s="4" t="s">
        <v>4525</v>
      </c>
      <c r="AR478" s="4" t="s">
        <v>3108</v>
      </c>
    </row>
    <row r="479">
      <c r="A479" s="3" t="s">
        <v>4526</v>
      </c>
      <c r="B479" s="3" t="s">
        <v>45</v>
      </c>
      <c r="C479" s="3" t="s">
        <v>4527</v>
      </c>
      <c r="D479" s="3" t="s">
        <v>4528</v>
      </c>
      <c r="E479" s="4" t="s">
        <v>4529</v>
      </c>
      <c r="F479" s="3" t="s">
        <v>4530</v>
      </c>
      <c r="G479" s="4" t="s">
        <v>4531</v>
      </c>
      <c r="H479" s="4" t="s">
        <v>4532</v>
      </c>
      <c r="I479" s="3" t="s">
        <v>245</v>
      </c>
      <c r="J479" s="3" t="s">
        <v>50</v>
      </c>
      <c r="K479" s="3" t="s">
        <v>45</v>
      </c>
      <c r="L479" s="3" t="s">
        <v>479</v>
      </c>
      <c r="M479" s="3" t="s">
        <v>45</v>
      </c>
      <c r="N479" s="3" t="s">
        <v>45</v>
      </c>
      <c r="O479" s="3" t="s">
        <v>74</v>
      </c>
      <c r="P479" s="3" t="s">
        <v>45</v>
      </c>
      <c r="Q479" s="3" t="s">
        <v>45</v>
      </c>
      <c r="R479" s="3" t="s">
        <v>45</v>
      </c>
      <c r="S479" s="3" t="s">
        <v>45</v>
      </c>
      <c r="T479" s="3" t="s">
        <v>45</v>
      </c>
      <c r="U479" s="3" t="s">
        <v>45</v>
      </c>
      <c r="V479" s="3" t="s">
        <v>45</v>
      </c>
      <c r="W479" s="3" t="s">
        <v>45</v>
      </c>
      <c r="X479" s="3" t="s">
        <v>45</v>
      </c>
      <c r="Y479" s="3" t="s">
        <v>45</v>
      </c>
      <c r="Z479" s="3" t="s">
        <v>74</v>
      </c>
      <c r="AA479" s="3" t="s">
        <v>45</v>
      </c>
      <c r="AB479" s="3" t="s">
        <v>45</v>
      </c>
      <c r="AC479" s="3" t="s">
        <v>45</v>
      </c>
      <c r="AD479" s="3" t="s">
        <v>45</v>
      </c>
      <c r="AE479" s="3" t="s">
        <v>45</v>
      </c>
      <c r="AF479" s="3" t="s">
        <v>45</v>
      </c>
      <c r="AG479" s="3" t="s">
        <v>45</v>
      </c>
      <c r="AH479" s="3" t="s">
        <v>57</v>
      </c>
      <c r="AI479" s="5" t="s">
        <v>4533</v>
      </c>
      <c r="AJ479" s="5" t="s">
        <v>4534</v>
      </c>
      <c r="AK479" s="5" t="s">
        <v>4535</v>
      </c>
      <c r="AL479" s="3" t="s">
        <v>45</v>
      </c>
      <c r="AM479" s="3" t="s">
        <v>45</v>
      </c>
      <c r="AN479" s="3" t="s">
        <v>45</v>
      </c>
      <c r="AO479" s="3" t="s">
        <v>45</v>
      </c>
      <c r="AP479" s="3" t="s">
        <v>45</v>
      </c>
      <c r="AQ479" s="4" t="s">
        <v>364</v>
      </c>
      <c r="AR479" s="4" t="s">
        <v>364</v>
      </c>
    </row>
    <row r="480">
      <c r="A480" s="3" t="s">
        <v>4536</v>
      </c>
      <c r="B480" s="3" t="s">
        <v>4537</v>
      </c>
      <c r="C480" s="3" t="s">
        <v>4538</v>
      </c>
      <c r="D480" s="3" t="s">
        <v>4528</v>
      </c>
      <c r="E480" s="4" t="s">
        <v>4539</v>
      </c>
      <c r="F480" s="3" t="s">
        <v>4224</v>
      </c>
      <c r="G480" s="4" t="s">
        <v>4540</v>
      </c>
      <c r="H480" s="4" t="s">
        <v>4541</v>
      </c>
      <c r="I480" s="3" t="s">
        <v>49</v>
      </c>
      <c r="J480" s="3" t="s">
        <v>126</v>
      </c>
      <c r="K480" s="3" t="s">
        <v>45</v>
      </c>
      <c r="L480" s="3" t="s">
        <v>45</v>
      </c>
      <c r="M480" s="3" t="s">
        <v>45</v>
      </c>
      <c r="N480" s="3" t="s">
        <v>45</v>
      </c>
      <c r="O480" s="3" t="s">
        <v>74</v>
      </c>
      <c r="P480" s="3" t="s">
        <v>45</v>
      </c>
      <c r="Q480" s="3" t="s">
        <v>45</v>
      </c>
      <c r="R480" s="3" t="s">
        <v>45</v>
      </c>
      <c r="S480" s="3" t="s">
        <v>45</v>
      </c>
      <c r="T480" s="3" t="s">
        <v>45</v>
      </c>
      <c r="U480" s="3" t="s">
        <v>45</v>
      </c>
      <c r="V480" s="4" t="s">
        <v>2994</v>
      </c>
      <c r="W480" s="4" t="s">
        <v>4542</v>
      </c>
      <c r="X480" s="3" t="s">
        <v>45</v>
      </c>
      <c r="Y480" s="3" t="s">
        <v>45</v>
      </c>
      <c r="Z480" s="3" t="s">
        <v>74</v>
      </c>
      <c r="AA480" s="3" t="s">
        <v>45</v>
      </c>
      <c r="AB480" s="3" t="s">
        <v>45</v>
      </c>
      <c r="AC480" s="3" t="s">
        <v>45</v>
      </c>
      <c r="AD480" s="3" t="s">
        <v>45</v>
      </c>
      <c r="AE480" s="3" t="s">
        <v>45</v>
      </c>
      <c r="AF480" s="3" t="s">
        <v>45</v>
      </c>
      <c r="AG480" s="3" t="s">
        <v>45</v>
      </c>
      <c r="AH480" s="3" t="s">
        <v>57</v>
      </c>
      <c r="AI480" s="5" t="s">
        <v>4543</v>
      </c>
      <c r="AJ480" s="5" t="s">
        <v>4544</v>
      </c>
      <c r="AK480" s="3" t="s">
        <v>45</v>
      </c>
      <c r="AL480" s="3" t="s">
        <v>45</v>
      </c>
      <c r="AM480" s="3" t="s">
        <v>45</v>
      </c>
      <c r="AN480" s="3" t="s">
        <v>45</v>
      </c>
      <c r="AO480" s="3" t="s">
        <v>45</v>
      </c>
      <c r="AP480" s="3" t="s">
        <v>45</v>
      </c>
      <c r="AQ480" s="4" t="s">
        <v>3252</v>
      </c>
      <c r="AR480" s="4" t="s">
        <v>3252</v>
      </c>
    </row>
    <row r="481">
      <c r="A481" s="3" t="s">
        <v>1077</v>
      </c>
      <c r="B481" s="3" t="s">
        <v>45</v>
      </c>
      <c r="C481" s="3" t="s">
        <v>4545</v>
      </c>
      <c r="D481" s="3" t="s">
        <v>4528</v>
      </c>
      <c r="E481" s="4" t="s">
        <v>4546</v>
      </c>
      <c r="F481" s="3" t="s">
        <v>4545</v>
      </c>
      <c r="G481" s="4" t="s">
        <v>4547</v>
      </c>
      <c r="H481" s="4" t="s">
        <v>4548</v>
      </c>
      <c r="I481" s="3" t="s">
        <v>49</v>
      </c>
      <c r="J481" s="3" t="s">
        <v>99</v>
      </c>
      <c r="K481" s="3" t="s">
        <v>45</v>
      </c>
      <c r="L481" s="3" t="s">
        <v>45</v>
      </c>
      <c r="M481" s="3" t="s">
        <v>45</v>
      </c>
      <c r="N481" s="4" t="s">
        <v>156</v>
      </c>
      <c r="O481" s="3" t="s">
        <v>88</v>
      </c>
      <c r="P481" s="3" t="s">
        <v>45</v>
      </c>
      <c r="Q481" s="3" t="s">
        <v>45</v>
      </c>
      <c r="R481" s="3" t="s">
        <v>45</v>
      </c>
      <c r="S481" s="3" t="s">
        <v>45</v>
      </c>
      <c r="T481" s="3" t="s">
        <v>45</v>
      </c>
      <c r="U481" s="3" t="s">
        <v>45</v>
      </c>
      <c r="V481" s="3" t="s">
        <v>45</v>
      </c>
      <c r="W481" s="4" t="s">
        <v>4549</v>
      </c>
      <c r="X481" s="3" t="s">
        <v>45</v>
      </c>
      <c r="Y481" s="3" t="s">
        <v>45</v>
      </c>
      <c r="Z481" s="3" t="s">
        <v>74</v>
      </c>
      <c r="AA481" s="3" t="s">
        <v>45</v>
      </c>
      <c r="AB481" s="3" t="s">
        <v>45</v>
      </c>
      <c r="AC481" s="3" t="s">
        <v>45</v>
      </c>
      <c r="AD481" s="3" t="s">
        <v>45</v>
      </c>
      <c r="AE481" s="3" t="s">
        <v>45</v>
      </c>
      <c r="AF481" s="3" t="s">
        <v>45</v>
      </c>
      <c r="AG481" s="3" t="s">
        <v>45</v>
      </c>
      <c r="AH481" s="3" t="s">
        <v>57</v>
      </c>
      <c r="AI481" s="5" t="s">
        <v>1084</v>
      </c>
      <c r="AJ481" s="3" t="s">
        <v>45</v>
      </c>
      <c r="AK481" s="3" t="s">
        <v>45</v>
      </c>
      <c r="AL481" s="3" t="s">
        <v>45</v>
      </c>
      <c r="AM481" s="3" t="s">
        <v>45</v>
      </c>
      <c r="AN481" s="3" t="s">
        <v>45</v>
      </c>
      <c r="AO481" s="3" t="s">
        <v>45</v>
      </c>
      <c r="AP481" s="3" t="s">
        <v>45</v>
      </c>
      <c r="AQ481" s="4" t="s">
        <v>1085</v>
      </c>
      <c r="AR481" s="4" t="s">
        <v>1085</v>
      </c>
    </row>
    <row r="482">
      <c r="A482" s="3" t="s">
        <v>4550</v>
      </c>
      <c r="B482" s="3" t="s">
        <v>4551</v>
      </c>
      <c r="C482" s="3" t="s">
        <v>4552</v>
      </c>
      <c r="D482" s="3" t="s">
        <v>4528</v>
      </c>
      <c r="E482" s="4" t="s">
        <v>4553</v>
      </c>
      <c r="F482" s="3" t="s">
        <v>4224</v>
      </c>
      <c r="G482" s="4" t="s">
        <v>4554</v>
      </c>
      <c r="H482" s="4" t="s">
        <v>4555</v>
      </c>
      <c r="I482" s="3" t="s">
        <v>218</v>
      </c>
      <c r="J482" s="3" t="s">
        <v>126</v>
      </c>
      <c r="K482" s="3" t="s">
        <v>45</v>
      </c>
      <c r="L482" s="3" t="s">
        <v>45</v>
      </c>
      <c r="M482" s="3" t="s">
        <v>45</v>
      </c>
      <c r="N482" s="4" t="s">
        <v>472</v>
      </c>
      <c r="O482" s="3" t="s">
        <v>390</v>
      </c>
      <c r="P482" s="3" t="s">
        <v>45</v>
      </c>
      <c r="Q482" s="3" t="s">
        <v>45</v>
      </c>
      <c r="R482" s="3" t="s">
        <v>45</v>
      </c>
      <c r="S482" s="3" t="s">
        <v>45</v>
      </c>
      <c r="T482" s="3" t="s">
        <v>45</v>
      </c>
      <c r="U482" s="3" t="s">
        <v>45</v>
      </c>
      <c r="V482" s="3" t="s">
        <v>45</v>
      </c>
      <c r="W482" s="3" t="s">
        <v>45</v>
      </c>
      <c r="X482" s="3" t="s">
        <v>45</v>
      </c>
      <c r="Y482" s="3" t="s">
        <v>45</v>
      </c>
      <c r="Z482" s="3" t="s">
        <v>74</v>
      </c>
      <c r="AA482" s="3" t="s">
        <v>45</v>
      </c>
      <c r="AB482" s="3" t="s">
        <v>45</v>
      </c>
      <c r="AC482" s="3" t="s">
        <v>45</v>
      </c>
      <c r="AD482" s="3" t="s">
        <v>45</v>
      </c>
      <c r="AE482" s="3" t="s">
        <v>45</v>
      </c>
      <c r="AF482" s="3" t="s">
        <v>45</v>
      </c>
      <c r="AG482" s="3" t="s">
        <v>45</v>
      </c>
      <c r="AH482" s="3" t="s">
        <v>57</v>
      </c>
      <c r="AI482" s="5" t="s">
        <v>4556</v>
      </c>
      <c r="AJ482" s="3" t="s">
        <v>45</v>
      </c>
      <c r="AK482" s="3" t="s">
        <v>45</v>
      </c>
      <c r="AL482" s="3" t="s">
        <v>45</v>
      </c>
      <c r="AM482" s="3" t="s">
        <v>45</v>
      </c>
      <c r="AN482" s="3" t="s">
        <v>45</v>
      </c>
      <c r="AO482" s="3" t="s">
        <v>45</v>
      </c>
      <c r="AP482" s="3" t="s">
        <v>45</v>
      </c>
      <c r="AQ482" s="4" t="s">
        <v>807</v>
      </c>
      <c r="AR482" s="4" t="s">
        <v>807</v>
      </c>
    </row>
    <row r="483">
      <c r="A483" s="3" t="s">
        <v>4557</v>
      </c>
      <c r="B483" s="3" t="s">
        <v>4558</v>
      </c>
      <c r="C483" s="3" t="s">
        <v>4559</v>
      </c>
      <c r="D483" s="3" t="s">
        <v>4528</v>
      </c>
      <c r="E483" s="4" t="s">
        <v>4560</v>
      </c>
      <c r="F483" s="3" t="s">
        <v>4530</v>
      </c>
      <c r="G483" s="4" t="s">
        <v>4561</v>
      </c>
      <c r="H483" s="4" t="s">
        <v>4562</v>
      </c>
      <c r="I483" s="3" t="s">
        <v>245</v>
      </c>
      <c r="J483" s="3" t="s">
        <v>126</v>
      </c>
      <c r="K483" s="3" t="s">
        <v>45</v>
      </c>
      <c r="L483" s="3" t="s">
        <v>45</v>
      </c>
      <c r="M483" s="3" t="s">
        <v>45</v>
      </c>
      <c r="N483" s="4" t="s">
        <v>4563</v>
      </c>
      <c r="O483" s="3" t="s">
        <v>390</v>
      </c>
      <c r="P483" s="3" t="s">
        <v>45</v>
      </c>
      <c r="Q483" s="3" t="s">
        <v>45</v>
      </c>
      <c r="R483" s="3" t="s">
        <v>45</v>
      </c>
      <c r="S483" s="3" t="s">
        <v>45</v>
      </c>
      <c r="T483" s="3" t="s">
        <v>45</v>
      </c>
      <c r="U483" s="3" t="s">
        <v>45</v>
      </c>
      <c r="V483" s="4" t="s">
        <v>3260</v>
      </c>
      <c r="W483" s="4" t="s">
        <v>835</v>
      </c>
      <c r="X483" s="3" t="s">
        <v>45</v>
      </c>
      <c r="Y483" s="3" t="s">
        <v>45</v>
      </c>
      <c r="Z483" s="3" t="s">
        <v>45</v>
      </c>
      <c r="AA483" s="3" t="s">
        <v>45</v>
      </c>
      <c r="AB483" s="3" t="s">
        <v>56</v>
      </c>
      <c r="AC483" s="3" t="s">
        <v>45</v>
      </c>
      <c r="AD483" s="3" t="s">
        <v>45</v>
      </c>
      <c r="AE483" s="3" t="s">
        <v>45</v>
      </c>
      <c r="AF483" s="3" t="s">
        <v>45</v>
      </c>
      <c r="AG483" s="3" t="s">
        <v>45</v>
      </c>
      <c r="AH483" s="3" t="s">
        <v>57</v>
      </c>
      <c r="AI483" s="5" t="s">
        <v>4564</v>
      </c>
      <c r="AJ483" s="3" t="s">
        <v>45</v>
      </c>
      <c r="AK483" s="3" t="s">
        <v>45</v>
      </c>
      <c r="AL483" s="3" t="s">
        <v>45</v>
      </c>
      <c r="AM483" s="3" t="s">
        <v>45</v>
      </c>
      <c r="AN483" s="3" t="s">
        <v>45</v>
      </c>
      <c r="AO483" s="3" t="s">
        <v>45</v>
      </c>
      <c r="AP483" s="3" t="s">
        <v>45</v>
      </c>
      <c r="AQ483" s="4" t="s">
        <v>898</v>
      </c>
      <c r="AR483" s="4" t="s">
        <v>898</v>
      </c>
    </row>
    <row r="484">
      <c r="A484" s="3" t="s">
        <v>4536</v>
      </c>
      <c r="B484" s="3" t="s">
        <v>4565</v>
      </c>
      <c r="C484" s="3" t="s">
        <v>4566</v>
      </c>
      <c r="D484" s="3" t="s">
        <v>4528</v>
      </c>
      <c r="E484" s="4" t="s">
        <v>4567</v>
      </c>
      <c r="F484" s="3" t="s">
        <v>4224</v>
      </c>
      <c r="G484" s="4" t="s">
        <v>4568</v>
      </c>
      <c r="H484" s="4" t="s">
        <v>4569</v>
      </c>
      <c r="I484" s="3" t="s">
        <v>49</v>
      </c>
      <c r="J484" s="3" t="s">
        <v>126</v>
      </c>
      <c r="K484" s="3" t="s">
        <v>45</v>
      </c>
      <c r="L484" s="3" t="s">
        <v>45</v>
      </c>
      <c r="M484" s="3" t="s">
        <v>45</v>
      </c>
      <c r="N484" s="3" t="s">
        <v>45</v>
      </c>
      <c r="O484" s="3" t="s">
        <v>74</v>
      </c>
      <c r="P484" s="3" t="s">
        <v>45</v>
      </c>
      <c r="Q484" s="3" t="s">
        <v>45</v>
      </c>
      <c r="R484" s="3" t="s">
        <v>45</v>
      </c>
      <c r="S484" s="4" t="s">
        <v>472</v>
      </c>
      <c r="T484" s="3" t="s">
        <v>45</v>
      </c>
      <c r="U484" s="3" t="s">
        <v>45</v>
      </c>
      <c r="V484" s="4" t="s">
        <v>4570</v>
      </c>
      <c r="W484" s="4" t="s">
        <v>4571</v>
      </c>
      <c r="X484" s="3" t="s">
        <v>45</v>
      </c>
      <c r="Y484" s="3" t="s">
        <v>45</v>
      </c>
      <c r="Z484" s="3" t="s">
        <v>74</v>
      </c>
      <c r="AA484" s="3" t="s">
        <v>45</v>
      </c>
      <c r="AB484" s="3" t="s">
        <v>45</v>
      </c>
      <c r="AC484" s="3" t="s">
        <v>45</v>
      </c>
      <c r="AD484" s="3" t="s">
        <v>45</v>
      </c>
      <c r="AE484" s="3" t="s">
        <v>45</v>
      </c>
      <c r="AF484" s="3" t="s">
        <v>45</v>
      </c>
      <c r="AG484" s="3" t="s">
        <v>4572</v>
      </c>
      <c r="AH484" s="3" t="s">
        <v>57</v>
      </c>
      <c r="AI484" s="5" t="s">
        <v>4544</v>
      </c>
      <c r="AJ484" s="3" t="s">
        <v>45</v>
      </c>
      <c r="AK484" s="3" t="s">
        <v>45</v>
      </c>
      <c r="AL484" s="3" t="s">
        <v>45</v>
      </c>
      <c r="AM484" s="3" t="s">
        <v>45</v>
      </c>
      <c r="AN484" s="3" t="s">
        <v>45</v>
      </c>
      <c r="AO484" s="3" t="s">
        <v>45</v>
      </c>
      <c r="AP484" s="3" t="s">
        <v>45</v>
      </c>
      <c r="AQ484" s="4" t="s">
        <v>3252</v>
      </c>
      <c r="AR484" s="4" t="s">
        <v>3252</v>
      </c>
    </row>
    <row r="485">
      <c r="A485" s="3" t="s">
        <v>4573</v>
      </c>
      <c r="B485" s="3" t="s">
        <v>4574</v>
      </c>
      <c r="C485" s="3" t="s">
        <v>4575</v>
      </c>
      <c r="D485" s="3" t="s">
        <v>4528</v>
      </c>
      <c r="E485" s="4" t="s">
        <v>4576</v>
      </c>
      <c r="F485" s="3" t="s">
        <v>4577</v>
      </c>
      <c r="G485" s="4" t="s">
        <v>4578</v>
      </c>
      <c r="H485" s="4" t="s">
        <v>4579</v>
      </c>
      <c r="I485" s="3" t="s">
        <v>245</v>
      </c>
      <c r="J485" s="3" t="s">
        <v>126</v>
      </c>
      <c r="K485" s="3" t="s">
        <v>45</v>
      </c>
      <c r="L485" s="3" t="s">
        <v>176</v>
      </c>
      <c r="M485" s="3" t="s">
        <v>45</v>
      </c>
      <c r="N485" s="3" t="s">
        <v>45</v>
      </c>
      <c r="O485" s="3" t="s">
        <v>88</v>
      </c>
      <c r="P485" s="3" t="s">
        <v>45</v>
      </c>
      <c r="Q485" s="3" t="s">
        <v>45</v>
      </c>
      <c r="R485" s="3" t="s">
        <v>45</v>
      </c>
      <c r="S485" s="4" t="s">
        <v>104</v>
      </c>
      <c r="T485" s="3" t="s">
        <v>105</v>
      </c>
      <c r="U485" s="3" t="s">
        <v>4580</v>
      </c>
      <c r="V485" s="4" t="s">
        <v>2120</v>
      </c>
      <c r="W485" s="4" t="s">
        <v>4581</v>
      </c>
      <c r="X485" s="3" t="s">
        <v>4582</v>
      </c>
      <c r="Y485" s="3" t="s">
        <v>45</v>
      </c>
      <c r="Z485" s="3" t="s">
        <v>55</v>
      </c>
      <c r="AA485" s="3" t="s">
        <v>45</v>
      </c>
      <c r="AB485" s="3" t="s">
        <v>45</v>
      </c>
      <c r="AC485" s="3" t="s">
        <v>45</v>
      </c>
      <c r="AD485" s="5" t="s">
        <v>4583</v>
      </c>
      <c r="AE485" s="3" t="s">
        <v>45</v>
      </c>
      <c r="AF485" s="5" t="s">
        <v>4584</v>
      </c>
      <c r="AG485" s="3" t="s">
        <v>4585</v>
      </c>
      <c r="AH485" s="3" t="s">
        <v>57</v>
      </c>
      <c r="AI485" s="5" t="s">
        <v>4586</v>
      </c>
      <c r="AJ485" s="5" t="s">
        <v>4587</v>
      </c>
      <c r="AK485" s="5" t="s">
        <v>4588</v>
      </c>
      <c r="AL485" s="5" t="s">
        <v>4589</v>
      </c>
      <c r="AM485" s="5" t="s">
        <v>4590</v>
      </c>
      <c r="AN485" s="5" t="s">
        <v>4591</v>
      </c>
      <c r="AO485" s="5" t="s">
        <v>4592</v>
      </c>
      <c r="AP485" s="5" t="s">
        <v>4593</v>
      </c>
      <c r="AQ485" s="4" t="s">
        <v>636</v>
      </c>
      <c r="AR485" s="4" t="s">
        <v>380</v>
      </c>
    </row>
    <row r="486">
      <c r="A486" s="3" t="s">
        <v>4594</v>
      </c>
      <c r="B486" s="3" t="s">
        <v>4595</v>
      </c>
      <c r="C486" s="3" t="s">
        <v>4596</v>
      </c>
      <c r="D486" s="3" t="s">
        <v>4528</v>
      </c>
      <c r="E486" s="4" t="s">
        <v>4597</v>
      </c>
      <c r="F486" s="3" t="s">
        <v>4598</v>
      </c>
      <c r="G486" s="4" t="s">
        <v>4599</v>
      </c>
      <c r="H486" s="4" t="s">
        <v>4600</v>
      </c>
      <c r="I486" s="3" t="s">
        <v>49</v>
      </c>
      <c r="J486" s="3" t="s">
        <v>126</v>
      </c>
      <c r="K486" s="3" t="s">
        <v>45</v>
      </c>
      <c r="L486" s="3" t="s">
        <v>45</v>
      </c>
      <c r="M486" s="3" t="s">
        <v>45</v>
      </c>
      <c r="N486" s="3" t="s">
        <v>45</v>
      </c>
      <c r="O486" s="3" t="s">
        <v>74</v>
      </c>
      <c r="P486" s="3" t="s">
        <v>45</v>
      </c>
      <c r="Q486" s="3" t="s">
        <v>45</v>
      </c>
      <c r="R486" s="3" t="s">
        <v>45</v>
      </c>
      <c r="S486" s="3" t="s">
        <v>45</v>
      </c>
      <c r="T486" s="3" t="s">
        <v>45</v>
      </c>
      <c r="U486" s="3" t="s">
        <v>45</v>
      </c>
      <c r="V486" s="4" t="s">
        <v>4601</v>
      </c>
      <c r="W486" s="3" t="s">
        <v>45</v>
      </c>
      <c r="X486" s="3" t="s">
        <v>45</v>
      </c>
      <c r="Y486" s="3" t="s">
        <v>45</v>
      </c>
      <c r="Z486" s="3" t="s">
        <v>74</v>
      </c>
      <c r="AA486" s="3" t="s">
        <v>45</v>
      </c>
      <c r="AB486" s="3" t="s">
        <v>45</v>
      </c>
      <c r="AC486" s="3" t="s">
        <v>45</v>
      </c>
      <c r="AD486" s="3" t="s">
        <v>45</v>
      </c>
      <c r="AE486" s="3" t="s">
        <v>45</v>
      </c>
      <c r="AF486" s="3" t="s">
        <v>45</v>
      </c>
      <c r="AG486" s="3" t="s">
        <v>4602</v>
      </c>
      <c r="AH486" s="3" t="s">
        <v>57</v>
      </c>
      <c r="AI486" s="5" t="s">
        <v>4603</v>
      </c>
      <c r="AJ486" s="3" t="s">
        <v>45</v>
      </c>
      <c r="AK486" s="3" t="s">
        <v>45</v>
      </c>
      <c r="AL486" s="3" t="s">
        <v>45</v>
      </c>
      <c r="AM486" s="3" t="s">
        <v>45</v>
      </c>
      <c r="AN486" s="3" t="s">
        <v>45</v>
      </c>
      <c r="AO486" s="3" t="s">
        <v>45</v>
      </c>
      <c r="AP486" s="3" t="s">
        <v>45</v>
      </c>
      <c r="AQ486" s="4" t="s">
        <v>603</v>
      </c>
      <c r="AR486" s="4" t="s">
        <v>603</v>
      </c>
    </row>
    <row r="487">
      <c r="A487" s="3" t="s">
        <v>4604</v>
      </c>
      <c r="B487" s="3" t="s">
        <v>4605</v>
      </c>
      <c r="C487" s="3" t="s">
        <v>4606</v>
      </c>
      <c r="D487" s="3" t="s">
        <v>4528</v>
      </c>
      <c r="E487" s="4" t="s">
        <v>4607</v>
      </c>
      <c r="F487" s="3" t="s">
        <v>4608</v>
      </c>
      <c r="G487" s="4" t="s">
        <v>4609</v>
      </c>
      <c r="H487" s="4" t="s">
        <v>4610</v>
      </c>
      <c r="I487" s="3" t="s">
        <v>49</v>
      </c>
      <c r="J487" s="3" t="s">
        <v>4611</v>
      </c>
      <c r="K487" s="3" t="s">
        <v>45</v>
      </c>
      <c r="L487" s="3" t="s">
        <v>4612</v>
      </c>
      <c r="M487" s="3" t="s">
        <v>45</v>
      </c>
      <c r="N487" s="3" t="s">
        <v>45</v>
      </c>
      <c r="O487" s="3" t="s">
        <v>74</v>
      </c>
      <c r="P487" s="3" t="s">
        <v>45</v>
      </c>
      <c r="Q487" s="3" t="s">
        <v>45</v>
      </c>
      <c r="R487" s="3" t="s">
        <v>45</v>
      </c>
      <c r="S487" s="3" t="s">
        <v>45</v>
      </c>
      <c r="T487" s="3" t="s">
        <v>45</v>
      </c>
      <c r="U487" s="3" t="s">
        <v>45</v>
      </c>
      <c r="V487" s="4" t="s">
        <v>260</v>
      </c>
      <c r="W487" s="4" t="s">
        <v>3343</v>
      </c>
      <c r="X487" s="3" t="s">
        <v>1977</v>
      </c>
      <c r="Y487" s="3" t="s">
        <v>45</v>
      </c>
      <c r="Z487" s="3" t="s">
        <v>55</v>
      </c>
      <c r="AA487" s="3" t="s">
        <v>45</v>
      </c>
      <c r="AB487" s="3" t="s">
        <v>45</v>
      </c>
      <c r="AC487" s="3" t="s">
        <v>45</v>
      </c>
      <c r="AD487" s="3" t="s">
        <v>45</v>
      </c>
      <c r="AE487" s="3" t="s">
        <v>45</v>
      </c>
      <c r="AF487" s="5" t="s">
        <v>4613</v>
      </c>
      <c r="AG487" s="3" t="s">
        <v>45</v>
      </c>
      <c r="AH487" s="3" t="s">
        <v>57</v>
      </c>
      <c r="AI487" s="5" t="s">
        <v>4614</v>
      </c>
      <c r="AJ487" s="5" t="s">
        <v>4615</v>
      </c>
      <c r="AK487" s="3" t="s">
        <v>45</v>
      </c>
      <c r="AL487" s="3" t="s">
        <v>45</v>
      </c>
      <c r="AM487" s="3" t="s">
        <v>45</v>
      </c>
      <c r="AN487" s="3" t="s">
        <v>45</v>
      </c>
      <c r="AO487" s="3" t="s">
        <v>45</v>
      </c>
      <c r="AP487" s="3" t="s">
        <v>45</v>
      </c>
      <c r="AQ487" s="4" t="s">
        <v>1754</v>
      </c>
      <c r="AR487" s="4" t="s">
        <v>1754</v>
      </c>
    </row>
    <row r="488">
      <c r="A488" s="3" t="s">
        <v>4616</v>
      </c>
      <c r="B488" s="3" t="s">
        <v>4617</v>
      </c>
      <c r="C488" s="3" t="s">
        <v>4618</v>
      </c>
      <c r="D488" s="3" t="s">
        <v>4528</v>
      </c>
      <c r="E488" s="4" t="s">
        <v>4619</v>
      </c>
      <c r="F488" s="3" t="s">
        <v>4620</v>
      </c>
      <c r="G488" s="4" t="s">
        <v>4621</v>
      </c>
      <c r="H488" s="4" t="s">
        <v>4622</v>
      </c>
      <c r="I488" s="3" t="s">
        <v>49</v>
      </c>
      <c r="J488" s="3" t="s">
        <v>126</v>
      </c>
      <c r="K488" s="3" t="s">
        <v>45</v>
      </c>
      <c r="L488" s="3" t="s">
        <v>4623</v>
      </c>
      <c r="M488" s="3" t="s">
        <v>45</v>
      </c>
      <c r="N488" s="3" t="s">
        <v>4624</v>
      </c>
      <c r="O488" s="3" t="s">
        <v>70</v>
      </c>
      <c r="P488" s="3" t="s">
        <v>1095</v>
      </c>
      <c r="Q488" s="3" t="s">
        <v>45</v>
      </c>
      <c r="R488" s="3" t="s">
        <v>45</v>
      </c>
      <c r="S488" s="3" t="s">
        <v>45</v>
      </c>
      <c r="T488" s="3" t="s">
        <v>45</v>
      </c>
      <c r="U488" s="3" t="s">
        <v>45</v>
      </c>
      <c r="V488" s="4" t="s">
        <v>260</v>
      </c>
      <c r="W488" s="4" t="s">
        <v>4625</v>
      </c>
      <c r="X488" s="3" t="s">
        <v>45</v>
      </c>
      <c r="Y488" s="3" t="s">
        <v>45</v>
      </c>
      <c r="Z488" s="3" t="s">
        <v>55</v>
      </c>
      <c r="AA488" s="3" t="s">
        <v>4626</v>
      </c>
      <c r="AB488" s="3" t="s">
        <v>56</v>
      </c>
      <c r="AC488" s="3" t="s">
        <v>45</v>
      </c>
      <c r="AD488" s="5" t="s">
        <v>4627</v>
      </c>
      <c r="AE488" s="3" t="s">
        <v>45</v>
      </c>
      <c r="AF488" s="5" t="s">
        <v>4628</v>
      </c>
      <c r="AG488" s="3" t="s">
        <v>4629</v>
      </c>
      <c r="AH488" s="3" t="s">
        <v>57</v>
      </c>
      <c r="AI488" s="5" t="s">
        <v>4630</v>
      </c>
      <c r="AJ488" s="5" t="s">
        <v>4631</v>
      </c>
      <c r="AK488" s="5" t="s">
        <v>4632</v>
      </c>
      <c r="AL488" s="5" t="s">
        <v>4633</v>
      </c>
      <c r="AM488" s="3" t="s">
        <v>45</v>
      </c>
      <c r="AN488" s="3" t="s">
        <v>45</v>
      </c>
      <c r="AO488" s="3" t="s">
        <v>45</v>
      </c>
      <c r="AP488" s="3" t="s">
        <v>45</v>
      </c>
      <c r="AQ488" s="4" t="s">
        <v>4634</v>
      </c>
      <c r="AR488" s="4" t="s">
        <v>4635</v>
      </c>
    </row>
    <row r="489">
      <c r="A489" s="3" t="s">
        <v>4636</v>
      </c>
      <c r="B489" s="3" t="s">
        <v>4637</v>
      </c>
      <c r="C489" s="3" t="s">
        <v>4638</v>
      </c>
      <c r="D489" s="3" t="s">
        <v>4528</v>
      </c>
      <c r="E489" s="4" t="s">
        <v>4639</v>
      </c>
      <c r="F489" s="3" t="s">
        <v>4640</v>
      </c>
      <c r="G489" s="4" t="s">
        <v>4641</v>
      </c>
      <c r="H489" s="4" t="s">
        <v>4642</v>
      </c>
      <c r="I489" s="3" t="s">
        <v>245</v>
      </c>
      <c r="J489" s="3" t="s">
        <v>126</v>
      </c>
      <c r="K489" s="3" t="s">
        <v>45</v>
      </c>
      <c r="L489" s="3" t="s">
        <v>45</v>
      </c>
      <c r="M489" s="3" t="s">
        <v>45</v>
      </c>
      <c r="N489" s="3" t="s">
        <v>4643</v>
      </c>
      <c r="O489" s="3" t="s">
        <v>88</v>
      </c>
      <c r="P489" s="3" t="s">
        <v>1095</v>
      </c>
      <c r="Q489" s="3" t="s">
        <v>45</v>
      </c>
      <c r="R489" s="3" t="s">
        <v>45</v>
      </c>
      <c r="S489" s="3" t="s">
        <v>45</v>
      </c>
      <c r="T489" s="3" t="s">
        <v>45</v>
      </c>
      <c r="U489" s="3" t="s">
        <v>45</v>
      </c>
      <c r="V489" s="3" t="s">
        <v>45</v>
      </c>
      <c r="W489" s="3" t="s">
        <v>45</v>
      </c>
      <c r="X489" s="3" t="s">
        <v>45</v>
      </c>
      <c r="Y489" s="4" t="s">
        <v>957</v>
      </c>
      <c r="Z489" s="3" t="s">
        <v>74</v>
      </c>
      <c r="AA489" s="3" t="s">
        <v>45</v>
      </c>
      <c r="AB489" s="3" t="s">
        <v>45</v>
      </c>
      <c r="AC489" s="3" t="s">
        <v>45</v>
      </c>
      <c r="AD489" s="3" t="s">
        <v>45</v>
      </c>
      <c r="AE489" s="3" t="s">
        <v>45</v>
      </c>
      <c r="AF489" s="3" t="s">
        <v>45</v>
      </c>
      <c r="AG489" s="3" t="s">
        <v>45</v>
      </c>
      <c r="AH489" s="3" t="s">
        <v>57</v>
      </c>
      <c r="AI489" s="5" t="s">
        <v>4644</v>
      </c>
      <c r="AJ489" s="5" t="s">
        <v>4645</v>
      </c>
      <c r="AK489" s="3" t="s">
        <v>45</v>
      </c>
      <c r="AL489" s="3" t="s">
        <v>45</v>
      </c>
      <c r="AM489" s="3" t="s">
        <v>45</v>
      </c>
      <c r="AN489" s="3" t="s">
        <v>45</v>
      </c>
      <c r="AO489" s="3" t="s">
        <v>45</v>
      </c>
      <c r="AP489" s="3" t="s">
        <v>45</v>
      </c>
      <c r="AQ489" s="4" t="s">
        <v>1728</v>
      </c>
      <c r="AR489" s="4" t="s">
        <v>1589</v>
      </c>
    </row>
    <row r="490">
      <c r="A490" s="3" t="s">
        <v>4646</v>
      </c>
      <c r="B490" s="3" t="s">
        <v>4647</v>
      </c>
      <c r="C490" s="3" t="s">
        <v>1362</v>
      </c>
      <c r="D490" s="3" t="s">
        <v>4648</v>
      </c>
      <c r="E490" s="4" t="s">
        <v>4649</v>
      </c>
      <c r="F490" s="3" t="s">
        <v>287</v>
      </c>
      <c r="G490" s="4" t="s">
        <v>4650</v>
      </c>
      <c r="H490" s="4" t="s">
        <v>4651</v>
      </c>
      <c r="I490" s="3" t="s">
        <v>49</v>
      </c>
      <c r="J490" s="3" t="s">
        <v>126</v>
      </c>
      <c r="K490" s="3" t="s">
        <v>45</v>
      </c>
      <c r="L490" s="3" t="s">
        <v>45</v>
      </c>
      <c r="M490" s="3" t="s">
        <v>45</v>
      </c>
      <c r="N490" s="3" t="s">
        <v>45</v>
      </c>
      <c r="O490" s="3" t="s">
        <v>74</v>
      </c>
      <c r="P490" s="3" t="s">
        <v>45</v>
      </c>
      <c r="Q490" s="3" t="s">
        <v>45</v>
      </c>
      <c r="R490" s="3" t="s">
        <v>45</v>
      </c>
      <c r="S490" s="3" t="s">
        <v>45</v>
      </c>
      <c r="T490" s="3" t="s">
        <v>45</v>
      </c>
      <c r="U490" s="3" t="s">
        <v>45</v>
      </c>
      <c r="V490" s="3" t="s">
        <v>45</v>
      </c>
      <c r="W490" s="4" t="s">
        <v>437</v>
      </c>
      <c r="X490" s="3" t="s">
        <v>45</v>
      </c>
      <c r="Y490" s="3" t="s">
        <v>45</v>
      </c>
      <c r="Z490" s="3" t="s">
        <v>55</v>
      </c>
      <c r="AA490" s="3" t="s">
        <v>45</v>
      </c>
      <c r="AB490" s="3" t="s">
        <v>45</v>
      </c>
      <c r="AC490" s="3" t="s">
        <v>45</v>
      </c>
      <c r="AD490" s="3" t="s">
        <v>45</v>
      </c>
      <c r="AE490" s="3" t="s">
        <v>45</v>
      </c>
      <c r="AF490" s="3" t="s">
        <v>45</v>
      </c>
      <c r="AG490" s="3" t="s">
        <v>45</v>
      </c>
      <c r="AH490" s="3" t="s">
        <v>57</v>
      </c>
      <c r="AI490" s="5" t="s">
        <v>4652</v>
      </c>
      <c r="AJ490" s="5" t="s">
        <v>4653</v>
      </c>
      <c r="AK490" s="3" t="s">
        <v>45</v>
      </c>
      <c r="AL490" s="3" t="s">
        <v>45</v>
      </c>
      <c r="AM490" s="3" t="s">
        <v>45</v>
      </c>
      <c r="AN490" s="3" t="s">
        <v>45</v>
      </c>
      <c r="AO490" s="3" t="s">
        <v>45</v>
      </c>
      <c r="AP490" s="3" t="s">
        <v>45</v>
      </c>
      <c r="AQ490" s="4" t="s">
        <v>1203</v>
      </c>
      <c r="AR490" s="4" t="s">
        <v>1203</v>
      </c>
    </row>
    <row r="491">
      <c r="A491" s="3" t="s">
        <v>4654</v>
      </c>
      <c r="B491" s="3" t="s">
        <v>4655</v>
      </c>
      <c r="C491" s="3" t="s">
        <v>4656</v>
      </c>
      <c r="D491" s="3" t="s">
        <v>4648</v>
      </c>
      <c r="E491" s="4" t="s">
        <v>4657</v>
      </c>
      <c r="F491" s="3" t="s">
        <v>123</v>
      </c>
      <c r="G491" s="4" t="s">
        <v>4658</v>
      </c>
      <c r="H491" s="4" t="s">
        <v>4659</v>
      </c>
      <c r="I491" s="3" t="s">
        <v>49</v>
      </c>
      <c r="J491" s="3" t="s">
        <v>4611</v>
      </c>
      <c r="K491" s="3" t="s">
        <v>45</v>
      </c>
      <c r="L491" s="3" t="s">
        <v>4660</v>
      </c>
      <c r="M491" s="3" t="s">
        <v>45</v>
      </c>
      <c r="N491" s="3" t="s">
        <v>45</v>
      </c>
      <c r="O491" s="3" t="s">
        <v>88</v>
      </c>
      <c r="P491" s="3" t="s">
        <v>45</v>
      </c>
      <c r="Q491" s="3" t="s">
        <v>45</v>
      </c>
      <c r="R491" s="3" t="s">
        <v>45</v>
      </c>
      <c r="S491" s="3" t="s">
        <v>45</v>
      </c>
      <c r="T491" s="3" t="s">
        <v>45</v>
      </c>
      <c r="U491" s="3" t="s">
        <v>45</v>
      </c>
      <c r="V491" s="3" t="s">
        <v>45</v>
      </c>
      <c r="W491" s="4" t="s">
        <v>178</v>
      </c>
      <c r="X491" s="3" t="s">
        <v>192</v>
      </c>
      <c r="Y491" s="3" t="s">
        <v>45</v>
      </c>
      <c r="Z491" s="3" t="s">
        <v>55</v>
      </c>
      <c r="AA491" s="3" t="s">
        <v>4661</v>
      </c>
      <c r="AB491" s="3" t="s">
        <v>45</v>
      </c>
      <c r="AC491" s="3" t="s">
        <v>45</v>
      </c>
      <c r="AD491" s="3" t="s">
        <v>45</v>
      </c>
      <c r="AE491" s="3" t="s">
        <v>45</v>
      </c>
      <c r="AF491" s="3" t="s">
        <v>45</v>
      </c>
      <c r="AG491" s="3" t="s">
        <v>4662</v>
      </c>
      <c r="AH491" s="3" t="s">
        <v>57</v>
      </c>
      <c r="AI491" s="5" t="s">
        <v>4663</v>
      </c>
      <c r="AJ491" s="5" t="s">
        <v>4663</v>
      </c>
      <c r="AK491" s="5" t="s">
        <v>4664</v>
      </c>
      <c r="AL491" s="3" t="s">
        <v>45</v>
      </c>
      <c r="AM491" s="3" t="s">
        <v>45</v>
      </c>
      <c r="AN491" s="3" t="s">
        <v>45</v>
      </c>
      <c r="AO491" s="3" t="s">
        <v>45</v>
      </c>
      <c r="AP491" s="3" t="s">
        <v>45</v>
      </c>
      <c r="AQ491" s="4" t="s">
        <v>757</v>
      </c>
      <c r="AR491" s="4" t="s">
        <v>757</v>
      </c>
    </row>
    <row r="492">
      <c r="A492" s="3" t="s">
        <v>4665</v>
      </c>
      <c r="B492" s="3" t="s">
        <v>4666</v>
      </c>
      <c r="C492" s="3" t="s">
        <v>4667</v>
      </c>
      <c r="D492" s="3" t="s">
        <v>4648</v>
      </c>
      <c r="E492" s="4" t="s">
        <v>4668</v>
      </c>
      <c r="F492" s="3" t="s">
        <v>173</v>
      </c>
      <c r="G492" s="4" t="s">
        <v>4669</v>
      </c>
      <c r="H492" s="4" t="s">
        <v>4670</v>
      </c>
      <c r="I492" s="3" t="s">
        <v>218</v>
      </c>
      <c r="J492" s="3" t="s">
        <v>126</v>
      </c>
      <c r="K492" s="3" t="s">
        <v>4671</v>
      </c>
      <c r="L492" s="3" t="s">
        <v>4672</v>
      </c>
      <c r="M492" s="3" t="s">
        <v>45</v>
      </c>
      <c r="N492" s="4" t="s">
        <v>4673</v>
      </c>
      <c r="O492" s="3" t="s">
        <v>88</v>
      </c>
      <c r="P492" s="3" t="s">
        <v>45</v>
      </c>
      <c r="Q492" s="3" t="s">
        <v>45</v>
      </c>
      <c r="R492" s="3" t="s">
        <v>45</v>
      </c>
      <c r="S492" s="4" t="s">
        <v>52</v>
      </c>
      <c r="T492" s="3" t="s">
        <v>45</v>
      </c>
      <c r="U492" s="3" t="s">
        <v>221</v>
      </c>
      <c r="V492" s="4" t="s">
        <v>2565</v>
      </c>
      <c r="W492" s="3" t="s">
        <v>45</v>
      </c>
      <c r="X492" s="3" t="s">
        <v>4674</v>
      </c>
      <c r="Y492" s="3" t="s">
        <v>45</v>
      </c>
      <c r="Z492" s="3" t="s">
        <v>55</v>
      </c>
      <c r="AA492" s="3" t="s">
        <v>45</v>
      </c>
      <c r="AB492" s="3" t="s">
        <v>45</v>
      </c>
      <c r="AC492" s="3" t="s">
        <v>45</v>
      </c>
      <c r="AD492" s="3" t="s">
        <v>45</v>
      </c>
      <c r="AE492" s="3" t="s">
        <v>45</v>
      </c>
      <c r="AF492" s="5" t="s">
        <v>4675</v>
      </c>
      <c r="AG492" s="3" t="s">
        <v>4676</v>
      </c>
      <c r="AH492" s="3" t="s">
        <v>57</v>
      </c>
      <c r="AI492" s="5" t="s">
        <v>4677</v>
      </c>
      <c r="AJ492" s="5" t="s">
        <v>4678</v>
      </c>
      <c r="AK492" s="5" t="s">
        <v>4679</v>
      </c>
      <c r="AL492" s="5" t="s">
        <v>4680</v>
      </c>
      <c r="AM492" s="5" t="s">
        <v>4681</v>
      </c>
      <c r="AN492" s="3" t="s">
        <v>45</v>
      </c>
      <c r="AO492" s="3" t="s">
        <v>45</v>
      </c>
      <c r="AP492" s="3" t="s">
        <v>45</v>
      </c>
      <c r="AQ492" s="4" t="s">
        <v>324</v>
      </c>
      <c r="AR492" s="4" t="s">
        <v>457</v>
      </c>
    </row>
    <row r="493">
      <c r="A493" s="3" t="s">
        <v>4682</v>
      </c>
      <c r="B493" s="3" t="s">
        <v>4683</v>
      </c>
      <c r="C493" s="3" t="s">
        <v>4667</v>
      </c>
      <c r="D493" s="3" t="s">
        <v>4648</v>
      </c>
      <c r="E493" s="4" t="s">
        <v>4668</v>
      </c>
      <c r="F493" s="3" t="s">
        <v>173</v>
      </c>
      <c r="G493" s="4" t="s">
        <v>4684</v>
      </c>
      <c r="H493" s="4" t="s">
        <v>4685</v>
      </c>
      <c r="I493" s="3" t="s">
        <v>49</v>
      </c>
      <c r="J493" s="3" t="s">
        <v>126</v>
      </c>
      <c r="K493" s="3" t="s">
        <v>45</v>
      </c>
      <c r="L493" s="3" t="s">
        <v>45</v>
      </c>
      <c r="M493" s="3" t="s">
        <v>45</v>
      </c>
      <c r="N493" s="3" t="s">
        <v>45</v>
      </c>
      <c r="O493" s="3" t="s">
        <v>74</v>
      </c>
      <c r="P493" s="3" t="s">
        <v>45</v>
      </c>
      <c r="Q493" s="3" t="s">
        <v>45</v>
      </c>
      <c r="R493" s="3" t="s">
        <v>45</v>
      </c>
      <c r="S493" s="3" t="s">
        <v>45</v>
      </c>
      <c r="T493" s="3" t="s">
        <v>45</v>
      </c>
      <c r="U493" s="3" t="s">
        <v>45</v>
      </c>
      <c r="V493" s="3" t="s">
        <v>45</v>
      </c>
      <c r="W493" s="3" t="s">
        <v>45</v>
      </c>
      <c r="X493" s="3" t="s">
        <v>4686</v>
      </c>
      <c r="Y493" s="3" t="s">
        <v>45</v>
      </c>
      <c r="Z493" s="3" t="s">
        <v>74</v>
      </c>
      <c r="AA493" s="3" t="s">
        <v>45</v>
      </c>
      <c r="AB493" s="3" t="s">
        <v>45</v>
      </c>
      <c r="AC493" s="3" t="s">
        <v>45</v>
      </c>
      <c r="AD493" s="3" t="s">
        <v>45</v>
      </c>
      <c r="AE493" s="3" t="s">
        <v>45</v>
      </c>
      <c r="AF493" s="3" t="s">
        <v>45</v>
      </c>
      <c r="AG493" s="3" t="s">
        <v>45</v>
      </c>
      <c r="AH493" s="3" t="s">
        <v>57</v>
      </c>
      <c r="AI493" s="5" t="s">
        <v>4687</v>
      </c>
      <c r="AJ493" s="3" t="s">
        <v>45</v>
      </c>
      <c r="AK493" s="3" t="s">
        <v>45</v>
      </c>
      <c r="AL493" s="3" t="s">
        <v>45</v>
      </c>
      <c r="AM493" s="3" t="s">
        <v>45</v>
      </c>
      <c r="AN493" s="3" t="s">
        <v>45</v>
      </c>
      <c r="AO493" s="3" t="s">
        <v>45</v>
      </c>
      <c r="AP493" s="3" t="s">
        <v>45</v>
      </c>
      <c r="AQ493" s="4" t="s">
        <v>60</v>
      </c>
      <c r="AR493" s="4" t="s">
        <v>60</v>
      </c>
    </row>
    <row r="494">
      <c r="A494" s="3" t="s">
        <v>4688</v>
      </c>
      <c r="B494" s="3" t="s">
        <v>4689</v>
      </c>
      <c r="C494" s="3" t="s">
        <v>4690</v>
      </c>
      <c r="D494" s="3" t="s">
        <v>4648</v>
      </c>
      <c r="E494" s="4" t="s">
        <v>4691</v>
      </c>
      <c r="F494" s="3" t="s">
        <v>3615</v>
      </c>
      <c r="G494" s="4" t="s">
        <v>4692</v>
      </c>
      <c r="H494" s="4" t="s">
        <v>4693</v>
      </c>
      <c r="I494" s="3" t="s">
        <v>218</v>
      </c>
      <c r="J494" s="3" t="s">
        <v>126</v>
      </c>
      <c r="K494" s="3" t="s">
        <v>45</v>
      </c>
      <c r="L494" s="3" t="s">
        <v>45</v>
      </c>
      <c r="M494" s="3" t="s">
        <v>45</v>
      </c>
      <c r="N494" s="4" t="s">
        <v>419</v>
      </c>
      <c r="O494" s="3" t="s">
        <v>88</v>
      </c>
      <c r="P494" s="3" t="s">
        <v>45</v>
      </c>
      <c r="Q494" s="3" t="s">
        <v>45</v>
      </c>
      <c r="R494" s="3" t="s">
        <v>45</v>
      </c>
      <c r="S494" s="3" t="s">
        <v>45</v>
      </c>
      <c r="T494" s="3" t="s">
        <v>45</v>
      </c>
      <c r="U494" s="3" t="s">
        <v>45</v>
      </c>
      <c r="V494" s="3" t="s">
        <v>45</v>
      </c>
      <c r="W494" s="4" t="s">
        <v>2222</v>
      </c>
      <c r="X494" s="3" t="s">
        <v>45</v>
      </c>
      <c r="Y494" s="3" t="s">
        <v>45</v>
      </c>
      <c r="Z494" s="3" t="s">
        <v>55</v>
      </c>
      <c r="AA494" s="3" t="s">
        <v>45</v>
      </c>
      <c r="AB494" s="3" t="s">
        <v>45</v>
      </c>
      <c r="AC494" s="3" t="s">
        <v>45</v>
      </c>
      <c r="AD494" s="3" t="s">
        <v>45</v>
      </c>
      <c r="AE494" s="3" t="s">
        <v>45</v>
      </c>
      <c r="AF494" s="5" t="s">
        <v>4694</v>
      </c>
      <c r="AG494" s="3" t="s">
        <v>45</v>
      </c>
      <c r="AH494" s="3" t="s">
        <v>57</v>
      </c>
      <c r="AI494" s="5" t="s">
        <v>4695</v>
      </c>
      <c r="AJ494" s="3" t="s">
        <v>45</v>
      </c>
      <c r="AK494" s="3" t="s">
        <v>45</v>
      </c>
      <c r="AL494" s="3" t="s">
        <v>45</v>
      </c>
      <c r="AM494" s="3" t="s">
        <v>45</v>
      </c>
      <c r="AN494" s="3" t="s">
        <v>45</v>
      </c>
      <c r="AO494" s="3" t="s">
        <v>45</v>
      </c>
      <c r="AP494" s="3" t="s">
        <v>45</v>
      </c>
      <c r="AQ494" s="4" t="s">
        <v>948</v>
      </c>
      <c r="AR494" s="4" t="s">
        <v>948</v>
      </c>
    </row>
    <row r="495">
      <c r="A495" s="3" t="s">
        <v>1077</v>
      </c>
      <c r="B495" s="3" t="s">
        <v>45</v>
      </c>
      <c r="C495" s="3" t="s">
        <v>3672</v>
      </c>
      <c r="D495" s="3" t="s">
        <v>4648</v>
      </c>
      <c r="E495" s="3" t="s">
        <v>45</v>
      </c>
      <c r="F495" s="3" t="s">
        <v>173</v>
      </c>
      <c r="G495" s="4" t="s">
        <v>4696</v>
      </c>
      <c r="H495" s="4" t="s">
        <v>4697</v>
      </c>
      <c r="I495" s="3" t="s">
        <v>49</v>
      </c>
      <c r="J495" s="3" t="s">
        <v>99</v>
      </c>
      <c r="K495" s="3" t="s">
        <v>45</v>
      </c>
      <c r="L495" s="3" t="s">
        <v>45</v>
      </c>
      <c r="M495" s="3" t="s">
        <v>45</v>
      </c>
      <c r="N495" s="4" t="s">
        <v>102</v>
      </c>
      <c r="O495" s="3" t="s">
        <v>88</v>
      </c>
      <c r="P495" s="3" t="s">
        <v>45</v>
      </c>
      <c r="Q495" s="3" t="s">
        <v>45</v>
      </c>
      <c r="R495" s="3" t="s">
        <v>45</v>
      </c>
      <c r="S495" s="3" t="s">
        <v>45</v>
      </c>
      <c r="T495" s="3" t="s">
        <v>45</v>
      </c>
      <c r="U495" s="3" t="s">
        <v>45</v>
      </c>
      <c r="V495" s="3" t="s">
        <v>45</v>
      </c>
      <c r="W495" s="4" t="s">
        <v>4698</v>
      </c>
      <c r="X495" s="3" t="s">
        <v>45</v>
      </c>
      <c r="Y495" s="3" t="s">
        <v>45</v>
      </c>
      <c r="Z495" s="3" t="s">
        <v>74</v>
      </c>
      <c r="AA495" s="3" t="s">
        <v>45</v>
      </c>
      <c r="AB495" s="3" t="s">
        <v>45</v>
      </c>
      <c r="AC495" s="3" t="s">
        <v>45</v>
      </c>
      <c r="AD495" s="3" t="s">
        <v>45</v>
      </c>
      <c r="AE495" s="3" t="s">
        <v>45</v>
      </c>
      <c r="AF495" s="3" t="s">
        <v>45</v>
      </c>
      <c r="AG495" s="3" t="s">
        <v>45</v>
      </c>
      <c r="AH495" s="3" t="s">
        <v>57</v>
      </c>
      <c r="AI495" s="5" t="s">
        <v>1084</v>
      </c>
      <c r="AJ495" s="3" t="s">
        <v>45</v>
      </c>
      <c r="AK495" s="3" t="s">
        <v>45</v>
      </c>
      <c r="AL495" s="3" t="s">
        <v>45</v>
      </c>
      <c r="AM495" s="3" t="s">
        <v>45</v>
      </c>
      <c r="AN495" s="3" t="s">
        <v>45</v>
      </c>
      <c r="AO495" s="3" t="s">
        <v>45</v>
      </c>
      <c r="AP495" s="3" t="s">
        <v>45</v>
      </c>
      <c r="AQ495" s="4" t="s">
        <v>1085</v>
      </c>
      <c r="AR495" s="4" t="s">
        <v>1085</v>
      </c>
    </row>
    <row r="496">
      <c r="A496" s="3" t="s">
        <v>4699</v>
      </c>
      <c r="B496" s="3" t="s">
        <v>4700</v>
      </c>
      <c r="C496" s="3" t="s">
        <v>3672</v>
      </c>
      <c r="D496" s="3" t="s">
        <v>4648</v>
      </c>
      <c r="E496" s="4" t="s">
        <v>4701</v>
      </c>
      <c r="F496" s="3" t="s">
        <v>4702</v>
      </c>
      <c r="G496" s="4" t="s">
        <v>4703</v>
      </c>
      <c r="H496" s="4" t="s">
        <v>4704</v>
      </c>
      <c r="I496" s="3" t="s">
        <v>85</v>
      </c>
      <c r="J496" s="3" t="s">
        <v>126</v>
      </c>
      <c r="K496" s="3" t="s">
        <v>45</v>
      </c>
      <c r="L496" s="3" t="s">
        <v>210</v>
      </c>
      <c r="M496" s="3" t="s">
        <v>45</v>
      </c>
      <c r="N496" s="3" t="s">
        <v>45</v>
      </c>
      <c r="O496" s="3" t="s">
        <v>74</v>
      </c>
      <c r="P496" s="3" t="s">
        <v>45</v>
      </c>
      <c r="Q496" s="3" t="s">
        <v>45</v>
      </c>
      <c r="R496" s="3" t="s">
        <v>45</v>
      </c>
      <c r="S496" s="3" t="s">
        <v>45</v>
      </c>
      <c r="T496" s="3" t="s">
        <v>45</v>
      </c>
      <c r="U496" s="3" t="s">
        <v>45</v>
      </c>
      <c r="V496" s="4" t="s">
        <v>106</v>
      </c>
      <c r="W496" s="4" t="s">
        <v>102</v>
      </c>
      <c r="X496" s="3" t="s">
        <v>223</v>
      </c>
      <c r="Y496" s="3" t="s">
        <v>45</v>
      </c>
      <c r="Z496" s="3" t="s">
        <v>74</v>
      </c>
      <c r="AA496" s="3" t="s">
        <v>45</v>
      </c>
      <c r="AB496" s="3" t="s">
        <v>45</v>
      </c>
      <c r="AC496" s="3" t="s">
        <v>45</v>
      </c>
      <c r="AD496" s="3" t="s">
        <v>45</v>
      </c>
      <c r="AE496" s="3" t="s">
        <v>45</v>
      </c>
      <c r="AF496" s="3" t="s">
        <v>45</v>
      </c>
      <c r="AG496" s="3" t="s">
        <v>4705</v>
      </c>
      <c r="AH496" s="3" t="s">
        <v>57</v>
      </c>
      <c r="AI496" s="5" t="s">
        <v>4706</v>
      </c>
      <c r="AJ496" s="5" t="s">
        <v>4707</v>
      </c>
      <c r="AK496" s="5" t="s">
        <v>4708</v>
      </c>
      <c r="AL496" s="3" t="s">
        <v>45</v>
      </c>
      <c r="AM496" s="3" t="s">
        <v>45</v>
      </c>
      <c r="AN496" s="3" t="s">
        <v>45</v>
      </c>
      <c r="AO496" s="3" t="s">
        <v>45</v>
      </c>
      <c r="AP496" s="3" t="s">
        <v>45</v>
      </c>
      <c r="AQ496" s="4" t="s">
        <v>4709</v>
      </c>
      <c r="AR496" s="4" t="s">
        <v>4709</v>
      </c>
    </row>
    <row r="497">
      <c r="A497" s="3" t="s">
        <v>4710</v>
      </c>
      <c r="B497" s="3" t="s">
        <v>4711</v>
      </c>
      <c r="C497" s="3" t="s">
        <v>3672</v>
      </c>
      <c r="D497" s="3" t="s">
        <v>4648</v>
      </c>
      <c r="E497" s="4" t="s">
        <v>4712</v>
      </c>
      <c r="F497" s="3" t="s">
        <v>4702</v>
      </c>
      <c r="G497" s="4" t="s">
        <v>4713</v>
      </c>
      <c r="H497" s="4" t="s">
        <v>4714</v>
      </c>
      <c r="I497" s="3" t="s">
        <v>49</v>
      </c>
      <c r="J497" s="3" t="s">
        <v>126</v>
      </c>
      <c r="K497" s="3" t="s">
        <v>45</v>
      </c>
      <c r="L497" s="3" t="s">
        <v>45</v>
      </c>
      <c r="M497" s="3" t="s">
        <v>45</v>
      </c>
      <c r="N497" s="3" t="s">
        <v>45</v>
      </c>
      <c r="O497" s="3" t="s">
        <v>74</v>
      </c>
      <c r="P497" s="3" t="s">
        <v>45</v>
      </c>
      <c r="Q497" s="3" t="s">
        <v>45</v>
      </c>
      <c r="R497" s="3" t="s">
        <v>45</v>
      </c>
      <c r="S497" s="4" t="s">
        <v>275</v>
      </c>
      <c r="T497" s="3" t="s">
        <v>45</v>
      </c>
      <c r="U497" s="3" t="s">
        <v>45</v>
      </c>
      <c r="V497" s="4" t="s">
        <v>2120</v>
      </c>
      <c r="W497" s="4" t="s">
        <v>3900</v>
      </c>
      <c r="X497" s="3" t="s">
        <v>4715</v>
      </c>
      <c r="Y497" s="3" t="s">
        <v>45</v>
      </c>
      <c r="Z497" s="3" t="s">
        <v>74</v>
      </c>
      <c r="AA497" s="3" t="s">
        <v>45</v>
      </c>
      <c r="AB497" s="3" t="s">
        <v>45</v>
      </c>
      <c r="AC497" s="3" t="s">
        <v>45</v>
      </c>
      <c r="AD497" s="3" t="s">
        <v>45</v>
      </c>
      <c r="AE497" s="3" t="s">
        <v>45</v>
      </c>
      <c r="AF497" s="3" t="s">
        <v>45</v>
      </c>
      <c r="AG497" s="3" t="s">
        <v>4716</v>
      </c>
      <c r="AH497" s="3" t="s">
        <v>57</v>
      </c>
      <c r="AI497" s="5" t="s">
        <v>4717</v>
      </c>
      <c r="AJ497" s="5" t="s">
        <v>4718</v>
      </c>
      <c r="AK497" s="5" t="s">
        <v>4718</v>
      </c>
      <c r="AL497" s="5" t="s">
        <v>4719</v>
      </c>
      <c r="AM497" s="3" t="s">
        <v>45</v>
      </c>
      <c r="AN497" s="3" t="s">
        <v>45</v>
      </c>
      <c r="AO497" s="3" t="s">
        <v>45</v>
      </c>
      <c r="AP497" s="3" t="s">
        <v>45</v>
      </c>
      <c r="AQ497" s="4" t="s">
        <v>551</v>
      </c>
      <c r="AR497" s="4" t="s">
        <v>2037</v>
      </c>
    </row>
    <row r="498">
      <c r="A498" s="3" t="s">
        <v>4720</v>
      </c>
      <c r="B498" s="3" t="s">
        <v>4721</v>
      </c>
      <c r="C498" s="3" t="s">
        <v>3672</v>
      </c>
      <c r="D498" s="3" t="s">
        <v>4648</v>
      </c>
      <c r="E498" s="4" t="s">
        <v>4701</v>
      </c>
      <c r="F498" s="3" t="s">
        <v>4722</v>
      </c>
      <c r="G498" s="4" t="s">
        <v>4723</v>
      </c>
      <c r="H498" s="4" t="s">
        <v>4724</v>
      </c>
      <c r="I498" s="3" t="s">
        <v>218</v>
      </c>
      <c r="J498" s="3" t="s">
        <v>50</v>
      </c>
      <c r="K498" s="3" t="s">
        <v>45</v>
      </c>
      <c r="L498" s="3" t="s">
        <v>176</v>
      </c>
      <c r="M498" s="3" t="s">
        <v>45</v>
      </c>
      <c r="N498" s="4" t="s">
        <v>667</v>
      </c>
      <c r="O498" s="3" t="s">
        <v>88</v>
      </c>
      <c r="P498" s="3" t="s">
        <v>45</v>
      </c>
      <c r="Q498" s="3" t="s">
        <v>45</v>
      </c>
      <c r="R498" s="3" t="s">
        <v>45</v>
      </c>
      <c r="S498" s="3" t="s">
        <v>45</v>
      </c>
      <c r="T498" s="3" t="s">
        <v>45</v>
      </c>
      <c r="U498" s="3" t="s">
        <v>45</v>
      </c>
      <c r="V498" s="4" t="s">
        <v>4725</v>
      </c>
      <c r="W498" s="4" t="s">
        <v>102</v>
      </c>
      <c r="X498" s="3" t="s">
        <v>45</v>
      </c>
      <c r="Y498" s="3" t="s">
        <v>45</v>
      </c>
      <c r="Z498" s="3" t="s">
        <v>74</v>
      </c>
      <c r="AA498" s="3" t="s">
        <v>45</v>
      </c>
      <c r="AB498" s="3" t="s">
        <v>45</v>
      </c>
      <c r="AC498" s="3" t="s">
        <v>45</v>
      </c>
      <c r="AD498" s="3" t="s">
        <v>45</v>
      </c>
      <c r="AE498" s="3" t="s">
        <v>45</v>
      </c>
      <c r="AF498" s="3" t="s">
        <v>45</v>
      </c>
      <c r="AG498" s="3" t="s">
        <v>4726</v>
      </c>
      <c r="AH498" s="3" t="s">
        <v>57</v>
      </c>
      <c r="AI498" s="5" t="s">
        <v>4727</v>
      </c>
      <c r="AJ498" s="5" t="s">
        <v>4728</v>
      </c>
      <c r="AK498" s="5" t="s">
        <v>4729</v>
      </c>
      <c r="AL498" s="5" t="s">
        <v>4730</v>
      </c>
      <c r="AM498" s="5" t="s">
        <v>4719</v>
      </c>
      <c r="AN498" s="3" t="s">
        <v>45</v>
      </c>
      <c r="AO498" s="3" t="s">
        <v>45</v>
      </c>
      <c r="AP498" s="3" t="s">
        <v>45</v>
      </c>
      <c r="AQ498" s="4" t="s">
        <v>3942</v>
      </c>
      <c r="AR498" s="4" t="s">
        <v>379</v>
      </c>
    </row>
    <row r="499">
      <c r="A499" s="3" t="s">
        <v>4731</v>
      </c>
      <c r="B499" s="3" t="s">
        <v>4732</v>
      </c>
      <c r="C499" s="3" t="s">
        <v>3672</v>
      </c>
      <c r="D499" s="3" t="s">
        <v>4648</v>
      </c>
      <c r="E499" s="4" t="s">
        <v>4733</v>
      </c>
      <c r="F499" s="3" t="s">
        <v>173</v>
      </c>
      <c r="G499" s="4" t="s">
        <v>4734</v>
      </c>
      <c r="H499" s="4" t="s">
        <v>4735</v>
      </c>
      <c r="I499" s="3" t="s">
        <v>49</v>
      </c>
      <c r="J499" s="3" t="s">
        <v>126</v>
      </c>
      <c r="K499" s="3" t="s">
        <v>45</v>
      </c>
      <c r="L499" s="3" t="s">
        <v>45</v>
      </c>
      <c r="M499" s="3" t="s">
        <v>45</v>
      </c>
      <c r="N499" s="4" t="s">
        <v>2608</v>
      </c>
      <c r="O499" s="3" t="s">
        <v>390</v>
      </c>
      <c r="P499" s="3" t="s">
        <v>71</v>
      </c>
      <c r="Q499" s="3" t="s">
        <v>45</v>
      </c>
      <c r="R499" s="3" t="s">
        <v>45</v>
      </c>
      <c r="S499" s="3" t="s">
        <v>45</v>
      </c>
      <c r="T499" s="3" t="s">
        <v>45</v>
      </c>
      <c r="U499" s="3" t="s">
        <v>45</v>
      </c>
      <c r="V499" s="4" t="s">
        <v>4736</v>
      </c>
      <c r="W499" s="3" t="s">
        <v>45</v>
      </c>
      <c r="X499" s="3" t="s">
        <v>45</v>
      </c>
      <c r="Y499" s="3" t="s">
        <v>45</v>
      </c>
      <c r="Z499" s="3" t="s">
        <v>74</v>
      </c>
      <c r="AA499" s="3" t="s">
        <v>45</v>
      </c>
      <c r="AB499" s="3" t="s">
        <v>45</v>
      </c>
      <c r="AC499" s="3" t="s">
        <v>45</v>
      </c>
      <c r="AD499" s="3" t="s">
        <v>45</v>
      </c>
      <c r="AE499" s="3" t="s">
        <v>45</v>
      </c>
      <c r="AF499" s="3" t="s">
        <v>45</v>
      </c>
      <c r="AG499" s="3" t="s">
        <v>45</v>
      </c>
      <c r="AH499" s="3" t="s">
        <v>57</v>
      </c>
      <c r="AI499" s="5" t="s">
        <v>4737</v>
      </c>
      <c r="AJ499" s="3" t="s">
        <v>45</v>
      </c>
      <c r="AK499" s="3" t="s">
        <v>45</v>
      </c>
      <c r="AL499" s="3" t="s">
        <v>45</v>
      </c>
      <c r="AM499" s="3" t="s">
        <v>45</v>
      </c>
      <c r="AN499" s="3" t="s">
        <v>45</v>
      </c>
      <c r="AO499" s="3" t="s">
        <v>45</v>
      </c>
      <c r="AP499" s="3" t="s">
        <v>45</v>
      </c>
      <c r="AQ499" s="4" t="s">
        <v>2037</v>
      </c>
      <c r="AR499" s="4" t="s">
        <v>2037</v>
      </c>
    </row>
    <row r="500">
      <c r="A500" s="3" t="s">
        <v>4738</v>
      </c>
      <c r="B500" s="3" t="s">
        <v>4739</v>
      </c>
      <c r="C500" s="3" t="s">
        <v>3672</v>
      </c>
      <c r="D500" s="3" t="s">
        <v>4648</v>
      </c>
      <c r="E500" s="4" t="s">
        <v>4740</v>
      </c>
      <c r="F500" s="3" t="s">
        <v>4722</v>
      </c>
      <c r="G500" s="4" t="s">
        <v>4741</v>
      </c>
      <c r="H500" s="4" t="s">
        <v>4742</v>
      </c>
      <c r="I500" s="3" t="s">
        <v>49</v>
      </c>
      <c r="J500" s="3" t="s">
        <v>126</v>
      </c>
      <c r="K500" s="3" t="s">
        <v>45</v>
      </c>
      <c r="L500" s="3" t="s">
        <v>176</v>
      </c>
      <c r="M500" s="3" t="s">
        <v>45</v>
      </c>
      <c r="N500" s="3" t="s">
        <v>45</v>
      </c>
      <c r="O500" s="3" t="s">
        <v>74</v>
      </c>
      <c r="P500" s="3" t="s">
        <v>45</v>
      </c>
      <c r="Q500" s="3" t="s">
        <v>45</v>
      </c>
      <c r="R500" s="3" t="s">
        <v>45</v>
      </c>
      <c r="S500" s="3" t="s">
        <v>45</v>
      </c>
      <c r="T500" s="3" t="s">
        <v>45</v>
      </c>
      <c r="U500" s="3" t="s">
        <v>45</v>
      </c>
      <c r="V500" s="4" t="s">
        <v>4743</v>
      </c>
      <c r="W500" s="4" t="s">
        <v>2045</v>
      </c>
      <c r="X500" s="3" t="s">
        <v>45</v>
      </c>
      <c r="Y500" s="3" t="s">
        <v>45</v>
      </c>
      <c r="Z500" s="3" t="s">
        <v>74</v>
      </c>
      <c r="AA500" s="3" t="s">
        <v>45</v>
      </c>
      <c r="AB500" s="3" t="s">
        <v>45</v>
      </c>
      <c r="AC500" s="3" t="s">
        <v>45</v>
      </c>
      <c r="AD500" s="3" t="s">
        <v>45</v>
      </c>
      <c r="AE500" s="3" t="s">
        <v>45</v>
      </c>
      <c r="AF500" s="3" t="s">
        <v>45</v>
      </c>
      <c r="AG500" s="3" t="s">
        <v>45</v>
      </c>
      <c r="AH500" s="3" t="s">
        <v>57</v>
      </c>
      <c r="AI500" s="5" t="s">
        <v>4719</v>
      </c>
      <c r="AJ500" s="3" t="s">
        <v>45</v>
      </c>
      <c r="AK500" s="3" t="s">
        <v>45</v>
      </c>
      <c r="AL500" s="3" t="s">
        <v>45</v>
      </c>
      <c r="AM500" s="3" t="s">
        <v>45</v>
      </c>
      <c r="AN500" s="3" t="s">
        <v>45</v>
      </c>
      <c r="AO500" s="3" t="s">
        <v>45</v>
      </c>
      <c r="AP500" s="3" t="s">
        <v>45</v>
      </c>
      <c r="AQ500" s="4" t="s">
        <v>2037</v>
      </c>
      <c r="AR500" s="4" t="s">
        <v>2037</v>
      </c>
    </row>
    <row r="501">
      <c r="A501" s="3" t="s">
        <v>4744</v>
      </c>
      <c r="B501" s="3" t="s">
        <v>4745</v>
      </c>
      <c r="C501" s="3" t="s">
        <v>4746</v>
      </c>
      <c r="D501" s="3" t="s">
        <v>4648</v>
      </c>
      <c r="E501" s="4" t="s">
        <v>4747</v>
      </c>
      <c r="F501" s="3" t="s">
        <v>4722</v>
      </c>
      <c r="G501" s="4" t="s">
        <v>4748</v>
      </c>
      <c r="H501" s="4" t="s">
        <v>4749</v>
      </c>
      <c r="I501" s="3" t="s">
        <v>49</v>
      </c>
      <c r="J501" s="3" t="s">
        <v>126</v>
      </c>
      <c r="K501" s="3" t="s">
        <v>45</v>
      </c>
      <c r="L501" s="3" t="s">
        <v>45</v>
      </c>
      <c r="M501" s="3" t="s">
        <v>45</v>
      </c>
      <c r="N501" s="3" t="s">
        <v>45</v>
      </c>
      <c r="O501" s="3" t="s">
        <v>74</v>
      </c>
      <c r="P501" s="3" t="s">
        <v>45</v>
      </c>
      <c r="Q501" s="3" t="s">
        <v>45</v>
      </c>
      <c r="R501" s="3" t="s">
        <v>45</v>
      </c>
      <c r="S501" s="4" t="s">
        <v>835</v>
      </c>
      <c r="T501" s="3" t="s">
        <v>45</v>
      </c>
      <c r="U501" s="3" t="s">
        <v>45</v>
      </c>
      <c r="V501" s="4" t="s">
        <v>4750</v>
      </c>
      <c r="W501" s="4" t="s">
        <v>4751</v>
      </c>
      <c r="X501" s="3" t="s">
        <v>4752</v>
      </c>
      <c r="Y501" s="3" t="s">
        <v>45</v>
      </c>
      <c r="Z501" s="3" t="s">
        <v>74</v>
      </c>
      <c r="AA501" s="3" t="s">
        <v>45</v>
      </c>
      <c r="AB501" s="3" t="s">
        <v>45</v>
      </c>
      <c r="AC501" s="3" t="s">
        <v>45</v>
      </c>
      <c r="AD501" s="3" t="s">
        <v>45</v>
      </c>
      <c r="AE501" s="3" t="s">
        <v>45</v>
      </c>
      <c r="AF501" s="3" t="s">
        <v>45</v>
      </c>
      <c r="AG501" s="3" t="s">
        <v>45</v>
      </c>
      <c r="AH501" s="3" t="s">
        <v>57</v>
      </c>
      <c r="AI501" s="5" t="s">
        <v>4753</v>
      </c>
      <c r="AJ501" s="3" t="s">
        <v>45</v>
      </c>
      <c r="AK501" s="3" t="s">
        <v>45</v>
      </c>
      <c r="AL501" s="3" t="s">
        <v>45</v>
      </c>
      <c r="AM501" s="3" t="s">
        <v>45</v>
      </c>
      <c r="AN501" s="3" t="s">
        <v>45</v>
      </c>
      <c r="AO501" s="3" t="s">
        <v>45</v>
      </c>
      <c r="AP501" s="3" t="s">
        <v>45</v>
      </c>
      <c r="AQ501" s="4" t="s">
        <v>2037</v>
      </c>
      <c r="AR501" s="4" t="s">
        <v>2037</v>
      </c>
    </row>
    <row r="502">
      <c r="A502" s="3" t="s">
        <v>4754</v>
      </c>
      <c r="B502" s="3" t="s">
        <v>4745</v>
      </c>
      <c r="C502" s="3" t="s">
        <v>4746</v>
      </c>
      <c r="D502" s="3" t="s">
        <v>4648</v>
      </c>
      <c r="E502" s="4" t="s">
        <v>4747</v>
      </c>
      <c r="F502" s="3" t="s">
        <v>4722</v>
      </c>
      <c r="G502" s="4" t="s">
        <v>4755</v>
      </c>
      <c r="H502" s="4" t="s">
        <v>4756</v>
      </c>
      <c r="I502" s="3" t="s">
        <v>49</v>
      </c>
      <c r="J502" s="3" t="s">
        <v>126</v>
      </c>
      <c r="K502" s="3" t="s">
        <v>45</v>
      </c>
      <c r="L502" s="3" t="s">
        <v>45</v>
      </c>
      <c r="M502" s="3" t="s">
        <v>45</v>
      </c>
      <c r="N502" s="4" t="s">
        <v>1962</v>
      </c>
      <c r="O502" s="3" t="s">
        <v>88</v>
      </c>
      <c r="P502" s="3" t="s">
        <v>45</v>
      </c>
      <c r="Q502" s="3" t="s">
        <v>45</v>
      </c>
      <c r="R502" s="3" t="s">
        <v>45</v>
      </c>
      <c r="S502" s="4" t="s">
        <v>835</v>
      </c>
      <c r="T502" s="3" t="s">
        <v>45</v>
      </c>
      <c r="U502" s="3" t="s">
        <v>45</v>
      </c>
      <c r="V502" s="4" t="s">
        <v>4757</v>
      </c>
      <c r="W502" s="4" t="s">
        <v>2608</v>
      </c>
      <c r="X502" s="3" t="s">
        <v>4752</v>
      </c>
      <c r="Y502" s="3" t="s">
        <v>45</v>
      </c>
      <c r="Z502" s="3" t="s">
        <v>74</v>
      </c>
      <c r="AA502" s="3" t="s">
        <v>45</v>
      </c>
      <c r="AB502" s="3" t="s">
        <v>45</v>
      </c>
      <c r="AC502" s="3" t="s">
        <v>45</v>
      </c>
      <c r="AD502" s="3" t="s">
        <v>45</v>
      </c>
      <c r="AE502" s="3" t="s">
        <v>45</v>
      </c>
      <c r="AF502" s="3" t="s">
        <v>45</v>
      </c>
      <c r="AG502" s="3" t="s">
        <v>45</v>
      </c>
      <c r="AH502" s="3" t="s">
        <v>57</v>
      </c>
      <c r="AI502" s="5" t="s">
        <v>4758</v>
      </c>
      <c r="AJ502" s="5" t="s">
        <v>4753</v>
      </c>
      <c r="AK502" s="3" t="s">
        <v>45</v>
      </c>
      <c r="AL502" s="3" t="s">
        <v>45</v>
      </c>
      <c r="AM502" s="3" t="s">
        <v>45</v>
      </c>
      <c r="AN502" s="3" t="s">
        <v>45</v>
      </c>
      <c r="AO502" s="3" t="s">
        <v>45</v>
      </c>
      <c r="AP502" s="3" t="s">
        <v>45</v>
      </c>
      <c r="AQ502" s="4" t="s">
        <v>1589</v>
      </c>
      <c r="AR502" s="4" t="s">
        <v>1589</v>
      </c>
    </row>
    <row r="503">
      <c r="A503" s="3" t="s">
        <v>4759</v>
      </c>
      <c r="B503" s="3" t="s">
        <v>4760</v>
      </c>
      <c r="C503" s="3" t="s">
        <v>4761</v>
      </c>
      <c r="D503" s="3" t="s">
        <v>4648</v>
      </c>
      <c r="E503" s="4" t="s">
        <v>4762</v>
      </c>
      <c r="F503" s="3" t="s">
        <v>4763</v>
      </c>
      <c r="G503" s="4" t="s">
        <v>4764</v>
      </c>
      <c r="H503" s="4" t="s">
        <v>4765</v>
      </c>
      <c r="I503" s="3" t="s">
        <v>49</v>
      </c>
      <c r="J503" s="3" t="s">
        <v>50</v>
      </c>
      <c r="K503" s="3" t="s">
        <v>45</v>
      </c>
      <c r="L503" s="3" t="s">
        <v>45</v>
      </c>
      <c r="M503" s="3" t="s">
        <v>45</v>
      </c>
      <c r="N503" s="3" t="s">
        <v>45</v>
      </c>
      <c r="O503" s="3" t="s">
        <v>53</v>
      </c>
      <c r="P503" s="3" t="s">
        <v>220</v>
      </c>
      <c r="Q503" s="3" t="s">
        <v>45</v>
      </c>
      <c r="R503" s="3" t="s">
        <v>45</v>
      </c>
      <c r="S503" s="4" t="s">
        <v>1610</v>
      </c>
      <c r="T503" s="3" t="s">
        <v>89</v>
      </c>
      <c r="U503" s="3" t="s">
        <v>221</v>
      </c>
      <c r="V503" s="4" t="s">
        <v>4766</v>
      </c>
      <c r="W503" s="4" t="s">
        <v>582</v>
      </c>
      <c r="X503" s="3" t="s">
        <v>45</v>
      </c>
      <c r="Y503" s="3" t="s">
        <v>45</v>
      </c>
      <c r="Z503" s="3" t="s">
        <v>55</v>
      </c>
      <c r="AA503" s="3" t="s">
        <v>45</v>
      </c>
      <c r="AB503" s="3" t="s">
        <v>56</v>
      </c>
      <c r="AC503" s="3" t="s">
        <v>45</v>
      </c>
      <c r="AD503" s="3" t="s">
        <v>45</v>
      </c>
      <c r="AE503" s="3" t="s">
        <v>45</v>
      </c>
      <c r="AF503" s="3" t="s">
        <v>45</v>
      </c>
      <c r="AG503" s="3" t="s">
        <v>4767</v>
      </c>
      <c r="AH503" s="3" t="s">
        <v>57</v>
      </c>
      <c r="AI503" s="5" t="s">
        <v>4768</v>
      </c>
      <c r="AJ503" s="5" t="s">
        <v>4769</v>
      </c>
      <c r="AK503" s="3" t="s">
        <v>45</v>
      </c>
      <c r="AL503" s="3" t="s">
        <v>45</v>
      </c>
      <c r="AM503" s="3" t="s">
        <v>45</v>
      </c>
      <c r="AN503" s="3" t="s">
        <v>45</v>
      </c>
      <c r="AO503" s="3" t="s">
        <v>45</v>
      </c>
      <c r="AP503" s="3" t="s">
        <v>45</v>
      </c>
      <c r="AQ503" s="4" t="s">
        <v>77</v>
      </c>
      <c r="AR503" s="4" t="s">
        <v>77</v>
      </c>
    </row>
    <row r="504">
      <c r="A504" s="3" t="s">
        <v>4770</v>
      </c>
      <c r="B504" s="3" t="s">
        <v>4771</v>
      </c>
      <c r="C504" s="3" t="s">
        <v>4761</v>
      </c>
      <c r="D504" s="3" t="s">
        <v>4648</v>
      </c>
      <c r="E504" s="4" t="s">
        <v>4762</v>
      </c>
      <c r="F504" s="3" t="s">
        <v>4763</v>
      </c>
      <c r="G504" s="4" t="s">
        <v>4772</v>
      </c>
      <c r="H504" s="4" t="s">
        <v>4773</v>
      </c>
      <c r="I504" s="3" t="s">
        <v>49</v>
      </c>
      <c r="J504" s="3" t="s">
        <v>126</v>
      </c>
      <c r="K504" s="3" t="s">
        <v>45</v>
      </c>
      <c r="L504" s="3" t="s">
        <v>45</v>
      </c>
      <c r="M504" s="3" t="s">
        <v>45</v>
      </c>
      <c r="N504" s="4" t="s">
        <v>2982</v>
      </c>
      <c r="O504" s="3" t="s">
        <v>390</v>
      </c>
      <c r="P504" s="3" t="s">
        <v>45</v>
      </c>
      <c r="Q504" s="3" t="s">
        <v>45</v>
      </c>
      <c r="R504" s="3" t="s">
        <v>45</v>
      </c>
      <c r="S504" s="3" t="s">
        <v>45</v>
      </c>
      <c r="T504" s="3" t="s">
        <v>45</v>
      </c>
      <c r="U504" s="3" t="s">
        <v>45</v>
      </c>
      <c r="V504" s="3" t="s">
        <v>45</v>
      </c>
      <c r="W504" s="3" t="s">
        <v>45</v>
      </c>
      <c r="X504" s="3" t="s">
        <v>45</v>
      </c>
      <c r="Y504" s="4" t="s">
        <v>317</v>
      </c>
      <c r="Z504" s="3" t="s">
        <v>74</v>
      </c>
      <c r="AA504" s="3" t="s">
        <v>45</v>
      </c>
      <c r="AB504" s="3" t="s">
        <v>45</v>
      </c>
      <c r="AC504" s="3" t="s">
        <v>45</v>
      </c>
      <c r="AD504" s="3" t="s">
        <v>45</v>
      </c>
      <c r="AE504" s="3" t="s">
        <v>45</v>
      </c>
      <c r="AF504" s="3" t="s">
        <v>45</v>
      </c>
      <c r="AG504" s="3" t="s">
        <v>45</v>
      </c>
      <c r="AH504" s="3" t="s">
        <v>57</v>
      </c>
      <c r="AI504" s="5" t="s">
        <v>4769</v>
      </c>
      <c r="AJ504" s="3" t="s">
        <v>45</v>
      </c>
      <c r="AK504" s="3" t="s">
        <v>45</v>
      </c>
      <c r="AL504" s="3" t="s">
        <v>45</v>
      </c>
      <c r="AM504" s="3" t="s">
        <v>45</v>
      </c>
      <c r="AN504" s="3" t="s">
        <v>45</v>
      </c>
      <c r="AO504" s="3" t="s">
        <v>45</v>
      </c>
      <c r="AP504" s="3" t="s">
        <v>45</v>
      </c>
      <c r="AQ504" s="4" t="s">
        <v>77</v>
      </c>
      <c r="AR504" s="4" t="s">
        <v>77</v>
      </c>
    </row>
    <row r="505">
      <c r="A505" s="3" t="s">
        <v>4774</v>
      </c>
      <c r="B505" s="3" t="s">
        <v>4775</v>
      </c>
      <c r="C505" s="3" t="s">
        <v>4776</v>
      </c>
      <c r="D505" s="3" t="s">
        <v>4648</v>
      </c>
      <c r="E505" s="3" t="s">
        <v>45</v>
      </c>
      <c r="F505" s="3" t="s">
        <v>4777</v>
      </c>
      <c r="G505" s="4" t="s">
        <v>4778</v>
      </c>
      <c r="H505" s="4" t="s">
        <v>4779</v>
      </c>
      <c r="I505" s="3" t="s">
        <v>49</v>
      </c>
      <c r="J505" s="3" t="s">
        <v>99</v>
      </c>
      <c r="K505" s="3" t="s">
        <v>45</v>
      </c>
      <c r="L505" s="3" t="s">
        <v>4780</v>
      </c>
      <c r="M505" s="3" t="s">
        <v>45</v>
      </c>
      <c r="N505" s="3" t="s">
        <v>45</v>
      </c>
      <c r="O505" s="3" t="s">
        <v>88</v>
      </c>
      <c r="P505" s="3" t="s">
        <v>45</v>
      </c>
      <c r="Q505" s="3" t="s">
        <v>45</v>
      </c>
      <c r="R505" s="3" t="s">
        <v>45</v>
      </c>
      <c r="S505" s="3" t="s">
        <v>45</v>
      </c>
      <c r="T505" s="3" t="s">
        <v>45</v>
      </c>
      <c r="U505" s="3" t="s">
        <v>45</v>
      </c>
      <c r="V505" s="3" t="s">
        <v>45</v>
      </c>
      <c r="W505" s="3" t="s">
        <v>45</v>
      </c>
      <c r="X505" s="3" t="s">
        <v>3303</v>
      </c>
      <c r="Y505" s="3" t="s">
        <v>45</v>
      </c>
      <c r="Z505" s="3" t="s">
        <v>55</v>
      </c>
      <c r="AA505" s="3" t="s">
        <v>45</v>
      </c>
      <c r="AB505" s="3" t="s">
        <v>45</v>
      </c>
      <c r="AC505" s="3" t="s">
        <v>45</v>
      </c>
      <c r="AD505" s="3" t="s">
        <v>45</v>
      </c>
      <c r="AE505" s="3" t="s">
        <v>45</v>
      </c>
      <c r="AF505" s="5" t="s">
        <v>4781</v>
      </c>
      <c r="AG505" s="3" t="s">
        <v>4782</v>
      </c>
      <c r="AH505" s="3" t="s">
        <v>840</v>
      </c>
      <c r="AI505" s="5" t="s">
        <v>4783</v>
      </c>
      <c r="AJ505" s="5" t="s">
        <v>4784</v>
      </c>
      <c r="AK505" s="3" t="s">
        <v>45</v>
      </c>
      <c r="AL505" s="3" t="s">
        <v>45</v>
      </c>
      <c r="AM505" s="3" t="s">
        <v>45</v>
      </c>
      <c r="AN505" s="3" t="s">
        <v>45</v>
      </c>
      <c r="AO505" s="3" t="s">
        <v>45</v>
      </c>
      <c r="AP505" s="3" t="s">
        <v>45</v>
      </c>
      <c r="AQ505" s="4" t="s">
        <v>2459</v>
      </c>
      <c r="AR505" s="4" t="s">
        <v>2459</v>
      </c>
    </row>
    <row r="506">
      <c r="A506" s="3" t="s">
        <v>4785</v>
      </c>
      <c r="B506" s="3" t="s">
        <v>4786</v>
      </c>
      <c r="C506" s="3" t="s">
        <v>4787</v>
      </c>
      <c r="D506" s="3" t="s">
        <v>4648</v>
      </c>
      <c r="E506" s="4" t="s">
        <v>4788</v>
      </c>
      <c r="F506" s="3" t="s">
        <v>4789</v>
      </c>
      <c r="G506" s="4" t="s">
        <v>4790</v>
      </c>
      <c r="H506" s="4" t="s">
        <v>4791</v>
      </c>
      <c r="I506" s="3" t="s">
        <v>49</v>
      </c>
      <c r="J506" s="3" t="s">
        <v>50</v>
      </c>
      <c r="K506" s="3" t="s">
        <v>45</v>
      </c>
      <c r="L506" s="3" t="s">
        <v>45</v>
      </c>
      <c r="M506" s="3" t="s">
        <v>45</v>
      </c>
      <c r="N506" s="3" t="s">
        <v>45</v>
      </c>
      <c r="O506" s="3" t="s">
        <v>74</v>
      </c>
      <c r="P506" s="3" t="s">
        <v>45</v>
      </c>
      <c r="Q506" s="3" t="s">
        <v>45</v>
      </c>
      <c r="R506" s="3" t="s">
        <v>45</v>
      </c>
      <c r="S506" s="3" t="s">
        <v>45</v>
      </c>
      <c r="T506" s="3" t="s">
        <v>45</v>
      </c>
      <c r="U506" s="3" t="s">
        <v>45</v>
      </c>
      <c r="V506" s="3" t="s">
        <v>45</v>
      </c>
      <c r="W506" s="4" t="s">
        <v>1196</v>
      </c>
      <c r="X506" s="3" t="s">
        <v>45</v>
      </c>
      <c r="Y506" s="3" t="s">
        <v>45</v>
      </c>
      <c r="Z506" s="3" t="s">
        <v>74</v>
      </c>
      <c r="AA506" s="3" t="s">
        <v>45</v>
      </c>
      <c r="AB506" s="3" t="s">
        <v>45</v>
      </c>
      <c r="AC506" s="3" t="s">
        <v>55</v>
      </c>
      <c r="AD506" s="3" t="s">
        <v>45</v>
      </c>
      <c r="AE506" s="3" t="s">
        <v>45</v>
      </c>
      <c r="AF506" s="3" t="s">
        <v>45</v>
      </c>
      <c r="AG506" s="3" t="s">
        <v>4792</v>
      </c>
      <c r="AH506" s="3" t="s">
        <v>840</v>
      </c>
      <c r="AI506" s="5" t="s">
        <v>4793</v>
      </c>
      <c r="AJ506" s="5" t="s">
        <v>4794</v>
      </c>
      <c r="AK506" s="3" t="s">
        <v>45</v>
      </c>
      <c r="AL506" s="3" t="s">
        <v>45</v>
      </c>
      <c r="AM506" s="3" t="s">
        <v>45</v>
      </c>
      <c r="AN506" s="3" t="s">
        <v>45</v>
      </c>
      <c r="AO506" s="3" t="s">
        <v>45</v>
      </c>
      <c r="AP506" s="3" t="s">
        <v>45</v>
      </c>
      <c r="AQ506" s="4" t="s">
        <v>3855</v>
      </c>
      <c r="AR506" s="4" t="s">
        <v>457</v>
      </c>
    </row>
    <row r="507">
      <c r="A507" s="3" t="s">
        <v>4795</v>
      </c>
      <c r="B507" s="3" t="s">
        <v>4796</v>
      </c>
      <c r="C507" s="3" t="s">
        <v>4797</v>
      </c>
      <c r="D507" s="3" t="s">
        <v>4648</v>
      </c>
      <c r="E507" s="4" t="s">
        <v>4798</v>
      </c>
      <c r="F507" s="3" t="s">
        <v>214</v>
      </c>
      <c r="G507" s="4" t="s">
        <v>4799</v>
      </c>
      <c r="H507" s="4" t="s">
        <v>4800</v>
      </c>
      <c r="I507" s="3" t="s">
        <v>49</v>
      </c>
      <c r="J507" s="3" t="s">
        <v>126</v>
      </c>
      <c r="K507" s="3" t="s">
        <v>45</v>
      </c>
      <c r="L507" s="3" t="s">
        <v>4801</v>
      </c>
      <c r="M507" s="3" t="s">
        <v>45</v>
      </c>
      <c r="N507" s="3" t="s">
        <v>45</v>
      </c>
      <c r="O507" s="3" t="s">
        <v>88</v>
      </c>
      <c r="P507" s="3" t="s">
        <v>45</v>
      </c>
      <c r="Q507" s="3" t="s">
        <v>45</v>
      </c>
      <c r="R507" s="3" t="s">
        <v>45</v>
      </c>
      <c r="S507" s="4" t="s">
        <v>4802</v>
      </c>
      <c r="T507" s="3" t="s">
        <v>45</v>
      </c>
      <c r="U507" s="3" t="s">
        <v>221</v>
      </c>
      <c r="V507" s="4" t="s">
        <v>4803</v>
      </c>
      <c r="W507" s="4" t="s">
        <v>1196</v>
      </c>
      <c r="X507" s="3" t="s">
        <v>45</v>
      </c>
      <c r="Y507" s="3" t="s">
        <v>45</v>
      </c>
      <c r="Z507" s="3" t="s">
        <v>55</v>
      </c>
      <c r="AA507" s="3" t="s">
        <v>4804</v>
      </c>
      <c r="AB507" s="3" t="s">
        <v>45</v>
      </c>
      <c r="AC507" s="3" t="s">
        <v>45</v>
      </c>
      <c r="AD507" s="3" t="s">
        <v>45</v>
      </c>
      <c r="AE507" s="3" t="s">
        <v>45</v>
      </c>
      <c r="AF507" s="5" t="s">
        <v>4805</v>
      </c>
      <c r="AG507" s="3" t="s">
        <v>4806</v>
      </c>
      <c r="AH507" s="3" t="s">
        <v>57</v>
      </c>
      <c r="AI507" s="5" t="s">
        <v>4807</v>
      </c>
      <c r="AJ507" s="5" t="s">
        <v>4808</v>
      </c>
      <c r="AK507" s="5" t="s">
        <v>4809</v>
      </c>
      <c r="AL507" s="5" t="s">
        <v>4810</v>
      </c>
      <c r="AM507" s="5" t="s">
        <v>4811</v>
      </c>
      <c r="AN507" s="3" t="s">
        <v>45</v>
      </c>
      <c r="AO507" s="3" t="s">
        <v>45</v>
      </c>
      <c r="AP507" s="3" t="s">
        <v>45</v>
      </c>
      <c r="AQ507" s="4" t="s">
        <v>4812</v>
      </c>
      <c r="AR507" s="4" t="s">
        <v>1050</v>
      </c>
    </row>
    <row r="508">
      <c r="A508" s="3" t="s">
        <v>4813</v>
      </c>
      <c r="B508" s="3" t="s">
        <v>4814</v>
      </c>
      <c r="C508" s="3" t="s">
        <v>4797</v>
      </c>
      <c r="D508" s="3" t="s">
        <v>4648</v>
      </c>
      <c r="E508" s="4" t="s">
        <v>4798</v>
      </c>
      <c r="F508" s="3" t="s">
        <v>214</v>
      </c>
      <c r="G508" s="4" t="s">
        <v>4815</v>
      </c>
      <c r="H508" s="4" t="s">
        <v>4816</v>
      </c>
      <c r="I508" s="3" t="s">
        <v>49</v>
      </c>
      <c r="J508" s="3" t="s">
        <v>126</v>
      </c>
      <c r="K508" s="3" t="s">
        <v>45</v>
      </c>
      <c r="L508" s="3" t="s">
        <v>4817</v>
      </c>
      <c r="M508" s="3" t="s">
        <v>45</v>
      </c>
      <c r="N508" s="4" t="s">
        <v>128</v>
      </c>
      <c r="O508" s="3" t="s">
        <v>70</v>
      </c>
      <c r="P508" s="3" t="s">
        <v>45</v>
      </c>
      <c r="Q508" s="3" t="s">
        <v>45</v>
      </c>
      <c r="R508" s="3" t="s">
        <v>45</v>
      </c>
      <c r="S508" s="4" t="s">
        <v>835</v>
      </c>
      <c r="T508" s="3" t="s">
        <v>45</v>
      </c>
      <c r="U508" s="3" t="s">
        <v>45</v>
      </c>
      <c r="V508" s="4" t="s">
        <v>4818</v>
      </c>
      <c r="W508" s="4" t="s">
        <v>4819</v>
      </c>
      <c r="X508" s="3" t="s">
        <v>45</v>
      </c>
      <c r="Y508" s="3" t="s">
        <v>45</v>
      </c>
      <c r="Z508" s="3" t="s">
        <v>55</v>
      </c>
      <c r="AA508" s="3" t="s">
        <v>45</v>
      </c>
      <c r="AB508" s="3" t="s">
        <v>45</v>
      </c>
      <c r="AC508" s="3" t="s">
        <v>45</v>
      </c>
      <c r="AD508" s="3" t="s">
        <v>45</v>
      </c>
      <c r="AE508" s="3" t="s">
        <v>45</v>
      </c>
      <c r="AF508" s="3" t="s">
        <v>45</v>
      </c>
      <c r="AG508" s="3" t="s">
        <v>45</v>
      </c>
      <c r="AH508" s="3" t="s">
        <v>57</v>
      </c>
      <c r="AI508" s="5" t="s">
        <v>4807</v>
      </c>
      <c r="AJ508" s="5" t="s">
        <v>4810</v>
      </c>
      <c r="AK508" s="5" t="s">
        <v>4820</v>
      </c>
      <c r="AL508" s="3" t="s">
        <v>45</v>
      </c>
      <c r="AM508" s="3" t="s">
        <v>45</v>
      </c>
      <c r="AN508" s="3" t="s">
        <v>45</v>
      </c>
      <c r="AO508" s="3" t="s">
        <v>45</v>
      </c>
      <c r="AP508" s="3" t="s">
        <v>45</v>
      </c>
      <c r="AQ508" s="4" t="s">
        <v>4812</v>
      </c>
      <c r="AR508" s="4" t="s">
        <v>3855</v>
      </c>
    </row>
    <row r="509">
      <c r="A509" s="3" t="s">
        <v>4821</v>
      </c>
      <c r="B509" s="3" t="s">
        <v>4822</v>
      </c>
      <c r="C509" s="3" t="s">
        <v>4823</v>
      </c>
      <c r="D509" s="3" t="s">
        <v>4648</v>
      </c>
      <c r="E509" s="4" t="s">
        <v>4824</v>
      </c>
      <c r="F509" s="3" t="s">
        <v>3772</v>
      </c>
      <c r="G509" s="4" t="s">
        <v>4825</v>
      </c>
      <c r="H509" s="4" t="s">
        <v>4826</v>
      </c>
      <c r="I509" s="3" t="s">
        <v>245</v>
      </c>
      <c r="J509" s="3" t="s">
        <v>126</v>
      </c>
      <c r="K509" s="3" t="s">
        <v>45</v>
      </c>
      <c r="L509" s="3" t="s">
        <v>45</v>
      </c>
      <c r="M509" s="3" t="s">
        <v>45</v>
      </c>
      <c r="N509" s="3" t="s">
        <v>45</v>
      </c>
      <c r="O509" s="3" t="s">
        <v>74</v>
      </c>
      <c r="P509" s="3" t="s">
        <v>45</v>
      </c>
      <c r="Q509" s="3" t="s">
        <v>45</v>
      </c>
      <c r="R509" s="3" t="s">
        <v>45</v>
      </c>
      <c r="S509" s="3" t="s">
        <v>45</v>
      </c>
      <c r="T509" s="3" t="s">
        <v>45</v>
      </c>
      <c r="U509" s="3" t="s">
        <v>45</v>
      </c>
      <c r="V509" s="3" t="s">
        <v>45</v>
      </c>
      <c r="W509" s="4" t="s">
        <v>4827</v>
      </c>
      <c r="X509" s="3" t="s">
        <v>45</v>
      </c>
      <c r="Y509" s="3" t="s">
        <v>45</v>
      </c>
      <c r="Z509" s="3" t="s">
        <v>55</v>
      </c>
      <c r="AA509" s="3" t="s">
        <v>4828</v>
      </c>
      <c r="AB509" s="3" t="s">
        <v>45</v>
      </c>
      <c r="AC509" s="3" t="s">
        <v>45</v>
      </c>
      <c r="AD509" s="3" t="s">
        <v>45</v>
      </c>
      <c r="AE509" s="3" t="s">
        <v>45</v>
      </c>
      <c r="AF509" s="5" t="s">
        <v>4829</v>
      </c>
      <c r="AG509" s="3" t="s">
        <v>45</v>
      </c>
      <c r="AH509" s="3" t="s">
        <v>57</v>
      </c>
      <c r="AI509" s="5" t="s">
        <v>4830</v>
      </c>
      <c r="AJ509" s="5" t="s">
        <v>4830</v>
      </c>
      <c r="AK509" s="5" t="s">
        <v>4831</v>
      </c>
      <c r="AL509" s="3" t="s">
        <v>45</v>
      </c>
      <c r="AM509" s="3" t="s">
        <v>45</v>
      </c>
      <c r="AN509" s="3" t="s">
        <v>45</v>
      </c>
      <c r="AO509" s="3" t="s">
        <v>45</v>
      </c>
      <c r="AP509" s="3" t="s">
        <v>45</v>
      </c>
      <c r="AQ509" s="4" t="s">
        <v>2649</v>
      </c>
      <c r="AR509" s="4" t="s">
        <v>4832</v>
      </c>
    </row>
    <row r="510">
      <c r="A510" s="3" t="s">
        <v>4833</v>
      </c>
      <c r="B510" s="3" t="s">
        <v>4834</v>
      </c>
      <c r="C510" s="3" t="s">
        <v>4835</v>
      </c>
      <c r="D510" s="3" t="s">
        <v>4648</v>
      </c>
      <c r="E510" s="4" t="s">
        <v>4836</v>
      </c>
      <c r="F510" s="3" t="s">
        <v>4304</v>
      </c>
      <c r="G510" s="4" t="s">
        <v>4837</v>
      </c>
      <c r="H510" s="4" t="s">
        <v>4838</v>
      </c>
      <c r="I510" s="3" t="s">
        <v>436</v>
      </c>
      <c r="J510" s="3" t="s">
        <v>50</v>
      </c>
      <c r="K510" s="3" t="s">
        <v>45</v>
      </c>
      <c r="L510" s="3" t="s">
        <v>4839</v>
      </c>
      <c r="M510" s="3" t="s">
        <v>45</v>
      </c>
      <c r="N510" s="3" t="s">
        <v>45</v>
      </c>
      <c r="O510" s="3" t="s">
        <v>88</v>
      </c>
      <c r="P510" s="3" t="s">
        <v>45</v>
      </c>
      <c r="Q510" s="3" t="s">
        <v>45</v>
      </c>
      <c r="R510" s="3" t="s">
        <v>45</v>
      </c>
      <c r="S510" s="3" t="s">
        <v>45</v>
      </c>
      <c r="T510" s="3" t="s">
        <v>45</v>
      </c>
      <c r="U510" s="3" t="s">
        <v>45</v>
      </c>
      <c r="V510" s="4" t="s">
        <v>333</v>
      </c>
      <c r="W510" s="3" t="s">
        <v>45</v>
      </c>
      <c r="X510" s="3" t="s">
        <v>2164</v>
      </c>
      <c r="Y510" s="3" t="s">
        <v>45</v>
      </c>
      <c r="Z510" s="3" t="s">
        <v>55</v>
      </c>
      <c r="AA510" s="3" t="s">
        <v>45</v>
      </c>
      <c r="AB510" s="3" t="s">
        <v>45</v>
      </c>
      <c r="AC510" s="3" t="s">
        <v>45</v>
      </c>
      <c r="AD510" s="3" t="s">
        <v>45</v>
      </c>
      <c r="AE510" s="3" t="s">
        <v>45</v>
      </c>
      <c r="AF510" s="3" t="s">
        <v>45</v>
      </c>
      <c r="AG510" s="3" t="s">
        <v>45</v>
      </c>
      <c r="AH510" s="3" t="s">
        <v>57</v>
      </c>
      <c r="AI510" s="5" t="s">
        <v>4840</v>
      </c>
      <c r="AJ510" s="5" t="s">
        <v>572</v>
      </c>
      <c r="AK510" s="5" t="s">
        <v>4840</v>
      </c>
      <c r="AL510" s="3" t="s">
        <v>45</v>
      </c>
      <c r="AM510" s="3" t="s">
        <v>45</v>
      </c>
      <c r="AN510" s="3" t="s">
        <v>45</v>
      </c>
      <c r="AO510" s="3" t="s">
        <v>45</v>
      </c>
      <c r="AP510" s="3" t="s">
        <v>45</v>
      </c>
      <c r="AQ510" s="4" t="s">
        <v>364</v>
      </c>
      <c r="AR510" s="4" t="s">
        <v>2230</v>
      </c>
    </row>
    <row r="511">
      <c r="A511" s="3" t="s">
        <v>4841</v>
      </c>
      <c r="B511" s="3" t="s">
        <v>4842</v>
      </c>
      <c r="C511" s="3" t="s">
        <v>4843</v>
      </c>
      <c r="D511" s="3" t="s">
        <v>4648</v>
      </c>
      <c r="E511" s="4" t="s">
        <v>4844</v>
      </c>
      <c r="F511" s="3" t="s">
        <v>3615</v>
      </c>
      <c r="G511" s="4" t="s">
        <v>4845</v>
      </c>
      <c r="H511" s="4" t="s">
        <v>4846</v>
      </c>
      <c r="I511" s="3" t="s">
        <v>49</v>
      </c>
      <c r="J511" s="3" t="s">
        <v>50</v>
      </c>
      <c r="K511" s="3" t="s">
        <v>45</v>
      </c>
      <c r="L511" s="3" t="s">
        <v>45</v>
      </c>
      <c r="M511" s="3" t="s">
        <v>45</v>
      </c>
      <c r="N511" s="3" t="s">
        <v>45</v>
      </c>
      <c r="O511" s="3" t="s">
        <v>74</v>
      </c>
      <c r="P511" s="3" t="s">
        <v>45</v>
      </c>
      <c r="Q511" s="3" t="s">
        <v>45</v>
      </c>
      <c r="R511" s="3" t="s">
        <v>45</v>
      </c>
      <c r="S511" s="3" t="s">
        <v>45</v>
      </c>
      <c r="T511" s="3" t="s">
        <v>45</v>
      </c>
      <c r="U511" s="3" t="s">
        <v>45</v>
      </c>
      <c r="V511" s="3" t="s">
        <v>45</v>
      </c>
      <c r="W511" s="3" t="s">
        <v>45</v>
      </c>
      <c r="X511" s="3" t="s">
        <v>45</v>
      </c>
      <c r="Y511" s="3" t="s">
        <v>45</v>
      </c>
      <c r="Z511" s="3" t="s">
        <v>55</v>
      </c>
      <c r="AA511" s="3" t="s">
        <v>4847</v>
      </c>
      <c r="AB511" s="3" t="s">
        <v>45</v>
      </c>
      <c r="AC511" s="3" t="s">
        <v>45</v>
      </c>
      <c r="AD511" s="5" t="s">
        <v>4848</v>
      </c>
      <c r="AE511" s="3" t="s">
        <v>45</v>
      </c>
      <c r="AF511" s="3" t="s">
        <v>45</v>
      </c>
      <c r="AG511" s="3" t="s">
        <v>45</v>
      </c>
      <c r="AH511" s="3" t="s">
        <v>840</v>
      </c>
      <c r="AI511" s="5" t="s">
        <v>4849</v>
      </c>
      <c r="AJ511" s="5" t="s">
        <v>4850</v>
      </c>
      <c r="AK511" s="5" t="s">
        <v>4851</v>
      </c>
      <c r="AL511" s="3" t="s">
        <v>45</v>
      </c>
      <c r="AM511" s="3" t="s">
        <v>45</v>
      </c>
      <c r="AN511" s="3" t="s">
        <v>45</v>
      </c>
      <c r="AO511" s="3" t="s">
        <v>45</v>
      </c>
      <c r="AP511" s="3" t="s">
        <v>45</v>
      </c>
      <c r="AQ511" s="4" t="s">
        <v>4852</v>
      </c>
      <c r="AR511" s="4" t="s">
        <v>4852</v>
      </c>
    </row>
    <row r="512">
      <c r="A512" s="3" t="s">
        <v>4853</v>
      </c>
      <c r="B512" s="3" t="s">
        <v>4854</v>
      </c>
      <c r="C512" s="3" t="s">
        <v>4855</v>
      </c>
      <c r="D512" s="3" t="s">
        <v>4648</v>
      </c>
      <c r="E512" s="4" t="s">
        <v>4856</v>
      </c>
      <c r="F512" s="3" t="s">
        <v>4857</v>
      </c>
      <c r="G512" s="4" t="s">
        <v>4858</v>
      </c>
      <c r="H512" s="4" t="s">
        <v>4859</v>
      </c>
      <c r="I512" s="3" t="s">
        <v>49</v>
      </c>
      <c r="J512" s="3" t="s">
        <v>126</v>
      </c>
      <c r="K512" s="3" t="s">
        <v>45</v>
      </c>
      <c r="L512" s="3" t="s">
        <v>45</v>
      </c>
      <c r="M512" s="3" t="s">
        <v>45</v>
      </c>
      <c r="N512" s="3" t="s">
        <v>45</v>
      </c>
      <c r="O512" s="3" t="s">
        <v>74</v>
      </c>
      <c r="P512" s="3" t="s">
        <v>45</v>
      </c>
      <c r="Q512" s="3" t="s">
        <v>45</v>
      </c>
      <c r="R512" s="3" t="s">
        <v>45</v>
      </c>
      <c r="S512" s="3" t="s">
        <v>45</v>
      </c>
      <c r="T512" s="3" t="s">
        <v>45</v>
      </c>
      <c r="U512" s="3" t="s">
        <v>45</v>
      </c>
      <c r="V512" s="4" t="s">
        <v>1152</v>
      </c>
      <c r="W512" s="4" t="s">
        <v>4860</v>
      </c>
      <c r="X512" s="3" t="s">
        <v>45</v>
      </c>
      <c r="Y512" s="3" t="s">
        <v>45</v>
      </c>
      <c r="Z512" s="3" t="s">
        <v>74</v>
      </c>
      <c r="AA512" s="3" t="s">
        <v>45</v>
      </c>
      <c r="AB512" s="3" t="s">
        <v>45</v>
      </c>
      <c r="AC512" s="3" t="s">
        <v>45</v>
      </c>
      <c r="AD512" s="3" t="s">
        <v>45</v>
      </c>
      <c r="AE512" s="3" t="s">
        <v>45</v>
      </c>
      <c r="AF512" s="3" t="s">
        <v>45</v>
      </c>
      <c r="AG512" s="3" t="s">
        <v>4861</v>
      </c>
      <c r="AH512" s="3" t="s">
        <v>57</v>
      </c>
      <c r="AI512" s="5" t="s">
        <v>4862</v>
      </c>
      <c r="AJ512" s="5" t="s">
        <v>4863</v>
      </c>
      <c r="AK512" s="5" t="s">
        <v>4864</v>
      </c>
      <c r="AL512" s="3" t="s">
        <v>45</v>
      </c>
      <c r="AM512" s="3" t="s">
        <v>45</v>
      </c>
      <c r="AN512" s="3" t="s">
        <v>45</v>
      </c>
      <c r="AO512" s="3" t="s">
        <v>45</v>
      </c>
      <c r="AP512" s="3" t="s">
        <v>45</v>
      </c>
      <c r="AQ512" s="4" t="s">
        <v>168</v>
      </c>
      <c r="AR512" s="4" t="s">
        <v>168</v>
      </c>
    </row>
    <row r="513">
      <c r="A513" s="3" t="s">
        <v>4865</v>
      </c>
      <c r="B513" s="3" t="s">
        <v>4866</v>
      </c>
      <c r="C513" s="3" t="s">
        <v>4855</v>
      </c>
      <c r="D513" s="3" t="s">
        <v>4648</v>
      </c>
      <c r="E513" s="3" t="s">
        <v>45</v>
      </c>
      <c r="F513" s="3" t="s">
        <v>4857</v>
      </c>
      <c r="G513" s="4" t="s">
        <v>4867</v>
      </c>
      <c r="H513" s="4" t="s">
        <v>4868</v>
      </c>
      <c r="I513" s="3" t="s">
        <v>49</v>
      </c>
      <c r="J513" s="3" t="s">
        <v>50</v>
      </c>
      <c r="K513" s="3" t="s">
        <v>45</v>
      </c>
      <c r="L513" s="3" t="s">
        <v>45</v>
      </c>
      <c r="M513" s="3" t="s">
        <v>45</v>
      </c>
      <c r="N513" s="3" t="s">
        <v>45</v>
      </c>
      <c r="O513" s="3" t="s">
        <v>74</v>
      </c>
      <c r="P513" s="3" t="s">
        <v>45</v>
      </c>
      <c r="Q513" s="3" t="s">
        <v>45</v>
      </c>
      <c r="R513" s="3" t="s">
        <v>45</v>
      </c>
      <c r="S513" s="3" t="s">
        <v>45</v>
      </c>
      <c r="T513" s="3" t="s">
        <v>45</v>
      </c>
      <c r="U513" s="3" t="s">
        <v>45</v>
      </c>
      <c r="V513" s="3" t="s">
        <v>45</v>
      </c>
      <c r="W513" s="3" t="s">
        <v>45</v>
      </c>
      <c r="X513" s="3" t="s">
        <v>45</v>
      </c>
      <c r="Y513" s="3" t="s">
        <v>45</v>
      </c>
      <c r="Z513" s="3" t="s">
        <v>74</v>
      </c>
      <c r="AA513" s="3" t="s">
        <v>45</v>
      </c>
      <c r="AB513" s="3" t="s">
        <v>45</v>
      </c>
      <c r="AC513" s="3" t="s">
        <v>45</v>
      </c>
      <c r="AD513" s="3" t="s">
        <v>45</v>
      </c>
      <c r="AE513" s="3" t="s">
        <v>45</v>
      </c>
      <c r="AF513" s="3" t="s">
        <v>45</v>
      </c>
      <c r="AG513" s="3" t="s">
        <v>45</v>
      </c>
      <c r="AH513" s="3" t="s">
        <v>57</v>
      </c>
      <c r="AI513" s="5" t="s">
        <v>4869</v>
      </c>
      <c r="AJ513" s="3" t="s">
        <v>45</v>
      </c>
      <c r="AK513" s="3" t="s">
        <v>45</v>
      </c>
      <c r="AL513" s="3" t="s">
        <v>45</v>
      </c>
      <c r="AM513" s="3" t="s">
        <v>45</v>
      </c>
      <c r="AN513" s="3" t="s">
        <v>45</v>
      </c>
      <c r="AO513" s="3" t="s">
        <v>45</v>
      </c>
      <c r="AP513" s="3" t="s">
        <v>45</v>
      </c>
      <c r="AQ513" s="4" t="s">
        <v>651</v>
      </c>
      <c r="AR513" s="4" t="s">
        <v>651</v>
      </c>
    </row>
    <row r="514">
      <c r="A514" s="3" t="s">
        <v>4870</v>
      </c>
      <c r="B514" s="3" t="s">
        <v>4871</v>
      </c>
      <c r="C514" s="3" t="s">
        <v>4872</v>
      </c>
      <c r="D514" s="3" t="s">
        <v>4648</v>
      </c>
      <c r="E514" s="4" t="s">
        <v>4873</v>
      </c>
      <c r="F514" s="3" t="s">
        <v>4874</v>
      </c>
      <c r="G514" s="4" t="s">
        <v>4875</v>
      </c>
      <c r="H514" s="4" t="s">
        <v>4876</v>
      </c>
      <c r="I514" s="3" t="s">
        <v>436</v>
      </c>
      <c r="J514" s="3" t="s">
        <v>126</v>
      </c>
      <c r="K514" s="3" t="s">
        <v>45</v>
      </c>
      <c r="L514" s="3" t="s">
        <v>45</v>
      </c>
      <c r="M514" s="3" t="s">
        <v>45</v>
      </c>
      <c r="N514" s="3" t="s">
        <v>45</v>
      </c>
      <c r="O514" s="3" t="s">
        <v>74</v>
      </c>
      <c r="P514" s="3" t="s">
        <v>45</v>
      </c>
      <c r="Q514" s="3" t="s">
        <v>45</v>
      </c>
      <c r="R514" s="3" t="s">
        <v>45</v>
      </c>
      <c r="S514" s="4" t="s">
        <v>104</v>
      </c>
      <c r="T514" s="3" t="s">
        <v>45</v>
      </c>
      <c r="U514" s="3" t="s">
        <v>45</v>
      </c>
      <c r="V514" s="3" t="s">
        <v>45</v>
      </c>
      <c r="W514" s="4" t="s">
        <v>3595</v>
      </c>
      <c r="X514" s="3" t="s">
        <v>45</v>
      </c>
      <c r="Y514" s="3" t="s">
        <v>45</v>
      </c>
      <c r="Z514" s="3" t="s">
        <v>74</v>
      </c>
      <c r="AA514" s="3" t="s">
        <v>45</v>
      </c>
      <c r="AB514" s="3" t="s">
        <v>45</v>
      </c>
      <c r="AC514" s="3" t="s">
        <v>45</v>
      </c>
      <c r="AD514" s="3" t="s">
        <v>45</v>
      </c>
      <c r="AE514" s="3" t="s">
        <v>45</v>
      </c>
      <c r="AF514" s="3" t="s">
        <v>45</v>
      </c>
      <c r="AG514" s="3" t="s">
        <v>4877</v>
      </c>
      <c r="AH514" s="3" t="s">
        <v>57</v>
      </c>
      <c r="AI514" s="5" t="s">
        <v>4878</v>
      </c>
      <c r="AJ514" s="5" t="s">
        <v>4879</v>
      </c>
      <c r="AK514" s="3" t="s">
        <v>45</v>
      </c>
      <c r="AL514" s="3" t="s">
        <v>45</v>
      </c>
      <c r="AM514" s="3" t="s">
        <v>45</v>
      </c>
      <c r="AN514" s="3" t="s">
        <v>45</v>
      </c>
      <c r="AO514" s="3" t="s">
        <v>45</v>
      </c>
      <c r="AP514" s="3" t="s">
        <v>45</v>
      </c>
      <c r="AQ514" s="4" t="s">
        <v>1767</v>
      </c>
      <c r="AR514" s="4" t="s">
        <v>1767</v>
      </c>
    </row>
    <row r="515">
      <c r="A515" s="3" t="s">
        <v>4880</v>
      </c>
      <c r="B515" s="3" t="s">
        <v>4881</v>
      </c>
      <c r="C515" s="3" t="s">
        <v>4882</v>
      </c>
      <c r="D515" s="3" t="s">
        <v>4648</v>
      </c>
      <c r="E515" s="4" t="s">
        <v>4883</v>
      </c>
      <c r="F515" s="3" t="s">
        <v>4577</v>
      </c>
      <c r="G515" s="4" t="s">
        <v>4884</v>
      </c>
      <c r="H515" s="4" t="s">
        <v>4885</v>
      </c>
      <c r="I515" s="3" t="s">
        <v>85</v>
      </c>
      <c r="J515" s="3" t="s">
        <v>126</v>
      </c>
      <c r="K515" s="3" t="s">
        <v>45</v>
      </c>
      <c r="L515" s="3" t="s">
        <v>45</v>
      </c>
      <c r="M515" s="3" t="s">
        <v>45</v>
      </c>
      <c r="N515" s="3" t="s">
        <v>45</v>
      </c>
      <c r="O515" s="3" t="s">
        <v>74</v>
      </c>
      <c r="P515" s="3" t="s">
        <v>45</v>
      </c>
      <c r="Q515" s="3" t="s">
        <v>45</v>
      </c>
      <c r="R515" s="3" t="s">
        <v>45</v>
      </c>
      <c r="S515" s="3" t="s">
        <v>45</v>
      </c>
      <c r="T515" s="3" t="s">
        <v>45</v>
      </c>
      <c r="U515" s="3" t="s">
        <v>45</v>
      </c>
      <c r="V515" s="4" t="s">
        <v>3250</v>
      </c>
      <c r="W515" s="3" t="s">
        <v>45</v>
      </c>
      <c r="X515" s="3" t="s">
        <v>45</v>
      </c>
      <c r="Y515" s="3" t="s">
        <v>45</v>
      </c>
      <c r="Z515" s="3" t="s">
        <v>74</v>
      </c>
      <c r="AA515" s="3" t="s">
        <v>45</v>
      </c>
      <c r="AB515" s="3" t="s">
        <v>45</v>
      </c>
      <c r="AC515" s="3" t="s">
        <v>45</v>
      </c>
      <c r="AD515" s="3" t="s">
        <v>45</v>
      </c>
      <c r="AE515" s="3" t="s">
        <v>45</v>
      </c>
      <c r="AF515" s="3" t="s">
        <v>45</v>
      </c>
      <c r="AG515" s="3" t="s">
        <v>4886</v>
      </c>
      <c r="AH515" s="3" t="s">
        <v>57</v>
      </c>
      <c r="AI515" s="5" t="s">
        <v>4887</v>
      </c>
      <c r="AJ515" s="3" t="s">
        <v>45</v>
      </c>
      <c r="AK515" s="3" t="s">
        <v>45</v>
      </c>
      <c r="AL515" s="3" t="s">
        <v>45</v>
      </c>
      <c r="AM515" s="3" t="s">
        <v>45</v>
      </c>
      <c r="AN515" s="3" t="s">
        <v>45</v>
      </c>
      <c r="AO515" s="3" t="s">
        <v>45</v>
      </c>
      <c r="AP515" s="3" t="s">
        <v>45</v>
      </c>
      <c r="AQ515" s="4" t="s">
        <v>413</v>
      </c>
      <c r="AR515" s="4" t="s">
        <v>413</v>
      </c>
    </row>
    <row r="516">
      <c r="A516" s="3" t="s">
        <v>4888</v>
      </c>
      <c r="B516" s="3" t="s">
        <v>4889</v>
      </c>
      <c r="C516" s="3" t="s">
        <v>4577</v>
      </c>
      <c r="D516" s="3" t="s">
        <v>4648</v>
      </c>
      <c r="E516" s="4" t="s">
        <v>4890</v>
      </c>
      <c r="F516" s="3" t="s">
        <v>4577</v>
      </c>
      <c r="G516" s="4" t="s">
        <v>4891</v>
      </c>
      <c r="H516" s="4" t="s">
        <v>4892</v>
      </c>
      <c r="I516" s="3" t="s">
        <v>85</v>
      </c>
      <c r="J516" s="3" t="s">
        <v>126</v>
      </c>
      <c r="K516" s="3" t="s">
        <v>45</v>
      </c>
      <c r="L516" s="3" t="s">
        <v>45</v>
      </c>
      <c r="M516" s="3" t="s">
        <v>45</v>
      </c>
      <c r="N516" s="3" t="s">
        <v>45</v>
      </c>
      <c r="O516" s="3" t="s">
        <v>74</v>
      </c>
      <c r="P516" s="3" t="s">
        <v>45</v>
      </c>
      <c r="Q516" s="3" t="s">
        <v>45</v>
      </c>
      <c r="R516" s="3" t="s">
        <v>45</v>
      </c>
      <c r="S516" s="3" t="s">
        <v>45</v>
      </c>
      <c r="T516" s="3" t="s">
        <v>45</v>
      </c>
      <c r="U516" s="3" t="s">
        <v>45</v>
      </c>
      <c r="V516" s="3" t="s">
        <v>45</v>
      </c>
      <c r="W516" s="3" t="s">
        <v>45</v>
      </c>
      <c r="X516" s="3" t="s">
        <v>45</v>
      </c>
      <c r="Y516" s="3" t="s">
        <v>45</v>
      </c>
      <c r="Z516" s="3" t="s">
        <v>74</v>
      </c>
      <c r="AA516" s="3" t="s">
        <v>45</v>
      </c>
      <c r="AB516" s="3" t="s">
        <v>45</v>
      </c>
      <c r="AC516" s="3" t="s">
        <v>45</v>
      </c>
      <c r="AD516" s="3" t="s">
        <v>45</v>
      </c>
      <c r="AE516" s="3" t="s">
        <v>45</v>
      </c>
      <c r="AF516" s="3" t="s">
        <v>45</v>
      </c>
      <c r="AG516" s="3" t="s">
        <v>45</v>
      </c>
      <c r="AH516" s="3" t="s">
        <v>57</v>
      </c>
      <c r="AI516" s="5" t="s">
        <v>4893</v>
      </c>
      <c r="AJ516" s="3" t="s">
        <v>45</v>
      </c>
      <c r="AK516" s="3" t="s">
        <v>45</v>
      </c>
      <c r="AL516" s="3" t="s">
        <v>45</v>
      </c>
      <c r="AM516" s="3" t="s">
        <v>45</v>
      </c>
      <c r="AN516" s="3" t="s">
        <v>45</v>
      </c>
      <c r="AO516" s="3" t="s">
        <v>45</v>
      </c>
      <c r="AP516" s="3" t="s">
        <v>45</v>
      </c>
      <c r="AQ516" s="4" t="s">
        <v>2987</v>
      </c>
      <c r="AR516" s="4" t="s">
        <v>2987</v>
      </c>
    </row>
    <row r="517">
      <c r="A517" s="3" t="s">
        <v>4894</v>
      </c>
      <c r="B517" s="3" t="s">
        <v>4895</v>
      </c>
      <c r="C517" s="3" t="s">
        <v>4577</v>
      </c>
      <c r="D517" s="3" t="s">
        <v>4648</v>
      </c>
      <c r="E517" s="4" t="s">
        <v>4896</v>
      </c>
      <c r="F517" s="3" t="s">
        <v>4577</v>
      </c>
      <c r="G517" s="4" t="s">
        <v>4897</v>
      </c>
      <c r="H517" s="4" t="s">
        <v>4898</v>
      </c>
      <c r="I517" s="3" t="s">
        <v>85</v>
      </c>
      <c r="J517" s="3" t="s">
        <v>126</v>
      </c>
      <c r="K517" s="3" t="s">
        <v>45</v>
      </c>
      <c r="L517" s="3" t="s">
        <v>45</v>
      </c>
      <c r="M517" s="3" t="s">
        <v>45</v>
      </c>
      <c r="N517" s="3" t="s">
        <v>45</v>
      </c>
      <c r="O517" s="3" t="s">
        <v>74</v>
      </c>
      <c r="P517" s="3" t="s">
        <v>45</v>
      </c>
      <c r="Q517" s="3" t="s">
        <v>45</v>
      </c>
      <c r="R517" s="3" t="s">
        <v>45</v>
      </c>
      <c r="S517" s="3" t="s">
        <v>45</v>
      </c>
      <c r="T517" s="3" t="s">
        <v>45</v>
      </c>
      <c r="U517" s="3" t="s">
        <v>45</v>
      </c>
      <c r="V517" s="3" t="s">
        <v>45</v>
      </c>
      <c r="W517" s="3" t="s">
        <v>45</v>
      </c>
      <c r="X517" s="3" t="s">
        <v>45</v>
      </c>
      <c r="Y517" s="3" t="s">
        <v>45</v>
      </c>
      <c r="Z517" s="3" t="s">
        <v>74</v>
      </c>
      <c r="AA517" s="3" t="s">
        <v>45</v>
      </c>
      <c r="AB517" s="3" t="s">
        <v>45</v>
      </c>
      <c r="AC517" s="3" t="s">
        <v>45</v>
      </c>
      <c r="AD517" s="3" t="s">
        <v>45</v>
      </c>
      <c r="AE517" s="3" t="s">
        <v>45</v>
      </c>
      <c r="AF517" s="3" t="s">
        <v>45</v>
      </c>
      <c r="AG517" s="3" t="s">
        <v>45</v>
      </c>
      <c r="AH517" s="3" t="s">
        <v>57</v>
      </c>
      <c r="AI517" s="5" t="s">
        <v>4893</v>
      </c>
      <c r="AJ517" s="3" t="s">
        <v>45</v>
      </c>
      <c r="AK517" s="3" t="s">
        <v>45</v>
      </c>
      <c r="AL517" s="3" t="s">
        <v>45</v>
      </c>
      <c r="AM517" s="3" t="s">
        <v>45</v>
      </c>
      <c r="AN517" s="3" t="s">
        <v>45</v>
      </c>
      <c r="AO517" s="3" t="s">
        <v>45</v>
      </c>
      <c r="AP517" s="3" t="s">
        <v>45</v>
      </c>
      <c r="AQ517" s="4" t="s">
        <v>2987</v>
      </c>
      <c r="AR517" s="4" t="s">
        <v>2987</v>
      </c>
    </row>
    <row r="518">
      <c r="A518" s="3" t="s">
        <v>4899</v>
      </c>
      <c r="B518" s="3" t="s">
        <v>4900</v>
      </c>
      <c r="C518" s="3" t="s">
        <v>4577</v>
      </c>
      <c r="D518" s="3" t="s">
        <v>4648</v>
      </c>
      <c r="E518" s="4" t="s">
        <v>4901</v>
      </c>
      <c r="F518" s="3" t="s">
        <v>4902</v>
      </c>
      <c r="G518" s="4" t="s">
        <v>4903</v>
      </c>
      <c r="H518" s="4" t="s">
        <v>4904</v>
      </c>
      <c r="I518" s="3" t="s">
        <v>49</v>
      </c>
      <c r="J518" s="3" t="s">
        <v>126</v>
      </c>
      <c r="K518" s="3" t="s">
        <v>45</v>
      </c>
      <c r="L518" s="3" t="s">
        <v>45</v>
      </c>
      <c r="M518" s="3" t="s">
        <v>45</v>
      </c>
      <c r="N518" s="3" t="s">
        <v>45</v>
      </c>
      <c r="O518" s="3" t="s">
        <v>74</v>
      </c>
      <c r="P518" s="3" t="s">
        <v>45</v>
      </c>
      <c r="Q518" s="3" t="s">
        <v>45</v>
      </c>
      <c r="R518" s="3" t="s">
        <v>45</v>
      </c>
      <c r="S518" s="3" t="s">
        <v>45</v>
      </c>
      <c r="T518" s="3" t="s">
        <v>45</v>
      </c>
      <c r="U518" s="3" t="s">
        <v>45</v>
      </c>
      <c r="V518" s="3" t="s">
        <v>45</v>
      </c>
      <c r="W518" s="3" t="s">
        <v>45</v>
      </c>
      <c r="X518" s="3" t="s">
        <v>4905</v>
      </c>
      <c r="Y518" s="3" t="s">
        <v>45</v>
      </c>
      <c r="Z518" s="3" t="s">
        <v>74</v>
      </c>
      <c r="AA518" s="3" t="s">
        <v>45</v>
      </c>
      <c r="AB518" s="3" t="s">
        <v>45</v>
      </c>
      <c r="AC518" s="3" t="s">
        <v>45</v>
      </c>
      <c r="AD518" s="3" t="s">
        <v>45</v>
      </c>
      <c r="AE518" s="3" t="s">
        <v>45</v>
      </c>
      <c r="AF518" s="3" t="s">
        <v>45</v>
      </c>
      <c r="AG518" s="3" t="s">
        <v>4906</v>
      </c>
      <c r="AH518" s="3" t="s">
        <v>57</v>
      </c>
      <c r="AI518" s="5" t="s">
        <v>4907</v>
      </c>
      <c r="AJ518" s="3" t="s">
        <v>45</v>
      </c>
      <c r="AK518" s="3" t="s">
        <v>45</v>
      </c>
      <c r="AL518" s="3" t="s">
        <v>45</v>
      </c>
      <c r="AM518" s="3" t="s">
        <v>45</v>
      </c>
      <c r="AN518" s="3" t="s">
        <v>45</v>
      </c>
      <c r="AO518" s="3" t="s">
        <v>45</v>
      </c>
      <c r="AP518" s="3" t="s">
        <v>45</v>
      </c>
      <c r="AQ518" s="4" t="s">
        <v>3233</v>
      </c>
      <c r="AR518" s="4" t="s">
        <v>3233</v>
      </c>
    </row>
    <row r="519">
      <c r="A519" s="3" t="s">
        <v>4908</v>
      </c>
      <c r="B519" s="3" t="s">
        <v>4909</v>
      </c>
      <c r="C519" s="3" t="s">
        <v>4577</v>
      </c>
      <c r="D519" s="3" t="s">
        <v>4648</v>
      </c>
      <c r="E519" s="4" t="s">
        <v>4890</v>
      </c>
      <c r="F519" s="3" t="s">
        <v>4577</v>
      </c>
      <c r="G519" s="4" t="s">
        <v>4910</v>
      </c>
      <c r="H519" s="4" t="s">
        <v>4911</v>
      </c>
      <c r="I519" s="3" t="s">
        <v>85</v>
      </c>
      <c r="J519" s="3" t="s">
        <v>126</v>
      </c>
      <c r="K519" s="3" t="s">
        <v>45</v>
      </c>
      <c r="L519" s="3" t="s">
        <v>45</v>
      </c>
      <c r="M519" s="3" t="s">
        <v>45</v>
      </c>
      <c r="N519" s="3" t="s">
        <v>45</v>
      </c>
      <c r="O519" s="3" t="s">
        <v>74</v>
      </c>
      <c r="P519" s="3" t="s">
        <v>45</v>
      </c>
      <c r="Q519" s="3" t="s">
        <v>45</v>
      </c>
      <c r="R519" s="3" t="s">
        <v>45</v>
      </c>
      <c r="S519" s="3" t="s">
        <v>45</v>
      </c>
      <c r="T519" s="3" t="s">
        <v>45</v>
      </c>
      <c r="U519" s="3" t="s">
        <v>45</v>
      </c>
      <c r="V519" s="3" t="s">
        <v>45</v>
      </c>
      <c r="W519" s="3" t="s">
        <v>45</v>
      </c>
      <c r="X519" s="3" t="s">
        <v>45</v>
      </c>
      <c r="Y519" s="3" t="s">
        <v>45</v>
      </c>
      <c r="Z519" s="3" t="s">
        <v>74</v>
      </c>
      <c r="AA519" s="3" t="s">
        <v>45</v>
      </c>
      <c r="AB519" s="3" t="s">
        <v>45</v>
      </c>
      <c r="AC519" s="3" t="s">
        <v>45</v>
      </c>
      <c r="AD519" s="3" t="s">
        <v>45</v>
      </c>
      <c r="AE519" s="3" t="s">
        <v>45</v>
      </c>
      <c r="AF519" s="3" t="s">
        <v>45</v>
      </c>
      <c r="AG519" s="3" t="s">
        <v>45</v>
      </c>
      <c r="AH519" s="3" t="s">
        <v>57</v>
      </c>
      <c r="AI519" s="5" t="s">
        <v>4893</v>
      </c>
      <c r="AJ519" s="3" t="s">
        <v>45</v>
      </c>
      <c r="AK519" s="3" t="s">
        <v>45</v>
      </c>
      <c r="AL519" s="3" t="s">
        <v>45</v>
      </c>
      <c r="AM519" s="3" t="s">
        <v>45</v>
      </c>
      <c r="AN519" s="3" t="s">
        <v>45</v>
      </c>
      <c r="AO519" s="3" t="s">
        <v>45</v>
      </c>
      <c r="AP519" s="3" t="s">
        <v>45</v>
      </c>
      <c r="AQ519" s="4" t="s">
        <v>2987</v>
      </c>
      <c r="AR519" s="4" t="s">
        <v>2987</v>
      </c>
    </row>
    <row r="520">
      <c r="A520" s="3" t="s">
        <v>4912</v>
      </c>
      <c r="B520" s="3" t="s">
        <v>4913</v>
      </c>
      <c r="C520" s="3" t="s">
        <v>4914</v>
      </c>
      <c r="D520" s="3" t="s">
        <v>4648</v>
      </c>
      <c r="E520" s="3" t="s">
        <v>45</v>
      </c>
      <c r="F520" s="3" t="s">
        <v>4915</v>
      </c>
      <c r="G520" s="4" t="s">
        <v>4916</v>
      </c>
      <c r="H520" s="4" t="s">
        <v>4917</v>
      </c>
      <c r="I520" s="3" t="s">
        <v>49</v>
      </c>
      <c r="J520" s="3" t="s">
        <v>99</v>
      </c>
      <c r="K520" s="3" t="s">
        <v>45</v>
      </c>
      <c r="L520" s="3" t="s">
        <v>4918</v>
      </c>
      <c r="M520" s="3" t="s">
        <v>45</v>
      </c>
      <c r="N520" s="3" t="s">
        <v>45</v>
      </c>
      <c r="O520" s="3" t="s">
        <v>88</v>
      </c>
      <c r="P520" s="3" t="s">
        <v>45</v>
      </c>
      <c r="Q520" s="3" t="s">
        <v>45</v>
      </c>
      <c r="R520" s="3" t="s">
        <v>45</v>
      </c>
      <c r="S520" s="3" t="s">
        <v>45</v>
      </c>
      <c r="T520" s="3" t="s">
        <v>105</v>
      </c>
      <c r="U520" s="3" t="s">
        <v>221</v>
      </c>
      <c r="V520" s="4" t="s">
        <v>4276</v>
      </c>
      <c r="W520" s="4" t="s">
        <v>259</v>
      </c>
      <c r="X520" s="3" t="s">
        <v>45</v>
      </c>
      <c r="Y520" s="3" t="s">
        <v>45</v>
      </c>
      <c r="Z520" s="3" t="s">
        <v>55</v>
      </c>
      <c r="AA520" s="3" t="s">
        <v>45</v>
      </c>
      <c r="AB520" s="3" t="s">
        <v>109</v>
      </c>
      <c r="AC520" s="3" t="s">
        <v>45</v>
      </c>
      <c r="AD520" s="3" t="s">
        <v>45</v>
      </c>
      <c r="AE520" s="3" t="s">
        <v>45</v>
      </c>
      <c r="AF520" s="3" t="s">
        <v>45</v>
      </c>
      <c r="AG520" s="3" t="s">
        <v>45</v>
      </c>
      <c r="AH520" s="3" t="s">
        <v>57</v>
      </c>
      <c r="AI520" s="5" t="s">
        <v>4919</v>
      </c>
      <c r="AJ520" s="3" t="s">
        <v>45</v>
      </c>
      <c r="AK520" s="3" t="s">
        <v>45</v>
      </c>
      <c r="AL520" s="3" t="s">
        <v>45</v>
      </c>
      <c r="AM520" s="3" t="s">
        <v>45</v>
      </c>
      <c r="AN520" s="3" t="s">
        <v>45</v>
      </c>
      <c r="AO520" s="3" t="s">
        <v>45</v>
      </c>
      <c r="AP520" s="3" t="s">
        <v>45</v>
      </c>
      <c r="AQ520" s="4" t="s">
        <v>1050</v>
      </c>
      <c r="AR520" s="4" t="s">
        <v>1050</v>
      </c>
    </row>
    <row r="521">
      <c r="A521" s="3" t="s">
        <v>4920</v>
      </c>
      <c r="B521" s="3" t="s">
        <v>4921</v>
      </c>
      <c r="C521" s="3" t="s">
        <v>4922</v>
      </c>
      <c r="D521" s="3" t="s">
        <v>4648</v>
      </c>
      <c r="E521" s="4" t="s">
        <v>4923</v>
      </c>
      <c r="F521" s="3" t="s">
        <v>3772</v>
      </c>
      <c r="G521" s="4" t="s">
        <v>4924</v>
      </c>
      <c r="H521" s="4" t="s">
        <v>4925</v>
      </c>
      <c r="I521" s="3" t="s">
        <v>218</v>
      </c>
      <c r="J521" s="3" t="s">
        <v>50</v>
      </c>
      <c r="K521" s="3" t="s">
        <v>45</v>
      </c>
      <c r="L521" s="3" t="s">
        <v>4926</v>
      </c>
      <c r="M521" s="3" t="s">
        <v>45</v>
      </c>
      <c r="N521" s="3" t="s">
        <v>45</v>
      </c>
      <c r="O521" s="3" t="s">
        <v>74</v>
      </c>
      <c r="P521" s="3" t="s">
        <v>45</v>
      </c>
      <c r="Q521" s="3" t="s">
        <v>45</v>
      </c>
      <c r="R521" s="3" t="s">
        <v>45</v>
      </c>
      <c r="S521" s="3" t="s">
        <v>45</v>
      </c>
      <c r="T521" s="3" t="s">
        <v>45</v>
      </c>
      <c r="U521" s="3" t="s">
        <v>45</v>
      </c>
      <c r="V521" s="3" t="s">
        <v>45</v>
      </c>
      <c r="W521" s="4" t="s">
        <v>4475</v>
      </c>
      <c r="X521" s="3" t="s">
        <v>45</v>
      </c>
      <c r="Y521" s="3" t="s">
        <v>45</v>
      </c>
      <c r="Z521" s="3" t="s">
        <v>55</v>
      </c>
      <c r="AA521" s="3" t="s">
        <v>4927</v>
      </c>
      <c r="AB521" s="3" t="s">
        <v>45</v>
      </c>
      <c r="AC521" s="3" t="s">
        <v>45</v>
      </c>
      <c r="AD521" s="3" t="s">
        <v>45</v>
      </c>
      <c r="AE521" s="3" t="s">
        <v>45</v>
      </c>
      <c r="AF521" s="5" t="s">
        <v>4829</v>
      </c>
      <c r="AG521" s="3" t="s">
        <v>4928</v>
      </c>
      <c r="AH521" s="3" t="s">
        <v>57</v>
      </c>
      <c r="AI521" s="5" t="s">
        <v>4929</v>
      </c>
      <c r="AJ521" s="5" t="s">
        <v>4830</v>
      </c>
      <c r="AK521" s="5" t="s">
        <v>4831</v>
      </c>
      <c r="AL521" s="3" t="s">
        <v>45</v>
      </c>
      <c r="AM521" s="3" t="s">
        <v>45</v>
      </c>
      <c r="AN521" s="3" t="s">
        <v>45</v>
      </c>
      <c r="AO521" s="3" t="s">
        <v>45</v>
      </c>
      <c r="AP521" s="3" t="s">
        <v>45</v>
      </c>
      <c r="AQ521" s="4" t="s">
        <v>2649</v>
      </c>
      <c r="AR521" s="4" t="s">
        <v>78</v>
      </c>
    </row>
    <row r="522">
      <c r="A522" s="3" t="s">
        <v>4912</v>
      </c>
      <c r="B522" s="3" t="s">
        <v>4930</v>
      </c>
      <c r="C522" s="3" t="s">
        <v>4931</v>
      </c>
      <c r="D522" s="3" t="s">
        <v>4648</v>
      </c>
      <c r="E522" s="4" t="s">
        <v>4932</v>
      </c>
      <c r="F522" s="3" t="s">
        <v>2808</v>
      </c>
      <c r="G522" s="4" t="s">
        <v>4933</v>
      </c>
      <c r="H522" s="4" t="s">
        <v>4934</v>
      </c>
      <c r="I522" s="3" t="s">
        <v>218</v>
      </c>
      <c r="J522" s="3" t="s">
        <v>126</v>
      </c>
      <c r="K522" s="3" t="s">
        <v>45</v>
      </c>
      <c r="L522" s="3" t="s">
        <v>4918</v>
      </c>
      <c r="M522" s="3" t="s">
        <v>45</v>
      </c>
      <c r="N522" s="3" t="s">
        <v>45</v>
      </c>
      <c r="O522" s="3" t="s">
        <v>88</v>
      </c>
      <c r="P522" s="3" t="s">
        <v>45</v>
      </c>
      <c r="Q522" s="3" t="s">
        <v>45</v>
      </c>
      <c r="R522" s="3" t="s">
        <v>45</v>
      </c>
      <c r="S522" s="3" t="s">
        <v>45</v>
      </c>
      <c r="T522" s="3" t="s">
        <v>45</v>
      </c>
      <c r="U522" s="3" t="s">
        <v>45</v>
      </c>
      <c r="V522" s="4" t="s">
        <v>4935</v>
      </c>
      <c r="W522" s="4" t="s">
        <v>4936</v>
      </c>
      <c r="X522" s="3" t="s">
        <v>45</v>
      </c>
      <c r="Y522" s="3" t="s">
        <v>45</v>
      </c>
      <c r="Z522" s="3" t="s">
        <v>74</v>
      </c>
      <c r="AA522" s="3" t="s">
        <v>45</v>
      </c>
      <c r="AB522" s="3" t="s">
        <v>45</v>
      </c>
      <c r="AC522" s="3" t="s">
        <v>45</v>
      </c>
      <c r="AD522" s="3" t="s">
        <v>45</v>
      </c>
      <c r="AE522" s="3" t="s">
        <v>45</v>
      </c>
      <c r="AF522" s="3" t="s">
        <v>45</v>
      </c>
      <c r="AG522" s="3" t="s">
        <v>45</v>
      </c>
      <c r="AH522" s="3" t="s">
        <v>57</v>
      </c>
      <c r="AI522" s="5" t="s">
        <v>4937</v>
      </c>
      <c r="AJ522" s="3" t="s">
        <v>45</v>
      </c>
      <c r="AK522" s="3" t="s">
        <v>45</v>
      </c>
      <c r="AL522" s="3" t="s">
        <v>45</v>
      </c>
      <c r="AM522" s="3" t="s">
        <v>45</v>
      </c>
      <c r="AN522" s="3" t="s">
        <v>45</v>
      </c>
      <c r="AO522" s="3" t="s">
        <v>45</v>
      </c>
      <c r="AP522" s="3" t="s">
        <v>45</v>
      </c>
      <c r="AQ522" s="4" t="s">
        <v>1050</v>
      </c>
      <c r="AR522" s="4" t="s">
        <v>1050</v>
      </c>
    </row>
    <row r="523">
      <c r="A523" s="3" t="s">
        <v>4938</v>
      </c>
      <c r="B523" s="3" t="s">
        <v>4939</v>
      </c>
      <c r="C523" s="3" t="s">
        <v>4940</v>
      </c>
      <c r="D523" s="3" t="s">
        <v>4941</v>
      </c>
      <c r="E523" s="4" t="s">
        <v>4942</v>
      </c>
      <c r="F523" s="3" t="s">
        <v>4943</v>
      </c>
      <c r="G523" s="4" t="s">
        <v>4944</v>
      </c>
      <c r="H523" s="4" t="s">
        <v>4945</v>
      </c>
      <c r="I523" s="3" t="s">
        <v>218</v>
      </c>
      <c r="J523" s="3" t="s">
        <v>50</v>
      </c>
      <c r="K523" s="3" t="s">
        <v>45</v>
      </c>
      <c r="L523" s="3" t="s">
        <v>45</v>
      </c>
      <c r="M523" s="3" t="s">
        <v>45</v>
      </c>
      <c r="N523" s="4" t="s">
        <v>4946</v>
      </c>
      <c r="O523" s="3" t="s">
        <v>88</v>
      </c>
      <c r="P523" s="3" t="s">
        <v>45</v>
      </c>
      <c r="Q523" s="3" t="s">
        <v>45</v>
      </c>
      <c r="R523" s="3" t="s">
        <v>45</v>
      </c>
      <c r="S523" s="3" t="s">
        <v>45</v>
      </c>
      <c r="T523" s="3" t="s">
        <v>45</v>
      </c>
      <c r="U523" s="3" t="s">
        <v>45</v>
      </c>
      <c r="V523" s="3" t="s">
        <v>45</v>
      </c>
      <c r="W523" s="4" t="s">
        <v>4947</v>
      </c>
      <c r="X523" s="3" t="s">
        <v>192</v>
      </c>
      <c r="Y523" s="3" t="s">
        <v>45</v>
      </c>
      <c r="Z523" s="3" t="s">
        <v>55</v>
      </c>
      <c r="AA523" s="3" t="s">
        <v>45</v>
      </c>
      <c r="AB523" s="3" t="s">
        <v>45</v>
      </c>
      <c r="AC523" s="3" t="s">
        <v>45</v>
      </c>
      <c r="AD523" s="3" t="s">
        <v>45</v>
      </c>
      <c r="AE523" s="3" t="s">
        <v>45</v>
      </c>
      <c r="AF523" s="5" t="s">
        <v>4948</v>
      </c>
      <c r="AG523" s="3" t="s">
        <v>45</v>
      </c>
      <c r="AH523" s="3" t="s">
        <v>57</v>
      </c>
      <c r="AI523" s="5" t="s">
        <v>4949</v>
      </c>
      <c r="AJ523" s="5" t="s">
        <v>4950</v>
      </c>
      <c r="AK523" s="5" t="s">
        <v>4951</v>
      </c>
      <c r="AL523" s="3" t="s">
        <v>45</v>
      </c>
      <c r="AM523" s="3" t="s">
        <v>45</v>
      </c>
      <c r="AN523" s="3" t="s">
        <v>45</v>
      </c>
      <c r="AO523" s="3" t="s">
        <v>45</v>
      </c>
      <c r="AP523" s="3" t="s">
        <v>45</v>
      </c>
      <c r="AQ523" s="4" t="s">
        <v>3280</v>
      </c>
      <c r="AR523" s="4" t="s">
        <v>2929</v>
      </c>
    </row>
    <row r="524">
      <c r="A524" s="3" t="s">
        <v>4952</v>
      </c>
      <c r="B524" s="3" t="s">
        <v>4953</v>
      </c>
      <c r="C524" s="3" t="s">
        <v>4954</v>
      </c>
      <c r="D524" s="3" t="s">
        <v>4941</v>
      </c>
      <c r="E524" s="4" t="s">
        <v>4955</v>
      </c>
      <c r="F524" s="3" t="s">
        <v>202</v>
      </c>
      <c r="G524" s="4" t="s">
        <v>4956</v>
      </c>
      <c r="H524" s="4" t="s">
        <v>4957</v>
      </c>
      <c r="I524" s="3" t="s">
        <v>85</v>
      </c>
      <c r="J524" s="3" t="s">
        <v>126</v>
      </c>
      <c r="K524" s="3" t="s">
        <v>45</v>
      </c>
      <c r="L524" s="3" t="s">
        <v>479</v>
      </c>
      <c r="M524" s="3" t="s">
        <v>45</v>
      </c>
      <c r="N524" s="3" t="s">
        <v>4958</v>
      </c>
      <c r="O524" s="3" t="s">
        <v>88</v>
      </c>
      <c r="P524" s="3" t="s">
        <v>45</v>
      </c>
      <c r="Q524" s="3" t="s">
        <v>45</v>
      </c>
      <c r="R524" s="3" t="s">
        <v>45</v>
      </c>
      <c r="S524" s="3" t="s">
        <v>45</v>
      </c>
      <c r="T524" s="3" t="s">
        <v>89</v>
      </c>
      <c r="U524" s="3" t="s">
        <v>3619</v>
      </c>
      <c r="V524" s="3" t="s">
        <v>45</v>
      </c>
      <c r="W524" s="3" t="s">
        <v>45</v>
      </c>
      <c r="X524" s="3" t="s">
        <v>45</v>
      </c>
      <c r="Y524" s="3" t="s">
        <v>45</v>
      </c>
      <c r="Z524" s="3" t="s">
        <v>74</v>
      </c>
      <c r="AA524" s="3" t="s">
        <v>45</v>
      </c>
      <c r="AB524" s="3" t="s">
        <v>45</v>
      </c>
      <c r="AC524" s="3" t="s">
        <v>45</v>
      </c>
      <c r="AD524" s="3" t="s">
        <v>45</v>
      </c>
      <c r="AE524" s="3" t="s">
        <v>45</v>
      </c>
      <c r="AF524" s="3" t="s">
        <v>45</v>
      </c>
      <c r="AG524" s="3" t="s">
        <v>45</v>
      </c>
      <c r="AH524" s="3" t="s">
        <v>57</v>
      </c>
      <c r="AI524" s="5" t="s">
        <v>4959</v>
      </c>
      <c r="AJ524" s="3" t="s">
        <v>45</v>
      </c>
      <c r="AK524" s="3" t="s">
        <v>45</v>
      </c>
      <c r="AL524" s="3" t="s">
        <v>45</v>
      </c>
      <c r="AM524" s="3" t="s">
        <v>45</v>
      </c>
      <c r="AN524" s="3" t="s">
        <v>45</v>
      </c>
      <c r="AO524" s="3" t="s">
        <v>45</v>
      </c>
      <c r="AP524" s="3" t="s">
        <v>45</v>
      </c>
      <c r="AQ524" s="4" t="s">
        <v>2053</v>
      </c>
      <c r="AR524" s="4" t="s">
        <v>2053</v>
      </c>
    </row>
    <row r="525">
      <c r="A525" s="3" t="s">
        <v>266</v>
      </c>
      <c r="B525" s="3" t="s">
        <v>4960</v>
      </c>
      <c r="C525" s="3" t="s">
        <v>268</v>
      </c>
      <c r="D525" s="3" t="s">
        <v>4941</v>
      </c>
      <c r="E525" s="4" t="s">
        <v>4961</v>
      </c>
      <c r="F525" s="3" t="s">
        <v>4962</v>
      </c>
      <c r="G525" s="4" t="s">
        <v>4963</v>
      </c>
      <c r="H525" s="4" t="s">
        <v>4964</v>
      </c>
      <c r="I525" s="3" t="s">
        <v>49</v>
      </c>
      <c r="J525" s="3" t="s">
        <v>50</v>
      </c>
      <c r="K525" s="3" t="s">
        <v>45</v>
      </c>
      <c r="L525" s="3" t="s">
        <v>45</v>
      </c>
      <c r="M525" s="3" t="s">
        <v>45</v>
      </c>
      <c r="N525" s="3" t="s">
        <v>45</v>
      </c>
      <c r="O525" s="3" t="s">
        <v>74</v>
      </c>
      <c r="P525" s="3" t="s">
        <v>45</v>
      </c>
      <c r="Q525" s="3" t="s">
        <v>45</v>
      </c>
      <c r="R525" s="3" t="s">
        <v>45</v>
      </c>
      <c r="S525" s="3" t="s">
        <v>45</v>
      </c>
      <c r="T525" s="3" t="s">
        <v>45</v>
      </c>
      <c r="U525" s="3" t="s">
        <v>45</v>
      </c>
      <c r="V525" s="3" t="s">
        <v>45</v>
      </c>
      <c r="W525" s="4" t="s">
        <v>4965</v>
      </c>
      <c r="X525" s="3" t="s">
        <v>45</v>
      </c>
      <c r="Y525" s="3" t="s">
        <v>45</v>
      </c>
      <c r="Z525" s="3" t="s">
        <v>74</v>
      </c>
      <c r="AA525" s="3" t="s">
        <v>45</v>
      </c>
      <c r="AB525" s="3" t="s">
        <v>45</v>
      </c>
      <c r="AC525" s="3" t="s">
        <v>45</v>
      </c>
      <c r="AD525" s="3" t="s">
        <v>45</v>
      </c>
      <c r="AE525" s="3" t="s">
        <v>45</v>
      </c>
      <c r="AF525" s="3" t="s">
        <v>45</v>
      </c>
      <c r="AG525" s="3" t="s">
        <v>45</v>
      </c>
      <c r="AH525" s="3" t="s">
        <v>57</v>
      </c>
      <c r="AI525" s="5" t="s">
        <v>4966</v>
      </c>
      <c r="AJ525" s="3" t="s">
        <v>45</v>
      </c>
      <c r="AK525" s="3" t="s">
        <v>45</v>
      </c>
      <c r="AL525" s="3" t="s">
        <v>45</v>
      </c>
      <c r="AM525" s="3" t="s">
        <v>45</v>
      </c>
      <c r="AN525" s="3" t="s">
        <v>45</v>
      </c>
      <c r="AO525" s="3" t="s">
        <v>45</v>
      </c>
      <c r="AP525" s="3" t="s">
        <v>45</v>
      </c>
      <c r="AQ525" s="4" t="s">
        <v>2870</v>
      </c>
      <c r="AR525" s="4" t="s">
        <v>2870</v>
      </c>
    </row>
    <row r="526">
      <c r="A526" s="3" t="s">
        <v>4967</v>
      </c>
      <c r="B526" s="3" t="s">
        <v>4968</v>
      </c>
      <c r="C526" s="3" t="s">
        <v>3320</v>
      </c>
      <c r="D526" s="3" t="s">
        <v>4941</v>
      </c>
      <c r="E526" s="4" t="s">
        <v>4969</v>
      </c>
      <c r="F526" s="3" t="s">
        <v>4970</v>
      </c>
      <c r="G526" s="4" t="s">
        <v>4971</v>
      </c>
      <c r="H526" s="4" t="s">
        <v>4972</v>
      </c>
      <c r="I526" s="3" t="s">
        <v>49</v>
      </c>
      <c r="J526" s="3" t="s">
        <v>126</v>
      </c>
      <c r="K526" s="3" t="s">
        <v>45</v>
      </c>
      <c r="L526" s="3" t="s">
        <v>45</v>
      </c>
      <c r="M526" s="3" t="s">
        <v>45</v>
      </c>
      <c r="N526" s="3" t="s">
        <v>45</v>
      </c>
      <c r="O526" s="3" t="s">
        <v>88</v>
      </c>
      <c r="P526" s="3" t="s">
        <v>45</v>
      </c>
      <c r="Q526" s="3" t="s">
        <v>45</v>
      </c>
      <c r="R526" s="3" t="s">
        <v>45</v>
      </c>
      <c r="S526" s="3" t="s">
        <v>45</v>
      </c>
      <c r="T526" s="3" t="s">
        <v>45</v>
      </c>
      <c r="U526" s="3" t="s">
        <v>45</v>
      </c>
      <c r="V526" s="4" t="s">
        <v>4973</v>
      </c>
      <c r="W526" s="4" t="s">
        <v>764</v>
      </c>
      <c r="X526" s="3" t="s">
        <v>45</v>
      </c>
      <c r="Y526" s="3" t="s">
        <v>45</v>
      </c>
      <c r="Z526" s="3" t="s">
        <v>74</v>
      </c>
      <c r="AA526" s="3" t="s">
        <v>45</v>
      </c>
      <c r="AB526" s="3" t="s">
        <v>45</v>
      </c>
      <c r="AC526" s="3" t="s">
        <v>45</v>
      </c>
      <c r="AD526" s="3" t="s">
        <v>45</v>
      </c>
      <c r="AE526" s="3" t="s">
        <v>45</v>
      </c>
      <c r="AF526" s="3" t="s">
        <v>45</v>
      </c>
      <c r="AG526" s="3" t="s">
        <v>45</v>
      </c>
      <c r="AH526" s="3" t="s">
        <v>57</v>
      </c>
      <c r="AI526" s="5" t="s">
        <v>4974</v>
      </c>
      <c r="AJ526" s="3" t="s">
        <v>45</v>
      </c>
      <c r="AK526" s="3" t="s">
        <v>45</v>
      </c>
      <c r="AL526" s="3" t="s">
        <v>45</v>
      </c>
      <c r="AM526" s="3" t="s">
        <v>45</v>
      </c>
      <c r="AN526" s="3" t="s">
        <v>45</v>
      </c>
      <c r="AO526" s="3" t="s">
        <v>45</v>
      </c>
      <c r="AP526" s="3" t="s">
        <v>45</v>
      </c>
      <c r="AQ526" s="4" t="s">
        <v>148</v>
      </c>
      <c r="AR526" s="4" t="s">
        <v>148</v>
      </c>
    </row>
    <row r="527">
      <c r="A527" s="3" t="s">
        <v>4975</v>
      </c>
      <c r="B527" s="3" t="s">
        <v>45</v>
      </c>
      <c r="C527" s="3" t="s">
        <v>202</v>
      </c>
      <c r="D527" s="3" t="s">
        <v>4941</v>
      </c>
      <c r="E527" s="4" t="s">
        <v>4976</v>
      </c>
      <c r="F527" s="3" t="s">
        <v>202</v>
      </c>
      <c r="G527" s="4" t="s">
        <v>4977</v>
      </c>
      <c r="H527" s="4" t="s">
        <v>4978</v>
      </c>
      <c r="I527" s="3" t="s">
        <v>49</v>
      </c>
      <c r="J527" s="3" t="s">
        <v>99</v>
      </c>
      <c r="K527" s="3" t="s">
        <v>45</v>
      </c>
      <c r="L527" s="3" t="s">
        <v>479</v>
      </c>
      <c r="M527" s="3" t="s">
        <v>45</v>
      </c>
      <c r="N527" s="3" t="s">
        <v>4979</v>
      </c>
      <c r="O527" s="3" t="s">
        <v>70</v>
      </c>
      <c r="P527" s="3" t="s">
        <v>45</v>
      </c>
      <c r="Q527" s="3" t="s">
        <v>45</v>
      </c>
      <c r="R527" s="3" t="s">
        <v>45</v>
      </c>
      <c r="S527" s="3" t="s">
        <v>45</v>
      </c>
      <c r="T527" s="3" t="s">
        <v>45</v>
      </c>
      <c r="U527" s="3" t="s">
        <v>45</v>
      </c>
      <c r="V527" s="3" t="s">
        <v>45</v>
      </c>
      <c r="W527" s="4" t="s">
        <v>4980</v>
      </c>
      <c r="X527" s="3" t="s">
        <v>4981</v>
      </c>
      <c r="Y527" s="3" t="s">
        <v>45</v>
      </c>
      <c r="Z527" s="3" t="s">
        <v>74</v>
      </c>
      <c r="AA527" s="3" t="s">
        <v>45</v>
      </c>
      <c r="AB527" s="3" t="s">
        <v>45</v>
      </c>
      <c r="AC527" s="3" t="s">
        <v>45</v>
      </c>
      <c r="AD527" s="3" t="s">
        <v>45</v>
      </c>
      <c r="AE527" s="3" t="s">
        <v>45</v>
      </c>
      <c r="AF527" s="3" t="s">
        <v>45</v>
      </c>
      <c r="AG527" s="3" t="s">
        <v>45</v>
      </c>
      <c r="AH527" s="3" t="s">
        <v>57</v>
      </c>
      <c r="AI527" s="5" t="s">
        <v>362</v>
      </c>
      <c r="AJ527" s="5" t="s">
        <v>4982</v>
      </c>
      <c r="AK527" s="5" t="s">
        <v>4983</v>
      </c>
      <c r="AL527" s="5" t="s">
        <v>4984</v>
      </c>
      <c r="AM527" s="3" t="s">
        <v>45</v>
      </c>
      <c r="AN527" s="3" t="s">
        <v>45</v>
      </c>
      <c r="AO527" s="3" t="s">
        <v>45</v>
      </c>
      <c r="AP527" s="3" t="s">
        <v>45</v>
      </c>
      <c r="AQ527" s="4" t="s">
        <v>3280</v>
      </c>
      <c r="AR527" s="4" t="s">
        <v>3280</v>
      </c>
    </row>
    <row r="528">
      <c r="A528" s="3" t="s">
        <v>4985</v>
      </c>
      <c r="B528" s="3" t="s">
        <v>4986</v>
      </c>
      <c r="C528" s="3" t="s">
        <v>4987</v>
      </c>
      <c r="D528" s="3" t="s">
        <v>4941</v>
      </c>
      <c r="E528" s="4" t="s">
        <v>4988</v>
      </c>
      <c r="F528" s="3" t="s">
        <v>202</v>
      </c>
      <c r="G528" s="4" t="s">
        <v>4989</v>
      </c>
      <c r="H528" s="4" t="s">
        <v>4990</v>
      </c>
      <c r="I528" s="3" t="s">
        <v>218</v>
      </c>
      <c r="J528" s="3" t="s">
        <v>126</v>
      </c>
      <c r="K528" s="3" t="s">
        <v>45</v>
      </c>
      <c r="L528" s="3" t="s">
        <v>479</v>
      </c>
      <c r="M528" s="3" t="s">
        <v>45</v>
      </c>
      <c r="N528" s="4" t="s">
        <v>1196</v>
      </c>
      <c r="O528" s="3" t="s">
        <v>70</v>
      </c>
      <c r="P528" s="3" t="s">
        <v>45</v>
      </c>
      <c r="Q528" s="3" t="s">
        <v>45</v>
      </c>
      <c r="R528" s="3" t="s">
        <v>45</v>
      </c>
      <c r="S528" s="3" t="s">
        <v>45</v>
      </c>
      <c r="T528" s="3" t="s">
        <v>45</v>
      </c>
      <c r="U528" s="3" t="s">
        <v>45</v>
      </c>
      <c r="V528" s="3" t="s">
        <v>45</v>
      </c>
      <c r="W528" s="3" t="s">
        <v>45</v>
      </c>
      <c r="X528" s="3" t="s">
        <v>45</v>
      </c>
      <c r="Y528" s="4" t="s">
        <v>727</v>
      </c>
      <c r="Z528" s="3" t="s">
        <v>74</v>
      </c>
      <c r="AA528" s="3" t="s">
        <v>45</v>
      </c>
      <c r="AB528" s="3" t="s">
        <v>45</v>
      </c>
      <c r="AC528" s="3" t="s">
        <v>45</v>
      </c>
      <c r="AD528" s="3" t="s">
        <v>45</v>
      </c>
      <c r="AE528" s="3" t="s">
        <v>45</v>
      </c>
      <c r="AF528" s="3" t="s">
        <v>45</v>
      </c>
      <c r="AG528" s="3" t="s">
        <v>45</v>
      </c>
      <c r="AH528" s="3" t="s">
        <v>57</v>
      </c>
      <c r="AI528" s="5" t="s">
        <v>4991</v>
      </c>
      <c r="AJ528" s="5" t="s">
        <v>4992</v>
      </c>
      <c r="AK528" s="3" t="s">
        <v>45</v>
      </c>
      <c r="AL528" s="3" t="s">
        <v>45</v>
      </c>
      <c r="AM528" s="3" t="s">
        <v>45</v>
      </c>
      <c r="AN528" s="3" t="s">
        <v>45</v>
      </c>
      <c r="AO528" s="3" t="s">
        <v>45</v>
      </c>
      <c r="AP528" s="3" t="s">
        <v>45</v>
      </c>
      <c r="AQ528" s="4" t="s">
        <v>2053</v>
      </c>
      <c r="AR528" s="4" t="s">
        <v>2053</v>
      </c>
    </row>
    <row r="529">
      <c r="A529" s="3" t="s">
        <v>4993</v>
      </c>
      <c r="B529" s="3" t="s">
        <v>4994</v>
      </c>
      <c r="C529" s="3" t="s">
        <v>4995</v>
      </c>
      <c r="D529" s="3" t="s">
        <v>4941</v>
      </c>
      <c r="E529" s="3" t="s">
        <v>45</v>
      </c>
      <c r="F529" s="3" t="s">
        <v>3639</v>
      </c>
      <c r="G529" s="4" t="s">
        <v>4996</v>
      </c>
      <c r="H529" s="4" t="s">
        <v>4997</v>
      </c>
      <c r="I529" s="3" t="s">
        <v>49</v>
      </c>
      <c r="J529" s="3" t="s">
        <v>126</v>
      </c>
      <c r="K529" s="3" t="s">
        <v>45</v>
      </c>
      <c r="L529" s="3" t="s">
        <v>45</v>
      </c>
      <c r="M529" s="3" t="s">
        <v>45</v>
      </c>
      <c r="N529" s="3" t="s">
        <v>45</v>
      </c>
      <c r="O529" s="3" t="s">
        <v>390</v>
      </c>
      <c r="P529" s="3" t="s">
        <v>220</v>
      </c>
      <c r="Q529" s="3" t="s">
        <v>45</v>
      </c>
      <c r="R529" s="3" t="s">
        <v>45</v>
      </c>
      <c r="S529" s="3" t="s">
        <v>45</v>
      </c>
      <c r="T529" s="3" t="s">
        <v>45</v>
      </c>
      <c r="U529" s="3" t="s">
        <v>45</v>
      </c>
      <c r="V529" s="3" t="s">
        <v>45</v>
      </c>
      <c r="W529" s="3" t="s">
        <v>45</v>
      </c>
      <c r="X529" s="3" t="s">
        <v>45</v>
      </c>
      <c r="Y529" s="3" t="s">
        <v>45</v>
      </c>
      <c r="Z529" s="3" t="s">
        <v>55</v>
      </c>
      <c r="AA529" s="3" t="s">
        <v>4998</v>
      </c>
      <c r="AB529" s="3" t="s">
        <v>109</v>
      </c>
      <c r="AC529" s="3" t="s">
        <v>45</v>
      </c>
      <c r="AD529" s="3" t="s">
        <v>45</v>
      </c>
      <c r="AE529" s="3" t="s">
        <v>45</v>
      </c>
      <c r="AF529" s="5" t="s">
        <v>4999</v>
      </c>
      <c r="AG529" s="3" t="s">
        <v>45</v>
      </c>
      <c r="AH529" s="3" t="s">
        <v>57</v>
      </c>
      <c r="AI529" s="5" t="s">
        <v>5000</v>
      </c>
      <c r="AJ529" s="5" t="s">
        <v>5001</v>
      </c>
      <c r="AK529" s="3" t="s">
        <v>45</v>
      </c>
      <c r="AL529" s="3" t="s">
        <v>45</v>
      </c>
      <c r="AM529" s="3" t="s">
        <v>45</v>
      </c>
      <c r="AN529" s="3" t="s">
        <v>45</v>
      </c>
      <c r="AO529" s="3" t="s">
        <v>45</v>
      </c>
      <c r="AP529" s="3" t="s">
        <v>45</v>
      </c>
      <c r="AQ529" s="4" t="s">
        <v>5002</v>
      </c>
      <c r="AR529" s="4" t="s">
        <v>5002</v>
      </c>
    </row>
    <row r="530">
      <c r="A530" s="3" t="s">
        <v>5003</v>
      </c>
      <c r="B530" s="3" t="s">
        <v>5004</v>
      </c>
      <c r="C530" s="3" t="s">
        <v>5005</v>
      </c>
      <c r="D530" s="3" t="s">
        <v>4941</v>
      </c>
      <c r="E530" s="4" t="s">
        <v>5006</v>
      </c>
      <c r="F530" s="3" t="s">
        <v>5007</v>
      </c>
      <c r="G530" s="4" t="s">
        <v>5008</v>
      </c>
      <c r="H530" s="4" t="s">
        <v>5009</v>
      </c>
      <c r="I530" s="3" t="s">
        <v>49</v>
      </c>
      <c r="J530" s="3" t="s">
        <v>126</v>
      </c>
      <c r="K530" s="3" t="s">
        <v>246</v>
      </c>
      <c r="L530" s="3" t="s">
        <v>45</v>
      </c>
      <c r="M530" s="3" t="s">
        <v>45</v>
      </c>
      <c r="N530" s="4" t="s">
        <v>2608</v>
      </c>
      <c r="O530" s="3" t="s">
        <v>390</v>
      </c>
      <c r="P530" s="3" t="s">
        <v>45</v>
      </c>
      <c r="Q530" s="3" t="s">
        <v>45</v>
      </c>
      <c r="R530" s="3" t="s">
        <v>45</v>
      </c>
      <c r="S530" s="3" t="s">
        <v>45</v>
      </c>
      <c r="T530" s="3" t="s">
        <v>45</v>
      </c>
      <c r="U530" s="3" t="s">
        <v>45</v>
      </c>
      <c r="V530" s="3" t="s">
        <v>45</v>
      </c>
      <c r="W530" s="3" t="s">
        <v>45</v>
      </c>
      <c r="X530" s="3" t="s">
        <v>45</v>
      </c>
      <c r="Y530" s="3" t="s">
        <v>45</v>
      </c>
      <c r="Z530" s="3" t="s">
        <v>74</v>
      </c>
      <c r="AA530" s="3" t="s">
        <v>45</v>
      </c>
      <c r="AB530" s="3" t="s">
        <v>45</v>
      </c>
      <c r="AC530" s="3" t="s">
        <v>45</v>
      </c>
      <c r="AD530" s="3" t="s">
        <v>45</v>
      </c>
      <c r="AE530" s="3" t="s">
        <v>45</v>
      </c>
      <c r="AF530" s="5" t="s">
        <v>5010</v>
      </c>
      <c r="AG530" s="3" t="s">
        <v>45</v>
      </c>
      <c r="AH530" s="3" t="s">
        <v>57</v>
      </c>
      <c r="AI530" s="5" t="s">
        <v>5011</v>
      </c>
      <c r="AJ530" s="3" t="s">
        <v>45</v>
      </c>
      <c r="AK530" s="3" t="s">
        <v>45</v>
      </c>
      <c r="AL530" s="3" t="s">
        <v>45</v>
      </c>
      <c r="AM530" s="3" t="s">
        <v>45</v>
      </c>
      <c r="AN530" s="3" t="s">
        <v>45</v>
      </c>
      <c r="AO530" s="3" t="s">
        <v>45</v>
      </c>
      <c r="AP530" s="3" t="s">
        <v>45</v>
      </c>
      <c r="AQ530" s="4" t="s">
        <v>60</v>
      </c>
      <c r="AR530" s="4" t="s">
        <v>60</v>
      </c>
    </row>
    <row r="531">
      <c r="A531" s="3" t="s">
        <v>5012</v>
      </c>
      <c r="B531" s="3" t="s">
        <v>45</v>
      </c>
      <c r="C531" s="3" t="s">
        <v>5013</v>
      </c>
      <c r="D531" s="3" t="s">
        <v>4941</v>
      </c>
      <c r="E531" s="3" t="s">
        <v>45</v>
      </c>
      <c r="F531" s="3" t="s">
        <v>2808</v>
      </c>
      <c r="G531" s="4" t="s">
        <v>5014</v>
      </c>
      <c r="H531" s="4" t="s">
        <v>5015</v>
      </c>
      <c r="I531" s="3" t="s">
        <v>49</v>
      </c>
      <c r="J531" s="3" t="s">
        <v>99</v>
      </c>
      <c r="K531" s="3" t="s">
        <v>45</v>
      </c>
      <c r="L531" s="3" t="s">
        <v>479</v>
      </c>
      <c r="M531" s="3" t="s">
        <v>45</v>
      </c>
      <c r="N531" s="3" t="s">
        <v>45</v>
      </c>
      <c r="O531" s="3" t="s">
        <v>74</v>
      </c>
      <c r="P531" s="3" t="s">
        <v>45</v>
      </c>
      <c r="Q531" s="3" t="s">
        <v>45</v>
      </c>
      <c r="R531" s="3" t="s">
        <v>45</v>
      </c>
      <c r="S531" s="3" t="s">
        <v>45</v>
      </c>
      <c r="T531" s="3" t="s">
        <v>45</v>
      </c>
      <c r="U531" s="3" t="s">
        <v>45</v>
      </c>
      <c r="V531" s="3" t="s">
        <v>45</v>
      </c>
      <c r="W531" s="3" t="s">
        <v>45</v>
      </c>
      <c r="X531" s="3" t="s">
        <v>5016</v>
      </c>
      <c r="Y531" s="3" t="s">
        <v>45</v>
      </c>
      <c r="Z531" s="3" t="s">
        <v>74</v>
      </c>
      <c r="AA531" s="3" t="s">
        <v>45</v>
      </c>
      <c r="AB531" s="3" t="s">
        <v>45</v>
      </c>
      <c r="AC531" s="3" t="s">
        <v>45</v>
      </c>
      <c r="AD531" s="3" t="s">
        <v>45</v>
      </c>
      <c r="AE531" s="3" t="s">
        <v>45</v>
      </c>
      <c r="AF531" s="3" t="s">
        <v>45</v>
      </c>
      <c r="AG531" s="3" t="s">
        <v>45</v>
      </c>
      <c r="AH531" s="3" t="s">
        <v>57</v>
      </c>
      <c r="AI531" s="5" t="s">
        <v>5017</v>
      </c>
      <c r="AJ531" s="5" t="s">
        <v>5018</v>
      </c>
      <c r="AK531" s="3" t="s">
        <v>45</v>
      </c>
      <c r="AL531" s="3" t="s">
        <v>45</v>
      </c>
      <c r="AM531" s="3" t="s">
        <v>45</v>
      </c>
      <c r="AN531" s="3" t="s">
        <v>45</v>
      </c>
      <c r="AO531" s="3" t="s">
        <v>45</v>
      </c>
      <c r="AP531" s="3" t="s">
        <v>45</v>
      </c>
      <c r="AQ531" s="4" t="s">
        <v>1059</v>
      </c>
      <c r="AR531" s="4" t="s">
        <v>3153</v>
      </c>
    </row>
    <row r="532">
      <c r="A532" s="3" t="s">
        <v>5019</v>
      </c>
      <c r="B532" s="3" t="s">
        <v>5020</v>
      </c>
      <c r="C532" s="3" t="s">
        <v>5021</v>
      </c>
      <c r="D532" s="3" t="s">
        <v>5022</v>
      </c>
      <c r="E532" s="4" t="s">
        <v>5023</v>
      </c>
      <c r="F532" s="3" t="s">
        <v>5024</v>
      </c>
      <c r="G532" s="4" t="s">
        <v>5025</v>
      </c>
      <c r="H532" s="4" t="s">
        <v>5026</v>
      </c>
      <c r="I532" s="3" t="s">
        <v>436</v>
      </c>
      <c r="J532" s="3" t="s">
        <v>126</v>
      </c>
      <c r="K532" s="3" t="s">
        <v>45</v>
      </c>
      <c r="L532" s="3" t="s">
        <v>45</v>
      </c>
      <c r="M532" s="3" t="s">
        <v>45</v>
      </c>
      <c r="N532" s="4" t="s">
        <v>4751</v>
      </c>
      <c r="O532" s="3" t="s">
        <v>390</v>
      </c>
      <c r="P532" s="3" t="s">
        <v>45</v>
      </c>
      <c r="Q532" s="3" t="s">
        <v>45</v>
      </c>
      <c r="R532" s="3" t="s">
        <v>45</v>
      </c>
      <c r="S532" s="3" t="s">
        <v>45</v>
      </c>
      <c r="T532" s="3" t="s">
        <v>45</v>
      </c>
      <c r="U532" s="3" t="s">
        <v>45</v>
      </c>
      <c r="V532" s="3" t="s">
        <v>45</v>
      </c>
      <c r="W532" s="3" t="s">
        <v>45</v>
      </c>
      <c r="X532" s="3" t="s">
        <v>45</v>
      </c>
      <c r="Y532" s="3" t="s">
        <v>45</v>
      </c>
      <c r="Z532" s="3" t="s">
        <v>55</v>
      </c>
      <c r="AA532" s="3" t="s">
        <v>45</v>
      </c>
      <c r="AB532" s="3" t="s">
        <v>45</v>
      </c>
      <c r="AC532" s="3" t="s">
        <v>45</v>
      </c>
      <c r="AD532" s="3" t="s">
        <v>45</v>
      </c>
      <c r="AE532" s="3" t="s">
        <v>45</v>
      </c>
      <c r="AF532" s="5" t="s">
        <v>5027</v>
      </c>
      <c r="AG532" s="3" t="s">
        <v>45</v>
      </c>
      <c r="AH532" s="3" t="s">
        <v>57</v>
      </c>
      <c r="AI532" s="5" t="s">
        <v>5028</v>
      </c>
      <c r="AJ532" s="3" t="s">
        <v>45</v>
      </c>
      <c r="AK532" s="3" t="s">
        <v>45</v>
      </c>
      <c r="AL532" s="3" t="s">
        <v>45</v>
      </c>
      <c r="AM532" s="3" t="s">
        <v>45</v>
      </c>
      <c r="AN532" s="3" t="s">
        <v>45</v>
      </c>
      <c r="AO532" s="3" t="s">
        <v>45</v>
      </c>
      <c r="AP532" s="3" t="s">
        <v>45</v>
      </c>
      <c r="AQ532" s="4" t="s">
        <v>898</v>
      </c>
      <c r="AR532" s="4" t="s">
        <v>898</v>
      </c>
    </row>
    <row r="533">
      <c r="A533" s="3" t="s">
        <v>5029</v>
      </c>
      <c r="B533" s="3" t="s">
        <v>5030</v>
      </c>
      <c r="C533" s="3" t="s">
        <v>5031</v>
      </c>
      <c r="D533" s="3" t="s">
        <v>5022</v>
      </c>
      <c r="E533" s="4" t="s">
        <v>5032</v>
      </c>
      <c r="F533" s="3" t="s">
        <v>5033</v>
      </c>
      <c r="G533" s="4" t="s">
        <v>5034</v>
      </c>
      <c r="H533" s="4" t="s">
        <v>5035</v>
      </c>
      <c r="I533" s="3" t="s">
        <v>49</v>
      </c>
      <c r="J533" s="3" t="s">
        <v>50</v>
      </c>
      <c r="K533" s="3" t="s">
        <v>45</v>
      </c>
      <c r="L533" s="3" t="s">
        <v>5036</v>
      </c>
      <c r="M533" s="3" t="s">
        <v>45</v>
      </c>
      <c r="N533" s="4" t="s">
        <v>1196</v>
      </c>
      <c r="O533" s="3" t="s">
        <v>70</v>
      </c>
      <c r="P533" s="3" t="s">
        <v>5037</v>
      </c>
      <c r="Q533" s="3" t="s">
        <v>5038</v>
      </c>
      <c r="R533" s="3" t="s">
        <v>45</v>
      </c>
      <c r="S533" s="4" t="s">
        <v>2982</v>
      </c>
      <c r="T533" s="3" t="s">
        <v>45</v>
      </c>
      <c r="U533" s="3" t="s">
        <v>221</v>
      </c>
      <c r="V533" s="4" t="s">
        <v>1165</v>
      </c>
      <c r="W533" s="4" t="s">
        <v>5039</v>
      </c>
      <c r="X533" s="3" t="s">
        <v>45</v>
      </c>
      <c r="Y533" s="4" t="s">
        <v>73</v>
      </c>
      <c r="Z533" s="3" t="s">
        <v>55</v>
      </c>
      <c r="AA533" s="3" t="s">
        <v>45</v>
      </c>
      <c r="AB533" s="3" t="s">
        <v>45</v>
      </c>
      <c r="AC533" s="3" t="s">
        <v>5040</v>
      </c>
      <c r="AD533" s="3" t="s">
        <v>45</v>
      </c>
      <c r="AE533" s="3" t="s">
        <v>45</v>
      </c>
      <c r="AF533" s="3" t="s">
        <v>45</v>
      </c>
      <c r="AG533" s="3" t="s">
        <v>45</v>
      </c>
      <c r="AH533" s="3" t="s">
        <v>840</v>
      </c>
      <c r="AI533" s="5" t="s">
        <v>5041</v>
      </c>
      <c r="AJ533" s="5" t="s">
        <v>5042</v>
      </c>
      <c r="AK533" s="5" t="s">
        <v>5043</v>
      </c>
      <c r="AL533" s="3" t="s">
        <v>45</v>
      </c>
      <c r="AM533" s="3" t="s">
        <v>45</v>
      </c>
      <c r="AN533" s="3" t="s">
        <v>45</v>
      </c>
      <c r="AO533" s="3" t="s">
        <v>45</v>
      </c>
      <c r="AP533" s="3" t="s">
        <v>45</v>
      </c>
      <c r="AQ533" s="4" t="s">
        <v>1398</v>
      </c>
      <c r="AR533" s="4" t="s">
        <v>1398</v>
      </c>
    </row>
    <row r="534">
      <c r="A534" s="3" t="s">
        <v>5044</v>
      </c>
      <c r="B534" s="3" t="s">
        <v>5045</v>
      </c>
      <c r="C534" s="3" t="s">
        <v>5046</v>
      </c>
      <c r="D534" s="3" t="s">
        <v>5022</v>
      </c>
      <c r="E534" s="4" t="s">
        <v>5047</v>
      </c>
      <c r="F534" s="3" t="s">
        <v>5048</v>
      </c>
      <c r="G534" s="4" t="s">
        <v>5049</v>
      </c>
      <c r="H534" s="4" t="s">
        <v>5050</v>
      </c>
      <c r="I534" s="3" t="s">
        <v>436</v>
      </c>
      <c r="J534" s="3" t="s">
        <v>126</v>
      </c>
      <c r="K534" s="3" t="s">
        <v>45</v>
      </c>
      <c r="L534" s="3" t="s">
        <v>5051</v>
      </c>
      <c r="M534" s="3" t="s">
        <v>45</v>
      </c>
      <c r="N534" s="3" t="s">
        <v>5052</v>
      </c>
      <c r="O534" s="3" t="s">
        <v>88</v>
      </c>
      <c r="P534" s="3" t="s">
        <v>220</v>
      </c>
      <c r="Q534" s="3" t="s">
        <v>45</v>
      </c>
      <c r="R534" s="3" t="s">
        <v>45</v>
      </c>
      <c r="S534" s="4" t="s">
        <v>233</v>
      </c>
      <c r="T534" s="3" t="s">
        <v>105</v>
      </c>
      <c r="U534" s="3" t="s">
        <v>45</v>
      </c>
      <c r="V534" s="4" t="s">
        <v>106</v>
      </c>
      <c r="W534" s="4" t="s">
        <v>2222</v>
      </c>
      <c r="X534" s="3" t="s">
        <v>305</v>
      </c>
      <c r="Y534" s="4" t="s">
        <v>727</v>
      </c>
      <c r="Z534" s="3" t="s">
        <v>55</v>
      </c>
      <c r="AA534" s="3" t="s">
        <v>45</v>
      </c>
      <c r="AB534" s="3" t="s">
        <v>45</v>
      </c>
      <c r="AC534" s="3" t="s">
        <v>45</v>
      </c>
      <c r="AD534" s="5" t="s">
        <v>5053</v>
      </c>
      <c r="AE534" s="3" t="s">
        <v>45</v>
      </c>
      <c r="AF534" s="3" t="s">
        <v>5054</v>
      </c>
      <c r="AG534" s="3" t="s">
        <v>5055</v>
      </c>
      <c r="AH534" s="3" t="s">
        <v>57</v>
      </c>
      <c r="AI534" s="5" t="s">
        <v>5056</v>
      </c>
      <c r="AJ534" s="5" t="s">
        <v>5057</v>
      </c>
      <c r="AK534" s="3" t="s">
        <v>45</v>
      </c>
      <c r="AL534" s="3" t="s">
        <v>45</v>
      </c>
      <c r="AM534" s="3" t="s">
        <v>45</v>
      </c>
      <c r="AN534" s="3" t="s">
        <v>45</v>
      </c>
      <c r="AO534" s="3" t="s">
        <v>45</v>
      </c>
      <c r="AP534" s="3" t="s">
        <v>45</v>
      </c>
      <c r="AQ534" s="4" t="s">
        <v>5058</v>
      </c>
      <c r="AR534" s="4" t="s">
        <v>3183</v>
      </c>
    </row>
    <row r="535">
      <c r="A535" s="3" t="s">
        <v>5059</v>
      </c>
      <c r="B535" s="3" t="s">
        <v>5060</v>
      </c>
      <c r="C535" s="3" t="s">
        <v>5061</v>
      </c>
      <c r="D535" s="3" t="s">
        <v>5022</v>
      </c>
      <c r="E535" s="4" t="s">
        <v>5062</v>
      </c>
      <c r="F535" s="3" t="s">
        <v>2762</v>
      </c>
      <c r="G535" s="4" t="s">
        <v>5063</v>
      </c>
      <c r="H535" s="4" t="s">
        <v>5064</v>
      </c>
      <c r="I535" s="3" t="s">
        <v>49</v>
      </c>
      <c r="J535" s="3" t="s">
        <v>126</v>
      </c>
      <c r="K535" s="3" t="s">
        <v>45</v>
      </c>
      <c r="L535" s="3" t="s">
        <v>45</v>
      </c>
      <c r="M535" s="3" t="s">
        <v>45</v>
      </c>
      <c r="N535" s="3" t="s">
        <v>5065</v>
      </c>
      <c r="O535" s="3" t="s">
        <v>88</v>
      </c>
      <c r="P535" s="3" t="s">
        <v>45</v>
      </c>
      <c r="Q535" s="3" t="s">
        <v>45</v>
      </c>
      <c r="R535" s="3" t="s">
        <v>45</v>
      </c>
      <c r="S535" s="4" t="s">
        <v>2982</v>
      </c>
      <c r="T535" s="3" t="s">
        <v>45</v>
      </c>
      <c r="U535" s="3" t="s">
        <v>45</v>
      </c>
      <c r="V535" s="4" t="s">
        <v>420</v>
      </c>
      <c r="W535" s="4" t="s">
        <v>5066</v>
      </c>
      <c r="X535" s="3" t="s">
        <v>5067</v>
      </c>
      <c r="Y535" s="3" t="s">
        <v>45</v>
      </c>
      <c r="Z535" s="3" t="s">
        <v>74</v>
      </c>
      <c r="AA535" s="3" t="s">
        <v>45</v>
      </c>
      <c r="AB535" s="3" t="s">
        <v>45</v>
      </c>
      <c r="AC535" s="3" t="s">
        <v>45</v>
      </c>
      <c r="AD535" s="3" t="s">
        <v>45</v>
      </c>
      <c r="AE535" s="3" t="s">
        <v>45</v>
      </c>
      <c r="AF535" s="3" t="s">
        <v>45</v>
      </c>
      <c r="AG535" s="3" t="s">
        <v>45</v>
      </c>
      <c r="AH535" s="3" t="s">
        <v>57</v>
      </c>
      <c r="AI535" s="5" t="s">
        <v>5068</v>
      </c>
      <c r="AJ535" s="3" t="s">
        <v>45</v>
      </c>
      <c r="AK535" s="3" t="s">
        <v>45</v>
      </c>
      <c r="AL535" s="3" t="s">
        <v>45</v>
      </c>
      <c r="AM535" s="3" t="s">
        <v>45</v>
      </c>
      <c r="AN535" s="3" t="s">
        <v>45</v>
      </c>
      <c r="AO535" s="3" t="s">
        <v>45</v>
      </c>
      <c r="AP535" s="3" t="s">
        <v>45</v>
      </c>
      <c r="AQ535" s="4" t="s">
        <v>661</v>
      </c>
      <c r="AR535" s="4" t="s">
        <v>661</v>
      </c>
    </row>
    <row r="536">
      <c r="A536" s="3" t="s">
        <v>5069</v>
      </c>
      <c r="B536" s="3" t="s">
        <v>5020</v>
      </c>
      <c r="C536" s="3" t="s">
        <v>5024</v>
      </c>
      <c r="D536" s="3" t="s">
        <v>5022</v>
      </c>
      <c r="E536" s="4" t="s">
        <v>5070</v>
      </c>
      <c r="F536" s="3" t="s">
        <v>5024</v>
      </c>
      <c r="G536" s="4" t="s">
        <v>5071</v>
      </c>
      <c r="H536" s="4" t="s">
        <v>5072</v>
      </c>
      <c r="I536" s="3" t="s">
        <v>49</v>
      </c>
      <c r="J536" s="3" t="s">
        <v>126</v>
      </c>
      <c r="K536" s="3" t="s">
        <v>45</v>
      </c>
      <c r="L536" s="3" t="s">
        <v>45</v>
      </c>
      <c r="M536" s="3" t="s">
        <v>45</v>
      </c>
      <c r="N536" s="4" t="s">
        <v>52</v>
      </c>
      <c r="O536" s="3" t="s">
        <v>53</v>
      </c>
      <c r="P536" s="3" t="s">
        <v>45</v>
      </c>
      <c r="Q536" s="3" t="s">
        <v>45</v>
      </c>
      <c r="R536" s="3" t="s">
        <v>45</v>
      </c>
      <c r="S536" s="3" t="s">
        <v>45</v>
      </c>
      <c r="T536" s="3" t="s">
        <v>45</v>
      </c>
      <c r="U536" s="3" t="s">
        <v>221</v>
      </c>
      <c r="V536" s="3" t="s">
        <v>45</v>
      </c>
      <c r="W536" s="3" t="s">
        <v>45</v>
      </c>
      <c r="X536" s="3" t="s">
        <v>45</v>
      </c>
      <c r="Y536" s="3" t="s">
        <v>45</v>
      </c>
      <c r="Z536" s="3" t="s">
        <v>74</v>
      </c>
      <c r="AA536" s="3" t="s">
        <v>45</v>
      </c>
      <c r="AB536" s="3" t="s">
        <v>45</v>
      </c>
      <c r="AC536" s="3" t="s">
        <v>45</v>
      </c>
      <c r="AD536" s="3" t="s">
        <v>45</v>
      </c>
      <c r="AE536" s="3" t="s">
        <v>45</v>
      </c>
      <c r="AF536" s="3" t="s">
        <v>45</v>
      </c>
      <c r="AG536" s="3" t="s">
        <v>45</v>
      </c>
      <c r="AH536" s="3" t="s">
        <v>57</v>
      </c>
      <c r="AI536" s="5" t="s">
        <v>5073</v>
      </c>
      <c r="AJ536" s="5" t="s">
        <v>5074</v>
      </c>
      <c r="AK536" s="5" t="s">
        <v>5075</v>
      </c>
      <c r="AL536" s="3" t="s">
        <v>45</v>
      </c>
      <c r="AM536" s="3" t="s">
        <v>45</v>
      </c>
      <c r="AN536" s="3" t="s">
        <v>45</v>
      </c>
      <c r="AO536" s="3" t="s">
        <v>45</v>
      </c>
      <c r="AP536" s="3" t="s">
        <v>45</v>
      </c>
      <c r="AQ536" s="4" t="s">
        <v>2037</v>
      </c>
      <c r="AR536" s="4" t="s">
        <v>2037</v>
      </c>
    </row>
    <row r="537">
      <c r="A537" s="3" t="s">
        <v>5076</v>
      </c>
      <c r="B537" s="3" t="s">
        <v>5077</v>
      </c>
      <c r="C537" s="3" t="s">
        <v>5078</v>
      </c>
      <c r="D537" s="3" t="s">
        <v>5022</v>
      </c>
      <c r="E537" s="4" t="s">
        <v>5032</v>
      </c>
      <c r="F537" s="3" t="s">
        <v>5033</v>
      </c>
      <c r="G537" s="4" t="s">
        <v>5079</v>
      </c>
      <c r="H537" s="4" t="s">
        <v>5080</v>
      </c>
      <c r="I537" s="3" t="s">
        <v>49</v>
      </c>
      <c r="J537" s="3" t="s">
        <v>99</v>
      </c>
      <c r="K537" s="3" t="s">
        <v>45</v>
      </c>
      <c r="L537" s="3" t="s">
        <v>45</v>
      </c>
      <c r="M537" s="3" t="s">
        <v>45</v>
      </c>
      <c r="N537" s="3" t="s">
        <v>4127</v>
      </c>
      <c r="O537" s="3" t="s">
        <v>70</v>
      </c>
      <c r="P537" s="3" t="s">
        <v>45</v>
      </c>
      <c r="Q537" s="3" t="s">
        <v>45</v>
      </c>
      <c r="R537" s="3" t="s">
        <v>45</v>
      </c>
      <c r="S537" s="3" t="s">
        <v>45</v>
      </c>
      <c r="T537" s="3" t="s">
        <v>45</v>
      </c>
      <c r="U537" s="3" t="s">
        <v>45</v>
      </c>
      <c r="V537" s="3" t="s">
        <v>45</v>
      </c>
      <c r="W537" s="3" t="s">
        <v>45</v>
      </c>
      <c r="X537" s="3" t="s">
        <v>45</v>
      </c>
      <c r="Y537" s="3" t="s">
        <v>45</v>
      </c>
      <c r="Z537" s="3" t="s">
        <v>74</v>
      </c>
      <c r="AA537" s="3" t="s">
        <v>45</v>
      </c>
      <c r="AB537" s="3" t="s">
        <v>45</v>
      </c>
      <c r="AC537" s="3" t="s">
        <v>45</v>
      </c>
      <c r="AD537" s="3" t="s">
        <v>45</v>
      </c>
      <c r="AE537" s="3" t="s">
        <v>45</v>
      </c>
      <c r="AF537" s="3" t="s">
        <v>45</v>
      </c>
      <c r="AG537" s="3" t="s">
        <v>45</v>
      </c>
      <c r="AH537" s="3" t="s">
        <v>57</v>
      </c>
      <c r="AI537" s="5" t="s">
        <v>5081</v>
      </c>
      <c r="AJ537" s="5" t="s">
        <v>5082</v>
      </c>
      <c r="AK537" s="5" t="s">
        <v>5083</v>
      </c>
      <c r="AL537" s="3" t="s">
        <v>45</v>
      </c>
      <c r="AM537" s="3" t="s">
        <v>45</v>
      </c>
      <c r="AN537" s="3" t="s">
        <v>45</v>
      </c>
      <c r="AO537" s="3" t="s">
        <v>45</v>
      </c>
      <c r="AP537" s="3" t="s">
        <v>45</v>
      </c>
      <c r="AQ537" s="4" t="s">
        <v>907</v>
      </c>
      <c r="AR537" s="4" t="s">
        <v>907</v>
      </c>
    </row>
    <row r="538">
      <c r="A538" s="3" t="s">
        <v>3273</v>
      </c>
      <c r="B538" s="3" t="s">
        <v>5084</v>
      </c>
      <c r="C538" s="3" t="s">
        <v>5085</v>
      </c>
      <c r="D538" s="3" t="s">
        <v>3932</v>
      </c>
      <c r="E538" s="4" t="s">
        <v>5086</v>
      </c>
      <c r="F538" s="3" t="s">
        <v>5087</v>
      </c>
      <c r="G538" s="4" t="s">
        <v>5088</v>
      </c>
      <c r="H538" s="4" t="s">
        <v>5089</v>
      </c>
      <c r="I538" s="3" t="s">
        <v>85</v>
      </c>
      <c r="J538" s="3" t="s">
        <v>126</v>
      </c>
      <c r="K538" s="3" t="s">
        <v>45</v>
      </c>
      <c r="L538" s="3" t="s">
        <v>45</v>
      </c>
      <c r="M538" s="3" t="s">
        <v>45</v>
      </c>
      <c r="N538" s="3" t="s">
        <v>45</v>
      </c>
      <c r="O538" s="3" t="s">
        <v>74</v>
      </c>
      <c r="P538" s="3" t="s">
        <v>45</v>
      </c>
      <c r="Q538" s="3" t="s">
        <v>45</v>
      </c>
      <c r="R538" s="3" t="s">
        <v>45</v>
      </c>
      <c r="S538" s="3" t="s">
        <v>45</v>
      </c>
      <c r="T538" s="3" t="s">
        <v>45</v>
      </c>
      <c r="U538" s="3" t="s">
        <v>45</v>
      </c>
      <c r="V538" s="4" t="s">
        <v>4041</v>
      </c>
      <c r="W538" s="3" t="s">
        <v>45</v>
      </c>
      <c r="X538" s="3" t="s">
        <v>45</v>
      </c>
      <c r="Y538" s="3" t="s">
        <v>45</v>
      </c>
      <c r="Z538" s="3" t="s">
        <v>74</v>
      </c>
      <c r="AA538" s="3" t="s">
        <v>45</v>
      </c>
      <c r="AB538" s="3" t="s">
        <v>45</v>
      </c>
      <c r="AC538" s="3" t="s">
        <v>45</v>
      </c>
      <c r="AD538" s="3" t="s">
        <v>45</v>
      </c>
      <c r="AE538" s="3" t="s">
        <v>45</v>
      </c>
      <c r="AF538" s="3" t="s">
        <v>45</v>
      </c>
      <c r="AG538" s="3" t="s">
        <v>45</v>
      </c>
      <c r="AH538" s="3" t="s">
        <v>57</v>
      </c>
      <c r="AI538" s="5" t="s">
        <v>5090</v>
      </c>
      <c r="AJ538" s="3" t="s">
        <v>45</v>
      </c>
      <c r="AK538" s="3" t="s">
        <v>45</v>
      </c>
      <c r="AL538" s="3" t="s">
        <v>45</v>
      </c>
      <c r="AM538" s="3" t="s">
        <v>45</v>
      </c>
      <c r="AN538" s="3" t="s">
        <v>45</v>
      </c>
      <c r="AO538" s="3" t="s">
        <v>45</v>
      </c>
      <c r="AP538" s="3" t="s">
        <v>45</v>
      </c>
      <c r="AQ538" s="4" t="s">
        <v>3280</v>
      </c>
      <c r="AR538" s="4" t="s">
        <v>3280</v>
      </c>
    </row>
    <row r="539">
      <c r="A539" s="3" t="s">
        <v>5091</v>
      </c>
      <c r="B539" s="3" t="s">
        <v>5092</v>
      </c>
      <c r="C539" s="3" t="s">
        <v>5093</v>
      </c>
      <c r="D539" s="3" t="s">
        <v>3932</v>
      </c>
      <c r="E539" s="4" t="s">
        <v>5094</v>
      </c>
      <c r="F539" s="3" t="s">
        <v>5095</v>
      </c>
      <c r="G539" s="4" t="s">
        <v>5096</v>
      </c>
      <c r="H539" s="4" t="s">
        <v>5097</v>
      </c>
      <c r="I539" s="3" t="s">
        <v>85</v>
      </c>
      <c r="J539" s="3" t="s">
        <v>126</v>
      </c>
      <c r="K539" s="3" t="s">
        <v>45</v>
      </c>
      <c r="L539" s="3" t="s">
        <v>45</v>
      </c>
      <c r="M539" s="3" t="s">
        <v>45</v>
      </c>
      <c r="N539" s="4" t="s">
        <v>233</v>
      </c>
      <c r="O539" s="3" t="s">
        <v>53</v>
      </c>
      <c r="P539" s="3" t="s">
        <v>45</v>
      </c>
      <c r="Q539" s="3" t="s">
        <v>45</v>
      </c>
      <c r="R539" s="3" t="s">
        <v>45</v>
      </c>
      <c r="S539" s="3" t="s">
        <v>45</v>
      </c>
      <c r="T539" s="3" t="s">
        <v>45</v>
      </c>
      <c r="U539" s="3" t="s">
        <v>45</v>
      </c>
      <c r="V539" s="4" t="s">
        <v>5098</v>
      </c>
      <c r="W539" s="3" t="s">
        <v>45</v>
      </c>
      <c r="X539" s="3" t="s">
        <v>45</v>
      </c>
      <c r="Y539" s="3" t="s">
        <v>45</v>
      </c>
      <c r="Z539" s="3" t="s">
        <v>74</v>
      </c>
      <c r="AA539" s="3" t="s">
        <v>45</v>
      </c>
      <c r="AB539" s="3" t="s">
        <v>45</v>
      </c>
      <c r="AC539" s="3" t="s">
        <v>45</v>
      </c>
      <c r="AD539" s="3" t="s">
        <v>45</v>
      </c>
      <c r="AE539" s="3" t="s">
        <v>45</v>
      </c>
      <c r="AF539" s="3" t="s">
        <v>45</v>
      </c>
      <c r="AG539" s="3" t="s">
        <v>45</v>
      </c>
      <c r="AH539" s="3" t="s">
        <v>57</v>
      </c>
      <c r="AI539" s="5" t="s">
        <v>5099</v>
      </c>
      <c r="AJ539" s="3" t="s">
        <v>45</v>
      </c>
      <c r="AK539" s="3" t="s">
        <v>45</v>
      </c>
      <c r="AL539" s="3" t="s">
        <v>45</v>
      </c>
      <c r="AM539" s="3" t="s">
        <v>45</v>
      </c>
      <c r="AN539" s="3" t="s">
        <v>45</v>
      </c>
      <c r="AO539" s="3" t="s">
        <v>45</v>
      </c>
      <c r="AP539" s="3" t="s">
        <v>45</v>
      </c>
      <c r="AQ539" s="4" t="s">
        <v>3847</v>
      </c>
      <c r="AR539" s="4" t="s">
        <v>3847</v>
      </c>
    </row>
    <row r="540">
      <c r="A540" s="3" t="s">
        <v>5100</v>
      </c>
      <c r="B540" s="3" t="s">
        <v>5101</v>
      </c>
      <c r="C540" s="3" t="s">
        <v>5093</v>
      </c>
      <c r="D540" s="3" t="s">
        <v>3932</v>
      </c>
      <c r="E540" s="4" t="s">
        <v>5102</v>
      </c>
      <c r="F540" s="3" t="s">
        <v>5095</v>
      </c>
      <c r="G540" s="4" t="s">
        <v>5103</v>
      </c>
      <c r="H540" s="4" t="s">
        <v>5104</v>
      </c>
      <c r="I540" s="3" t="s">
        <v>49</v>
      </c>
      <c r="J540" s="3" t="s">
        <v>126</v>
      </c>
      <c r="K540" s="3" t="s">
        <v>45</v>
      </c>
      <c r="L540" s="3" t="s">
        <v>45</v>
      </c>
      <c r="M540" s="3" t="s">
        <v>45</v>
      </c>
      <c r="N540" s="4" t="s">
        <v>3595</v>
      </c>
      <c r="O540" s="3" t="s">
        <v>88</v>
      </c>
      <c r="P540" s="3" t="s">
        <v>45</v>
      </c>
      <c r="Q540" s="3" t="s">
        <v>45</v>
      </c>
      <c r="R540" s="3" t="s">
        <v>45</v>
      </c>
      <c r="S540" s="3" t="s">
        <v>45</v>
      </c>
      <c r="T540" s="3" t="s">
        <v>45</v>
      </c>
      <c r="U540" s="3" t="s">
        <v>45</v>
      </c>
      <c r="V540" s="4" t="s">
        <v>260</v>
      </c>
      <c r="W540" s="4" t="s">
        <v>4030</v>
      </c>
      <c r="X540" s="3" t="s">
        <v>45</v>
      </c>
      <c r="Y540" s="3" t="s">
        <v>45</v>
      </c>
      <c r="Z540" s="3" t="s">
        <v>55</v>
      </c>
      <c r="AA540" s="3" t="s">
        <v>45</v>
      </c>
      <c r="AB540" s="3" t="s">
        <v>45</v>
      </c>
      <c r="AC540" s="3" t="s">
        <v>45</v>
      </c>
      <c r="AD540" s="3" t="s">
        <v>45</v>
      </c>
      <c r="AE540" s="3" t="s">
        <v>45</v>
      </c>
      <c r="AF540" s="3" t="s">
        <v>45</v>
      </c>
      <c r="AG540" s="3" t="s">
        <v>5105</v>
      </c>
      <c r="AH540" s="3" t="s">
        <v>57</v>
      </c>
      <c r="AI540" s="5" t="s">
        <v>5099</v>
      </c>
      <c r="AJ540" s="5" t="s">
        <v>5106</v>
      </c>
      <c r="AK540" s="3" t="s">
        <v>45</v>
      </c>
      <c r="AL540" s="3" t="s">
        <v>45</v>
      </c>
      <c r="AM540" s="3" t="s">
        <v>45</v>
      </c>
      <c r="AN540" s="3" t="s">
        <v>45</v>
      </c>
      <c r="AO540" s="3" t="s">
        <v>45</v>
      </c>
      <c r="AP540" s="3" t="s">
        <v>45</v>
      </c>
      <c r="AQ540" s="4" t="s">
        <v>3847</v>
      </c>
      <c r="AR540" s="4" t="s">
        <v>5107</v>
      </c>
    </row>
    <row r="541">
      <c r="A541" s="3" t="s">
        <v>5108</v>
      </c>
      <c r="B541" s="3" t="s">
        <v>5109</v>
      </c>
      <c r="C541" s="3" t="s">
        <v>5110</v>
      </c>
      <c r="D541" s="3" t="s">
        <v>3932</v>
      </c>
      <c r="E541" s="4" t="s">
        <v>5111</v>
      </c>
      <c r="F541" s="3" t="s">
        <v>5112</v>
      </c>
      <c r="G541" s="4" t="s">
        <v>5113</v>
      </c>
      <c r="H541" s="4" t="s">
        <v>5114</v>
      </c>
      <c r="I541" s="3" t="s">
        <v>218</v>
      </c>
      <c r="J541" s="3" t="s">
        <v>50</v>
      </c>
      <c r="K541" s="3" t="s">
        <v>45</v>
      </c>
      <c r="L541" s="3" t="s">
        <v>409</v>
      </c>
      <c r="M541" s="3" t="s">
        <v>45</v>
      </c>
      <c r="N541" s="3" t="s">
        <v>45</v>
      </c>
      <c r="O541" s="3" t="s">
        <v>74</v>
      </c>
      <c r="P541" s="3" t="s">
        <v>45</v>
      </c>
      <c r="Q541" s="3" t="s">
        <v>45</v>
      </c>
      <c r="R541" s="3" t="s">
        <v>45</v>
      </c>
      <c r="S541" s="4" t="s">
        <v>582</v>
      </c>
      <c r="T541" s="3" t="s">
        <v>45</v>
      </c>
      <c r="U541" s="3" t="s">
        <v>45</v>
      </c>
      <c r="V541" s="3" t="s">
        <v>45</v>
      </c>
      <c r="W541" s="4" t="s">
        <v>4549</v>
      </c>
      <c r="X541" s="3" t="s">
        <v>5115</v>
      </c>
      <c r="Y541" s="3" t="s">
        <v>45</v>
      </c>
      <c r="Z541" s="3" t="s">
        <v>74</v>
      </c>
      <c r="AA541" s="3" t="s">
        <v>45</v>
      </c>
      <c r="AB541" s="3" t="s">
        <v>45</v>
      </c>
      <c r="AC541" s="3" t="s">
        <v>45</v>
      </c>
      <c r="AD541" s="3" t="s">
        <v>45</v>
      </c>
      <c r="AE541" s="3" t="s">
        <v>45</v>
      </c>
      <c r="AF541" s="3" t="s">
        <v>45</v>
      </c>
      <c r="AG541" s="3" t="s">
        <v>45</v>
      </c>
      <c r="AH541" s="3" t="s">
        <v>57</v>
      </c>
      <c r="AI541" s="5" t="s">
        <v>5116</v>
      </c>
      <c r="AJ541" s="3" t="s">
        <v>45</v>
      </c>
      <c r="AK541" s="3" t="s">
        <v>45</v>
      </c>
      <c r="AL541" s="3" t="s">
        <v>45</v>
      </c>
      <c r="AM541" s="3" t="s">
        <v>45</v>
      </c>
      <c r="AN541" s="3" t="s">
        <v>45</v>
      </c>
      <c r="AO541" s="3" t="s">
        <v>45</v>
      </c>
      <c r="AP541" s="3" t="s">
        <v>45</v>
      </c>
      <c r="AQ541" s="4" t="s">
        <v>295</v>
      </c>
      <c r="AR541" s="4" t="s">
        <v>77</v>
      </c>
    </row>
    <row r="542">
      <c r="A542" s="3" t="s">
        <v>5117</v>
      </c>
      <c r="B542" s="3" t="s">
        <v>5118</v>
      </c>
      <c r="C542" s="3" t="s">
        <v>5119</v>
      </c>
      <c r="D542" s="3" t="s">
        <v>3932</v>
      </c>
      <c r="E542" s="4" t="s">
        <v>5120</v>
      </c>
      <c r="F542" s="3" t="s">
        <v>5121</v>
      </c>
      <c r="G542" s="4" t="s">
        <v>5122</v>
      </c>
      <c r="H542" s="4" t="s">
        <v>5123</v>
      </c>
      <c r="I542" s="3" t="s">
        <v>85</v>
      </c>
      <c r="J542" s="3" t="s">
        <v>126</v>
      </c>
      <c r="K542" s="3" t="s">
        <v>45</v>
      </c>
      <c r="L542" s="3" t="s">
        <v>45</v>
      </c>
      <c r="M542" s="3" t="s">
        <v>45</v>
      </c>
      <c r="N542" s="3" t="s">
        <v>45</v>
      </c>
      <c r="O542" s="3" t="s">
        <v>74</v>
      </c>
      <c r="P542" s="3" t="s">
        <v>45</v>
      </c>
      <c r="Q542" s="3" t="s">
        <v>45</v>
      </c>
      <c r="R542" s="3" t="s">
        <v>45</v>
      </c>
      <c r="S542" s="3" t="s">
        <v>45</v>
      </c>
      <c r="T542" s="3" t="s">
        <v>45</v>
      </c>
      <c r="U542" s="3" t="s">
        <v>45</v>
      </c>
      <c r="V542" s="3" t="s">
        <v>45</v>
      </c>
      <c r="W542" s="3" t="s">
        <v>45</v>
      </c>
      <c r="X542" s="3" t="s">
        <v>45</v>
      </c>
      <c r="Y542" s="3" t="s">
        <v>45</v>
      </c>
      <c r="Z542" s="3" t="s">
        <v>74</v>
      </c>
      <c r="AA542" s="3" t="s">
        <v>45</v>
      </c>
      <c r="AB542" s="3" t="s">
        <v>45</v>
      </c>
      <c r="AC542" s="3" t="s">
        <v>45</v>
      </c>
      <c r="AD542" s="3" t="s">
        <v>45</v>
      </c>
      <c r="AE542" s="3" t="s">
        <v>45</v>
      </c>
      <c r="AF542" s="3" t="s">
        <v>45</v>
      </c>
      <c r="AG542" s="3" t="s">
        <v>45</v>
      </c>
      <c r="AH542" s="3" t="s">
        <v>57</v>
      </c>
      <c r="AI542" s="3" t="s">
        <v>45</v>
      </c>
      <c r="AJ542" s="3" t="s">
        <v>45</v>
      </c>
      <c r="AK542" s="3" t="s">
        <v>45</v>
      </c>
      <c r="AL542" s="3" t="s">
        <v>45</v>
      </c>
      <c r="AM542" s="3" t="s">
        <v>45</v>
      </c>
      <c r="AN542" s="3" t="s">
        <v>45</v>
      </c>
      <c r="AO542" s="3" t="s">
        <v>45</v>
      </c>
      <c r="AP542" s="3" t="s">
        <v>45</v>
      </c>
      <c r="AQ542" s="4" t="s">
        <v>651</v>
      </c>
      <c r="AR542" s="4" t="s">
        <v>651</v>
      </c>
    </row>
    <row r="543">
      <c r="A543" s="3" t="s">
        <v>5124</v>
      </c>
      <c r="B543" s="3" t="s">
        <v>45</v>
      </c>
      <c r="C543" s="3" t="s">
        <v>5125</v>
      </c>
      <c r="D543" s="3" t="s">
        <v>3932</v>
      </c>
      <c r="E543" s="4" t="s">
        <v>5126</v>
      </c>
      <c r="F543" s="3" t="s">
        <v>5127</v>
      </c>
      <c r="G543" s="4" t="s">
        <v>5128</v>
      </c>
      <c r="H543" s="4" t="s">
        <v>5129</v>
      </c>
      <c r="I543" s="3" t="s">
        <v>49</v>
      </c>
      <c r="J543" s="3" t="s">
        <v>99</v>
      </c>
      <c r="K543" s="3" t="s">
        <v>45</v>
      </c>
      <c r="L543" s="3" t="s">
        <v>45</v>
      </c>
      <c r="M543" s="3" t="s">
        <v>45</v>
      </c>
      <c r="N543" s="3" t="s">
        <v>45</v>
      </c>
      <c r="O543" s="3" t="s">
        <v>74</v>
      </c>
      <c r="P543" s="3" t="s">
        <v>45</v>
      </c>
      <c r="Q543" s="3" t="s">
        <v>45</v>
      </c>
      <c r="R543" s="3" t="s">
        <v>45</v>
      </c>
      <c r="S543" s="3" t="s">
        <v>45</v>
      </c>
      <c r="T543" s="3" t="s">
        <v>45</v>
      </c>
      <c r="U543" s="3" t="s">
        <v>45</v>
      </c>
      <c r="V543" s="3" t="s">
        <v>45</v>
      </c>
      <c r="W543" s="3" t="s">
        <v>45</v>
      </c>
      <c r="X543" s="3" t="s">
        <v>45</v>
      </c>
      <c r="Y543" s="3" t="s">
        <v>45</v>
      </c>
      <c r="Z543" s="3" t="s">
        <v>74</v>
      </c>
      <c r="AA543" s="3" t="s">
        <v>45</v>
      </c>
      <c r="AB543" s="3" t="s">
        <v>45</v>
      </c>
      <c r="AC543" s="3" t="s">
        <v>45</v>
      </c>
      <c r="AD543" s="3" t="s">
        <v>45</v>
      </c>
      <c r="AE543" s="3" t="s">
        <v>45</v>
      </c>
      <c r="AF543" s="3" t="s">
        <v>45</v>
      </c>
      <c r="AG543" s="3" t="s">
        <v>45</v>
      </c>
      <c r="AH543" s="3" t="s">
        <v>57</v>
      </c>
      <c r="AI543" s="5" t="s">
        <v>5130</v>
      </c>
      <c r="AJ543" s="3" t="s">
        <v>45</v>
      </c>
      <c r="AK543" s="3" t="s">
        <v>45</v>
      </c>
      <c r="AL543" s="3" t="s">
        <v>45</v>
      </c>
      <c r="AM543" s="3" t="s">
        <v>45</v>
      </c>
      <c r="AN543" s="3" t="s">
        <v>45</v>
      </c>
      <c r="AO543" s="3" t="s">
        <v>45</v>
      </c>
      <c r="AP543" s="3" t="s">
        <v>45</v>
      </c>
      <c r="AQ543" s="4" t="s">
        <v>324</v>
      </c>
      <c r="AR543" s="4" t="s">
        <v>324</v>
      </c>
    </row>
    <row r="544">
      <c r="A544" s="3" t="s">
        <v>5131</v>
      </c>
      <c r="B544" s="3" t="s">
        <v>5132</v>
      </c>
      <c r="C544" s="3" t="s">
        <v>5133</v>
      </c>
      <c r="D544" s="3" t="s">
        <v>3932</v>
      </c>
      <c r="E544" s="4" t="s">
        <v>5134</v>
      </c>
      <c r="F544" s="3" t="s">
        <v>5135</v>
      </c>
      <c r="G544" s="4" t="s">
        <v>5136</v>
      </c>
      <c r="H544" s="4" t="s">
        <v>5137</v>
      </c>
      <c r="I544" s="3" t="s">
        <v>49</v>
      </c>
      <c r="J544" s="3" t="s">
        <v>126</v>
      </c>
      <c r="K544" s="3" t="s">
        <v>45</v>
      </c>
      <c r="L544" s="3" t="s">
        <v>45</v>
      </c>
      <c r="M544" s="3" t="s">
        <v>45</v>
      </c>
      <c r="N544" s="4" t="s">
        <v>52</v>
      </c>
      <c r="O544" s="3" t="s">
        <v>53</v>
      </c>
      <c r="P544" s="3" t="s">
        <v>45</v>
      </c>
      <c r="Q544" s="3" t="s">
        <v>45</v>
      </c>
      <c r="R544" s="3" t="s">
        <v>45</v>
      </c>
      <c r="S544" s="3" t="s">
        <v>45</v>
      </c>
      <c r="T544" s="3" t="s">
        <v>45</v>
      </c>
      <c r="U544" s="3" t="s">
        <v>45</v>
      </c>
      <c r="V544" s="4" t="s">
        <v>5138</v>
      </c>
      <c r="W544" s="3" t="s">
        <v>45</v>
      </c>
      <c r="X544" s="3" t="s">
        <v>45</v>
      </c>
      <c r="Y544" s="3" t="s">
        <v>45</v>
      </c>
      <c r="Z544" s="3" t="s">
        <v>74</v>
      </c>
      <c r="AA544" s="3" t="s">
        <v>45</v>
      </c>
      <c r="AB544" s="3" t="s">
        <v>45</v>
      </c>
      <c r="AC544" s="3" t="s">
        <v>45</v>
      </c>
      <c r="AD544" s="3" t="s">
        <v>45</v>
      </c>
      <c r="AE544" s="3" t="s">
        <v>45</v>
      </c>
      <c r="AF544" s="3" t="s">
        <v>45</v>
      </c>
      <c r="AG544" s="3" t="s">
        <v>45</v>
      </c>
      <c r="AH544" s="3" t="s">
        <v>57</v>
      </c>
      <c r="AI544" s="5" t="s">
        <v>5139</v>
      </c>
      <c r="AJ544" s="3" t="s">
        <v>45</v>
      </c>
      <c r="AK544" s="3" t="s">
        <v>45</v>
      </c>
      <c r="AL544" s="3" t="s">
        <v>45</v>
      </c>
      <c r="AM544" s="3" t="s">
        <v>45</v>
      </c>
      <c r="AN544" s="3" t="s">
        <v>45</v>
      </c>
      <c r="AO544" s="3" t="s">
        <v>45</v>
      </c>
      <c r="AP544" s="3" t="s">
        <v>45</v>
      </c>
      <c r="AQ544" s="4" t="s">
        <v>168</v>
      </c>
      <c r="AR544" s="4" t="s">
        <v>168</v>
      </c>
    </row>
    <row r="545">
      <c r="A545" s="3" t="s">
        <v>5140</v>
      </c>
      <c r="B545" s="3" t="s">
        <v>5141</v>
      </c>
      <c r="C545" s="3" t="s">
        <v>5142</v>
      </c>
      <c r="D545" s="3" t="s">
        <v>3932</v>
      </c>
      <c r="E545" s="4" t="s">
        <v>5143</v>
      </c>
      <c r="F545" s="3" t="s">
        <v>1700</v>
      </c>
      <c r="G545" s="4" t="s">
        <v>5144</v>
      </c>
      <c r="H545" s="4" t="s">
        <v>5145</v>
      </c>
      <c r="I545" s="3" t="s">
        <v>218</v>
      </c>
      <c r="J545" s="3" t="s">
        <v>126</v>
      </c>
      <c r="K545" s="3" t="s">
        <v>45</v>
      </c>
      <c r="L545" s="3" t="s">
        <v>479</v>
      </c>
      <c r="M545" s="3" t="s">
        <v>45</v>
      </c>
      <c r="N545" s="3" t="s">
        <v>45</v>
      </c>
      <c r="O545" s="3" t="s">
        <v>88</v>
      </c>
      <c r="P545" s="3" t="s">
        <v>220</v>
      </c>
      <c r="Q545" s="3" t="s">
        <v>45</v>
      </c>
      <c r="R545" s="3" t="s">
        <v>45</v>
      </c>
      <c r="S545" s="4" t="s">
        <v>2982</v>
      </c>
      <c r="T545" s="3" t="s">
        <v>45</v>
      </c>
      <c r="U545" s="3" t="s">
        <v>45</v>
      </c>
      <c r="V545" s="4" t="s">
        <v>3930</v>
      </c>
      <c r="W545" s="4" t="s">
        <v>5146</v>
      </c>
      <c r="X545" s="3" t="s">
        <v>360</v>
      </c>
      <c r="Y545" s="3" t="s">
        <v>45</v>
      </c>
      <c r="Z545" s="3" t="s">
        <v>74</v>
      </c>
      <c r="AA545" s="3" t="s">
        <v>45</v>
      </c>
      <c r="AB545" s="3" t="s">
        <v>45</v>
      </c>
      <c r="AC545" s="3" t="s">
        <v>45</v>
      </c>
      <c r="AD545" s="3" t="s">
        <v>45</v>
      </c>
      <c r="AE545" s="3" t="s">
        <v>45</v>
      </c>
      <c r="AF545" s="3" t="s">
        <v>45</v>
      </c>
      <c r="AG545" s="3" t="s">
        <v>5147</v>
      </c>
      <c r="AH545" s="3" t="s">
        <v>840</v>
      </c>
      <c r="AI545" s="5" t="s">
        <v>5148</v>
      </c>
      <c r="AJ545" s="5" t="s">
        <v>5149</v>
      </c>
      <c r="AK545" s="3" t="s">
        <v>45</v>
      </c>
      <c r="AL545" s="3" t="s">
        <v>45</v>
      </c>
      <c r="AM545" s="3" t="s">
        <v>45</v>
      </c>
      <c r="AN545" s="3" t="s">
        <v>45</v>
      </c>
      <c r="AO545" s="3" t="s">
        <v>45</v>
      </c>
      <c r="AP545" s="3" t="s">
        <v>45</v>
      </c>
      <c r="AQ545" s="4" t="s">
        <v>5150</v>
      </c>
      <c r="AR545" s="4" t="s">
        <v>5150</v>
      </c>
    </row>
    <row r="546">
      <c r="A546" s="3" t="s">
        <v>5151</v>
      </c>
      <c r="B546" s="3" t="s">
        <v>5152</v>
      </c>
      <c r="C546" s="3" t="s">
        <v>5153</v>
      </c>
      <c r="D546" s="3" t="s">
        <v>3932</v>
      </c>
      <c r="E546" s="4" t="s">
        <v>5154</v>
      </c>
      <c r="F546" s="3" t="s">
        <v>5155</v>
      </c>
      <c r="G546" s="4" t="s">
        <v>5156</v>
      </c>
      <c r="H546" s="4" t="s">
        <v>5157</v>
      </c>
      <c r="I546" s="3" t="s">
        <v>245</v>
      </c>
      <c r="J546" s="3" t="s">
        <v>50</v>
      </c>
      <c r="K546" s="3" t="s">
        <v>45</v>
      </c>
      <c r="L546" s="3" t="s">
        <v>45</v>
      </c>
      <c r="M546" s="3" t="s">
        <v>45</v>
      </c>
      <c r="N546" s="3" t="s">
        <v>45</v>
      </c>
      <c r="O546" s="3" t="s">
        <v>74</v>
      </c>
      <c r="P546" s="3" t="s">
        <v>45</v>
      </c>
      <c r="Q546" s="3" t="s">
        <v>45</v>
      </c>
      <c r="R546" s="3" t="s">
        <v>45</v>
      </c>
      <c r="S546" s="3" t="s">
        <v>45</v>
      </c>
      <c r="T546" s="3" t="s">
        <v>45</v>
      </c>
      <c r="U546" s="3" t="s">
        <v>45</v>
      </c>
      <c r="V546" s="3" t="s">
        <v>45</v>
      </c>
      <c r="W546" s="4" t="s">
        <v>861</v>
      </c>
      <c r="X546" s="3" t="s">
        <v>45</v>
      </c>
      <c r="Y546" s="3" t="s">
        <v>45</v>
      </c>
      <c r="Z546" s="3" t="s">
        <v>55</v>
      </c>
      <c r="AA546" s="3" t="s">
        <v>45</v>
      </c>
      <c r="AB546" s="3" t="s">
        <v>45</v>
      </c>
      <c r="AC546" s="3" t="s">
        <v>45</v>
      </c>
      <c r="AD546" s="3" t="s">
        <v>45</v>
      </c>
      <c r="AE546" s="3" t="s">
        <v>45</v>
      </c>
      <c r="AF546" s="5" t="s">
        <v>5158</v>
      </c>
      <c r="AG546" s="3" t="s">
        <v>45</v>
      </c>
      <c r="AH546" s="3" t="s">
        <v>57</v>
      </c>
      <c r="AI546" s="5" t="s">
        <v>5159</v>
      </c>
      <c r="AJ546" s="3" t="s">
        <v>45</v>
      </c>
      <c r="AK546" s="3" t="s">
        <v>45</v>
      </c>
      <c r="AL546" s="3" t="s">
        <v>45</v>
      </c>
      <c r="AM546" s="3" t="s">
        <v>45</v>
      </c>
      <c r="AN546" s="3" t="s">
        <v>45</v>
      </c>
      <c r="AO546" s="3" t="s">
        <v>45</v>
      </c>
      <c r="AP546" s="3" t="s">
        <v>45</v>
      </c>
      <c r="AQ546" s="4" t="s">
        <v>2459</v>
      </c>
      <c r="AR546" s="4" t="s">
        <v>77</v>
      </c>
    </row>
    <row r="547">
      <c r="A547" s="3" t="s">
        <v>3063</v>
      </c>
      <c r="B547" s="3" t="s">
        <v>5160</v>
      </c>
      <c r="C547" s="3" t="s">
        <v>5161</v>
      </c>
      <c r="D547" s="3" t="s">
        <v>3932</v>
      </c>
      <c r="E547" s="4" t="s">
        <v>5162</v>
      </c>
      <c r="F547" s="3" t="s">
        <v>5163</v>
      </c>
      <c r="G547" s="4" t="s">
        <v>5164</v>
      </c>
      <c r="H547" s="4" t="s">
        <v>5165</v>
      </c>
      <c r="I547" s="3" t="s">
        <v>85</v>
      </c>
      <c r="J547" s="3" t="s">
        <v>126</v>
      </c>
      <c r="K547" s="3" t="s">
        <v>45</v>
      </c>
      <c r="L547" s="3" t="s">
        <v>45</v>
      </c>
      <c r="M547" s="3" t="s">
        <v>45</v>
      </c>
      <c r="N547" s="3" t="s">
        <v>45</v>
      </c>
      <c r="O547" s="3" t="s">
        <v>74</v>
      </c>
      <c r="P547" s="3" t="s">
        <v>45</v>
      </c>
      <c r="Q547" s="3" t="s">
        <v>45</v>
      </c>
      <c r="R547" s="3" t="s">
        <v>45</v>
      </c>
      <c r="S547" s="3" t="s">
        <v>45</v>
      </c>
      <c r="T547" s="3" t="s">
        <v>45</v>
      </c>
      <c r="U547" s="3" t="s">
        <v>45</v>
      </c>
      <c r="V547" s="3" t="s">
        <v>45</v>
      </c>
      <c r="W547" s="3" t="s">
        <v>45</v>
      </c>
      <c r="X547" s="3" t="s">
        <v>45</v>
      </c>
      <c r="Y547" s="3" t="s">
        <v>45</v>
      </c>
      <c r="Z547" s="3" t="s">
        <v>74</v>
      </c>
      <c r="AA547" s="3" t="s">
        <v>45</v>
      </c>
      <c r="AB547" s="3" t="s">
        <v>45</v>
      </c>
      <c r="AC547" s="3" t="s">
        <v>45</v>
      </c>
      <c r="AD547" s="3" t="s">
        <v>45</v>
      </c>
      <c r="AE547" s="3" t="s">
        <v>45</v>
      </c>
      <c r="AF547" s="3" t="s">
        <v>45</v>
      </c>
      <c r="AG547" s="3" t="s">
        <v>45</v>
      </c>
      <c r="AH547" s="3" t="s">
        <v>57</v>
      </c>
      <c r="AI547" s="3" t="s">
        <v>45</v>
      </c>
      <c r="AJ547" s="3" t="s">
        <v>45</v>
      </c>
      <c r="AK547" s="3" t="s">
        <v>45</v>
      </c>
      <c r="AL547" s="3" t="s">
        <v>45</v>
      </c>
      <c r="AM547" s="3" t="s">
        <v>45</v>
      </c>
      <c r="AN547" s="3" t="s">
        <v>45</v>
      </c>
      <c r="AO547" s="3" t="s">
        <v>45</v>
      </c>
      <c r="AP547" s="3" t="s">
        <v>45</v>
      </c>
      <c r="AQ547" s="4" t="s">
        <v>651</v>
      </c>
      <c r="AR547" s="4" t="s">
        <v>651</v>
      </c>
    </row>
    <row r="548">
      <c r="A548" s="3" t="s">
        <v>5166</v>
      </c>
      <c r="B548" s="3" t="s">
        <v>5167</v>
      </c>
      <c r="C548" s="3" t="s">
        <v>5168</v>
      </c>
      <c r="D548" s="3" t="s">
        <v>3932</v>
      </c>
      <c r="E548" s="4" t="s">
        <v>5169</v>
      </c>
      <c r="F548" s="3" t="s">
        <v>5170</v>
      </c>
      <c r="G548" s="4" t="s">
        <v>5171</v>
      </c>
      <c r="H548" s="4" t="s">
        <v>5172</v>
      </c>
      <c r="I548" s="3" t="s">
        <v>408</v>
      </c>
      <c r="J548" s="3" t="s">
        <v>126</v>
      </c>
      <c r="K548" s="3" t="s">
        <v>45</v>
      </c>
      <c r="L548" s="3" t="s">
        <v>176</v>
      </c>
      <c r="M548" s="3" t="s">
        <v>45</v>
      </c>
      <c r="N548" s="3" t="s">
        <v>45</v>
      </c>
      <c r="O548" s="3" t="s">
        <v>74</v>
      </c>
      <c r="P548" s="3" t="s">
        <v>45</v>
      </c>
      <c r="Q548" s="3" t="s">
        <v>45</v>
      </c>
      <c r="R548" s="3" t="s">
        <v>45</v>
      </c>
      <c r="S548" s="3" t="s">
        <v>45</v>
      </c>
      <c r="T548" s="3" t="s">
        <v>45</v>
      </c>
      <c r="U548" s="3" t="s">
        <v>45</v>
      </c>
      <c r="V548" s="3" t="s">
        <v>45</v>
      </c>
      <c r="W548" s="3" t="s">
        <v>45</v>
      </c>
      <c r="X548" s="3" t="s">
        <v>45</v>
      </c>
      <c r="Y548" s="3" t="s">
        <v>45</v>
      </c>
      <c r="Z548" s="3" t="s">
        <v>74</v>
      </c>
      <c r="AA548" s="3" t="s">
        <v>45</v>
      </c>
      <c r="AB548" s="3" t="s">
        <v>45</v>
      </c>
      <c r="AC548" s="3" t="s">
        <v>45</v>
      </c>
      <c r="AD548" s="3" t="s">
        <v>45</v>
      </c>
      <c r="AE548" s="3" t="s">
        <v>45</v>
      </c>
      <c r="AF548" s="3" t="s">
        <v>45</v>
      </c>
      <c r="AG548" s="3" t="s">
        <v>45</v>
      </c>
      <c r="AH548" s="3" t="s">
        <v>57</v>
      </c>
      <c r="AI548" s="5" t="s">
        <v>5173</v>
      </c>
      <c r="AJ548" s="3" t="s">
        <v>45</v>
      </c>
      <c r="AK548" s="3" t="s">
        <v>45</v>
      </c>
      <c r="AL548" s="3" t="s">
        <v>45</v>
      </c>
      <c r="AM548" s="3" t="s">
        <v>45</v>
      </c>
      <c r="AN548" s="3" t="s">
        <v>45</v>
      </c>
      <c r="AO548" s="3" t="s">
        <v>45</v>
      </c>
      <c r="AP548" s="3" t="s">
        <v>45</v>
      </c>
      <c r="AQ548" s="4" t="s">
        <v>651</v>
      </c>
      <c r="AR548" s="4" t="s">
        <v>5174</v>
      </c>
    </row>
    <row r="549">
      <c r="A549" s="3" t="s">
        <v>5175</v>
      </c>
      <c r="B549" s="3" t="s">
        <v>5176</v>
      </c>
      <c r="C549" s="3" t="s">
        <v>202</v>
      </c>
      <c r="D549" s="3" t="s">
        <v>3932</v>
      </c>
      <c r="E549" s="4" t="s">
        <v>5177</v>
      </c>
      <c r="F549" s="3" t="s">
        <v>5178</v>
      </c>
      <c r="G549" s="4" t="s">
        <v>5179</v>
      </c>
      <c r="H549" s="4" t="s">
        <v>5180</v>
      </c>
      <c r="I549" s="3" t="s">
        <v>49</v>
      </c>
      <c r="J549" s="3" t="s">
        <v>126</v>
      </c>
      <c r="K549" s="3" t="s">
        <v>45</v>
      </c>
      <c r="L549" s="3" t="s">
        <v>45</v>
      </c>
      <c r="M549" s="3" t="s">
        <v>45</v>
      </c>
      <c r="N549" s="3" t="s">
        <v>5181</v>
      </c>
      <c r="O549" s="3" t="s">
        <v>88</v>
      </c>
      <c r="P549" s="3" t="s">
        <v>45</v>
      </c>
      <c r="Q549" s="3" t="s">
        <v>45</v>
      </c>
      <c r="R549" s="3" t="s">
        <v>45</v>
      </c>
      <c r="S549" s="3" t="s">
        <v>45</v>
      </c>
      <c r="T549" s="3" t="s">
        <v>45</v>
      </c>
      <c r="U549" s="3" t="s">
        <v>45</v>
      </c>
      <c r="V549" s="3" t="s">
        <v>45</v>
      </c>
      <c r="W549" s="4" t="s">
        <v>2665</v>
      </c>
      <c r="X549" s="3" t="s">
        <v>5182</v>
      </c>
      <c r="Y549" s="3" t="s">
        <v>45</v>
      </c>
      <c r="Z549" s="3" t="s">
        <v>74</v>
      </c>
      <c r="AA549" s="3" t="s">
        <v>45</v>
      </c>
      <c r="AB549" s="3" t="s">
        <v>45</v>
      </c>
      <c r="AC549" s="3" t="s">
        <v>45</v>
      </c>
      <c r="AD549" s="3" t="s">
        <v>45</v>
      </c>
      <c r="AE549" s="3" t="s">
        <v>45</v>
      </c>
      <c r="AF549" s="3" t="s">
        <v>45</v>
      </c>
      <c r="AG549" s="3" t="s">
        <v>45</v>
      </c>
      <c r="AH549" s="3" t="s">
        <v>57</v>
      </c>
      <c r="AI549" s="5" t="s">
        <v>5183</v>
      </c>
      <c r="AJ549" s="5" t="s">
        <v>5184</v>
      </c>
      <c r="AK549" s="3" t="s">
        <v>45</v>
      </c>
      <c r="AL549" s="3" t="s">
        <v>45</v>
      </c>
      <c r="AM549" s="3" t="s">
        <v>45</v>
      </c>
      <c r="AN549" s="3" t="s">
        <v>45</v>
      </c>
      <c r="AO549" s="3" t="s">
        <v>45</v>
      </c>
      <c r="AP549" s="3" t="s">
        <v>45</v>
      </c>
      <c r="AQ549" s="4" t="s">
        <v>627</v>
      </c>
      <c r="AR549" s="4" t="s">
        <v>627</v>
      </c>
    </row>
    <row r="550">
      <c r="A550" s="3" t="s">
        <v>5185</v>
      </c>
      <c r="B550" s="3" t="s">
        <v>5186</v>
      </c>
      <c r="C550" s="3" t="s">
        <v>5187</v>
      </c>
      <c r="D550" s="3" t="s">
        <v>3932</v>
      </c>
      <c r="E550" s="4" t="s">
        <v>5188</v>
      </c>
      <c r="F550" s="3" t="s">
        <v>5112</v>
      </c>
      <c r="G550" s="4" t="s">
        <v>5189</v>
      </c>
      <c r="H550" s="4" t="s">
        <v>5190</v>
      </c>
      <c r="I550" s="3" t="s">
        <v>85</v>
      </c>
      <c r="J550" s="3" t="s">
        <v>126</v>
      </c>
      <c r="K550" s="3" t="s">
        <v>45</v>
      </c>
      <c r="L550" s="3" t="s">
        <v>45</v>
      </c>
      <c r="M550" s="3" t="s">
        <v>45</v>
      </c>
      <c r="N550" s="3" t="s">
        <v>45</v>
      </c>
      <c r="O550" s="3" t="s">
        <v>74</v>
      </c>
      <c r="P550" s="3" t="s">
        <v>45</v>
      </c>
      <c r="Q550" s="3" t="s">
        <v>45</v>
      </c>
      <c r="R550" s="3" t="s">
        <v>45</v>
      </c>
      <c r="S550" s="3" t="s">
        <v>45</v>
      </c>
      <c r="T550" s="3" t="s">
        <v>45</v>
      </c>
      <c r="U550" s="3" t="s">
        <v>45</v>
      </c>
      <c r="V550" s="3" t="s">
        <v>45</v>
      </c>
      <c r="W550" s="3" t="s">
        <v>45</v>
      </c>
      <c r="X550" s="3" t="s">
        <v>45</v>
      </c>
      <c r="Y550" s="3" t="s">
        <v>45</v>
      </c>
      <c r="Z550" s="3" t="s">
        <v>74</v>
      </c>
      <c r="AA550" s="3" t="s">
        <v>45</v>
      </c>
      <c r="AB550" s="3" t="s">
        <v>45</v>
      </c>
      <c r="AC550" s="3" t="s">
        <v>45</v>
      </c>
      <c r="AD550" s="3" t="s">
        <v>45</v>
      </c>
      <c r="AE550" s="3" t="s">
        <v>45</v>
      </c>
      <c r="AF550" s="3" t="s">
        <v>45</v>
      </c>
      <c r="AG550" s="3" t="s">
        <v>45</v>
      </c>
      <c r="AH550" s="3" t="s">
        <v>57</v>
      </c>
      <c r="AI550" s="3" t="s">
        <v>45</v>
      </c>
      <c r="AJ550" s="3" t="s">
        <v>45</v>
      </c>
      <c r="AK550" s="3" t="s">
        <v>45</v>
      </c>
      <c r="AL550" s="3" t="s">
        <v>45</v>
      </c>
      <c r="AM550" s="3" t="s">
        <v>45</v>
      </c>
      <c r="AN550" s="3" t="s">
        <v>45</v>
      </c>
      <c r="AO550" s="3" t="s">
        <v>45</v>
      </c>
      <c r="AP550" s="3" t="s">
        <v>45</v>
      </c>
      <c r="AQ550" s="4" t="s">
        <v>651</v>
      </c>
      <c r="AR550" s="4" t="s">
        <v>651</v>
      </c>
    </row>
    <row r="551">
      <c r="A551" s="3" t="s">
        <v>5191</v>
      </c>
      <c r="B551" s="3" t="s">
        <v>5192</v>
      </c>
      <c r="C551" s="3" t="s">
        <v>5187</v>
      </c>
      <c r="D551" s="3" t="s">
        <v>3932</v>
      </c>
      <c r="E551" s="4" t="s">
        <v>5188</v>
      </c>
      <c r="F551" s="3" t="s">
        <v>5112</v>
      </c>
      <c r="G551" s="4" t="s">
        <v>5193</v>
      </c>
      <c r="H551" s="4" t="s">
        <v>5194</v>
      </c>
      <c r="I551" s="3" t="s">
        <v>218</v>
      </c>
      <c r="J551" s="3" t="s">
        <v>126</v>
      </c>
      <c r="K551" s="3" t="s">
        <v>45</v>
      </c>
      <c r="L551" s="3" t="s">
        <v>409</v>
      </c>
      <c r="M551" s="3" t="s">
        <v>45</v>
      </c>
      <c r="N551" s="3" t="s">
        <v>45</v>
      </c>
      <c r="O551" s="3" t="s">
        <v>74</v>
      </c>
      <c r="P551" s="3" t="s">
        <v>45</v>
      </c>
      <c r="Q551" s="3" t="s">
        <v>45</v>
      </c>
      <c r="R551" s="3" t="s">
        <v>45</v>
      </c>
      <c r="S551" s="3" t="s">
        <v>45</v>
      </c>
      <c r="T551" s="3" t="s">
        <v>45</v>
      </c>
      <c r="U551" s="3" t="s">
        <v>45</v>
      </c>
      <c r="V551" s="3" t="s">
        <v>45</v>
      </c>
      <c r="W551" s="4" t="s">
        <v>2575</v>
      </c>
      <c r="X551" s="3" t="s">
        <v>5195</v>
      </c>
      <c r="Y551" s="3" t="s">
        <v>45</v>
      </c>
      <c r="Z551" s="3" t="s">
        <v>74</v>
      </c>
      <c r="AA551" s="3" t="s">
        <v>45</v>
      </c>
      <c r="AB551" s="3" t="s">
        <v>45</v>
      </c>
      <c r="AC551" s="3" t="s">
        <v>45</v>
      </c>
      <c r="AD551" s="3" t="s">
        <v>45</v>
      </c>
      <c r="AE551" s="3" t="s">
        <v>45</v>
      </c>
      <c r="AF551" s="3" t="s">
        <v>45</v>
      </c>
      <c r="AG551" s="3" t="s">
        <v>45</v>
      </c>
      <c r="AH551" s="3" t="s">
        <v>57</v>
      </c>
      <c r="AI551" s="5" t="s">
        <v>5116</v>
      </c>
      <c r="AJ551" s="5" t="s">
        <v>5196</v>
      </c>
      <c r="AK551" s="3" t="s">
        <v>45</v>
      </c>
      <c r="AL551" s="3" t="s">
        <v>45</v>
      </c>
      <c r="AM551" s="3" t="s">
        <v>45</v>
      </c>
      <c r="AN551" s="3" t="s">
        <v>45</v>
      </c>
      <c r="AO551" s="3" t="s">
        <v>45</v>
      </c>
      <c r="AP551" s="3" t="s">
        <v>45</v>
      </c>
      <c r="AQ551" s="4" t="s">
        <v>295</v>
      </c>
      <c r="AR551" s="4" t="s">
        <v>77</v>
      </c>
    </row>
    <row r="552">
      <c r="A552" s="3" t="s">
        <v>5197</v>
      </c>
      <c r="B552" s="3" t="s">
        <v>5198</v>
      </c>
      <c r="C552" s="3" t="s">
        <v>5199</v>
      </c>
      <c r="D552" s="3" t="s">
        <v>3932</v>
      </c>
      <c r="E552" s="4" t="s">
        <v>5200</v>
      </c>
      <c r="F552" s="3" t="s">
        <v>5095</v>
      </c>
      <c r="G552" s="4" t="s">
        <v>5201</v>
      </c>
      <c r="H552" s="4" t="s">
        <v>5202</v>
      </c>
      <c r="I552" s="3" t="s">
        <v>436</v>
      </c>
      <c r="J552" s="3" t="s">
        <v>50</v>
      </c>
      <c r="K552" s="3" t="s">
        <v>45</v>
      </c>
      <c r="L552" s="3" t="s">
        <v>45</v>
      </c>
      <c r="M552" s="3" t="s">
        <v>45</v>
      </c>
      <c r="N552" s="3" t="s">
        <v>45</v>
      </c>
      <c r="O552" s="3" t="s">
        <v>74</v>
      </c>
      <c r="P552" s="3" t="s">
        <v>45</v>
      </c>
      <c r="Q552" s="3" t="s">
        <v>45</v>
      </c>
      <c r="R552" s="3" t="s">
        <v>45</v>
      </c>
      <c r="S552" s="3" t="s">
        <v>45</v>
      </c>
      <c r="T552" s="3" t="s">
        <v>45</v>
      </c>
      <c r="U552" s="3" t="s">
        <v>45</v>
      </c>
      <c r="V552" s="3" t="s">
        <v>45</v>
      </c>
      <c r="W552" s="4" t="s">
        <v>5203</v>
      </c>
      <c r="X552" s="3" t="s">
        <v>45</v>
      </c>
      <c r="Y552" s="3" t="s">
        <v>45</v>
      </c>
      <c r="Z552" s="3" t="s">
        <v>74</v>
      </c>
      <c r="AA552" s="3" t="s">
        <v>45</v>
      </c>
      <c r="AB552" s="3" t="s">
        <v>45</v>
      </c>
      <c r="AC552" s="3" t="s">
        <v>45</v>
      </c>
      <c r="AD552" s="3" t="s">
        <v>45</v>
      </c>
      <c r="AE552" s="3" t="s">
        <v>45</v>
      </c>
      <c r="AF552" s="3" t="s">
        <v>45</v>
      </c>
      <c r="AG552" s="3" t="s">
        <v>45</v>
      </c>
      <c r="AH552" s="3" t="s">
        <v>57</v>
      </c>
      <c r="AI552" s="5" t="s">
        <v>5204</v>
      </c>
      <c r="AJ552" s="3" t="s">
        <v>45</v>
      </c>
      <c r="AK552" s="3" t="s">
        <v>45</v>
      </c>
      <c r="AL552" s="3" t="s">
        <v>45</v>
      </c>
      <c r="AM552" s="3" t="s">
        <v>45</v>
      </c>
      <c r="AN552" s="3" t="s">
        <v>45</v>
      </c>
      <c r="AO552" s="3" t="s">
        <v>45</v>
      </c>
      <c r="AP552" s="3" t="s">
        <v>45</v>
      </c>
      <c r="AQ552" s="4" t="s">
        <v>1300</v>
      </c>
      <c r="AR552" s="4" t="s">
        <v>1300</v>
      </c>
    </row>
    <row r="553">
      <c r="A553" s="3" t="s">
        <v>5205</v>
      </c>
      <c r="B553" s="3" t="s">
        <v>5206</v>
      </c>
      <c r="C553" s="3" t="s">
        <v>5207</v>
      </c>
      <c r="D553" s="3" t="s">
        <v>3932</v>
      </c>
      <c r="E553" s="4" t="s">
        <v>5208</v>
      </c>
      <c r="F553" s="3" t="s">
        <v>5209</v>
      </c>
      <c r="G553" s="4" t="s">
        <v>5210</v>
      </c>
      <c r="H553" s="4" t="s">
        <v>5211</v>
      </c>
      <c r="I553" s="3" t="s">
        <v>436</v>
      </c>
      <c r="J553" s="3" t="s">
        <v>126</v>
      </c>
      <c r="K553" s="3" t="s">
        <v>45</v>
      </c>
      <c r="L553" s="3" t="s">
        <v>45</v>
      </c>
      <c r="M553" s="3" t="s">
        <v>45</v>
      </c>
      <c r="N553" s="3" t="s">
        <v>45</v>
      </c>
      <c r="O553" s="3" t="s">
        <v>74</v>
      </c>
      <c r="P553" s="3" t="s">
        <v>45</v>
      </c>
      <c r="Q553" s="3" t="s">
        <v>45</v>
      </c>
      <c r="R553" s="3" t="s">
        <v>45</v>
      </c>
      <c r="S553" s="3" t="s">
        <v>45</v>
      </c>
      <c r="T553" s="3" t="s">
        <v>45</v>
      </c>
      <c r="U553" s="3" t="s">
        <v>45</v>
      </c>
      <c r="V553" s="4" t="s">
        <v>1152</v>
      </c>
      <c r="W553" s="4" t="s">
        <v>3595</v>
      </c>
      <c r="X553" s="3" t="s">
        <v>5212</v>
      </c>
      <c r="Y553" s="3" t="s">
        <v>45</v>
      </c>
      <c r="Z553" s="3" t="s">
        <v>55</v>
      </c>
      <c r="AA553" s="3" t="s">
        <v>45</v>
      </c>
      <c r="AB553" s="3" t="s">
        <v>45</v>
      </c>
      <c r="AC553" s="3" t="s">
        <v>45</v>
      </c>
      <c r="AD553" s="3" t="s">
        <v>45</v>
      </c>
      <c r="AE553" s="3" t="s">
        <v>45</v>
      </c>
      <c r="AF553" s="3" t="s">
        <v>45</v>
      </c>
      <c r="AG553" s="3" t="s">
        <v>45</v>
      </c>
      <c r="AH553" s="3" t="s">
        <v>57</v>
      </c>
      <c r="AI553" s="5" t="s">
        <v>5213</v>
      </c>
      <c r="AJ553" s="5" t="s">
        <v>5214</v>
      </c>
      <c r="AK553" s="5" t="s">
        <v>5215</v>
      </c>
      <c r="AL553" s="5" t="s">
        <v>5216</v>
      </c>
      <c r="AM553" s="3" t="s">
        <v>45</v>
      </c>
      <c r="AN553" s="3" t="s">
        <v>45</v>
      </c>
      <c r="AO553" s="3" t="s">
        <v>45</v>
      </c>
      <c r="AP553" s="3" t="s">
        <v>45</v>
      </c>
      <c r="AQ553" s="4" t="s">
        <v>651</v>
      </c>
      <c r="AR553" s="4" t="s">
        <v>5107</v>
      </c>
    </row>
    <row r="554">
      <c r="A554" s="3" t="s">
        <v>5217</v>
      </c>
      <c r="B554" s="3" t="s">
        <v>5218</v>
      </c>
      <c r="C554" s="3" t="s">
        <v>5219</v>
      </c>
      <c r="D554" s="3" t="s">
        <v>3932</v>
      </c>
      <c r="E554" s="4" t="s">
        <v>5220</v>
      </c>
      <c r="F554" s="3" t="s">
        <v>5112</v>
      </c>
      <c r="G554" s="4" t="s">
        <v>5221</v>
      </c>
      <c r="H554" s="4" t="s">
        <v>5222</v>
      </c>
      <c r="I554" s="3" t="s">
        <v>49</v>
      </c>
      <c r="J554" s="3" t="s">
        <v>50</v>
      </c>
      <c r="K554" s="3" t="s">
        <v>45</v>
      </c>
      <c r="L554" s="3" t="s">
        <v>409</v>
      </c>
      <c r="M554" s="3" t="s">
        <v>45</v>
      </c>
      <c r="N554" s="3" t="s">
        <v>45</v>
      </c>
      <c r="O554" s="3" t="s">
        <v>74</v>
      </c>
      <c r="P554" s="3" t="s">
        <v>45</v>
      </c>
      <c r="Q554" s="3" t="s">
        <v>45</v>
      </c>
      <c r="R554" s="3" t="s">
        <v>45</v>
      </c>
      <c r="S554" s="3" t="s">
        <v>45</v>
      </c>
      <c r="T554" s="3" t="s">
        <v>45</v>
      </c>
      <c r="U554" s="3" t="s">
        <v>45</v>
      </c>
      <c r="V554" s="3" t="s">
        <v>45</v>
      </c>
      <c r="W554" s="3" t="s">
        <v>45</v>
      </c>
      <c r="X554" s="3" t="s">
        <v>45</v>
      </c>
      <c r="Y554" s="3" t="s">
        <v>45</v>
      </c>
      <c r="Z554" s="3" t="s">
        <v>74</v>
      </c>
      <c r="AA554" s="3" t="s">
        <v>45</v>
      </c>
      <c r="AB554" s="3" t="s">
        <v>45</v>
      </c>
      <c r="AC554" s="3" t="s">
        <v>45</v>
      </c>
      <c r="AD554" s="3" t="s">
        <v>45</v>
      </c>
      <c r="AE554" s="3" t="s">
        <v>45</v>
      </c>
      <c r="AF554" s="3" t="s">
        <v>45</v>
      </c>
      <c r="AG554" s="3" t="s">
        <v>45</v>
      </c>
      <c r="AH554" s="3" t="s">
        <v>57</v>
      </c>
      <c r="AI554" s="5" t="s">
        <v>5116</v>
      </c>
      <c r="AJ554" s="5" t="s">
        <v>5223</v>
      </c>
      <c r="AK554" s="3" t="s">
        <v>45</v>
      </c>
      <c r="AL554" s="3" t="s">
        <v>45</v>
      </c>
      <c r="AM554" s="3" t="s">
        <v>45</v>
      </c>
      <c r="AN554" s="3" t="s">
        <v>45</v>
      </c>
      <c r="AO554" s="3" t="s">
        <v>45</v>
      </c>
      <c r="AP554" s="3" t="s">
        <v>45</v>
      </c>
      <c r="AQ554" s="4" t="s">
        <v>295</v>
      </c>
      <c r="AR554" s="4" t="s">
        <v>295</v>
      </c>
    </row>
    <row r="555">
      <c r="A555" s="3" t="s">
        <v>5224</v>
      </c>
      <c r="B555" s="3" t="s">
        <v>5225</v>
      </c>
      <c r="C555" s="3" t="s">
        <v>5226</v>
      </c>
      <c r="D555" s="3" t="s">
        <v>3932</v>
      </c>
      <c r="E555" s="4" t="s">
        <v>5227</v>
      </c>
      <c r="F555" s="3" t="s">
        <v>5228</v>
      </c>
      <c r="G555" s="4" t="s">
        <v>5229</v>
      </c>
      <c r="H555" s="4" t="s">
        <v>5230</v>
      </c>
      <c r="I555" s="3" t="s">
        <v>49</v>
      </c>
      <c r="J555" s="3" t="s">
        <v>126</v>
      </c>
      <c r="K555" s="3" t="s">
        <v>45</v>
      </c>
      <c r="L555" s="3" t="s">
        <v>45</v>
      </c>
      <c r="M555" s="3" t="s">
        <v>45</v>
      </c>
      <c r="N555" s="3" t="s">
        <v>45</v>
      </c>
      <c r="O555" s="3" t="s">
        <v>74</v>
      </c>
      <c r="P555" s="3" t="s">
        <v>45</v>
      </c>
      <c r="Q555" s="3" t="s">
        <v>45</v>
      </c>
      <c r="R555" s="3" t="s">
        <v>45</v>
      </c>
      <c r="S555" s="3" t="s">
        <v>45</v>
      </c>
      <c r="T555" s="3" t="s">
        <v>45</v>
      </c>
      <c r="U555" s="3" t="s">
        <v>45</v>
      </c>
      <c r="V555" s="3" t="s">
        <v>45</v>
      </c>
      <c r="W555" s="4" t="s">
        <v>2171</v>
      </c>
      <c r="X555" s="3" t="s">
        <v>45</v>
      </c>
      <c r="Y555" s="3" t="s">
        <v>45</v>
      </c>
      <c r="Z555" s="3" t="s">
        <v>74</v>
      </c>
      <c r="AA555" s="3" t="s">
        <v>45</v>
      </c>
      <c r="AB555" s="3" t="s">
        <v>45</v>
      </c>
      <c r="AC555" s="3" t="s">
        <v>45</v>
      </c>
      <c r="AD555" s="3" t="s">
        <v>45</v>
      </c>
      <c r="AE555" s="3" t="s">
        <v>45</v>
      </c>
      <c r="AF555" s="3" t="s">
        <v>45</v>
      </c>
      <c r="AG555" s="3" t="s">
        <v>5231</v>
      </c>
      <c r="AH555" s="3" t="s">
        <v>57</v>
      </c>
      <c r="AI555" s="5" t="s">
        <v>5232</v>
      </c>
      <c r="AJ555" s="5" t="s">
        <v>5233</v>
      </c>
      <c r="AK555" s="5" t="s">
        <v>5234</v>
      </c>
      <c r="AL555" s="3" t="s">
        <v>45</v>
      </c>
      <c r="AM555" s="3" t="s">
        <v>45</v>
      </c>
      <c r="AN555" s="3" t="s">
        <v>45</v>
      </c>
      <c r="AO555" s="3" t="s">
        <v>45</v>
      </c>
      <c r="AP555" s="3" t="s">
        <v>45</v>
      </c>
      <c r="AQ555" s="4" t="s">
        <v>5235</v>
      </c>
      <c r="AR555" s="4" t="s">
        <v>5235</v>
      </c>
    </row>
    <row r="556">
      <c r="A556" s="3" t="s">
        <v>5224</v>
      </c>
      <c r="B556" s="3" t="s">
        <v>5236</v>
      </c>
      <c r="C556" s="3" t="s">
        <v>5226</v>
      </c>
      <c r="D556" s="3" t="s">
        <v>3932</v>
      </c>
      <c r="E556" s="4" t="s">
        <v>5227</v>
      </c>
      <c r="F556" s="3" t="s">
        <v>5228</v>
      </c>
      <c r="G556" s="4" t="s">
        <v>5237</v>
      </c>
      <c r="H556" s="4" t="s">
        <v>5238</v>
      </c>
      <c r="I556" s="3" t="s">
        <v>436</v>
      </c>
      <c r="J556" s="3" t="s">
        <v>126</v>
      </c>
      <c r="K556" s="3" t="s">
        <v>45</v>
      </c>
      <c r="L556" s="3" t="s">
        <v>45</v>
      </c>
      <c r="M556" s="3" t="s">
        <v>45</v>
      </c>
      <c r="N556" s="4" t="s">
        <v>410</v>
      </c>
      <c r="O556" s="3" t="s">
        <v>88</v>
      </c>
      <c r="P556" s="3" t="s">
        <v>45</v>
      </c>
      <c r="Q556" s="3" t="s">
        <v>45</v>
      </c>
      <c r="R556" s="3" t="s">
        <v>45</v>
      </c>
      <c r="S556" s="4" t="s">
        <v>104</v>
      </c>
      <c r="T556" s="3" t="s">
        <v>45</v>
      </c>
      <c r="U556" s="3" t="s">
        <v>45</v>
      </c>
      <c r="V556" s="4" t="s">
        <v>4276</v>
      </c>
      <c r="W556" s="4" t="s">
        <v>5239</v>
      </c>
      <c r="X556" s="3" t="s">
        <v>45</v>
      </c>
      <c r="Y556" s="3" t="s">
        <v>45</v>
      </c>
      <c r="Z556" s="3" t="s">
        <v>55</v>
      </c>
      <c r="AA556" s="3" t="s">
        <v>5240</v>
      </c>
      <c r="AB556" s="3" t="s">
        <v>45</v>
      </c>
      <c r="AC556" s="3" t="s">
        <v>45</v>
      </c>
      <c r="AD556" s="5" t="s">
        <v>5241</v>
      </c>
      <c r="AE556" s="3" t="s">
        <v>45</v>
      </c>
      <c r="AF556" s="3" t="s">
        <v>45</v>
      </c>
      <c r="AG556" s="3" t="s">
        <v>5242</v>
      </c>
      <c r="AH556" s="3" t="s">
        <v>57</v>
      </c>
      <c r="AI556" s="5" t="s">
        <v>5243</v>
      </c>
      <c r="AJ556" s="3" t="s">
        <v>45</v>
      </c>
      <c r="AK556" s="3" t="s">
        <v>45</v>
      </c>
      <c r="AL556" s="3" t="s">
        <v>45</v>
      </c>
      <c r="AM556" s="3" t="s">
        <v>45</v>
      </c>
      <c r="AN556" s="3" t="s">
        <v>45</v>
      </c>
      <c r="AO556" s="3" t="s">
        <v>45</v>
      </c>
      <c r="AP556" s="3" t="s">
        <v>45</v>
      </c>
      <c r="AQ556" s="4" t="s">
        <v>380</v>
      </c>
      <c r="AR556" s="4" t="s">
        <v>380</v>
      </c>
    </row>
    <row r="557">
      <c r="A557" s="3" t="s">
        <v>5244</v>
      </c>
      <c r="B557" s="3" t="s">
        <v>5245</v>
      </c>
      <c r="C557" s="3" t="s">
        <v>1879</v>
      </c>
      <c r="D557" s="3" t="s">
        <v>3932</v>
      </c>
      <c r="E557" s="4" t="s">
        <v>5246</v>
      </c>
      <c r="F557" s="3" t="s">
        <v>5112</v>
      </c>
      <c r="G557" s="4" t="s">
        <v>5247</v>
      </c>
      <c r="H557" s="4" t="s">
        <v>5248</v>
      </c>
      <c r="I557" s="3" t="s">
        <v>49</v>
      </c>
      <c r="J557" s="3" t="s">
        <v>50</v>
      </c>
      <c r="K557" s="3" t="s">
        <v>45</v>
      </c>
      <c r="L557" s="3" t="s">
        <v>409</v>
      </c>
      <c r="M557" s="3" t="s">
        <v>45</v>
      </c>
      <c r="N557" s="3" t="s">
        <v>45</v>
      </c>
      <c r="O557" s="3" t="s">
        <v>74</v>
      </c>
      <c r="P557" s="3" t="s">
        <v>45</v>
      </c>
      <c r="Q557" s="3" t="s">
        <v>45</v>
      </c>
      <c r="R557" s="3" t="s">
        <v>45</v>
      </c>
      <c r="S557" s="3" t="s">
        <v>45</v>
      </c>
      <c r="T557" s="3" t="s">
        <v>45</v>
      </c>
      <c r="U557" s="3" t="s">
        <v>45</v>
      </c>
      <c r="V557" s="3" t="s">
        <v>45</v>
      </c>
      <c r="W557" s="4" t="s">
        <v>668</v>
      </c>
      <c r="X557" s="3" t="s">
        <v>5249</v>
      </c>
      <c r="Y557" s="3" t="s">
        <v>45</v>
      </c>
      <c r="Z557" s="3" t="s">
        <v>74</v>
      </c>
      <c r="AA557" s="3" t="s">
        <v>45</v>
      </c>
      <c r="AB557" s="3" t="s">
        <v>45</v>
      </c>
      <c r="AC557" s="3" t="s">
        <v>45</v>
      </c>
      <c r="AD557" s="3" t="s">
        <v>45</v>
      </c>
      <c r="AE557" s="3" t="s">
        <v>45</v>
      </c>
      <c r="AF557" s="3" t="s">
        <v>45</v>
      </c>
      <c r="AG557" s="3" t="s">
        <v>45</v>
      </c>
      <c r="AH557" s="3" t="s">
        <v>57</v>
      </c>
      <c r="AI557" s="5" t="s">
        <v>5196</v>
      </c>
      <c r="AJ557" s="3" t="s">
        <v>45</v>
      </c>
      <c r="AK557" s="3" t="s">
        <v>45</v>
      </c>
      <c r="AL557" s="3" t="s">
        <v>45</v>
      </c>
      <c r="AM557" s="3" t="s">
        <v>45</v>
      </c>
      <c r="AN557" s="3" t="s">
        <v>45</v>
      </c>
      <c r="AO557" s="3" t="s">
        <v>45</v>
      </c>
      <c r="AP557" s="3" t="s">
        <v>45</v>
      </c>
      <c r="AQ557" s="4" t="s">
        <v>295</v>
      </c>
      <c r="AR557" s="4" t="s">
        <v>295</v>
      </c>
    </row>
    <row r="558">
      <c r="A558" s="3" t="s">
        <v>5250</v>
      </c>
      <c r="B558" s="3" t="s">
        <v>5251</v>
      </c>
      <c r="C558" s="3" t="s">
        <v>1879</v>
      </c>
      <c r="D558" s="3" t="s">
        <v>3932</v>
      </c>
      <c r="E558" s="4" t="s">
        <v>5246</v>
      </c>
      <c r="F558" s="3" t="s">
        <v>5112</v>
      </c>
      <c r="G558" s="4" t="s">
        <v>5252</v>
      </c>
      <c r="H558" s="4" t="s">
        <v>5253</v>
      </c>
      <c r="I558" s="3" t="s">
        <v>49</v>
      </c>
      <c r="J558" s="3" t="s">
        <v>50</v>
      </c>
      <c r="K558" s="3" t="s">
        <v>45</v>
      </c>
      <c r="L558" s="3" t="s">
        <v>409</v>
      </c>
      <c r="M558" s="3" t="s">
        <v>45</v>
      </c>
      <c r="N558" s="3" t="s">
        <v>45</v>
      </c>
      <c r="O558" s="3" t="s">
        <v>74</v>
      </c>
      <c r="P558" s="3" t="s">
        <v>45</v>
      </c>
      <c r="Q558" s="3" t="s">
        <v>45</v>
      </c>
      <c r="R558" s="3" t="s">
        <v>45</v>
      </c>
      <c r="S558" s="3" t="s">
        <v>45</v>
      </c>
      <c r="T558" s="3" t="s">
        <v>45</v>
      </c>
      <c r="U558" s="3" t="s">
        <v>45</v>
      </c>
      <c r="V558" s="3" t="s">
        <v>45</v>
      </c>
      <c r="W558" s="3" t="s">
        <v>45</v>
      </c>
      <c r="X558" s="3" t="s">
        <v>45</v>
      </c>
      <c r="Y558" s="3" t="s">
        <v>45</v>
      </c>
      <c r="Z558" s="3" t="s">
        <v>74</v>
      </c>
      <c r="AA558" s="3" t="s">
        <v>45</v>
      </c>
      <c r="AB558" s="3" t="s">
        <v>45</v>
      </c>
      <c r="AC558" s="3" t="s">
        <v>45</v>
      </c>
      <c r="AD558" s="3" t="s">
        <v>45</v>
      </c>
      <c r="AE558" s="3" t="s">
        <v>45</v>
      </c>
      <c r="AF558" s="3" t="s">
        <v>45</v>
      </c>
      <c r="AG558" s="3" t="s">
        <v>45</v>
      </c>
      <c r="AH558" s="3" t="s">
        <v>57</v>
      </c>
      <c r="AI558" s="5" t="s">
        <v>5116</v>
      </c>
      <c r="AJ558" s="3" t="s">
        <v>45</v>
      </c>
      <c r="AK558" s="3" t="s">
        <v>45</v>
      </c>
      <c r="AL558" s="3" t="s">
        <v>45</v>
      </c>
      <c r="AM558" s="3" t="s">
        <v>45</v>
      </c>
      <c r="AN558" s="3" t="s">
        <v>45</v>
      </c>
      <c r="AO558" s="3" t="s">
        <v>45</v>
      </c>
      <c r="AP558" s="3" t="s">
        <v>45</v>
      </c>
      <c r="AQ558" s="4" t="s">
        <v>295</v>
      </c>
      <c r="AR558" s="4" t="s">
        <v>295</v>
      </c>
    </row>
    <row r="559">
      <c r="A559" s="3" t="s">
        <v>5254</v>
      </c>
      <c r="B559" s="3" t="s">
        <v>5255</v>
      </c>
      <c r="C559" s="3" t="s">
        <v>5256</v>
      </c>
      <c r="D559" s="3" t="s">
        <v>3932</v>
      </c>
      <c r="E559" s="4" t="s">
        <v>5257</v>
      </c>
      <c r="F559" s="3" t="s">
        <v>5228</v>
      </c>
      <c r="G559" s="4" t="s">
        <v>5258</v>
      </c>
      <c r="H559" s="4" t="s">
        <v>5259</v>
      </c>
      <c r="I559" s="3" t="s">
        <v>49</v>
      </c>
      <c r="J559" s="3" t="s">
        <v>126</v>
      </c>
      <c r="K559" s="3" t="s">
        <v>45</v>
      </c>
      <c r="L559" s="3" t="s">
        <v>45</v>
      </c>
      <c r="M559" s="3" t="s">
        <v>45</v>
      </c>
      <c r="N559" s="4" t="s">
        <v>104</v>
      </c>
      <c r="O559" s="3" t="s">
        <v>53</v>
      </c>
      <c r="P559" s="3" t="s">
        <v>45</v>
      </c>
      <c r="Q559" s="3" t="s">
        <v>45</v>
      </c>
      <c r="R559" s="3" t="s">
        <v>45</v>
      </c>
      <c r="S559" s="3" t="s">
        <v>45</v>
      </c>
      <c r="T559" s="3" t="s">
        <v>45</v>
      </c>
      <c r="U559" s="3" t="s">
        <v>45</v>
      </c>
      <c r="V559" s="3" t="s">
        <v>45</v>
      </c>
      <c r="W559" s="3" t="s">
        <v>45</v>
      </c>
      <c r="X559" s="3" t="s">
        <v>45</v>
      </c>
      <c r="Y559" s="3" t="s">
        <v>45</v>
      </c>
      <c r="Z559" s="3" t="s">
        <v>74</v>
      </c>
      <c r="AA559" s="3" t="s">
        <v>45</v>
      </c>
      <c r="AB559" s="3" t="s">
        <v>45</v>
      </c>
      <c r="AC559" s="3" t="s">
        <v>45</v>
      </c>
      <c r="AD559" s="3" t="s">
        <v>45</v>
      </c>
      <c r="AE559" s="3" t="s">
        <v>45</v>
      </c>
      <c r="AF559" s="3" t="s">
        <v>45</v>
      </c>
      <c r="AG559" s="3" t="s">
        <v>45</v>
      </c>
      <c r="AH559" s="3" t="s">
        <v>57</v>
      </c>
      <c r="AI559" s="5" t="s">
        <v>5260</v>
      </c>
      <c r="AJ559" s="5" t="s">
        <v>5261</v>
      </c>
      <c r="AK559" s="3" t="s">
        <v>45</v>
      </c>
      <c r="AL559" s="3" t="s">
        <v>45</v>
      </c>
      <c r="AM559" s="3" t="s">
        <v>45</v>
      </c>
      <c r="AN559" s="3" t="s">
        <v>45</v>
      </c>
      <c r="AO559" s="3" t="s">
        <v>45</v>
      </c>
      <c r="AP559" s="3" t="s">
        <v>45</v>
      </c>
      <c r="AQ559" s="4" t="s">
        <v>2509</v>
      </c>
      <c r="AR559" s="4" t="s">
        <v>2509</v>
      </c>
    </row>
    <row r="560">
      <c r="A560" s="3" t="s">
        <v>5262</v>
      </c>
      <c r="B560" s="3" t="s">
        <v>5263</v>
      </c>
      <c r="C560" s="3" t="s">
        <v>5264</v>
      </c>
      <c r="D560" s="3" t="s">
        <v>3932</v>
      </c>
      <c r="E560" s="4" t="s">
        <v>5265</v>
      </c>
      <c r="F560" s="3" t="s">
        <v>5228</v>
      </c>
      <c r="G560" s="4" t="s">
        <v>5266</v>
      </c>
      <c r="H560" s="4" t="s">
        <v>5267</v>
      </c>
      <c r="I560" s="3" t="s">
        <v>245</v>
      </c>
      <c r="J560" s="3" t="s">
        <v>50</v>
      </c>
      <c r="K560" s="3" t="s">
        <v>743</v>
      </c>
      <c r="L560" s="3" t="s">
        <v>5268</v>
      </c>
      <c r="M560" s="3" t="s">
        <v>45</v>
      </c>
      <c r="N560" s="3" t="s">
        <v>45</v>
      </c>
      <c r="O560" s="3" t="s">
        <v>88</v>
      </c>
      <c r="P560" s="3" t="s">
        <v>45</v>
      </c>
      <c r="Q560" s="3" t="s">
        <v>45</v>
      </c>
      <c r="R560" s="3" t="s">
        <v>45</v>
      </c>
      <c r="S560" s="3" t="s">
        <v>45</v>
      </c>
      <c r="T560" s="3" t="s">
        <v>45</v>
      </c>
      <c r="U560" s="3" t="s">
        <v>45</v>
      </c>
      <c r="V560" s="3" t="s">
        <v>45</v>
      </c>
      <c r="W560" s="3" t="s">
        <v>45</v>
      </c>
      <c r="X560" s="3" t="s">
        <v>305</v>
      </c>
      <c r="Y560" s="3" t="s">
        <v>45</v>
      </c>
      <c r="Z560" s="3" t="s">
        <v>74</v>
      </c>
      <c r="AA560" s="3" t="s">
        <v>45</v>
      </c>
      <c r="AB560" s="3" t="s">
        <v>45</v>
      </c>
      <c r="AC560" s="3" t="s">
        <v>45</v>
      </c>
      <c r="AD560" s="3" t="s">
        <v>45</v>
      </c>
      <c r="AE560" s="3" t="s">
        <v>45</v>
      </c>
      <c r="AF560" s="3" t="s">
        <v>45</v>
      </c>
      <c r="AG560" s="3" t="s">
        <v>5269</v>
      </c>
      <c r="AH560" s="3" t="s">
        <v>57</v>
      </c>
      <c r="AI560" s="5" t="s">
        <v>5270</v>
      </c>
      <c r="AJ560" s="5" t="s">
        <v>5271</v>
      </c>
      <c r="AK560" s="5" t="s">
        <v>5272</v>
      </c>
      <c r="AL560" s="3" t="s">
        <v>45</v>
      </c>
      <c r="AM560" s="3" t="s">
        <v>45</v>
      </c>
      <c r="AN560" s="3" t="s">
        <v>45</v>
      </c>
      <c r="AO560" s="3" t="s">
        <v>45</v>
      </c>
      <c r="AP560" s="3" t="s">
        <v>45</v>
      </c>
      <c r="AQ560" s="4" t="s">
        <v>2052</v>
      </c>
      <c r="AR560" s="4" t="s">
        <v>2052</v>
      </c>
    </row>
    <row r="561">
      <c r="A561" s="3" t="s">
        <v>5273</v>
      </c>
      <c r="B561" s="3" t="s">
        <v>5274</v>
      </c>
      <c r="C561" s="3" t="s">
        <v>5275</v>
      </c>
      <c r="D561" s="3" t="s">
        <v>3932</v>
      </c>
      <c r="E561" s="4" t="s">
        <v>5276</v>
      </c>
      <c r="F561" s="3" t="s">
        <v>5277</v>
      </c>
      <c r="G561" s="4" t="s">
        <v>5278</v>
      </c>
      <c r="H561" s="4" t="s">
        <v>5279</v>
      </c>
      <c r="I561" s="3" t="s">
        <v>49</v>
      </c>
      <c r="J561" s="3" t="s">
        <v>50</v>
      </c>
      <c r="K561" s="3" t="s">
        <v>45</v>
      </c>
      <c r="L561" s="3" t="s">
        <v>409</v>
      </c>
      <c r="M561" s="3" t="s">
        <v>45</v>
      </c>
      <c r="N561" s="3" t="s">
        <v>45</v>
      </c>
      <c r="O561" s="3" t="s">
        <v>88</v>
      </c>
      <c r="P561" s="3" t="s">
        <v>45</v>
      </c>
      <c r="Q561" s="3" t="s">
        <v>45</v>
      </c>
      <c r="R561" s="3" t="s">
        <v>45</v>
      </c>
      <c r="S561" s="3" t="s">
        <v>45</v>
      </c>
      <c r="T561" s="3" t="s">
        <v>45</v>
      </c>
      <c r="U561" s="3" t="s">
        <v>45</v>
      </c>
      <c r="V561" s="3" t="s">
        <v>45</v>
      </c>
      <c r="W561" s="4" t="s">
        <v>5280</v>
      </c>
      <c r="X561" s="3" t="s">
        <v>45</v>
      </c>
      <c r="Y561" s="3" t="s">
        <v>45</v>
      </c>
      <c r="Z561" s="3" t="s">
        <v>74</v>
      </c>
      <c r="AA561" s="3" t="s">
        <v>45</v>
      </c>
      <c r="AB561" s="3" t="s">
        <v>45</v>
      </c>
      <c r="AC561" s="3" t="s">
        <v>45</v>
      </c>
      <c r="AD561" s="3" t="s">
        <v>45</v>
      </c>
      <c r="AE561" s="3" t="s">
        <v>45</v>
      </c>
      <c r="AF561" s="3" t="s">
        <v>45</v>
      </c>
      <c r="AG561" s="3" t="s">
        <v>45</v>
      </c>
      <c r="AH561" s="3" t="s">
        <v>57</v>
      </c>
      <c r="AI561" s="5" t="s">
        <v>5281</v>
      </c>
      <c r="AJ561" s="3" t="s">
        <v>45</v>
      </c>
      <c r="AK561" s="3" t="s">
        <v>45</v>
      </c>
      <c r="AL561" s="3" t="s">
        <v>45</v>
      </c>
      <c r="AM561" s="3" t="s">
        <v>45</v>
      </c>
      <c r="AN561" s="3" t="s">
        <v>45</v>
      </c>
      <c r="AO561" s="3" t="s">
        <v>45</v>
      </c>
      <c r="AP561" s="3" t="s">
        <v>45</v>
      </c>
      <c r="AQ561" s="4" t="s">
        <v>2649</v>
      </c>
      <c r="AR561" s="4" t="s">
        <v>2649</v>
      </c>
    </row>
    <row r="562">
      <c r="A562" s="3" t="s">
        <v>5282</v>
      </c>
      <c r="B562" s="3" t="s">
        <v>5283</v>
      </c>
      <c r="C562" s="3" t="s">
        <v>5284</v>
      </c>
      <c r="D562" s="3" t="s">
        <v>3932</v>
      </c>
      <c r="E562" s="3" t="s">
        <v>45</v>
      </c>
      <c r="F562" s="3" t="s">
        <v>5285</v>
      </c>
      <c r="G562" s="4" t="s">
        <v>5286</v>
      </c>
      <c r="H562" s="4" t="s">
        <v>5287</v>
      </c>
      <c r="I562" s="3" t="s">
        <v>49</v>
      </c>
      <c r="J562" s="3" t="s">
        <v>126</v>
      </c>
      <c r="K562" s="3" t="s">
        <v>45</v>
      </c>
      <c r="L562" s="3" t="s">
        <v>45</v>
      </c>
      <c r="M562" s="3" t="s">
        <v>45</v>
      </c>
      <c r="N562" s="3" t="s">
        <v>45</v>
      </c>
      <c r="O562" s="3" t="s">
        <v>88</v>
      </c>
      <c r="P562" s="3" t="s">
        <v>45</v>
      </c>
      <c r="Q562" s="3" t="s">
        <v>45</v>
      </c>
      <c r="R562" s="3" t="s">
        <v>45</v>
      </c>
      <c r="S562" s="3" t="s">
        <v>45</v>
      </c>
      <c r="T562" s="3" t="s">
        <v>45</v>
      </c>
      <c r="U562" s="3" t="s">
        <v>45</v>
      </c>
      <c r="V562" s="4" t="s">
        <v>611</v>
      </c>
      <c r="W562" s="4" t="s">
        <v>5288</v>
      </c>
      <c r="X562" s="3" t="s">
        <v>45</v>
      </c>
      <c r="Y562" s="3" t="s">
        <v>45</v>
      </c>
      <c r="Z562" s="3" t="s">
        <v>55</v>
      </c>
      <c r="AA562" s="3" t="s">
        <v>45</v>
      </c>
      <c r="AB562" s="3" t="s">
        <v>45</v>
      </c>
      <c r="AC562" s="3" t="s">
        <v>45</v>
      </c>
      <c r="AD562" s="3" t="s">
        <v>45</v>
      </c>
      <c r="AE562" s="3" t="s">
        <v>45</v>
      </c>
      <c r="AF562" s="5" t="s">
        <v>5289</v>
      </c>
      <c r="AG562" s="3" t="s">
        <v>45</v>
      </c>
      <c r="AH562" s="3" t="s">
        <v>57</v>
      </c>
      <c r="AI562" s="5" t="s">
        <v>5290</v>
      </c>
      <c r="AJ562" s="3" t="s">
        <v>45</v>
      </c>
      <c r="AK562" s="3" t="s">
        <v>45</v>
      </c>
      <c r="AL562" s="3" t="s">
        <v>45</v>
      </c>
      <c r="AM562" s="3" t="s">
        <v>45</v>
      </c>
      <c r="AN562" s="3" t="s">
        <v>45</v>
      </c>
      <c r="AO562" s="3" t="s">
        <v>45</v>
      </c>
      <c r="AP562" s="3" t="s">
        <v>45</v>
      </c>
      <c r="AQ562" s="4" t="s">
        <v>2037</v>
      </c>
      <c r="AR562" s="4" t="s">
        <v>2037</v>
      </c>
    </row>
    <row r="563">
      <c r="A563" s="3" t="s">
        <v>5291</v>
      </c>
      <c r="B563" s="3" t="s">
        <v>5292</v>
      </c>
      <c r="C563" s="3" t="s">
        <v>5293</v>
      </c>
      <c r="D563" s="3" t="s">
        <v>3932</v>
      </c>
      <c r="E563" s="4" t="s">
        <v>5294</v>
      </c>
      <c r="F563" s="3" t="s">
        <v>5295</v>
      </c>
      <c r="G563" s="4" t="s">
        <v>5296</v>
      </c>
      <c r="H563" s="4" t="s">
        <v>5297</v>
      </c>
      <c r="I563" s="3" t="s">
        <v>49</v>
      </c>
      <c r="J563" s="3" t="s">
        <v>50</v>
      </c>
      <c r="K563" s="3" t="s">
        <v>743</v>
      </c>
      <c r="L563" s="3" t="s">
        <v>5298</v>
      </c>
      <c r="M563" s="3" t="s">
        <v>45</v>
      </c>
      <c r="N563" s="3" t="s">
        <v>45</v>
      </c>
      <c r="O563" s="3" t="s">
        <v>74</v>
      </c>
      <c r="P563" s="3" t="s">
        <v>45</v>
      </c>
      <c r="Q563" s="3" t="s">
        <v>45</v>
      </c>
      <c r="R563" s="3" t="s">
        <v>45</v>
      </c>
      <c r="S563" s="3" t="s">
        <v>45</v>
      </c>
      <c r="T563" s="3" t="s">
        <v>45</v>
      </c>
      <c r="U563" s="3" t="s">
        <v>45</v>
      </c>
      <c r="V563" s="3" t="s">
        <v>45</v>
      </c>
      <c r="W563" s="3" t="s">
        <v>45</v>
      </c>
      <c r="X563" s="3" t="s">
        <v>45</v>
      </c>
      <c r="Y563" s="3" t="s">
        <v>45</v>
      </c>
      <c r="Z563" s="3" t="s">
        <v>74</v>
      </c>
      <c r="AA563" s="3" t="s">
        <v>45</v>
      </c>
      <c r="AB563" s="3" t="s">
        <v>45</v>
      </c>
      <c r="AC563" s="3" t="s">
        <v>45</v>
      </c>
      <c r="AD563" s="3" t="s">
        <v>45</v>
      </c>
      <c r="AE563" s="3" t="s">
        <v>45</v>
      </c>
      <c r="AF563" s="3" t="s">
        <v>45</v>
      </c>
      <c r="AG563" s="3" t="s">
        <v>5299</v>
      </c>
      <c r="AH563" s="3" t="s">
        <v>57</v>
      </c>
      <c r="AI563" s="5" t="s">
        <v>5300</v>
      </c>
      <c r="AJ563" s="5" t="s">
        <v>5301</v>
      </c>
      <c r="AK563" s="3" t="s">
        <v>45</v>
      </c>
      <c r="AL563" s="3" t="s">
        <v>45</v>
      </c>
      <c r="AM563" s="3" t="s">
        <v>45</v>
      </c>
      <c r="AN563" s="3" t="s">
        <v>45</v>
      </c>
      <c r="AO563" s="3" t="s">
        <v>45</v>
      </c>
      <c r="AP563" s="3" t="s">
        <v>45</v>
      </c>
      <c r="AQ563" s="4" t="s">
        <v>197</v>
      </c>
      <c r="AR563" s="4" t="s">
        <v>197</v>
      </c>
    </row>
    <row r="564">
      <c r="A564" s="3" t="s">
        <v>395</v>
      </c>
      <c r="B564" s="3" t="s">
        <v>5302</v>
      </c>
      <c r="C564" s="3" t="s">
        <v>5303</v>
      </c>
      <c r="D564" s="3" t="s">
        <v>3932</v>
      </c>
      <c r="E564" s="4" t="s">
        <v>5304</v>
      </c>
      <c r="F564" s="3" t="s">
        <v>5209</v>
      </c>
      <c r="G564" s="4" t="s">
        <v>5305</v>
      </c>
      <c r="H564" s="4" t="s">
        <v>5306</v>
      </c>
      <c r="I564" s="3" t="s">
        <v>218</v>
      </c>
      <c r="J564" s="3" t="s">
        <v>126</v>
      </c>
      <c r="K564" s="3" t="s">
        <v>45</v>
      </c>
      <c r="L564" s="3" t="s">
        <v>45</v>
      </c>
      <c r="M564" s="3" t="s">
        <v>45</v>
      </c>
      <c r="N564" s="3" t="s">
        <v>45</v>
      </c>
      <c r="O564" s="3" t="s">
        <v>74</v>
      </c>
      <c r="P564" s="3" t="s">
        <v>45</v>
      </c>
      <c r="Q564" s="3" t="s">
        <v>45</v>
      </c>
      <c r="R564" s="3" t="s">
        <v>45</v>
      </c>
      <c r="S564" s="4" t="s">
        <v>582</v>
      </c>
      <c r="T564" s="3" t="s">
        <v>45</v>
      </c>
      <c r="U564" s="3" t="s">
        <v>45</v>
      </c>
      <c r="V564" s="4" t="s">
        <v>5307</v>
      </c>
      <c r="W564" s="4" t="s">
        <v>5308</v>
      </c>
      <c r="X564" s="3" t="s">
        <v>45</v>
      </c>
      <c r="Y564" s="3" t="s">
        <v>45</v>
      </c>
      <c r="Z564" s="3" t="s">
        <v>55</v>
      </c>
      <c r="AA564" s="3" t="s">
        <v>45</v>
      </c>
      <c r="AB564" s="3" t="s">
        <v>45</v>
      </c>
      <c r="AC564" s="3" t="s">
        <v>45</v>
      </c>
      <c r="AD564" s="3" t="s">
        <v>45</v>
      </c>
      <c r="AE564" s="3" t="s">
        <v>45</v>
      </c>
      <c r="AF564" s="5" t="s">
        <v>5309</v>
      </c>
      <c r="AG564" s="3" t="s">
        <v>5310</v>
      </c>
      <c r="AH564" s="3" t="s">
        <v>57</v>
      </c>
      <c r="AI564" s="5" t="s">
        <v>5215</v>
      </c>
      <c r="AJ564" s="5" t="s">
        <v>5311</v>
      </c>
      <c r="AK564" s="5" t="s">
        <v>5312</v>
      </c>
      <c r="AL564" s="5" t="s">
        <v>5313</v>
      </c>
      <c r="AM564" s="3" t="s">
        <v>45</v>
      </c>
      <c r="AN564" s="3" t="s">
        <v>45</v>
      </c>
      <c r="AO564" s="3" t="s">
        <v>45</v>
      </c>
      <c r="AP564" s="3" t="s">
        <v>45</v>
      </c>
      <c r="AQ564" s="4" t="s">
        <v>147</v>
      </c>
      <c r="AR564" s="4" t="s">
        <v>3153</v>
      </c>
    </row>
    <row r="565">
      <c r="A565" s="3" t="s">
        <v>5314</v>
      </c>
      <c r="B565" s="3" t="s">
        <v>5315</v>
      </c>
      <c r="C565" s="3" t="s">
        <v>5316</v>
      </c>
      <c r="D565" s="3" t="s">
        <v>3932</v>
      </c>
      <c r="E565" s="4" t="s">
        <v>5317</v>
      </c>
      <c r="F565" s="3" t="s">
        <v>5318</v>
      </c>
      <c r="G565" s="4" t="s">
        <v>5319</v>
      </c>
      <c r="H565" s="4" t="s">
        <v>5320</v>
      </c>
      <c r="I565" s="3" t="s">
        <v>245</v>
      </c>
      <c r="J565" s="3" t="s">
        <v>126</v>
      </c>
      <c r="K565" s="3" t="s">
        <v>5321</v>
      </c>
      <c r="L565" s="3" t="s">
        <v>5322</v>
      </c>
      <c r="M565" s="3" t="s">
        <v>45</v>
      </c>
      <c r="N565" s="4" t="s">
        <v>1296</v>
      </c>
      <c r="O565" s="3" t="s">
        <v>88</v>
      </c>
      <c r="P565" s="3" t="s">
        <v>71</v>
      </c>
      <c r="Q565" s="3" t="s">
        <v>45</v>
      </c>
      <c r="R565" s="3" t="s">
        <v>45</v>
      </c>
      <c r="S565" s="4" t="s">
        <v>472</v>
      </c>
      <c r="T565" s="3" t="s">
        <v>45</v>
      </c>
      <c r="U565" s="3" t="s">
        <v>45</v>
      </c>
      <c r="V565" s="3" t="s">
        <v>45</v>
      </c>
      <c r="W565" s="4" t="s">
        <v>5323</v>
      </c>
      <c r="X565" s="3" t="s">
        <v>5324</v>
      </c>
      <c r="Y565" s="3" t="s">
        <v>5325</v>
      </c>
      <c r="Z565" s="3" t="s">
        <v>1098</v>
      </c>
      <c r="AA565" s="3" t="s">
        <v>5326</v>
      </c>
      <c r="AB565" s="3" t="s">
        <v>109</v>
      </c>
      <c r="AC565" s="3" t="s">
        <v>45</v>
      </c>
      <c r="AD565" s="5" t="s">
        <v>5327</v>
      </c>
      <c r="AE565" s="5" t="s">
        <v>5328</v>
      </c>
      <c r="AF565" s="5" t="s">
        <v>5329</v>
      </c>
      <c r="AG565" s="3" t="s">
        <v>45</v>
      </c>
      <c r="AH565" s="3" t="s">
        <v>57</v>
      </c>
      <c r="AI565" s="5" t="s">
        <v>5330</v>
      </c>
      <c r="AJ565" s="5" t="s">
        <v>5327</v>
      </c>
      <c r="AK565" s="5" t="s">
        <v>5331</v>
      </c>
      <c r="AL565" s="5" t="s">
        <v>5332</v>
      </c>
      <c r="AM565" s="5" t="s">
        <v>5333</v>
      </c>
      <c r="AN565" s="3" t="s">
        <v>45</v>
      </c>
      <c r="AO565" s="3" t="s">
        <v>45</v>
      </c>
      <c r="AP565" s="3" t="s">
        <v>45</v>
      </c>
      <c r="AQ565" s="4" t="s">
        <v>394</v>
      </c>
      <c r="AR565" s="4" t="s">
        <v>712</v>
      </c>
    </row>
    <row r="566">
      <c r="A566" s="3" t="s">
        <v>5334</v>
      </c>
      <c r="B566" s="3" t="s">
        <v>5335</v>
      </c>
      <c r="C566" s="3" t="s">
        <v>5336</v>
      </c>
      <c r="D566" s="3" t="s">
        <v>3932</v>
      </c>
      <c r="E566" s="4" t="s">
        <v>5337</v>
      </c>
      <c r="F566" s="3" t="s">
        <v>5338</v>
      </c>
      <c r="G566" s="4" t="s">
        <v>5339</v>
      </c>
      <c r="H566" s="4" t="s">
        <v>5340</v>
      </c>
      <c r="I566" s="3" t="s">
        <v>245</v>
      </c>
      <c r="J566" s="3" t="s">
        <v>126</v>
      </c>
      <c r="K566" s="3" t="s">
        <v>45</v>
      </c>
      <c r="L566" s="3" t="s">
        <v>5341</v>
      </c>
      <c r="M566" s="3" t="s">
        <v>45</v>
      </c>
      <c r="N566" s="3" t="s">
        <v>45</v>
      </c>
      <c r="O566" s="3" t="s">
        <v>88</v>
      </c>
      <c r="P566" s="3" t="s">
        <v>45</v>
      </c>
      <c r="Q566" s="3" t="s">
        <v>45</v>
      </c>
      <c r="R566" s="3" t="s">
        <v>45</v>
      </c>
      <c r="S566" s="4" t="s">
        <v>5342</v>
      </c>
      <c r="T566" s="3" t="s">
        <v>45</v>
      </c>
      <c r="U566" s="3" t="s">
        <v>221</v>
      </c>
      <c r="V566" s="3" t="s">
        <v>45</v>
      </c>
      <c r="W566" s="4" t="s">
        <v>3084</v>
      </c>
      <c r="X566" s="3" t="s">
        <v>45</v>
      </c>
      <c r="Y566" s="3" t="s">
        <v>45</v>
      </c>
      <c r="Z566" s="3" t="s">
        <v>55</v>
      </c>
      <c r="AA566" s="3" t="s">
        <v>45</v>
      </c>
      <c r="AB566" s="3" t="s">
        <v>109</v>
      </c>
      <c r="AC566" s="3" t="s">
        <v>45</v>
      </c>
      <c r="AD566" s="5" t="s">
        <v>5343</v>
      </c>
      <c r="AE566" s="5" t="s">
        <v>5344</v>
      </c>
      <c r="AF566" s="5" t="s">
        <v>5345</v>
      </c>
      <c r="AG566" s="3" t="s">
        <v>5346</v>
      </c>
      <c r="AH566" s="3" t="s">
        <v>57</v>
      </c>
      <c r="AI566" s="5" t="s">
        <v>5347</v>
      </c>
      <c r="AJ566" s="5" t="s">
        <v>5348</v>
      </c>
      <c r="AK566" s="3" t="s">
        <v>45</v>
      </c>
      <c r="AL566" s="3" t="s">
        <v>45</v>
      </c>
      <c r="AM566" s="3" t="s">
        <v>45</v>
      </c>
      <c r="AN566" s="3" t="s">
        <v>45</v>
      </c>
      <c r="AO566" s="3" t="s">
        <v>45</v>
      </c>
      <c r="AP566" s="3" t="s">
        <v>45</v>
      </c>
      <c r="AQ566" s="4" t="s">
        <v>2459</v>
      </c>
      <c r="AR566" s="4" t="s">
        <v>2459</v>
      </c>
    </row>
    <row r="567">
      <c r="A567" s="3" t="s">
        <v>5349</v>
      </c>
      <c r="B567" s="3" t="s">
        <v>5350</v>
      </c>
      <c r="C567" s="3" t="s">
        <v>5351</v>
      </c>
      <c r="D567" s="3" t="s">
        <v>5352</v>
      </c>
      <c r="E567" s="4" t="s">
        <v>5353</v>
      </c>
      <c r="F567" s="3" t="s">
        <v>5354</v>
      </c>
      <c r="G567" s="4" t="s">
        <v>5355</v>
      </c>
      <c r="H567" s="4" t="s">
        <v>5356</v>
      </c>
      <c r="I567" s="3" t="s">
        <v>49</v>
      </c>
      <c r="J567" s="3" t="s">
        <v>50</v>
      </c>
      <c r="K567" s="3" t="s">
        <v>45</v>
      </c>
      <c r="L567" s="3" t="s">
        <v>45</v>
      </c>
      <c r="M567" s="3" t="s">
        <v>45</v>
      </c>
      <c r="N567" s="3" t="s">
        <v>45</v>
      </c>
      <c r="O567" s="3" t="s">
        <v>74</v>
      </c>
      <c r="P567" s="3" t="s">
        <v>45</v>
      </c>
      <c r="Q567" s="3" t="s">
        <v>45</v>
      </c>
      <c r="R567" s="3" t="s">
        <v>45</v>
      </c>
      <c r="S567" s="3" t="s">
        <v>45</v>
      </c>
      <c r="T567" s="3" t="s">
        <v>45</v>
      </c>
      <c r="U567" s="3" t="s">
        <v>45</v>
      </c>
      <c r="V567" s="3" t="s">
        <v>45</v>
      </c>
      <c r="W567" s="3" t="s">
        <v>45</v>
      </c>
      <c r="X567" s="3" t="s">
        <v>45</v>
      </c>
      <c r="Y567" s="3" t="s">
        <v>45</v>
      </c>
      <c r="Z567" s="3" t="s">
        <v>74</v>
      </c>
      <c r="AA567" s="3" t="s">
        <v>45</v>
      </c>
      <c r="AB567" s="3" t="s">
        <v>45</v>
      </c>
      <c r="AC567" s="3" t="s">
        <v>45</v>
      </c>
      <c r="AD567" s="3" t="s">
        <v>45</v>
      </c>
      <c r="AE567" s="3" t="s">
        <v>45</v>
      </c>
      <c r="AF567" s="3" t="s">
        <v>45</v>
      </c>
      <c r="AG567" s="3" t="s">
        <v>45</v>
      </c>
      <c r="AH567" s="3" t="s">
        <v>57</v>
      </c>
      <c r="AI567" s="5" t="s">
        <v>5357</v>
      </c>
      <c r="AJ567" s="3" t="s">
        <v>45</v>
      </c>
      <c r="AK567" s="3" t="s">
        <v>45</v>
      </c>
      <c r="AL567" s="3" t="s">
        <v>45</v>
      </c>
      <c r="AM567" s="3" t="s">
        <v>45</v>
      </c>
      <c r="AN567" s="3" t="s">
        <v>45</v>
      </c>
      <c r="AO567" s="3" t="s">
        <v>45</v>
      </c>
      <c r="AP567" s="3" t="s">
        <v>45</v>
      </c>
      <c r="AQ567" s="4" t="s">
        <v>1188</v>
      </c>
      <c r="AR567" s="4" t="s">
        <v>1188</v>
      </c>
    </row>
    <row r="568">
      <c r="A568" s="3" t="s">
        <v>5358</v>
      </c>
      <c r="B568" s="3" t="s">
        <v>5359</v>
      </c>
      <c r="C568" s="3" t="s">
        <v>5360</v>
      </c>
      <c r="D568" s="3" t="s">
        <v>5352</v>
      </c>
      <c r="E568" s="4" t="s">
        <v>5361</v>
      </c>
      <c r="F568" s="3" t="s">
        <v>5362</v>
      </c>
      <c r="G568" s="4" t="s">
        <v>5363</v>
      </c>
      <c r="H568" s="4" t="s">
        <v>5364</v>
      </c>
      <c r="I568" s="3" t="s">
        <v>85</v>
      </c>
      <c r="J568" s="3" t="s">
        <v>126</v>
      </c>
      <c r="K568" s="3" t="s">
        <v>45</v>
      </c>
      <c r="L568" s="3" t="s">
        <v>45</v>
      </c>
      <c r="M568" s="3" t="s">
        <v>45</v>
      </c>
      <c r="N568" s="3" t="s">
        <v>5365</v>
      </c>
      <c r="O568" s="3" t="s">
        <v>70</v>
      </c>
      <c r="P568" s="3" t="s">
        <v>45</v>
      </c>
      <c r="Q568" s="3" t="s">
        <v>45</v>
      </c>
      <c r="R568" s="3" t="s">
        <v>45</v>
      </c>
      <c r="S568" s="3" t="s">
        <v>45</v>
      </c>
      <c r="T568" s="3" t="s">
        <v>45</v>
      </c>
      <c r="U568" s="3" t="s">
        <v>45</v>
      </c>
      <c r="V568" s="3" t="s">
        <v>45</v>
      </c>
      <c r="W568" s="3" t="s">
        <v>45</v>
      </c>
      <c r="X568" s="3" t="s">
        <v>3621</v>
      </c>
      <c r="Y568" s="3" t="s">
        <v>45</v>
      </c>
      <c r="Z568" s="3" t="s">
        <v>74</v>
      </c>
      <c r="AA568" s="3" t="s">
        <v>45</v>
      </c>
      <c r="AB568" s="3" t="s">
        <v>45</v>
      </c>
      <c r="AC568" s="3" t="s">
        <v>45</v>
      </c>
      <c r="AD568" s="3" t="s">
        <v>45</v>
      </c>
      <c r="AE568" s="3" t="s">
        <v>45</v>
      </c>
      <c r="AF568" s="3" t="s">
        <v>45</v>
      </c>
      <c r="AG568" s="3" t="s">
        <v>5366</v>
      </c>
      <c r="AH568" s="3" t="s">
        <v>57</v>
      </c>
      <c r="AI568" s="5" t="s">
        <v>5367</v>
      </c>
      <c r="AJ568" s="5" t="s">
        <v>5368</v>
      </c>
      <c r="AK568" s="5" t="s">
        <v>5369</v>
      </c>
      <c r="AL568" s="5" t="s">
        <v>5370</v>
      </c>
      <c r="AM568" s="5" t="s">
        <v>5371</v>
      </c>
      <c r="AN568" s="3" t="s">
        <v>45</v>
      </c>
      <c r="AO568" s="3" t="s">
        <v>45</v>
      </c>
      <c r="AP568" s="3" t="s">
        <v>45</v>
      </c>
      <c r="AQ568" s="4" t="s">
        <v>4152</v>
      </c>
      <c r="AR568" s="4" t="s">
        <v>237</v>
      </c>
    </row>
    <row r="569">
      <c r="A569" s="3" t="s">
        <v>5372</v>
      </c>
      <c r="B569" s="3" t="s">
        <v>5373</v>
      </c>
      <c r="C569" s="3" t="s">
        <v>5374</v>
      </c>
      <c r="D569" s="3" t="s">
        <v>5352</v>
      </c>
      <c r="E569" s="4" t="s">
        <v>5375</v>
      </c>
      <c r="F569" s="3" t="s">
        <v>45</v>
      </c>
      <c r="G569" s="4" t="s">
        <v>5376</v>
      </c>
      <c r="H569" s="4" t="s">
        <v>5377</v>
      </c>
      <c r="I569" s="3" t="s">
        <v>49</v>
      </c>
      <c r="J569" s="3" t="s">
        <v>99</v>
      </c>
      <c r="K569" s="3" t="s">
        <v>45</v>
      </c>
      <c r="L569" s="3" t="s">
        <v>45</v>
      </c>
      <c r="M569" s="3" t="s">
        <v>45</v>
      </c>
      <c r="N569" s="4" t="s">
        <v>1196</v>
      </c>
      <c r="O569" s="3" t="s">
        <v>70</v>
      </c>
      <c r="P569" s="3" t="s">
        <v>5378</v>
      </c>
      <c r="Q569" s="3" t="s">
        <v>45</v>
      </c>
      <c r="R569" s="3" t="s">
        <v>45</v>
      </c>
      <c r="S569" s="3" t="s">
        <v>45</v>
      </c>
      <c r="T569" s="3" t="s">
        <v>45</v>
      </c>
      <c r="U569" s="3" t="s">
        <v>45</v>
      </c>
      <c r="V569" s="3" t="s">
        <v>45</v>
      </c>
      <c r="W569" s="4" t="s">
        <v>5379</v>
      </c>
      <c r="X569" s="3" t="s">
        <v>305</v>
      </c>
      <c r="Y569" s="4" t="s">
        <v>317</v>
      </c>
      <c r="Z569" s="3" t="s">
        <v>45</v>
      </c>
      <c r="AA569" s="3" t="s">
        <v>45</v>
      </c>
      <c r="AB569" s="3" t="s">
        <v>45</v>
      </c>
      <c r="AC569" s="3" t="s">
        <v>45</v>
      </c>
      <c r="AD569" s="3" t="s">
        <v>45</v>
      </c>
      <c r="AE569" s="3" t="s">
        <v>45</v>
      </c>
      <c r="AF569" s="3" t="s">
        <v>45</v>
      </c>
      <c r="AG569" s="3" t="s">
        <v>45</v>
      </c>
      <c r="AH569" s="3" t="s">
        <v>57</v>
      </c>
      <c r="AI569" s="5" t="s">
        <v>5380</v>
      </c>
      <c r="AJ569" s="3" t="s">
        <v>45</v>
      </c>
      <c r="AK569" s="3" t="s">
        <v>45</v>
      </c>
      <c r="AL569" s="3" t="s">
        <v>45</v>
      </c>
      <c r="AM569" s="3" t="s">
        <v>45</v>
      </c>
      <c r="AN569" s="3" t="s">
        <v>45</v>
      </c>
      <c r="AO569" s="3" t="s">
        <v>45</v>
      </c>
      <c r="AP569" s="3" t="s">
        <v>45</v>
      </c>
      <c r="AQ569" s="4" t="s">
        <v>237</v>
      </c>
      <c r="AR569" s="4" t="s">
        <v>237</v>
      </c>
    </row>
    <row r="570">
      <c r="A570" s="3" t="s">
        <v>5381</v>
      </c>
      <c r="B570" s="3" t="s">
        <v>5382</v>
      </c>
      <c r="C570" s="3" t="s">
        <v>5383</v>
      </c>
      <c r="D570" s="3" t="s">
        <v>5352</v>
      </c>
      <c r="E570" s="4" t="s">
        <v>5384</v>
      </c>
      <c r="F570" s="3" t="s">
        <v>4304</v>
      </c>
      <c r="G570" s="4" t="s">
        <v>5385</v>
      </c>
      <c r="H570" s="4" t="s">
        <v>5386</v>
      </c>
      <c r="I570" s="3" t="s">
        <v>218</v>
      </c>
      <c r="J570" s="3" t="s">
        <v>126</v>
      </c>
      <c r="K570" s="3" t="s">
        <v>45</v>
      </c>
      <c r="L570" s="3" t="s">
        <v>45</v>
      </c>
      <c r="M570" s="3" t="s">
        <v>45</v>
      </c>
      <c r="N570" s="4" t="s">
        <v>3221</v>
      </c>
      <c r="O570" s="3" t="s">
        <v>88</v>
      </c>
      <c r="P570" s="3" t="s">
        <v>45</v>
      </c>
      <c r="Q570" s="3" t="s">
        <v>45</v>
      </c>
      <c r="R570" s="3" t="s">
        <v>45</v>
      </c>
      <c r="S570" s="3" t="s">
        <v>45</v>
      </c>
      <c r="T570" s="3" t="s">
        <v>45</v>
      </c>
      <c r="U570" s="3" t="s">
        <v>45</v>
      </c>
      <c r="V570" s="3" t="s">
        <v>45</v>
      </c>
      <c r="W570" s="4" t="s">
        <v>668</v>
      </c>
      <c r="X570" s="3" t="s">
        <v>5016</v>
      </c>
      <c r="Y570" s="3" t="s">
        <v>45</v>
      </c>
      <c r="Z570" s="3" t="s">
        <v>74</v>
      </c>
      <c r="AA570" s="3" t="s">
        <v>45</v>
      </c>
      <c r="AB570" s="3" t="s">
        <v>45</v>
      </c>
      <c r="AC570" s="3" t="s">
        <v>45</v>
      </c>
      <c r="AD570" s="3" t="s">
        <v>45</v>
      </c>
      <c r="AE570" s="3" t="s">
        <v>45</v>
      </c>
      <c r="AF570" s="3" t="s">
        <v>45</v>
      </c>
      <c r="AG570" s="3" t="s">
        <v>5387</v>
      </c>
      <c r="AH570" s="3" t="s">
        <v>57</v>
      </c>
      <c r="AI570" s="5" t="s">
        <v>5368</v>
      </c>
      <c r="AJ570" s="5" t="s">
        <v>5388</v>
      </c>
      <c r="AK570" s="5" t="s">
        <v>5389</v>
      </c>
      <c r="AL570" s="5" t="s">
        <v>5390</v>
      </c>
      <c r="AM570" s="3" t="s">
        <v>45</v>
      </c>
      <c r="AN570" s="3" t="s">
        <v>45</v>
      </c>
      <c r="AO570" s="3" t="s">
        <v>45</v>
      </c>
      <c r="AP570" s="3" t="s">
        <v>45</v>
      </c>
      <c r="AQ570" s="4" t="s">
        <v>147</v>
      </c>
      <c r="AR570" s="4" t="s">
        <v>5058</v>
      </c>
    </row>
    <row r="571">
      <c r="A571" s="3" t="s">
        <v>5391</v>
      </c>
      <c r="B571" s="3" t="s">
        <v>5392</v>
      </c>
      <c r="C571" s="3" t="s">
        <v>5393</v>
      </c>
      <c r="D571" s="3" t="s">
        <v>5352</v>
      </c>
      <c r="E571" s="4" t="s">
        <v>5394</v>
      </c>
      <c r="F571" s="3" t="s">
        <v>5395</v>
      </c>
      <c r="G571" s="4" t="s">
        <v>5396</v>
      </c>
      <c r="H571" s="4" t="s">
        <v>5397</v>
      </c>
      <c r="I571" s="3" t="s">
        <v>85</v>
      </c>
      <c r="J571" s="3" t="s">
        <v>126</v>
      </c>
      <c r="K571" s="3" t="s">
        <v>45</v>
      </c>
      <c r="L571" s="3" t="s">
        <v>45</v>
      </c>
      <c r="M571" s="3" t="s">
        <v>45</v>
      </c>
      <c r="N571" s="4" t="s">
        <v>90</v>
      </c>
      <c r="O571" s="3" t="s">
        <v>88</v>
      </c>
      <c r="P571" s="3" t="s">
        <v>45</v>
      </c>
      <c r="Q571" s="3" t="s">
        <v>45</v>
      </c>
      <c r="R571" s="3" t="s">
        <v>45</v>
      </c>
      <c r="S571" s="3" t="s">
        <v>45</v>
      </c>
      <c r="T571" s="3" t="s">
        <v>45</v>
      </c>
      <c r="U571" s="3" t="s">
        <v>45</v>
      </c>
      <c r="V571" s="3" t="s">
        <v>45</v>
      </c>
      <c r="W571" s="3" t="s">
        <v>45</v>
      </c>
      <c r="X571" s="3" t="s">
        <v>45</v>
      </c>
      <c r="Y571" s="3" t="s">
        <v>45</v>
      </c>
      <c r="Z571" s="3" t="s">
        <v>74</v>
      </c>
      <c r="AA571" s="3" t="s">
        <v>45</v>
      </c>
      <c r="AB571" s="3" t="s">
        <v>45</v>
      </c>
      <c r="AC571" s="3" t="s">
        <v>45</v>
      </c>
      <c r="AD571" s="3" t="s">
        <v>45</v>
      </c>
      <c r="AE571" s="3" t="s">
        <v>45</v>
      </c>
      <c r="AF571" s="3" t="s">
        <v>45</v>
      </c>
      <c r="AG571" s="3" t="s">
        <v>45</v>
      </c>
      <c r="AH571" s="3" t="s">
        <v>57</v>
      </c>
      <c r="AI571" s="5" t="s">
        <v>5367</v>
      </c>
      <c r="AJ571" s="3" t="s">
        <v>45</v>
      </c>
      <c r="AK571" s="3" t="s">
        <v>45</v>
      </c>
      <c r="AL571" s="3" t="s">
        <v>45</v>
      </c>
      <c r="AM571" s="3" t="s">
        <v>45</v>
      </c>
      <c r="AN571" s="3" t="s">
        <v>45</v>
      </c>
      <c r="AO571" s="3" t="s">
        <v>45</v>
      </c>
      <c r="AP571" s="3" t="s">
        <v>45</v>
      </c>
      <c r="AQ571" s="4" t="s">
        <v>2402</v>
      </c>
      <c r="AR571" s="4" t="s">
        <v>5398</v>
      </c>
    </row>
    <row r="572">
      <c r="A572" s="3" t="s">
        <v>5399</v>
      </c>
      <c r="B572" s="3" t="s">
        <v>5400</v>
      </c>
      <c r="C572" s="3" t="s">
        <v>5401</v>
      </c>
      <c r="D572" s="3" t="s">
        <v>5352</v>
      </c>
      <c r="E572" s="4" t="s">
        <v>5402</v>
      </c>
      <c r="F572" s="3" t="s">
        <v>5403</v>
      </c>
      <c r="G572" s="4" t="s">
        <v>5404</v>
      </c>
      <c r="H572" s="4" t="s">
        <v>5405</v>
      </c>
      <c r="I572" s="3" t="s">
        <v>85</v>
      </c>
      <c r="J572" s="3" t="s">
        <v>126</v>
      </c>
      <c r="K572" s="3" t="s">
        <v>246</v>
      </c>
      <c r="L572" s="3" t="s">
        <v>45</v>
      </c>
      <c r="M572" s="3" t="s">
        <v>45</v>
      </c>
      <c r="N572" s="3" t="s">
        <v>5406</v>
      </c>
      <c r="O572" s="3" t="s">
        <v>88</v>
      </c>
      <c r="P572" s="3" t="s">
        <v>45</v>
      </c>
      <c r="Q572" s="3" t="s">
        <v>45</v>
      </c>
      <c r="R572" s="3" t="s">
        <v>45</v>
      </c>
      <c r="S572" s="3" t="s">
        <v>45</v>
      </c>
      <c r="T572" s="3" t="s">
        <v>45</v>
      </c>
      <c r="U572" s="3" t="s">
        <v>45</v>
      </c>
      <c r="V572" s="3" t="s">
        <v>45</v>
      </c>
      <c r="W572" s="3" t="s">
        <v>45</v>
      </c>
      <c r="X572" s="3" t="s">
        <v>5407</v>
      </c>
      <c r="Y572" s="3" t="s">
        <v>45</v>
      </c>
      <c r="Z572" s="3" t="s">
        <v>55</v>
      </c>
      <c r="AA572" s="3" t="s">
        <v>45</v>
      </c>
      <c r="AB572" s="3" t="s">
        <v>45</v>
      </c>
      <c r="AC572" s="3" t="s">
        <v>45</v>
      </c>
      <c r="AD572" s="3" t="s">
        <v>45</v>
      </c>
      <c r="AE572" s="3" t="s">
        <v>45</v>
      </c>
      <c r="AF572" s="3" t="s">
        <v>45</v>
      </c>
      <c r="AG572" s="3" t="s">
        <v>5408</v>
      </c>
      <c r="AH572" s="3" t="s">
        <v>57</v>
      </c>
      <c r="AI572" s="5" t="s">
        <v>5409</v>
      </c>
      <c r="AJ572" s="5" t="s">
        <v>5410</v>
      </c>
      <c r="AK572" s="5" t="s">
        <v>5411</v>
      </c>
      <c r="AL572" s="5" t="s">
        <v>5412</v>
      </c>
      <c r="AM572" s="3" t="s">
        <v>45</v>
      </c>
      <c r="AN572" s="3" t="s">
        <v>45</v>
      </c>
      <c r="AO572" s="3" t="s">
        <v>45</v>
      </c>
      <c r="AP572" s="3" t="s">
        <v>45</v>
      </c>
      <c r="AQ572" s="4" t="s">
        <v>5398</v>
      </c>
      <c r="AR572" s="4" t="s">
        <v>5413</v>
      </c>
    </row>
    <row r="573">
      <c r="A573" s="3" t="s">
        <v>5414</v>
      </c>
      <c r="B573" s="3" t="s">
        <v>5415</v>
      </c>
      <c r="C573" s="3" t="s">
        <v>5401</v>
      </c>
      <c r="D573" s="3" t="s">
        <v>5352</v>
      </c>
      <c r="E573" s="4" t="s">
        <v>5402</v>
      </c>
      <c r="F573" s="3" t="s">
        <v>5403</v>
      </c>
      <c r="G573" s="4" t="s">
        <v>5416</v>
      </c>
      <c r="H573" s="4" t="s">
        <v>5417</v>
      </c>
      <c r="I573" s="3" t="s">
        <v>85</v>
      </c>
      <c r="J573" s="3" t="s">
        <v>126</v>
      </c>
      <c r="K573" s="3" t="s">
        <v>45</v>
      </c>
      <c r="L573" s="3" t="s">
        <v>5418</v>
      </c>
      <c r="M573" s="3" t="s">
        <v>45</v>
      </c>
      <c r="N573" s="4" t="s">
        <v>5419</v>
      </c>
      <c r="O573" s="3" t="s">
        <v>88</v>
      </c>
      <c r="P573" s="3" t="s">
        <v>45</v>
      </c>
      <c r="Q573" s="3" t="s">
        <v>45</v>
      </c>
      <c r="R573" s="3" t="s">
        <v>45</v>
      </c>
      <c r="S573" s="4" t="s">
        <v>1872</v>
      </c>
      <c r="T573" s="3" t="s">
        <v>45</v>
      </c>
      <c r="U573" s="3" t="s">
        <v>221</v>
      </c>
      <c r="V573" s="4" t="s">
        <v>5420</v>
      </c>
      <c r="W573" s="4" t="s">
        <v>156</v>
      </c>
      <c r="X573" s="3" t="s">
        <v>1977</v>
      </c>
      <c r="Y573" s="3" t="s">
        <v>45</v>
      </c>
      <c r="Z573" s="3" t="s">
        <v>74</v>
      </c>
      <c r="AA573" s="3" t="s">
        <v>45</v>
      </c>
      <c r="AB573" s="3" t="s">
        <v>45</v>
      </c>
      <c r="AC573" s="3" t="s">
        <v>45</v>
      </c>
      <c r="AD573" s="3" t="s">
        <v>45</v>
      </c>
      <c r="AE573" s="3" t="s">
        <v>45</v>
      </c>
      <c r="AF573" s="3" t="s">
        <v>45</v>
      </c>
      <c r="AG573" s="3" t="s">
        <v>5421</v>
      </c>
      <c r="AH573" s="3" t="s">
        <v>57</v>
      </c>
      <c r="AI573" s="5" t="s">
        <v>5422</v>
      </c>
      <c r="AJ573" s="3" t="s">
        <v>45</v>
      </c>
      <c r="AK573" s="3" t="s">
        <v>45</v>
      </c>
      <c r="AL573" s="3" t="s">
        <v>45</v>
      </c>
      <c r="AM573" s="3" t="s">
        <v>45</v>
      </c>
      <c r="AN573" s="3" t="s">
        <v>45</v>
      </c>
      <c r="AO573" s="3" t="s">
        <v>45</v>
      </c>
      <c r="AP573" s="3" t="s">
        <v>45</v>
      </c>
      <c r="AQ573" s="4" t="s">
        <v>5398</v>
      </c>
      <c r="AR573" s="4" t="s">
        <v>5398</v>
      </c>
    </row>
    <row r="574">
      <c r="A574" s="3" t="s">
        <v>5423</v>
      </c>
      <c r="B574" s="3" t="s">
        <v>5424</v>
      </c>
      <c r="C574" s="3" t="s">
        <v>5425</v>
      </c>
      <c r="D574" s="3" t="s">
        <v>5426</v>
      </c>
      <c r="E574" s="4" t="s">
        <v>5427</v>
      </c>
      <c r="F574" s="3" t="s">
        <v>5428</v>
      </c>
      <c r="G574" s="4" t="s">
        <v>5429</v>
      </c>
      <c r="H574" s="4" t="s">
        <v>5430</v>
      </c>
      <c r="I574" s="3" t="s">
        <v>85</v>
      </c>
      <c r="J574" s="3" t="s">
        <v>126</v>
      </c>
      <c r="K574" s="3" t="s">
        <v>45</v>
      </c>
      <c r="L574" s="3" t="s">
        <v>45</v>
      </c>
      <c r="M574" s="3" t="s">
        <v>45</v>
      </c>
      <c r="N574" s="3" t="s">
        <v>45</v>
      </c>
      <c r="O574" s="3" t="s">
        <v>74</v>
      </c>
      <c r="P574" s="3" t="s">
        <v>45</v>
      </c>
      <c r="Q574" s="3" t="s">
        <v>45</v>
      </c>
      <c r="R574" s="3" t="s">
        <v>45</v>
      </c>
      <c r="S574" s="3" t="s">
        <v>45</v>
      </c>
      <c r="T574" s="3" t="s">
        <v>45</v>
      </c>
      <c r="U574" s="3" t="s">
        <v>45</v>
      </c>
      <c r="V574" s="3" t="s">
        <v>45</v>
      </c>
      <c r="W574" s="3" t="s">
        <v>45</v>
      </c>
      <c r="X574" s="3" t="s">
        <v>45</v>
      </c>
      <c r="Y574" s="3" t="s">
        <v>45</v>
      </c>
      <c r="Z574" s="3" t="s">
        <v>74</v>
      </c>
      <c r="AA574" s="3" t="s">
        <v>45</v>
      </c>
      <c r="AB574" s="3" t="s">
        <v>45</v>
      </c>
      <c r="AC574" s="3" t="s">
        <v>45</v>
      </c>
      <c r="AD574" s="3" t="s">
        <v>45</v>
      </c>
      <c r="AE574" s="3" t="s">
        <v>45</v>
      </c>
      <c r="AF574" s="3" t="s">
        <v>45</v>
      </c>
      <c r="AG574" s="3" t="s">
        <v>45</v>
      </c>
      <c r="AH574" s="3" t="s">
        <v>57</v>
      </c>
      <c r="AI574" s="3" t="s">
        <v>45</v>
      </c>
      <c r="AJ574" s="3" t="s">
        <v>45</v>
      </c>
      <c r="AK574" s="3" t="s">
        <v>45</v>
      </c>
      <c r="AL574" s="3" t="s">
        <v>45</v>
      </c>
      <c r="AM574" s="3" t="s">
        <v>45</v>
      </c>
      <c r="AN574" s="3" t="s">
        <v>45</v>
      </c>
      <c r="AO574" s="3" t="s">
        <v>45</v>
      </c>
      <c r="AP574" s="3" t="s">
        <v>45</v>
      </c>
      <c r="AQ574" s="4" t="s">
        <v>465</v>
      </c>
      <c r="AR574" s="4" t="s">
        <v>465</v>
      </c>
    </row>
    <row r="575">
      <c r="A575" s="3" t="s">
        <v>5431</v>
      </c>
      <c r="B575" s="3" t="s">
        <v>5432</v>
      </c>
      <c r="C575" s="3" t="s">
        <v>5433</v>
      </c>
      <c r="D575" s="3" t="s">
        <v>5426</v>
      </c>
      <c r="E575" s="4" t="s">
        <v>5434</v>
      </c>
      <c r="F575" s="3" t="s">
        <v>5435</v>
      </c>
      <c r="G575" s="4" t="s">
        <v>5436</v>
      </c>
      <c r="H575" s="4" t="s">
        <v>5437</v>
      </c>
      <c r="I575" s="3" t="s">
        <v>49</v>
      </c>
      <c r="J575" s="3" t="s">
        <v>126</v>
      </c>
      <c r="K575" s="3" t="s">
        <v>45</v>
      </c>
      <c r="L575" s="3" t="s">
        <v>5438</v>
      </c>
      <c r="M575" s="3" t="s">
        <v>45</v>
      </c>
      <c r="N575" s="3" t="s">
        <v>45</v>
      </c>
      <c r="O575" s="3" t="s">
        <v>74</v>
      </c>
      <c r="P575" s="3" t="s">
        <v>5439</v>
      </c>
      <c r="Q575" s="3" t="s">
        <v>45</v>
      </c>
      <c r="R575" s="3" t="s">
        <v>45</v>
      </c>
      <c r="S575" s="3" t="s">
        <v>45</v>
      </c>
      <c r="T575" s="3" t="s">
        <v>45</v>
      </c>
      <c r="U575" s="3" t="s">
        <v>45</v>
      </c>
      <c r="V575" s="3" t="s">
        <v>45</v>
      </c>
      <c r="W575" s="4" t="s">
        <v>52</v>
      </c>
      <c r="X575" s="3" t="s">
        <v>45</v>
      </c>
      <c r="Y575" s="3" t="s">
        <v>45</v>
      </c>
      <c r="Z575" s="3" t="s">
        <v>45</v>
      </c>
      <c r="AA575" s="3" t="s">
        <v>45</v>
      </c>
      <c r="AB575" s="3" t="s">
        <v>45</v>
      </c>
      <c r="AC575" s="3" t="s">
        <v>45</v>
      </c>
      <c r="AD575" s="3" t="s">
        <v>45</v>
      </c>
      <c r="AE575" s="3" t="s">
        <v>45</v>
      </c>
      <c r="AF575" s="3" t="s">
        <v>45</v>
      </c>
      <c r="AG575" s="3" t="s">
        <v>45</v>
      </c>
      <c r="AH575" s="3" t="s">
        <v>57</v>
      </c>
      <c r="AI575" s="5" t="s">
        <v>5440</v>
      </c>
      <c r="AJ575" s="3" t="s">
        <v>45</v>
      </c>
      <c r="AK575" s="3" t="s">
        <v>45</v>
      </c>
      <c r="AL575" s="3" t="s">
        <v>45</v>
      </c>
      <c r="AM575" s="3" t="s">
        <v>45</v>
      </c>
      <c r="AN575" s="3" t="s">
        <v>45</v>
      </c>
      <c r="AO575" s="3" t="s">
        <v>45</v>
      </c>
      <c r="AP575" s="3" t="s">
        <v>45</v>
      </c>
      <c r="AQ575" s="4" t="s">
        <v>1016</v>
      </c>
      <c r="AR575" s="4" t="s">
        <v>1016</v>
      </c>
    </row>
    <row r="576">
      <c r="A576" s="3" t="s">
        <v>5441</v>
      </c>
      <c r="B576" s="3" t="s">
        <v>5442</v>
      </c>
      <c r="C576" s="3" t="s">
        <v>5443</v>
      </c>
      <c r="D576" s="3" t="s">
        <v>5426</v>
      </c>
      <c r="E576" s="4" t="s">
        <v>5444</v>
      </c>
      <c r="F576" s="3" t="s">
        <v>5445</v>
      </c>
      <c r="G576" s="4" t="s">
        <v>5446</v>
      </c>
      <c r="H576" s="4" t="s">
        <v>5447</v>
      </c>
      <c r="I576" s="3" t="s">
        <v>49</v>
      </c>
      <c r="J576" s="3" t="s">
        <v>50</v>
      </c>
      <c r="K576" s="3" t="s">
        <v>45</v>
      </c>
      <c r="L576" s="3" t="s">
        <v>45</v>
      </c>
      <c r="M576" s="3" t="s">
        <v>45</v>
      </c>
      <c r="N576" s="3" t="s">
        <v>45</v>
      </c>
      <c r="O576" s="3" t="s">
        <v>74</v>
      </c>
      <c r="P576" s="3" t="s">
        <v>45</v>
      </c>
      <c r="Q576" s="3" t="s">
        <v>45</v>
      </c>
      <c r="R576" s="3" t="s">
        <v>45</v>
      </c>
      <c r="S576" s="3" t="s">
        <v>45</v>
      </c>
      <c r="T576" s="3" t="s">
        <v>45</v>
      </c>
      <c r="U576" s="3" t="s">
        <v>45</v>
      </c>
      <c r="V576" s="3" t="s">
        <v>45</v>
      </c>
      <c r="W576" s="4" t="s">
        <v>789</v>
      </c>
      <c r="X576" s="3" t="s">
        <v>45</v>
      </c>
      <c r="Y576" s="4" t="s">
        <v>317</v>
      </c>
      <c r="Z576" s="3" t="s">
        <v>74</v>
      </c>
      <c r="AA576" s="3" t="s">
        <v>45</v>
      </c>
      <c r="AB576" s="3" t="s">
        <v>45</v>
      </c>
      <c r="AC576" s="3" t="s">
        <v>45</v>
      </c>
      <c r="AD576" s="3" t="s">
        <v>45</v>
      </c>
      <c r="AE576" s="3" t="s">
        <v>45</v>
      </c>
      <c r="AF576" s="3" t="s">
        <v>45</v>
      </c>
      <c r="AG576" s="3" t="s">
        <v>45</v>
      </c>
      <c r="AH576" s="3" t="s">
        <v>57</v>
      </c>
      <c r="AI576" s="5" t="s">
        <v>5448</v>
      </c>
      <c r="AJ576" s="5" t="s">
        <v>5449</v>
      </c>
      <c r="AK576" s="3" t="s">
        <v>45</v>
      </c>
      <c r="AL576" s="3" t="s">
        <v>45</v>
      </c>
      <c r="AM576" s="3" t="s">
        <v>45</v>
      </c>
      <c r="AN576" s="3" t="s">
        <v>45</v>
      </c>
      <c r="AO576" s="3" t="s">
        <v>45</v>
      </c>
      <c r="AP576" s="3" t="s">
        <v>45</v>
      </c>
      <c r="AQ576" s="4" t="s">
        <v>1113</v>
      </c>
      <c r="AR576" s="4" t="s">
        <v>1113</v>
      </c>
    </row>
    <row r="577">
      <c r="A577" s="3" t="s">
        <v>381</v>
      </c>
      <c r="B577" s="3" t="s">
        <v>5450</v>
      </c>
      <c r="C577" s="3" t="s">
        <v>5451</v>
      </c>
      <c r="D577" s="3" t="s">
        <v>5426</v>
      </c>
      <c r="E577" s="4" t="s">
        <v>5452</v>
      </c>
      <c r="F577" s="3" t="s">
        <v>5428</v>
      </c>
      <c r="G577" s="4" t="s">
        <v>5453</v>
      </c>
      <c r="H577" s="4" t="s">
        <v>5454</v>
      </c>
      <c r="I577" s="3" t="s">
        <v>85</v>
      </c>
      <c r="J577" s="3" t="s">
        <v>126</v>
      </c>
      <c r="K577" s="3" t="s">
        <v>45</v>
      </c>
      <c r="L577" s="3" t="s">
        <v>45</v>
      </c>
      <c r="M577" s="3" t="s">
        <v>45</v>
      </c>
      <c r="N577" s="4" t="s">
        <v>2754</v>
      </c>
      <c r="O577" s="3" t="s">
        <v>390</v>
      </c>
      <c r="P577" s="3" t="s">
        <v>45</v>
      </c>
      <c r="Q577" s="3" t="s">
        <v>45</v>
      </c>
      <c r="R577" s="3" t="s">
        <v>45</v>
      </c>
      <c r="S577" s="3" t="s">
        <v>45</v>
      </c>
      <c r="T577" s="3" t="s">
        <v>45</v>
      </c>
      <c r="U577" s="3" t="s">
        <v>45</v>
      </c>
      <c r="V577" s="4" t="s">
        <v>5455</v>
      </c>
      <c r="W577" s="4" t="s">
        <v>389</v>
      </c>
      <c r="X577" s="3" t="s">
        <v>45</v>
      </c>
      <c r="Y577" s="3" t="s">
        <v>45</v>
      </c>
      <c r="Z577" s="3" t="s">
        <v>74</v>
      </c>
      <c r="AA577" s="3" t="s">
        <v>45</v>
      </c>
      <c r="AB577" s="3" t="s">
        <v>45</v>
      </c>
      <c r="AC577" s="3" t="s">
        <v>45</v>
      </c>
      <c r="AD577" s="3" t="s">
        <v>45</v>
      </c>
      <c r="AE577" s="3" t="s">
        <v>45</v>
      </c>
      <c r="AF577" s="3" t="s">
        <v>45</v>
      </c>
      <c r="AG577" s="3" t="s">
        <v>45</v>
      </c>
      <c r="AH577" s="3" t="s">
        <v>57</v>
      </c>
      <c r="AI577" s="5" t="s">
        <v>5456</v>
      </c>
      <c r="AJ577" s="3" t="s">
        <v>45</v>
      </c>
      <c r="AK577" s="3" t="s">
        <v>45</v>
      </c>
      <c r="AL577" s="3" t="s">
        <v>45</v>
      </c>
      <c r="AM577" s="3" t="s">
        <v>45</v>
      </c>
      <c r="AN577" s="3" t="s">
        <v>45</v>
      </c>
      <c r="AO577" s="3" t="s">
        <v>45</v>
      </c>
      <c r="AP577" s="3" t="s">
        <v>45</v>
      </c>
      <c r="AQ577" s="4" t="s">
        <v>5457</v>
      </c>
      <c r="AR577" s="4" t="s">
        <v>5457</v>
      </c>
    </row>
    <row r="578">
      <c r="A578" s="3" t="s">
        <v>5458</v>
      </c>
      <c r="B578" s="3" t="s">
        <v>5459</v>
      </c>
      <c r="C578" s="3" t="s">
        <v>4199</v>
      </c>
      <c r="D578" s="3" t="s">
        <v>5426</v>
      </c>
      <c r="E578" s="4" t="s">
        <v>5460</v>
      </c>
      <c r="F578" s="3" t="s">
        <v>5435</v>
      </c>
      <c r="G578" s="4" t="s">
        <v>5461</v>
      </c>
      <c r="H578" s="4" t="s">
        <v>5462</v>
      </c>
      <c r="I578" s="3" t="s">
        <v>218</v>
      </c>
      <c r="J578" s="3" t="s">
        <v>50</v>
      </c>
      <c r="K578" s="3" t="s">
        <v>45</v>
      </c>
      <c r="L578" s="3" t="s">
        <v>176</v>
      </c>
      <c r="M578" s="3" t="s">
        <v>45</v>
      </c>
      <c r="N578" s="3" t="s">
        <v>45</v>
      </c>
      <c r="O578" s="3" t="s">
        <v>74</v>
      </c>
      <c r="P578" s="3" t="s">
        <v>45</v>
      </c>
      <c r="Q578" s="3" t="s">
        <v>45</v>
      </c>
      <c r="R578" s="3" t="s">
        <v>45</v>
      </c>
      <c r="S578" s="3" t="s">
        <v>45</v>
      </c>
      <c r="T578" s="3" t="s">
        <v>45</v>
      </c>
      <c r="U578" s="3" t="s">
        <v>45</v>
      </c>
      <c r="V578" s="4" t="s">
        <v>420</v>
      </c>
      <c r="W578" s="4" t="s">
        <v>2222</v>
      </c>
      <c r="X578" s="3" t="s">
        <v>45</v>
      </c>
      <c r="Y578" s="3" t="s">
        <v>45</v>
      </c>
      <c r="Z578" s="3" t="s">
        <v>74</v>
      </c>
      <c r="AA578" s="3" t="s">
        <v>45</v>
      </c>
      <c r="AB578" s="3" t="s">
        <v>45</v>
      </c>
      <c r="AC578" s="3" t="s">
        <v>45</v>
      </c>
      <c r="AD578" s="3" t="s">
        <v>45</v>
      </c>
      <c r="AE578" s="3" t="s">
        <v>45</v>
      </c>
      <c r="AF578" s="3" t="s">
        <v>45</v>
      </c>
      <c r="AG578" s="3" t="s">
        <v>45</v>
      </c>
      <c r="AH578" s="3" t="s">
        <v>57</v>
      </c>
      <c r="AI578" s="5" t="s">
        <v>5463</v>
      </c>
      <c r="AJ578" s="5" t="s">
        <v>362</v>
      </c>
      <c r="AK578" s="3" t="s">
        <v>45</v>
      </c>
      <c r="AL578" s="3" t="s">
        <v>45</v>
      </c>
      <c r="AM578" s="3" t="s">
        <v>45</v>
      </c>
      <c r="AN578" s="3" t="s">
        <v>45</v>
      </c>
      <c r="AO578" s="3" t="s">
        <v>45</v>
      </c>
      <c r="AP578" s="3" t="s">
        <v>45</v>
      </c>
      <c r="AQ578" s="4" t="s">
        <v>465</v>
      </c>
      <c r="AR578" s="4" t="s">
        <v>465</v>
      </c>
    </row>
    <row r="579">
      <c r="A579" s="3" t="s">
        <v>5464</v>
      </c>
      <c r="B579" s="3" t="s">
        <v>5465</v>
      </c>
      <c r="C579" s="3" t="s">
        <v>4199</v>
      </c>
      <c r="D579" s="3" t="s">
        <v>5426</v>
      </c>
      <c r="E579" s="4" t="s">
        <v>5466</v>
      </c>
      <c r="F579" s="3" t="s">
        <v>5435</v>
      </c>
      <c r="G579" s="4" t="s">
        <v>5467</v>
      </c>
      <c r="H579" s="4" t="s">
        <v>5468</v>
      </c>
      <c r="I579" s="3" t="s">
        <v>85</v>
      </c>
      <c r="J579" s="3" t="s">
        <v>126</v>
      </c>
      <c r="K579" s="3" t="s">
        <v>45</v>
      </c>
      <c r="L579" s="3" t="s">
        <v>45</v>
      </c>
      <c r="M579" s="3" t="s">
        <v>45</v>
      </c>
      <c r="N579" s="3" t="s">
        <v>45</v>
      </c>
      <c r="O579" s="3" t="s">
        <v>74</v>
      </c>
      <c r="P579" s="3" t="s">
        <v>45</v>
      </c>
      <c r="Q579" s="3" t="s">
        <v>45</v>
      </c>
      <c r="R579" s="3" t="s">
        <v>45</v>
      </c>
      <c r="S579" s="3" t="s">
        <v>45</v>
      </c>
      <c r="T579" s="3" t="s">
        <v>45</v>
      </c>
      <c r="U579" s="3" t="s">
        <v>45</v>
      </c>
      <c r="V579" s="3" t="s">
        <v>45</v>
      </c>
      <c r="W579" s="3" t="s">
        <v>45</v>
      </c>
      <c r="X579" s="3" t="s">
        <v>45</v>
      </c>
      <c r="Y579" s="3" t="s">
        <v>45</v>
      </c>
      <c r="Z579" s="3" t="s">
        <v>74</v>
      </c>
      <c r="AA579" s="3" t="s">
        <v>45</v>
      </c>
      <c r="AB579" s="3" t="s">
        <v>45</v>
      </c>
      <c r="AC579" s="3" t="s">
        <v>45</v>
      </c>
      <c r="AD579" s="3" t="s">
        <v>45</v>
      </c>
      <c r="AE579" s="3" t="s">
        <v>45</v>
      </c>
      <c r="AF579" s="3" t="s">
        <v>45</v>
      </c>
      <c r="AG579" s="3" t="s">
        <v>45</v>
      </c>
      <c r="AH579" s="3" t="s">
        <v>57</v>
      </c>
      <c r="AI579" s="3" t="s">
        <v>45</v>
      </c>
      <c r="AJ579" s="3" t="s">
        <v>45</v>
      </c>
      <c r="AK579" s="3" t="s">
        <v>45</v>
      </c>
      <c r="AL579" s="3" t="s">
        <v>45</v>
      </c>
      <c r="AM579" s="3" t="s">
        <v>45</v>
      </c>
      <c r="AN579" s="3" t="s">
        <v>45</v>
      </c>
      <c r="AO579" s="3" t="s">
        <v>45</v>
      </c>
      <c r="AP579" s="3" t="s">
        <v>45</v>
      </c>
      <c r="AQ579" s="4" t="s">
        <v>465</v>
      </c>
      <c r="AR579" s="4" t="s">
        <v>465</v>
      </c>
    </row>
    <row r="580">
      <c r="A580" s="3" t="s">
        <v>5469</v>
      </c>
      <c r="B580" s="3" t="s">
        <v>5470</v>
      </c>
      <c r="C580" s="3" t="s">
        <v>5471</v>
      </c>
      <c r="D580" s="3" t="s">
        <v>5426</v>
      </c>
      <c r="E580" s="4" t="s">
        <v>5472</v>
      </c>
      <c r="F580" s="3" t="s">
        <v>1948</v>
      </c>
      <c r="G580" s="4" t="s">
        <v>5473</v>
      </c>
      <c r="H580" s="4" t="s">
        <v>5474</v>
      </c>
      <c r="I580" s="3" t="s">
        <v>85</v>
      </c>
      <c r="J580" s="3" t="s">
        <v>126</v>
      </c>
      <c r="K580" s="3" t="s">
        <v>45</v>
      </c>
      <c r="L580" s="3" t="s">
        <v>45</v>
      </c>
      <c r="M580" s="3" t="s">
        <v>45</v>
      </c>
      <c r="N580" s="3" t="s">
        <v>5475</v>
      </c>
      <c r="O580" s="3" t="s">
        <v>88</v>
      </c>
      <c r="P580" s="3" t="s">
        <v>220</v>
      </c>
      <c r="Q580" s="3" t="s">
        <v>45</v>
      </c>
      <c r="R580" s="3" t="s">
        <v>45</v>
      </c>
      <c r="S580" s="3" t="s">
        <v>45</v>
      </c>
      <c r="T580" s="3" t="s">
        <v>45</v>
      </c>
      <c r="U580" s="3" t="s">
        <v>45</v>
      </c>
      <c r="V580" s="3" t="s">
        <v>45</v>
      </c>
      <c r="W580" s="3" t="s">
        <v>45</v>
      </c>
      <c r="X580" s="3" t="s">
        <v>45</v>
      </c>
      <c r="Y580" s="3" t="s">
        <v>45</v>
      </c>
      <c r="Z580" s="3" t="s">
        <v>74</v>
      </c>
      <c r="AA580" s="3" t="s">
        <v>45</v>
      </c>
      <c r="AB580" s="3" t="s">
        <v>45</v>
      </c>
      <c r="AC580" s="3" t="s">
        <v>45</v>
      </c>
      <c r="AD580" s="3" t="s">
        <v>45</v>
      </c>
      <c r="AE580" s="3" t="s">
        <v>45</v>
      </c>
      <c r="AF580" s="3" t="s">
        <v>45</v>
      </c>
      <c r="AG580" s="3" t="s">
        <v>45</v>
      </c>
      <c r="AH580" s="3" t="s">
        <v>57</v>
      </c>
      <c r="AI580" s="5" t="s">
        <v>5476</v>
      </c>
      <c r="AJ580" s="3" t="s">
        <v>45</v>
      </c>
      <c r="AK580" s="3" t="s">
        <v>45</v>
      </c>
      <c r="AL580" s="3" t="s">
        <v>45</v>
      </c>
      <c r="AM580" s="3" t="s">
        <v>45</v>
      </c>
      <c r="AN580" s="3" t="s">
        <v>45</v>
      </c>
      <c r="AO580" s="3" t="s">
        <v>45</v>
      </c>
      <c r="AP580" s="3" t="s">
        <v>45</v>
      </c>
      <c r="AQ580" s="4" t="s">
        <v>2053</v>
      </c>
      <c r="AR580" s="4" t="s">
        <v>2053</v>
      </c>
    </row>
    <row r="581">
      <c r="A581" s="3" t="s">
        <v>5477</v>
      </c>
      <c r="B581" s="3" t="s">
        <v>5478</v>
      </c>
      <c r="C581" s="3" t="s">
        <v>5479</v>
      </c>
      <c r="D581" s="3" t="s">
        <v>5426</v>
      </c>
      <c r="E581" s="4" t="s">
        <v>5480</v>
      </c>
      <c r="F581" s="3" t="s">
        <v>5428</v>
      </c>
      <c r="G581" s="4" t="s">
        <v>5481</v>
      </c>
      <c r="H581" s="4" t="s">
        <v>5482</v>
      </c>
      <c r="I581" s="3" t="s">
        <v>85</v>
      </c>
      <c r="J581" s="3" t="s">
        <v>126</v>
      </c>
      <c r="K581" s="3" t="s">
        <v>45</v>
      </c>
      <c r="L581" s="3" t="s">
        <v>45</v>
      </c>
      <c r="M581" s="3" t="s">
        <v>45</v>
      </c>
      <c r="N581" s="3" t="s">
        <v>45</v>
      </c>
      <c r="O581" s="3" t="s">
        <v>74</v>
      </c>
      <c r="P581" s="3" t="s">
        <v>45</v>
      </c>
      <c r="Q581" s="3" t="s">
        <v>45</v>
      </c>
      <c r="R581" s="3" t="s">
        <v>45</v>
      </c>
      <c r="S581" s="3" t="s">
        <v>45</v>
      </c>
      <c r="T581" s="3" t="s">
        <v>45</v>
      </c>
      <c r="U581" s="3" t="s">
        <v>45</v>
      </c>
      <c r="V581" s="3" t="s">
        <v>45</v>
      </c>
      <c r="W581" s="3" t="s">
        <v>45</v>
      </c>
      <c r="X581" s="3" t="s">
        <v>45</v>
      </c>
      <c r="Y581" s="3" t="s">
        <v>45</v>
      </c>
      <c r="Z581" s="3" t="s">
        <v>74</v>
      </c>
      <c r="AA581" s="3" t="s">
        <v>45</v>
      </c>
      <c r="AB581" s="3" t="s">
        <v>45</v>
      </c>
      <c r="AC581" s="3" t="s">
        <v>45</v>
      </c>
      <c r="AD581" s="3" t="s">
        <v>45</v>
      </c>
      <c r="AE581" s="3" t="s">
        <v>45</v>
      </c>
      <c r="AF581" s="3" t="s">
        <v>45</v>
      </c>
      <c r="AG581" s="3" t="s">
        <v>45</v>
      </c>
      <c r="AH581" s="3" t="s">
        <v>57</v>
      </c>
      <c r="AI581" s="3" t="s">
        <v>45</v>
      </c>
      <c r="AJ581" s="3" t="s">
        <v>45</v>
      </c>
      <c r="AK581" s="3" t="s">
        <v>45</v>
      </c>
      <c r="AL581" s="3" t="s">
        <v>45</v>
      </c>
      <c r="AM581" s="3" t="s">
        <v>45</v>
      </c>
      <c r="AN581" s="3" t="s">
        <v>45</v>
      </c>
      <c r="AO581" s="3" t="s">
        <v>45</v>
      </c>
      <c r="AP581" s="3" t="s">
        <v>45</v>
      </c>
      <c r="AQ581" s="4" t="s">
        <v>465</v>
      </c>
      <c r="AR581" s="4" t="s">
        <v>465</v>
      </c>
    </row>
    <row r="582">
      <c r="A582" s="3" t="s">
        <v>205</v>
      </c>
      <c r="B582" s="3" t="s">
        <v>5483</v>
      </c>
      <c r="C582" s="3" t="s">
        <v>5484</v>
      </c>
      <c r="D582" s="3" t="s">
        <v>5426</v>
      </c>
      <c r="E582" s="4" t="s">
        <v>5485</v>
      </c>
      <c r="F582" s="3" t="s">
        <v>5428</v>
      </c>
      <c r="G582" s="4" t="s">
        <v>5486</v>
      </c>
      <c r="H582" s="4" t="s">
        <v>5487</v>
      </c>
      <c r="I582" s="3" t="s">
        <v>85</v>
      </c>
      <c r="J582" s="3" t="s">
        <v>126</v>
      </c>
      <c r="K582" s="3" t="s">
        <v>45</v>
      </c>
      <c r="L582" s="3" t="s">
        <v>210</v>
      </c>
      <c r="M582" s="3" t="s">
        <v>45</v>
      </c>
      <c r="N582" s="3" t="s">
        <v>45</v>
      </c>
      <c r="O582" s="3" t="s">
        <v>74</v>
      </c>
      <c r="P582" s="3" t="s">
        <v>45</v>
      </c>
      <c r="Q582" s="3" t="s">
        <v>45</v>
      </c>
      <c r="R582" s="3" t="s">
        <v>45</v>
      </c>
      <c r="S582" s="3" t="s">
        <v>45</v>
      </c>
      <c r="T582" s="3" t="s">
        <v>45</v>
      </c>
      <c r="U582" s="3" t="s">
        <v>45</v>
      </c>
      <c r="V582" s="3" t="s">
        <v>45</v>
      </c>
      <c r="W582" s="3" t="s">
        <v>45</v>
      </c>
      <c r="X582" s="3" t="s">
        <v>45</v>
      </c>
      <c r="Y582" s="3" t="s">
        <v>45</v>
      </c>
      <c r="Z582" s="3" t="s">
        <v>74</v>
      </c>
      <c r="AA582" s="3" t="s">
        <v>45</v>
      </c>
      <c r="AB582" s="3" t="s">
        <v>45</v>
      </c>
      <c r="AC582" s="3" t="s">
        <v>45</v>
      </c>
      <c r="AD582" s="3" t="s">
        <v>45</v>
      </c>
      <c r="AE582" s="3" t="s">
        <v>45</v>
      </c>
      <c r="AF582" s="3" t="s">
        <v>45</v>
      </c>
      <c r="AG582" s="3" t="s">
        <v>45</v>
      </c>
      <c r="AH582" s="3" t="s">
        <v>57</v>
      </c>
      <c r="AI582" s="3" t="s">
        <v>45</v>
      </c>
      <c r="AJ582" s="3" t="s">
        <v>45</v>
      </c>
      <c r="AK582" s="3" t="s">
        <v>45</v>
      </c>
      <c r="AL582" s="3" t="s">
        <v>45</v>
      </c>
      <c r="AM582" s="3" t="s">
        <v>45</v>
      </c>
      <c r="AN582" s="3" t="s">
        <v>45</v>
      </c>
      <c r="AO582" s="3" t="s">
        <v>45</v>
      </c>
      <c r="AP582" s="3" t="s">
        <v>45</v>
      </c>
      <c r="AQ582" s="4" t="s">
        <v>465</v>
      </c>
      <c r="AR582" s="4" t="s">
        <v>465</v>
      </c>
    </row>
    <row r="583">
      <c r="A583" s="3" t="s">
        <v>5488</v>
      </c>
      <c r="B583" s="3" t="s">
        <v>5489</v>
      </c>
      <c r="C583" s="3" t="s">
        <v>5490</v>
      </c>
      <c r="D583" s="3" t="s">
        <v>5491</v>
      </c>
      <c r="E583" s="4" t="s">
        <v>5492</v>
      </c>
      <c r="F583" s="3" t="s">
        <v>1284</v>
      </c>
      <c r="G583" s="4" t="s">
        <v>5493</v>
      </c>
      <c r="H583" s="4" t="s">
        <v>5494</v>
      </c>
      <c r="I583" s="3" t="s">
        <v>85</v>
      </c>
      <c r="J583" s="3" t="s">
        <v>126</v>
      </c>
      <c r="K583" s="3" t="s">
        <v>45</v>
      </c>
      <c r="L583" s="3" t="s">
        <v>45</v>
      </c>
      <c r="M583" s="3" t="s">
        <v>45</v>
      </c>
      <c r="N583" s="3" t="s">
        <v>45</v>
      </c>
      <c r="O583" s="3" t="s">
        <v>53</v>
      </c>
      <c r="P583" s="3" t="s">
        <v>45</v>
      </c>
      <c r="Q583" s="3" t="s">
        <v>45</v>
      </c>
      <c r="R583" s="3" t="s">
        <v>45</v>
      </c>
      <c r="S583" s="3" t="s">
        <v>45</v>
      </c>
      <c r="T583" s="3" t="s">
        <v>45</v>
      </c>
      <c r="U583" s="3" t="s">
        <v>45</v>
      </c>
      <c r="V583" s="4" t="s">
        <v>5495</v>
      </c>
      <c r="W583" s="3" t="s">
        <v>45</v>
      </c>
      <c r="X583" s="3" t="s">
        <v>45</v>
      </c>
      <c r="Y583" s="3" t="s">
        <v>45</v>
      </c>
      <c r="Z583" s="3" t="s">
        <v>74</v>
      </c>
      <c r="AA583" s="3" t="s">
        <v>45</v>
      </c>
      <c r="AB583" s="3" t="s">
        <v>45</v>
      </c>
      <c r="AC583" s="3" t="s">
        <v>45</v>
      </c>
      <c r="AD583" s="3" t="s">
        <v>45</v>
      </c>
      <c r="AE583" s="3" t="s">
        <v>45</v>
      </c>
      <c r="AF583" s="3" t="s">
        <v>45</v>
      </c>
      <c r="AG583" s="3" t="s">
        <v>45</v>
      </c>
      <c r="AH583" s="3" t="s">
        <v>57</v>
      </c>
      <c r="AI583" s="5" t="s">
        <v>5496</v>
      </c>
      <c r="AJ583" s="3" t="s">
        <v>45</v>
      </c>
      <c r="AK583" s="3" t="s">
        <v>45</v>
      </c>
      <c r="AL583" s="3" t="s">
        <v>45</v>
      </c>
      <c r="AM583" s="3" t="s">
        <v>45</v>
      </c>
      <c r="AN583" s="3" t="s">
        <v>45</v>
      </c>
      <c r="AO583" s="3" t="s">
        <v>45</v>
      </c>
      <c r="AP583" s="3" t="s">
        <v>45</v>
      </c>
      <c r="AQ583" s="4" t="s">
        <v>2649</v>
      </c>
      <c r="AR583" s="4" t="s">
        <v>2649</v>
      </c>
    </row>
    <row r="584">
      <c r="A584" s="3" t="s">
        <v>5497</v>
      </c>
      <c r="B584" s="3" t="s">
        <v>5498</v>
      </c>
      <c r="C584" s="3" t="s">
        <v>5499</v>
      </c>
      <c r="D584" s="3" t="s">
        <v>5491</v>
      </c>
      <c r="E584" s="4" t="s">
        <v>5500</v>
      </c>
      <c r="F584" s="3" t="s">
        <v>5178</v>
      </c>
      <c r="G584" s="4" t="s">
        <v>5501</v>
      </c>
      <c r="H584" s="4" t="s">
        <v>5502</v>
      </c>
      <c r="I584" s="3" t="s">
        <v>245</v>
      </c>
      <c r="J584" s="3" t="s">
        <v>126</v>
      </c>
      <c r="K584" s="3" t="s">
        <v>45</v>
      </c>
      <c r="L584" s="3" t="s">
        <v>45</v>
      </c>
      <c r="M584" s="3" t="s">
        <v>45</v>
      </c>
      <c r="N584" s="3" t="s">
        <v>45</v>
      </c>
      <c r="O584" s="3" t="s">
        <v>74</v>
      </c>
      <c r="P584" s="3" t="s">
        <v>220</v>
      </c>
      <c r="Q584" s="3" t="s">
        <v>45</v>
      </c>
      <c r="R584" s="3" t="s">
        <v>45</v>
      </c>
      <c r="S584" s="3" t="s">
        <v>45</v>
      </c>
      <c r="T584" s="3" t="s">
        <v>45</v>
      </c>
      <c r="U584" s="3" t="s">
        <v>45</v>
      </c>
      <c r="V584" s="3" t="s">
        <v>45</v>
      </c>
      <c r="W584" s="4" t="s">
        <v>861</v>
      </c>
      <c r="X584" s="3" t="s">
        <v>45</v>
      </c>
      <c r="Y584" s="3" t="s">
        <v>45</v>
      </c>
      <c r="Z584" s="3" t="s">
        <v>55</v>
      </c>
      <c r="AA584" s="3" t="s">
        <v>45</v>
      </c>
      <c r="AB584" s="3" t="s">
        <v>109</v>
      </c>
      <c r="AC584" s="3" t="s">
        <v>45</v>
      </c>
      <c r="AD584" s="3" t="s">
        <v>45</v>
      </c>
      <c r="AE584" s="3" t="s">
        <v>45</v>
      </c>
      <c r="AF584" s="5" t="s">
        <v>5503</v>
      </c>
      <c r="AG584" s="3" t="s">
        <v>45</v>
      </c>
      <c r="AH584" s="3" t="s">
        <v>57</v>
      </c>
      <c r="AI584" s="5" t="s">
        <v>5504</v>
      </c>
      <c r="AJ584" s="3" t="s">
        <v>45</v>
      </c>
      <c r="AK584" s="3" t="s">
        <v>45</v>
      </c>
      <c r="AL584" s="3" t="s">
        <v>45</v>
      </c>
      <c r="AM584" s="3" t="s">
        <v>45</v>
      </c>
      <c r="AN584" s="3" t="s">
        <v>45</v>
      </c>
      <c r="AO584" s="3" t="s">
        <v>45</v>
      </c>
      <c r="AP584" s="3" t="s">
        <v>45</v>
      </c>
      <c r="AQ584" s="4" t="s">
        <v>1230</v>
      </c>
      <c r="AR584" s="4" t="s">
        <v>1230</v>
      </c>
    </row>
    <row r="585">
      <c r="A585" s="3" t="s">
        <v>5505</v>
      </c>
      <c r="B585" s="3" t="s">
        <v>5506</v>
      </c>
      <c r="C585" s="3" t="s">
        <v>3320</v>
      </c>
      <c r="D585" s="3" t="s">
        <v>5507</v>
      </c>
      <c r="E585" s="4" t="s">
        <v>5508</v>
      </c>
      <c r="F585" s="3" t="s">
        <v>5509</v>
      </c>
      <c r="G585" s="4" t="s">
        <v>5510</v>
      </c>
      <c r="H585" s="4" t="s">
        <v>5511</v>
      </c>
      <c r="I585" s="3" t="s">
        <v>49</v>
      </c>
      <c r="J585" s="3" t="s">
        <v>126</v>
      </c>
      <c r="K585" s="3" t="s">
        <v>45</v>
      </c>
      <c r="L585" s="3" t="s">
        <v>45</v>
      </c>
      <c r="M585" s="3" t="s">
        <v>45</v>
      </c>
      <c r="N585" s="3" t="s">
        <v>45</v>
      </c>
      <c r="O585" s="3" t="s">
        <v>74</v>
      </c>
      <c r="P585" s="3" t="s">
        <v>45</v>
      </c>
      <c r="Q585" s="3" t="s">
        <v>45</v>
      </c>
      <c r="R585" s="3" t="s">
        <v>45</v>
      </c>
      <c r="S585" s="3" t="s">
        <v>45</v>
      </c>
      <c r="T585" s="3" t="s">
        <v>45</v>
      </c>
      <c r="U585" s="3" t="s">
        <v>45</v>
      </c>
      <c r="V585" s="4" t="s">
        <v>5512</v>
      </c>
      <c r="W585" s="3" t="s">
        <v>45</v>
      </c>
      <c r="X585" s="3" t="s">
        <v>45</v>
      </c>
      <c r="Y585" s="3" t="s">
        <v>45</v>
      </c>
      <c r="Z585" s="3" t="s">
        <v>74</v>
      </c>
      <c r="AA585" s="3" t="s">
        <v>45</v>
      </c>
      <c r="AB585" s="3" t="s">
        <v>45</v>
      </c>
      <c r="AC585" s="3" t="s">
        <v>45</v>
      </c>
      <c r="AD585" s="3" t="s">
        <v>45</v>
      </c>
      <c r="AE585" s="3" t="s">
        <v>45</v>
      </c>
      <c r="AF585" s="3" t="s">
        <v>45</v>
      </c>
      <c r="AG585" s="3" t="s">
        <v>45</v>
      </c>
      <c r="AH585" s="3" t="s">
        <v>57</v>
      </c>
      <c r="AI585" s="5" t="s">
        <v>5513</v>
      </c>
      <c r="AJ585" s="3" t="s">
        <v>45</v>
      </c>
      <c r="AK585" s="3" t="s">
        <v>45</v>
      </c>
      <c r="AL585" s="3" t="s">
        <v>45</v>
      </c>
      <c r="AM585" s="3" t="s">
        <v>45</v>
      </c>
      <c r="AN585" s="3" t="s">
        <v>45</v>
      </c>
      <c r="AO585" s="3" t="s">
        <v>45</v>
      </c>
      <c r="AP585" s="3" t="s">
        <v>45</v>
      </c>
      <c r="AQ585" s="4" t="s">
        <v>1270</v>
      </c>
      <c r="AR585" s="4" t="s">
        <v>1270</v>
      </c>
    </row>
    <row r="586">
      <c r="A586" s="3" t="s">
        <v>552</v>
      </c>
      <c r="B586" s="3" t="s">
        <v>5514</v>
      </c>
      <c r="C586" s="3" t="s">
        <v>5515</v>
      </c>
      <c r="D586" s="3" t="s">
        <v>5507</v>
      </c>
      <c r="E586" s="4" t="s">
        <v>5516</v>
      </c>
      <c r="F586" s="3" t="s">
        <v>3784</v>
      </c>
      <c r="G586" s="4" t="s">
        <v>5517</v>
      </c>
      <c r="H586" s="4" t="s">
        <v>5518</v>
      </c>
      <c r="I586" s="3" t="s">
        <v>85</v>
      </c>
      <c r="J586" s="3" t="s">
        <v>126</v>
      </c>
      <c r="K586" s="3" t="s">
        <v>45</v>
      </c>
      <c r="L586" s="3" t="s">
        <v>45</v>
      </c>
      <c r="M586" s="3" t="s">
        <v>45</v>
      </c>
      <c r="N586" s="4" t="s">
        <v>259</v>
      </c>
      <c r="O586" s="3" t="s">
        <v>390</v>
      </c>
      <c r="P586" s="3" t="s">
        <v>5519</v>
      </c>
      <c r="Q586" s="3" t="s">
        <v>45</v>
      </c>
      <c r="R586" s="4" t="s">
        <v>275</v>
      </c>
      <c r="S586" s="3" t="s">
        <v>45</v>
      </c>
      <c r="T586" s="3" t="s">
        <v>89</v>
      </c>
      <c r="U586" s="3" t="s">
        <v>221</v>
      </c>
      <c r="V586" s="4" t="s">
        <v>5520</v>
      </c>
      <c r="W586" s="4" t="s">
        <v>5521</v>
      </c>
      <c r="X586" s="3" t="s">
        <v>45</v>
      </c>
      <c r="Y586" s="3" t="s">
        <v>45</v>
      </c>
      <c r="Z586" s="3" t="s">
        <v>55</v>
      </c>
      <c r="AA586" s="3" t="s">
        <v>45</v>
      </c>
      <c r="AB586" s="3" t="s">
        <v>109</v>
      </c>
      <c r="AC586" s="3" t="s">
        <v>45</v>
      </c>
      <c r="AD586" s="5" t="s">
        <v>5522</v>
      </c>
      <c r="AE586" s="5" t="s">
        <v>5523</v>
      </c>
      <c r="AF586" s="3" t="s">
        <v>45</v>
      </c>
      <c r="AG586" s="3" t="s">
        <v>5524</v>
      </c>
      <c r="AH586" s="3" t="s">
        <v>57</v>
      </c>
      <c r="AI586" s="5" t="s">
        <v>5525</v>
      </c>
      <c r="AJ586" s="5" t="s">
        <v>5526</v>
      </c>
      <c r="AK586" s="5" t="s">
        <v>5527</v>
      </c>
      <c r="AL586" s="5" t="s">
        <v>5528</v>
      </c>
      <c r="AM586" s="3" t="s">
        <v>45</v>
      </c>
      <c r="AN586" s="3" t="s">
        <v>45</v>
      </c>
      <c r="AO586" s="3" t="s">
        <v>45</v>
      </c>
      <c r="AP586" s="3" t="s">
        <v>45</v>
      </c>
      <c r="AQ586" s="4" t="s">
        <v>1173</v>
      </c>
      <c r="AR586" s="4" t="s">
        <v>1589</v>
      </c>
    </row>
    <row r="587">
      <c r="A587" s="3" t="s">
        <v>5529</v>
      </c>
      <c r="B587" s="3" t="s">
        <v>5530</v>
      </c>
      <c r="C587" s="3" t="s">
        <v>5531</v>
      </c>
      <c r="D587" s="3" t="s">
        <v>5507</v>
      </c>
      <c r="E587" s="4" t="s">
        <v>5532</v>
      </c>
      <c r="F587" s="3" t="s">
        <v>5533</v>
      </c>
      <c r="G587" s="4" t="s">
        <v>5534</v>
      </c>
      <c r="H587" s="4" t="s">
        <v>5535</v>
      </c>
      <c r="I587" s="3" t="s">
        <v>49</v>
      </c>
      <c r="J587" s="3" t="s">
        <v>50</v>
      </c>
      <c r="K587" s="3" t="s">
        <v>45</v>
      </c>
      <c r="L587" s="3" t="s">
        <v>45</v>
      </c>
      <c r="M587" s="3" t="s">
        <v>45</v>
      </c>
      <c r="N587" s="3" t="s">
        <v>45</v>
      </c>
      <c r="O587" s="3" t="s">
        <v>74</v>
      </c>
      <c r="P587" s="3" t="s">
        <v>45</v>
      </c>
      <c r="Q587" s="3" t="s">
        <v>45</v>
      </c>
      <c r="R587" s="3" t="s">
        <v>45</v>
      </c>
      <c r="S587" s="3" t="s">
        <v>45</v>
      </c>
      <c r="T587" s="3" t="s">
        <v>45</v>
      </c>
      <c r="U587" s="3" t="s">
        <v>45</v>
      </c>
      <c r="V587" s="3" t="s">
        <v>45</v>
      </c>
      <c r="W587" s="4" t="s">
        <v>5536</v>
      </c>
      <c r="X587" s="3" t="s">
        <v>45</v>
      </c>
      <c r="Y587" s="3" t="s">
        <v>45</v>
      </c>
      <c r="Z587" s="3" t="s">
        <v>74</v>
      </c>
      <c r="AA587" s="3" t="s">
        <v>45</v>
      </c>
      <c r="AB587" s="3" t="s">
        <v>45</v>
      </c>
      <c r="AC587" s="3" t="s">
        <v>45</v>
      </c>
      <c r="AD587" s="3" t="s">
        <v>45</v>
      </c>
      <c r="AE587" s="3" t="s">
        <v>45</v>
      </c>
      <c r="AF587" s="3" t="s">
        <v>45</v>
      </c>
      <c r="AG587" s="3" t="s">
        <v>5537</v>
      </c>
      <c r="AH587" s="3" t="s">
        <v>57</v>
      </c>
      <c r="AI587" s="5" t="s">
        <v>634</v>
      </c>
      <c r="AJ587" s="3" t="s">
        <v>45</v>
      </c>
      <c r="AK587" s="3" t="s">
        <v>45</v>
      </c>
      <c r="AL587" s="3" t="s">
        <v>45</v>
      </c>
      <c r="AM587" s="3" t="s">
        <v>45</v>
      </c>
      <c r="AN587" s="3" t="s">
        <v>45</v>
      </c>
      <c r="AO587" s="3" t="s">
        <v>45</v>
      </c>
      <c r="AP587" s="3" t="s">
        <v>45</v>
      </c>
      <c r="AQ587" s="4" t="s">
        <v>636</v>
      </c>
      <c r="AR587" s="4" t="s">
        <v>636</v>
      </c>
    </row>
    <row r="588">
      <c r="A588" s="3" t="s">
        <v>5538</v>
      </c>
      <c r="B588" s="3" t="s">
        <v>5539</v>
      </c>
      <c r="C588" s="3" t="s">
        <v>5540</v>
      </c>
      <c r="D588" s="3" t="s">
        <v>5507</v>
      </c>
      <c r="E588" s="4" t="s">
        <v>5541</v>
      </c>
      <c r="F588" s="3" t="s">
        <v>1078</v>
      </c>
      <c r="G588" s="4" t="s">
        <v>5542</v>
      </c>
      <c r="H588" s="4" t="s">
        <v>5543</v>
      </c>
      <c r="I588" s="3" t="s">
        <v>85</v>
      </c>
      <c r="J588" s="3" t="s">
        <v>126</v>
      </c>
      <c r="K588" s="3" t="s">
        <v>45</v>
      </c>
      <c r="L588" s="3" t="s">
        <v>5538</v>
      </c>
      <c r="M588" s="3" t="s">
        <v>45</v>
      </c>
      <c r="N588" s="3" t="s">
        <v>45</v>
      </c>
      <c r="O588" s="3" t="s">
        <v>74</v>
      </c>
      <c r="P588" s="3" t="s">
        <v>45</v>
      </c>
      <c r="Q588" s="3" t="s">
        <v>45</v>
      </c>
      <c r="R588" s="3" t="s">
        <v>45</v>
      </c>
      <c r="S588" s="3" t="s">
        <v>45</v>
      </c>
      <c r="T588" s="3" t="s">
        <v>45</v>
      </c>
      <c r="U588" s="3" t="s">
        <v>45</v>
      </c>
      <c r="V588" s="3" t="s">
        <v>45</v>
      </c>
      <c r="W588" s="3" t="s">
        <v>45</v>
      </c>
      <c r="X588" s="3" t="s">
        <v>45</v>
      </c>
      <c r="Y588" s="3" t="s">
        <v>45</v>
      </c>
      <c r="Z588" s="3" t="s">
        <v>74</v>
      </c>
      <c r="AA588" s="3" t="s">
        <v>45</v>
      </c>
      <c r="AB588" s="3" t="s">
        <v>45</v>
      </c>
      <c r="AC588" s="3" t="s">
        <v>45</v>
      </c>
      <c r="AD588" s="3" t="s">
        <v>45</v>
      </c>
      <c r="AE588" s="3" t="s">
        <v>45</v>
      </c>
      <c r="AF588" s="3" t="s">
        <v>45</v>
      </c>
      <c r="AG588" s="3" t="s">
        <v>45</v>
      </c>
      <c r="AH588" s="3" t="s">
        <v>57</v>
      </c>
      <c r="AI588" s="5" t="s">
        <v>5544</v>
      </c>
      <c r="AJ588" s="3" t="s">
        <v>45</v>
      </c>
      <c r="AK588" s="3" t="s">
        <v>45</v>
      </c>
      <c r="AL588" s="3" t="s">
        <v>45</v>
      </c>
      <c r="AM588" s="3" t="s">
        <v>45</v>
      </c>
      <c r="AN588" s="3" t="s">
        <v>45</v>
      </c>
      <c r="AO588" s="3" t="s">
        <v>45</v>
      </c>
      <c r="AP588" s="3" t="s">
        <v>45</v>
      </c>
      <c r="AQ588" s="4" t="s">
        <v>5457</v>
      </c>
      <c r="AR588" s="4" t="s">
        <v>5457</v>
      </c>
    </row>
    <row r="589">
      <c r="A589" s="3" t="s">
        <v>5545</v>
      </c>
      <c r="B589" s="3" t="s">
        <v>5546</v>
      </c>
      <c r="C589" s="3" t="s">
        <v>5547</v>
      </c>
      <c r="D589" s="3" t="s">
        <v>5507</v>
      </c>
      <c r="E589" s="4" t="s">
        <v>5548</v>
      </c>
      <c r="F589" s="3" t="s">
        <v>5533</v>
      </c>
      <c r="G589" s="4" t="s">
        <v>5549</v>
      </c>
      <c r="H589" s="4" t="s">
        <v>5550</v>
      </c>
      <c r="I589" s="3" t="s">
        <v>436</v>
      </c>
      <c r="J589" s="3" t="s">
        <v>126</v>
      </c>
      <c r="K589" s="3" t="s">
        <v>45</v>
      </c>
      <c r="L589" s="3" t="s">
        <v>45</v>
      </c>
      <c r="M589" s="3" t="s">
        <v>45</v>
      </c>
      <c r="N589" s="3" t="s">
        <v>45</v>
      </c>
      <c r="O589" s="3" t="s">
        <v>74</v>
      </c>
      <c r="P589" s="3" t="s">
        <v>45</v>
      </c>
      <c r="Q589" s="3" t="s">
        <v>45</v>
      </c>
      <c r="R589" s="3" t="s">
        <v>45</v>
      </c>
      <c r="S589" s="3" t="s">
        <v>45</v>
      </c>
      <c r="T589" s="3" t="s">
        <v>45</v>
      </c>
      <c r="U589" s="3" t="s">
        <v>45</v>
      </c>
      <c r="V589" s="3" t="s">
        <v>45</v>
      </c>
      <c r="W589" s="3" t="s">
        <v>45</v>
      </c>
      <c r="X589" s="3" t="s">
        <v>45</v>
      </c>
      <c r="Y589" s="3" t="s">
        <v>45</v>
      </c>
      <c r="Z589" s="3" t="s">
        <v>74</v>
      </c>
      <c r="AA589" s="3" t="s">
        <v>45</v>
      </c>
      <c r="AB589" s="3" t="s">
        <v>45</v>
      </c>
      <c r="AC589" s="3" t="s">
        <v>45</v>
      </c>
      <c r="AD589" s="3" t="s">
        <v>45</v>
      </c>
      <c r="AE589" s="3" t="s">
        <v>45</v>
      </c>
      <c r="AF589" s="3" t="s">
        <v>45</v>
      </c>
      <c r="AG589" s="3" t="s">
        <v>45</v>
      </c>
      <c r="AH589" s="3" t="s">
        <v>57</v>
      </c>
      <c r="AI589" s="5" t="s">
        <v>5551</v>
      </c>
      <c r="AJ589" s="3" t="s">
        <v>45</v>
      </c>
      <c r="AK589" s="3" t="s">
        <v>45</v>
      </c>
      <c r="AL589" s="3" t="s">
        <v>45</v>
      </c>
      <c r="AM589" s="3" t="s">
        <v>45</v>
      </c>
      <c r="AN589" s="3" t="s">
        <v>45</v>
      </c>
      <c r="AO589" s="3" t="s">
        <v>45</v>
      </c>
      <c r="AP589" s="3" t="s">
        <v>45</v>
      </c>
      <c r="AQ589" s="4" t="s">
        <v>2649</v>
      </c>
      <c r="AR589" s="4" t="s">
        <v>2649</v>
      </c>
    </row>
    <row r="590">
      <c r="A590" s="3" t="s">
        <v>5505</v>
      </c>
      <c r="B590" s="3" t="s">
        <v>5552</v>
      </c>
      <c r="C590" s="3" t="s">
        <v>5553</v>
      </c>
      <c r="D590" s="3" t="s">
        <v>5507</v>
      </c>
      <c r="E590" s="4" t="s">
        <v>5554</v>
      </c>
      <c r="F590" s="3" t="s">
        <v>5533</v>
      </c>
      <c r="G590" s="4" t="s">
        <v>5555</v>
      </c>
      <c r="H590" s="4" t="s">
        <v>5556</v>
      </c>
      <c r="I590" s="3" t="s">
        <v>49</v>
      </c>
      <c r="J590" s="3" t="s">
        <v>126</v>
      </c>
      <c r="K590" s="3" t="s">
        <v>45</v>
      </c>
      <c r="L590" s="3" t="s">
        <v>45</v>
      </c>
      <c r="M590" s="3" t="s">
        <v>45</v>
      </c>
      <c r="N590" s="3" t="s">
        <v>45</v>
      </c>
      <c r="O590" s="3" t="s">
        <v>74</v>
      </c>
      <c r="P590" s="3" t="s">
        <v>45</v>
      </c>
      <c r="Q590" s="3" t="s">
        <v>45</v>
      </c>
      <c r="R590" s="3" t="s">
        <v>45</v>
      </c>
      <c r="S590" s="3" t="s">
        <v>45</v>
      </c>
      <c r="T590" s="3" t="s">
        <v>45</v>
      </c>
      <c r="U590" s="3" t="s">
        <v>45</v>
      </c>
      <c r="V590" s="3" t="s">
        <v>45</v>
      </c>
      <c r="W590" s="3" t="s">
        <v>45</v>
      </c>
      <c r="X590" s="3" t="s">
        <v>45</v>
      </c>
      <c r="Y590" s="3" t="s">
        <v>45</v>
      </c>
      <c r="Z590" s="3" t="s">
        <v>74</v>
      </c>
      <c r="AA590" s="3" t="s">
        <v>45</v>
      </c>
      <c r="AB590" s="3" t="s">
        <v>45</v>
      </c>
      <c r="AC590" s="3" t="s">
        <v>45</v>
      </c>
      <c r="AD590" s="3" t="s">
        <v>45</v>
      </c>
      <c r="AE590" s="3" t="s">
        <v>45</v>
      </c>
      <c r="AF590" s="3" t="s">
        <v>45</v>
      </c>
      <c r="AG590" s="3" t="s">
        <v>45</v>
      </c>
      <c r="AH590" s="3" t="s">
        <v>57</v>
      </c>
      <c r="AI590" s="5" t="s">
        <v>5513</v>
      </c>
      <c r="AJ590" s="3" t="s">
        <v>45</v>
      </c>
      <c r="AK590" s="3" t="s">
        <v>45</v>
      </c>
      <c r="AL590" s="3" t="s">
        <v>45</v>
      </c>
      <c r="AM590" s="3" t="s">
        <v>45</v>
      </c>
      <c r="AN590" s="3" t="s">
        <v>45</v>
      </c>
      <c r="AO590" s="3" t="s">
        <v>45</v>
      </c>
      <c r="AP590" s="3" t="s">
        <v>45</v>
      </c>
      <c r="AQ590" s="4" t="s">
        <v>1270</v>
      </c>
      <c r="AR590" s="4" t="s">
        <v>1270</v>
      </c>
    </row>
    <row r="591">
      <c r="A591" s="3" t="s">
        <v>5557</v>
      </c>
      <c r="B591" s="3" t="s">
        <v>5558</v>
      </c>
      <c r="C591" s="3" t="s">
        <v>5559</v>
      </c>
      <c r="D591" s="3" t="s">
        <v>5507</v>
      </c>
      <c r="E591" s="4" t="s">
        <v>5560</v>
      </c>
      <c r="F591" s="3" t="s">
        <v>45</v>
      </c>
      <c r="G591" s="4" t="s">
        <v>5561</v>
      </c>
      <c r="H591" s="4" t="s">
        <v>5562</v>
      </c>
      <c r="I591" s="3" t="s">
        <v>436</v>
      </c>
      <c r="J591" s="3" t="s">
        <v>126</v>
      </c>
      <c r="K591" s="3" t="s">
        <v>45</v>
      </c>
      <c r="L591" s="3" t="s">
        <v>45</v>
      </c>
      <c r="M591" s="3" t="s">
        <v>45</v>
      </c>
      <c r="N591" s="4" t="s">
        <v>104</v>
      </c>
      <c r="O591" s="3" t="s">
        <v>53</v>
      </c>
      <c r="P591" s="3" t="s">
        <v>45</v>
      </c>
      <c r="Q591" s="3" t="s">
        <v>45</v>
      </c>
      <c r="R591" s="3" t="s">
        <v>45</v>
      </c>
      <c r="S591" s="3" t="s">
        <v>45</v>
      </c>
      <c r="T591" s="3" t="s">
        <v>45</v>
      </c>
      <c r="U591" s="3" t="s">
        <v>45</v>
      </c>
      <c r="V591" s="4" t="s">
        <v>5563</v>
      </c>
      <c r="W591" s="3" t="s">
        <v>45</v>
      </c>
      <c r="X591" s="3" t="s">
        <v>45</v>
      </c>
      <c r="Y591" s="3" t="s">
        <v>45</v>
      </c>
      <c r="Z591" s="3" t="s">
        <v>55</v>
      </c>
      <c r="AA591" s="3" t="s">
        <v>45</v>
      </c>
      <c r="AB591" s="3" t="s">
        <v>109</v>
      </c>
      <c r="AC591" s="3" t="s">
        <v>45</v>
      </c>
      <c r="AD591" s="3" t="s">
        <v>45</v>
      </c>
      <c r="AE591" s="3" t="s">
        <v>45</v>
      </c>
      <c r="AF591" s="5" t="s">
        <v>5564</v>
      </c>
      <c r="AG591" s="3" t="s">
        <v>45</v>
      </c>
      <c r="AH591" s="3" t="s">
        <v>57</v>
      </c>
      <c r="AI591" s="5" t="s">
        <v>5565</v>
      </c>
      <c r="AJ591" s="3" t="s">
        <v>45</v>
      </c>
      <c r="AK591" s="3" t="s">
        <v>45</v>
      </c>
      <c r="AL591" s="3" t="s">
        <v>45</v>
      </c>
      <c r="AM591" s="3" t="s">
        <v>45</v>
      </c>
      <c r="AN591" s="3" t="s">
        <v>45</v>
      </c>
      <c r="AO591" s="3" t="s">
        <v>45</v>
      </c>
      <c r="AP591" s="3" t="s">
        <v>45</v>
      </c>
      <c r="AQ591" s="4" t="s">
        <v>60</v>
      </c>
      <c r="AR591" s="4" t="s">
        <v>60</v>
      </c>
    </row>
    <row r="592">
      <c r="A592" s="3" t="s">
        <v>5566</v>
      </c>
      <c r="B592" s="3" t="s">
        <v>5567</v>
      </c>
      <c r="C592" s="3" t="s">
        <v>5568</v>
      </c>
      <c r="D592" s="3" t="s">
        <v>5507</v>
      </c>
      <c r="E592" s="4" t="s">
        <v>5569</v>
      </c>
      <c r="F592" s="3" t="s">
        <v>3999</v>
      </c>
      <c r="G592" s="4" t="s">
        <v>5570</v>
      </c>
      <c r="H592" s="4" t="s">
        <v>5571</v>
      </c>
      <c r="I592" s="3" t="s">
        <v>436</v>
      </c>
      <c r="J592" s="3" t="s">
        <v>126</v>
      </c>
      <c r="K592" s="3" t="s">
        <v>45</v>
      </c>
      <c r="L592" s="3" t="s">
        <v>45</v>
      </c>
      <c r="M592" s="3" t="s">
        <v>45</v>
      </c>
      <c r="N592" s="3" t="s">
        <v>45</v>
      </c>
      <c r="O592" s="3" t="s">
        <v>74</v>
      </c>
      <c r="P592" s="3" t="s">
        <v>45</v>
      </c>
      <c r="Q592" s="3" t="s">
        <v>45</v>
      </c>
      <c r="R592" s="3" t="s">
        <v>45</v>
      </c>
      <c r="S592" s="3" t="s">
        <v>45</v>
      </c>
      <c r="T592" s="3" t="s">
        <v>45</v>
      </c>
      <c r="U592" s="3" t="s">
        <v>45</v>
      </c>
      <c r="V592" s="4" t="s">
        <v>5572</v>
      </c>
      <c r="W592" s="4" t="s">
        <v>1043</v>
      </c>
      <c r="X592" s="3" t="s">
        <v>45</v>
      </c>
      <c r="Y592" s="3" t="s">
        <v>45</v>
      </c>
      <c r="Z592" s="3" t="s">
        <v>55</v>
      </c>
      <c r="AA592" s="3" t="s">
        <v>5573</v>
      </c>
      <c r="AB592" s="3" t="s">
        <v>45</v>
      </c>
      <c r="AC592" s="3" t="s">
        <v>45</v>
      </c>
      <c r="AD592" s="5" t="s">
        <v>5574</v>
      </c>
      <c r="AE592" s="3" t="s">
        <v>45</v>
      </c>
      <c r="AF592" s="3" t="s">
        <v>45</v>
      </c>
      <c r="AG592" s="3" t="s">
        <v>45</v>
      </c>
      <c r="AH592" s="3" t="s">
        <v>57</v>
      </c>
      <c r="AI592" s="5" t="s">
        <v>5575</v>
      </c>
      <c r="AJ592" s="3" t="s">
        <v>45</v>
      </c>
      <c r="AK592" s="3" t="s">
        <v>45</v>
      </c>
      <c r="AL592" s="3" t="s">
        <v>45</v>
      </c>
      <c r="AM592" s="3" t="s">
        <v>45</v>
      </c>
      <c r="AN592" s="3" t="s">
        <v>45</v>
      </c>
      <c r="AO592" s="3" t="s">
        <v>45</v>
      </c>
      <c r="AP592" s="3" t="s">
        <v>45</v>
      </c>
      <c r="AQ592" s="4" t="s">
        <v>799</v>
      </c>
      <c r="AR592" s="4" t="s">
        <v>799</v>
      </c>
    </row>
    <row r="593">
      <c r="A593" s="3" t="s">
        <v>5244</v>
      </c>
      <c r="B593" s="3" t="s">
        <v>5576</v>
      </c>
      <c r="C593" s="3" t="s">
        <v>1879</v>
      </c>
      <c r="D593" s="3" t="s">
        <v>5507</v>
      </c>
      <c r="E593" s="4" t="s">
        <v>5577</v>
      </c>
      <c r="F593" s="3" t="s">
        <v>5578</v>
      </c>
      <c r="G593" s="4" t="s">
        <v>5579</v>
      </c>
      <c r="H593" s="4" t="s">
        <v>5580</v>
      </c>
      <c r="I593" s="3" t="s">
        <v>436</v>
      </c>
      <c r="J593" s="3" t="s">
        <v>126</v>
      </c>
      <c r="K593" s="3" t="s">
        <v>45</v>
      </c>
      <c r="L593" s="3" t="s">
        <v>45</v>
      </c>
      <c r="M593" s="3" t="s">
        <v>45</v>
      </c>
      <c r="N593" s="3" t="s">
        <v>45</v>
      </c>
      <c r="O593" s="3" t="s">
        <v>74</v>
      </c>
      <c r="P593" s="3" t="s">
        <v>45</v>
      </c>
      <c r="Q593" s="3" t="s">
        <v>45</v>
      </c>
      <c r="R593" s="3" t="s">
        <v>45</v>
      </c>
      <c r="S593" s="3" t="s">
        <v>45</v>
      </c>
      <c r="T593" s="3" t="s">
        <v>45</v>
      </c>
      <c r="U593" s="3" t="s">
        <v>45</v>
      </c>
      <c r="V593" s="4" t="s">
        <v>5581</v>
      </c>
      <c r="W593" s="4" t="s">
        <v>5582</v>
      </c>
      <c r="X593" s="3" t="s">
        <v>45</v>
      </c>
      <c r="Y593" s="3" t="s">
        <v>45</v>
      </c>
      <c r="Z593" s="3" t="s">
        <v>55</v>
      </c>
      <c r="AA593" s="3" t="s">
        <v>45</v>
      </c>
      <c r="AB593" s="3" t="s">
        <v>109</v>
      </c>
      <c r="AC593" s="3" t="s">
        <v>45</v>
      </c>
      <c r="AD593" s="3" t="s">
        <v>45</v>
      </c>
      <c r="AE593" s="3" t="s">
        <v>45</v>
      </c>
      <c r="AF593" s="3" t="s">
        <v>45</v>
      </c>
      <c r="AG593" s="3" t="s">
        <v>5583</v>
      </c>
      <c r="AH593" s="3" t="s">
        <v>57</v>
      </c>
      <c r="AI593" s="5" t="s">
        <v>5584</v>
      </c>
      <c r="AJ593" s="5" t="s">
        <v>5585</v>
      </c>
      <c r="AK593" s="5" t="s">
        <v>5586</v>
      </c>
      <c r="AL593" s="3" t="s">
        <v>45</v>
      </c>
      <c r="AM593" s="3" t="s">
        <v>45</v>
      </c>
      <c r="AN593" s="3" t="s">
        <v>45</v>
      </c>
      <c r="AO593" s="3" t="s">
        <v>45</v>
      </c>
      <c r="AP593" s="3" t="s">
        <v>45</v>
      </c>
      <c r="AQ593" s="4" t="s">
        <v>5174</v>
      </c>
      <c r="AR593" s="4" t="s">
        <v>5174</v>
      </c>
    </row>
    <row r="594">
      <c r="A594" s="3" t="s">
        <v>5587</v>
      </c>
      <c r="B594" s="3" t="s">
        <v>5588</v>
      </c>
      <c r="C594" s="3" t="s">
        <v>5589</v>
      </c>
      <c r="D594" s="3" t="s">
        <v>5507</v>
      </c>
      <c r="E594" s="4" t="s">
        <v>5590</v>
      </c>
      <c r="F594" s="3" t="s">
        <v>5591</v>
      </c>
      <c r="G594" s="4" t="s">
        <v>5592</v>
      </c>
      <c r="H594" s="4" t="s">
        <v>5593</v>
      </c>
      <c r="I594" s="3" t="s">
        <v>85</v>
      </c>
      <c r="J594" s="3" t="s">
        <v>126</v>
      </c>
      <c r="K594" s="3" t="s">
        <v>45</v>
      </c>
      <c r="L594" s="3" t="s">
        <v>45</v>
      </c>
      <c r="M594" s="3" t="s">
        <v>45</v>
      </c>
      <c r="N594" s="3" t="s">
        <v>45</v>
      </c>
      <c r="O594" s="3" t="s">
        <v>74</v>
      </c>
      <c r="P594" s="3" t="s">
        <v>45</v>
      </c>
      <c r="Q594" s="3" t="s">
        <v>45</v>
      </c>
      <c r="R594" s="3" t="s">
        <v>45</v>
      </c>
      <c r="S594" s="3" t="s">
        <v>45</v>
      </c>
      <c r="T594" s="3" t="s">
        <v>45</v>
      </c>
      <c r="U594" s="3" t="s">
        <v>45</v>
      </c>
      <c r="V594" s="4" t="s">
        <v>5594</v>
      </c>
      <c r="W594" s="3" t="s">
        <v>45</v>
      </c>
      <c r="X594" s="3" t="s">
        <v>45</v>
      </c>
      <c r="Y594" s="3" t="s">
        <v>45</v>
      </c>
      <c r="Z594" s="3" t="s">
        <v>74</v>
      </c>
      <c r="AA594" s="3" t="s">
        <v>45</v>
      </c>
      <c r="AB594" s="3" t="s">
        <v>45</v>
      </c>
      <c r="AC594" s="3" t="s">
        <v>45</v>
      </c>
      <c r="AD594" s="3" t="s">
        <v>45</v>
      </c>
      <c r="AE594" s="3" t="s">
        <v>45</v>
      </c>
      <c r="AF594" s="3" t="s">
        <v>45</v>
      </c>
      <c r="AG594" s="3" t="s">
        <v>45</v>
      </c>
      <c r="AH594" s="3" t="s">
        <v>57</v>
      </c>
      <c r="AI594" s="5" t="s">
        <v>5595</v>
      </c>
      <c r="AJ594" s="3" t="s">
        <v>45</v>
      </c>
      <c r="AK594" s="3" t="s">
        <v>45</v>
      </c>
      <c r="AL594" s="3" t="s">
        <v>45</v>
      </c>
      <c r="AM594" s="3" t="s">
        <v>45</v>
      </c>
      <c r="AN594" s="3" t="s">
        <v>45</v>
      </c>
      <c r="AO594" s="3" t="s">
        <v>45</v>
      </c>
      <c r="AP594" s="3" t="s">
        <v>45</v>
      </c>
      <c r="AQ594" s="4" t="s">
        <v>683</v>
      </c>
      <c r="AR594" s="4" t="s">
        <v>683</v>
      </c>
    </row>
    <row r="595">
      <c r="A595" s="3" t="s">
        <v>5596</v>
      </c>
      <c r="B595" s="3" t="s">
        <v>5597</v>
      </c>
      <c r="C595" s="3" t="s">
        <v>5589</v>
      </c>
      <c r="D595" s="3" t="s">
        <v>5507</v>
      </c>
      <c r="E595" s="4" t="s">
        <v>5590</v>
      </c>
      <c r="F595" s="3" t="s">
        <v>5591</v>
      </c>
      <c r="G595" s="4" t="s">
        <v>5598</v>
      </c>
      <c r="H595" s="4" t="s">
        <v>5599</v>
      </c>
      <c r="I595" s="3" t="s">
        <v>49</v>
      </c>
      <c r="J595" s="3" t="s">
        <v>126</v>
      </c>
      <c r="K595" s="3" t="s">
        <v>45</v>
      </c>
      <c r="L595" s="3" t="s">
        <v>45</v>
      </c>
      <c r="M595" s="3" t="s">
        <v>45</v>
      </c>
      <c r="N595" s="3" t="s">
        <v>45</v>
      </c>
      <c r="O595" s="3" t="s">
        <v>74</v>
      </c>
      <c r="P595" s="3" t="s">
        <v>45</v>
      </c>
      <c r="Q595" s="3" t="s">
        <v>45</v>
      </c>
      <c r="R595" s="3" t="s">
        <v>45</v>
      </c>
      <c r="S595" s="3" t="s">
        <v>45</v>
      </c>
      <c r="T595" s="3" t="s">
        <v>45</v>
      </c>
      <c r="U595" s="3" t="s">
        <v>45</v>
      </c>
      <c r="V595" s="3" t="s">
        <v>45</v>
      </c>
      <c r="W595" s="4" t="s">
        <v>956</v>
      </c>
      <c r="X595" s="3" t="s">
        <v>45</v>
      </c>
      <c r="Y595" s="3" t="s">
        <v>45</v>
      </c>
      <c r="Z595" s="3" t="s">
        <v>74</v>
      </c>
      <c r="AA595" s="3" t="s">
        <v>45</v>
      </c>
      <c r="AB595" s="3" t="s">
        <v>45</v>
      </c>
      <c r="AC595" s="3" t="s">
        <v>45</v>
      </c>
      <c r="AD595" s="3" t="s">
        <v>45</v>
      </c>
      <c r="AE595" s="3" t="s">
        <v>45</v>
      </c>
      <c r="AF595" s="3" t="s">
        <v>45</v>
      </c>
      <c r="AG595" s="3" t="s">
        <v>45</v>
      </c>
      <c r="AH595" s="3" t="s">
        <v>57</v>
      </c>
      <c r="AI595" s="5" t="s">
        <v>5600</v>
      </c>
      <c r="AJ595" s="3" t="s">
        <v>45</v>
      </c>
      <c r="AK595" s="3" t="s">
        <v>45</v>
      </c>
      <c r="AL595" s="3" t="s">
        <v>45</v>
      </c>
      <c r="AM595" s="3" t="s">
        <v>45</v>
      </c>
      <c r="AN595" s="3" t="s">
        <v>45</v>
      </c>
      <c r="AO595" s="3" t="s">
        <v>45</v>
      </c>
      <c r="AP595" s="3" t="s">
        <v>45</v>
      </c>
      <c r="AQ595" s="4" t="s">
        <v>683</v>
      </c>
      <c r="AR595" s="4" t="s">
        <v>683</v>
      </c>
    </row>
    <row r="596">
      <c r="A596" s="3" t="s">
        <v>4665</v>
      </c>
      <c r="B596" s="3" t="s">
        <v>5601</v>
      </c>
      <c r="C596" s="3" t="s">
        <v>5602</v>
      </c>
      <c r="D596" s="3" t="s">
        <v>5507</v>
      </c>
      <c r="E596" s="4" t="s">
        <v>5603</v>
      </c>
      <c r="F596" s="3" t="s">
        <v>5604</v>
      </c>
      <c r="G596" s="4" t="s">
        <v>5605</v>
      </c>
      <c r="H596" s="4" t="s">
        <v>5606</v>
      </c>
      <c r="I596" s="3" t="s">
        <v>218</v>
      </c>
      <c r="J596" s="3" t="s">
        <v>126</v>
      </c>
      <c r="K596" s="3" t="s">
        <v>45</v>
      </c>
      <c r="L596" s="3" t="s">
        <v>45</v>
      </c>
      <c r="M596" s="3" t="s">
        <v>45</v>
      </c>
      <c r="N596" s="3" t="s">
        <v>5607</v>
      </c>
      <c r="O596" s="3" t="s">
        <v>70</v>
      </c>
      <c r="P596" s="3" t="s">
        <v>45</v>
      </c>
      <c r="Q596" s="3" t="s">
        <v>45</v>
      </c>
      <c r="R596" s="3" t="s">
        <v>45</v>
      </c>
      <c r="S596" s="3" t="s">
        <v>45</v>
      </c>
      <c r="T596" s="3" t="s">
        <v>45</v>
      </c>
      <c r="U596" s="3" t="s">
        <v>45</v>
      </c>
      <c r="V596" s="4" t="s">
        <v>4570</v>
      </c>
      <c r="W596" s="3" t="s">
        <v>45</v>
      </c>
      <c r="X596" s="3" t="s">
        <v>45</v>
      </c>
      <c r="Y596" s="3" t="s">
        <v>45</v>
      </c>
      <c r="Z596" s="3" t="s">
        <v>55</v>
      </c>
      <c r="AA596" s="3" t="s">
        <v>45</v>
      </c>
      <c r="AB596" s="3" t="s">
        <v>45</v>
      </c>
      <c r="AC596" s="3" t="s">
        <v>45</v>
      </c>
      <c r="AD596" s="3" t="s">
        <v>45</v>
      </c>
      <c r="AE596" s="3" t="s">
        <v>45</v>
      </c>
      <c r="AF596" s="5" t="s">
        <v>5608</v>
      </c>
      <c r="AG596" s="3" t="s">
        <v>45</v>
      </c>
      <c r="AH596" s="3" t="s">
        <v>57</v>
      </c>
      <c r="AI596" s="5" t="s">
        <v>5609</v>
      </c>
      <c r="AJ596" s="5" t="s">
        <v>5610</v>
      </c>
      <c r="AK596" s="5" t="s">
        <v>5611</v>
      </c>
      <c r="AL596" s="5" t="s">
        <v>5612</v>
      </c>
      <c r="AM596" s="3" t="s">
        <v>45</v>
      </c>
      <c r="AN596" s="3" t="s">
        <v>45</v>
      </c>
      <c r="AO596" s="3" t="s">
        <v>45</v>
      </c>
      <c r="AP596" s="3" t="s">
        <v>45</v>
      </c>
      <c r="AQ596" s="4" t="s">
        <v>603</v>
      </c>
      <c r="AR596" s="4" t="s">
        <v>2649</v>
      </c>
    </row>
    <row r="597">
      <c r="A597" s="3" t="s">
        <v>5613</v>
      </c>
      <c r="B597" s="3" t="s">
        <v>5614</v>
      </c>
      <c r="C597" s="3" t="s">
        <v>5615</v>
      </c>
      <c r="D597" s="3" t="s">
        <v>5507</v>
      </c>
      <c r="E597" s="4" t="s">
        <v>5616</v>
      </c>
      <c r="F597" s="3" t="s">
        <v>5617</v>
      </c>
      <c r="G597" s="4" t="s">
        <v>5618</v>
      </c>
      <c r="H597" s="4" t="s">
        <v>5619</v>
      </c>
      <c r="I597" s="3" t="s">
        <v>85</v>
      </c>
      <c r="J597" s="3" t="s">
        <v>126</v>
      </c>
      <c r="K597" s="3" t="s">
        <v>45</v>
      </c>
      <c r="L597" s="3" t="s">
        <v>45</v>
      </c>
      <c r="M597" s="3" t="s">
        <v>45</v>
      </c>
      <c r="N597" s="4" t="s">
        <v>52</v>
      </c>
      <c r="O597" s="3" t="s">
        <v>53</v>
      </c>
      <c r="P597" s="3" t="s">
        <v>45</v>
      </c>
      <c r="Q597" s="3" t="s">
        <v>45</v>
      </c>
      <c r="R597" s="3" t="s">
        <v>45</v>
      </c>
      <c r="S597" s="3" t="s">
        <v>45</v>
      </c>
      <c r="T597" s="3" t="s">
        <v>45</v>
      </c>
      <c r="U597" s="3" t="s">
        <v>45</v>
      </c>
      <c r="V597" s="4" t="s">
        <v>5620</v>
      </c>
      <c r="W597" s="4" t="s">
        <v>52</v>
      </c>
      <c r="X597" s="3" t="s">
        <v>45</v>
      </c>
      <c r="Y597" s="3" t="s">
        <v>45</v>
      </c>
      <c r="Z597" s="3" t="s">
        <v>74</v>
      </c>
      <c r="AA597" s="3" t="s">
        <v>45</v>
      </c>
      <c r="AB597" s="3" t="s">
        <v>45</v>
      </c>
      <c r="AC597" s="3" t="s">
        <v>45</v>
      </c>
      <c r="AD597" s="3" t="s">
        <v>45</v>
      </c>
      <c r="AE597" s="3" t="s">
        <v>45</v>
      </c>
      <c r="AF597" s="3" t="s">
        <v>45</v>
      </c>
      <c r="AG597" s="3" t="s">
        <v>45</v>
      </c>
      <c r="AH597" s="3" t="s">
        <v>57</v>
      </c>
      <c r="AI597" s="5" t="s">
        <v>5621</v>
      </c>
      <c r="AJ597" s="3" t="s">
        <v>45</v>
      </c>
      <c r="AK597" s="3" t="s">
        <v>45</v>
      </c>
      <c r="AL597" s="3" t="s">
        <v>45</v>
      </c>
      <c r="AM597" s="3" t="s">
        <v>45</v>
      </c>
      <c r="AN597" s="3" t="s">
        <v>45</v>
      </c>
      <c r="AO597" s="3" t="s">
        <v>45</v>
      </c>
      <c r="AP597" s="3" t="s">
        <v>45</v>
      </c>
      <c r="AQ597" s="4" t="s">
        <v>1728</v>
      </c>
      <c r="AR597" s="4" t="s">
        <v>1728</v>
      </c>
    </row>
    <row r="598">
      <c r="A598" s="3" t="s">
        <v>5622</v>
      </c>
      <c r="B598" s="3" t="s">
        <v>5623</v>
      </c>
      <c r="C598" s="3" t="s">
        <v>5624</v>
      </c>
      <c r="D598" s="3" t="s">
        <v>5625</v>
      </c>
      <c r="E598" s="4" t="s">
        <v>5626</v>
      </c>
      <c r="F598" s="3" t="s">
        <v>5627</v>
      </c>
      <c r="G598" s="4" t="s">
        <v>5628</v>
      </c>
      <c r="H598" s="4" t="s">
        <v>5629</v>
      </c>
      <c r="I598" s="3" t="s">
        <v>85</v>
      </c>
      <c r="J598" s="3" t="s">
        <v>126</v>
      </c>
      <c r="K598" s="3" t="s">
        <v>45</v>
      </c>
      <c r="L598" s="3" t="s">
        <v>45</v>
      </c>
      <c r="M598" s="3" t="s">
        <v>45</v>
      </c>
      <c r="N598" s="3" t="s">
        <v>45</v>
      </c>
      <c r="O598" s="3" t="s">
        <v>74</v>
      </c>
      <c r="P598" s="3" t="s">
        <v>45</v>
      </c>
      <c r="Q598" s="3" t="s">
        <v>45</v>
      </c>
      <c r="R598" s="3" t="s">
        <v>45</v>
      </c>
      <c r="S598" s="3" t="s">
        <v>45</v>
      </c>
      <c r="T598" s="3" t="s">
        <v>45</v>
      </c>
      <c r="U598" s="3" t="s">
        <v>45</v>
      </c>
      <c r="V598" s="3" t="s">
        <v>45</v>
      </c>
      <c r="W598" s="3" t="s">
        <v>45</v>
      </c>
      <c r="X598" s="3" t="s">
        <v>45</v>
      </c>
      <c r="Y598" s="3" t="s">
        <v>45</v>
      </c>
      <c r="Z598" s="3" t="s">
        <v>74</v>
      </c>
      <c r="AA598" s="3" t="s">
        <v>45</v>
      </c>
      <c r="AB598" s="3" t="s">
        <v>45</v>
      </c>
      <c r="AC598" s="3" t="s">
        <v>45</v>
      </c>
      <c r="AD598" s="3" t="s">
        <v>45</v>
      </c>
      <c r="AE598" s="3" t="s">
        <v>45</v>
      </c>
      <c r="AF598" s="3" t="s">
        <v>45</v>
      </c>
      <c r="AG598" s="3" t="s">
        <v>45</v>
      </c>
      <c r="AH598" s="3" t="s">
        <v>57</v>
      </c>
      <c r="AI598" s="3" t="s">
        <v>45</v>
      </c>
      <c r="AJ598" s="3" t="s">
        <v>45</v>
      </c>
      <c r="AK598" s="3" t="s">
        <v>45</v>
      </c>
      <c r="AL598" s="3" t="s">
        <v>45</v>
      </c>
      <c r="AM598" s="3" t="s">
        <v>45</v>
      </c>
      <c r="AN598" s="3" t="s">
        <v>45</v>
      </c>
      <c r="AO598" s="3" t="s">
        <v>45</v>
      </c>
      <c r="AP598" s="3" t="s">
        <v>45</v>
      </c>
      <c r="AQ598" s="4" t="s">
        <v>5630</v>
      </c>
      <c r="AR598" s="4" t="s">
        <v>5630</v>
      </c>
    </row>
    <row r="599">
      <c r="A599" s="3" t="s">
        <v>5631</v>
      </c>
      <c r="B599" s="3" t="s">
        <v>5632</v>
      </c>
      <c r="C599" s="3" t="s">
        <v>5624</v>
      </c>
      <c r="D599" s="3" t="s">
        <v>5625</v>
      </c>
      <c r="E599" s="4" t="s">
        <v>5626</v>
      </c>
      <c r="F599" s="3" t="s">
        <v>5627</v>
      </c>
      <c r="G599" s="4" t="s">
        <v>5633</v>
      </c>
      <c r="H599" s="4" t="s">
        <v>5634</v>
      </c>
      <c r="I599" s="3" t="s">
        <v>85</v>
      </c>
      <c r="J599" s="3" t="s">
        <v>126</v>
      </c>
      <c r="K599" s="3" t="s">
        <v>45</v>
      </c>
      <c r="L599" s="3" t="s">
        <v>45</v>
      </c>
      <c r="M599" s="3" t="s">
        <v>45</v>
      </c>
      <c r="N599" s="3" t="s">
        <v>45</v>
      </c>
      <c r="O599" s="3" t="s">
        <v>74</v>
      </c>
      <c r="P599" s="3" t="s">
        <v>45</v>
      </c>
      <c r="Q599" s="3" t="s">
        <v>45</v>
      </c>
      <c r="R599" s="3" t="s">
        <v>45</v>
      </c>
      <c r="S599" s="3" t="s">
        <v>45</v>
      </c>
      <c r="T599" s="3" t="s">
        <v>45</v>
      </c>
      <c r="U599" s="3" t="s">
        <v>45</v>
      </c>
      <c r="V599" s="3" t="s">
        <v>45</v>
      </c>
      <c r="W599" s="3" t="s">
        <v>45</v>
      </c>
      <c r="X599" s="3" t="s">
        <v>45</v>
      </c>
      <c r="Y599" s="3" t="s">
        <v>45</v>
      </c>
      <c r="Z599" s="3" t="s">
        <v>74</v>
      </c>
      <c r="AA599" s="3" t="s">
        <v>45</v>
      </c>
      <c r="AB599" s="3" t="s">
        <v>45</v>
      </c>
      <c r="AC599" s="3" t="s">
        <v>45</v>
      </c>
      <c r="AD599" s="3" t="s">
        <v>45</v>
      </c>
      <c r="AE599" s="3" t="s">
        <v>45</v>
      </c>
      <c r="AF599" s="3" t="s">
        <v>45</v>
      </c>
      <c r="AG599" s="3" t="s">
        <v>45</v>
      </c>
      <c r="AH599" s="3" t="s">
        <v>57</v>
      </c>
      <c r="AI599" s="3" t="s">
        <v>45</v>
      </c>
      <c r="AJ599" s="3" t="s">
        <v>45</v>
      </c>
      <c r="AK599" s="3" t="s">
        <v>45</v>
      </c>
      <c r="AL599" s="3" t="s">
        <v>45</v>
      </c>
      <c r="AM599" s="3" t="s">
        <v>45</v>
      </c>
      <c r="AN599" s="3" t="s">
        <v>45</v>
      </c>
      <c r="AO599" s="3" t="s">
        <v>45</v>
      </c>
      <c r="AP599" s="3" t="s">
        <v>45</v>
      </c>
      <c r="AQ599" s="4" t="s">
        <v>5630</v>
      </c>
      <c r="AR599" s="4" t="s">
        <v>5630</v>
      </c>
    </row>
    <row r="600">
      <c r="A600" s="3" t="s">
        <v>381</v>
      </c>
      <c r="B600" s="3" t="s">
        <v>5635</v>
      </c>
      <c r="C600" s="3" t="s">
        <v>5624</v>
      </c>
      <c r="D600" s="3" t="s">
        <v>5625</v>
      </c>
      <c r="E600" s="4" t="s">
        <v>5626</v>
      </c>
      <c r="F600" s="3" t="s">
        <v>5627</v>
      </c>
      <c r="G600" s="4" t="s">
        <v>5636</v>
      </c>
      <c r="H600" s="4" t="s">
        <v>5634</v>
      </c>
      <c r="I600" s="3" t="s">
        <v>85</v>
      </c>
      <c r="J600" s="3" t="s">
        <v>126</v>
      </c>
      <c r="K600" s="3" t="s">
        <v>45</v>
      </c>
      <c r="L600" s="3" t="s">
        <v>45</v>
      </c>
      <c r="M600" s="3" t="s">
        <v>45</v>
      </c>
      <c r="N600" s="3" t="s">
        <v>45</v>
      </c>
      <c r="O600" s="3" t="s">
        <v>74</v>
      </c>
      <c r="P600" s="3" t="s">
        <v>45</v>
      </c>
      <c r="Q600" s="3" t="s">
        <v>45</v>
      </c>
      <c r="R600" s="3" t="s">
        <v>45</v>
      </c>
      <c r="S600" s="3" t="s">
        <v>45</v>
      </c>
      <c r="T600" s="3" t="s">
        <v>45</v>
      </c>
      <c r="U600" s="3" t="s">
        <v>45</v>
      </c>
      <c r="V600" s="3" t="s">
        <v>45</v>
      </c>
      <c r="W600" s="3" t="s">
        <v>45</v>
      </c>
      <c r="X600" s="3" t="s">
        <v>45</v>
      </c>
      <c r="Y600" s="3" t="s">
        <v>45</v>
      </c>
      <c r="Z600" s="3" t="s">
        <v>74</v>
      </c>
      <c r="AA600" s="3" t="s">
        <v>45</v>
      </c>
      <c r="AB600" s="3" t="s">
        <v>45</v>
      </c>
      <c r="AC600" s="3" t="s">
        <v>45</v>
      </c>
      <c r="AD600" s="3" t="s">
        <v>45</v>
      </c>
      <c r="AE600" s="3" t="s">
        <v>45</v>
      </c>
      <c r="AF600" s="3" t="s">
        <v>45</v>
      </c>
      <c r="AG600" s="3" t="s">
        <v>45</v>
      </c>
      <c r="AH600" s="3" t="s">
        <v>57</v>
      </c>
      <c r="AI600" s="3" t="s">
        <v>45</v>
      </c>
      <c r="AJ600" s="3" t="s">
        <v>45</v>
      </c>
      <c r="AK600" s="3" t="s">
        <v>45</v>
      </c>
      <c r="AL600" s="3" t="s">
        <v>45</v>
      </c>
      <c r="AM600" s="3" t="s">
        <v>45</v>
      </c>
      <c r="AN600" s="3" t="s">
        <v>45</v>
      </c>
      <c r="AO600" s="3" t="s">
        <v>45</v>
      </c>
      <c r="AP600" s="3" t="s">
        <v>45</v>
      </c>
      <c r="AQ600" s="4" t="s">
        <v>5630</v>
      </c>
      <c r="AR600" s="4" t="s">
        <v>5630</v>
      </c>
    </row>
    <row r="601">
      <c r="A601" s="3" t="s">
        <v>5637</v>
      </c>
      <c r="B601" s="3" t="s">
        <v>5638</v>
      </c>
      <c r="C601" s="3" t="s">
        <v>5639</v>
      </c>
      <c r="D601" s="3" t="s">
        <v>5625</v>
      </c>
      <c r="E601" s="4" t="s">
        <v>5640</v>
      </c>
      <c r="F601" s="3" t="s">
        <v>5641</v>
      </c>
      <c r="G601" s="4" t="s">
        <v>5642</v>
      </c>
      <c r="H601" s="4" t="s">
        <v>5643</v>
      </c>
      <c r="I601" s="3" t="s">
        <v>85</v>
      </c>
      <c r="J601" s="3" t="s">
        <v>126</v>
      </c>
      <c r="K601" s="3" t="s">
        <v>45</v>
      </c>
      <c r="L601" s="3" t="s">
        <v>45</v>
      </c>
      <c r="M601" s="3" t="s">
        <v>45</v>
      </c>
      <c r="N601" s="3" t="s">
        <v>45</v>
      </c>
      <c r="O601" s="3" t="s">
        <v>74</v>
      </c>
      <c r="P601" s="3" t="s">
        <v>45</v>
      </c>
      <c r="Q601" s="3" t="s">
        <v>45</v>
      </c>
      <c r="R601" s="3" t="s">
        <v>45</v>
      </c>
      <c r="S601" s="3" t="s">
        <v>45</v>
      </c>
      <c r="T601" s="3" t="s">
        <v>45</v>
      </c>
      <c r="U601" s="3" t="s">
        <v>45</v>
      </c>
      <c r="V601" s="4" t="s">
        <v>5644</v>
      </c>
      <c r="W601" s="3" t="s">
        <v>45</v>
      </c>
      <c r="X601" s="3" t="s">
        <v>45</v>
      </c>
      <c r="Y601" s="3" t="s">
        <v>45</v>
      </c>
      <c r="Z601" s="3" t="s">
        <v>74</v>
      </c>
      <c r="AA601" s="3" t="s">
        <v>45</v>
      </c>
      <c r="AB601" s="3" t="s">
        <v>45</v>
      </c>
      <c r="AC601" s="3" t="s">
        <v>45</v>
      </c>
      <c r="AD601" s="3" t="s">
        <v>45</v>
      </c>
      <c r="AE601" s="3" t="s">
        <v>45</v>
      </c>
      <c r="AF601" s="3" t="s">
        <v>45</v>
      </c>
      <c r="AG601" s="3" t="s">
        <v>45</v>
      </c>
      <c r="AH601" s="3" t="s">
        <v>57</v>
      </c>
      <c r="AI601" s="5" t="s">
        <v>294</v>
      </c>
      <c r="AJ601" s="3" t="s">
        <v>45</v>
      </c>
      <c r="AK601" s="3" t="s">
        <v>45</v>
      </c>
      <c r="AL601" s="3" t="s">
        <v>45</v>
      </c>
      <c r="AM601" s="3" t="s">
        <v>45</v>
      </c>
      <c r="AN601" s="3" t="s">
        <v>45</v>
      </c>
      <c r="AO601" s="3" t="s">
        <v>45</v>
      </c>
      <c r="AP601" s="3" t="s">
        <v>45</v>
      </c>
      <c r="AQ601" s="4" t="s">
        <v>295</v>
      </c>
      <c r="AR601" s="4" t="s">
        <v>295</v>
      </c>
    </row>
    <row r="602">
      <c r="A602" s="3" t="s">
        <v>5645</v>
      </c>
      <c r="B602" s="3" t="s">
        <v>5646</v>
      </c>
      <c r="C602" s="3" t="s">
        <v>5647</v>
      </c>
      <c r="D602" s="3" t="s">
        <v>5625</v>
      </c>
      <c r="E602" s="4" t="s">
        <v>5648</v>
      </c>
      <c r="F602" s="3" t="s">
        <v>5649</v>
      </c>
      <c r="G602" s="4" t="s">
        <v>5650</v>
      </c>
      <c r="H602" s="4" t="s">
        <v>5651</v>
      </c>
      <c r="I602" s="3" t="s">
        <v>85</v>
      </c>
      <c r="J602" s="3" t="s">
        <v>126</v>
      </c>
      <c r="K602" s="3" t="s">
        <v>45</v>
      </c>
      <c r="L602" s="3" t="s">
        <v>45</v>
      </c>
      <c r="M602" s="3" t="s">
        <v>45</v>
      </c>
      <c r="N602" s="3" t="s">
        <v>45</v>
      </c>
      <c r="O602" s="3" t="s">
        <v>74</v>
      </c>
      <c r="P602" s="3" t="s">
        <v>45</v>
      </c>
      <c r="Q602" s="3" t="s">
        <v>45</v>
      </c>
      <c r="R602" s="3" t="s">
        <v>45</v>
      </c>
      <c r="S602" s="3" t="s">
        <v>45</v>
      </c>
      <c r="T602" s="3" t="s">
        <v>45</v>
      </c>
      <c r="U602" s="3" t="s">
        <v>45</v>
      </c>
      <c r="V602" s="3" t="s">
        <v>45</v>
      </c>
      <c r="W602" s="3" t="s">
        <v>45</v>
      </c>
      <c r="X602" s="3" t="s">
        <v>45</v>
      </c>
      <c r="Y602" s="3" t="s">
        <v>45</v>
      </c>
      <c r="Z602" s="3" t="s">
        <v>74</v>
      </c>
      <c r="AA602" s="3" t="s">
        <v>45</v>
      </c>
      <c r="AB602" s="3" t="s">
        <v>45</v>
      </c>
      <c r="AC602" s="3" t="s">
        <v>45</v>
      </c>
      <c r="AD602" s="3" t="s">
        <v>45</v>
      </c>
      <c r="AE602" s="3" t="s">
        <v>45</v>
      </c>
      <c r="AF602" s="3" t="s">
        <v>45</v>
      </c>
      <c r="AG602" s="3" t="s">
        <v>45</v>
      </c>
      <c r="AH602" s="3" t="s">
        <v>57</v>
      </c>
      <c r="AI602" s="3" t="s">
        <v>45</v>
      </c>
      <c r="AJ602" s="3" t="s">
        <v>45</v>
      </c>
      <c r="AK602" s="3" t="s">
        <v>45</v>
      </c>
      <c r="AL602" s="3" t="s">
        <v>45</v>
      </c>
      <c r="AM602" s="3" t="s">
        <v>45</v>
      </c>
      <c r="AN602" s="3" t="s">
        <v>45</v>
      </c>
      <c r="AO602" s="3" t="s">
        <v>45</v>
      </c>
      <c r="AP602" s="3" t="s">
        <v>45</v>
      </c>
      <c r="AQ602" s="4" t="s">
        <v>5630</v>
      </c>
      <c r="AR602" s="4" t="s">
        <v>5630</v>
      </c>
    </row>
    <row r="603">
      <c r="A603" s="3" t="s">
        <v>5652</v>
      </c>
      <c r="B603" s="3" t="s">
        <v>5653</v>
      </c>
      <c r="C603" s="3" t="s">
        <v>5654</v>
      </c>
      <c r="D603" s="3" t="s">
        <v>5625</v>
      </c>
      <c r="E603" s="3" t="s">
        <v>45</v>
      </c>
      <c r="F603" s="3" t="s">
        <v>5654</v>
      </c>
      <c r="G603" s="4" t="s">
        <v>5655</v>
      </c>
      <c r="H603" s="4" t="s">
        <v>5656</v>
      </c>
      <c r="I603" s="3" t="s">
        <v>49</v>
      </c>
      <c r="J603" s="3" t="s">
        <v>99</v>
      </c>
      <c r="K603" s="3" t="s">
        <v>45</v>
      </c>
      <c r="L603" s="3" t="s">
        <v>45</v>
      </c>
      <c r="M603" s="3" t="s">
        <v>45</v>
      </c>
      <c r="N603" s="4" t="s">
        <v>5657</v>
      </c>
      <c r="O603" s="3" t="s">
        <v>70</v>
      </c>
      <c r="P603" s="3" t="s">
        <v>71</v>
      </c>
      <c r="Q603" s="3" t="s">
        <v>45</v>
      </c>
      <c r="R603" s="3" t="s">
        <v>45</v>
      </c>
      <c r="S603" s="3" t="s">
        <v>45</v>
      </c>
      <c r="T603" s="3" t="s">
        <v>45</v>
      </c>
      <c r="U603" s="3" t="s">
        <v>45</v>
      </c>
      <c r="V603" s="3" t="s">
        <v>45</v>
      </c>
      <c r="W603" s="4" t="s">
        <v>5658</v>
      </c>
      <c r="X603" s="3" t="s">
        <v>45</v>
      </c>
      <c r="Y603" s="4" t="s">
        <v>73</v>
      </c>
      <c r="Z603" s="3" t="s">
        <v>74</v>
      </c>
      <c r="AA603" s="3" t="s">
        <v>45</v>
      </c>
      <c r="AB603" s="3" t="s">
        <v>45</v>
      </c>
      <c r="AC603" s="3" t="s">
        <v>45</v>
      </c>
      <c r="AD603" s="3" t="s">
        <v>45</v>
      </c>
      <c r="AE603" s="3" t="s">
        <v>45</v>
      </c>
      <c r="AF603" s="3" t="s">
        <v>45</v>
      </c>
      <c r="AG603" s="3" t="s">
        <v>5659</v>
      </c>
      <c r="AH603" s="3" t="s">
        <v>57</v>
      </c>
      <c r="AI603" s="5" t="s">
        <v>5660</v>
      </c>
      <c r="AJ603" s="3" t="s">
        <v>45</v>
      </c>
      <c r="AK603" s="3" t="s">
        <v>45</v>
      </c>
      <c r="AL603" s="3" t="s">
        <v>45</v>
      </c>
      <c r="AM603" s="3" t="s">
        <v>45</v>
      </c>
      <c r="AN603" s="3" t="s">
        <v>45</v>
      </c>
      <c r="AO603" s="3" t="s">
        <v>45</v>
      </c>
      <c r="AP603" s="3" t="s">
        <v>45</v>
      </c>
      <c r="AQ603" s="4" t="s">
        <v>1001</v>
      </c>
      <c r="AR603" s="4" t="s">
        <v>1001</v>
      </c>
    </row>
    <row r="604">
      <c r="A604" s="3" t="s">
        <v>5661</v>
      </c>
      <c r="B604" s="3" t="s">
        <v>45</v>
      </c>
      <c r="C604" s="3" t="s">
        <v>5662</v>
      </c>
      <c r="D604" s="3" t="s">
        <v>5625</v>
      </c>
      <c r="E604" s="3" t="s">
        <v>45</v>
      </c>
      <c r="F604" s="3" t="s">
        <v>5663</v>
      </c>
      <c r="G604" s="4" t="s">
        <v>5664</v>
      </c>
      <c r="H604" s="4" t="s">
        <v>5665</v>
      </c>
      <c r="I604" s="3" t="s">
        <v>49</v>
      </c>
      <c r="J604" s="3" t="s">
        <v>50</v>
      </c>
      <c r="K604" s="3" t="s">
        <v>45</v>
      </c>
      <c r="L604" s="3" t="s">
        <v>45</v>
      </c>
      <c r="M604" s="3" t="s">
        <v>45</v>
      </c>
      <c r="N604" s="4" t="s">
        <v>5666</v>
      </c>
      <c r="O604" s="3" t="s">
        <v>88</v>
      </c>
      <c r="P604" s="3" t="s">
        <v>45</v>
      </c>
      <c r="Q604" s="3" t="s">
        <v>45</v>
      </c>
      <c r="R604" s="3" t="s">
        <v>45</v>
      </c>
      <c r="S604" s="3" t="s">
        <v>45</v>
      </c>
      <c r="T604" s="3" t="s">
        <v>45</v>
      </c>
      <c r="U604" s="3" t="s">
        <v>45</v>
      </c>
      <c r="V604" s="3" t="s">
        <v>45</v>
      </c>
      <c r="W604" s="4" t="s">
        <v>156</v>
      </c>
      <c r="X604" s="3" t="s">
        <v>45</v>
      </c>
      <c r="Y604" s="3" t="s">
        <v>45</v>
      </c>
      <c r="Z604" s="3" t="s">
        <v>74</v>
      </c>
      <c r="AA604" s="3" t="s">
        <v>45</v>
      </c>
      <c r="AB604" s="3" t="s">
        <v>45</v>
      </c>
      <c r="AC604" s="3" t="s">
        <v>45</v>
      </c>
      <c r="AD604" s="3" t="s">
        <v>45</v>
      </c>
      <c r="AE604" s="3" t="s">
        <v>45</v>
      </c>
      <c r="AF604" s="3" t="s">
        <v>45</v>
      </c>
      <c r="AG604" s="3" t="s">
        <v>45</v>
      </c>
      <c r="AH604" s="3" t="s">
        <v>57</v>
      </c>
      <c r="AI604" s="5" t="s">
        <v>5667</v>
      </c>
      <c r="AJ604" s="3" t="s">
        <v>45</v>
      </c>
      <c r="AK604" s="3" t="s">
        <v>45</v>
      </c>
      <c r="AL604" s="3" t="s">
        <v>45</v>
      </c>
      <c r="AM604" s="3" t="s">
        <v>45</v>
      </c>
      <c r="AN604" s="3" t="s">
        <v>45</v>
      </c>
      <c r="AO604" s="3" t="s">
        <v>45</v>
      </c>
      <c r="AP604" s="3" t="s">
        <v>45</v>
      </c>
      <c r="AQ604" s="4" t="s">
        <v>5630</v>
      </c>
      <c r="AR604" s="4" t="s">
        <v>5630</v>
      </c>
    </row>
    <row r="605">
      <c r="A605" s="3" t="s">
        <v>5668</v>
      </c>
      <c r="B605" s="3" t="s">
        <v>5669</v>
      </c>
      <c r="C605" s="3" t="s">
        <v>5670</v>
      </c>
      <c r="D605" s="3" t="s">
        <v>5625</v>
      </c>
      <c r="E605" s="4" t="s">
        <v>5671</v>
      </c>
      <c r="F605" s="3" t="s">
        <v>5672</v>
      </c>
      <c r="G605" s="4" t="s">
        <v>5673</v>
      </c>
      <c r="H605" s="4" t="s">
        <v>5674</v>
      </c>
      <c r="I605" s="3" t="s">
        <v>218</v>
      </c>
      <c r="J605" s="3" t="s">
        <v>50</v>
      </c>
      <c r="K605" s="3" t="s">
        <v>45</v>
      </c>
      <c r="L605" s="3" t="s">
        <v>5675</v>
      </c>
      <c r="M605" s="3" t="s">
        <v>45</v>
      </c>
      <c r="N605" s="4" t="s">
        <v>667</v>
      </c>
      <c r="O605" s="3" t="s">
        <v>70</v>
      </c>
      <c r="P605" s="3" t="s">
        <v>45</v>
      </c>
      <c r="Q605" s="3" t="s">
        <v>45</v>
      </c>
      <c r="R605" s="3" t="s">
        <v>45</v>
      </c>
      <c r="S605" s="3" t="s">
        <v>5676</v>
      </c>
      <c r="T605" s="3" t="s">
        <v>45</v>
      </c>
      <c r="U605" s="3" t="s">
        <v>45</v>
      </c>
      <c r="V605" s="4" t="s">
        <v>260</v>
      </c>
      <c r="W605" s="4" t="s">
        <v>1219</v>
      </c>
      <c r="X605" s="3" t="s">
        <v>5677</v>
      </c>
      <c r="Y605" s="4" t="s">
        <v>727</v>
      </c>
      <c r="Z605" s="3" t="s">
        <v>55</v>
      </c>
      <c r="AA605" s="3" t="s">
        <v>5678</v>
      </c>
      <c r="AB605" s="3" t="s">
        <v>109</v>
      </c>
      <c r="AC605" s="3" t="s">
        <v>55</v>
      </c>
      <c r="AD605" s="5" t="s">
        <v>5679</v>
      </c>
      <c r="AE605" s="5" t="s">
        <v>5680</v>
      </c>
      <c r="AF605" s="5" t="s">
        <v>5681</v>
      </c>
      <c r="AG605" s="3" t="s">
        <v>5682</v>
      </c>
      <c r="AH605" s="3" t="s">
        <v>57</v>
      </c>
      <c r="AI605" s="5" t="s">
        <v>5683</v>
      </c>
      <c r="AJ605" s="5" t="s">
        <v>5684</v>
      </c>
      <c r="AK605" s="5" t="s">
        <v>5685</v>
      </c>
      <c r="AL605" s="5" t="s">
        <v>5686</v>
      </c>
      <c r="AM605" s="5" t="s">
        <v>5687</v>
      </c>
      <c r="AN605" s="5" t="s">
        <v>5688</v>
      </c>
      <c r="AO605" s="5" t="s">
        <v>5689</v>
      </c>
      <c r="AP605" s="5" t="s">
        <v>5690</v>
      </c>
      <c r="AQ605" s="4" t="s">
        <v>5691</v>
      </c>
      <c r="AR605" s="4" t="s">
        <v>1589</v>
      </c>
    </row>
    <row r="606">
      <c r="A606" s="3" t="s">
        <v>5692</v>
      </c>
      <c r="B606" s="3" t="s">
        <v>5693</v>
      </c>
      <c r="C606" s="3" t="s">
        <v>5694</v>
      </c>
      <c r="D606" s="3" t="s">
        <v>5625</v>
      </c>
      <c r="E606" s="3" t="s">
        <v>45</v>
      </c>
      <c r="F606" s="3" t="s">
        <v>5694</v>
      </c>
      <c r="G606" s="4" t="s">
        <v>5695</v>
      </c>
      <c r="H606" s="4" t="s">
        <v>5696</v>
      </c>
      <c r="I606" s="3" t="s">
        <v>436</v>
      </c>
      <c r="J606" s="3" t="s">
        <v>50</v>
      </c>
      <c r="K606" s="3" t="s">
        <v>45</v>
      </c>
      <c r="L606" s="3" t="s">
        <v>45</v>
      </c>
      <c r="M606" s="3" t="s">
        <v>45</v>
      </c>
      <c r="N606" s="4" t="s">
        <v>1094</v>
      </c>
      <c r="O606" s="3" t="s">
        <v>70</v>
      </c>
      <c r="P606" s="3" t="s">
        <v>3025</v>
      </c>
      <c r="Q606" s="3" t="s">
        <v>45</v>
      </c>
      <c r="R606" s="3" t="s">
        <v>45</v>
      </c>
      <c r="S606" s="3" t="s">
        <v>45</v>
      </c>
      <c r="T606" s="3" t="s">
        <v>45</v>
      </c>
      <c r="U606" s="3" t="s">
        <v>45</v>
      </c>
      <c r="V606" s="3" t="s">
        <v>45</v>
      </c>
      <c r="W606" s="4" t="s">
        <v>5697</v>
      </c>
      <c r="X606" s="3" t="s">
        <v>45</v>
      </c>
      <c r="Y606" s="4" t="s">
        <v>957</v>
      </c>
      <c r="Z606" s="3" t="s">
        <v>55</v>
      </c>
      <c r="AA606" s="3" t="s">
        <v>45</v>
      </c>
      <c r="AB606" s="3" t="s">
        <v>109</v>
      </c>
      <c r="AC606" s="3" t="s">
        <v>45</v>
      </c>
      <c r="AD606" s="3" t="s">
        <v>5698</v>
      </c>
      <c r="AE606" s="5" t="s">
        <v>5699</v>
      </c>
      <c r="AF606" s="5" t="s">
        <v>5700</v>
      </c>
      <c r="AG606" s="3" t="s">
        <v>5701</v>
      </c>
      <c r="AH606" s="3" t="s">
        <v>57</v>
      </c>
      <c r="AI606" s="5" t="s">
        <v>5702</v>
      </c>
      <c r="AJ606" s="5" t="s">
        <v>5703</v>
      </c>
      <c r="AK606" s="3" t="s">
        <v>45</v>
      </c>
      <c r="AL606" s="3" t="s">
        <v>45</v>
      </c>
      <c r="AM606" s="3" t="s">
        <v>45</v>
      </c>
      <c r="AN606" s="3" t="s">
        <v>45</v>
      </c>
      <c r="AO606" s="3" t="s">
        <v>45</v>
      </c>
      <c r="AP606" s="3" t="s">
        <v>45</v>
      </c>
      <c r="AQ606" s="4" t="s">
        <v>474</v>
      </c>
      <c r="AR606" s="4" t="s">
        <v>474</v>
      </c>
    </row>
    <row r="607">
      <c r="A607" s="3" t="s">
        <v>5704</v>
      </c>
      <c r="B607" s="3" t="s">
        <v>5705</v>
      </c>
      <c r="C607" s="3" t="s">
        <v>5706</v>
      </c>
      <c r="D607" s="3" t="s">
        <v>5707</v>
      </c>
      <c r="E607" s="4" t="s">
        <v>5708</v>
      </c>
      <c r="F607" s="3" t="s">
        <v>3257</v>
      </c>
      <c r="G607" s="4" t="s">
        <v>5709</v>
      </c>
      <c r="H607" s="4" t="s">
        <v>5710</v>
      </c>
      <c r="I607" s="3" t="s">
        <v>49</v>
      </c>
      <c r="J607" s="3" t="s">
        <v>50</v>
      </c>
      <c r="K607" s="3" t="s">
        <v>45</v>
      </c>
      <c r="L607" s="3" t="s">
        <v>5711</v>
      </c>
      <c r="M607" s="3" t="s">
        <v>45</v>
      </c>
      <c r="N607" s="4" t="s">
        <v>5712</v>
      </c>
      <c r="O607" s="3" t="s">
        <v>88</v>
      </c>
      <c r="P607" s="3" t="s">
        <v>5713</v>
      </c>
      <c r="Q607" s="3" t="s">
        <v>45</v>
      </c>
      <c r="R607" s="3" t="s">
        <v>45</v>
      </c>
      <c r="S607" s="4" t="s">
        <v>275</v>
      </c>
      <c r="T607" s="3" t="s">
        <v>89</v>
      </c>
      <c r="U607" s="3" t="s">
        <v>45</v>
      </c>
      <c r="V607" s="3" t="s">
        <v>45</v>
      </c>
      <c r="W607" s="4" t="s">
        <v>5714</v>
      </c>
      <c r="X607" s="3" t="s">
        <v>45</v>
      </c>
      <c r="Y607" s="3" t="s">
        <v>45</v>
      </c>
      <c r="Z607" s="3" t="s">
        <v>74</v>
      </c>
      <c r="AA607" s="3" t="s">
        <v>45</v>
      </c>
      <c r="AB607" s="3" t="s">
        <v>45</v>
      </c>
      <c r="AC607" s="3" t="s">
        <v>45</v>
      </c>
      <c r="AD607" s="3" t="s">
        <v>45</v>
      </c>
      <c r="AE607" s="3" t="s">
        <v>45</v>
      </c>
      <c r="AF607" s="5" t="s">
        <v>5715</v>
      </c>
      <c r="AG607" s="3" t="s">
        <v>5716</v>
      </c>
      <c r="AH607" s="3" t="s">
        <v>57</v>
      </c>
      <c r="AI607" s="5" t="s">
        <v>5717</v>
      </c>
      <c r="AJ607" s="5" t="s">
        <v>5718</v>
      </c>
      <c r="AK607" s="3" t="s">
        <v>45</v>
      </c>
      <c r="AL607" s="3" t="s">
        <v>45</v>
      </c>
      <c r="AM607" s="3" t="s">
        <v>45</v>
      </c>
      <c r="AN607" s="3" t="s">
        <v>45</v>
      </c>
      <c r="AO607" s="3" t="s">
        <v>45</v>
      </c>
      <c r="AP607" s="3" t="s">
        <v>45</v>
      </c>
      <c r="AQ607" s="4" t="s">
        <v>3713</v>
      </c>
      <c r="AR607" s="4" t="s">
        <v>898</v>
      </c>
    </row>
    <row r="608">
      <c r="A608" s="3" t="s">
        <v>5719</v>
      </c>
      <c r="B608" s="3" t="s">
        <v>5720</v>
      </c>
      <c r="C608" s="3" t="s">
        <v>5721</v>
      </c>
      <c r="D608" s="3" t="s">
        <v>5707</v>
      </c>
      <c r="E608" s="4" t="s">
        <v>5722</v>
      </c>
      <c r="F608" s="3" t="s">
        <v>3257</v>
      </c>
      <c r="G608" s="4" t="s">
        <v>5723</v>
      </c>
      <c r="H608" s="4" t="s">
        <v>5724</v>
      </c>
      <c r="I608" s="3" t="s">
        <v>85</v>
      </c>
      <c r="J608" s="3" t="s">
        <v>126</v>
      </c>
      <c r="K608" s="3" t="s">
        <v>45</v>
      </c>
      <c r="L608" s="3" t="s">
        <v>45</v>
      </c>
      <c r="M608" s="3" t="s">
        <v>45</v>
      </c>
      <c r="N608" s="4" t="s">
        <v>90</v>
      </c>
      <c r="O608" s="3" t="s">
        <v>88</v>
      </c>
      <c r="P608" s="3" t="s">
        <v>45</v>
      </c>
      <c r="Q608" s="3" t="s">
        <v>45</v>
      </c>
      <c r="R608" s="3" t="s">
        <v>45</v>
      </c>
      <c r="S608" s="3" t="s">
        <v>45</v>
      </c>
      <c r="T608" s="3" t="s">
        <v>45</v>
      </c>
      <c r="U608" s="3" t="s">
        <v>45</v>
      </c>
      <c r="V608" s="4" t="s">
        <v>5725</v>
      </c>
      <c r="W608" s="3" t="s">
        <v>45</v>
      </c>
      <c r="X608" s="3" t="s">
        <v>45</v>
      </c>
      <c r="Y608" s="3" t="s">
        <v>45</v>
      </c>
      <c r="Z608" s="3" t="s">
        <v>74</v>
      </c>
      <c r="AA608" s="3" t="s">
        <v>45</v>
      </c>
      <c r="AB608" s="3" t="s">
        <v>45</v>
      </c>
      <c r="AC608" s="3" t="s">
        <v>45</v>
      </c>
      <c r="AD608" s="3" t="s">
        <v>45</v>
      </c>
      <c r="AE608" s="3" t="s">
        <v>45</v>
      </c>
      <c r="AF608" s="3" t="s">
        <v>45</v>
      </c>
      <c r="AG608" s="3" t="s">
        <v>45</v>
      </c>
      <c r="AH608" s="3" t="s">
        <v>57</v>
      </c>
      <c r="AI608" s="5" t="s">
        <v>5726</v>
      </c>
      <c r="AJ608" s="3" t="s">
        <v>45</v>
      </c>
      <c r="AK608" s="3" t="s">
        <v>45</v>
      </c>
      <c r="AL608" s="3" t="s">
        <v>45</v>
      </c>
      <c r="AM608" s="3" t="s">
        <v>45</v>
      </c>
      <c r="AN608" s="3" t="s">
        <v>45</v>
      </c>
      <c r="AO608" s="3" t="s">
        <v>45</v>
      </c>
      <c r="AP608" s="3" t="s">
        <v>45</v>
      </c>
      <c r="AQ608" s="4" t="s">
        <v>3655</v>
      </c>
      <c r="AR608" s="4" t="s">
        <v>3655</v>
      </c>
    </row>
    <row r="609">
      <c r="A609" s="3" t="s">
        <v>5727</v>
      </c>
      <c r="B609" s="3" t="s">
        <v>5728</v>
      </c>
      <c r="C609" s="3" t="s">
        <v>5721</v>
      </c>
      <c r="D609" s="3" t="s">
        <v>5707</v>
      </c>
      <c r="E609" s="4" t="s">
        <v>5722</v>
      </c>
      <c r="F609" s="3" t="s">
        <v>3257</v>
      </c>
      <c r="G609" s="4" t="s">
        <v>5729</v>
      </c>
      <c r="H609" s="4" t="s">
        <v>5730</v>
      </c>
      <c r="I609" s="3" t="s">
        <v>49</v>
      </c>
      <c r="J609" s="3" t="s">
        <v>50</v>
      </c>
      <c r="K609" s="3" t="s">
        <v>45</v>
      </c>
      <c r="L609" s="3" t="s">
        <v>45</v>
      </c>
      <c r="M609" s="3" t="s">
        <v>45</v>
      </c>
      <c r="N609" s="3" t="s">
        <v>45</v>
      </c>
      <c r="O609" s="3" t="s">
        <v>74</v>
      </c>
      <c r="P609" s="3" t="s">
        <v>45</v>
      </c>
      <c r="Q609" s="3" t="s">
        <v>45</v>
      </c>
      <c r="R609" s="3" t="s">
        <v>45</v>
      </c>
      <c r="S609" s="3" t="s">
        <v>45</v>
      </c>
      <c r="T609" s="3" t="s">
        <v>45</v>
      </c>
      <c r="U609" s="3" t="s">
        <v>45</v>
      </c>
      <c r="V609" s="3" t="s">
        <v>45</v>
      </c>
      <c r="W609" s="4" t="s">
        <v>5731</v>
      </c>
      <c r="X609" s="3" t="s">
        <v>5732</v>
      </c>
      <c r="Y609" s="3" t="s">
        <v>45</v>
      </c>
      <c r="Z609" s="3" t="s">
        <v>74</v>
      </c>
      <c r="AA609" s="3" t="s">
        <v>45</v>
      </c>
      <c r="AB609" s="3" t="s">
        <v>45</v>
      </c>
      <c r="AC609" s="3" t="s">
        <v>45</v>
      </c>
      <c r="AD609" s="3" t="s">
        <v>45</v>
      </c>
      <c r="AE609" s="3" t="s">
        <v>45</v>
      </c>
      <c r="AF609" s="3" t="s">
        <v>45</v>
      </c>
      <c r="AG609" s="3" t="s">
        <v>5733</v>
      </c>
      <c r="AH609" s="3" t="s">
        <v>57</v>
      </c>
      <c r="AI609" s="5" t="s">
        <v>5726</v>
      </c>
      <c r="AJ609" s="5" t="s">
        <v>5734</v>
      </c>
      <c r="AK609" s="3" t="s">
        <v>45</v>
      </c>
      <c r="AL609" s="3" t="s">
        <v>45</v>
      </c>
      <c r="AM609" s="3" t="s">
        <v>45</v>
      </c>
      <c r="AN609" s="3" t="s">
        <v>45</v>
      </c>
      <c r="AO609" s="3" t="s">
        <v>45</v>
      </c>
      <c r="AP609" s="3" t="s">
        <v>45</v>
      </c>
      <c r="AQ609" s="4" t="s">
        <v>3655</v>
      </c>
      <c r="AR609" s="4" t="s">
        <v>3655</v>
      </c>
    </row>
    <row r="610">
      <c r="A610" s="3" t="s">
        <v>5735</v>
      </c>
      <c r="B610" s="3" t="s">
        <v>5736</v>
      </c>
      <c r="C610" s="3" t="s">
        <v>5721</v>
      </c>
      <c r="D610" s="3" t="s">
        <v>5707</v>
      </c>
      <c r="E610" s="4" t="s">
        <v>5737</v>
      </c>
      <c r="F610" s="3" t="s">
        <v>3257</v>
      </c>
      <c r="G610" s="4" t="s">
        <v>5738</v>
      </c>
      <c r="H610" s="4" t="s">
        <v>5739</v>
      </c>
      <c r="I610" s="3" t="s">
        <v>49</v>
      </c>
      <c r="J610" s="3" t="s">
        <v>50</v>
      </c>
      <c r="K610" s="3" t="s">
        <v>45</v>
      </c>
      <c r="L610" s="3" t="s">
        <v>1798</v>
      </c>
      <c r="M610" s="3" t="s">
        <v>45</v>
      </c>
      <c r="N610" s="3" t="s">
        <v>45</v>
      </c>
      <c r="O610" s="3" t="s">
        <v>74</v>
      </c>
      <c r="P610" s="3" t="s">
        <v>45</v>
      </c>
      <c r="Q610" s="3" t="s">
        <v>45</v>
      </c>
      <c r="R610" s="3" t="s">
        <v>45</v>
      </c>
      <c r="S610" s="3" t="s">
        <v>45</v>
      </c>
      <c r="T610" s="3" t="s">
        <v>45</v>
      </c>
      <c r="U610" s="3" t="s">
        <v>45</v>
      </c>
      <c r="V610" s="3" t="s">
        <v>45</v>
      </c>
      <c r="W610" s="4" t="s">
        <v>5740</v>
      </c>
      <c r="X610" s="3" t="s">
        <v>45</v>
      </c>
      <c r="Y610" s="3" t="s">
        <v>45</v>
      </c>
      <c r="Z610" s="3" t="s">
        <v>74</v>
      </c>
      <c r="AA610" s="3" t="s">
        <v>45</v>
      </c>
      <c r="AB610" s="3" t="s">
        <v>45</v>
      </c>
      <c r="AC610" s="3" t="s">
        <v>45</v>
      </c>
      <c r="AD610" s="3" t="s">
        <v>45</v>
      </c>
      <c r="AE610" s="3" t="s">
        <v>45</v>
      </c>
      <c r="AF610" s="3" t="s">
        <v>45</v>
      </c>
      <c r="AG610" s="3" t="s">
        <v>45</v>
      </c>
      <c r="AH610" s="3" t="s">
        <v>57</v>
      </c>
      <c r="AI610" s="5" t="s">
        <v>5741</v>
      </c>
      <c r="AJ610" s="3" t="s">
        <v>45</v>
      </c>
      <c r="AK610" s="3" t="s">
        <v>45</v>
      </c>
      <c r="AL610" s="3" t="s">
        <v>45</v>
      </c>
      <c r="AM610" s="3" t="s">
        <v>45</v>
      </c>
      <c r="AN610" s="3" t="s">
        <v>45</v>
      </c>
      <c r="AO610" s="3" t="s">
        <v>45</v>
      </c>
      <c r="AP610" s="3" t="s">
        <v>45</v>
      </c>
      <c r="AQ610" s="4" t="s">
        <v>1050</v>
      </c>
      <c r="AR610" s="4" t="s">
        <v>1050</v>
      </c>
    </row>
    <row r="611">
      <c r="A611" s="3" t="s">
        <v>5735</v>
      </c>
      <c r="B611" s="3" t="s">
        <v>5742</v>
      </c>
      <c r="C611" s="3" t="s">
        <v>5721</v>
      </c>
      <c r="D611" s="3" t="s">
        <v>5707</v>
      </c>
      <c r="E611" s="4" t="s">
        <v>5743</v>
      </c>
      <c r="F611" s="3" t="s">
        <v>3257</v>
      </c>
      <c r="G611" s="4" t="s">
        <v>5744</v>
      </c>
      <c r="H611" s="4" t="s">
        <v>5745</v>
      </c>
      <c r="I611" s="3" t="s">
        <v>49</v>
      </c>
      <c r="J611" s="3" t="s">
        <v>126</v>
      </c>
      <c r="K611" s="3" t="s">
        <v>743</v>
      </c>
      <c r="L611" s="3" t="s">
        <v>45</v>
      </c>
      <c r="M611" s="3" t="s">
        <v>45</v>
      </c>
      <c r="N611" s="3" t="s">
        <v>45</v>
      </c>
      <c r="O611" s="3" t="s">
        <v>74</v>
      </c>
      <c r="P611" s="3" t="s">
        <v>45</v>
      </c>
      <c r="Q611" s="3" t="s">
        <v>45</v>
      </c>
      <c r="R611" s="3" t="s">
        <v>45</v>
      </c>
      <c r="S611" s="3" t="s">
        <v>45</v>
      </c>
      <c r="T611" s="3" t="s">
        <v>45</v>
      </c>
      <c r="U611" s="3" t="s">
        <v>45</v>
      </c>
      <c r="V611" s="3" t="s">
        <v>45</v>
      </c>
      <c r="W611" s="4" t="s">
        <v>427</v>
      </c>
      <c r="X611" s="3" t="s">
        <v>5746</v>
      </c>
      <c r="Y611" s="3" t="s">
        <v>45</v>
      </c>
      <c r="Z611" s="3" t="s">
        <v>74</v>
      </c>
      <c r="AA611" s="3" t="s">
        <v>45</v>
      </c>
      <c r="AB611" s="3" t="s">
        <v>45</v>
      </c>
      <c r="AC611" s="3" t="s">
        <v>45</v>
      </c>
      <c r="AD611" s="3" t="s">
        <v>45</v>
      </c>
      <c r="AE611" s="3" t="s">
        <v>45</v>
      </c>
      <c r="AF611" s="3" t="s">
        <v>45</v>
      </c>
      <c r="AG611" s="3" t="s">
        <v>45</v>
      </c>
      <c r="AH611" s="3" t="s">
        <v>57</v>
      </c>
      <c r="AI611" s="3" t="s">
        <v>5747</v>
      </c>
      <c r="AJ611" s="3" t="s">
        <v>45</v>
      </c>
      <c r="AK611" s="3" t="s">
        <v>45</v>
      </c>
      <c r="AL611" s="3" t="s">
        <v>45</v>
      </c>
      <c r="AM611" s="3" t="s">
        <v>45</v>
      </c>
      <c r="AN611" s="3" t="s">
        <v>45</v>
      </c>
      <c r="AO611" s="3" t="s">
        <v>45</v>
      </c>
      <c r="AP611" s="3" t="s">
        <v>45</v>
      </c>
      <c r="AQ611" s="4" t="s">
        <v>864</v>
      </c>
      <c r="AR611" s="4" t="s">
        <v>864</v>
      </c>
    </row>
    <row r="612">
      <c r="A612" s="3" t="s">
        <v>5748</v>
      </c>
      <c r="B612" s="3" t="s">
        <v>5749</v>
      </c>
      <c r="C612" s="3" t="s">
        <v>5721</v>
      </c>
      <c r="D612" s="3" t="s">
        <v>5707</v>
      </c>
      <c r="E612" s="4" t="s">
        <v>5750</v>
      </c>
      <c r="F612" s="3" t="s">
        <v>3257</v>
      </c>
      <c r="G612" s="4" t="s">
        <v>5751</v>
      </c>
      <c r="H612" s="4" t="s">
        <v>5752</v>
      </c>
      <c r="I612" s="3" t="s">
        <v>85</v>
      </c>
      <c r="J612" s="3" t="s">
        <v>126</v>
      </c>
      <c r="K612" s="3" t="s">
        <v>45</v>
      </c>
      <c r="L612" s="3" t="s">
        <v>1798</v>
      </c>
      <c r="M612" s="3" t="s">
        <v>45</v>
      </c>
      <c r="N612" s="4" t="s">
        <v>5753</v>
      </c>
      <c r="O612" s="3" t="s">
        <v>88</v>
      </c>
      <c r="P612" s="3" t="s">
        <v>45</v>
      </c>
      <c r="Q612" s="3" t="s">
        <v>45</v>
      </c>
      <c r="R612" s="3" t="s">
        <v>45</v>
      </c>
      <c r="S612" s="3" t="s">
        <v>45</v>
      </c>
      <c r="T612" s="3" t="s">
        <v>45</v>
      </c>
      <c r="U612" s="3" t="s">
        <v>45</v>
      </c>
      <c r="V612" s="4" t="s">
        <v>5420</v>
      </c>
      <c r="W612" s="3" t="s">
        <v>45</v>
      </c>
      <c r="X612" s="3" t="s">
        <v>45</v>
      </c>
      <c r="Y612" s="3" t="s">
        <v>45</v>
      </c>
      <c r="Z612" s="3" t="s">
        <v>74</v>
      </c>
      <c r="AA612" s="3" t="s">
        <v>45</v>
      </c>
      <c r="AB612" s="3" t="s">
        <v>45</v>
      </c>
      <c r="AC612" s="3" t="s">
        <v>45</v>
      </c>
      <c r="AD612" s="3" t="s">
        <v>45</v>
      </c>
      <c r="AE612" s="3" t="s">
        <v>45</v>
      </c>
      <c r="AF612" s="3" t="s">
        <v>45</v>
      </c>
      <c r="AG612" s="3" t="s">
        <v>45</v>
      </c>
      <c r="AH612" s="3" t="s">
        <v>57</v>
      </c>
      <c r="AI612" s="5" t="s">
        <v>5754</v>
      </c>
      <c r="AJ612" s="3" t="s">
        <v>45</v>
      </c>
      <c r="AK612" s="3" t="s">
        <v>45</v>
      </c>
      <c r="AL612" s="3" t="s">
        <v>45</v>
      </c>
      <c r="AM612" s="3" t="s">
        <v>45</v>
      </c>
      <c r="AN612" s="3" t="s">
        <v>45</v>
      </c>
      <c r="AO612" s="3" t="s">
        <v>45</v>
      </c>
      <c r="AP612" s="3" t="s">
        <v>45</v>
      </c>
      <c r="AQ612" s="4" t="s">
        <v>864</v>
      </c>
      <c r="AR612" s="4" t="s">
        <v>864</v>
      </c>
    </row>
    <row r="613">
      <c r="A613" s="5" t="s">
        <v>5755</v>
      </c>
      <c r="B613" s="3" t="s">
        <v>5756</v>
      </c>
      <c r="C613" s="3" t="s">
        <v>5757</v>
      </c>
      <c r="D613" s="3" t="s">
        <v>5707</v>
      </c>
      <c r="E613" s="4" t="s">
        <v>5758</v>
      </c>
      <c r="F613" s="3" t="s">
        <v>3257</v>
      </c>
      <c r="G613" s="4" t="s">
        <v>5759</v>
      </c>
      <c r="H613" s="4" t="s">
        <v>5760</v>
      </c>
      <c r="I613" s="3" t="s">
        <v>49</v>
      </c>
      <c r="J613" s="3" t="s">
        <v>126</v>
      </c>
      <c r="K613" s="3" t="s">
        <v>45</v>
      </c>
      <c r="L613" s="3" t="s">
        <v>45</v>
      </c>
      <c r="M613" s="3" t="s">
        <v>45</v>
      </c>
      <c r="N613" s="4" t="s">
        <v>709</v>
      </c>
      <c r="O613" s="3" t="s">
        <v>390</v>
      </c>
      <c r="P613" s="3" t="s">
        <v>220</v>
      </c>
      <c r="Q613" s="3" t="s">
        <v>45</v>
      </c>
      <c r="R613" s="3" t="s">
        <v>45</v>
      </c>
      <c r="S613" s="3" t="s">
        <v>45</v>
      </c>
      <c r="T613" s="3" t="s">
        <v>45</v>
      </c>
      <c r="U613" s="3" t="s">
        <v>45</v>
      </c>
      <c r="V613" s="3" t="s">
        <v>45</v>
      </c>
      <c r="W613" s="4" t="s">
        <v>2982</v>
      </c>
      <c r="X613" s="3" t="s">
        <v>45</v>
      </c>
      <c r="Y613" s="3" t="s">
        <v>45</v>
      </c>
      <c r="Z613" s="3" t="s">
        <v>74</v>
      </c>
      <c r="AA613" s="3" t="s">
        <v>45</v>
      </c>
      <c r="AB613" s="3" t="s">
        <v>45</v>
      </c>
      <c r="AC613" s="3" t="s">
        <v>45</v>
      </c>
      <c r="AD613" s="3" t="s">
        <v>45</v>
      </c>
      <c r="AE613" s="3" t="s">
        <v>45</v>
      </c>
      <c r="AF613" s="3" t="s">
        <v>45</v>
      </c>
      <c r="AG613" s="3" t="s">
        <v>5761</v>
      </c>
      <c r="AH613" s="3" t="s">
        <v>57</v>
      </c>
      <c r="AI613" s="5" t="s">
        <v>5762</v>
      </c>
      <c r="AJ613" s="3" t="s">
        <v>45</v>
      </c>
      <c r="AK613" s="3" t="s">
        <v>45</v>
      </c>
      <c r="AL613" s="3" t="s">
        <v>45</v>
      </c>
      <c r="AM613" s="3" t="s">
        <v>45</v>
      </c>
      <c r="AN613" s="3" t="s">
        <v>45</v>
      </c>
      <c r="AO613" s="3" t="s">
        <v>45</v>
      </c>
      <c r="AP613" s="3" t="s">
        <v>45</v>
      </c>
      <c r="AQ613" s="4" t="s">
        <v>3574</v>
      </c>
      <c r="AR613" s="4" t="s">
        <v>3574</v>
      </c>
    </row>
    <row r="614">
      <c r="A614" s="3" t="s">
        <v>5763</v>
      </c>
      <c r="B614" s="3" t="s">
        <v>5764</v>
      </c>
      <c r="C614" s="3" t="s">
        <v>5765</v>
      </c>
      <c r="D614" s="3" t="s">
        <v>5707</v>
      </c>
      <c r="E614" s="4" t="s">
        <v>5766</v>
      </c>
      <c r="F614" s="3" t="s">
        <v>5767</v>
      </c>
      <c r="G614" s="4" t="s">
        <v>5768</v>
      </c>
      <c r="H614" s="4" t="s">
        <v>5769</v>
      </c>
      <c r="I614" s="3" t="s">
        <v>218</v>
      </c>
      <c r="J614" s="3" t="s">
        <v>126</v>
      </c>
      <c r="K614" s="3" t="s">
        <v>45</v>
      </c>
      <c r="L614" s="3" t="s">
        <v>45</v>
      </c>
      <c r="M614" s="3" t="s">
        <v>45</v>
      </c>
      <c r="N614" s="4" t="s">
        <v>472</v>
      </c>
      <c r="O614" s="3" t="s">
        <v>390</v>
      </c>
      <c r="P614" s="3" t="s">
        <v>45</v>
      </c>
      <c r="Q614" s="3" t="s">
        <v>45</v>
      </c>
      <c r="R614" s="3" t="s">
        <v>45</v>
      </c>
      <c r="S614" s="3" t="s">
        <v>45</v>
      </c>
      <c r="T614" s="3" t="s">
        <v>45</v>
      </c>
      <c r="U614" s="3" t="s">
        <v>45</v>
      </c>
      <c r="V614" s="3" t="s">
        <v>45</v>
      </c>
      <c r="W614" s="3" t="s">
        <v>45</v>
      </c>
      <c r="X614" s="3" t="s">
        <v>45</v>
      </c>
      <c r="Y614" s="3" t="s">
        <v>45</v>
      </c>
      <c r="Z614" s="3" t="s">
        <v>74</v>
      </c>
      <c r="AA614" s="3" t="s">
        <v>45</v>
      </c>
      <c r="AB614" s="3" t="s">
        <v>45</v>
      </c>
      <c r="AC614" s="3" t="s">
        <v>45</v>
      </c>
      <c r="AD614" s="3" t="s">
        <v>45</v>
      </c>
      <c r="AE614" s="3" t="s">
        <v>45</v>
      </c>
      <c r="AF614" s="3" t="s">
        <v>45</v>
      </c>
      <c r="AG614" s="3" t="s">
        <v>45</v>
      </c>
      <c r="AH614" s="3" t="s">
        <v>57</v>
      </c>
      <c r="AI614" s="5" t="s">
        <v>5770</v>
      </c>
      <c r="AJ614" s="3" t="s">
        <v>45</v>
      </c>
      <c r="AK614" s="3" t="s">
        <v>45</v>
      </c>
      <c r="AL614" s="3" t="s">
        <v>45</v>
      </c>
      <c r="AM614" s="3" t="s">
        <v>45</v>
      </c>
      <c r="AN614" s="3" t="s">
        <v>45</v>
      </c>
      <c r="AO614" s="3" t="s">
        <v>45</v>
      </c>
      <c r="AP614" s="3" t="s">
        <v>45</v>
      </c>
      <c r="AQ614" s="4" t="s">
        <v>282</v>
      </c>
      <c r="AR614" s="4" t="s">
        <v>282</v>
      </c>
    </row>
    <row r="615">
      <c r="A615" s="3" t="s">
        <v>5771</v>
      </c>
      <c r="B615" s="3" t="s">
        <v>5772</v>
      </c>
      <c r="C615" s="3" t="s">
        <v>5765</v>
      </c>
      <c r="D615" s="3" t="s">
        <v>5707</v>
      </c>
      <c r="E615" s="4" t="s">
        <v>5766</v>
      </c>
      <c r="F615" s="3" t="s">
        <v>5767</v>
      </c>
      <c r="G615" s="4" t="s">
        <v>5773</v>
      </c>
      <c r="H615" s="4" t="s">
        <v>5774</v>
      </c>
      <c r="I615" s="3" t="s">
        <v>85</v>
      </c>
      <c r="J615" s="3" t="s">
        <v>126</v>
      </c>
      <c r="K615" s="3" t="s">
        <v>45</v>
      </c>
      <c r="L615" s="3" t="s">
        <v>45</v>
      </c>
      <c r="M615" s="3" t="s">
        <v>45</v>
      </c>
      <c r="N615" s="4" t="s">
        <v>233</v>
      </c>
      <c r="O615" s="3" t="s">
        <v>53</v>
      </c>
      <c r="P615" s="3" t="s">
        <v>45</v>
      </c>
      <c r="Q615" s="3" t="s">
        <v>45</v>
      </c>
      <c r="R615" s="3" t="s">
        <v>45</v>
      </c>
      <c r="S615" s="3" t="s">
        <v>45</v>
      </c>
      <c r="T615" s="3" t="s">
        <v>45</v>
      </c>
      <c r="U615" s="3" t="s">
        <v>45</v>
      </c>
      <c r="V615" s="3" t="s">
        <v>45</v>
      </c>
      <c r="W615" s="3" t="s">
        <v>45</v>
      </c>
      <c r="X615" s="3" t="s">
        <v>45</v>
      </c>
      <c r="Y615" s="3" t="s">
        <v>45</v>
      </c>
      <c r="Z615" s="3" t="s">
        <v>74</v>
      </c>
      <c r="AA615" s="3" t="s">
        <v>45</v>
      </c>
      <c r="AB615" s="3" t="s">
        <v>45</v>
      </c>
      <c r="AC615" s="3" t="s">
        <v>45</v>
      </c>
      <c r="AD615" s="3" t="s">
        <v>45</v>
      </c>
      <c r="AE615" s="3" t="s">
        <v>45</v>
      </c>
      <c r="AF615" s="3" t="s">
        <v>45</v>
      </c>
      <c r="AG615" s="3" t="s">
        <v>5775</v>
      </c>
      <c r="AH615" s="3" t="s">
        <v>57</v>
      </c>
      <c r="AI615" s="5" t="s">
        <v>5776</v>
      </c>
      <c r="AJ615" s="3" t="s">
        <v>45</v>
      </c>
      <c r="AK615" s="3" t="s">
        <v>45</v>
      </c>
      <c r="AL615" s="3" t="s">
        <v>45</v>
      </c>
      <c r="AM615" s="3" t="s">
        <v>45</v>
      </c>
      <c r="AN615" s="3" t="s">
        <v>45</v>
      </c>
      <c r="AO615" s="3" t="s">
        <v>45</v>
      </c>
      <c r="AP615" s="3" t="s">
        <v>45</v>
      </c>
      <c r="AQ615" s="4" t="s">
        <v>3233</v>
      </c>
      <c r="AR615" s="4" t="s">
        <v>3233</v>
      </c>
    </row>
    <row r="616">
      <c r="A616" s="3" t="s">
        <v>4220</v>
      </c>
      <c r="B616" s="3" t="s">
        <v>5777</v>
      </c>
      <c r="C616" s="3" t="s">
        <v>5765</v>
      </c>
      <c r="D616" s="3" t="s">
        <v>5707</v>
      </c>
      <c r="E616" s="4" t="s">
        <v>5778</v>
      </c>
      <c r="F616" s="3" t="s">
        <v>5767</v>
      </c>
      <c r="G616" s="4" t="s">
        <v>5779</v>
      </c>
      <c r="H616" s="4" t="s">
        <v>5780</v>
      </c>
      <c r="I616" s="3" t="s">
        <v>218</v>
      </c>
      <c r="J616" s="3" t="s">
        <v>126</v>
      </c>
      <c r="K616" s="3" t="s">
        <v>45</v>
      </c>
      <c r="L616" s="3" t="s">
        <v>45</v>
      </c>
      <c r="M616" s="3" t="s">
        <v>45</v>
      </c>
      <c r="N616" s="4" t="s">
        <v>1610</v>
      </c>
      <c r="O616" s="3" t="s">
        <v>53</v>
      </c>
      <c r="P616" s="3" t="s">
        <v>45</v>
      </c>
      <c r="Q616" s="3" t="s">
        <v>45</v>
      </c>
      <c r="R616" s="3" t="s">
        <v>45</v>
      </c>
      <c r="S616" s="3" t="s">
        <v>45</v>
      </c>
      <c r="T616" s="3" t="s">
        <v>45</v>
      </c>
      <c r="U616" s="3" t="s">
        <v>45</v>
      </c>
      <c r="V616" s="3" t="s">
        <v>45</v>
      </c>
      <c r="W616" s="3" t="s">
        <v>45</v>
      </c>
      <c r="X616" s="3" t="s">
        <v>45</v>
      </c>
      <c r="Y616" s="3" t="s">
        <v>45</v>
      </c>
      <c r="Z616" s="3" t="s">
        <v>74</v>
      </c>
      <c r="AA616" s="3" t="s">
        <v>45</v>
      </c>
      <c r="AB616" s="3" t="s">
        <v>45</v>
      </c>
      <c r="AC616" s="3" t="s">
        <v>45</v>
      </c>
      <c r="AD616" s="3" t="s">
        <v>45</v>
      </c>
      <c r="AE616" s="3" t="s">
        <v>45</v>
      </c>
      <c r="AF616" s="3" t="s">
        <v>45</v>
      </c>
      <c r="AG616" s="3" t="s">
        <v>45</v>
      </c>
      <c r="AH616" s="3" t="s">
        <v>57</v>
      </c>
      <c r="AI616" s="5" t="s">
        <v>5781</v>
      </c>
      <c r="AJ616" s="3" t="s">
        <v>45</v>
      </c>
      <c r="AK616" s="3" t="s">
        <v>45</v>
      </c>
      <c r="AL616" s="3" t="s">
        <v>45</v>
      </c>
      <c r="AM616" s="3" t="s">
        <v>45</v>
      </c>
      <c r="AN616" s="3" t="s">
        <v>45</v>
      </c>
      <c r="AO616" s="3" t="s">
        <v>45</v>
      </c>
      <c r="AP616" s="3" t="s">
        <v>45</v>
      </c>
      <c r="AQ616" s="4" t="s">
        <v>3233</v>
      </c>
      <c r="AR616" s="4" t="s">
        <v>3233</v>
      </c>
    </row>
    <row r="617">
      <c r="A617" s="3" t="s">
        <v>5782</v>
      </c>
      <c r="B617" s="3" t="s">
        <v>5783</v>
      </c>
      <c r="C617" s="3" t="s">
        <v>5765</v>
      </c>
      <c r="D617" s="3" t="s">
        <v>5707</v>
      </c>
      <c r="E617" s="4" t="s">
        <v>5784</v>
      </c>
      <c r="F617" s="3" t="s">
        <v>5767</v>
      </c>
      <c r="G617" s="4" t="s">
        <v>5785</v>
      </c>
      <c r="H617" s="4" t="s">
        <v>5786</v>
      </c>
      <c r="I617" s="3" t="s">
        <v>218</v>
      </c>
      <c r="J617" s="3" t="s">
        <v>126</v>
      </c>
      <c r="K617" s="3" t="s">
        <v>45</v>
      </c>
      <c r="L617" s="3" t="s">
        <v>45</v>
      </c>
      <c r="M617" s="3" t="s">
        <v>45</v>
      </c>
      <c r="N617" s="4" t="s">
        <v>871</v>
      </c>
      <c r="O617" s="3" t="s">
        <v>390</v>
      </c>
      <c r="P617" s="3" t="s">
        <v>45</v>
      </c>
      <c r="Q617" s="3" t="s">
        <v>45</v>
      </c>
      <c r="R617" s="3" t="s">
        <v>45</v>
      </c>
      <c r="S617" s="3" t="s">
        <v>45</v>
      </c>
      <c r="T617" s="3" t="s">
        <v>45</v>
      </c>
      <c r="U617" s="3" t="s">
        <v>45</v>
      </c>
      <c r="V617" s="4" t="s">
        <v>5787</v>
      </c>
      <c r="W617" s="3" t="s">
        <v>45</v>
      </c>
      <c r="X617" s="3" t="s">
        <v>45</v>
      </c>
      <c r="Y617" s="3" t="s">
        <v>45</v>
      </c>
      <c r="Z617" s="3" t="s">
        <v>74</v>
      </c>
      <c r="AA617" s="3" t="s">
        <v>45</v>
      </c>
      <c r="AB617" s="3" t="s">
        <v>45</v>
      </c>
      <c r="AC617" s="3" t="s">
        <v>45</v>
      </c>
      <c r="AD617" s="3" t="s">
        <v>45</v>
      </c>
      <c r="AE617" s="3" t="s">
        <v>45</v>
      </c>
      <c r="AF617" s="3" t="s">
        <v>45</v>
      </c>
      <c r="AG617" s="3" t="s">
        <v>45</v>
      </c>
      <c r="AH617" s="3" t="s">
        <v>57</v>
      </c>
      <c r="AI617" s="5" t="s">
        <v>5788</v>
      </c>
      <c r="AJ617" s="5" t="s">
        <v>5781</v>
      </c>
      <c r="AK617" s="3" t="s">
        <v>45</v>
      </c>
      <c r="AL617" s="3" t="s">
        <v>45</v>
      </c>
      <c r="AM617" s="3" t="s">
        <v>45</v>
      </c>
      <c r="AN617" s="3" t="s">
        <v>45</v>
      </c>
      <c r="AO617" s="3" t="s">
        <v>45</v>
      </c>
      <c r="AP617" s="3" t="s">
        <v>45</v>
      </c>
      <c r="AQ617" s="4" t="s">
        <v>3233</v>
      </c>
      <c r="AR617" s="4" t="s">
        <v>3233</v>
      </c>
    </row>
    <row r="618">
      <c r="A618" s="3" t="s">
        <v>5205</v>
      </c>
      <c r="B618" s="3" t="s">
        <v>5789</v>
      </c>
      <c r="C618" s="3" t="s">
        <v>5790</v>
      </c>
      <c r="D618" s="3" t="s">
        <v>5707</v>
      </c>
      <c r="E618" s="4" t="s">
        <v>5791</v>
      </c>
      <c r="F618" s="3" t="s">
        <v>5792</v>
      </c>
      <c r="G618" s="4" t="s">
        <v>5793</v>
      </c>
      <c r="H618" s="4" t="s">
        <v>5794</v>
      </c>
      <c r="I618" s="3" t="s">
        <v>218</v>
      </c>
      <c r="J618" s="3" t="s">
        <v>126</v>
      </c>
      <c r="K618" s="3" t="s">
        <v>45</v>
      </c>
      <c r="L618" s="3" t="s">
        <v>5795</v>
      </c>
      <c r="M618" s="3" t="s">
        <v>45</v>
      </c>
      <c r="N618" s="4" t="s">
        <v>128</v>
      </c>
      <c r="O618" s="3" t="s">
        <v>70</v>
      </c>
      <c r="P618" s="3" t="s">
        <v>45</v>
      </c>
      <c r="Q618" s="3" t="s">
        <v>45</v>
      </c>
      <c r="R618" s="3" t="s">
        <v>45</v>
      </c>
      <c r="S618" s="3" t="s">
        <v>45</v>
      </c>
      <c r="T618" s="3" t="s">
        <v>45</v>
      </c>
      <c r="U618" s="3" t="s">
        <v>45</v>
      </c>
      <c r="V618" s="3" t="s">
        <v>45</v>
      </c>
      <c r="W618" s="4" t="s">
        <v>622</v>
      </c>
      <c r="X618" s="3" t="s">
        <v>45</v>
      </c>
      <c r="Y618" s="3" t="s">
        <v>45</v>
      </c>
      <c r="Z618" s="3" t="s">
        <v>74</v>
      </c>
      <c r="AA618" s="3" t="s">
        <v>45</v>
      </c>
      <c r="AB618" s="3" t="s">
        <v>45</v>
      </c>
      <c r="AC618" s="3" t="s">
        <v>45</v>
      </c>
      <c r="AD618" s="3" t="s">
        <v>45</v>
      </c>
      <c r="AE618" s="3" t="s">
        <v>45</v>
      </c>
      <c r="AF618" s="3" t="s">
        <v>45</v>
      </c>
      <c r="AG618" s="3" t="s">
        <v>45</v>
      </c>
      <c r="AH618" s="3" t="s">
        <v>57</v>
      </c>
      <c r="AI618" s="5" t="s">
        <v>5796</v>
      </c>
      <c r="AJ618" s="5" t="s">
        <v>5797</v>
      </c>
      <c r="AK618" s="5" t="s">
        <v>5798</v>
      </c>
      <c r="AL618" s="3" t="s">
        <v>45</v>
      </c>
      <c r="AM618" s="3" t="s">
        <v>45</v>
      </c>
      <c r="AN618" s="3" t="s">
        <v>45</v>
      </c>
      <c r="AO618" s="3" t="s">
        <v>45</v>
      </c>
      <c r="AP618" s="3" t="s">
        <v>45</v>
      </c>
      <c r="AQ618" s="4" t="s">
        <v>1001</v>
      </c>
      <c r="AR618" s="4" t="s">
        <v>339</v>
      </c>
    </row>
    <row r="619">
      <c r="A619" s="3" t="s">
        <v>5205</v>
      </c>
      <c r="B619" s="3" t="s">
        <v>5799</v>
      </c>
      <c r="C619" s="3" t="s">
        <v>5790</v>
      </c>
      <c r="D619" s="3" t="s">
        <v>5707</v>
      </c>
      <c r="E619" s="4" t="s">
        <v>5791</v>
      </c>
      <c r="F619" s="3" t="s">
        <v>5800</v>
      </c>
      <c r="G619" s="4" t="s">
        <v>5801</v>
      </c>
      <c r="H619" s="4" t="s">
        <v>5802</v>
      </c>
      <c r="I619" s="3" t="s">
        <v>49</v>
      </c>
      <c r="J619" s="3" t="s">
        <v>126</v>
      </c>
      <c r="K619" s="3" t="s">
        <v>45</v>
      </c>
      <c r="L619" s="3" t="s">
        <v>45</v>
      </c>
      <c r="M619" s="3" t="s">
        <v>45</v>
      </c>
      <c r="N619" s="4" t="s">
        <v>131</v>
      </c>
      <c r="O619" s="3" t="s">
        <v>70</v>
      </c>
      <c r="P619" s="3" t="s">
        <v>45</v>
      </c>
      <c r="Q619" s="3" t="s">
        <v>45</v>
      </c>
      <c r="R619" s="3" t="s">
        <v>45</v>
      </c>
      <c r="S619" s="3" t="s">
        <v>45</v>
      </c>
      <c r="T619" s="3" t="s">
        <v>45</v>
      </c>
      <c r="U619" s="3" t="s">
        <v>45</v>
      </c>
      <c r="V619" s="3" t="s">
        <v>45</v>
      </c>
      <c r="W619" s="4" t="s">
        <v>5803</v>
      </c>
      <c r="X619" s="3" t="s">
        <v>45</v>
      </c>
      <c r="Y619" s="3" t="s">
        <v>45</v>
      </c>
      <c r="Z619" s="3" t="s">
        <v>74</v>
      </c>
      <c r="AA619" s="3" t="s">
        <v>45</v>
      </c>
      <c r="AB619" s="3" t="s">
        <v>45</v>
      </c>
      <c r="AC619" s="3" t="s">
        <v>45</v>
      </c>
      <c r="AD619" s="3" t="s">
        <v>45</v>
      </c>
      <c r="AE619" s="3" t="s">
        <v>45</v>
      </c>
      <c r="AF619" s="3" t="s">
        <v>45</v>
      </c>
      <c r="AG619" s="3" t="s">
        <v>45</v>
      </c>
      <c r="AH619" s="3" t="s">
        <v>57</v>
      </c>
      <c r="AI619" s="5" t="s">
        <v>5804</v>
      </c>
      <c r="AJ619" s="3" t="s">
        <v>45</v>
      </c>
      <c r="AK619" s="3" t="s">
        <v>45</v>
      </c>
      <c r="AL619" s="3" t="s">
        <v>45</v>
      </c>
      <c r="AM619" s="3" t="s">
        <v>45</v>
      </c>
      <c r="AN619" s="3" t="s">
        <v>45</v>
      </c>
      <c r="AO619" s="3" t="s">
        <v>45</v>
      </c>
      <c r="AP619" s="3" t="s">
        <v>45</v>
      </c>
      <c r="AQ619" s="4" t="s">
        <v>5805</v>
      </c>
      <c r="AR619" s="4" t="s">
        <v>1001</v>
      </c>
    </row>
    <row r="620">
      <c r="A620" s="3" t="s">
        <v>458</v>
      </c>
      <c r="B620" s="3" t="s">
        <v>5806</v>
      </c>
      <c r="C620" s="3" t="s">
        <v>5807</v>
      </c>
      <c r="D620" s="3" t="s">
        <v>5707</v>
      </c>
      <c r="E620" s="4" t="s">
        <v>5808</v>
      </c>
      <c r="F620" s="3" t="s">
        <v>5767</v>
      </c>
      <c r="G620" s="4" t="s">
        <v>5809</v>
      </c>
      <c r="H620" s="4" t="s">
        <v>5810</v>
      </c>
      <c r="I620" s="3" t="s">
        <v>85</v>
      </c>
      <c r="J620" s="3" t="s">
        <v>126</v>
      </c>
      <c r="K620" s="3" t="s">
        <v>45</v>
      </c>
      <c r="L620" s="3" t="s">
        <v>45</v>
      </c>
      <c r="M620" s="3" t="s">
        <v>45</v>
      </c>
      <c r="N620" s="3" t="s">
        <v>45</v>
      </c>
      <c r="O620" s="3" t="s">
        <v>74</v>
      </c>
      <c r="P620" s="3" t="s">
        <v>45</v>
      </c>
      <c r="Q620" s="3" t="s">
        <v>45</v>
      </c>
      <c r="R620" s="3" t="s">
        <v>45</v>
      </c>
      <c r="S620" s="3" t="s">
        <v>45</v>
      </c>
      <c r="T620" s="3" t="s">
        <v>45</v>
      </c>
      <c r="U620" s="3" t="s">
        <v>45</v>
      </c>
      <c r="V620" s="3" t="s">
        <v>45</v>
      </c>
      <c r="W620" s="3" t="s">
        <v>45</v>
      </c>
      <c r="X620" s="3" t="s">
        <v>45</v>
      </c>
      <c r="Y620" s="3" t="s">
        <v>45</v>
      </c>
      <c r="Z620" s="3" t="s">
        <v>74</v>
      </c>
      <c r="AA620" s="3" t="s">
        <v>45</v>
      </c>
      <c r="AB620" s="3" t="s">
        <v>45</v>
      </c>
      <c r="AC620" s="3" t="s">
        <v>45</v>
      </c>
      <c r="AD620" s="3" t="s">
        <v>45</v>
      </c>
      <c r="AE620" s="3" t="s">
        <v>45</v>
      </c>
      <c r="AF620" s="3" t="s">
        <v>45</v>
      </c>
      <c r="AG620" s="3" t="s">
        <v>45</v>
      </c>
      <c r="AH620" s="3" t="s">
        <v>57</v>
      </c>
      <c r="AI620" s="3" t="s">
        <v>45</v>
      </c>
      <c r="AJ620" s="3" t="s">
        <v>45</v>
      </c>
      <c r="AK620" s="3" t="s">
        <v>45</v>
      </c>
      <c r="AL620" s="3" t="s">
        <v>45</v>
      </c>
      <c r="AM620" s="3" t="s">
        <v>45</v>
      </c>
      <c r="AN620" s="3" t="s">
        <v>45</v>
      </c>
      <c r="AO620" s="3" t="s">
        <v>45</v>
      </c>
      <c r="AP620" s="3" t="s">
        <v>45</v>
      </c>
      <c r="AQ620" s="4" t="s">
        <v>465</v>
      </c>
      <c r="AR620" s="4" t="s">
        <v>465</v>
      </c>
    </row>
    <row r="621">
      <c r="A621" s="3" t="s">
        <v>5811</v>
      </c>
      <c r="B621" s="3" t="s">
        <v>5812</v>
      </c>
      <c r="C621" s="3" t="s">
        <v>5807</v>
      </c>
      <c r="D621" s="3" t="s">
        <v>5707</v>
      </c>
      <c r="E621" s="4" t="s">
        <v>5813</v>
      </c>
      <c r="F621" s="3" t="s">
        <v>5814</v>
      </c>
      <c r="G621" s="4" t="s">
        <v>5815</v>
      </c>
      <c r="H621" s="4" t="s">
        <v>5816</v>
      </c>
      <c r="I621" s="3" t="s">
        <v>49</v>
      </c>
      <c r="J621" s="3" t="s">
        <v>126</v>
      </c>
      <c r="K621" s="3" t="s">
        <v>45</v>
      </c>
      <c r="L621" s="3" t="s">
        <v>45</v>
      </c>
      <c r="M621" s="3" t="s">
        <v>45</v>
      </c>
      <c r="N621" s="4" t="s">
        <v>5817</v>
      </c>
      <c r="O621" s="3" t="s">
        <v>88</v>
      </c>
      <c r="P621" s="3" t="s">
        <v>45</v>
      </c>
      <c r="Q621" s="3" t="s">
        <v>45</v>
      </c>
      <c r="R621" s="3" t="s">
        <v>45</v>
      </c>
      <c r="S621" s="3" t="s">
        <v>45</v>
      </c>
      <c r="T621" s="3" t="s">
        <v>45</v>
      </c>
      <c r="U621" s="3" t="s">
        <v>45</v>
      </c>
      <c r="V621" s="4" t="s">
        <v>106</v>
      </c>
      <c r="W621" s="4" t="s">
        <v>5818</v>
      </c>
      <c r="X621" s="3" t="s">
        <v>5016</v>
      </c>
      <c r="Y621" s="3" t="s">
        <v>45</v>
      </c>
      <c r="Z621" s="3" t="s">
        <v>74</v>
      </c>
      <c r="AA621" s="3" t="s">
        <v>45</v>
      </c>
      <c r="AB621" s="3" t="s">
        <v>45</v>
      </c>
      <c r="AC621" s="3" t="s">
        <v>45</v>
      </c>
      <c r="AD621" s="3" t="s">
        <v>45</v>
      </c>
      <c r="AE621" s="3" t="s">
        <v>45</v>
      </c>
      <c r="AF621" s="3" t="s">
        <v>45</v>
      </c>
      <c r="AG621" s="3" t="s">
        <v>45</v>
      </c>
      <c r="AH621" s="3" t="s">
        <v>57</v>
      </c>
      <c r="AI621" s="5" t="s">
        <v>5819</v>
      </c>
      <c r="AJ621" s="3" t="s">
        <v>45</v>
      </c>
      <c r="AK621" s="3" t="s">
        <v>45</v>
      </c>
      <c r="AL621" s="3" t="s">
        <v>45</v>
      </c>
      <c r="AM621" s="3" t="s">
        <v>45</v>
      </c>
      <c r="AN621" s="3" t="s">
        <v>45</v>
      </c>
      <c r="AO621" s="3" t="s">
        <v>45</v>
      </c>
      <c r="AP621" s="3" t="s">
        <v>45</v>
      </c>
      <c r="AQ621" s="4" t="s">
        <v>5820</v>
      </c>
      <c r="AR621" s="4" t="s">
        <v>5820</v>
      </c>
    </row>
    <row r="622">
      <c r="A622" s="3" t="s">
        <v>5821</v>
      </c>
      <c r="B622" s="3" t="s">
        <v>5822</v>
      </c>
      <c r="C622" s="3" t="s">
        <v>5807</v>
      </c>
      <c r="D622" s="3" t="s">
        <v>5707</v>
      </c>
      <c r="E622" s="4" t="s">
        <v>5808</v>
      </c>
      <c r="F622" s="3" t="s">
        <v>5792</v>
      </c>
      <c r="G622" s="4" t="s">
        <v>5823</v>
      </c>
      <c r="H622" s="4" t="s">
        <v>5824</v>
      </c>
      <c r="I622" s="3" t="s">
        <v>49</v>
      </c>
      <c r="J622" s="3" t="s">
        <v>126</v>
      </c>
      <c r="K622" s="3" t="s">
        <v>45</v>
      </c>
      <c r="L622" s="3" t="s">
        <v>5825</v>
      </c>
      <c r="M622" s="3" t="s">
        <v>45</v>
      </c>
      <c r="N622" s="4" t="s">
        <v>3900</v>
      </c>
      <c r="O622" s="3" t="s">
        <v>70</v>
      </c>
      <c r="P622" s="3" t="s">
        <v>45</v>
      </c>
      <c r="Q622" s="3" t="s">
        <v>45</v>
      </c>
      <c r="R622" s="3" t="s">
        <v>45</v>
      </c>
      <c r="S622" s="3" t="s">
        <v>45</v>
      </c>
      <c r="T622" s="3" t="s">
        <v>45</v>
      </c>
      <c r="U622" s="3" t="s">
        <v>45</v>
      </c>
      <c r="V622" s="3" t="s">
        <v>45</v>
      </c>
      <c r="W622" s="4" t="s">
        <v>5826</v>
      </c>
      <c r="X622" s="3" t="s">
        <v>45</v>
      </c>
      <c r="Y622" s="3" t="s">
        <v>45</v>
      </c>
      <c r="Z622" s="3" t="s">
        <v>74</v>
      </c>
      <c r="AA622" s="3" t="s">
        <v>45</v>
      </c>
      <c r="AB622" s="3" t="s">
        <v>45</v>
      </c>
      <c r="AC622" s="3" t="s">
        <v>45</v>
      </c>
      <c r="AD622" s="3" t="s">
        <v>45</v>
      </c>
      <c r="AE622" s="3" t="s">
        <v>45</v>
      </c>
      <c r="AF622" s="3" t="s">
        <v>45</v>
      </c>
      <c r="AG622" s="3" t="s">
        <v>45</v>
      </c>
      <c r="AH622" s="3" t="s">
        <v>57</v>
      </c>
      <c r="AI622" s="5" t="s">
        <v>5804</v>
      </c>
      <c r="AJ622" s="5" t="s">
        <v>5796</v>
      </c>
      <c r="AK622" s="5" t="s">
        <v>5796</v>
      </c>
      <c r="AL622" s="5" t="s">
        <v>5827</v>
      </c>
      <c r="AM622" s="5" t="s">
        <v>5798</v>
      </c>
      <c r="AN622" s="3" t="s">
        <v>45</v>
      </c>
      <c r="AO622" s="3" t="s">
        <v>45</v>
      </c>
      <c r="AP622" s="3" t="s">
        <v>45</v>
      </c>
      <c r="AQ622" s="4" t="s">
        <v>5805</v>
      </c>
      <c r="AR622" s="4" t="s">
        <v>5828</v>
      </c>
    </row>
    <row r="623">
      <c r="A623" s="3" t="s">
        <v>5829</v>
      </c>
      <c r="B623" s="3" t="s">
        <v>5830</v>
      </c>
      <c r="C623" s="3" t="s">
        <v>5807</v>
      </c>
      <c r="D623" s="3" t="s">
        <v>5707</v>
      </c>
      <c r="E623" s="4" t="s">
        <v>5808</v>
      </c>
      <c r="F623" s="3" t="s">
        <v>5814</v>
      </c>
      <c r="G623" s="4" t="s">
        <v>5831</v>
      </c>
      <c r="H623" s="4" t="s">
        <v>5832</v>
      </c>
      <c r="I623" s="3" t="s">
        <v>49</v>
      </c>
      <c r="J623" s="3" t="s">
        <v>126</v>
      </c>
      <c r="K623" s="3" t="s">
        <v>45</v>
      </c>
      <c r="L623" s="3" t="s">
        <v>5833</v>
      </c>
      <c r="M623" s="3" t="s">
        <v>45</v>
      </c>
      <c r="N623" s="4" t="s">
        <v>128</v>
      </c>
      <c r="O623" s="3" t="s">
        <v>70</v>
      </c>
      <c r="P623" s="3" t="s">
        <v>45</v>
      </c>
      <c r="Q623" s="3" t="s">
        <v>45</v>
      </c>
      <c r="R623" s="3" t="s">
        <v>45</v>
      </c>
      <c r="S623" s="3" t="s">
        <v>45</v>
      </c>
      <c r="T623" s="3" t="s">
        <v>45</v>
      </c>
      <c r="U623" s="3" t="s">
        <v>45</v>
      </c>
      <c r="V623" s="3" t="s">
        <v>45</v>
      </c>
      <c r="W623" s="4" t="s">
        <v>622</v>
      </c>
      <c r="X623" s="3" t="s">
        <v>45</v>
      </c>
      <c r="Y623" s="3" t="s">
        <v>45</v>
      </c>
      <c r="Z623" s="3" t="s">
        <v>74</v>
      </c>
      <c r="AA623" s="3" t="s">
        <v>45</v>
      </c>
      <c r="AB623" s="3" t="s">
        <v>45</v>
      </c>
      <c r="AC623" s="3" t="s">
        <v>45</v>
      </c>
      <c r="AD623" s="3" t="s">
        <v>45</v>
      </c>
      <c r="AE623" s="3" t="s">
        <v>45</v>
      </c>
      <c r="AF623" s="3" t="s">
        <v>45</v>
      </c>
      <c r="AG623" s="3" t="s">
        <v>45</v>
      </c>
      <c r="AH623" s="3" t="s">
        <v>57</v>
      </c>
      <c r="AI623" s="5" t="s">
        <v>5796</v>
      </c>
      <c r="AJ623" s="5" t="s">
        <v>5797</v>
      </c>
      <c r="AK623" s="3" t="s">
        <v>45</v>
      </c>
      <c r="AL623" s="3" t="s">
        <v>45</v>
      </c>
      <c r="AM623" s="3" t="s">
        <v>45</v>
      </c>
      <c r="AN623" s="3" t="s">
        <v>45</v>
      </c>
      <c r="AO623" s="3" t="s">
        <v>45</v>
      </c>
      <c r="AP623" s="3" t="s">
        <v>45</v>
      </c>
      <c r="AQ623" s="4" t="s">
        <v>5828</v>
      </c>
      <c r="AR623" s="4" t="s">
        <v>5828</v>
      </c>
    </row>
    <row r="624">
      <c r="A624" s="3" t="s">
        <v>5834</v>
      </c>
      <c r="B624" s="3" t="s">
        <v>5835</v>
      </c>
      <c r="C624" s="3" t="s">
        <v>5836</v>
      </c>
      <c r="D624" s="3" t="s">
        <v>5837</v>
      </c>
      <c r="E624" s="4" t="s">
        <v>5838</v>
      </c>
      <c r="F624" s="3" t="s">
        <v>5839</v>
      </c>
      <c r="G624" s="4" t="s">
        <v>5840</v>
      </c>
      <c r="H624" s="4" t="s">
        <v>5841</v>
      </c>
      <c r="I624" s="3" t="s">
        <v>49</v>
      </c>
      <c r="J624" s="3" t="s">
        <v>126</v>
      </c>
      <c r="K624" s="3" t="s">
        <v>45</v>
      </c>
      <c r="L624" s="3" t="s">
        <v>5842</v>
      </c>
      <c r="M624" s="3" t="s">
        <v>45</v>
      </c>
      <c r="N624" s="4" t="s">
        <v>102</v>
      </c>
      <c r="O624" s="3" t="s">
        <v>88</v>
      </c>
      <c r="P624" s="3" t="s">
        <v>45</v>
      </c>
      <c r="Q624" s="3" t="s">
        <v>45</v>
      </c>
      <c r="R624" s="3" t="s">
        <v>45</v>
      </c>
      <c r="S624" s="3" t="s">
        <v>45</v>
      </c>
      <c r="T624" s="3" t="s">
        <v>105</v>
      </c>
      <c r="U624" s="3" t="s">
        <v>45</v>
      </c>
      <c r="V624" s="4" t="s">
        <v>2140</v>
      </c>
      <c r="W624" s="4" t="s">
        <v>5843</v>
      </c>
      <c r="X624" s="3" t="s">
        <v>5844</v>
      </c>
      <c r="Y624" s="3" t="s">
        <v>45</v>
      </c>
      <c r="Z624" s="3" t="s">
        <v>55</v>
      </c>
      <c r="AA624" s="3" t="s">
        <v>5845</v>
      </c>
      <c r="AB624" s="3" t="s">
        <v>109</v>
      </c>
      <c r="AC624" s="3" t="s">
        <v>45</v>
      </c>
      <c r="AD624" s="5" t="s">
        <v>5846</v>
      </c>
      <c r="AE624" s="3" t="s">
        <v>45</v>
      </c>
      <c r="AF624" s="5" t="s">
        <v>5847</v>
      </c>
      <c r="AG624" s="3" t="s">
        <v>5848</v>
      </c>
      <c r="AH624" s="3" t="s">
        <v>57</v>
      </c>
      <c r="AI624" s="5" t="s">
        <v>5849</v>
      </c>
      <c r="AJ624" s="5" t="s">
        <v>5850</v>
      </c>
      <c r="AK624" s="5" t="s">
        <v>5851</v>
      </c>
      <c r="AL624" s="5" t="s">
        <v>5852</v>
      </c>
      <c r="AM624" s="5" t="s">
        <v>5853</v>
      </c>
      <c r="AN624" s="5" t="s">
        <v>5854</v>
      </c>
      <c r="AO624" s="5" t="s">
        <v>5855</v>
      </c>
      <c r="AP624" s="5" t="s">
        <v>5856</v>
      </c>
      <c r="AQ624" s="4" t="s">
        <v>3233</v>
      </c>
      <c r="AR624" s="4" t="s">
        <v>117</v>
      </c>
    </row>
    <row r="625">
      <c r="A625" s="3" t="s">
        <v>5857</v>
      </c>
      <c r="B625" s="3" t="s">
        <v>5858</v>
      </c>
      <c r="C625" s="3" t="s">
        <v>5859</v>
      </c>
      <c r="D625" s="3" t="s">
        <v>5837</v>
      </c>
      <c r="E625" s="4" t="s">
        <v>5860</v>
      </c>
      <c r="F625" s="3" t="s">
        <v>5859</v>
      </c>
      <c r="G625" s="4" t="s">
        <v>5861</v>
      </c>
      <c r="H625" s="4" t="s">
        <v>5862</v>
      </c>
      <c r="I625" s="3" t="s">
        <v>49</v>
      </c>
      <c r="J625" s="3" t="s">
        <v>126</v>
      </c>
      <c r="K625" s="3" t="s">
        <v>45</v>
      </c>
      <c r="L625" s="3" t="s">
        <v>5863</v>
      </c>
      <c r="M625" s="3" t="s">
        <v>45</v>
      </c>
      <c r="N625" s="4" t="s">
        <v>90</v>
      </c>
      <c r="O625" s="3" t="s">
        <v>88</v>
      </c>
      <c r="P625" s="3" t="s">
        <v>45</v>
      </c>
      <c r="Q625" s="3" t="s">
        <v>45</v>
      </c>
      <c r="R625" s="3" t="s">
        <v>45</v>
      </c>
      <c r="S625" s="4" t="s">
        <v>835</v>
      </c>
      <c r="T625" s="3" t="s">
        <v>45</v>
      </c>
      <c r="U625" s="3" t="s">
        <v>45</v>
      </c>
      <c r="V625" s="3" t="s">
        <v>45</v>
      </c>
      <c r="W625" s="4" t="s">
        <v>837</v>
      </c>
      <c r="X625" s="3" t="s">
        <v>45</v>
      </c>
      <c r="Y625" s="3" t="s">
        <v>45</v>
      </c>
      <c r="Z625" s="3" t="s">
        <v>55</v>
      </c>
      <c r="AA625" s="3" t="s">
        <v>45</v>
      </c>
      <c r="AB625" s="3" t="s">
        <v>56</v>
      </c>
      <c r="AC625" s="3" t="s">
        <v>45</v>
      </c>
      <c r="AD625" s="3" t="s">
        <v>45</v>
      </c>
      <c r="AE625" s="3" t="s">
        <v>45</v>
      </c>
      <c r="AF625" s="3" t="s">
        <v>45</v>
      </c>
      <c r="AG625" s="3" t="s">
        <v>45</v>
      </c>
      <c r="AH625" s="3" t="s">
        <v>840</v>
      </c>
      <c r="AI625" s="5" t="s">
        <v>5864</v>
      </c>
      <c r="AJ625" s="3" t="s">
        <v>45</v>
      </c>
      <c r="AK625" s="3" t="s">
        <v>45</v>
      </c>
      <c r="AL625" s="3" t="s">
        <v>45</v>
      </c>
      <c r="AM625" s="3" t="s">
        <v>45</v>
      </c>
      <c r="AN625" s="3" t="s">
        <v>45</v>
      </c>
      <c r="AO625" s="3" t="s">
        <v>45</v>
      </c>
      <c r="AP625" s="3" t="s">
        <v>45</v>
      </c>
      <c r="AQ625" s="4" t="s">
        <v>117</v>
      </c>
      <c r="AR625" s="4" t="s">
        <v>117</v>
      </c>
    </row>
    <row r="626">
      <c r="A626" s="3" t="s">
        <v>5865</v>
      </c>
      <c r="B626" s="3" t="s">
        <v>5866</v>
      </c>
      <c r="C626" s="3" t="s">
        <v>5867</v>
      </c>
      <c r="D626" s="3" t="s">
        <v>5837</v>
      </c>
      <c r="E626" s="4" t="s">
        <v>5868</v>
      </c>
      <c r="F626" s="3" t="s">
        <v>5869</v>
      </c>
      <c r="G626" s="4" t="s">
        <v>5870</v>
      </c>
      <c r="H626" s="4" t="s">
        <v>5871</v>
      </c>
      <c r="I626" s="3" t="s">
        <v>408</v>
      </c>
      <c r="J626" s="3" t="s">
        <v>126</v>
      </c>
      <c r="K626" s="3" t="s">
        <v>45</v>
      </c>
      <c r="L626" s="3" t="s">
        <v>5872</v>
      </c>
      <c r="M626" s="3" t="s">
        <v>45</v>
      </c>
      <c r="N626" s="4" t="s">
        <v>102</v>
      </c>
      <c r="O626" s="3" t="s">
        <v>88</v>
      </c>
      <c r="P626" s="3" t="s">
        <v>71</v>
      </c>
      <c r="Q626" s="3" t="s">
        <v>45</v>
      </c>
      <c r="R626" s="3" t="s">
        <v>45</v>
      </c>
      <c r="S626" s="4" t="s">
        <v>275</v>
      </c>
      <c r="T626" s="3" t="s">
        <v>45</v>
      </c>
      <c r="U626" s="3" t="s">
        <v>45</v>
      </c>
      <c r="V626" s="3" t="s">
        <v>45</v>
      </c>
      <c r="W626" s="3" t="s">
        <v>45</v>
      </c>
      <c r="X626" s="3" t="s">
        <v>45</v>
      </c>
      <c r="Y626" s="3" t="s">
        <v>45</v>
      </c>
      <c r="Z626" s="3" t="s">
        <v>74</v>
      </c>
      <c r="AA626" s="3" t="s">
        <v>45</v>
      </c>
      <c r="AB626" s="3" t="s">
        <v>45</v>
      </c>
      <c r="AC626" s="3" t="s">
        <v>45</v>
      </c>
      <c r="AD626" s="3" t="s">
        <v>45</v>
      </c>
      <c r="AE626" s="3" t="s">
        <v>45</v>
      </c>
      <c r="AF626" s="3" t="s">
        <v>45</v>
      </c>
      <c r="AG626" s="3" t="s">
        <v>5873</v>
      </c>
      <c r="AH626" s="3" t="s">
        <v>57</v>
      </c>
      <c r="AI626" s="5" t="s">
        <v>5874</v>
      </c>
      <c r="AJ626" s="5" t="s">
        <v>5875</v>
      </c>
      <c r="AK626" s="5" t="s">
        <v>5876</v>
      </c>
      <c r="AL626" s="5" t="s">
        <v>5877</v>
      </c>
      <c r="AM626" s="5" t="s">
        <v>5878</v>
      </c>
      <c r="AN626" s="5" t="s">
        <v>5879</v>
      </c>
      <c r="AO626" s="3" t="s">
        <v>45</v>
      </c>
      <c r="AP626" s="3" t="s">
        <v>45</v>
      </c>
      <c r="AQ626" s="4" t="s">
        <v>5880</v>
      </c>
      <c r="AR626" s="4" t="s">
        <v>1230</v>
      </c>
    </row>
    <row r="627">
      <c r="A627" s="3" t="s">
        <v>5881</v>
      </c>
      <c r="B627" s="3" t="s">
        <v>5882</v>
      </c>
      <c r="C627" s="3" t="s">
        <v>5883</v>
      </c>
      <c r="D627" s="3" t="s">
        <v>5837</v>
      </c>
      <c r="E627" s="4" t="s">
        <v>5884</v>
      </c>
      <c r="F627" s="3" t="s">
        <v>5885</v>
      </c>
      <c r="G627" s="4" t="s">
        <v>5886</v>
      </c>
      <c r="H627" s="4" t="s">
        <v>5887</v>
      </c>
      <c r="I627" s="3" t="s">
        <v>49</v>
      </c>
      <c r="J627" s="3" t="s">
        <v>126</v>
      </c>
      <c r="K627" s="3" t="s">
        <v>45</v>
      </c>
      <c r="L627" s="3" t="s">
        <v>5888</v>
      </c>
      <c r="M627" s="3" t="s">
        <v>45</v>
      </c>
      <c r="N627" s="3" t="s">
        <v>45</v>
      </c>
      <c r="O627" s="3" t="s">
        <v>74</v>
      </c>
      <c r="P627" s="3" t="s">
        <v>45</v>
      </c>
      <c r="Q627" s="3" t="s">
        <v>45</v>
      </c>
      <c r="R627" s="3" t="s">
        <v>45</v>
      </c>
      <c r="S627" s="3" t="s">
        <v>45</v>
      </c>
      <c r="T627" s="3" t="s">
        <v>45</v>
      </c>
      <c r="U627" s="3" t="s">
        <v>45</v>
      </c>
      <c r="V627" s="3" t="s">
        <v>45</v>
      </c>
      <c r="W627" s="3" t="s">
        <v>45</v>
      </c>
      <c r="X627" s="3" t="s">
        <v>45</v>
      </c>
      <c r="Y627" s="3" t="s">
        <v>45</v>
      </c>
      <c r="Z627" s="3" t="s">
        <v>74</v>
      </c>
      <c r="AA627" s="3" t="s">
        <v>45</v>
      </c>
      <c r="AB627" s="3" t="s">
        <v>45</v>
      </c>
      <c r="AC627" s="3" t="s">
        <v>45</v>
      </c>
      <c r="AD627" s="3" t="s">
        <v>45</v>
      </c>
      <c r="AE627" s="3" t="s">
        <v>45</v>
      </c>
      <c r="AF627" s="3" t="s">
        <v>45</v>
      </c>
      <c r="AG627" s="3" t="s">
        <v>5889</v>
      </c>
      <c r="AH627" s="3" t="s">
        <v>57</v>
      </c>
      <c r="AI627" s="5" t="s">
        <v>5890</v>
      </c>
      <c r="AJ627" s="3" t="s">
        <v>45</v>
      </c>
      <c r="AK627" s="3" t="s">
        <v>45</v>
      </c>
      <c r="AL627" s="3" t="s">
        <v>45</v>
      </c>
      <c r="AM627" s="3" t="s">
        <v>45</v>
      </c>
      <c r="AN627" s="3" t="s">
        <v>45</v>
      </c>
      <c r="AO627" s="3" t="s">
        <v>45</v>
      </c>
      <c r="AP627" s="3" t="s">
        <v>45</v>
      </c>
      <c r="AQ627" s="4" t="s">
        <v>339</v>
      </c>
      <c r="AR627" s="4" t="s">
        <v>339</v>
      </c>
    </row>
    <row r="628">
      <c r="A628" s="3" t="s">
        <v>5891</v>
      </c>
      <c r="B628" s="3" t="s">
        <v>5892</v>
      </c>
      <c r="C628" s="3" t="s">
        <v>5893</v>
      </c>
      <c r="D628" s="3" t="s">
        <v>5837</v>
      </c>
      <c r="E628" s="4" t="s">
        <v>5894</v>
      </c>
      <c r="F628" s="3" t="s">
        <v>5895</v>
      </c>
      <c r="G628" s="4" t="s">
        <v>5896</v>
      </c>
      <c r="H628" s="4" t="s">
        <v>5897</v>
      </c>
      <c r="I628" s="3" t="s">
        <v>85</v>
      </c>
      <c r="J628" s="3" t="s">
        <v>126</v>
      </c>
      <c r="K628" s="3" t="s">
        <v>45</v>
      </c>
      <c r="L628" s="3" t="s">
        <v>5538</v>
      </c>
      <c r="M628" s="3" t="s">
        <v>45</v>
      </c>
      <c r="N628" s="4" t="s">
        <v>52</v>
      </c>
      <c r="O628" s="3" t="s">
        <v>53</v>
      </c>
      <c r="P628" s="3" t="s">
        <v>45</v>
      </c>
      <c r="Q628" s="3" t="s">
        <v>45</v>
      </c>
      <c r="R628" s="3" t="s">
        <v>45</v>
      </c>
      <c r="S628" s="3" t="s">
        <v>45</v>
      </c>
      <c r="T628" s="3" t="s">
        <v>45</v>
      </c>
      <c r="U628" s="3" t="s">
        <v>45</v>
      </c>
      <c r="V628" s="4" t="s">
        <v>1844</v>
      </c>
      <c r="W628" s="3" t="s">
        <v>45</v>
      </c>
      <c r="X628" s="3" t="s">
        <v>45</v>
      </c>
      <c r="Y628" s="3" t="s">
        <v>45</v>
      </c>
      <c r="Z628" s="3" t="s">
        <v>74</v>
      </c>
      <c r="AA628" s="3" t="s">
        <v>45</v>
      </c>
      <c r="AB628" s="3" t="s">
        <v>45</v>
      </c>
      <c r="AC628" s="3" t="s">
        <v>45</v>
      </c>
      <c r="AD628" s="3" t="s">
        <v>45</v>
      </c>
      <c r="AE628" s="3" t="s">
        <v>45</v>
      </c>
      <c r="AF628" s="3" t="s">
        <v>45</v>
      </c>
      <c r="AG628" s="3" t="s">
        <v>45</v>
      </c>
      <c r="AH628" s="3" t="s">
        <v>57</v>
      </c>
      <c r="AI628" s="5" t="s">
        <v>5544</v>
      </c>
      <c r="AJ628" s="3" t="s">
        <v>45</v>
      </c>
      <c r="AK628" s="3" t="s">
        <v>45</v>
      </c>
      <c r="AL628" s="3" t="s">
        <v>45</v>
      </c>
      <c r="AM628" s="3" t="s">
        <v>45</v>
      </c>
      <c r="AN628" s="3" t="s">
        <v>45</v>
      </c>
      <c r="AO628" s="3" t="s">
        <v>45</v>
      </c>
      <c r="AP628" s="3" t="s">
        <v>45</v>
      </c>
      <c r="AQ628" s="4" t="s">
        <v>5457</v>
      </c>
      <c r="AR628" s="4" t="s">
        <v>1113</v>
      </c>
    </row>
    <row r="629">
      <c r="A629" s="3" t="s">
        <v>5898</v>
      </c>
      <c r="B629" s="3" t="s">
        <v>5899</v>
      </c>
      <c r="C629" s="3" t="s">
        <v>4874</v>
      </c>
      <c r="D629" s="3" t="s">
        <v>5837</v>
      </c>
      <c r="E629" s="4" t="s">
        <v>5900</v>
      </c>
      <c r="F629" s="3" t="s">
        <v>5901</v>
      </c>
      <c r="G629" s="4" t="s">
        <v>5902</v>
      </c>
      <c r="H629" s="4" t="s">
        <v>5903</v>
      </c>
      <c r="I629" s="3" t="s">
        <v>49</v>
      </c>
      <c r="J629" s="3" t="s">
        <v>126</v>
      </c>
      <c r="K629" s="3" t="s">
        <v>45</v>
      </c>
      <c r="L629" s="3" t="s">
        <v>45</v>
      </c>
      <c r="M629" s="3" t="s">
        <v>45</v>
      </c>
      <c r="N629" s="4" t="s">
        <v>419</v>
      </c>
      <c r="O629" s="3" t="s">
        <v>88</v>
      </c>
      <c r="P629" s="3" t="s">
        <v>45</v>
      </c>
      <c r="Q629" s="3" t="s">
        <v>45</v>
      </c>
      <c r="R629" s="3" t="s">
        <v>45</v>
      </c>
      <c r="S629" s="3" t="s">
        <v>45</v>
      </c>
      <c r="T629" s="3" t="s">
        <v>45</v>
      </c>
      <c r="U629" s="3" t="s">
        <v>45</v>
      </c>
      <c r="V629" s="3" t="s">
        <v>45</v>
      </c>
      <c r="W629" s="3" t="s">
        <v>45</v>
      </c>
      <c r="X629" s="3" t="s">
        <v>45</v>
      </c>
      <c r="Y629" s="3" t="s">
        <v>45</v>
      </c>
      <c r="Z629" s="3" t="s">
        <v>74</v>
      </c>
      <c r="AA629" s="3" t="s">
        <v>45</v>
      </c>
      <c r="AB629" s="3" t="s">
        <v>45</v>
      </c>
      <c r="AC629" s="3" t="s">
        <v>45</v>
      </c>
      <c r="AD629" s="3" t="s">
        <v>45</v>
      </c>
      <c r="AE629" s="3" t="s">
        <v>45</v>
      </c>
      <c r="AF629" s="3" t="s">
        <v>45</v>
      </c>
      <c r="AG629" s="4" t="s">
        <v>5904</v>
      </c>
      <c r="AH629" s="3" t="s">
        <v>57</v>
      </c>
      <c r="AI629" s="5" t="s">
        <v>5905</v>
      </c>
      <c r="AJ629" s="5" t="s">
        <v>5906</v>
      </c>
      <c r="AK629" s="3" t="s">
        <v>45</v>
      </c>
      <c r="AL629" s="3" t="s">
        <v>45</v>
      </c>
      <c r="AM629" s="3" t="s">
        <v>45</v>
      </c>
      <c r="AN629" s="3" t="s">
        <v>45</v>
      </c>
      <c r="AO629" s="3" t="s">
        <v>45</v>
      </c>
      <c r="AP629" s="3" t="s">
        <v>45</v>
      </c>
      <c r="AQ629" s="4" t="s">
        <v>5457</v>
      </c>
      <c r="AR629" s="4" t="s">
        <v>5457</v>
      </c>
    </row>
    <row r="630">
      <c r="A630" s="3" t="s">
        <v>5907</v>
      </c>
      <c r="B630" s="3" t="s">
        <v>5908</v>
      </c>
      <c r="C630" s="3" t="s">
        <v>5445</v>
      </c>
      <c r="D630" s="3" t="s">
        <v>5837</v>
      </c>
      <c r="E630" s="4" t="s">
        <v>5909</v>
      </c>
      <c r="F630" s="3" t="s">
        <v>5910</v>
      </c>
      <c r="G630" s="4" t="s">
        <v>5911</v>
      </c>
      <c r="H630" s="4" t="s">
        <v>5912</v>
      </c>
      <c r="I630" s="3" t="s">
        <v>85</v>
      </c>
      <c r="J630" s="3" t="s">
        <v>126</v>
      </c>
      <c r="K630" s="3" t="s">
        <v>45</v>
      </c>
      <c r="L630" s="3" t="s">
        <v>45</v>
      </c>
      <c r="M630" s="3" t="s">
        <v>45</v>
      </c>
      <c r="N630" s="4" t="s">
        <v>480</v>
      </c>
      <c r="O630" s="3" t="s">
        <v>53</v>
      </c>
      <c r="P630" s="3" t="s">
        <v>45</v>
      </c>
      <c r="Q630" s="3" t="s">
        <v>45</v>
      </c>
      <c r="R630" s="3" t="s">
        <v>45</v>
      </c>
      <c r="S630" s="3" t="s">
        <v>45</v>
      </c>
      <c r="T630" s="3" t="s">
        <v>45</v>
      </c>
      <c r="U630" s="3" t="s">
        <v>45</v>
      </c>
      <c r="V630" s="4" t="s">
        <v>5913</v>
      </c>
      <c r="W630" s="3" t="s">
        <v>45</v>
      </c>
      <c r="X630" s="3" t="s">
        <v>45</v>
      </c>
      <c r="Y630" s="3" t="s">
        <v>45</v>
      </c>
      <c r="Z630" s="3" t="s">
        <v>74</v>
      </c>
      <c r="AA630" s="3" t="s">
        <v>45</v>
      </c>
      <c r="AB630" s="3" t="s">
        <v>45</v>
      </c>
      <c r="AC630" s="3" t="s">
        <v>45</v>
      </c>
      <c r="AD630" s="3" t="s">
        <v>45</v>
      </c>
      <c r="AE630" s="3" t="s">
        <v>45</v>
      </c>
      <c r="AF630" s="3" t="s">
        <v>45</v>
      </c>
      <c r="AG630" s="3" t="s">
        <v>45</v>
      </c>
      <c r="AH630" s="3" t="s">
        <v>57</v>
      </c>
      <c r="AI630" s="5" t="s">
        <v>5914</v>
      </c>
      <c r="AJ630" s="5" t="s">
        <v>5915</v>
      </c>
      <c r="AK630" s="5" t="s">
        <v>1288</v>
      </c>
      <c r="AL630" s="3" t="s">
        <v>45</v>
      </c>
      <c r="AM630" s="3" t="s">
        <v>45</v>
      </c>
      <c r="AN630" s="3" t="s">
        <v>45</v>
      </c>
      <c r="AO630" s="3" t="s">
        <v>45</v>
      </c>
      <c r="AP630" s="3" t="s">
        <v>45</v>
      </c>
      <c r="AQ630" s="4" t="s">
        <v>1113</v>
      </c>
      <c r="AR630" s="4" t="s">
        <v>1113</v>
      </c>
    </row>
    <row r="631">
      <c r="A631" s="3" t="s">
        <v>5916</v>
      </c>
      <c r="B631" s="3" t="s">
        <v>5917</v>
      </c>
      <c r="C631" s="3" t="s">
        <v>5445</v>
      </c>
      <c r="D631" s="3" t="s">
        <v>5837</v>
      </c>
      <c r="E631" s="4" t="s">
        <v>5918</v>
      </c>
      <c r="F631" s="3" t="s">
        <v>5910</v>
      </c>
      <c r="G631" s="4" t="s">
        <v>5919</v>
      </c>
      <c r="H631" s="4" t="s">
        <v>5920</v>
      </c>
      <c r="I631" s="3" t="s">
        <v>436</v>
      </c>
      <c r="J631" s="3" t="s">
        <v>126</v>
      </c>
      <c r="K631" s="3" t="s">
        <v>45</v>
      </c>
      <c r="L631" s="3" t="s">
        <v>45</v>
      </c>
      <c r="M631" s="3" t="s">
        <v>45</v>
      </c>
      <c r="N631" s="3" t="s">
        <v>45</v>
      </c>
      <c r="O631" s="3" t="s">
        <v>74</v>
      </c>
      <c r="P631" s="3" t="s">
        <v>45</v>
      </c>
      <c r="Q631" s="3" t="s">
        <v>45</v>
      </c>
      <c r="R631" s="3" t="s">
        <v>45</v>
      </c>
      <c r="S631" s="3" t="s">
        <v>45</v>
      </c>
      <c r="T631" s="3" t="s">
        <v>45</v>
      </c>
      <c r="U631" s="3" t="s">
        <v>45</v>
      </c>
      <c r="V631" s="3" t="s">
        <v>45</v>
      </c>
      <c r="W631" s="3" t="s">
        <v>45</v>
      </c>
      <c r="X631" s="3" t="s">
        <v>45</v>
      </c>
      <c r="Y631" s="3" t="s">
        <v>45</v>
      </c>
      <c r="Z631" s="3" t="s">
        <v>74</v>
      </c>
      <c r="AA631" s="3" t="s">
        <v>45</v>
      </c>
      <c r="AB631" s="3" t="s">
        <v>45</v>
      </c>
      <c r="AC631" s="3" t="s">
        <v>45</v>
      </c>
      <c r="AD631" s="3" t="s">
        <v>45</v>
      </c>
      <c r="AE631" s="3" t="s">
        <v>45</v>
      </c>
      <c r="AF631" s="3" t="s">
        <v>45</v>
      </c>
      <c r="AG631" s="3" t="s">
        <v>5921</v>
      </c>
      <c r="AH631" s="3" t="s">
        <v>57</v>
      </c>
      <c r="AI631" s="5" t="s">
        <v>5922</v>
      </c>
      <c r="AJ631" s="5" t="s">
        <v>5923</v>
      </c>
      <c r="AK631" s="3" t="s">
        <v>45</v>
      </c>
      <c r="AL631" s="3" t="s">
        <v>45</v>
      </c>
      <c r="AM631" s="3" t="s">
        <v>45</v>
      </c>
      <c r="AN631" s="3" t="s">
        <v>45</v>
      </c>
      <c r="AO631" s="3" t="s">
        <v>45</v>
      </c>
      <c r="AP631" s="3" t="s">
        <v>45</v>
      </c>
      <c r="AQ631" s="4" t="s">
        <v>5398</v>
      </c>
      <c r="AR631" s="4" t="s">
        <v>5398</v>
      </c>
    </row>
    <row r="632">
      <c r="A632" s="3" t="s">
        <v>5924</v>
      </c>
      <c r="B632" s="3" t="s">
        <v>5925</v>
      </c>
      <c r="C632" s="3" t="s">
        <v>5926</v>
      </c>
      <c r="D632" s="3" t="s">
        <v>5837</v>
      </c>
      <c r="E632" s="4" t="s">
        <v>5927</v>
      </c>
      <c r="F632" s="3" t="s">
        <v>5928</v>
      </c>
      <c r="G632" s="4" t="s">
        <v>5929</v>
      </c>
      <c r="H632" s="4" t="s">
        <v>5930</v>
      </c>
      <c r="I632" s="3" t="s">
        <v>85</v>
      </c>
      <c r="J632" s="3" t="s">
        <v>126</v>
      </c>
      <c r="K632" s="3" t="s">
        <v>5931</v>
      </c>
      <c r="L632" s="3" t="s">
        <v>45</v>
      </c>
      <c r="M632" s="3" t="s">
        <v>45</v>
      </c>
      <c r="N632" s="4" t="s">
        <v>5932</v>
      </c>
      <c r="O632" s="3" t="s">
        <v>722</v>
      </c>
      <c r="P632" s="3" t="s">
        <v>71</v>
      </c>
      <c r="Q632" s="3" t="s">
        <v>45</v>
      </c>
      <c r="R632" s="3" t="s">
        <v>45</v>
      </c>
      <c r="S632" s="3" t="s">
        <v>45</v>
      </c>
      <c r="T632" s="3" t="s">
        <v>45</v>
      </c>
      <c r="U632" s="3" t="s">
        <v>45</v>
      </c>
      <c r="V632" s="3" t="s">
        <v>45</v>
      </c>
      <c r="W632" s="4" t="s">
        <v>1962</v>
      </c>
      <c r="X632" s="3" t="s">
        <v>45</v>
      </c>
      <c r="Y632" s="3" t="s">
        <v>45</v>
      </c>
      <c r="Z632" s="3" t="s">
        <v>55</v>
      </c>
      <c r="AA632" s="3" t="s">
        <v>45</v>
      </c>
      <c r="AB632" s="3" t="s">
        <v>45</v>
      </c>
      <c r="AC632" s="3" t="s">
        <v>45</v>
      </c>
      <c r="AD632" s="5" t="s">
        <v>5933</v>
      </c>
      <c r="AE632" s="3" t="s">
        <v>45</v>
      </c>
      <c r="AF632" s="3" t="s">
        <v>45</v>
      </c>
      <c r="AG632" s="3" t="s">
        <v>5934</v>
      </c>
      <c r="AH632" s="3" t="s">
        <v>57</v>
      </c>
      <c r="AI632" s="5" t="s">
        <v>5935</v>
      </c>
      <c r="AJ632" s="5" t="s">
        <v>5936</v>
      </c>
      <c r="AK632" s="5" t="s">
        <v>5937</v>
      </c>
      <c r="AL632" s="3" t="s">
        <v>45</v>
      </c>
      <c r="AM632" s="3" t="s">
        <v>45</v>
      </c>
      <c r="AN632" s="3" t="s">
        <v>45</v>
      </c>
      <c r="AO632" s="3" t="s">
        <v>45</v>
      </c>
      <c r="AP632" s="3" t="s">
        <v>45</v>
      </c>
      <c r="AQ632" s="4" t="s">
        <v>1203</v>
      </c>
      <c r="AR632" s="4" t="s">
        <v>1203</v>
      </c>
    </row>
    <row r="633">
      <c r="A633" s="3" t="s">
        <v>1103</v>
      </c>
      <c r="B633" s="3" t="s">
        <v>5938</v>
      </c>
      <c r="C633" s="3" t="s">
        <v>5939</v>
      </c>
      <c r="D633" s="3" t="s">
        <v>5837</v>
      </c>
      <c r="E633" s="4" t="s">
        <v>5940</v>
      </c>
      <c r="F633" s="3" t="s">
        <v>5941</v>
      </c>
      <c r="G633" s="4" t="s">
        <v>5942</v>
      </c>
      <c r="H633" s="4" t="s">
        <v>5943</v>
      </c>
      <c r="I633" s="3" t="s">
        <v>85</v>
      </c>
      <c r="J633" s="3" t="s">
        <v>126</v>
      </c>
      <c r="K633" s="3" t="s">
        <v>45</v>
      </c>
      <c r="L633" s="3" t="s">
        <v>45</v>
      </c>
      <c r="M633" s="3" t="s">
        <v>45</v>
      </c>
      <c r="N633" s="4" t="s">
        <v>389</v>
      </c>
      <c r="O633" s="3" t="s">
        <v>390</v>
      </c>
      <c r="P633" s="3" t="s">
        <v>45</v>
      </c>
      <c r="Q633" s="3" t="s">
        <v>45</v>
      </c>
      <c r="R633" s="3" t="s">
        <v>45</v>
      </c>
      <c r="S633" s="3" t="s">
        <v>45</v>
      </c>
      <c r="T633" s="3" t="s">
        <v>45</v>
      </c>
      <c r="U633" s="3" t="s">
        <v>45</v>
      </c>
      <c r="V633" s="3" t="s">
        <v>45</v>
      </c>
      <c r="W633" s="3" t="s">
        <v>45</v>
      </c>
      <c r="X633" s="3" t="s">
        <v>45</v>
      </c>
      <c r="Y633" s="3" t="s">
        <v>45</v>
      </c>
      <c r="Z633" s="3" t="s">
        <v>74</v>
      </c>
      <c r="AA633" s="3" t="s">
        <v>45</v>
      </c>
      <c r="AB633" s="3" t="s">
        <v>45</v>
      </c>
      <c r="AC633" s="3" t="s">
        <v>45</v>
      </c>
      <c r="AD633" s="3" t="s">
        <v>45</v>
      </c>
      <c r="AE633" s="3" t="s">
        <v>45</v>
      </c>
      <c r="AF633" s="3" t="s">
        <v>45</v>
      </c>
      <c r="AG633" s="3" t="s">
        <v>45</v>
      </c>
      <c r="AH633" s="3" t="s">
        <v>57</v>
      </c>
      <c r="AI633" s="5" t="s">
        <v>1112</v>
      </c>
      <c r="AJ633" s="3" t="s">
        <v>45</v>
      </c>
      <c r="AK633" s="3" t="s">
        <v>45</v>
      </c>
      <c r="AL633" s="3" t="s">
        <v>45</v>
      </c>
      <c r="AM633" s="3" t="s">
        <v>45</v>
      </c>
      <c r="AN633" s="3" t="s">
        <v>45</v>
      </c>
      <c r="AO633" s="3" t="s">
        <v>45</v>
      </c>
      <c r="AP633" s="3" t="s">
        <v>45</v>
      </c>
      <c r="AQ633" s="4" t="s">
        <v>1113</v>
      </c>
      <c r="AR633" s="4" t="s">
        <v>1113</v>
      </c>
    </row>
    <row r="634">
      <c r="A634" s="3" t="s">
        <v>5944</v>
      </c>
      <c r="B634" s="3" t="s">
        <v>5945</v>
      </c>
      <c r="C634" s="3" t="s">
        <v>5946</v>
      </c>
      <c r="D634" s="3" t="s">
        <v>5837</v>
      </c>
      <c r="E634" s="4" t="s">
        <v>5947</v>
      </c>
      <c r="F634" s="3" t="s">
        <v>5948</v>
      </c>
      <c r="G634" s="4" t="s">
        <v>5949</v>
      </c>
      <c r="H634" s="4" t="s">
        <v>5950</v>
      </c>
      <c r="I634" s="3" t="s">
        <v>245</v>
      </c>
      <c r="J634" s="3" t="s">
        <v>126</v>
      </c>
      <c r="K634" s="3" t="s">
        <v>45</v>
      </c>
      <c r="L634" s="3" t="s">
        <v>5951</v>
      </c>
      <c r="M634" s="3" t="s">
        <v>45</v>
      </c>
      <c r="N634" s="4" t="s">
        <v>1196</v>
      </c>
      <c r="O634" s="3" t="s">
        <v>70</v>
      </c>
      <c r="P634" s="3" t="s">
        <v>45</v>
      </c>
      <c r="Q634" s="3" t="s">
        <v>45</v>
      </c>
      <c r="R634" s="3" t="s">
        <v>45</v>
      </c>
      <c r="S634" s="3" t="s">
        <v>45</v>
      </c>
      <c r="T634" s="3" t="s">
        <v>45</v>
      </c>
      <c r="U634" s="3" t="s">
        <v>45</v>
      </c>
      <c r="V634" s="4" t="s">
        <v>4276</v>
      </c>
      <c r="W634" s="3" t="s">
        <v>45</v>
      </c>
      <c r="X634" s="3" t="s">
        <v>45</v>
      </c>
      <c r="Y634" s="3" t="s">
        <v>45</v>
      </c>
      <c r="Z634" s="3" t="s">
        <v>74</v>
      </c>
      <c r="AA634" s="3" t="s">
        <v>45</v>
      </c>
      <c r="AB634" s="3" t="s">
        <v>45</v>
      </c>
      <c r="AC634" s="3" t="s">
        <v>45</v>
      </c>
      <c r="AD634" s="3" t="s">
        <v>45</v>
      </c>
      <c r="AE634" s="3" t="s">
        <v>45</v>
      </c>
      <c r="AF634" s="3" t="s">
        <v>45</v>
      </c>
      <c r="AG634" s="3" t="s">
        <v>45</v>
      </c>
      <c r="AH634" s="3" t="s">
        <v>57</v>
      </c>
      <c r="AI634" s="5" t="s">
        <v>5952</v>
      </c>
      <c r="AJ634" s="5" t="s">
        <v>5953</v>
      </c>
      <c r="AK634" s="5" t="s">
        <v>5954</v>
      </c>
      <c r="AL634" s="5" t="s">
        <v>5955</v>
      </c>
      <c r="AM634" s="3" t="s">
        <v>45</v>
      </c>
      <c r="AN634" s="3" t="s">
        <v>45</v>
      </c>
      <c r="AO634" s="3" t="s">
        <v>45</v>
      </c>
      <c r="AP634" s="3" t="s">
        <v>45</v>
      </c>
      <c r="AQ634" s="4" t="s">
        <v>379</v>
      </c>
      <c r="AR634" s="4" t="s">
        <v>60</v>
      </c>
    </row>
    <row r="635">
      <c r="A635" s="3" t="s">
        <v>5956</v>
      </c>
      <c r="B635" s="3" t="s">
        <v>5957</v>
      </c>
      <c r="C635" s="3" t="s">
        <v>5958</v>
      </c>
      <c r="D635" s="3" t="s">
        <v>5837</v>
      </c>
      <c r="E635" s="4" t="s">
        <v>5959</v>
      </c>
      <c r="F635" s="3" t="s">
        <v>5960</v>
      </c>
      <c r="G635" s="4" t="s">
        <v>5961</v>
      </c>
      <c r="H635" s="4" t="s">
        <v>5962</v>
      </c>
      <c r="I635" s="3" t="s">
        <v>49</v>
      </c>
      <c r="J635" s="3" t="s">
        <v>126</v>
      </c>
      <c r="K635" s="3" t="s">
        <v>45</v>
      </c>
      <c r="L635" s="3" t="s">
        <v>45</v>
      </c>
      <c r="M635" s="3" t="s">
        <v>45</v>
      </c>
      <c r="N635" s="4" t="s">
        <v>419</v>
      </c>
      <c r="O635" s="3" t="s">
        <v>88</v>
      </c>
      <c r="P635" s="3" t="s">
        <v>220</v>
      </c>
      <c r="Q635" s="3" t="s">
        <v>45</v>
      </c>
      <c r="R635" s="3" t="s">
        <v>45</v>
      </c>
      <c r="S635" s="4" t="s">
        <v>233</v>
      </c>
      <c r="T635" s="3" t="s">
        <v>45</v>
      </c>
      <c r="U635" s="3" t="s">
        <v>45</v>
      </c>
      <c r="V635" s="4" t="s">
        <v>2656</v>
      </c>
      <c r="W635" s="4" t="s">
        <v>389</v>
      </c>
      <c r="X635" s="3" t="s">
        <v>5963</v>
      </c>
      <c r="Y635" s="3" t="s">
        <v>45</v>
      </c>
      <c r="Z635" s="3" t="s">
        <v>55</v>
      </c>
      <c r="AA635" s="3" t="s">
        <v>45</v>
      </c>
      <c r="AB635" s="3" t="s">
        <v>109</v>
      </c>
      <c r="AC635" s="3" t="s">
        <v>45</v>
      </c>
      <c r="AD635" s="3" t="s">
        <v>45</v>
      </c>
      <c r="AE635" s="3" t="s">
        <v>45</v>
      </c>
      <c r="AF635" s="5" t="s">
        <v>5964</v>
      </c>
      <c r="AG635" s="3" t="s">
        <v>5965</v>
      </c>
      <c r="AH635" s="3" t="s">
        <v>57</v>
      </c>
      <c r="AI635" s="5" t="s">
        <v>5966</v>
      </c>
      <c r="AJ635" s="3" t="s">
        <v>45</v>
      </c>
      <c r="AK635" s="3" t="s">
        <v>45</v>
      </c>
      <c r="AL635" s="3" t="s">
        <v>45</v>
      </c>
      <c r="AM635" s="3" t="s">
        <v>45</v>
      </c>
      <c r="AN635" s="3" t="s">
        <v>45</v>
      </c>
      <c r="AO635" s="3" t="s">
        <v>45</v>
      </c>
      <c r="AP635" s="3" t="s">
        <v>45</v>
      </c>
      <c r="AQ635" s="4" t="s">
        <v>2459</v>
      </c>
      <c r="AR635" s="4" t="s">
        <v>2459</v>
      </c>
    </row>
    <row r="636">
      <c r="A636" s="3" t="s">
        <v>5967</v>
      </c>
      <c r="B636" s="3" t="s">
        <v>5968</v>
      </c>
      <c r="C636" s="3" t="s">
        <v>4391</v>
      </c>
      <c r="D636" s="3" t="s">
        <v>5837</v>
      </c>
      <c r="E636" s="4" t="s">
        <v>5969</v>
      </c>
      <c r="F636" s="3" t="s">
        <v>5970</v>
      </c>
      <c r="G636" s="4" t="s">
        <v>5971</v>
      </c>
      <c r="H636" s="4" t="s">
        <v>5972</v>
      </c>
      <c r="I636" s="3" t="s">
        <v>49</v>
      </c>
      <c r="J636" s="3" t="s">
        <v>126</v>
      </c>
      <c r="K636" s="3" t="s">
        <v>45</v>
      </c>
      <c r="L636" s="3" t="s">
        <v>3743</v>
      </c>
      <c r="M636" s="3" t="s">
        <v>45</v>
      </c>
      <c r="N636" s="4" t="s">
        <v>1962</v>
      </c>
      <c r="O636" s="3" t="s">
        <v>88</v>
      </c>
      <c r="P636" s="3" t="s">
        <v>5519</v>
      </c>
      <c r="Q636" s="3" t="s">
        <v>45</v>
      </c>
      <c r="R636" s="3" t="s">
        <v>45</v>
      </c>
      <c r="S636" s="4" t="s">
        <v>104</v>
      </c>
      <c r="T636" s="3" t="s">
        <v>45</v>
      </c>
      <c r="U636" s="3" t="s">
        <v>221</v>
      </c>
      <c r="V636" s="4" t="s">
        <v>5973</v>
      </c>
      <c r="W636" s="4" t="s">
        <v>5974</v>
      </c>
      <c r="X636" s="3" t="s">
        <v>45</v>
      </c>
      <c r="Y636" s="3" t="s">
        <v>45</v>
      </c>
      <c r="Z636" s="3" t="s">
        <v>55</v>
      </c>
      <c r="AA636" s="3" t="s">
        <v>45</v>
      </c>
      <c r="AB636" s="3" t="s">
        <v>109</v>
      </c>
      <c r="AC636" s="3" t="s">
        <v>45</v>
      </c>
      <c r="AD636" s="5" t="s">
        <v>5975</v>
      </c>
      <c r="AE636" s="3" t="s">
        <v>45</v>
      </c>
      <c r="AF636" s="5" t="s">
        <v>5976</v>
      </c>
      <c r="AG636" s="3" t="s">
        <v>5977</v>
      </c>
      <c r="AH636" s="3" t="s">
        <v>840</v>
      </c>
      <c r="AI636" s="5" t="s">
        <v>5978</v>
      </c>
      <c r="AJ636" s="5" t="s">
        <v>5979</v>
      </c>
      <c r="AK636" s="5" t="s">
        <v>5980</v>
      </c>
      <c r="AL636" s="5" t="s">
        <v>5981</v>
      </c>
      <c r="AM636" s="5" t="s">
        <v>5982</v>
      </c>
      <c r="AN636" s="5" t="s">
        <v>5983</v>
      </c>
      <c r="AO636" s="5" t="s">
        <v>5984</v>
      </c>
      <c r="AP636" s="3" t="s">
        <v>45</v>
      </c>
      <c r="AQ636" s="4" t="s">
        <v>465</v>
      </c>
      <c r="AR636" s="4" t="s">
        <v>5150</v>
      </c>
    </row>
    <row r="637">
      <c r="A637" s="3" t="s">
        <v>381</v>
      </c>
      <c r="B637" s="3" t="s">
        <v>5985</v>
      </c>
      <c r="C637" s="3" t="s">
        <v>5986</v>
      </c>
      <c r="D637" s="3" t="s">
        <v>5837</v>
      </c>
      <c r="E637" s="4" t="s">
        <v>5987</v>
      </c>
      <c r="F637" s="3" t="s">
        <v>5869</v>
      </c>
      <c r="G637" s="4" t="s">
        <v>5988</v>
      </c>
      <c r="H637" s="4" t="s">
        <v>5989</v>
      </c>
      <c r="I637" s="3" t="s">
        <v>85</v>
      </c>
      <c r="J637" s="3" t="s">
        <v>126</v>
      </c>
      <c r="K637" s="3" t="s">
        <v>45</v>
      </c>
      <c r="L637" s="3" t="s">
        <v>45</v>
      </c>
      <c r="M637" s="3" t="s">
        <v>45</v>
      </c>
      <c r="N637" s="4" t="s">
        <v>5990</v>
      </c>
      <c r="O637" s="3" t="s">
        <v>390</v>
      </c>
      <c r="P637" s="3" t="s">
        <v>45</v>
      </c>
      <c r="Q637" s="3" t="s">
        <v>45</v>
      </c>
      <c r="R637" s="3" t="s">
        <v>45</v>
      </c>
      <c r="S637" s="4" t="s">
        <v>1610</v>
      </c>
      <c r="T637" s="3" t="s">
        <v>45</v>
      </c>
      <c r="U637" s="3" t="s">
        <v>45</v>
      </c>
      <c r="V637" s="4" t="s">
        <v>5991</v>
      </c>
      <c r="W637" s="4" t="s">
        <v>487</v>
      </c>
      <c r="X637" s="3" t="s">
        <v>45</v>
      </c>
      <c r="Y637" s="3" t="s">
        <v>45</v>
      </c>
      <c r="Z637" s="3" t="s">
        <v>74</v>
      </c>
      <c r="AA637" s="3" t="s">
        <v>45</v>
      </c>
      <c r="AB637" s="3" t="s">
        <v>45</v>
      </c>
      <c r="AC637" s="3" t="s">
        <v>45</v>
      </c>
      <c r="AD637" s="3" t="s">
        <v>45</v>
      </c>
      <c r="AE637" s="3" t="s">
        <v>45</v>
      </c>
      <c r="AF637" s="3" t="s">
        <v>45</v>
      </c>
      <c r="AG637" s="3" t="s">
        <v>5992</v>
      </c>
      <c r="AH637" s="3" t="s">
        <v>57</v>
      </c>
      <c r="AI637" s="5" t="s">
        <v>5456</v>
      </c>
      <c r="AJ637" s="3" t="s">
        <v>45</v>
      </c>
      <c r="AK637" s="3" t="s">
        <v>45</v>
      </c>
      <c r="AL637" s="3" t="s">
        <v>45</v>
      </c>
      <c r="AM637" s="3" t="s">
        <v>45</v>
      </c>
      <c r="AN637" s="3" t="s">
        <v>45</v>
      </c>
      <c r="AO637" s="3" t="s">
        <v>45</v>
      </c>
      <c r="AP637" s="3" t="s">
        <v>45</v>
      </c>
      <c r="AQ637" s="4" t="s">
        <v>5457</v>
      </c>
      <c r="AR637" s="4" t="s">
        <v>5457</v>
      </c>
    </row>
    <row r="638">
      <c r="A638" s="3" t="s">
        <v>5993</v>
      </c>
      <c r="B638" s="3" t="s">
        <v>5994</v>
      </c>
      <c r="C638" s="3" t="s">
        <v>5995</v>
      </c>
      <c r="D638" s="3" t="s">
        <v>5837</v>
      </c>
      <c r="E638" s="4" t="s">
        <v>5996</v>
      </c>
      <c r="F638" s="3" t="s">
        <v>5997</v>
      </c>
      <c r="G638" s="4" t="s">
        <v>5998</v>
      </c>
      <c r="H638" s="4" t="s">
        <v>5999</v>
      </c>
      <c r="I638" s="3" t="s">
        <v>49</v>
      </c>
      <c r="J638" s="3" t="s">
        <v>126</v>
      </c>
      <c r="K638" s="3" t="s">
        <v>45</v>
      </c>
      <c r="L638" s="3" t="s">
        <v>45</v>
      </c>
      <c r="M638" s="3" t="s">
        <v>45</v>
      </c>
      <c r="N638" s="4" t="s">
        <v>156</v>
      </c>
      <c r="O638" s="3" t="s">
        <v>88</v>
      </c>
      <c r="P638" s="3" t="s">
        <v>45</v>
      </c>
      <c r="Q638" s="3" t="s">
        <v>45</v>
      </c>
      <c r="R638" s="3" t="s">
        <v>45</v>
      </c>
      <c r="S638" s="3" t="s">
        <v>45</v>
      </c>
      <c r="T638" s="3" t="s">
        <v>45</v>
      </c>
      <c r="U638" s="3" t="s">
        <v>45</v>
      </c>
      <c r="V638" s="3" t="s">
        <v>45</v>
      </c>
      <c r="W638" s="4" t="s">
        <v>6000</v>
      </c>
      <c r="X638" s="3" t="s">
        <v>6001</v>
      </c>
      <c r="Y638" s="3" t="s">
        <v>45</v>
      </c>
      <c r="Z638" s="3" t="s">
        <v>55</v>
      </c>
      <c r="AA638" s="3" t="s">
        <v>45</v>
      </c>
      <c r="AB638" s="3" t="s">
        <v>109</v>
      </c>
      <c r="AC638" s="3" t="s">
        <v>45</v>
      </c>
      <c r="AD638" s="3" t="s">
        <v>45</v>
      </c>
      <c r="AE638" s="3" t="s">
        <v>45</v>
      </c>
      <c r="AF638" s="5" t="s">
        <v>6002</v>
      </c>
      <c r="AG638" s="3" t="s">
        <v>6003</v>
      </c>
      <c r="AH638" s="3" t="s">
        <v>57</v>
      </c>
      <c r="AI638" s="5" t="s">
        <v>6004</v>
      </c>
      <c r="AJ638" s="5" t="s">
        <v>6005</v>
      </c>
      <c r="AK638" s="5" t="s">
        <v>6006</v>
      </c>
      <c r="AL638" s="3" t="s">
        <v>45</v>
      </c>
      <c r="AM638" s="3" t="s">
        <v>45</v>
      </c>
      <c r="AN638" s="3" t="s">
        <v>45</v>
      </c>
      <c r="AO638" s="3" t="s">
        <v>45</v>
      </c>
      <c r="AP638" s="3" t="s">
        <v>45</v>
      </c>
      <c r="AQ638" s="4" t="s">
        <v>2052</v>
      </c>
      <c r="AR638" s="4" t="s">
        <v>6007</v>
      </c>
    </row>
    <row r="639">
      <c r="A639" s="3" t="s">
        <v>6008</v>
      </c>
      <c r="B639" s="3" t="s">
        <v>6009</v>
      </c>
      <c r="C639" s="3" t="s">
        <v>6010</v>
      </c>
      <c r="D639" s="3" t="s">
        <v>5837</v>
      </c>
      <c r="E639" s="4" t="s">
        <v>6011</v>
      </c>
      <c r="F639" s="3" t="s">
        <v>6012</v>
      </c>
      <c r="G639" s="4" t="s">
        <v>6013</v>
      </c>
      <c r="H639" s="4" t="s">
        <v>6014</v>
      </c>
      <c r="I639" s="3" t="s">
        <v>49</v>
      </c>
      <c r="J639" s="3" t="s">
        <v>126</v>
      </c>
      <c r="K639" s="3" t="s">
        <v>45</v>
      </c>
      <c r="L639" s="3" t="s">
        <v>45</v>
      </c>
      <c r="M639" s="3" t="s">
        <v>45</v>
      </c>
      <c r="N639" s="3" t="s">
        <v>45</v>
      </c>
      <c r="O639" s="3" t="s">
        <v>74</v>
      </c>
      <c r="P639" s="3" t="s">
        <v>45</v>
      </c>
      <c r="Q639" s="3" t="s">
        <v>45</v>
      </c>
      <c r="R639" s="3" t="s">
        <v>45</v>
      </c>
      <c r="S639" s="3" t="s">
        <v>45</v>
      </c>
      <c r="T639" s="3" t="s">
        <v>45</v>
      </c>
      <c r="U639" s="3" t="s">
        <v>45</v>
      </c>
      <c r="V639" s="3" t="s">
        <v>45</v>
      </c>
      <c r="W639" s="3" t="s">
        <v>45</v>
      </c>
      <c r="X639" s="3" t="s">
        <v>45</v>
      </c>
      <c r="Y639" s="3" t="s">
        <v>45</v>
      </c>
      <c r="Z639" s="3" t="s">
        <v>74</v>
      </c>
      <c r="AA639" s="3" t="s">
        <v>45</v>
      </c>
      <c r="AB639" s="3" t="s">
        <v>45</v>
      </c>
      <c r="AC639" s="3" t="s">
        <v>45</v>
      </c>
      <c r="AD639" s="3" t="s">
        <v>45</v>
      </c>
      <c r="AE639" s="3" t="s">
        <v>45</v>
      </c>
      <c r="AF639" s="3" t="s">
        <v>45</v>
      </c>
      <c r="AG639" s="3" t="s">
        <v>6015</v>
      </c>
      <c r="AH639" s="3" t="s">
        <v>57</v>
      </c>
      <c r="AI639" s="5" t="s">
        <v>6016</v>
      </c>
      <c r="AJ639" s="5" t="s">
        <v>6017</v>
      </c>
      <c r="AK639" s="5" t="s">
        <v>6018</v>
      </c>
      <c r="AL639" s="3" t="s">
        <v>45</v>
      </c>
      <c r="AM639" s="3" t="s">
        <v>45</v>
      </c>
      <c r="AN639" s="3" t="s">
        <v>45</v>
      </c>
      <c r="AO639" s="3" t="s">
        <v>45</v>
      </c>
      <c r="AP639" s="3" t="s">
        <v>45</v>
      </c>
      <c r="AQ639" s="4" t="s">
        <v>5457</v>
      </c>
      <c r="AR639" s="4" t="s">
        <v>5457</v>
      </c>
    </row>
    <row r="640">
      <c r="A640" s="3" t="s">
        <v>6019</v>
      </c>
      <c r="B640" s="3" t="s">
        <v>6020</v>
      </c>
      <c r="C640" s="3" t="s">
        <v>6010</v>
      </c>
      <c r="D640" s="3" t="s">
        <v>5837</v>
      </c>
      <c r="E640" s="4" t="s">
        <v>6011</v>
      </c>
      <c r="F640" s="3" t="s">
        <v>6012</v>
      </c>
      <c r="G640" s="4" t="s">
        <v>6021</v>
      </c>
      <c r="H640" s="4" t="s">
        <v>6022</v>
      </c>
      <c r="I640" s="3" t="s">
        <v>436</v>
      </c>
      <c r="J640" s="3" t="s">
        <v>50</v>
      </c>
      <c r="K640" s="3" t="s">
        <v>45</v>
      </c>
      <c r="L640" s="3" t="s">
        <v>45</v>
      </c>
      <c r="M640" s="3" t="s">
        <v>45</v>
      </c>
      <c r="N640" s="4" t="s">
        <v>156</v>
      </c>
      <c r="O640" s="3" t="s">
        <v>88</v>
      </c>
      <c r="P640" s="3" t="s">
        <v>45</v>
      </c>
      <c r="Q640" s="3" t="s">
        <v>45</v>
      </c>
      <c r="R640" s="3" t="s">
        <v>45</v>
      </c>
      <c r="S640" s="3" t="s">
        <v>45</v>
      </c>
      <c r="T640" s="3" t="s">
        <v>45</v>
      </c>
      <c r="U640" s="3" t="s">
        <v>45</v>
      </c>
      <c r="V640" s="3" t="s">
        <v>45</v>
      </c>
      <c r="W640" s="3" t="s">
        <v>45</v>
      </c>
      <c r="X640" s="3" t="s">
        <v>45</v>
      </c>
      <c r="Y640" s="3" t="s">
        <v>45</v>
      </c>
      <c r="Z640" s="3" t="s">
        <v>74</v>
      </c>
      <c r="AA640" s="3" t="s">
        <v>45</v>
      </c>
      <c r="AB640" s="3" t="s">
        <v>45</v>
      </c>
      <c r="AC640" s="3" t="s">
        <v>45</v>
      </c>
      <c r="AD640" s="3" t="s">
        <v>45</v>
      </c>
      <c r="AE640" s="3" t="s">
        <v>45</v>
      </c>
      <c r="AF640" s="3" t="s">
        <v>45</v>
      </c>
      <c r="AG640" s="3" t="s">
        <v>45</v>
      </c>
      <c r="AH640" s="3" t="s">
        <v>57</v>
      </c>
      <c r="AI640" s="5" t="s">
        <v>6023</v>
      </c>
      <c r="AJ640" s="3" t="s">
        <v>45</v>
      </c>
      <c r="AK640" s="3" t="s">
        <v>45</v>
      </c>
      <c r="AL640" s="3" t="s">
        <v>45</v>
      </c>
      <c r="AM640" s="3" t="s">
        <v>45</v>
      </c>
      <c r="AN640" s="3" t="s">
        <v>45</v>
      </c>
      <c r="AO640" s="3" t="s">
        <v>45</v>
      </c>
      <c r="AP640" s="3" t="s">
        <v>45</v>
      </c>
      <c r="AQ640" s="4" t="s">
        <v>379</v>
      </c>
      <c r="AR640" s="4" t="s">
        <v>379</v>
      </c>
    </row>
    <row r="641">
      <c r="A641" s="3" t="s">
        <v>6024</v>
      </c>
      <c r="B641" s="3" t="s">
        <v>6025</v>
      </c>
      <c r="C641" s="3" t="s">
        <v>6010</v>
      </c>
      <c r="D641" s="3" t="s">
        <v>5837</v>
      </c>
      <c r="E641" s="4" t="s">
        <v>6011</v>
      </c>
      <c r="F641" s="3" t="s">
        <v>6012</v>
      </c>
      <c r="G641" s="4" t="s">
        <v>6026</v>
      </c>
      <c r="H641" s="4" t="s">
        <v>6027</v>
      </c>
      <c r="I641" s="3" t="s">
        <v>408</v>
      </c>
      <c r="J641" s="3" t="s">
        <v>126</v>
      </c>
      <c r="K641" s="3" t="s">
        <v>5931</v>
      </c>
      <c r="L641" s="3" t="s">
        <v>45</v>
      </c>
      <c r="M641" s="3" t="s">
        <v>45</v>
      </c>
      <c r="N641" s="4" t="s">
        <v>427</v>
      </c>
      <c r="O641" s="3" t="s">
        <v>88</v>
      </c>
      <c r="P641" s="3" t="s">
        <v>45</v>
      </c>
      <c r="Q641" s="3" t="s">
        <v>45</v>
      </c>
      <c r="R641" s="3" t="s">
        <v>45</v>
      </c>
      <c r="S641" s="3" t="s">
        <v>45</v>
      </c>
      <c r="T641" s="3" t="s">
        <v>45</v>
      </c>
      <c r="U641" s="3" t="s">
        <v>221</v>
      </c>
      <c r="V641" s="3" t="s">
        <v>6028</v>
      </c>
      <c r="W641" s="3" t="s">
        <v>45</v>
      </c>
      <c r="X641" s="3" t="s">
        <v>45</v>
      </c>
      <c r="Y641" s="3" t="s">
        <v>45</v>
      </c>
      <c r="Z641" s="3" t="s">
        <v>55</v>
      </c>
      <c r="AA641" s="3" t="s">
        <v>45</v>
      </c>
      <c r="AB641" s="3" t="s">
        <v>45</v>
      </c>
      <c r="AC641" s="3" t="s">
        <v>45</v>
      </c>
      <c r="AD641" s="3" t="s">
        <v>45</v>
      </c>
      <c r="AE641" s="3" t="s">
        <v>45</v>
      </c>
      <c r="AF641" s="3" t="s">
        <v>45</v>
      </c>
      <c r="AG641" s="3" t="s">
        <v>6029</v>
      </c>
      <c r="AH641" s="3" t="s">
        <v>57</v>
      </c>
      <c r="AI641" s="5" t="s">
        <v>6030</v>
      </c>
      <c r="AJ641" s="5" t="s">
        <v>5905</v>
      </c>
      <c r="AK641" s="5" t="s">
        <v>6031</v>
      </c>
      <c r="AL641" s="3" t="s">
        <v>45</v>
      </c>
      <c r="AM641" s="3" t="s">
        <v>45</v>
      </c>
      <c r="AN641" s="3" t="s">
        <v>45</v>
      </c>
      <c r="AO641" s="3" t="s">
        <v>45</v>
      </c>
      <c r="AP641" s="3" t="s">
        <v>45</v>
      </c>
      <c r="AQ641" s="4" t="s">
        <v>5457</v>
      </c>
      <c r="AR641" s="4" t="s">
        <v>898</v>
      </c>
    </row>
    <row r="642">
      <c r="A642" s="3" t="s">
        <v>6032</v>
      </c>
      <c r="B642" s="3" t="s">
        <v>6033</v>
      </c>
      <c r="C642" s="3" t="s">
        <v>6010</v>
      </c>
      <c r="D642" s="3" t="s">
        <v>5837</v>
      </c>
      <c r="E642" s="4" t="s">
        <v>6011</v>
      </c>
      <c r="F642" s="3" t="s">
        <v>6012</v>
      </c>
      <c r="G642" s="4" t="s">
        <v>6034</v>
      </c>
      <c r="H642" s="4" t="s">
        <v>6035</v>
      </c>
      <c r="I642" s="3" t="s">
        <v>49</v>
      </c>
      <c r="J642" s="3" t="s">
        <v>126</v>
      </c>
      <c r="K642" s="3" t="s">
        <v>45</v>
      </c>
      <c r="L642" s="3" t="s">
        <v>6036</v>
      </c>
      <c r="M642" s="3" t="s">
        <v>45</v>
      </c>
      <c r="N642" s="4" t="s">
        <v>419</v>
      </c>
      <c r="O642" s="3" t="s">
        <v>88</v>
      </c>
      <c r="P642" s="3" t="s">
        <v>45</v>
      </c>
      <c r="Q642" s="3" t="s">
        <v>45</v>
      </c>
      <c r="R642" s="3" t="s">
        <v>45</v>
      </c>
      <c r="S642" s="3" t="s">
        <v>45</v>
      </c>
      <c r="T642" s="3" t="s">
        <v>45</v>
      </c>
      <c r="U642" s="3" t="s">
        <v>45</v>
      </c>
      <c r="V642" s="3" t="s">
        <v>45</v>
      </c>
      <c r="W642" s="4" t="s">
        <v>259</v>
      </c>
      <c r="X642" s="3" t="s">
        <v>45</v>
      </c>
      <c r="Y642" s="3" t="s">
        <v>45</v>
      </c>
      <c r="Z642" s="3" t="s">
        <v>74</v>
      </c>
      <c r="AA642" s="3" t="s">
        <v>45</v>
      </c>
      <c r="AB642" s="3" t="s">
        <v>45</v>
      </c>
      <c r="AC642" s="3" t="s">
        <v>45</v>
      </c>
      <c r="AD642" s="3" t="s">
        <v>45</v>
      </c>
      <c r="AE642" s="3" t="s">
        <v>45</v>
      </c>
      <c r="AF642" s="3" t="s">
        <v>45</v>
      </c>
      <c r="AG642" s="3" t="s">
        <v>45</v>
      </c>
      <c r="AH642" s="3" t="s">
        <v>57</v>
      </c>
      <c r="AI642" s="5" t="s">
        <v>6037</v>
      </c>
      <c r="AJ642" s="5" t="s">
        <v>5905</v>
      </c>
      <c r="AK642" s="3" t="s">
        <v>45</v>
      </c>
      <c r="AL642" s="3" t="s">
        <v>45</v>
      </c>
      <c r="AM642" s="3" t="s">
        <v>45</v>
      </c>
      <c r="AN642" s="3" t="s">
        <v>45</v>
      </c>
      <c r="AO642" s="3" t="s">
        <v>45</v>
      </c>
      <c r="AP642" s="3" t="s">
        <v>45</v>
      </c>
      <c r="AQ642" s="4" t="s">
        <v>5457</v>
      </c>
      <c r="AR642" s="4" t="s">
        <v>5457</v>
      </c>
    </row>
    <row r="643">
      <c r="A643" s="3" t="s">
        <v>6038</v>
      </c>
      <c r="B643" s="3" t="s">
        <v>6039</v>
      </c>
      <c r="C643" s="3" t="s">
        <v>6040</v>
      </c>
      <c r="D643" s="3" t="s">
        <v>5837</v>
      </c>
      <c r="E643" s="4" t="s">
        <v>6041</v>
      </c>
      <c r="F643" s="3" t="s">
        <v>6040</v>
      </c>
      <c r="G643" s="4" t="s">
        <v>6042</v>
      </c>
      <c r="H643" s="4" t="s">
        <v>6043</v>
      </c>
      <c r="I643" s="3" t="s">
        <v>85</v>
      </c>
      <c r="J643" s="3" t="s">
        <v>126</v>
      </c>
      <c r="K643" s="3" t="s">
        <v>45</v>
      </c>
      <c r="L643" s="3" t="s">
        <v>1521</v>
      </c>
      <c r="M643" s="3" t="s">
        <v>45</v>
      </c>
      <c r="N643" s="4" t="s">
        <v>6044</v>
      </c>
      <c r="O643" s="3" t="s">
        <v>53</v>
      </c>
      <c r="P643" s="3" t="s">
        <v>45</v>
      </c>
      <c r="Q643" s="3" t="s">
        <v>45</v>
      </c>
      <c r="R643" s="3" t="s">
        <v>45</v>
      </c>
      <c r="S643" s="3" t="s">
        <v>45</v>
      </c>
      <c r="T643" s="3" t="s">
        <v>45</v>
      </c>
      <c r="U643" s="3" t="s">
        <v>45</v>
      </c>
      <c r="V643" s="4" t="s">
        <v>6045</v>
      </c>
      <c r="W643" s="3" t="s">
        <v>45</v>
      </c>
      <c r="X643" s="3" t="s">
        <v>45</v>
      </c>
      <c r="Y643" s="4" t="s">
        <v>6046</v>
      </c>
      <c r="Z643" s="3" t="s">
        <v>74</v>
      </c>
      <c r="AA643" s="3" t="s">
        <v>45</v>
      </c>
      <c r="AB643" s="3" t="s">
        <v>45</v>
      </c>
      <c r="AC643" s="3" t="s">
        <v>45</v>
      </c>
      <c r="AD643" s="3" t="s">
        <v>45</v>
      </c>
      <c r="AE643" s="3" t="s">
        <v>45</v>
      </c>
      <c r="AF643" s="3" t="s">
        <v>45</v>
      </c>
      <c r="AG643" s="3" t="s">
        <v>5733</v>
      </c>
      <c r="AH643" s="3" t="s">
        <v>57</v>
      </c>
      <c r="AI643" s="5" t="s">
        <v>6047</v>
      </c>
      <c r="AJ643" s="3" t="s">
        <v>45</v>
      </c>
      <c r="AK643" s="3" t="s">
        <v>45</v>
      </c>
      <c r="AL643" s="3" t="s">
        <v>45</v>
      </c>
      <c r="AM643" s="3" t="s">
        <v>45</v>
      </c>
      <c r="AN643" s="3" t="s">
        <v>45</v>
      </c>
      <c r="AO643" s="3" t="s">
        <v>45</v>
      </c>
      <c r="AP643" s="3" t="s">
        <v>45</v>
      </c>
      <c r="AQ643" s="4" t="s">
        <v>5457</v>
      </c>
      <c r="AR643" s="4" t="s">
        <v>5457</v>
      </c>
    </row>
    <row r="644">
      <c r="A644" s="3" t="s">
        <v>6048</v>
      </c>
      <c r="B644" s="3" t="s">
        <v>6049</v>
      </c>
      <c r="C644" s="3" t="s">
        <v>6040</v>
      </c>
      <c r="D644" s="3" t="s">
        <v>5837</v>
      </c>
      <c r="E644" s="4" t="s">
        <v>6050</v>
      </c>
      <c r="F644" s="3" t="s">
        <v>6040</v>
      </c>
      <c r="G644" s="4" t="s">
        <v>6051</v>
      </c>
      <c r="H644" s="4" t="s">
        <v>6052</v>
      </c>
      <c r="I644" s="3" t="s">
        <v>85</v>
      </c>
      <c r="J644" s="3" t="s">
        <v>126</v>
      </c>
      <c r="K644" s="3" t="s">
        <v>45</v>
      </c>
      <c r="L644" s="3" t="s">
        <v>1521</v>
      </c>
      <c r="M644" s="3" t="s">
        <v>45</v>
      </c>
      <c r="N644" s="4" t="s">
        <v>6053</v>
      </c>
      <c r="O644" s="3" t="s">
        <v>53</v>
      </c>
      <c r="P644" s="3" t="s">
        <v>45</v>
      </c>
      <c r="Q644" s="3" t="s">
        <v>45</v>
      </c>
      <c r="R644" s="3" t="s">
        <v>45</v>
      </c>
      <c r="S644" s="3" t="s">
        <v>45</v>
      </c>
      <c r="T644" s="3" t="s">
        <v>45</v>
      </c>
      <c r="U644" s="3" t="s">
        <v>45</v>
      </c>
      <c r="V644" s="3" t="s">
        <v>45</v>
      </c>
      <c r="W644" s="3" t="s">
        <v>45</v>
      </c>
      <c r="X644" s="3" t="s">
        <v>45</v>
      </c>
      <c r="Y644" s="3" t="s">
        <v>45</v>
      </c>
      <c r="Z644" s="3" t="s">
        <v>74</v>
      </c>
      <c r="AA644" s="3" t="s">
        <v>45</v>
      </c>
      <c r="AB644" s="3" t="s">
        <v>45</v>
      </c>
      <c r="AC644" s="3" t="s">
        <v>45</v>
      </c>
      <c r="AD644" s="3" t="s">
        <v>45</v>
      </c>
      <c r="AE644" s="3" t="s">
        <v>45</v>
      </c>
      <c r="AF644" s="3" t="s">
        <v>45</v>
      </c>
      <c r="AG644" s="3" t="s">
        <v>45</v>
      </c>
      <c r="AH644" s="3" t="s">
        <v>57</v>
      </c>
      <c r="AI644" s="5" t="s">
        <v>6047</v>
      </c>
      <c r="AJ644" s="3" t="s">
        <v>45</v>
      </c>
      <c r="AK644" s="3" t="s">
        <v>45</v>
      </c>
      <c r="AL644" s="3" t="s">
        <v>45</v>
      </c>
      <c r="AM644" s="3" t="s">
        <v>45</v>
      </c>
      <c r="AN644" s="3" t="s">
        <v>45</v>
      </c>
      <c r="AO644" s="3" t="s">
        <v>45</v>
      </c>
      <c r="AP644" s="3" t="s">
        <v>45</v>
      </c>
      <c r="AQ644" s="4" t="s">
        <v>5457</v>
      </c>
      <c r="AR644" s="4" t="s">
        <v>5457</v>
      </c>
    </row>
    <row r="645">
      <c r="A645" s="3" t="s">
        <v>6054</v>
      </c>
      <c r="B645" s="3" t="s">
        <v>6049</v>
      </c>
      <c r="C645" s="3" t="s">
        <v>6040</v>
      </c>
      <c r="D645" s="3" t="s">
        <v>5837</v>
      </c>
      <c r="E645" s="4" t="s">
        <v>6050</v>
      </c>
      <c r="F645" s="3" t="s">
        <v>6040</v>
      </c>
      <c r="G645" s="4" t="s">
        <v>6055</v>
      </c>
      <c r="H645" s="4" t="s">
        <v>6056</v>
      </c>
      <c r="I645" s="3" t="s">
        <v>85</v>
      </c>
      <c r="J645" s="3" t="s">
        <v>126</v>
      </c>
      <c r="K645" s="3" t="s">
        <v>45</v>
      </c>
      <c r="L645" s="3" t="s">
        <v>45</v>
      </c>
      <c r="M645" s="3" t="s">
        <v>45</v>
      </c>
      <c r="N645" s="3" t="s">
        <v>45</v>
      </c>
      <c r="O645" s="3" t="s">
        <v>74</v>
      </c>
      <c r="P645" s="3" t="s">
        <v>45</v>
      </c>
      <c r="Q645" s="3" t="s">
        <v>45</v>
      </c>
      <c r="R645" s="3" t="s">
        <v>45</v>
      </c>
      <c r="S645" s="3" t="s">
        <v>45</v>
      </c>
      <c r="T645" s="3" t="s">
        <v>45</v>
      </c>
      <c r="U645" s="3" t="s">
        <v>45</v>
      </c>
      <c r="V645" s="3" t="s">
        <v>45</v>
      </c>
      <c r="W645" s="3" t="s">
        <v>45</v>
      </c>
      <c r="X645" s="3" t="s">
        <v>45</v>
      </c>
      <c r="Y645" s="3" t="s">
        <v>45</v>
      </c>
      <c r="Z645" s="3" t="s">
        <v>74</v>
      </c>
      <c r="AA645" s="3" t="s">
        <v>45</v>
      </c>
      <c r="AB645" s="3" t="s">
        <v>45</v>
      </c>
      <c r="AC645" s="3" t="s">
        <v>45</v>
      </c>
      <c r="AD645" s="3" t="s">
        <v>45</v>
      </c>
      <c r="AE645" s="3" t="s">
        <v>45</v>
      </c>
      <c r="AF645" s="3" t="s">
        <v>45</v>
      </c>
      <c r="AG645" s="3" t="s">
        <v>45</v>
      </c>
      <c r="AH645" s="3" t="s">
        <v>57</v>
      </c>
      <c r="AI645" s="5" t="s">
        <v>6057</v>
      </c>
      <c r="AJ645" s="3" t="s">
        <v>45</v>
      </c>
      <c r="AK645" s="3" t="s">
        <v>45</v>
      </c>
      <c r="AL645" s="3" t="s">
        <v>45</v>
      </c>
      <c r="AM645" s="3" t="s">
        <v>45</v>
      </c>
      <c r="AN645" s="3" t="s">
        <v>45</v>
      </c>
      <c r="AO645" s="3" t="s">
        <v>45</v>
      </c>
      <c r="AP645" s="3" t="s">
        <v>45</v>
      </c>
      <c r="AQ645" s="4" t="s">
        <v>3419</v>
      </c>
      <c r="AR645" s="4" t="s">
        <v>3419</v>
      </c>
    </row>
    <row r="646">
      <c r="A646" s="3" t="s">
        <v>6058</v>
      </c>
      <c r="B646" s="3" t="s">
        <v>6059</v>
      </c>
      <c r="C646" s="3" t="s">
        <v>6040</v>
      </c>
      <c r="D646" s="3" t="s">
        <v>5837</v>
      </c>
      <c r="E646" s="4" t="s">
        <v>6050</v>
      </c>
      <c r="F646" s="3" t="s">
        <v>6040</v>
      </c>
      <c r="G646" s="4" t="s">
        <v>6060</v>
      </c>
      <c r="H646" s="4" t="s">
        <v>6061</v>
      </c>
      <c r="I646" s="3" t="s">
        <v>85</v>
      </c>
      <c r="J646" s="3" t="s">
        <v>126</v>
      </c>
      <c r="K646" s="3" t="s">
        <v>45</v>
      </c>
      <c r="L646" s="3" t="s">
        <v>45</v>
      </c>
      <c r="M646" s="3" t="s">
        <v>45</v>
      </c>
      <c r="N646" s="4" t="s">
        <v>104</v>
      </c>
      <c r="O646" s="3" t="s">
        <v>53</v>
      </c>
      <c r="P646" s="3" t="s">
        <v>45</v>
      </c>
      <c r="Q646" s="3" t="s">
        <v>45</v>
      </c>
      <c r="R646" s="3" t="s">
        <v>45</v>
      </c>
      <c r="S646" s="3" t="s">
        <v>45</v>
      </c>
      <c r="T646" s="3" t="s">
        <v>45</v>
      </c>
      <c r="U646" s="3" t="s">
        <v>45</v>
      </c>
      <c r="V646" s="4" t="s">
        <v>6062</v>
      </c>
      <c r="W646" s="3" t="s">
        <v>45</v>
      </c>
      <c r="X646" s="3" t="s">
        <v>45</v>
      </c>
      <c r="Y646" s="3" t="s">
        <v>45</v>
      </c>
      <c r="Z646" s="3" t="s">
        <v>74</v>
      </c>
      <c r="AA646" s="3" t="s">
        <v>45</v>
      </c>
      <c r="AB646" s="3" t="s">
        <v>45</v>
      </c>
      <c r="AC646" s="3" t="s">
        <v>45</v>
      </c>
      <c r="AD646" s="3" t="s">
        <v>45</v>
      </c>
      <c r="AE646" s="3" t="s">
        <v>45</v>
      </c>
      <c r="AF646" s="3" t="s">
        <v>45</v>
      </c>
      <c r="AG646" s="3" t="s">
        <v>45</v>
      </c>
      <c r="AH646" s="3" t="s">
        <v>57</v>
      </c>
      <c r="AI646" s="3" t="s">
        <v>45</v>
      </c>
      <c r="AJ646" s="3" t="s">
        <v>45</v>
      </c>
      <c r="AK646" s="3" t="s">
        <v>45</v>
      </c>
      <c r="AL646" s="3" t="s">
        <v>45</v>
      </c>
      <c r="AM646" s="3" t="s">
        <v>45</v>
      </c>
      <c r="AN646" s="3" t="s">
        <v>45</v>
      </c>
      <c r="AO646" s="3" t="s">
        <v>45</v>
      </c>
      <c r="AP646" s="3" t="s">
        <v>45</v>
      </c>
      <c r="AQ646" s="4" t="s">
        <v>5457</v>
      </c>
      <c r="AR646" s="4" t="s">
        <v>5457</v>
      </c>
    </row>
    <row r="647">
      <c r="A647" s="3" t="s">
        <v>6063</v>
      </c>
      <c r="B647" s="3" t="s">
        <v>6064</v>
      </c>
      <c r="C647" s="3" t="s">
        <v>6065</v>
      </c>
      <c r="D647" s="3" t="s">
        <v>5837</v>
      </c>
      <c r="E647" s="4" t="s">
        <v>6066</v>
      </c>
      <c r="F647" s="3" t="s">
        <v>5910</v>
      </c>
      <c r="G647" s="4" t="s">
        <v>6067</v>
      </c>
      <c r="H647" s="4" t="s">
        <v>6068</v>
      </c>
      <c r="I647" s="3" t="s">
        <v>49</v>
      </c>
      <c r="J647" s="3" t="s">
        <v>126</v>
      </c>
      <c r="K647" s="3" t="s">
        <v>45</v>
      </c>
      <c r="L647" s="3" t="s">
        <v>45</v>
      </c>
      <c r="M647" s="3" t="s">
        <v>45</v>
      </c>
      <c r="N647" s="4" t="s">
        <v>2222</v>
      </c>
      <c r="O647" s="3" t="s">
        <v>88</v>
      </c>
      <c r="P647" s="3" t="s">
        <v>45</v>
      </c>
      <c r="Q647" s="3" t="s">
        <v>45</v>
      </c>
      <c r="R647" s="3" t="s">
        <v>45</v>
      </c>
      <c r="S647" s="4" t="s">
        <v>835</v>
      </c>
      <c r="T647" s="3" t="s">
        <v>45</v>
      </c>
      <c r="U647" s="3" t="s">
        <v>45</v>
      </c>
      <c r="V647" s="3" t="s">
        <v>45</v>
      </c>
      <c r="W647" s="4" t="s">
        <v>956</v>
      </c>
      <c r="X647" s="3" t="s">
        <v>45</v>
      </c>
      <c r="Y647" s="3" t="s">
        <v>45</v>
      </c>
      <c r="Z647" s="3" t="s">
        <v>74</v>
      </c>
      <c r="AA647" s="3" t="s">
        <v>45</v>
      </c>
      <c r="AB647" s="3" t="s">
        <v>45</v>
      </c>
      <c r="AC647" s="3" t="s">
        <v>45</v>
      </c>
      <c r="AD647" s="3" t="s">
        <v>45</v>
      </c>
      <c r="AE647" s="3" t="s">
        <v>45</v>
      </c>
      <c r="AF647" s="3" t="s">
        <v>45</v>
      </c>
      <c r="AG647" s="3" t="s">
        <v>45</v>
      </c>
      <c r="AH647" s="3" t="s">
        <v>57</v>
      </c>
      <c r="AI647" s="5" t="s">
        <v>6069</v>
      </c>
      <c r="AJ647" s="3" t="s">
        <v>45</v>
      </c>
      <c r="AK647" s="3" t="s">
        <v>45</v>
      </c>
      <c r="AL647" s="3" t="s">
        <v>45</v>
      </c>
      <c r="AM647" s="3" t="s">
        <v>45</v>
      </c>
      <c r="AN647" s="3" t="s">
        <v>45</v>
      </c>
      <c r="AO647" s="3" t="s">
        <v>45</v>
      </c>
      <c r="AP647" s="3" t="s">
        <v>45</v>
      </c>
      <c r="AQ647" s="4" t="s">
        <v>6070</v>
      </c>
      <c r="AR647" s="4" t="s">
        <v>6070</v>
      </c>
    </row>
    <row r="648">
      <c r="A648" s="3" t="s">
        <v>6071</v>
      </c>
      <c r="B648" s="3" t="s">
        <v>6072</v>
      </c>
      <c r="C648" s="3" t="s">
        <v>6065</v>
      </c>
      <c r="D648" s="3" t="s">
        <v>5837</v>
      </c>
      <c r="E648" s="4" t="s">
        <v>6073</v>
      </c>
      <c r="F648" s="3" t="s">
        <v>5869</v>
      </c>
      <c r="G648" s="4" t="s">
        <v>6074</v>
      </c>
      <c r="H648" s="4" t="s">
        <v>6075</v>
      </c>
      <c r="I648" s="3" t="s">
        <v>85</v>
      </c>
      <c r="J648" s="3" t="s">
        <v>126</v>
      </c>
      <c r="K648" s="3" t="s">
        <v>45</v>
      </c>
      <c r="L648" s="3" t="s">
        <v>45</v>
      </c>
      <c r="M648" s="3" t="s">
        <v>45</v>
      </c>
      <c r="N648" s="3" t="s">
        <v>6076</v>
      </c>
      <c r="O648" s="3" t="s">
        <v>722</v>
      </c>
      <c r="P648" s="3" t="s">
        <v>45</v>
      </c>
      <c r="Q648" s="3" t="s">
        <v>45</v>
      </c>
      <c r="R648" s="3" t="s">
        <v>45</v>
      </c>
      <c r="S648" s="3" t="s">
        <v>45</v>
      </c>
      <c r="T648" s="3" t="s">
        <v>45</v>
      </c>
      <c r="U648" s="3" t="s">
        <v>45</v>
      </c>
      <c r="V648" s="3" t="s">
        <v>45</v>
      </c>
      <c r="W648" s="3" t="s">
        <v>45</v>
      </c>
      <c r="X648" s="3" t="s">
        <v>45</v>
      </c>
      <c r="Y648" s="3" t="s">
        <v>45</v>
      </c>
      <c r="Z648" s="3" t="s">
        <v>74</v>
      </c>
      <c r="AA648" s="3" t="s">
        <v>45</v>
      </c>
      <c r="AB648" s="3" t="s">
        <v>45</v>
      </c>
      <c r="AC648" s="3" t="s">
        <v>45</v>
      </c>
      <c r="AD648" s="3" t="s">
        <v>45</v>
      </c>
      <c r="AE648" s="3" t="s">
        <v>45</v>
      </c>
      <c r="AF648" s="3" t="s">
        <v>45</v>
      </c>
      <c r="AG648" s="3" t="s">
        <v>2766</v>
      </c>
      <c r="AH648" s="3" t="s">
        <v>57</v>
      </c>
      <c r="AI648" s="5" t="s">
        <v>6077</v>
      </c>
      <c r="AJ648" s="5" t="s">
        <v>6078</v>
      </c>
      <c r="AK648" s="3" t="s">
        <v>45</v>
      </c>
      <c r="AL648" s="3" t="s">
        <v>45</v>
      </c>
      <c r="AM648" s="3" t="s">
        <v>45</v>
      </c>
      <c r="AN648" s="3" t="s">
        <v>45</v>
      </c>
      <c r="AO648" s="3" t="s">
        <v>45</v>
      </c>
      <c r="AP648" s="3" t="s">
        <v>45</v>
      </c>
      <c r="AQ648" s="4" t="s">
        <v>6079</v>
      </c>
      <c r="AR648" s="4" t="s">
        <v>6079</v>
      </c>
    </row>
    <row r="649">
      <c r="A649" s="3" t="s">
        <v>6080</v>
      </c>
      <c r="B649" s="3" t="s">
        <v>6081</v>
      </c>
      <c r="C649" s="3" t="s">
        <v>6065</v>
      </c>
      <c r="D649" s="3" t="s">
        <v>5837</v>
      </c>
      <c r="E649" s="4" t="s">
        <v>6082</v>
      </c>
      <c r="F649" s="3" t="s">
        <v>5869</v>
      </c>
      <c r="G649" s="4" t="s">
        <v>6083</v>
      </c>
      <c r="H649" s="4" t="s">
        <v>6084</v>
      </c>
      <c r="I649" s="3" t="s">
        <v>218</v>
      </c>
      <c r="J649" s="3" t="s">
        <v>126</v>
      </c>
      <c r="K649" s="3" t="s">
        <v>45</v>
      </c>
      <c r="L649" s="3" t="s">
        <v>45</v>
      </c>
      <c r="M649" s="3" t="s">
        <v>45</v>
      </c>
      <c r="N649" s="4" t="s">
        <v>6085</v>
      </c>
      <c r="O649" s="3" t="s">
        <v>88</v>
      </c>
      <c r="P649" s="3" t="s">
        <v>45</v>
      </c>
      <c r="Q649" s="3" t="s">
        <v>45</v>
      </c>
      <c r="R649" s="3" t="s">
        <v>45</v>
      </c>
      <c r="S649" s="3" t="s">
        <v>45</v>
      </c>
      <c r="T649" s="3" t="s">
        <v>45</v>
      </c>
      <c r="U649" s="3" t="s">
        <v>45</v>
      </c>
      <c r="V649" s="4" t="s">
        <v>1227</v>
      </c>
      <c r="W649" s="4" t="s">
        <v>6086</v>
      </c>
      <c r="X649" s="3" t="s">
        <v>2164</v>
      </c>
      <c r="Y649" s="3" t="s">
        <v>45</v>
      </c>
      <c r="Z649" s="3" t="s">
        <v>74</v>
      </c>
      <c r="AA649" s="3" t="s">
        <v>45</v>
      </c>
      <c r="AB649" s="3" t="s">
        <v>45</v>
      </c>
      <c r="AC649" s="3" t="s">
        <v>45</v>
      </c>
      <c r="AD649" s="3" t="s">
        <v>45</v>
      </c>
      <c r="AE649" s="3" t="s">
        <v>45</v>
      </c>
      <c r="AF649" s="3" t="s">
        <v>45</v>
      </c>
      <c r="AG649" s="3" t="s">
        <v>45</v>
      </c>
      <c r="AH649" s="3" t="s">
        <v>57</v>
      </c>
      <c r="AI649" s="5" t="s">
        <v>5905</v>
      </c>
      <c r="AJ649" s="5" t="s">
        <v>6087</v>
      </c>
      <c r="AK649" s="5" t="s">
        <v>6088</v>
      </c>
      <c r="AL649" s="5" t="s">
        <v>6089</v>
      </c>
      <c r="AM649" s="5" t="s">
        <v>6090</v>
      </c>
      <c r="AN649" s="3" t="s">
        <v>45</v>
      </c>
      <c r="AO649" s="3" t="s">
        <v>45</v>
      </c>
      <c r="AP649" s="3" t="s">
        <v>45</v>
      </c>
      <c r="AQ649" s="4" t="s">
        <v>5457</v>
      </c>
      <c r="AR649" s="4" t="s">
        <v>695</v>
      </c>
    </row>
    <row r="650">
      <c r="A650" s="3" t="s">
        <v>6091</v>
      </c>
      <c r="B650" s="3" t="s">
        <v>6092</v>
      </c>
      <c r="C650" s="3" t="s">
        <v>6093</v>
      </c>
      <c r="D650" s="3" t="s">
        <v>5837</v>
      </c>
      <c r="E650" s="4" t="s">
        <v>6094</v>
      </c>
      <c r="F650" s="3" t="s">
        <v>5869</v>
      </c>
      <c r="G650" s="4" t="s">
        <v>6095</v>
      </c>
      <c r="H650" s="4" t="s">
        <v>6096</v>
      </c>
      <c r="I650" s="3" t="s">
        <v>85</v>
      </c>
      <c r="J650" s="3" t="s">
        <v>126</v>
      </c>
      <c r="K650" s="3" t="s">
        <v>45</v>
      </c>
      <c r="L650" s="3" t="s">
        <v>45</v>
      </c>
      <c r="M650" s="3" t="s">
        <v>45</v>
      </c>
      <c r="N650" s="4" t="s">
        <v>2826</v>
      </c>
      <c r="O650" s="3" t="s">
        <v>390</v>
      </c>
      <c r="P650" s="3" t="s">
        <v>45</v>
      </c>
      <c r="Q650" s="3" t="s">
        <v>45</v>
      </c>
      <c r="R650" s="3" t="s">
        <v>45</v>
      </c>
      <c r="S650" s="3" t="s">
        <v>45</v>
      </c>
      <c r="T650" s="3" t="s">
        <v>45</v>
      </c>
      <c r="U650" s="3" t="s">
        <v>45</v>
      </c>
      <c r="V650" s="3" t="s">
        <v>45</v>
      </c>
      <c r="W650" s="3" t="s">
        <v>45</v>
      </c>
      <c r="X650" s="3" t="s">
        <v>45</v>
      </c>
      <c r="Y650" s="3" t="s">
        <v>45</v>
      </c>
      <c r="Z650" s="3" t="s">
        <v>55</v>
      </c>
      <c r="AA650" s="3" t="s">
        <v>45</v>
      </c>
      <c r="AB650" s="3" t="s">
        <v>109</v>
      </c>
      <c r="AC650" s="3" t="s">
        <v>45</v>
      </c>
      <c r="AD650" s="5" t="s">
        <v>6097</v>
      </c>
      <c r="AE650" s="3" t="s">
        <v>45</v>
      </c>
      <c r="AF650" s="5" t="s">
        <v>6098</v>
      </c>
      <c r="AG650" s="3" t="s">
        <v>6099</v>
      </c>
      <c r="AH650" s="3" t="s">
        <v>57</v>
      </c>
      <c r="AI650" s="5" t="s">
        <v>6100</v>
      </c>
      <c r="AJ650" s="5" t="s">
        <v>6101</v>
      </c>
      <c r="AK650" s="3" t="s">
        <v>45</v>
      </c>
      <c r="AL650" s="3" t="s">
        <v>45</v>
      </c>
      <c r="AM650" s="3" t="s">
        <v>45</v>
      </c>
      <c r="AN650" s="3" t="s">
        <v>45</v>
      </c>
      <c r="AO650" s="3" t="s">
        <v>45</v>
      </c>
      <c r="AP650" s="3" t="s">
        <v>45</v>
      </c>
      <c r="AQ650" s="4" t="s">
        <v>6079</v>
      </c>
      <c r="AR650" s="4" t="s">
        <v>1398</v>
      </c>
    </row>
    <row r="651">
      <c r="A651" s="3" t="s">
        <v>6102</v>
      </c>
      <c r="B651" s="3" t="s">
        <v>6103</v>
      </c>
      <c r="C651" s="3" t="s">
        <v>6104</v>
      </c>
      <c r="D651" s="3" t="s">
        <v>5837</v>
      </c>
      <c r="E651" s="4" t="s">
        <v>6105</v>
      </c>
      <c r="F651" s="3" t="s">
        <v>6106</v>
      </c>
      <c r="G651" s="4" t="s">
        <v>6107</v>
      </c>
      <c r="H651" s="4" t="s">
        <v>6108</v>
      </c>
      <c r="I651" s="3" t="s">
        <v>245</v>
      </c>
      <c r="J651" s="3" t="s">
        <v>126</v>
      </c>
      <c r="K651" s="3" t="s">
        <v>743</v>
      </c>
      <c r="L651" s="3" t="s">
        <v>45</v>
      </c>
      <c r="M651" s="3" t="s">
        <v>45</v>
      </c>
      <c r="N651" s="3" t="s">
        <v>45</v>
      </c>
      <c r="O651" s="3" t="s">
        <v>53</v>
      </c>
      <c r="P651" s="3" t="s">
        <v>45</v>
      </c>
      <c r="Q651" s="3" t="s">
        <v>45</v>
      </c>
      <c r="R651" s="3" t="s">
        <v>45</v>
      </c>
      <c r="S651" s="3" t="s">
        <v>45</v>
      </c>
      <c r="T651" s="3" t="s">
        <v>45</v>
      </c>
      <c r="U651" s="3" t="s">
        <v>45</v>
      </c>
      <c r="V651" s="3" t="s">
        <v>45</v>
      </c>
      <c r="W651" s="3" t="s">
        <v>45</v>
      </c>
      <c r="X651" s="3" t="s">
        <v>45</v>
      </c>
      <c r="Y651" s="3" t="s">
        <v>45</v>
      </c>
      <c r="Z651" s="3" t="s">
        <v>55</v>
      </c>
      <c r="AA651" s="3" t="s">
        <v>6109</v>
      </c>
      <c r="AB651" s="3" t="s">
        <v>45</v>
      </c>
      <c r="AC651" s="3" t="s">
        <v>45</v>
      </c>
      <c r="AD651" s="5" t="s">
        <v>6110</v>
      </c>
      <c r="AE651" s="5" t="s">
        <v>6111</v>
      </c>
      <c r="AF651" s="3" t="s">
        <v>45</v>
      </c>
      <c r="AG651" s="3" t="s">
        <v>6112</v>
      </c>
      <c r="AH651" s="3" t="s">
        <v>57</v>
      </c>
      <c r="AI651" s="5" t="s">
        <v>6113</v>
      </c>
      <c r="AJ651" s="3" t="s">
        <v>45</v>
      </c>
      <c r="AK651" s="3" t="s">
        <v>45</v>
      </c>
      <c r="AL651" s="3" t="s">
        <v>45</v>
      </c>
      <c r="AM651" s="3" t="s">
        <v>45</v>
      </c>
      <c r="AN651" s="3" t="s">
        <v>45</v>
      </c>
      <c r="AO651" s="3" t="s">
        <v>45</v>
      </c>
      <c r="AP651" s="3" t="s">
        <v>45</v>
      </c>
      <c r="AQ651" s="4" t="s">
        <v>2052</v>
      </c>
      <c r="AR651" s="4" t="s">
        <v>2231</v>
      </c>
    </row>
    <row r="652">
      <c r="A652" s="3" t="s">
        <v>6114</v>
      </c>
      <c r="B652" s="3" t="s">
        <v>6115</v>
      </c>
      <c r="C652" s="3" t="s">
        <v>6116</v>
      </c>
      <c r="D652" s="3" t="s">
        <v>5837</v>
      </c>
      <c r="E652" s="4" t="s">
        <v>6117</v>
      </c>
      <c r="F652" s="3" t="s">
        <v>6118</v>
      </c>
      <c r="G652" s="4" t="s">
        <v>6119</v>
      </c>
      <c r="H652" s="4" t="s">
        <v>6120</v>
      </c>
      <c r="I652" s="3" t="s">
        <v>85</v>
      </c>
      <c r="J652" s="3" t="s">
        <v>126</v>
      </c>
      <c r="K652" s="3" t="s">
        <v>45</v>
      </c>
      <c r="L652" s="3" t="s">
        <v>45</v>
      </c>
      <c r="M652" s="3" t="s">
        <v>45</v>
      </c>
      <c r="N652" s="4" t="s">
        <v>1872</v>
      </c>
      <c r="O652" s="3" t="s">
        <v>53</v>
      </c>
      <c r="P652" s="3" t="s">
        <v>45</v>
      </c>
      <c r="Q652" s="3" t="s">
        <v>45</v>
      </c>
      <c r="R652" s="3" t="s">
        <v>45</v>
      </c>
      <c r="S652" s="3" t="s">
        <v>45</v>
      </c>
      <c r="T652" s="3" t="s">
        <v>45</v>
      </c>
      <c r="U652" s="3" t="s">
        <v>45</v>
      </c>
      <c r="V652" s="4" t="s">
        <v>5594</v>
      </c>
      <c r="W652" s="4" t="s">
        <v>247</v>
      </c>
      <c r="X652" s="3" t="s">
        <v>45</v>
      </c>
      <c r="Y652" s="3" t="s">
        <v>45</v>
      </c>
      <c r="Z652" s="3" t="s">
        <v>74</v>
      </c>
      <c r="AA652" s="3" t="s">
        <v>45</v>
      </c>
      <c r="AB652" s="3" t="s">
        <v>45</v>
      </c>
      <c r="AC652" s="3" t="s">
        <v>45</v>
      </c>
      <c r="AD652" s="3" t="s">
        <v>45</v>
      </c>
      <c r="AE652" s="3" t="s">
        <v>45</v>
      </c>
      <c r="AF652" s="3" t="s">
        <v>45</v>
      </c>
      <c r="AG652" s="3" t="s">
        <v>45</v>
      </c>
      <c r="AH652" s="3" t="s">
        <v>57</v>
      </c>
      <c r="AI652" s="5" t="s">
        <v>6121</v>
      </c>
      <c r="AJ652" s="5" t="s">
        <v>6122</v>
      </c>
      <c r="AK652" s="3" t="s">
        <v>45</v>
      </c>
      <c r="AL652" s="3" t="s">
        <v>45</v>
      </c>
      <c r="AM652" s="3" t="s">
        <v>45</v>
      </c>
      <c r="AN652" s="3" t="s">
        <v>45</v>
      </c>
      <c r="AO652" s="3" t="s">
        <v>45</v>
      </c>
      <c r="AP652" s="3" t="s">
        <v>45</v>
      </c>
      <c r="AQ652" s="4" t="s">
        <v>5457</v>
      </c>
      <c r="AR652" s="4" t="s">
        <v>5457</v>
      </c>
    </row>
    <row r="653">
      <c r="A653" s="3" t="s">
        <v>6123</v>
      </c>
      <c r="B653" s="3" t="s">
        <v>6124</v>
      </c>
      <c r="C653" s="3" t="s">
        <v>6116</v>
      </c>
      <c r="D653" s="3" t="s">
        <v>5837</v>
      </c>
      <c r="E653" s="4" t="s">
        <v>6117</v>
      </c>
      <c r="F653" s="3" t="s">
        <v>6118</v>
      </c>
      <c r="G653" s="4" t="s">
        <v>6125</v>
      </c>
      <c r="H653" s="4" t="s">
        <v>6126</v>
      </c>
      <c r="I653" s="3" t="s">
        <v>85</v>
      </c>
      <c r="J653" s="3" t="s">
        <v>126</v>
      </c>
      <c r="K653" s="3" t="s">
        <v>45</v>
      </c>
      <c r="L653" s="3" t="s">
        <v>45</v>
      </c>
      <c r="M653" s="3" t="s">
        <v>45</v>
      </c>
      <c r="N653" s="4" t="s">
        <v>861</v>
      </c>
      <c r="O653" s="3" t="s">
        <v>390</v>
      </c>
      <c r="P653" s="3" t="s">
        <v>45</v>
      </c>
      <c r="Q653" s="3" t="s">
        <v>45</v>
      </c>
      <c r="R653" s="3" t="s">
        <v>45</v>
      </c>
      <c r="S653" s="3" t="s">
        <v>45</v>
      </c>
      <c r="T653" s="3" t="s">
        <v>45</v>
      </c>
      <c r="U653" s="3" t="s">
        <v>45</v>
      </c>
      <c r="V653" s="4" t="s">
        <v>3170</v>
      </c>
      <c r="W653" s="4" t="s">
        <v>914</v>
      </c>
      <c r="X653" s="3" t="s">
        <v>45</v>
      </c>
      <c r="Y653" s="4" t="s">
        <v>6127</v>
      </c>
      <c r="Z653" s="3" t="s">
        <v>74</v>
      </c>
      <c r="AA653" s="3" t="s">
        <v>45</v>
      </c>
      <c r="AB653" s="3" t="s">
        <v>45</v>
      </c>
      <c r="AC653" s="3" t="s">
        <v>45</v>
      </c>
      <c r="AD653" s="3" t="s">
        <v>45</v>
      </c>
      <c r="AE653" s="3" t="s">
        <v>45</v>
      </c>
      <c r="AF653" s="3" t="s">
        <v>45</v>
      </c>
      <c r="AG653" s="3" t="s">
        <v>45</v>
      </c>
      <c r="AH653" s="3" t="s">
        <v>57</v>
      </c>
      <c r="AI653" s="5" t="s">
        <v>6128</v>
      </c>
      <c r="AJ653" s="5" t="s">
        <v>6129</v>
      </c>
      <c r="AK653" s="5" t="s">
        <v>6047</v>
      </c>
      <c r="AL653" s="3" t="s">
        <v>45</v>
      </c>
      <c r="AM653" s="3" t="s">
        <v>45</v>
      </c>
      <c r="AN653" s="3" t="s">
        <v>45</v>
      </c>
      <c r="AO653" s="3" t="s">
        <v>45</v>
      </c>
      <c r="AP653" s="3" t="s">
        <v>45</v>
      </c>
      <c r="AQ653" s="4" t="s">
        <v>2787</v>
      </c>
      <c r="AR653" s="4" t="s">
        <v>5457</v>
      </c>
    </row>
    <row r="654">
      <c r="A654" s="3" t="s">
        <v>6130</v>
      </c>
      <c r="B654" s="3" t="s">
        <v>6131</v>
      </c>
      <c r="C654" s="3" t="s">
        <v>6116</v>
      </c>
      <c r="D654" s="3" t="s">
        <v>5837</v>
      </c>
      <c r="E654" s="4" t="s">
        <v>6117</v>
      </c>
      <c r="F654" s="3" t="s">
        <v>6118</v>
      </c>
      <c r="G654" s="4" t="s">
        <v>6132</v>
      </c>
      <c r="H654" s="4" t="s">
        <v>6133</v>
      </c>
      <c r="I654" s="3" t="s">
        <v>85</v>
      </c>
      <c r="J654" s="3" t="s">
        <v>126</v>
      </c>
      <c r="K654" s="3" t="s">
        <v>45</v>
      </c>
      <c r="L654" s="3" t="s">
        <v>45</v>
      </c>
      <c r="M654" s="3" t="s">
        <v>45</v>
      </c>
      <c r="N654" s="4" t="s">
        <v>3085</v>
      </c>
      <c r="O654" s="3" t="s">
        <v>390</v>
      </c>
      <c r="P654" s="3" t="s">
        <v>45</v>
      </c>
      <c r="Q654" s="3" t="s">
        <v>45</v>
      </c>
      <c r="R654" s="3" t="s">
        <v>45</v>
      </c>
      <c r="S654" s="3" t="s">
        <v>45</v>
      </c>
      <c r="T654" s="3" t="s">
        <v>45</v>
      </c>
      <c r="U654" s="3" t="s">
        <v>45</v>
      </c>
      <c r="V654" s="4" t="s">
        <v>6134</v>
      </c>
      <c r="W654" s="3" t="s">
        <v>45</v>
      </c>
      <c r="X654" s="3" t="s">
        <v>45</v>
      </c>
      <c r="Y654" s="3" t="s">
        <v>45</v>
      </c>
      <c r="Z654" s="3" t="s">
        <v>74</v>
      </c>
      <c r="AA654" s="3" t="s">
        <v>45</v>
      </c>
      <c r="AB654" s="3" t="s">
        <v>45</v>
      </c>
      <c r="AC654" s="3" t="s">
        <v>45</v>
      </c>
      <c r="AD654" s="3" t="s">
        <v>45</v>
      </c>
      <c r="AE654" s="3" t="s">
        <v>45</v>
      </c>
      <c r="AF654" s="3" t="s">
        <v>45</v>
      </c>
      <c r="AG654" s="3" t="s">
        <v>45</v>
      </c>
      <c r="AH654" s="3" t="s">
        <v>57</v>
      </c>
      <c r="AI654" s="3" t="s">
        <v>45</v>
      </c>
      <c r="AJ654" s="3" t="s">
        <v>45</v>
      </c>
      <c r="AK654" s="3" t="s">
        <v>45</v>
      </c>
      <c r="AL654" s="3" t="s">
        <v>45</v>
      </c>
      <c r="AM654" s="3" t="s">
        <v>45</v>
      </c>
      <c r="AN654" s="3" t="s">
        <v>45</v>
      </c>
      <c r="AO654" s="3" t="s">
        <v>45</v>
      </c>
      <c r="AP654" s="3" t="s">
        <v>45</v>
      </c>
      <c r="AQ654" s="4" t="s">
        <v>2402</v>
      </c>
      <c r="AR654" s="4" t="s">
        <v>2402</v>
      </c>
    </row>
    <row r="655">
      <c r="A655" s="3" t="s">
        <v>6135</v>
      </c>
      <c r="B655" s="3" t="s">
        <v>6136</v>
      </c>
      <c r="C655" s="3" t="s">
        <v>6137</v>
      </c>
      <c r="D655" s="3" t="s">
        <v>5837</v>
      </c>
      <c r="E655" s="4" t="s">
        <v>6138</v>
      </c>
      <c r="F655" s="3" t="s">
        <v>5948</v>
      </c>
      <c r="G655" s="4" t="s">
        <v>6139</v>
      </c>
      <c r="H655" s="4" t="s">
        <v>6140</v>
      </c>
      <c r="I655" s="3" t="s">
        <v>218</v>
      </c>
      <c r="J655" s="3" t="s">
        <v>126</v>
      </c>
      <c r="K655" s="3" t="s">
        <v>45</v>
      </c>
      <c r="L655" s="3" t="s">
        <v>45</v>
      </c>
      <c r="M655" s="3" t="s">
        <v>45</v>
      </c>
      <c r="N655" s="4" t="s">
        <v>90</v>
      </c>
      <c r="O655" s="3" t="s">
        <v>88</v>
      </c>
      <c r="P655" s="3" t="s">
        <v>220</v>
      </c>
      <c r="Q655" s="3" t="s">
        <v>45</v>
      </c>
      <c r="R655" s="3" t="s">
        <v>45</v>
      </c>
      <c r="S655" s="3" t="s">
        <v>45</v>
      </c>
      <c r="T655" s="3" t="s">
        <v>45</v>
      </c>
      <c r="U655" s="3" t="s">
        <v>45</v>
      </c>
      <c r="V655" s="4" t="s">
        <v>6141</v>
      </c>
      <c r="W655" s="4" t="s">
        <v>3595</v>
      </c>
      <c r="X655" s="3" t="s">
        <v>45</v>
      </c>
      <c r="Y655" s="3" t="s">
        <v>45</v>
      </c>
      <c r="Z655" s="3" t="s">
        <v>74</v>
      </c>
      <c r="AA655" s="3" t="s">
        <v>45</v>
      </c>
      <c r="AB655" s="3" t="s">
        <v>45</v>
      </c>
      <c r="AC655" s="3" t="s">
        <v>45</v>
      </c>
      <c r="AD655" s="3" t="s">
        <v>45</v>
      </c>
      <c r="AE655" s="3" t="s">
        <v>45</v>
      </c>
      <c r="AF655" s="3" t="s">
        <v>45</v>
      </c>
      <c r="AG655" s="3" t="s">
        <v>45</v>
      </c>
      <c r="AH655" s="3" t="s">
        <v>57</v>
      </c>
      <c r="AI655" s="5" t="s">
        <v>6142</v>
      </c>
      <c r="AJ655" s="3" t="s">
        <v>45</v>
      </c>
      <c r="AK655" s="3" t="s">
        <v>45</v>
      </c>
      <c r="AL655" s="3" t="s">
        <v>45</v>
      </c>
      <c r="AM655" s="3" t="s">
        <v>45</v>
      </c>
      <c r="AN655" s="3" t="s">
        <v>45</v>
      </c>
      <c r="AO655" s="3" t="s">
        <v>45</v>
      </c>
      <c r="AP655" s="3" t="s">
        <v>45</v>
      </c>
      <c r="AQ655" s="4" t="s">
        <v>1113</v>
      </c>
      <c r="AR655" s="4" t="s">
        <v>1113</v>
      </c>
    </row>
    <row r="656">
      <c r="A656" s="3" t="s">
        <v>6143</v>
      </c>
      <c r="B656" s="3" t="s">
        <v>6144</v>
      </c>
      <c r="C656" s="3" t="s">
        <v>6145</v>
      </c>
      <c r="D656" s="3" t="s">
        <v>5837</v>
      </c>
      <c r="E656" s="4" t="s">
        <v>6146</v>
      </c>
      <c r="F656" s="3" t="s">
        <v>1700</v>
      </c>
      <c r="G656" s="4" t="s">
        <v>6147</v>
      </c>
      <c r="H656" s="4" t="s">
        <v>6148</v>
      </c>
      <c r="I656" s="3" t="s">
        <v>85</v>
      </c>
      <c r="J656" s="3" t="s">
        <v>126</v>
      </c>
      <c r="K656" s="3" t="s">
        <v>45</v>
      </c>
      <c r="L656" s="3" t="s">
        <v>45</v>
      </c>
      <c r="M656" s="3" t="s">
        <v>45</v>
      </c>
      <c r="N656" s="4" t="s">
        <v>52</v>
      </c>
      <c r="O656" s="3" t="s">
        <v>53</v>
      </c>
      <c r="P656" s="3" t="s">
        <v>45</v>
      </c>
      <c r="Q656" s="3" t="s">
        <v>45</v>
      </c>
      <c r="R656" s="3" t="s">
        <v>45</v>
      </c>
      <c r="S656" s="3" t="s">
        <v>45</v>
      </c>
      <c r="T656" s="3" t="s">
        <v>45</v>
      </c>
      <c r="U656" s="3" t="s">
        <v>45</v>
      </c>
      <c r="V656" s="4" t="s">
        <v>6149</v>
      </c>
      <c r="W656" s="3" t="s">
        <v>45</v>
      </c>
      <c r="X656" s="3" t="s">
        <v>45</v>
      </c>
      <c r="Y656" s="3" t="s">
        <v>45</v>
      </c>
      <c r="Z656" s="3" t="s">
        <v>74</v>
      </c>
      <c r="AA656" s="3" t="s">
        <v>45</v>
      </c>
      <c r="AB656" s="3" t="s">
        <v>45</v>
      </c>
      <c r="AC656" s="3" t="s">
        <v>45</v>
      </c>
      <c r="AD656" s="3" t="s">
        <v>45</v>
      </c>
      <c r="AE656" s="3" t="s">
        <v>45</v>
      </c>
      <c r="AF656" s="3" t="s">
        <v>45</v>
      </c>
      <c r="AG656" s="3" t="s">
        <v>45</v>
      </c>
      <c r="AH656" s="3" t="s">
        <v>57</v>
      </c>
      <c r="AI656" s="3" t="s">
        <v>45</v>
      </c>
      <c r="AJ656" s="3" t="s">
        <v>45</v>
      </c>
      <c r="AK656" s="3" t="s">
        <v>45</v>
      </c>
      <c r="AL656" s="3" t="s">
        <v>45</v>
      </c>
      <c r="AM656" s="3" t="s">
        <v>45</v>
      </c>
      <c r="AN656" s="3" t="s">
        <v>45</v>
      </c>
      <c r="AO656" s="3" t="s">
        <v>45</v>
      </c>
      <c r="AP656" s="3" t="s">
        <v>45</v>
      </c>
      <c r="AQ656" s="4" t="s">
        <v>5457</v>
      </c>
      <c r="AR656" s="4" t="s">
        <v>5457</v>
      </c>
    </row>
    <row r="657">
      <c r="A657" s="3" t="s">
        <v>6150</v>
      </c>
      <c r="B657" s="3" t="s">
        <v>6151</v>
      </c>
      <c r="C657" s="3" t="s">
        <v>6152</v>
      </c>
      <c r="D657" s="3" t="s">
        <v>5837</v>
      </c>
      <c r="E657" s="4" t="s">
        <v>6153</v>
      </c>
      <c r="F657" s="3" t="s">
        <v>5910</v>
      </c>
      <c r="G657" s="4" t="s">
        <v>6154</v>
      </c>
      <c r="H657" s="4" t="s">
        <v>6155</v>
      </c>
      <c r="I657" s="3" t="s">
        <v>245</v>
      </c>
      <c r="J657" s="3" t="s">
        <v>126</v>
      </c>
      <c r="K657" s="3" t="s">
        <v>45</v>
      </c>
      <c r="L657" s="3" t="s">
        <v>45</v>
      </c>
      <c r="M657" s="3" t="s">
        <v>45</v>
      </c>
      <c r="N657" s="4" t="s">
        <v>2222</v>
      </c>
      <c r="O657" s="3" t="s">
        <v>88</v>
      </c>
      <c r="P657" s="3" t="s">
        <v>45</v>
      </c>
      <c r="Q657" s="3" t="s">
        <v>45</v>
      </c>
      <c r="R657" s="3" t="s">
        <v>45</v>
      </c>
      <c r="S657" s="3" t="s">
        <v>45</v>
      </c>
      <c r="T657" s="3" t="s">
        <v>45</v>
      </c>
      <c r="U657" s="3" t="s">
        <v>45</v>
      </c>
      <c r="V657" s="4" t="s">
        <v>2656</v>
      </c>
      <c r="W657" s="4" t="s">
        <v>6085</v>
      </c>
      <c r="X657" s="3" t="s">
        <v>45</v>
      </c>
      <c r="Y657" s="3" t="s">
        <v>45</v>
      </c>
      <c r="Z657" s="3" t="s">
        <v>74</v>
      </c>
      <c r="AA657" s="3" t="s">
        <v>45</v>
      </c>
      <c r="AB657" s="3" t="s">
        <v>45</v>
      </c>
      <c r="AC657" s="3" t="s">
        <v>45</v>
      </c>
      <c r="AD657" s="5" t="s">
        <v>6156</v>
      </c>
      <c r="AE657" s="5" t="s">
        <v>6157</v>
      </c>
      <c r="AF657" s="3" t="s">
        <v>45</v>
      </c>
      <c r="AG657" s="3" t="s">
        <v>6158</v>
      </c>
      <c r="AH657" s="3" t="s">
        <v>57</v>
      </c>
      <c r="AI657" s="5" t="s">
        <v>6159</v>
      </c>
      <c r="AJ657" s="5" t="s">
        <v>6160</v>
      </c>
      <c r="AK657" s="5" t="s">
        <v>6161</v>
      </c>
      <c r="AL657" s="3" t="s">
        <v>45</v>
      </c>
      <c r="AM657" s="3" t="s">
        <v>45</v>
      </c>
      <c r="AN657" s="3" t="s">
        <v>45</v>
      </c>
      <c r="AO657" s="3" t="s">
        <v>45</v>
      </c>
      <c r="AP657" s="3" t="s">
        <v>45</v>
      </c>
      <c r="AQ657" s="4" t="s">
        <v>5457</v>
      </c>
      <c r="AR657" s="4" t="s">
        <v>6162</v>
      </c>
    </row>
    <row r="658">
      <c r="A658" s="3" t="s">
        <v>6163</v>
      </c>
      <c r="B658" s="3" t="s">
        <v>6164</v>
      </c>
      <c r="C658" s="3" t="s">
        <v>6165</v>
      </c>
      <c r="D658" s="3" t="s">
        <v>5837</v>
      </c>
      <c r="E658" s="4" t="s">
        <v>6166</v>
      </c>
      <c r="F658" s="3" t="s">
        <v>3988</v>
      </c>
      <c r="G658" s="4" t="s">
        <v>6167</v>
      </c>
      <c r="H658" s="4" t="s">
        <v>6168</v>
      </c>
      <c r="I658" s="3" t="s">
        <v>49</v>
      </c>
      <c r="J658" s="3" t="s">
        <v>126</v>
      </c>
      <c r="K658" s="3" t="s">
        <v>45</v>
      </c>
      <c r="L658" s="3" t="s">
        <v>45</v>
      </c>
      <c r="M658" s="3" t="s">
        <v>45</v>
      </c>
      <c r="N658" s="4" t="s">
        <v>427</v>
      </c>
      <c r="O658" s="3" t="s">
        <v>88</v>
      </c>
      <c r="P658" s="3" t="s">
        <v>45</v>
      </c>
      <c r="Q658" s="3" t="s">
        <v>45</v>
      </c>
      <c r="R658" s="3" t="s">
        <v>45</v>
      </c>
      <c r="S658" s="3" t="s">
        <v>45</v>
      </c>
      <c r="T658" s="3" t="s">
        <v>45</v>
      </c>
      <c r="U658" s="3" t="s">
        <v>45</v>
      </c>
      <c r="V658" s="3" t="s">
        <v>45</v>
      </c>
      <c r="W658" s="3" t="s">
        <v>45</v>
      </c>
      <c r="X658" s="3" t="s">
        <v>45</v>
      </c>
      <c r="Y658" s="3" t="s">
        <v>45</v>
      </c>
      <c r="Z658" s="3" t="s">
        <v>74</v>
      </c>
      <c r="AA658" s="3" t="s">
        <v>45</v>
      </c>
      <c r="AB658" s="3" t="s">
        <v>45</v>
      </c>
      <c r="AC658" s="3" t="s">
        <v>45</v>
      </c>
      <c r="AD658" s="3" t="s">
        <v>45</v>
      </c>
      <c r="AE658" s="3" t="s">
        <v>45</v>
      </c>
      <c r="AF658" s="3" t="s">
        <v>45</v>
      </c>
      <c r="AG658" s="3" t="s">
        <v>45</v>
      </c>
      <c r="AH658" s="3" t="s">
        <v>57</v>
      </c>
      <c r="AI658" s="5" t="s">
        <v>6169</v>
      </c>
      <c r="AJ658" s="3" t="s">
        <v>45</v>
      </c>
      <c r="AK658" s="3" t="s">
        <v>45</v>
      </c>
      <c r="AL658" s="3" t="s">
        <v>45</v>
      </c>
      <c r="AM658" s="3" t="s">
        <v>45</v>
      </c>
      <c r="AN658" s="3" t="s">
        <v>45</v>
      </c>
      <c r="AO658" s="3" t="s">
        <v>45</v>
      </c>
      <c r="AP658" s="3" t="s">
        <v>45</v>
      </c>
      <c r="AQ658" s="4" t="s">
        <v>5457</v>
      </c>
      <c r="AR658" s="4" t="s">
        <v>5457</v>
      </c>
    </row>
    <row r="659">
      <c r="A659" s="3" t="s">
        <v>6170</v>
      </c>
      <c r="B659" s="3" t="s">
        <v>6171</v>
      </c>
      <c r="C659" s="3" t="s">
        <v>6172</v>
      </c>
      <c r="D659" s="3" t="s">
        <v>6173</v>
      </c>
      <c r="E659" s="4" t="s">
        <v>6174</v>
      </c>
      <c r="F659" s="3" t="s">
        <v>6175</v>
      </c>
      <c r="G659" s="4" t="s">
        <v>6176</v>
      </c>
      <c r="H659" s="4" t="s">
        <v>6177</v>
      </c>
      <c r="I659" s="3" t="s">
        <v>49</v>
      </c>
      <c r="J659" s="3" t="s">
        <v>126</v>
      </c>
      <c r="K659" s="3" t="s">
        <v>45</v>
      </c>
      <c r="L659" s="3" t="s">
        <v>45</v>
      </c>
      <c r="M659" s="3" t="s">
        <v>45</v>
      </c>
      <c r="N659" s="3" t="s">
        <v>6178</v>
      </c>
      <c r="O659" s="3" t="s">
        <v>70</v>
      </c>
      <c r="P659" s="3" t="s">
        <v>45</v>
      </c>
      <c r="Q659" s="3" t="s">
        <v>45</v>
      </c>
      <c r="R659" s="3" t="s">
        <v>45</v>
      </c>
      <c r="S659" s="3" t="s">
        <v>45</v>
      </c>
      <c r="T659" s="3" t="s">
        <v>45</v>
      </c>
      <c r="U659" s="3" t="s">
        <v>45</v>
      </c>
      <c r="V659" s="3" t="s">
        <v>45</v>
      </c>
      <c r="W659" s="3" t="s">
        <v>45</v>
      </c>
      <c r="X659" s="3" t="s">
        <v>45</v>
      </c>
      <c r="Y659" s="4" t="s">
        <v>73</v>
      </c>
      <c r="Z659" s="3" t="s">
        <v>55</v>
      </c>
      <c r="AA659" s="3" t="s">
        <v>45</v>
      </c>
      <c r="AB659" s="3" t="s">
        <v>45</v>
      </c>
      <c r="AC659" s="3" t="s">
        <v>45</v>
      </c>
      <c r="AD659" s="3" t="s">
        <v>45</v>
      </c>
      <c r="AE659" s="3" t="s">
        <v>45</v>
      </c>
      <c r="AF659" s="3" t="s">
        <v>45</v>
      </c>
      <c r="AG659" s="3" t="s">
        <v>6179</v>
      </c>
      <c r="AH659" s="3" t="s">
        <v>57</v>
      </c>
      <c r="AI659" s="5" t="s">
        <v>6180</v>
      </c>
      <c r="AJ659" s="5" t="s">
        <v>6181</v>
      </c>
      <c r="AK659" s="3" t="s">
        <v>45</v>
      </c>
      <c r="AL659" s="3" t="s">
        <v>45</v>
      </c>
      <c r="AM659" s="3" t="s">
        <v>45</v>
      </c>
      <c r="AN659" s="3" t="s">
        <v>45</v>
      </c>
      <c r="AO659" s="3" t="s">
        <v>45</v>
      </c>
      <c r="AP659" s="3" t="s">
        <v>45</v>
      </c>
      <c r="AQ659" s="4" t="s">
        <v>148</v>
      </c>
      <c r="AR659" s="4" t="s">
        <v>148</v>
      </c>
    </row>
    <row r="660">
      <c r="A660" s="3" t="s">
        <v>6182</v>
      </c>
      <c r="B660" s="3" t="s">
        <v>6183</v>
      </c>
      <c r="C660" s="3" t="s">
        <v>6184</v>
      </c>
      <c r="D660" s="3" t="s">
        <v>6173</v>
      </c>
      <c r="E660" s="4" t="s">
        <v>6185</v>
      </c>
      <c r="F660" s="3" t="s">
        <v>6186</v>
      </c>
      <c r="G660" s="4" t="s">
        <v>6187</v>
      </c>
      <c r="H660" s="4" t="s">
        <v>6188</v>
      </c>
      <c r="I660" s="3" t="s">
        <v>85</v>
      </c>
      <c r="J660" s="3" t="s">
        <v>126</v>
      </c>
      <c r="K660" s="3" t="s">
        <v>6189</v>
      </c>
      <c r="L660" s="3" t="s">
        <v>45</v>
      </c>
      <c r="M660" s="3" t="s">
        <v>45</v>
      </c>
      <c r="N660" s="3" t="s">
        <v>6190</v>
      </c>
      <c r="O660" s="3" t="s">
        <v>88</v>
      </c>
      <c r="P660" s="3" t="s">
        <v>45</v>
      </c>
      <c r="Q660" s="3" t="s">
        <v>45</v>
      </c>
      <c r="R660" s="3" t="s">
        <v>45</v>
      </c>
      <c r="S660" s="3" t="s">
        <v>45</v>
      </c>
      <c r="T660" s="3" t="s">
        <v>45</v>
      </c>
      <c r="U660" s="3" t="s">
        <v>45</v>
      </c>
      <c r="V660" s="4" t="s">
        <v>6191</v>
      </c>
      <c r="W660" s="3" t="s">
        <v>45</v>
      </c>
      <c r="X660" s="3" t="s">
        <v>45</v>
      </c>
      <c r="Y660" s="3" t="s">
        <v>45</v>
      </c>
      <c r="Z660" s="3" t="s">
        <v>74</v>
      </c>
      <c r="AA660" s="3" t="s">
        <v>45</v>
      </c>
      <c r="AB660" s="3" t="s">
        <v>45</v>
      </c>
      <c r="AC660" s="3" t="s">
        <v>45</v>
      </c>
      <c r="AD660" s="3" t="s">
        <v>45</v>
      </c>
      <c r="AE660" s="3" t="s">
        <v>45</v>
      </c>
      <c r="AF660" s="3" t="s">
        <v>45</v>
      </c>
      <c r="AG660" s="3" t="s">
        <v>6192</v>
      </c>
      <c r="AH660" s="3" t="s">
        <v>840</v>
      </c>
      <c r="AI660" s="5" t="s">
        <v>6193</v>
      </c>
      <c r="AJ660" s="3" t="s">
        <v>45</v>
      </c>
      <c r="AK660" s="3" t="s">
        <v>45</v>
      </c>
      <c r="AL660" s="3" t="s">
        <v>45</v>
      </c>
      <c r="AM660" s="3" t="s">
        <v>45</v>
      </c>
      <c r="AN660" s="3" t="s">
        <v>45</v>
      </c>
      <c r="AO660" s="3" t="s">
        <v>45</v>
      </c>
      <c r="AP660" s="3" t="s">
        <v>45</v>
      </c>
      <c r="AQ660" s="4" t="s">
        <v>6194</v>
      </c>
      <c r="AR660" s="4" t="s">
        <v>6194</v>
      </c>
    </row>
    <row r="661">
      <c r="A661" s="3" t="s">
        <v>6195</v>
      </c>
      <c r="B661" s="3" t="s">
        <v>6196</v>
      </c>
      <c r="C661" s="3" t="s">
        <v>6197</v>
      </c>
      <c r="D661" s="3" t="s">
        <v>6173</v>
      </c>
      <c r="E661" s="4" t="s">
        <v>6198</v>
      </c>
      <c r="F661" s="3" t="s">
        <v>6199</v>
      </c>
      <c r="G661" s="4" t="s">
        <v>6200</v>
      </c>
      <c r="H661" s="4" t="s">
        <v>6201</v>
      </c>
      <c r="I661" s="3" t="s">
        <v>49</v>
      </c>
      <c r="J661" s="3" t="s">
        <v>126</v>
      </c>
      <c r="K661" s="3" t="s">
        <v>45</v>
      </c>
      <c r="L661" s="3" t="s">
        <v>1569</v>
      </c>
      <c r="M661" s="3" t="s">
        <v>45</v>
      </c>
      <c r="N661" s="4" t="s">
        <v>419</v>
      </c>
      <c r="O661" s="3" t="s">
        <v>88</v>
      </c>
      <c r="P661" s="3" t="s">
        <v>71</v>
      </c>
      <c r="Q661" s="3" t="s">
        <v>1098</v>
      </c>
      <c r="R661" s="3" t="s">
        <v>45</v>
      </c>
      <c r="S661" s="3" t="s">
        <v>45</v>
      </c>
      <c r="T661" s="3" t="s">
        <v>45</v>
      </c>
      <c r="U661" s="3" t="s">
        <v>45</v>
      </c>
      <c r="V661" s="3" t="s">
        <v>45</v>
      </c>
      <c r="W661" s="4" t="s">
        <v>419</v>
      </c>
      <c r="X661" s="3" t="s">
        <v>45</v>
      </c>
      <c r="Y661" s="3" t="s">
        <v>45</v>
      </c>
      <c r="Z661" s="3" t="s">
        <v>55</v>
      </c>
      <c r="AA661" s="5" t="s">
        <v>6202</v>
      </c>
      <c r="AB661" s="3" t="s">
        <v>45</v>
      </c>
      <c r="AC661" s="3" t="s">
        <v>45</v>
      </c>
      <c r="AD661" s="3" t="s">
        <v>45</v>
      </c>
      <c r="AE661" s="3" t="s">
        <v>45</v>
      </c>
      <c r="AF661" s="3" t="s">
        <v>45</v>
      </c>
      <c r="AG661" s="3" t="s">
        <v>6203</v>
      </c>
      <c r="AH661" s="3" t="s">
        <v>57</v>
      </c>
      <c r="AI661" s="5" t="s">
        <v>6204</v>
      </c>
      <c r="AJ661" s="5" t="s">
        <v>6205</v>
      </c>
      <c r="AK661" s="5" t="s">
        <v>6206</v>
      </c>
      <c r="AL661" s="3" t="s">
        <v>45</v>
      </c>
      <c r="AM661" s="3" t="s">
        <v>45</v>
      </c>
      <c r="AN661" s="3" t="s">
        <v>45</v>
      </c>
      <c r="AO661" s="3" t="s">
        <v>45</v>
      </c>
      <c r="AP661" s="3" t="s">
        <v>45</v>
      </c>
      <c r="AQ661" s="4" t="s">
        <v>1729</v>
      </c>
      <c r="AR661" s="4" t="s">
        <v>2252</v>
      </c>
    </row>
    <row r="662">
      <c r="A662" s="3" t="s">
        <v>6207</v>
      </c>
      <c r="B662" s="3" t="s">
        <v>6208</v>
      </c>
      <c r="C662" s="3" t="s">
        <v>6209</v>
      </c>
      <c r="D662" s="3" t="s">
        <v>6173</v>
      </c>
      <c r="E662" s="4" t="s">
        <v>6210</v>
      </c>
      <c r="F662" s="3" t="s">
        <v>6186</v>
      </c>
      <c r="G662" s="4" t="s">
        <v>6211</v>
      </c>
      <c r="H662" s="4" t="s">
        <v>6212</v>
      </c>
      <c r="I662" s="3" t="s">
        <v>49</v>
      </c>
      <c r="J662" s="3" t="s">
        <v>126</v>
      </c>
      <c r="K662" s="3" t="s">
        <v>45</v>
      </c>
      <c r="L662" s="3" t="s">
        <v>45</v>
      </c>
      <c r="M662" s="3" t="s">
        <v>45</v>
      </c>
      <c r="N662" s="3" t="s">
        <v>45</v>
      </c>
      <c r="O662" s="3" t="s">
        <v>88</v>
      </c>
      <c r="P662" s="3" t="s">
        <v>71</v>
      </c>
      <c r="Q662" s="3" t="s">
        <v>45</v>
      </c>
      <c r="R662" s="3" t="s">
        <v>45</v>
      </c>
      <c r="S662" s="3" t="s">
        <v>45</v>
      </c>
      <c r="T662" s="3" t="s">
        <v>105</v>
      </c>
      <c r="U662" s="3" t="s">
        <v>221</v>
      </c>
      <c r="V662" s="4" t="s">
        <v>6213</v>
      </c>
      <c r="W662" s="4" t="s">
        <v>6214</v>
      </c>
      <c r="X662" s="3" t="s">
        <v>45</v>
      </c>
      <c r="Y662" s="3" t="s">
        <v>45</v>
      </c>
      <c r="Z662" s="3" t="s">
        <v>55</v>
      </c>
      <c r="AA662" s="3" t="s">
        <v>45</v>
      </c>
      <c r="AB662" s="3" t="s">
        <v>45</v>
      </c>
      <c r="AC662" s="3" t="s">
        <v>45</v>
      </c>
      <c r="AD662" s="3" t="s">
        <v>45</v>
      </c>
      <c r="AE662" s="3" t="s">
        <v>45</v>
      </c>
      <c r="AF662" s="5" t="s">
        <v>6215</v>
      </c>
      <c r="AG662" s="3" t="s">
        <v>6216</v>
      </c>
      <c r="AH662" s="3" t="s">
        <v>57</v>
      </c>
      <c r="AI662" s="5" t="s">
        <v>6217</v>
      </c>
      <c r="AJ662" s="5" t="s">
        <v>6218</v>
      </c>
      <c r="AK662" s="5" t="s">
        <v>6219</v>
      </c>
      <c r="AL662" s="5" t="s">
        <v>6220</v>
      </c>
      <c r="AM662" s="5" t="s">
        <v>6221</v>
      </c>
      <c r="AN662" s="3" t="s">
        <v>45</v>
      </c>
      <c r="AO662" s="3" t="s">
        <v>45</v>
      </c>
      <c r="AP662" s="3" t="s">
        <v>45</v>
      </c>
      <c r="AQ662" s="4" t="s">
        <v>2096</v>
      </c>
      <c r="AR662" s="4" t="s">
        <v>2197</v>
      </c>
    </row>
    <row r="663">
      <c r="A663" s="3" t="s">
        <v>6222</v>
      </c>
      <c r="B663" s="3" t="s">
        <v>6223</v>
      </c>
      <c r="C663" s="3" t="s">
        <v>6224</v>
      </c>
      <c r="D663" s="3" t="s">
        <v>6173</v>
      </c>
      <c r="E663" s="4" t="s">
        <v>6225</v>
      </c>
      <c r="F663" s="3" t="s">
        <v>6226</v>
      </c>
      <c r="G663" s="4" t="s">
        <v>6227</v>
      </c>
      <c r="H663" s="4" t="s">
        <v>6228</v>
      </c>
      <c r="I663" s="3" t="s">
        <v>218</v>
      </c>
      <c r="J663" s="3" t="s">
        <v>126</v>
      </c>
      <c r="K663" s="3" t="s">
        <v>45</v>
      </c>
      <c r="L663" s="3" t="s">
        <v>210</v>
      </c>
      <c r="M663" s="3" t="s">
        <v>45</v>
      </c>
      <c r="N663" s="4" t="s">
        <v>6229</v>
      </c>
      <c r="O663" s="3" t="s">
        <v>88</v>
      </c>
      <c r="P663" s="3" t="s">
        <v>71</v>
      </c>
      <c r="Q663" s="3" t="s">
        <v>6230</v>
      </c>
      <c r="R663" s="3" t="s">
        <v>45</v>
      </c>
      <c r="S663" s="3" t="s">
        <v>45</v>
      </c>
      <c r="T663" s="3" t="s">
        <v>45</v>
      </c>
      <c r="U663" s="3" t="s">
        <v>45</v>
      </c>
      <c r="V663" s="4" t="s">
        <v>222</v>
      </c>
      <c r="W663" s="4" t="s">
        <v>3221</v>
      </c>
      <c r="X663" s="3" t="s">
        <v>223</v>
      </c>
      <c r="Y663" s="4" t="s">
        <v>317</v>
      </c>
      <c r="Z663" s="3" t="s">
        <v>55</v>
      </c>
      <c r="AA663" s="3" t="s">
        <v>45</v>
      </c>
      <c r="AB663" s="3" t="s">
        <v>45</v>
      </c>
      <c r="AC663" s="3" t="s">
        <v>6231</v>
      </c>
      <c r="AD663" s="3" t="s">
        <v>45</v>
      </c>
      <c r="AE663" s="3" t="s">
        <v>45</v>
      </c>
      <c r="AF663" s="3" t="s">
        <v>45</v>
      </c>
      <c r="AG663" s="3" t="s">
        <v>6232</v>
      </c>
      <c r="AH663" s="3" t="s">
        <v>57</v>
      </c>
      <c r="AI663" s="5" t="s">
        <v>6233</v>
      </c>
      <c r="AJ663" s="5" t="s">
        <v>6234</v>
      </c>
      <c r="AK663" s="5" t="s">
        <v>6235</v>
      </c>
      <c r="AL663" s="5" t="s">
        <v>6236</v>
      </c>
      <c r="AM663" s="5" t="s">
        <v>6237</v>
      </c>
      <c r="AN663" s="5" t="s">
        <v>6238</v>
      </c>
      <c r="AO663" s="5" t="s">
        <v>6239</v>
      </c>
      <c r="AP663" s="5" t="s">
        <v>6240</v>
      </c>
      <c r="AQ663" s="4" t="s">
        <v>6241</v>
      </c>
      <c r="AR663" s="4" t="s">
        <v>2065</v>
      </c>
    </row>
    <row r="664">
      <c r="A664" s="3" t="s">
        <v>6242</v>
      </c>
      <c r="B664" s="3" t="s">
        <v>6243</v>
      </c>
      <c r="C664" s="3" t="s">
        <v>4954</v>
      </c>
      <c r="D664" s="3" t="s">
        <v>6173</v>
      </c>
      <c r="E664" s="4" t="s">
        <v>6244</v>
      </c>
      <c r="F664" s="3" t="s">
        <v>6245</v>
      </c>
      <c r="G664" s="4" t="s">
        <v>6246</v>
      </c>
      <c r="H664" s="4" t="s">
        <v>6247</v>
      </c>
      <c r="I664" s="3" t="s">
        <v>85</v>
      </c>
      <c r="J664" s="3" t="s">
        <v>126</v>
      </c>
      <c r="K664" s="3" t="s">
        <v>6248</v>
      </c>
      <c r="L664" s="3" t="s">
        <v>6249</v>
      </c>
      <c r="M664" s="3" t="s">
        <v>45</v>
      </c>
      <c r="N664" s="4" t="s">
        <v>4040</v>
      </c>
      <c r="O664" s="3" t="s">
        <v>53</v>
      </c>
      <c r="P664" s="3" t="s">
        <v>45</v>
      </c>
      <c r="Q664" s="3" t="s">
        <v>45</v>
      </c>
      <c r="R664" s="3" t="s">
        <v>45</v>
      </c>
      <c r="S664" s="3" t="s">
        <v>45</v>
      </c>
      <c r="T664" s="3" t="s">
        <v>45</v>
      </c>
      <c r="U664" s="3" t="s">
        <v>45</v>
      </c>
      <c r="V664" s="4" t="s">
        <v>6250</v>
      </c>
      <c r="W664" s="4" t="s">
        <v>233</v>
      </c>
      <c r="X664" s="3" t="s">
        <v>45</v>
      </c>
      <c r="Y664" s="3" t="s">
        <v>45</v>
      </c>
      <c r="Z664" s="3" t="s">
        <v>55</v>
      </c>
      <c r="AA664" s="3" t="s">
        <v>45</v>
      </c>
      <c r="AB664" s="3" t="s">
        <v>45</v>
      </c>
      <c r="AC664" s="3" t="s">
        <v>45</v>
      </c>
      <c r="AD664" s="3" t="s">
        <v>45</v>
      </c>
      <c r="AE664" s="3" t="s">
        <v>45</v>
      </c>
      <c r="AF664" s="5" t="s">
        <v>6251</v>
      </c>
      <c r="AG664" s="3" t="s">
        <v>45</v>
      </c>
      <c r="AH664" s="3" t="s">
        <v>57</v>
      </c>
      <c r="AI664" s="5" t="s">
        <v>6252</v>
      </c>
      <c r="AJ664" s="5" t="s">
        <v>6253</v>
      </c>
      <c r="AK664" s="3" t="s">
        <v>45</v>
      </c>
      <c r="AL664" s="3" t="s">
        <v>45</v>
      </c>
      <c r="AM664" s="3" t="s">
        <v>45</v>
      </c>
      <c r="AN664" s="3" t="s">
        <v>45</v>
      </c>
      <c r="AO664" s="3" t="s">
        <v>45</v>
      </c>
      <c r="AP664" s="3" t="s">
        <v>45</v>
      </c>
      <c r="AQ664" s="4" t="s">
        <v>3797</v>
      </c>
      <c r="AR664" s="4" t="s">
        <v>3797</v>
      </c>
    </row>
    <row r="665">
      <c r="A665" s="3" t="s">
        <v>3273</v>
      </c>
      <c r="B665" s="3" t="s">
        <v>6254</v>
      </c>
      <c r="C665" s="3" t="s">
        <v>6255</v>
      </c>
      <c r="D665" s="3" t="s">
        <v>6173</v>
      </c>
      <c r="E665" s="4" t="s">
        <v>6256</v>
      </c>
      <c r="F665" s="3" t="s">
        <v>3246</v>
      </c>
      <c r="G665" s="4" t="s">
        <v>6257</v>
      </c>
      <c r="H665" s="4" t="s">
        <v>6258</v>
      </c>
      <c r="I665" s="3" t="s">
        <v>218</v>
      </c>
      <c r="J665" s="3" t="s">
        <v>126</v>
      </c>
      <c r="K665" s="3" t="s">
        <v>45</v>
      </c>
      <c r="L665" s="3" t="s">
        <v>45</v>
      </c>
      <c r="M665" s="3" t="s">
        <v>45</v>
      </c>
      <c r="N665" s="3" t="s">
        <v>45</v>
      </c>
      <c r="O665" s="3" t="s">
        <v>74</v>
      </c>
      <c r="P665" s="3" t="s">
        <v>45</v>
      </c>
      <c r="Q665" s="3" t="s">
        <v>45</v>
      </c>
      <c r="R665" s="3" t="s">
        <v>45</v>
      </c>
      <c r="S665" s="3" t="s">
        <v>45</v>
      </c>
      <c r="T665" s="3" t="s">
        <v>45</v>
      </c>
      <c r="U665" s="3" t="s">
        <v>45</v>
      </c>
      <c r="V665" s="4" t="s">
        <v>1142</v>
      </c>
      <c r="W665" s="3" t="s">
        <v>45</v>
      </c>
      <c r="X665" s="3" t="s">
        <v>45</v>
      </c>
      <c r="Y665" s="3" t="s">
        <v>45</v>
      </c>
      <c r="Z665" s="3" t="s">
        <v>74</v>
      </c>
      <c r="AA665" s="3" t="s">
        <v>45</v>
      </c>
      <c r="AB665" s="3" t="s">
        <v>45</v>
      </c>
      <c r="AC665" s="3" t="s">
        <v>45</v>
      </c>
      <c r="AD665" s="3" t="s">
        <v>45</v>
      </c>
      <c r="AE665" s="3" t="s">
        <v>45</v>
      </c>
      <c r="AF665" s="3" t="s">
        <v>45</v>
      </c>
      <c r="AG665" s="3" t="s">
        <v>45</v>
      </c>
      <c r="AH665" s="3" t="s">
        <v>57</v>
      </c>
      <c r="AI665" s="5" t="s">
        <v>6259</v>
      </c>
      <c r="AJ665" s="3" t="s">
        <v>45</v>
      </c>
      <c r="AK665" s="3" t="s">
        <v>45</v>
      </c>
      <c r="AL665" s="3" t="s">
        <v>45</v>
      </c>
      <c r="AM665" s="3" t="s">
        <v>45</v>
      </c>
      <c r="AN665" s="3" t="s">
        <v>45</v>
      </c>
      <c r="AO665" s="3" t="s">
        <v>45</v>
      </c>
      <c r="AP665" s="3" t="s">
        <v>45</v>
      </c>
      <c r="AQ665" s="4" t="s">
        <v>3280</v>
      </c>
      <c r="AR665" s="4" t="s">
        <v>3280</v>
      </c>
    </row>
    <row r="666">
      <c r="A666" s="3" t="s">
        <v>381</v>
      </c>
      <c r="B666" s="3" t="s">
        <v>6260</v>
      </c>
      <c r="C666" s="3" t="s">
        <v>6255</v>
      </c>
      <c r="D666" s="3" t="s">
        <v>6173</v>
      </c>
      <c r="E666" s="4" t="s">
        <v>6261</v>
      </c>
      <c r="F666" s="3" t="s">
        <v>3246</v>
      </c>
      <c r="G666" s="4" t="s">
        <v>6262</v>
      </c>
      <c r="H666" s="4" t="s">
        <v>6263</v>
      </c>
      <c r="I666" s="3" t="s">
        <v>85</v>
      </c>
      <c r="J666" s="3" t="s">
        <v>126</v>
      </c>
      <c r="K666" s="3" t="s">
        <v>45</v>
      </c>
      <c r="L666" s="3" t="s">
        <v>45</v>
      </c>
      <c r="M666" s="3" t="s">
        <v>45</v>
      </c>
      <c r="N666" s="4" t="s">
        <v>6264</v>
      </c>
      <c r="O666" s="3" t="s">
        <v>53</v>
      </c>
      <c r="P666" s="3" t="s">
        <v>45</v>
      </c>
      <c r="Q666" s="3" t="s">
        <v>45</v>
      </c>
      <c r="R666" s="3" t="s">
        <v>45</v>
      </c>
      <c r="S666" s="3" t="s">
        <v>45</v>
      </c>
      <c r="T666" s="3" t="s">
        <v>45</v>
      </c>
      <c r="U666" s="3" t="s">
        <v>45</v>
      </c>
      <c r="V666" s="4" t="s">
        <v>6265</v>
      </c>
      <c r="W666" s="3" t="s">
        <v>45</v>
      </c>
      <c r="X666" s="3" t="s">
        <v>45</v>
      </c>
      <c r="Y666" s="3" t="s">
        <v>45</v>
      </c>
      <c r="Z666" s="3" t="s">
        <v>74</v>
      </c>
      <c r="AA666" s="3" t="s">
        <v>45</v>
      </c>
      <c r="AB666" s="3" t="s">
        <v>45</v>
      </c>
      <c r="AC666" s="3" t="s">
        <v>45</v>
      </c>
      <c r="AD666" s="3" t="s">
        <v>45</v>
      </c>
      <c r="AE666" s="3" t="s">
        <v>45</v>
      </c>
      <c r="AF666" s="3" t="s">
        <v>45</v>
      </c>
      <c r="AG666" s="3" t="s">
        <v>45</v>
      </c>
      <c r="AH666" s="3" t="s">
        <v>57</v>
      </c>
      <c r="AI666" s="5" t="s">
        <v>6266</v>
      </c>
      <c r="AJ666" s="3" t="s">
        <v>45</v>
      </c>
      <c r="AK666" s="3" t="s">
        <v>45</v>
      </c>
      <c r="AL666" s="3" t="s">
        <v>45</v>
      </c>
      <c r="AM666" s="3" t="s">
        <v>45</v>
      </c>
      <c r="AN666" s="3" t="s">
        <v>45</v>
      </c>
      <c r="AO666" s="3" t="s">
        <v>45</v>
      </c>
      <c r="AP666" s="3" t="s">
        <v>45</v>
      </c>
      <c r="AQ666" s="4" t="s">
        <v>627</v>
      </c>
      <c r="AR666" s="4" t="s">
        <v>627</v>
      </c>
    </row>
    <row r="667">
      <c r="A667" s="3" t="s">
        <v>6267</v>
      </c>
      <c r="B667" s="3" t="s">
        <v>6268</v>
      </c>
      <c r="C667" s="3" t="s">
        <v>5163</v>
      </c>
      <c r="D667" s="3" t="s">
        <v>6173</v>
      </c>
      <c r="E667" s="4" t="s">
        <v>6269</v>
      </c>
      <c r="F667" s="3" t="s">
        <v>6270</v>
      </c>
      <c r="G667" s="4" t="s">
        <v>6271</v>
      </c>
      <c r="H667" s="4" t="s">
        <v>6272</v>
      </c>
      <c r="I667" s="3" t="s">
        <v>85</v>
      </c>
      <c r="J667" s="3" t="s">
        <v>126</v>
      </c>
      <c r="K667" s="3" t="s">
        <v>45</v>
      </c>
      <c r="L667" s="3" t="s">
        <v>45</v>
      </c>
      <c r="M667" s="3" t="s">
        <v>45</v>
      </c>
      <c r="N667" s="4" t="s">
        <v>6273</v>
      </c>
      <c r="O667" s="3" t="s">
        <v>53</v>
      </c>
      <c r="P667" s="3" t="s">
        <v>45</v>
      </c>
      <c r="Q667" s="3" t="s">
        <v>45</v>
      </c>
      <c r="R667" s="3" t="s">
        <v>45</v>
      </c>
      <c r="S667" s="3" t="s">
        <v>45</v>
      </c>
      <c r="T667" s="3" t="s">
        <v>45</v>
      </c>
      <c r="U667" s="3" t="s">
        <v>45</v>
      </c>
      <c r="V667" s="4" t="s">
        <v>6274</v>
      </c>
      <c r="W667" s="3" t="s">
        <v>45</v>
      </c>
      <c r="X667" s="3" t="s">
        <v>45</v>
      </c>
      <c r="Y667" s="3" t="s">
        <v>45</v>
      </c>
      <c r="Z667" s="3" t="s">
        <v>74</v>
      </c>
      <c r="AA667" s="3" t="s">
        <v>45</v>
      </c>
      <c r="AB667" s="3" t="s">
        <v>45</v>
      </c>
      <c r="AC667" s="3" t="s">
        <v>45</v>
      </c>
      <c r="AD667" s="3" t="s">
        <v>45</v>
      </c>
      <c r="AE667" s="3" t="s">
        <v>45</v>
      </c>
      <c r="AF667" s="3" t="s">
        <v>45</v>
      </c>
      <c r="AG667" s="3" t="s">
        <v>45</v>
      </c>
      <c r="AH667" s="3" t="s">
        <v>57</v>
      </c>
      <c r="AI667" s="5" t="s">
        <v>6275</v>
      </c>
      <c r="AJ667" s="3" t="s">
        <v>45</v>
      </c>
      <c r="AK667" s="3" t="s">
        <v>45</v>
      </c>
      <c r="AL667" s="3" t="s">
        <v>45</v>
      </c>
      <c r="AM667" s="3" t="s">
        <v>45</v>
      </c>
      <c r="AN667" s="3" t="s">
        <v>45</v>
      </c>
      <c r="AO667" s="3" t="s">
        <v>45</v>
      </c>
      <c r="AP667" s="3" t="s">
        <v>45</v>
      </c>
      <c r="AQ667" s="4" t="s">
        <v>551</v>
      </c>
      <c r="AR667" s="4" t="s">
        <v>551</v>
      </c>
    </row>
    <row r="668">
      <c r="A668" s="3" t="s">
        <v>6276</v>
      </c>
      <c r="B668" s="3" t="s">
        <v>6277</v>
      </c>
      <c r="C668" s="3" t="s">
        <v>5163</v>
      </c>
      <c r="D668" s="3" t="s">
        <v>6173</v>
      </c>
      <c r="E668" s="4" t="s">
        <v>6269</v>
      </c>
      <c r="F668" s="3" t="s">
        <v>6270</v>
      </c>
      <c r="G668" s="4" t="s">
        <v>6278</v>
      </c>
      <c r="H668" s="4" t="s">
        <v>6279</v>
      </c>
      <c r="I668" s="3" t="s">
        <v>85</v>
      </c>
      <c r="J668" s="3" t="s">
        <v>126</v>
      </c>
      <c r="K668" s="3" t="s">
        <v>45</v>
      </c>
      <c r="L668" s="3" t="s">
        <v>45</v>
      </c>
      <c r="M668" s="3" t="s">
        <v>45</v>
      </c>
      <c r="N668" s="4" t="s">
        <v>233</v>
      </c>
      <c r="O668" s="3" t="s">
        <v>53</v>
      </c>
      <c r="P668" s="3" t="s">
        <v>45</v>
      </c>
      <c r="Q668" s="3" t="s">
        <v>45</v>
      </c>
      <c r="R668" s="3" t="s">
        <v>45</v>
      </c>
      <c r="S668" s="3" t="s">
        <v>45</v>
      </c>
      <c r="T668" s="3" t="s">
        <v>45</v>
      </c>
      <c r="U668" s="3" t="s">
        <v>45</v>
      </c>
      <c r="V668" s="4" t="s">
        <v>6280</v>
      </c>
      <c r="W668" s="3" t="s">
        <v>45</v>
      </c>
      <c r="X668" s="3" t="s">
        <v>45</v>
      </c>
      <c r="Y668" s="3" t="s">
        <v>45</v>
      </c>
      <c r="Z668" s="3" t="s">
        <v>74</v>
      </c>
      <c r="AA668" s="3" t="s">
        <v>45</v>
      </c>
      <c r="AB668" s="3" t="s">
        <v>45</v>
      </c>
      <c r="AC668" s="3" t="s">
        <v>45</v>
      </c>
      <c r="AD668" s="3" t="s">
        <v>45</v>
      </c>
      <c r="AE668" s="3" t="s">
        <v>45</v>
      </c>
      <c r="AF668" s="3" t="s">
        <v>45</v>
      </c>
      <c r="AG668" s="3" t="s">
        <v>45</v>
      </c>
      <c r="AH668" s="3" t="s">
        <v>57</v>
      </c>
      <c r="AI668" s="5" t="s">
        <v>6275</v>
      </c>
      <c r="AJ668" s="3" t="s">
        <v>45</v>
      </c>
      <c r="AK668" s="3" t="s">
        <v>45</v>
      </c>
      <c r="AL668" s="3" t="s">
        <v>45</v>
      </c>
      <c r="AM668" s="3" t="s">
        <v>45</v>
      </c>
      <c r="AN668" s="3" t="s">
        <v>45</v>
      </c>
      <c r="AO668" s="3" t="s">
        <v>45</v>
      </c>
      <c r="AP668" s="3" t="s">
        <v>45</v>
      </c>
      <c r="AQ668" s="4" t="s">
        <v>551</v>
      </c>
      <c r="AR668" s="4" t="s">
        <v>551</v>
      </c>
    </row>
    <row r="669">
      <c r="A669" s="3" t="s">
        <v>6281</v>
      </c>
      <c r="B669" s="3" t="s">
        <v>6282</v>
      </c>
      <c r="C669" s="3" t="s">
        <v>5163</v>
      </c>
      <c r="D669" s="3" t="s">
        <v>6173</v>
      </c>
      <c r="E669" s="4" t="s">
        <v>6283</v>
      </c>
      <c r="F669" s="3" t="s">
        <v>6270</v>
      </c>
      <c r="G669" s="4" t="s">
        <v>6284</v>
      </c>
      <c r="H669" s="4" t="s">
        <v>6285</v>
      </c>
      <c r="I669" s="3" t="s">
        <v>436</v>
      </c>
      <c r="J669" s="3" t="s">
        <v>126</v>
      </c>
      <c r="K669" s="3" t="s">
        <v>45</v>
      </c>
      <c r="L669" s="3" t="s">
        <v>45</v>
      </c>
      <c r="M669" s="3" t="s">
        <v>45</v>
      </c>
      <c r="N669" s="4" t="s">
        <v>1962</v>
      </c>
      <c r="O669" s="3" t="s">
        <v>88</v>
      </c>
      <c r="P669" s="3" t="s">
        <v>45</v>
      </c>
      <c r="Q669" s="3" t="s">
        <v>45</v>
      </c>
      <c r="R669" s="3" t="s">
        <v>45</v>
      </c>
      <c r="S669" s="4" t="s">
        <v>835</v>
      </c>
      <c r="T669" s="3" t="s">
        <v>45</v>
      </c>
      <c r="U669" s="3" t="s">
        <v>45</v>
      </c>
      <c r="V669" s="4" t="s">
        <v>836</v>
      </c>
      <c r="W669" s="4" t="s">
        <v>6286</v>
      </c>
      <c r="X669" s="3" t="s">
        <v>6287</v>
      </c>
      <c r="Y669" s="3" t="s">
        <v>45</v>
      </c>
      <c r="Z669" s="3" t="s">
        <v>55</v>
      </c>
      <c r="AA669" s="3" t="s">
        <v>45</v>
      </c>
      <c r="AB669" s="3" t="s">
        <v>56</v>
      </c>
      <c r="AC669" s="3" t="s">
        <v>45</v>
      </c>
      <c r="AD669" s="3" t="s">
        <v>45</v>
      </c>
      <c r="AE669" s="3" t="s">
        <v>45</v>
      </c>
      <c r="AF669" s="3" t="s">
        <v>45</v>
      </c>
      <c r="AG669" s="3" t="s">
        <v>6288</v>
      </c>
      <c r="AH669" s="3" t="s">
        <v>57</v>
      </c>
      <c r="AI669" s="5" t="s">
        <v>6289</v>
      </c>
      <c r="AJ669" s="5" t="s">
        <v>6290</v>
      </c>
      <c r="AK669" s="3" t="s">
        <v>45</v>
      </c>
      <c r="AL669" s="3" t="s">
        <v>45</v>
      </c>
      <c r="AM669" s="3" t="s">
        <v>45</v>
      </c>
      <c r="AN669" s="3" t="s">
        <v>45</v>
      </c>
      <c r="AO669" s="3" t="s">
        <v>45</v>
      </c>
      <c r="AP669" s="3" t="s">
        <v>45</v>
      </c>
      <c r="AQ669" s="4" t="s">
        <v>3382</v>
      </c>
      <c r="AR669" s="4" t="s">
        <v>77</v>
      </c>
    </row>
    <row r="670">
      <c r="A670" s="3" t="s">
        <v>6291</v>
      </c>
      <c r="B670" s="3" t="s">
        <v>6292</v>
      </c>
      <c r="C670" s="3" t="s">
        <v>5163</v>
      </c>
      <c r="D670" s="3" t="s">
        <v>6173</v>
      </c>
      <c r="E670" s="4" t="s">
        <v>6283</v>
      </c>
      <c r="F670" s="3" t="s">
        <v>6270</v>
      </c>
      <c r="G670" s="4" t="s">
        <v>6293</v>
      </c>
      <c r="H670" s="4" t="s">
        <v>6294</v>
      </c>
      <c r="I670" s="3" t="s">
        <v>49</v>
      </c>
      <c r="J670" s="3" t="s">
        <v>126</v>
      </c>
      <c r="K670" s="3" t="s">
        <v>45</v>
      </c>
      <c r="L670" s="3" t="s">
        <v>6295</v>
      </c>
      <c r="M670" s="3" t="s">
        <v>45</v>
      </c>
      <c r="N670" s="4" t="s">
        <v>1962</v>
      </c>
      <c r="O670" s="3" t="s">
        <v>88</v>
      </c>
      <c r="P670" s="3" t="s">
        <v>45</v>
      </c>
      <c r="Q670" s="3" t="s">
        <v>45</v>
      </c>
      <c r="R670" s="3" t="s">
        <v>45</v>
      </c>
      <c r="S670" s="4" t="s">
        <v>835</v>
      </c>
      <c r="T670" s="3" t="s">
        <v>45</v>
      </c>
      <c r="U670" s="3" t="s">
        <v>45</v>
      </c>
      <c r="V670" s="4" t="s">
        <v>836</v>
      </c>
      <c r="W670" s="4" t="s">
        <v>6286</v>
      </c>
      <c r="X670" s="3" t="s">
        <v>6296</v>
      </c>
      <c r="Y670" s="3" t="s">
        <v>45</v>
      </c>
      <c r="Z670" s="3" t="s">
        <v>55</v>
      </c>
      <c r="AA670" s="3" t="s">
        <v>45</v>
      </c>
      <c r="AB670" s="3" t="s">
        <v>56</v>
      </c>
      <c r="AC670" s="3" t="s">
        <v>45</v>
      </c>
      <c r="AD670" s="3" t="s">
        <v>45</v>
      </c>
      <c r="AE670" s="3" t="s">
        <v>45</v>
      </c>
      <c r="AF670" s="3" t="s">
        <v>45</v>
      </c>
      <c r="AG670" s="3" t="s">
        <v>45</v>
      </c>
      <c r="AH670" s="3" t="s">
        <v>57</v>
      </c>
      <c r="AI670" s="5" t="s">
        <v>6297</v>
      </c>
      <c r="AJ670" s="5" t="s">
        <v>6298</v>
      </c>
      <c r="AK670" s="3" t="s">
        <v>45</v>
      </c>
      <c r="AL670" s="3" t="s">
        <v>45</v>
      </c>
      <c r="AM670" s="3" t="s">
        <v>45</v>
      </c>
      <c r="AN670" s="3" t="s">
        <v>45</v>
      </c>
      <c r="AO670" s="3" t="s">
        <v>45</v>
      </c>
      <c r="AP670" s="3" t="s">
        <v>45</v>
      </c>
      <c r="AQ670" s="4" t="s">
        <v>6299</v>
      </c>
      <c r="AR670" s="4" t="s">
        <v>6299</v>
      </c>
    </row>
    <row r="671">
      <c r="A671" s="3" t="s">
        <v>6300</v>
      </c>
      <c r="B671" s="3" t="s">
        <v>6301</v>
      </c>
      <c r="C671" s="3" t="s">
        <v>1838</v>
      </c>
      <c r="D671" s="3" t="s">
        <v>6173</v>
      </c>
      <c r="E671" s="4" t="s">
        <v>6302</v>
      </c>
      <c r="F671" s="3" t="s">
        <v>3772</v>
      </c>
      <c r="G671" s="4" t="s">
        <v>6303</v>
      </c>
      <c r="H671" s="4" t="s">
        <v>6304</v>
      </c>
      <c r="I671" s="3" t="s">
        <v>85</v>
      </c>
      <c r="J671" s="3" t="s">
        <v>126</v>
      </c>
      <c r="K671" s="3" t="s">
        <v>45</v>
      </c>
      <c r="L671" s="3" t="s">
        <v>45</v>
      </c>
      <c r="M671" s="3" t="s">
        <v>45</v>
      </c>
      <c r="N671" s="4" t="s">
        <v>2608</v>
      </c>
      <c r="O671" s="3" t="s">
        <v>390</v>
      </c>
      <c r="P671" s="3" t="s">
        <v>45</v>
      </c>
      <c r="Q671" s="3" t="s">
        <v>45</v>
      </c>
      <c r="R671" s="3" t="s">
        <v>45</v>
      </c>
      <c r="S671" s="3" t="s">
        <v>45</v>
      </c>
      <c r="T671" s="3" t="s">
        <v>45</v>
      </c>
      <c r="U671" s="3" t="s">
        <v>45</v>
      </c>
      <c r="V671" s="4" t="s">
        <v>6305</v>
      </c>
      <c r="W671" s="3" t="s">
        <v>45</v>
      </c>
      <c r="X671" s="3" t="s">
        <v>45</v>
      </c>
      <c r="Y671" s="3" t="s">
        <v>45</v>
      </c>
      <c r="Z671" s="3" t="s">
        <v>74</v>
      </c>
      <c r="AA671" s="3" t="s">
        <v>45</v>
      </c>
      <c r="AB671" s="3" t="s">
        <v>45</v>
      </c>
      <c r="AC671" s="3" t="s">
        <v>45</v>
      </c>
      <c r="AD671" s="3" t="s">
        <v>45</v>
      </c>
      <c r="AE671" s="3" t="s">
        <v>45</v>
      </c>
      <c r="AF671" s="3" t="s">
        <v>45</v>
      </c>
      <c r="AG671" s="3" t="s">
        <v>45</v>
      </c>
      <c r="AH671" s="3" t="s">
        <v>57</v>
      </c>
      <c r="AI671" s="5" t="s">
        <v>6306</v>
      </c>
      <c r="AJ671" s="5" t="s">
        <v>6307</v>
      </c>
      <c r="AK671" s="5" t="s">
        <v>6308</v>
      </c>
      <c r="AL671" s="3" t="s">
        <v>45</v>
      </c>
      <c r="AM671" s="3" t="s">
        <v>45</v>
      </c>
      <c r="AN671" s="3" t="s">
        <v>45</v>
      </c>
      <c r="AO671" s="3" t="s">
        <v>45</v>
      </c>
      <c r="AP671" s="3" t="s">
        <v>45</v>
      </c>
      <c r="AQ671" s="4" t="s">
        <v>3655</v>
      </c>
      <c r="AR671" s="4" t="s">
        <v>3655</v>
      </c>
    </row>
    <row r="672">
      <c r="A672" s="3" t="s">
        <v>6309</v>
      </c>
      <c r="B672" s="3" t="s">
        <v>6310</v>
      </c>
      <c r="C672" s="3" t="s">
        <v>1838</v>
      </c>
      <c r="D672" s="3" t="s">
        <v>6173</v>
      </c>
      <c r="E672" s="4" t="s">
        <v>6302</v>
      </c>
      <c r="F672" s="3" t="s">
        <v>3772</v>
      </c>
      <c r="G672" s="4" t="s">
        <v>6311</v>
      </c>
      <c r="H672" s="4" t="s">
        <v>6304</v>
      </c>
      <c r="I672" s="3" t="s">
        <v>85</v>
      </c>
      <c r="J672" s="3" t="s">
        <v>126</v>
      </c>
      <c r="K672" s="3" t="s">
        <v>45</v>
      </c>
      <c r="L672" s="3" t="s">
        <v>45</v>
      </c>
      <c r="M672" s="3" t="s">
        <v>45</v>
      </c>
      <c r="N672" s="4" t="s">
        <v>2608</v>
      </c>
      <c r="O672" s="3" t="s">
        <v>390</v>
      </c>
      <c r="P672" s="3" t="s">
        <v>45</v>
      </c>
      <c r="Q672" s="3" t="s">
        <v>45</v>
      </c>
      <c r="R672" s="3" t="s">
        <v>45</v>
      </c>
      <c r="S672" s="3" t="s">
        <v>45</v>
      </c>
      <c r="T672" s="3" t="s">
        <v>45</v>
      </c>
      <c r="U672" s="3" t="s">
        <v>45</v>
      </c>
      <c r="V672" s="4" t="s">
        <v>6305</v>
      </c>
      <c r="W672" s="3" t="s">
        <v>45</v>
      </c>
      <c r="X672" s="3" t="s">
        <v>45</v>
      </c>
      <c r="Y672" s="3" t="s">
        <v>45</v>
      </c>
      <c r="Z672" s="3" t="s">
        <v>74</v>
      </c>
      <c r="AA672" s="3" t="s">
        <v>45</v>
      </c>
      <c r="AB672" s="3" t="s">
        <v>45</v>
      </c>
      <c r="AC672" s="3" t="s">
        <v>45</v>
      </c>
      <c r="AD672" s="3" t="s">
        <v>45</v>
      </c>
      <c r="AE672" s="3" t="s">
        <v>45</v>
      </c>
      <c r="AF672" s="3" t="s">
        <v>45</v>
      </c>
      <c r="AG672" s="3" t="s">
        <v>45</v>
      </c>
      <c r="AH672" s="3" t="s">
        <v>57</v>
      </c>
      <c r="AI672" s="5" t="s">
        <v>6308</v>
      </c>
      <c r="AJ672" s="3" t="s">
        <v>45</v>
      </c>
      <c r="AK672" s="3" t="s">
        <v>45</v>
      </c>
      <c r="AL672" s="3" t="s">
        <v>45</v>
      </c>
      <c r="AM672" s="3" t="s">
        <v>45</v>
      </c>
      <c r="AN672" s="3" t="s">
        <v>45</v>
      </c>
      <c r="AO672" s="3" t="s">
        <v>45</v>
      </c>
      <c r="AP672" s="3" t="s">
        <v>45</v>
      </c>
      <c r="AQ672" s="4" t="s">
        <v>3655</v>
      </c>
      <c r="AR672" s="4" t="s">
        <v>3655</v>
      </c>
    </row>
    <row r="673">
      <c r="A673" s="3" t="s">
        <v>6312</v>
      </c>
      <c r="B673" s="3" t="s">
        <v>6313</v>
      </c>
      <c r="C673" s="3" t="s">
        <v>1838</v>
      </c>
      <c r="D673" s="3" t="s">
        <v>6173</v>
      </c>
      <c r="E673" s="4" t="s">
        <v>6302</v>
      </c>
      <c r="F673" s="3" t="s">
        <v>3772</v>
      </c>
      <c r="G673" s="4" t="s">
        <v>6314</v>
      </c>
      <c r="H673" s="4" t="s">
        <v>6315</v>
      </c>
      <c r="I673" s="3" t="s">
        <v>85</v>
      </c>
      <c r="J673" s="3" t="s">
        <v>126</v>
      </c>
      <c r="K673" s="3" t="s">
        <v>45</v>
      </c>
      <c r="L673" s="3" t="s">
        <v>45</v>
      </c>
      <c r="M673" s="3" t="s">
        <v>45</v>
      </c>
      <c r="N673" s="3" t="s">
        <v>6316</v>
      </c>
      <c r="O673" s="3" t="s">
        <v>390</v>
      </c>
      <c r="P673" s="3" t="s">
        <v>45</v>
      </c>
      <c r="Q673" s="3" t="s">
        <v>45</v>
      </c>
      <c r="R673" s="3" t="s">
        <v>45</v>
      </c>
      <c r="S673" s="3" t="s">
        <v>45</v>
      </c>
      <c r="T673" s="3" t="s">
        <v>45</v>
      </c>
      <c r="U673" s="3" t="s">
        <v>45</v>
      </c>
      <c r="V673" s="4" t="s">
        <v>1438</v>
      </c>
      <c r="W673" s="3" t="s">
        <v>45</v>
      </c>
      <c r="X673" s="3" t="s">
        <v>45</v>
      </c>
      <c r="Y673" s="3" t="s">
        <v>45</v>
      </c>
      <c r="Z673" s="3" t="s">
        <v>74</v>
      </c>
      <c r="AA673" s="3" t="s">
        <v>45</v>
      </c>
      <c r="AB673" s="3" t="s">
        <v>45</v>
      </c>
      <c r="AC673" s="3" t="s">
        <v>45</v>
      </c>
      <c r="AD673" s="3" t="s">
        <v>45</v>
      </c>
      <c r="AE673" s="3" t="s">
        <v>45</v>
      </c>
      <c r="AF673" s="3" t="s">
        <v>45</v>
      </c>
      <c r="AG673" s="3" t="s">
        <v>45</v>
      </c>
      <c r="AH673" s="3" t="s">
        <v>57</v>
      </c>
      <c r="AI673" s="5" t="s">
        <v>6308</v>
      </c>
      <c r="AJ673" s="3" t="s">
        <v>45</v>
      </c>
      <c r="AK673" s="3" t="s">
        <v>45</v>
      </c>
      <c r="AL673" s="3" t="s">
        <v>45</v>
      </c>
      <c r="AM673" s="3" t="s">
        <v>45</v>
      </c>
      <c r="AN673" s="3" t="s">
        <v>45</v>
      </c>
      <c r="AO673" s="3" t="s">
        <v>45</v>
      </c>
      <c r="AP673" s="3" t="s">
        <v>45</v>
      </c>
      <c r="AQ673" s="4" t="s">
        <v>3655</v>
      </c>
      <c r="AR673" s="4" t="s">
        <v>3655</v>
      </c>
    </row>
    <row r="674">
      <c r="A674" s="3" t="s">
        <v>6317</v>
      </c>
      <c r="B674" s="3" t="s">
        <v>6318</v>
      </c>
      <c r="C674" s="3" t="s">
        <v>1838</v>
      </c>
      <c r="D674" s="3" t="s">
        <v>6173</v>
      </c>
      <c r="E674" s="4" t="s">
        <v>6302</v>
      </c>
      <c r="F674" s="3" t="s">
        <v>3772</v>
      </c>
      <c r="G674" s="4" t="s">
        <v>6319</v>
      </c>
      <c r="H674" s="4" t="s">
        <v>6320</v>
      </c>
      <c r="I674" s="3" t="s">
        <v>85</v>
      </c>
      <c r="J674" s="3" t="s">
        <v>126</v>
      </c>
      <c r="K674" s="3" t="s">
        <v>45</v>
      </c>
      <c r="L674" s="3" t="s">
        <v>45</v>
      </c>
      <c r="M674" s="3" t="s">
        <v>45</v>
      </c>
      <c r="N674" s="4" t="s">
        <v>4563</v>
      </c>
      <c r="O674" s="3" t="s">
        <v>390</v>
      </c>
      <c r="P674" s="3" t="s">
        <v>45</v>
      </c>
      <c r="Q674" s="3" t="s">
        <v>45</v>
      </c>
      <c r="R674" s="3" t="s">
        <v>45</v>
      </c>
      <c r="S674" s="3" t="s">
        <v>45</v>
      </c>
      <c r="T674" s="3" t="s">
        <v>45</v>
      </c>
      <c r="U674" s="3" t="s">
        <v>45</v>
      </c>
      <c r="V674" s="4" t="s">
        <v>3116</v>
      </c>
      <c r="W674" s="3" t="s">
        <v>45</v>
      </c>
      <c r="X674" s="3" t="s">
        <v>45</v>
      </c>
      <c r="Y674" s="3" t="s">
        <v>45</v>
      </c>
      <c r="Z674" s="3" t="s">
        <v>74</v>
      </c>
      <c r="AA674" s="3" t="s">
        <v>45</v>
      </c>
      <c r="AB674" s="3" t="s">
        <v>45</v>
      </c>
      <c r="AC674" s="3" t="s">
        <v>45</v>
      </c>
      <c r="AD674" s="3" t="s">
        <v>45</v>
      </c>
      <c r="AE674" s="3" t="s">
        <v>45</v>
      </c>
      <c r="AF674" s="3" t="s">
        <v>45</v>
      </c>
      <c r="AG674" s="3" t="s">
        <v>45</v>
      </c>
      <c r="AH674" s="3" t="s">
        <v>57</v>
      </c>
      <c r="AI674" s="5" t="s">
        <v>6308</v>
      </c>
      <c r="AJ674" s="3" t="s">
        <v>45</v>
      </c>
      <c r="AK674" s="3" t="s">
        <v>45</v>
      </c>
      <c r="AL674" s="3" t="s">
        <v>45</v>
      </c>
      <c r="AM674" s="3" t="s">
        <v>45</v>
      </c>
      <c r="AN674" s="3" t="s">
        <v>45</v>
      </c>
      <c r="AO674" s="3" t="s">
        <v>45</v>
      </c>
      <c r="AP674" s="3" t="s">
        <v>45</v>
      </c>
      <c r="AQ674" s="4" t="s">
        <v>3655</v>
      </c>
      <c r="AR674" s="4" t="s">
        <v>3655</v>
      </c>
    </row>
    <row r="675">
      <c r="A675" s="3" t="s">
        <v>6321</v>
      </c>
      <c r="B675" s="3" t="s">
        <v>6322</v>
      </c>
      <c r="C675" s="3" t="s">
        <v>1838</v>
      </c>
      <c r="D675" s="3" t="s">
        <v>6173</v>
      </c>
      <c r="E675" s="4" t="s">
        <v>6323</v>
      </c>
      <c r="F675" s="3" t="s">
        <v>3772</v>
      </c>
      <c r="G675" s="4" t="s">
        <v>6324</v>
      </c>
      <c r="H675" s="4" t="s">
        <v>6325</v>
      </c>
      <c r="I675" s="3" t="s">
        <v>85</v>
      </c>
      <c r="J675" s="3" t="s">
        <v>126</v>
      </c>
      <c r="K675" s="3" t="s">
        <v>45</v>
      </c>
      <c r="L675" s="3" t="s">
        <v>176</v>
      </c>
      <c r="M675" s="3" t="s">
        <v>45</v>
      </c>
      <c r="N675" s="3" t="s">
        <v>45</v>
      </c>
      <c r="O675" s="3" t="s">
        <v>74</v>
      </c>
      <c r="P675" s="3" t="s">
        <v>45</v>
      </c>
      <c r="Q675" s="3" t="s">
        <v>45</v>
      </c>
      <c r="R675" s="3" t="s">
        <v>45</v>
      </c>
      <c r="S675" s="3" t="s">
        <v>45</v>
      </c>
      <c r="T675" s="3" t="s">
        <v>45</v>
      </c>
      <c r="U675" s="3" t="s">
        <v>45</v>
      </c>
      <c r="V675" s="3" t="s">
        <v>45</v>
      </c>
      <c r="W675" s="3" t="s">
        <v>45</v>
      </c>
      <c r="X675" s="3" t="s">
        <v>45</v>
      </c>
      <c r="Y675" s="3" t="s">
        <v>45</v>
      </c>
      <c r="Z675" s="3" t="s">
        <v>74</v>
      </c>
      <c r="AA675" s="3" t="s">
        <v>45</v>
      </c>
      <c r="AB675" s="3" t="s">
        <v>45</v>
      </c>
      <c r="AC675" s="3" t="s">
        <v>45</v>
      </c>
      <c r="AD675" s="3" t="s">
        <v>45</v>
      </c>
      <c r="AE675" s="3" t="s">
        <v>45</v>
      </c>
      <c r="AF675" s="3" t="s">
        <v>45</v>
      </c>
      <c r="AG675" s="3" t="s">
        <v>45</v>
      </c>
      <c r="AH675" s="3" t="s">
        <v>57</v>
      </c>
      <c r="AI675" s="5" t="s">
        <v>6326</v>
      </c>
      <c r="AJ675" s="3" t="s">
        <v>45</v>
      </c>
      <c r="AK675" s="3" t="s">
        <v>45</v>
      </c>
      <c r="AL675" s="3" t="s">
        <v>45</v>
      </c>
      <c r="AM675" s="3" t="s">
        <v>45</v>
      </c>
      <c r="AN675" s="3" t="s">
        <v>45</v>
      </c>
      <c r="AO675" s="3" t="s">
        <v>45</v>
      </c>
      <c r="AP675" s="3" t="s">
        <v>45</v>
      </c>
      <c r="AQ675" s="4" t="s">
        <v>2509</v>
      </c>
      <c r="AR675" s="4" t="s">
        <v>2509</v>
      </c>
    </row>
    <row r="676">
      <c r="A676" s="3" t="s">
        <v>6327</v>
      </c>
      <c r="B676" s="3" t="s">
        <v>45</v>
      </c>
      <c r="C676" s="3" t="s">
        <v>1838</v>
      </c>
      <c r="D676" s="3" t="s">
        <v>6173</v>
      </c>
      <c r="E676" s="3" t="s">
        <v>45</v>
      </c>
      <c r="F676" s="3" t="s">
        <v>3772</v>
      </c>
      <c r="G676" s="4" t="s">
        <v>6328</v>
      </c>
      <c r="H676" s="4" t="s">
        <v>6329</v>
      </c>
      <c r="I676" s="3" t="s">
        <v>245</v>
      </c>
      <c r="J676" s="3" t="s">
        <v>99</v>
      </c>
      <c r="K676" s="3" t="s">
        <v>45</v>
      </c>
      <c r="L676" s="3" t="s">
        <v>409</v>
      </c>
      <c r="M676" s="3" t="s">
        <v>45</v>
      </c>
      <c r="N676" s="3" t="s">
        <v>45</v>
      </c>
      <c r="O676" s="3" t="s">
        <v>74</v>
      </c>
      <c r="P676" s="3" t="s">
        <v>45</v>
      </c>
      <c r="Q676" s="3" t="s">
        <v>45</v>
      </c>
      <c r="R676" s="3" t="s">
        <v>45</v>
      </c>
      <c r="S676" s="3" t="s">
        <v>45</v>
      </c>
      <c r="T676" s="3" t="s">
        <v>45</v>
      </c>
      <c r="U676" s="3" t="s">
        <v>45</v>
      </c>
      <c r="V676" s="3" t="s">
        <v>45</v>
      </c>
      <c r="W676" s="3" t="s">
        <v>45</v>
      </c>
      <c r="X676" s="3" t="s">
        <v>45</v>
      </c>
      <c r="Y676" s="3" t="s">
        <v>45</v>
      </c>
      <c r="Z676" s="3" t="s">
        <v>74</v>
      </c>
      <c r="AA676" s="3" t="s">
        <v>45</v>
      </c>
      <c r="AB676" s="3" t="s">
        <v>45</v>
      </c>
      <c r="AC676" s="3" t="s">
        <v>45</v>
      </c>
      <c r="AD676" s="3" t="s">
        <v>45</v>
      </c>
      <c r="AE676" s="3" t="s">
        <v>45</v>
      </c>
      <c r="AF676" s="3" t="s">
        <v>45</v>
      </c>
      <c r="AG676" s="3" t="s">
        <v>45</v>
      </c>
      <c r="AH676" s="3" t="s">
        <v>57</v>
      </c>
      <c r="AI676" s="5" t="s">
        <v>6306</v>
      </c>
      <c r="AJ676" s="5" t="s">
        <v>6307</v>
      </c>
      <c r="AK676" s="3" t="s">
        <v>45</v>
      </c>
      <c r="AL676" s="3" t="s">
        <v>45</v>
      </c>
      <c r="AM676" s="3" t="s">
        <v>45</v>
      </c>
      <c r="AN676" s="3" t="s">
        <v>45</v>
      </c>
      <c r="AO676" s="3" t="s">
        <v>45</v>
      </c>
      <c r="AP676" s="3" t="s">
        <v>45</v>
      </c>
      <c r="AQ676" s="3" t="s">
        <v>45</v>
      </c>
      <c r="AR676" s="3" t="s">
        <v>45</v>
      </c>
    </row>
    <row r="677">
      <c r="A677" s="3" t="s">
        <v>6330</v>
      </c>
      <c r="B677" s="3" t="s">
        <v>45</v>
      </c>
      <c r="C677" s="3" t="s">
        <v>1838</v>
      </c>
      <c r="D677" s="3" t="s">
        <v>6173</v>
      </c>
      <c r="E677" s="3" t="s">
        <v>45</v>
      </c>
      <c r="F677" s="3" t="s">
        <v>3772</v>
      </c>
      <c r="G677" s="4" t="s">
        <v>6328</v>
      </c>
      <c r="H677" s="4" t="s">
        <v>6329</v>
      </c>
      <c r="I677" s="3" t="s">
        <v>436</v>
      </c>
      <c r="J677" s="3" t="s">
        <v>99</v>
      </c>
      <c r="K677" s="3" t="s">
        <v>45</v>
      </c>
      <c r="L677" s="3" t="s">
        <v>409</v>
      </c>
      <c r="M677" s="3" t="s">
        <v>45</v>
      </c>
      <c r="N677" s="3" t="s">
        <v>45</v>
      </c>
      <c r="O677" s="3" t="s">
        <v>74</v>
      </c>
      <c r="P677" s="3" t="s">
        <v>45</v>
      </c>
      <c r="Q677" s="3" t="s">
        <v>45</v>
      </c>
      <c r="R677" s="3" t="s">
        <v>45</v>
      </c>
      <c r="S677" s="3" t="s">
        <v>45</v>
      </c>
      <c r="T677" s="3" t="s">
        <v>45</v>
      </c>
      <c r="U677" s="3" t="s">
        <v>45</v>
      </c>
      <c r="V677" s="3" t="s">
        <v>45</v>
      </c>
      <c r="W677" s="3" t="s">
        <v>45</v>
      </c>
      <c r="X677" s="3" t="s">
        <v>305</v>
      </c>
      <c r="Y677" s="3" t="s">
        <v>45</v>
      </c>
      <c r="Z677" s="3" t="s">
        <v>74</v>
      </c>
      <c r="AA677" s="3" t="s">
        <v>45</v>
      </c>
      <c r="AB677" s="3" t="s">
        <v>45</v>
      </c>
      <c r="AC677" s="3" t="s">
        <v>45</v>
      </c>
      <c r="AD677" s="3" t="s">
        <v>45</v>
      </c>
      <c r="AE677" s="3" t="s">
        <v>45</v>
      </c>
      <c r="AF677" s="3" t="s">
        <v>45</v>
      </c>
      <c r="AG677" s="3" t="s">
        <v>6331</v>
      </c>
      <c r="AH677" s="3" t="s">
        <v>57</v>
      </c>
      <c r="AI677" s="5" t="s">
        <v>6306</v>
      </c>
      <c r="AJ677" s="5" t="s">
        <v>6307</v>
      </c>
      <c r="AK677" s="3" t="s">
        <v>45</v>
      </c>
      <c r="AL677" s="3" t="s">
        <v>45</v>
      </c>
      <c r="AM677" s="3" t="s">
        <v>45</v>
      </c>
      <c r="AN677" s="3" t="s">
        <v>45</v>
      </c>
      <c r="AO677" s="3" t="s">
        <v>45</v>
      </c>
      <c r="AP677" s="3" t="s">
        <v>45</v>
      </c>
      <c r="AQ677" s="3" t="s">
        <v>45</v>
      </c>
      <c r="AR677" s="3" t="s">
        <v>45</v>
      </c>
    </row>
    <row r="678">
      <c r="A678" s="3" t="s">
        <v>6332</v>
      </c>
      <c r="B678" s="3" t="s">
        <v>6333</v>
      </c>
      <c r="C678" s="3" t="s">
        <v>6334</v>
      </c>
      <c r="D678" s="3" t="s">
        <v>6173</v>
      </c>
      <c r="E678" s="4" t="s">
        <v>6335</v>
      </c>
      <c r="F678" s="3" t="s">
        <v>6336</v>
      </c>
      <c r="G678" s="4" t="s">
        <v>6337</v>
      </c>
      <c r="H678" s="4" t="s">
        <v>6338</v>
      </c>
      <c r="I678" s="3" t="s">
        <v>49</v>
      </c>
      <c r="J678" s="3" t="s">
        <v>126</v>
      </c>
      <c r="K678" s="3" t="s">
        <v>45</v>
      </c>
      <c r="L678" s="3" t="s">
        <v>45</v>
      </c>
      <c r="M678" s="3" t="s">
        <v>45</v>
      </c>
      <c r="N678" s="3" t="s">
        <v>45</v>
      </c>
      <c r="O678" s="3" t="s">
        <v>74</v>
      </c>
      <c r="P678" s="3" t="s">
        <v>45</v>
      </c>
      <c r="Q678" s="3" t="s">
        <v>45</v>
      </c>
      <c r="R678" s="3" t="s">
        <v>45</v>
      </c>
      <c r="S678" s="3" t="s">
        <v>45</v>
      </c>
      <c r="T678" s="3" t="s">
        <v>45</v>
      </c>
      <c r="U678" s="3" t="s">
        <v>45</v>
      </c>
      <c r="V678" s="3" t="s">
        <v>45</v>
      </c>
      <c r="W678" s="4" t="s">
        <v>6339</v>
      </c>
      <c r="X678" s="3" t="s">
        <v>45</v>
      </c>
      <c r="Y678" s="3" t="s">
        <v>45</v>
      </c>
      <c r="Z678" s="3" t="s">
        <v>74</v>
      </c>
      <c r="AA678" s="3" t="s">
        <v>45</v>
      </c>
      <c r="AB678" s="3" t="s">
        <v>45</v>
      </c>
      <c r="AC678" s="3" t="s">
        <v>45</v>
      </c>
      <c r="AD678" s="3" t="s">
        <v>45</v>
      </c>
      <c r="AE678" s="3" t="s">
        <v>45</v>
      </c>
      <c r="AF678" s="3" t="s">
        <v>45</v>
      </c>
      <c r="AG678" s="3" t="s">
        <v>6340</v>
      </c>
      <c r="AH678" s="3" t="s">
        <v>57</v>
      </c>
      <c r="AI678" s="5" t="s">
        <v>6326</v>
      </c>
      <c r="AJ678" s="5" t="s">
        <v>6341</v>
      </c>
      <c r="AK678" s="3" t="s">
        <v>45</v>
      </c>
      <c r="AL678" s="3" t="s">
        <v>45</v>
      </c>
      <c r="AM678" s="3" t="s">
        <v>45</v>
      </c>
      <c r="AN678" s="3" t="s">
        <v>45</v>
      </c>
      <c r="AO678" s="3" t="s">
        <v>45</v>
      </c>
      <c r="AP678" s="3" t="s">
        <v>45</v>
      </c>
      <c r="AQ678" s="4" t="s">
        <v>603</v>
      </c>
      <c r="AR678" s="4" t="s">
        <v>603</v>
      </c>
    </row>
    <row r="679">
      <c r="A679" s="3" t="s">
        <v>6342</v>
      </c>
      <c r="B679" s="3" t="s">
        <v>6343</v>
      </c>
      <c r="C679" s="3" t="s">
        <v>6344</v>
      </c>
      <c r="D679" s="3" t="s">
        <v>6173</v>
      </c>
      <c r="E679" s="4" t="s">
        <v>6345</v>
      </c>
      <c r="F679" s="3" t="s">
        <v>3772</v>
      </c>
      <c r="G679" s="4" t="s">
        <v>6346</v>
      </c>
      <c r="H679" s="4" t="s">
        <v>6347</v>
      </c>
      <c r="I679" s="3" t="s">
        <v>85</v>
      </c>
      <c r="J679" s="3" t="s">
        <v>126</v>
      </c>
      <c r="K679" s="3" t="s">
        <v>45</v>
      </c>
      <c r="L679" s="3" t="s">
        <v>45</v>
      </c>
      <c r="M679" s="3" t="s">
        <v>45</v>
      </c>
      <c r="N679" s="4" t="s">
        <v>6348</v>
      </c>
      <c r="O679" s="3" t="s">
        <v>53</v>
      </c>
      <c r="P679" s="3" t="s">
        <v>45</v>
      </c>
      <c r="Q679" s="3" t="s">
        <v>45</v>
      </c>
      <c r="R679" s="3" t="s">
        <v>45</v>
      </c>
      <c r="S679" s="3" t="s">
        <v>45</v>
      </c>
      <c r="T679" s="3" t="s">
        <v>45</v>
      </c>
      <c r="U679" s="3" t="s">
        <v>45</v>
      </c>
      <c r="V679" s="4" t="s">
        <v>6349</v>
      </c>
      <c r="W679" s="3" t="s">
        <v>45</v>
      </c>
      <c r="X679" s="3" t="s">
        <v>45</v>
      </c>
      <c r="Y679" s="3" t="s">
        <v>45</v>
      </c>
      <c r="Z679" s="3" t="s">
        <v>74</v>
      </c>
      <c r="AA679" s="3" t="s">
        <v>45</v>
      </c>
      <c r="AB679" s="3" t="s">
        <v>45</v>
      </c>
      <c r="AC679" s="3" t="s">
        <v>45</v>
      </c>
      <c r="AD679" s="3" t="s">
        <v>45</v>
      </c>
      <c r="AE679" s="3" t="s">
        <v>45</v>
      </c>
      <c r="AF679" s="3" t="s">
        <v>45</v>
      </c>
      <c r="AG679" s="3" t="s">
        <v>45</v>
      </c>
      <c r="AH679" s="3" t="s">
        <v>57</v>
      </c>
      <c r="AI679" s="5" t="s">
        <v>6350</v>
      </c>
      <c r="AJ679" s="3" t="s">
        <v>45</v>
      </c>
      <c r="AK679" s="3" t="s">
        <v>45</v>
      </c>
      <c r="AL679" s="3" t="s">
        <v>45</v>
      </c>
      <c r="AM679" s="3" t="s">
        <v>45</v>
      </c>
      <c r="AN679" s="3" t="s">
        <v>45</v>
      </c>
      <c r="AO679" s="3" t="s">
        <v>45</v>
      </c>
      <c r="AP679" s="3" t="s">
        <v>45</v>
      </c>
      <c r="AQ679" s="4" t="s">
        <v>551</v>
      </c>
      <c r="AR679" s="4" t="s">
        <v>551</v>
      </c>
    </row>
    <row r="680">
      <c r="A680" s="3" t="s">
        <v>3273</v>
      </c>
      <c r="B680" s="3" t="s">
        <v>6351</v>
      </c>
      <c r="C680" s="3" t="s">
        <v>6344</v>
      </c>
      <c r="D680" s="3" t="s">
        <v>6173</v>
      </c>
      <c r="E680" s="4" t="s">
        <v>6352</v>
      </c>
      <c r="F680" s="3" t="s">
        <v>3772</v>
      </c>
      <c r="G680" s="4" t="s">
        <v>6353</v>
      </c>
      <c r="H680" s="4" t="s">
        <v>6354</v>
      </c>
      <c r="I680" s="3" t="s">
        <v>85</v>
      </c>
      <c r="J680" s="3" t="s">
        <v>126</v>
      </c>
      <c r="K680" s="3" t="s">
        <v>45</v>
      </c>
      <c r="L680" s="3" t="s">
        <v>45</v>
      </c>
      <c r="M680" s="3" t="s">
        <v>45</v>
      </c>
      <c r="N680" s="3" t="s">
        <v>45</v>
      </c>
      <c r="O680" s="3" t="s">
        <v>74</v>
      </c>
      <c r="P680" s="3" t="s">
        <v>45</v>
      </c>
      <c r="Q680" s="3" t="s">
        <v>45</v>
      </c>
      <c r="R680" s="3" t="s">
        <v>45</v>
      </c>
      <c r="S680" s="3" t="s">
        <v>45</v>
      </c>
      <c r="T680" s="3" t="s">
        <v>45</v>
      </c>
      <c r="U680" s="3" t="s">
        <v>45</v>
      </c>
      <c r="V680" s="4" t="s">
        <v>1814</v>
      </c>
      <c r="W680" s="3" t="s">
        <v>45</v>
      </c>
      <c r="X680" s="3" t="s">
        <v>45</v>
      </c>
      <c r="Y680" s="3" t="s">
        <v>45</v>
      </c>
      <c r="Z680" s="3" t="s">
        <v>74</v>
      </c>
      <c r="AA680" s="3" t="s">
        <v>45</v>
      </c>
      <c r="AB680" s="3" t="s">
        <v>45</v>
      </c>
      <c r="AC680" s="3" t="s">
        <v>45</v>
      </c>
      <c r="AD680" s="3" t="s">
        <v>45</v>
      </c>
      <c r="AE680" s="3" t="s">
        <v>45</v>
      </c>
      <c r="AF680" s="3" t="s">
        <v>45</v>
      </c>
      <c r="AG680" s="3" t="s">
        <v>45</v>
      </c>
      <c r="AH680" s="3" t="s">
        <v>57</v>
      </c>
      <c r="AI680" s="5" t="s">
        <v>6355</v>
      </c>
      <c r="AJ680" s="3" t="s">
        <v>45</v>
      </c>
      <c r="AK680" s="3" t="s">
        <v>45</v>
      </c>
      <c r="AL680" s="3" t="s">
        <v>45</v>
      </c>
      <c r="AM680" s="3" t="s">
        <v>45</v>
      </c>
      <c r="AN680" s="3" t="s">
        <v>45</v>
      </c>
      <c r="AO680" s="3" t="s">
        <v>45</v>
      </c>
      <c r="AP680" s="3" t="s">
        <v>45</v>
      </c>
      <c r="AQ680" s="4" t="s">
        <v>3280</v>
      </c>
      <c r="AR680" s="4" t="s">
        <v>3280</v>
      </c>
    </row>
    <row r="681">
      <c r="A681" s="3" t="s">
        <v>6356</v>
      </c>
      <c r="B681" s="3" t="s">
        <v>6357</v>
      </c>
      <c r="C681" s="3" t="s">
        <v>6358</v>
      </c>
      <c r="D681" s="3" t="s">
        <v>6173</v>
      </c>
      <c r="E681" s="4" t="s">
        <v>6359</v>
      </c>
      <c r="F681" s="3" t="s">
        <v>6360</v>
      </c>
      <c r="G681" s="4" t="s">
        <v>6361</v>
      </c>
      <c r="H681" s="4" t="s">
        <v>6362</v>
      </c>
      <c r="I681" s="3" t="s">
        <v>49</v>
      </c>
      <c r="J681" s="3" t="s">
        <v>126</v>
      </c>
      <c r="K681" s="3" t="s">
        <v>45</v>
      </c>
      <c r="L681" s="3" t="s">
        <v>45</v>
      </c>
      <c r="M681" s="3" t="s">
        <v>45</v>
      </c>
      <c r="N681" s="3" t="s">
        <v>45</v>
      </c>
      <c r="O681" s="3" t="s">
        <v>88</v>
      </c>
      <c r="P681" s="3" t="s">
        <v>45</v>
      </c>
      <c r="Q681" s="3" t="s">
        <v>45</v>
      </c>
      <c r="R681" s="3" t="s">
        <v>45</v>
      </c>
      <c r="S681" s="3" t="s">
        <v>45</v>
      </c>
      <c r="T681" s="3" t="s">
        <v>45</v>
      </c>
      <c r="U681" s="3" t="s">
        <v>45</v>
      </c>
      <c r="V681" s="3" t="s">
        <v>45</v>
      </c>
      <c r="W681" s="4" t="s">
        <v>156</v>
      </c>
      <c r="X681" s="3" t="s">
        <v>45</v>
      </c>
      <c r="Y681" s="3" t="s">
        <v>45</v>
      </c>
      <c r="Z681" s="3" t="s">
        <v>74</v>
      </c>
      <c r="AA681" s="3" t="s">
        <v>45</v>
      </c>
      <c r="AB681" s="3" t="s">
        <v>45</v>
      </c>
      <c r="AC681" s="3" t="s">
        <v>45</v>
      </c>
      <c r="AD681" s="3" t="s">
        <v>45</v>
      </c>
      <c r="AE681" s="3" t="s">
        <v>45</v>
      </c>
      <c r="AF681" s="3" t="s">
        <v>45</v>
      </c>
      <c r="AG681" s="3" t="s">
        <v>6363</v>
      </c>
      <c r="AH681" s="3" t="s">
        <v>57</v>
      </c>
      <c r="AI681" s="5" t="s">
        <v>6364</v>
      </c>
      <c r="AJ681" s="5" t="s">
        <v>6365</v>
      </c>
      <c r="AK681" s="3" t="s">
        <v>45</v>
      </c>
      <c r="AL681" s="3" t="s">
        <v>45</v>
      </c>
      <c r="AM681" s="3" t="s">
        <v>45</v>
      </c>
      <c r="AN681" s="3" t="s">
        <v>45</v>
      </c>
      <c r="AO681" s="3" t="s">
        <v>45</v>
      </c>
      <c r="AP681" s="3" t="s">
        <v>45</v>
      </c>
      <c r="AQ681" s="4" t="s">
        <v>6366</v>
      </c>
      <c r="AR681" s="4" t="s">
        <v>6366</v>
      </c>
    </row>
    <row r="682">
      <c r="A682" s="3" t="s">
        <v>6367</v>
      </c>
      <c r="B682" s="3" t="s">
        <v>6368</v>
      </c>
      <c r="C682" s="3" t="s">
        <v>6369</v>
      </c>
      <c r="D682" s="3" t="s">
        <v>6173</v>
      </c>
      <c r="E682" s="3" t="s">
        <v>45</v>
      </c>
      <c r="F682" s="3" t="s">
        <v>6370</v>
      </c>
      <c r="G682" s="4" t="s">
        <v>6371</v>
      </c>
      <c r="H682" s="4" t="s">
        <v>6372</v>
      </c>
      <c r="I682" s="3" t="s">
        <v>49</v>
      </c>
      <c r="J682" s="3" t="s">
        <v>50</v>
      </c>
      <c r="K682" s="3" t="s">
        <v>45</v>
      </c>
      <c r="L682" s="3" t="s">
        <v>176</v>
      </c>
      <c r="M682" s="3" t="s">
        <v>45</v>
      </c>
      <c r="N682" s="3" t="s">
        <v>45</v>
      </c>
      <c r="O682" s="3" t="s">
        <v>74</v>
      </c>
      <c r="P682" s="3" t="s">
        <v>45</v>
      </c>
      <c r="Q682" s="3" t="s">
        <v>45</v>
      </c>
      <c r="R682" s="3" t="s">
        <v>45</v>
      </c>
      <c r="S682" s="3" t="s">
        <v>45</v>
      </c>
      <c r="T682" s="3" t="s">
        <v>45</v>
      </c>
      <c r="U682" s="3" t="s">
        <v>45</v>
      </c>
      <c r="V682" s="4" t="s">
        <v>2656</v>
      </c>
      <c r="W682" s="3" t="s">
        <v>45</v>
      </c>
      <c r="X682" s="3" t="s">
        <v>305</v>
      </c>
      <c r="Y682" s="3" t="s">
        <v>45</v>
      </c>
      <c r="Z682" s="3" t="s">
        <v>55</v>
      </c>
      <c r="AA682" s="3" t="s">
        <v>45</v>
      </c>
      <c r="AB682" s="3" t="s">
        <v>45</v>
      </c>
      <c r="AC682" s="3" t="s">
        <v>45</v>
      </c>
      <c r="AD682" s="3" t="s">
        <v>45</v>
      </c>
      <c r="AE682" s="3" t="s">
        <v>45</v>
      </c>
      <c r="AF682" s="5" t="s">
        <v>6373</v>
      </c>
      <c r="AG682" s="3" t="s">
        <v>45</v>
      </c>
      <c r="AH682" s="3" t="s">
        <v>57</v>
      </c>
      <c r="AI682" s="5" t="s">
        <v>6374</v>
      </c>
      <c r="AJ682" s="3" t="s">
        <v>45</v>
      </c>
      <c r="AK682" s="3" t="s">
        <v>45</v>
      </c>
      <c r="AL682" s="3" t="s">
        <v>45</v>
      </c>
      <c r="AM682" s="3" t="s">
        <v>45</v>
      </c>
      <c r="AN682" s="3" t="s">
        <v>45</v>
      </c>
      <c r="AO682" s="3" t="s">
        <v>45</v>
      </c>
      <c r="AP682" s="3" t="s">
        <v>45</v>
      </c>
      <c r="AQ682" s="4" t="s">
        <v>948</v>
      </c>
      <c r="AR682" s="4" t="s">
        <v>1387</v>
      </c>
    </row>
    <row r="683">
      <c r="A683" s="3" t="s">
        <v>6375</v>
      </c>
      <c r="B683" s="3" t="s">
        <v>6376</v>
      </c>
      <c r="C683" s="3" t="s">
        <v>6377</v>
      </c>
      <c r="D683" s="3" t="s">
        <v>6173</v>
      </c>
      <c r="E683" s="4" t="s">
        <v>6378</v>
      </c>
      <c r="F683" s="3" t="s">
        <v>6379</v>
      </c>
      <c r="G683" s="4" t="s">
        <v>6380</v>
      </c>
      <c r="H683" s="4" t="s">
        <v>6381</v>
      </c>
      <c r="I683" s="3" t="s">
        <v>218</v>
      </c>
      <c r="J683" s="3" t="s">
        <v>126</v>
      </c>
      <c r="K683" s="3" t="s">
        <v>45</v>
      </c>
      <c r="L683" s="3" t="s">
        <v>45</v>
      </c>
      <c r="M683" s="3" t="s">
        <v>45</v>
      </c>
      <c r="N683" s="3" t="s">
        <v>45</v>
      </c>
      <c r="O683" s="3" t="s">
        <v>74</v>
      </c>
      <c r="P683" s="3" t="s">
        <v>45</v>
      </c>
      <c r="Q683" s="3" t="s">
        <v>45</v>
      </c>
      <c r="R683" s="3" t="s">
        <v>45</v>
      </c>
      <c r="S683" s="3" t="s">
        <v>45</v>
      </c>
      <c r="T683" s="3" t="s">
        <v>45</v>
      </c>
      <c r="U683" s="3" t="s">
        <v>45</v>
      </c>
      <c r="V683" s="4" t="s">
        <v>3357</v>
      </c>
      <c r="W683" s="3" t="s">
        <v>45</v>
      </c>
      <c r="X683" s="3" t="s">
        <v>2963</v>
      </c>
      <c r="Y683" s="3" t="s">
        <v>45</v>
      </c>
      <c r="Z683" s="3" t="s">
        <v>74</v>
      </c>
      <c r="AA683" s="3" t="s">
        <v>45</v>
      </c>
      <c r="AB683" s="3" t="s">
        <v>45</v>
      </c>
      <c r="AC683" s="3" t="s">
        <v>45</v>
      </c>
      <c r="AD683" s="3" t="s">
        <v>45</v>
      </c>
      <c r="AE683" s="3" t="s">
        <v>45</v>
      </c>
      <c r="AF683" s="3" t="s">
        <v>45</v>
      </c>
      <c r="AG683" s="3" t="s">
        <v>45</v>
      </c>
      <c r="AH683" s="3" t="s">
        <v>57</v>
      </c>
      <c r="AI683" s="5" t="s">
        <v>6382</v>
      </c>
      <c r="AJ683" s="3" t="s">
        <v>45</v>
      </c>
      <c r="AK683" s="3" t="s">
        <v>45</v>
      </c>
      <c r="AL683" s="3" t="s">
        <v>45</v>
      </c>
      <c r="AM683" s="3" t="s">
        <v>45</v>
      </c>
      <c r="AN683" s="3" t="s">
        <v>45</v>
      </c>
      <c r="AO683" s="3" t="s">
        <v>45</v>
      </c>
      <c r="AP683" s="3" t="s">
        <v>45</v>
      </c>
      <c r="AQ683" s="4" t="s">
        <v>2509</v>
      </c>
      <c r="AR683" s="4" t="s">
        <v>2509</v>
      </c>
    </row>
    <row r="684">
      <c r="A684" s="3" t="s">
        <v>3317</v>
      </c>
      <c r="B684" s="3" t="s">
        <v>6383</v>
      </c>
      <c r="C684" s="3" t="s">
        <v>3246</v>
      </c>
      <c r="D684" s="3" t="s">
        <v>6173</v>
      </c>
      <c r="E684" s="4" t="s">
        <v>6384</v>
      </c>
      <c r="F684" s="3" t="s">
        <v>6385</v>
      </c>
      <c r="G684" s="4" t="s">
        <v>6386</v>
      </c>
      <c r="H684" s="4" t="s">
        <v>6387</v>
      </c>
      <c r="I684" s="3" t="s">
        <v>49</v>
      </c>
      <c r="J684" s="3" t="s">
        <v>126</v>
      </c>
      <c r="K684" s="3" t="s">
        <v>45</v>
      </c>
      <c r="L684" s="3" t="s">
        <v>6388</v>
      </c>
      <c r="M684" s="3" t="s">
        <v>45</v>
      </c>
      <c r="N684" s="4" t="s">
        <v>419</v>
      </c>
      <c r="O684" s="3" t="s">
        <v>88</v>
      </c>
      <c r="P684" s="3" t="s">
        <v>45</v>
      </c>
      <c r="Q684" s="3" t="s">
        <v>45</v>
      </c>
      <c r="R684" s="3" t="s">
        <v>45</v>
      </c>
      <c r="S684" s="3" t="s">
        <v>45</v>
      </c>
      <c r="T684" s="3" t="s">
        <v>45</v>
      </c>
      <c r="U684" s="3" t="s">
        <v>45</v>
      </c>
      <c r="V684" s="4" t="s">
        <v>3074</v>
      </c>
      <c r="W684" s="4" t="s">
        <v>4751</v>
      </c>
      <c r="X684" s="3" t="s">
        <v>305</v>
      </c>
      <c r="Y684" s="3" t="s">
        <v>45</v>
      </c>
      <c r="Z684" s="3" t="s">
        <v>55</v>
      </c>
      <c r="AA684" s="5" t="s">
        <v>6389</v>
      </c>
      <c r="AB684" s="3" t="s">
        <v>45</v>
      </c>
      <c r="AC684" s="3" t="s">
        <v>45</v>
      </c>
      <c r="AD684" s="3" t="s">
        <v>45</v>
      </c>
      <c r="AE684" s="3" t="s">
        <v>45</v>
      </c>
      <c r="AF684" s="3" t="s">
        <v>45</v>
      </c>
      <c r="AG684" s="3" t="s">
        <v>6390</v>
      </c>
      <c r="AH684" s="3" t="s">
        <v>57</v>
      </c>
      <c r="AI684" s="5" t="s">
        <v>6391</v>
      </c>
      <c r="AJ684" s="5" t="s">
        <v>6392</v>
      </c>
      <c r="AK684" s="5" t="s">
        <v>6393</v>
      </c>
      <c r="AL684" s="5" t="s">
        <v>6389</v>
      </c>
      <c r="AM684" s="5" t="s">
        <v>6393</v>
      </c>
      <c r="AN684" s="5" t="s">
        <v>6391</v>
      </c>
      <c r="AO684" s="5" t="s">
        <v>6389</v>
      </c>
      <c r="AP684" s="5" t="s">
        <v>6394</v>
      </c>
      <c r="AQ684" s="4" t="s">
        <v>3349</v>
      </c>
      <c r="AR684" s="4" t="s">
        <v>1387</v>
      </c>
    </row>
    <row r="685">
      <c r="A685" s="3" t="s">
        <v>6395</v>
      </c>
      <c r="B685" s="3" t="s">
        <v>6396</v>
      </c>
      <c r="C685" s="3" t="s">
        <v>6397</v>
      </c>
      <c r="D685" s="3" t="s">
        <v>6173</v>
      </c>
      <c r="E685" s="4" t="s">
        <v>6398</v>
      </c>
      <c r="F685" s="3" t="s">
        <v>1718</v>
      </c>
      <c r="G685" s="4" t="s">
        <v>6399</v>
      </c>
      <c r="H685" s="4" t="s">
        <v>6400</v>
      </c>
      <c r="I685" s="3" t="s">
        <v>49</v>
      </c>
      <c r="J685" s="3" t="s">
        <v>126</v>
      </c>
      <c r="K685" s="3" t="s">
        <v>45</v>
      </c>
      <c r="L685" s="3" t="s">
        <v>45</v>
      </c>
      <c r="M685" s="3" t="s">
        <v>45</v>
      </c>
      <c r="N685" s="4" t="s">
        <v>419</v>
      </c>
      <c r="O685" s="3" t="s">
        <v>88</v>
      </c>
      <c r="P685" s="3" t="s">
        <v>71</v>
      </c>
      <c r="Q685" s="3" t="s">
        <v>55</v>
      </c>
      <c r="R685" s="3" t="s">
        <v>45</v>
      </c>
      <c r="S685" s="3" t="s">
        <v>45</v>
      </c>
      <c r="T685" s="3" t="s">
        <v>45</v>
      </c>
      <c r="U685" s="3" t="s">
        <v>45</v>
      </c>
      <c r="V685" s="3" t="s">
        <v>45</v>
      </c>
      <c r="W685" s="4" t="s">
        <v>131</v>
      </c>
      <c r="X685" s="3" t="s">
        <v>45</v>
      </c>
      <c r="Y685" s="4" t="s">
        <v>317</v>
      </c>
      <c r="Z685" s="3" t="s">
        <v>74</v>
      </c>
      <c r="AA685" s="3" t="s">
        <v>45</v>
      </c>
      <c r="AB685" s="3" t="s">
        <v>45</v>
      </c>
      <c r="AC685" s="3" t="s">
        <v>45</v>
      </c>
      <c r="AD685" s="3" t="s">
        <v>45</v>
      </c>
      <c r="AE685" s="3" t="s">
        <v>45</v>
      </c>
      <c r="AF685" s="3" t="s">
        <v>45</v>
      </c>
      <c r="AG685" s="3" t="s">
        <v>6401</v>
      </c>
      <c r="AH685" s="3" t="s">
        <v>57</v>
      </c>
      <c r="AI685" s="5" t="s">
        <v>6402</v>
      </c>
      <c r="AJ685" s="3" t="s">
        <v>45</v>
      </c>
      <c r="AK685" s="3" t="s">
        <v>45</v>
      </c>
      <c r="AL685" s="3" t="s">
        <v>45</v>
      </c>
      <c r="AM685" s="3" t="s">
        <v>45</v>
      </c>
      <c r="AN685" s="3" t="s">
        <v>45</v>
      </c>
      <c r="AO685" s="3" t="s">
        <v>45</v>
      </c>
      <c r="AP685" s="3" t="s">
        <v>45</v>
      </c>
      <c r="AQ685" s="4" t="s">
        <v>1589</v>
      </c>
      <c r="AR685" s="4" t="s">
        <v>1589</v>
      </c>
    </row>
    <row r="686">
      <c r="A686" s="3" t="s">
        <v>6403</v>
      </c>
      <c r="B686" s="3" t="s">
        <v>6404</v>
      </c>
      <c r="C686" s="3" t="s">
        <v>6405</v>
      </c>
      <c r="D686" s="3" t="s">
        <v>6173</v>
      </c>
      <c r="E686" s="4" t="s">
        <v>6406</v>
      </c>
      <c r="F686" s="3" t="s">
        <v>3772</v>
      </c>
      <c r="G686" s="4" t="s">
        <v>6407</v>
      </c>
      <c r="H686" s="4" t="s">
        <v>6408</v>
      </c>
      <c r="I686" s="3" t="s">
        <v>408</v>
      </c>
      <c r="J686" s="3" t="s">
        <v>126</v>
      </c>
      <c r="K686" s="3" t="s">
        <v>45</v>
      </c>
      <c r="L686" s="3" t="s">
        <v>479</v>
      </c>
      <c r="M686" s="3" t="s">
        <v>45</v>
      </c>
      <c r="N686" s="4" t="s">
        <v>6409</v>
      </c>
      <c r="O686" s="3" t="s">
        <v>722</v>
      </c>
      <c r="P686" s="3" t="s">
        <v>1141</v>
      </c>
      <c r="Q686" s="3" t="s">
        <v>6410</v>
      </c>
      <c r="R686" s="3" t="s">
        <v>6411</v>
      </c>
      <c r="S686" s="3" t="s">
        <v>45</v>
      </c>
      <c r="T686" s="3" t="s">
        <v>45</v>
      </c>
      <c r="U686" s="3" t="s">
        <v>45</v>
      </c>
      <c r="V686" s="3" t="s">
        <v>45</v>
      </c>
      <c r="W686" s="4" t="s">
        <v>1934</v>
      </c>
      <c r="X686" s="3" t="s">
        <v>45</v>
      </c>
      <c r="Y686" s="3" t="s">
        <v>45</v>
      </c>
      <c r="Z686" s="3" t="s">
        <v>55</v>
      </c>
      <c r="AA686" s="3" t="s">
        <v>45</v>
      </c>
      <c r="AB686" s="3" t="s">
        <v>109</v>
      </c>
      <c r="AC686" s="3" t="s">
        <v>45</v>
      </c>
      <c r="AD686" s="5" t="s">
        <v>6412</v>
      </c>
      <c r="AE686" s="3" t="s">
        <v>45</v>
      </c>
      <c r="AF686" s="3" t="s">
        <v>45</v>
      </c>
      <c r="AG686" s="3" t="s">
        <v>6413</v>
      </c>
      <c r="AH686" s="3" t="s">
        <v>57</v>
      </c>
      <c r="AI686" s="5" t="s">
        <v>6414</v>
      </c>
      <c r="AJ686" s="5" t="s">
        <v>6415</v>
      </c>
      <c r="AK686" s="5" t="s">
        <v>6416</v>
      </c>
      <c r="AL686" s="5" t="s">
        <v>6417</v>
      </c>
      <c r="AM686" s="3" t="s">
        <v>45</v>
      </c>
      <c r="AN686" s="3" t="s">
        <v>45</v>
      </c>
      <c r="AO686" s="3" t="s">
        <v>45</v>
      </c>
      <c r="AP686" s="3" t="s">
        <v>45</v>
      </c>
      <c r="AQ686" s="4" t="s">
        <v>2509</v>
      </c>
      <c r="AR686" s="4" t="s">
        <v>2509</v>
      </c>
    </row>
    <row r="687">
      <c r="A687" s="3" t="s">
        <v>6418</v>
      </c>
      <c r="B687" s="3" t="s">
        <v>6419</v>
      </c>
      <c r="C687" s="3" t="s">
        <v>6420</v>
      </c>
      <c r="D687" s="3" t="s">
        <v>6173</v>
      </c>
      <c r="E687" s="4" t="s">
        <v>6421</v>
      </c>
      <c r="F687" s="3" t="s">
        <v>6422</v>
      </c>
      <c r="G687" s="4" t="s">
        <v>6423</v>
      </c>
      <c r="H687" s="4" t="s">
        <v>6424</v>
      </c>
      <c r="I687" s="3" t="s">
        <v>49</v>
      </c>
      <c r="J687" s="3" t="s">
        <v>126</v>
      </c>
      <c r="K687" s="3" t="s">
        <v>743</v>
      </c>
      <c r="L687" s="3" t="s">
        <v>6425</v>
      </c>
      <c r="M687" s="3" t="s">
        <v>45</v>
      </c>
      <c r="N687" s="3" t="s">
        <v>45</v>
      </c>
      <c r="O687" s="3" t="s">
        <v>74</v>
      </c>
      <c r="P687" s="3" t="s">
        <v>45</v>
      </c>
      <c r="Q687" s="3" t="s">
        <v>45</v>
      </c>
      <c r="R687" s="3" t="s">
        <v>45</v>
      </c>
      <c r="S687" s="3" t="s">
        <v>45</v>
      </c>
      <c r="T687" s="3" t="s">
        <v>45</v>
      </c>
      <c r="U687" s="3" t="s">
        <v>45</v>
      </c>
      <c r="V687" s="3" t="s">
        <v>45</v>
      </c>
      <c r="W687" s="3" t="s">
        <v>45</v>
      </c>
      <c r="X687" s="3" t="s">
        <v>45</v>
      </c>
      <c r="Y687" s="3" t="s">
        <v>45</v>
      </c>
      <c r="Z687" s="3" t="s">
        <v>55</v>
      </c>
      <c r="AA687" s="3" t="s">
        <v>45</v>
      </c>
      <c r="AB687" s="3" t="s">
        <v>45</v>
      </c>
      <c r="AC687" s="3" t="s">
        <v>45</v>
      </c>
      <c r="AD687" s="3" t="s">
        <v>45</v>
      </c>
      <c r="AE687" s="3" t="s">
        <v>45</v>
      </c>
      <c r="AF687" s="5" t="s">
        <v>6426</v>
      </c>
      <c r="AG687" s="3" t="s">
        <v>45</v>
      </c>
      <c r="AH687" s="3" t="s">
        <v>57</v>
      </c>
      <c r="AI687" s="5" t="s">
        <v>6427</v>
      </c>
      <c r="AJ687" s="3" t="s">
        <v>45</v>
      </c>
      <c r="AK687" s="3" t="s">
        <v>45</v>
      </c>
      <c r="AL687" s="3" t="s">
        <v>45</v>
      </c>
      <c r="AM687" s="3" t="s">
        <v>45</v>
      </c>
      <c r="AN687" s="3" t="s">
        <v>45</v>
      </c>
      <c r="AO687" s="3" t="s">
        <v>45</v>
      </c>
      <c r="AP687" s="3" t="s">
        <v>45</v>
      </c>
      <c r="AQ687" s="4" t="s">
        <v>324</v>
      </c>
      <c r="AR687" s="4" t="s">
        <v>1387</v>
      </c>
    </row>
    <row r="688">
      <c r="A688" s="3" t="s">
        <v>6428</v>
      </c>
      <c r="B688" s="3" t="s">
        <v>6429</v>
      </c>
      <c r="C688" s="3" t="s">
        <v>3447</v>
      </c>
      <c r="D688" s="3" t="s">
        <v>6173</v>
      </c>
      <c r="E688" s="4" t="s">
        <v>6430</v>
      </c>
      <c r="F688" s="3" t="s">
        <v>2031</v>
      </c>
      <c r="G688" s="4" t="s">
        <v>6431</v>
      </c>
      <c r="H688" s="4" t="s">
        <v>6432</v>
      </c>
      <c r="I688" s="3" t="s">
        <v>49</v>
      </c>
      <c r="J688" s="3" t="s">
        <v>126</v>
      </c>
      <c r="K688" s="3" t="s">
        <v>743</v>
      </c>
      <c r="L688" s="3" t="s">
        <v>479</v>
      </c>
      <c r="M688" s="3" t="s">
        <v>45</v>
      </c>
      <c r="N688" s="4" t="s">
        <v>6433</v>
      </c>
      <c r="O688" s="3" t="s">
        <v>70</v>
      </c>
      <c r="P688" s="3" t="s">
        <v>71</v>
      </c>
      <c r="Q688" s="3" t="s">
        <v>6434</v>
      </c>
      <c r="R688" s="3" t="s">
        <v>45</v>
      </c>
      <c r="S688" s="3" t="s">
        <v>45</v>
      </c>
      <c r="T688" s="3" t="s">
        <v>45</v>
      </c>
      <c r="U688" s="3" t="s">
        <v>45</v>
      </c>
      <c r="V688" s="3" t="s">
        <v>45</v>
      </c>
      <c r="W688" s="4" t="s">
        <v>6435</v>
      </c>
      <c r="X688" s="3" t="s">
        <v>6436</v>
      </c>
      <c r="Y688" s="3" t="s">
        <v>45</v>
      </c>
      <c r="Z688" s="3" t="s">
        <v>74</v>
      </c>
      <c r="AA688" s="3" t="s">
        <v>45</v>
      </c>
      <c r="AB688" s="3" t="s">
        <v>45</v>
      </c>
      <c r="AC688" s="3" t="s">
        <v>45</v>
      </c>
      <c r="AD688" s="3" t="s">
        <v>45</v>
      </c>
      <c r="AE688" s="3" t="s">
        <v>45</v>
      </c>
      <c r="AF688" s="3" t="s">
        <v>45</v>
      </c>
      <c r="AG688" s="3" t="s">
        <v>6437</v>
      </c>
      <c r="AH688" s="3" t="s">
        <v>57</v>
      </c>
      <c r="AI688" s="5" t="s">
        <v>6438</v>
      </c>
      <c r="AJ688" s="5" t="s">
        <v>6438</v>
      </c>
      <c r="AK688" s="5" t="s">
        <v>6439</v>
      </c>
      <c r="AL688" s="5" t="s">
        <v>6440</v>
      </c>
      <c r="AM688" s="3" t="s">
        <v>45</v>
      </c>
      <c r="AN688" s="3" t="s">
        <v>45</v>
      </c>
      <c r="AO688" s="3" t="s">
        <v>45</v>
      </c>
      <c r="AP688" s="3" t="s">
        <v>45</v>
      </c>
      <c r="AQ688" s="4" t="s">
        <v>2509</v>
      </c>
      <c r="AR688" s="4" t="s">
        <v>3855</v>
      </c>
    </row>
    <row r="689">
      <c r="A689" s="3" t="s">
        <v>6441</v>
      </c>
      <c r="B689" s="3" t="s">
        <v>6442</v>
      </c>
      <c r="C689" s="3" t="s">
        <v>6443</v>
      </c>
      <c r="D689" s="3" t="s">
        <v>6173</v>
      </c>
      <c r="E689" s="4" t="s">
        <v>6444</v>
      </c>
      <c r="F689" s="3" t="s">
        <v>6445</v>
      </c>
      <c r="G689" s="4" t="s">
        <v>6446</v>
      </c>
      <c r="H689" s="4" t="s">
        <v>6447</v>
      </c>
      <c r="I689" s="3" t="s">
        <v>218</v>
      </c>
      <c r="J689" s="3" t="s">
        <v>126</v>
      </c>
      <c r="K689" s="3" t="s">
        <v>45</v>
      </c>
      <c r="L689" s="3" t="s">
        <v>45</v>
      </c>
      <c r="M689" s="3" t="s">
        <v>45</v>
      </c>
      <c r="N689" s="3" t="s">
        <v>45</v>
      </c>
      <c r="O689" s="3" t="s">
        <v>74</v>
      </c>
      <c r="P689" s="3" t="s">
        <v>45</v>
      </c>
      <c r="Q689" s="3" t="s">
        <v>45</v>
      </c>
      <c r="R689" s="3" t="s">
        <v>45</v>
      </c>
      <c r="S689" s="3" t="s">
        <v>45</v>
      </c>
      <c r="T689" s="3" t="s">
        <v>45</v>
      </c>
      <c r="U689" s="3" t="s">
        <v>45</v>
      </c>
      <c r="V689" s="3" t="s">
        <v>45</v>
      </c>
      <c r="W689" s="3" t="s">
        <v>45</v>
      </c>
      <c r="X689" s="3" t="s">
        <v>45</v>
      </c>
      <c r="Y689" s="3" t="s">
        <v>45</v>
      </c>
      <c r="Z689" s="3" t="s">
        <v>74</v>
      </c>
      <c r="AA689" s="3" t="s">
        <v>45</v>
      </c>
      <c r="AB689" s="3" t="s">
        <v>45</v>
      </c>
      <c r="AC689" s="3" t="s">
        <v>45</v>
      </c>
      <c r="AD689" s="3" t="s">
        <v>45</v>
      </c>
      <c r="AE689" s="3" t="s">
        <v>45</v>
      </c>
      <c r="AF689" s="3" t="s">
        <v>45</v>
      </c>
      <c r="AG689" s="3" t="s">
        <v>45</v>
      </c>
      <c r="AH689" s="3" t="s">
        <v>57</v>
      </c>
      <c r="AI689" s="5" t="s">
        <v>6448</v>
      </c>
      <c r="AJ689" s="3" t="s">
        <v>45</v>
      </c>
      <c r="AK689" s="3" t="s">
        <v>45</v>
      </c>
      <c r="AL689" s="3" t="s">
        <v>45</v>
      </c>
      <c r="AM689" s="3" t="s">
        <v>45</v>
      </c>
      <c r="AN689" s="3" t="s">
        <v>45</v>
      </c>
      <c r="AO689" s="3" t="s">
        <v>45</v>
      </c>
      <c r="AP689" s="3" t="s">
        <v>45</v>
      </c>
      <c r="AQ689" s="4" t="s">
        <v>3280</v>
      </c>
      <c r="AR689" s="4" t="s">
        <v>3280</v>
      </c>
    </row>
    <row r="690">
      <c r="A690" s="3" t="s">
        <v>6449</v>
      </c>
      <c r="B690" s="3" t="s">
        <v>6450</v>
      </c>
      <c r="C690" s="3" t="s">
        <v>6443</v>
      </c>
      <c r="D690" s="3" t="s">
        <v>6173</v>
      </c>
      <c r="E690" s="4" t="s">
        <v>6444</v>
      </c>
      <c r="F690" s="3" t="s">
        <v>6445</v>
      </c>
      <c r="G690" s="4" t="s">
        <v>6451</v>
      </c>
      <c r="H690" s="4" t="s">
        <v>6452</v>
      </c>
      <c r="I690" s="3" t="s">
        <v>218</v>
      </c>
      <c r="J690" s="3" t="s">
        <v>126</v>
      </c>
      <c r="K690" s="3" t="s">
        <v>45</v>
      </c>
      <c r="L690" s="3" t="s">
        <v>1569</v>
      </c>
      <c r="M690" s="3" t="s">
        <v>45</v>
      </c>
      <c r="N690" s="3" t="s">
        <v>6453</v>
      </c>
      <c r="O690" s="3" t="s">
        <v>88</v>
      </c>
      <c r="P690" s="3" t="s">
        <v>71</v>
      </c>
      <c r="Q690" s="3" t="s">
        <v>6454</v>
      </c>
      <c r="R690" s="3" t="s">
        <v>45</v>
      </c>
      <c r="S690" s="3" t="s">
        <v>6455</v>
      </c>
      <c r="T690" s="3" t="s">
        <v>45</v>
      </c>
      <c r="U690" s="3" t="s">
        <v>45</v>
      </c>
      <c r="V690" s="4" t="s">
        <v>6456</v>
      </c>
      <c r="W690" s="4" t="s">
        <v>6457</v>
      </c>
      <c r="X690" s="3" t="s">
        <v>45</v>
      </c>
      <c r="Y690" s="4" t="s">
        <v>727</v>
      </c>
      <c r="Z690" s="3" t="s">
        <v>74</v>
      </c>
      <c r="AA690" s="3" t="s">
        <v>45</v>
      </c>
      <c r="AB690" s="3" t="s">
        <v>45</v>
      </c>
      <c r="AC690" s="3" t="s">
        <v>45</v>
      </c>
      <c r="AD690" s="3" t="s">
        <v>45</v>
      </c>
      <c r="AE690" s="3" t="s">
        <v>45</v>
      </c>
      <c r="AF690" s="3" t="s">
        <v>45</v>
      </c>
      <c r="AG690" s="3" t="s">
        <v>6458</v>
      </c>
      <c r="AH690" s="3" t="s">
        <v>57</v>
      </c>
      <c r="AI690" s="5" t="s">
        <v>6459</v>
      </c>
      <c r="AJ690" s="5" t="s">
        <v>6460</v>
      </c>
      <c r="AK690" s="3" t="s">
        <v>45</v>
      </c>
      <c r="AL690" s="3" t="s">
        <v>45</v>
      </c>
      <c r="AM690" s="3" t="s">
        <v>45</v>
      </c>
      <c r="AN690" s="3" t="s">
        <v>45</v>
      </c>
      <c r="AO690" s="3" t="s">
        <v>45</v>
      </c>
      <c r="AP690" s="3" t="s">
        <v>45</v>
      </c>
      <c r="AQ690" s="4" t="s">
        <v>182</v>
      </c>
      <c r="AR690" s="4" t="s">
        <v>1488</v>
      </c>
    </row>
    <row r="691">
      <c r="A691" s="3" t="s">
        <v>6461</v>
      </c>
      <c r="B691" s="3" t="s">
        <v>6462</v>
      </c>
      <c r="C691" s="3" t="s">
        <v>6443</v>
      </c>
      <c r="D691" s="3" t="s">
        <v>6173</v>
      </c>
      <c r="E691" s="4" t="s">
        <v>6444</v>
      </c>
      <c r="F691" s="3" t="s">
        <v>6445</v>
      </c>
      <c r="G691" s="4" t="s">
        <v>6463</v>
      </c>
      <c r="H691" s="4" t="s">
        <v>6464</v>
      </c>
      <c r="I691" s="3" t="s">
        <v>49</v>
      </c>
      <c r="J691" s="3" t="s">
        <v>126</v>
      </c>
      <c r="K691" s="3" t="s">
        <v>45</v>
      </c>
      <c r="L691" s="3" t="s">
        <v>45</v>
      </c>
      <c r="M691" s="3" t="s">
        <v>45</v>
      </c>
      <c r="N691" s="3" t="s">
        <v>45</v>
      </c>
      <c r="O691" s="3" t="s">
        <v>74</v>
      </c>
      <c r="P691" s="3" t="s">
        <v>45</v>
      </c>
      <c r="Q691" s="3" t="s">
        <v>45</v>
      </c>
      <c r="R691" s="3" t="s">
        <v>45</v>
      </c>
      <c r="S691" s="3" t="s">
        <v>45</v>
      </c>
      <c r="T691" s="3" t="s">
        <v>45</v>
      </c>
      <c r="U691" s="3" t="s">
        <v>45</v>
      </c>
      <c r="V691" s="3" t="s">
        <v>45</v>
      </c>
      <c r="W691" s="4" t="s">
        <v>6465</v>
      </c>
      <c r="X691" s="3" t="s">
        <v>45</v>
      </c>
      <c r="Y691" s="3" t="s">
        <v>45</v>
      </c>
      <c r="Z691" s="3" t="s">
        <v>74</v>
      </c>
      <c r="AA691" s="3" t="s">
        <v>45</v>
      </c>
      <c r="AB691" s="3" t="s">
        <v>45</v>
      </c>
      <c r="AC691" s="3" t="s">
        <v>45</v>
      </c>
      <c r="AD691" s="3" t="s">
        <v>45</v>
      </c>
      <c r="AE691" s="3" t="s">
        <v>45</v>
      </c>
      <c r="AF691" s="3" t="s">
        <v>45</v>
      </c>
      <c r="AG691" s="3" t="s">
        <v>45</v>
      </c>
      <c r="AH691" s="3" t="s">
        <v>57</v>
      </c>
      <c r="AI691" s="5" t="s">
        <v>6466</v>
      </c>
      <c r="AJ691" s="3" t="s">
        <v>45</v>
      </c>
      <c r="AK691" s="3" t="s">
        <v>45</v>
      </c>
      <c r="AL691" s="3" t="s">
        <v>45</v>
      </c>
      <c r="AM691" s="3" t="s">
        <v>45</v>
      </c>
      <c r="AN691" s="3" t="s">
        <v>45</v>
      </c>
      <c r="AO691" s="3" t="s">
        <v>45</v>
      </c>
      <c r="AP691" s="3" t="s">
        <v>45</v>
      </c>
      <c r="AQ691" s="4" t="s">
        <v>2509</v>
      </c>
      <c r="AR691" s="4" t="s">
        <v>2509</v>
      </c>
    </row>
    <row r="692">
      <c r="A692" s="3" t="s">
        <v>6467</v>
      </c>
      <c r="B692" s="3" t="s">
        <v>6468</v>
      </c>
      <c r="C692" s="3" t="s">
        <v>6443</v>
      </c>
      <c r="D692" s="3" t="s">
        <v>6173</v>
      </c>
      <c r="E692" s="4" t="s">
        <v>6444</v>
      </c>
      <c r="F692" s="3" t="s">
        <v>6445</v>
      </c>
      <c r="G692" s="4" t="s">
        <v>6469</v>
      </c>
      <c r="H692" s="4" t="s">
        <v>6470</v>
      </c>
      <c r="I692" s="3" t="s">
        <v>49</v>
      </c>
      <c r="J692" s="3" t="s">
        <v>126</v>
      </c>
      <c r="K692" s="3" t="s">
        <v>45</v>
      </c>
      <c r="L692" s="3" t="s">
        <v>479</v>
      </c>
      <c r="M692" s="3" t="s">
        <v>45</v>
      </c>
      <c r="N692" s="3" t="s">
        <v>45</v>
      </c>
      <c r="O692" s="3" t="s">
        <v>74</v>
      </c>
      <c r="P692" s="3" t="s">
        <v>45</v>
      </c>
      <c r="Q692" s="3" t="s">
        <v>45</v>
      </c>
      <c r="R692" s="3" t="s">
        <v>45</v>
      </c>
      <c r="S692" s="3" t="s">
        <v>45</v>
      </c>
      <c r="T692" s="3" t="s">
        <v>45</v>
      </c>
      <c r="U692" s="3" t="s">
        <v>45</v>
      </c>
      <c r="V692" s="3" t="s">
        <v>45</v>
      </c>
      <c r="W692" s="4" t="s">
        <v>4432</v>
      </c>
      <c r="X692" s="3" t="s">
        <v>45</v>
      </c>
      <c r="Y692" s="3" t="s">
        <v>45</v>
      </c>
      <c r="Z692" s="3" t="s">
        <v>74</v>
      </c>
      <c r="AA692" s="3" t="s">
        <v>45</v>
      </c>
      <c r="AB692" s="3" t="s">
        <v>45</v>
      </c>
      <c r="AC692" s="3" t="s">
        <v>45</v>
      </c>
      <c r="AD692" s="3" t="s">
        <v>45</v>
      </c>
      <c r="AE692" s="3" t="s">
        <v>45</v>
      </c>
      <c r="AF692" s="3" t="s">
        <v>45</v>
      </c>
      <c r="AG692" s="3" t="s">
        <v>45</v>
      </c>
      <c r="AH692" s="3" t="s">
        <v>57</v>
      </c>
      <c r="AI692" s="5" t="s">
        <v>6471</v>
      </c>
      <c r="AJ692" s="3" t="s">
        <v>45</v>
      </c>
      <c r="AK692" s="3" t="s">
        <v>45</v>
      </c>
      <c r="AL692" s="3" t="s">
        <v>45</v>
      </c>
      <c r="AM692" s="3" t="s">
        <v>45</v>
      </c>
      <c r="AN692" s="3" t="s">
        <v>45</v>
      </c>
      <c r="AO692" s="3" t="s">
        <v>45</v>
      </c>
      <c r="AP692" s="3" t="s">
        <v>45</v>
      </c>
      <c r="AQ692" s="4" t="s">
        <v>2509</v>
      </c>
      <c r="AR692" s="4" t="s">
        <v>2509</v>
      </c>
    </row>
    <row r="693">
      <c r="A693" s="3" t="s">
        <v>6472</v>
      </c>
      <c r="B693" s="3" t="s">
        <v>6473</v>
      </c>
      <c r="C693" s="3" t="s">
        <v>6443</v>
      </c>
      <c r="D693" s="3" t="s">
        <v>6173</v>
      </c>
      <c r="E693" s="4" t="s">
        <v>6444</v>
      </c>
      <c r="F693" s="3" t="s">
        <v>6445</v>
      </c>
      <c r="G693" s="4" t="s">
        <v>6474</v>
      </c>
      <c r="H693" s="4" t="s">
        <v>6475</v>
      </c>
      <c r="I693" s="3" t="s">
        <v>49</v>
      </c>
      <c r="J693" s="3" t="s">
        <v>126</v>
      </c>
      <c r="K693" s="3" t="s">
        <v>45</v>
      </c>
      <c r="L693" s="3" t="s">
        <v>479</v>
      </c>
      <c r="M693" s="3" t="s">
        <v>45</v>
      </c>
      <c r="N693" s="3" t="s">
        <v>45</v>
      </c>
      <c r="O693" s="3" t="s">
        <v>74</v>
      </c>
      <c r="P693" s="3" t="s">
        <v>45</v>
      </c>
      <c r="Q693" s="3" t="s">
        <v>45</v>
      </c>
      <c r="R693" s="3" t="s">
        <v>45</v>
      </c>
      <c r="S693" s="3" t="s">
        <v>45</v>
      </c>
      <c r="T693" s="3" t="s">
        <v>45</v>
      </c>
      <c r="U693" s="3" t="s">
        <v>45</v>
      </c>
      <c r="V693" s="4" t="s">
        <v>6476</v>
      </c>
      <c r="W693" s="4" t="s">
        <v>1855</v>
      </c>
      <c r="X693" s="3" t="s">
        <v>45</v>
      </c>
      <c r="Y693" s="3" t="s">
        <v>45</v>
      </c>
      <c r="Z693" s="3" t="s">
        <v>74</v>
      </c>
      <c r="AA693" s="3" t="s">
        <v>45</v>
      </c>
      <c r="AB693" s="3" t="s">
        <v>45</v>
      </c>
      <c r="AC693" s="3" t="s">
        <v>45</v>
      </c>
      <c r="AD693" s="3" t="s">
        <v>45</v>
      </c>
      <c r="AE693" s="3" t="s">
        <v>45</v>
      </c>
      <c r="AF693" s="3" t="s">
        <v>45</v>
      </c>
      <c r="AG693" s="3" t="s">
        <v>45</v>
      </c>
      <c r="AH693" s="3" t="s">
        <v>57</v>
      </c>
      <c r="AI693" s="5" t="s">
        <v>6466</v>
      </c>
      <c r="AJ693" s="3" t="s">
        <v>45</v>
      </c>
      <c r="AK693" s="3" t="s">
        <v>45</v>
      </c>
      <c r="AL693" s="3" t="s">
        <v>45</v>
      </c>
      <c r="AM693" s="3" t="s">
        <v>45</v>
      </c>
      <c r="AN693" s="3" t="s">
        <v>45</v>
      </c>
      <c r="AO693" s="3" t="s">
        <v>45</v>
      </c>
      <c r="AP693" s="3" t="s">
        <v>45</v>
      </c>
      <c r="AQ693" s="4" t="s">
        <v>2509</v>
      </c>
      <c r="AR693" s="4" t="s">
        <v>2509</v>
      </c>
    </row>
    <row r="694">
      <c r="A694" s="3" t="s">
        <v>6477</v>
      </c>
      <c r="B694" s="3" t="s">
        <v>6478</v>
      </c>
      <c r="C694" s="3" t="s">
        <v>6443</v>
      </c>
      <c r="D694" s="3" t="s">
        <v>6173</v>
      </c>
      <c r="E694" s="4" t="s">
        <v>6444</v>
      </c>
      <c r="F694" s="3" t="s">
        <v>6445</v>
      </c>
      <c r="G694" s="4" t="s">
        <v>6479</v>
      </c>
      <c r="H694" s="4" t="s">
        <v>6480</v>
      </c>
      <c r="I694" s="3" t="s">
        <v>49</v>
      </c>
      <c r="J694" s="3" t="s">
        <v>126</v>
      </c>
      <c r="K694" s="3" t="s">
        <v>45</v>
      </c>
      <c r="L694" s="3" t="s">
        <v>479</v>
      </c>
      <c r="M694" s="3" t="s">
        <v>45</v>
      </c>
      <c r="N694" s="3" t="s">
        <v>45</v>
      </c>
      <c r="O694" s="3" t="s">
        <v>74</v>
      </c>
      <c r="P694" s="3" t="s">
        <v>45</v>
      </c>
      <c r="Q694" s="3" t="s">
        <v>45</v>
      </c>
      <c r="R694" s="3" t="s">
        <v>45</v>
      </c>
      <c r="S694" s="3" t="s">
        <v>45</v>
      </c>
      <c r="T694" s="3" t="s">
        <v>45</v>
      </c>
      <c r="U694" s="3" t="s">
        <v>45</v>
      </c>
      <c r="V694" s="4" t="s">
        <v>6481</v>
      </c>
      <c r="W694" s="4" t="s">
        <v>90</v>
      </c>
      <c r="X694" s="3" t="s">
        <v>45</v>
      </c>
      <c r="Y694" s="3" t="s">
        <v>45</v>
      </c>
      <c r="Z694" s="3" t="s">
        <v>74</v>
      </c>
      <c r="AA694" s="3" t="s">
        <v>45</v>
      </c>
      <c r="AB694" s="3" t="s">
        <v>45</v>
      </c>
      <c r="AC694" s="3" t="s">
        <v>45</v>
      </c>
      <c r="AD694" s="3" t="s">
        <v>45</v>
      </c>
      <c r="AE694" s="3" t="s">
        <v>45</v>
      </c>
      <c r="AF694" s="3" t="s">
        <v>45</v>
      </c>
      <c r="AG694" s="3" t="s">
        <v>45</v>
      </c>
      <c r="AH694" s="3" t="s">
        <v>57</v>
      </c>
      <c r="AI694" s="5" t="s">
        <v>6466</v>
      </c>
      <c r="AJ694" s="3" t="s">
        <v>45</v>
      </c>
      <c r="AK694" s="3" t="s">
        <v>45</v>
      </c>
      <c r="AL694" s="3" t="s">
        <v>45</v>
      </c>
      <c r="AM694" s="3" t="s">
        <v>45</v>
      </c>
      <c r="AN694" s="3" t="s">
        <v>45</v>
      </c>
      <c r="AO694" s="3" t="s">
        <v>45</v>
      </c>
      <c r="AP694" s="3" t="s">
        <v>45</v>
      </c>
      <c r="AQ694" s="4" t="s">
        <v>2509</v>
      </c>
      <c r="AR694" s="4" t="s">
        <v>2509</v>
      </c>
    </row>
    <row r="695">
      <c r="A695" s="3" t="s">
        <v>2989</v>
      </c>
      <c r="B695" s="3" t="s">
        <v>6482</v>
      </c>
      <c r="C695" s="3" t="s">
        <v>6443</v>
      </c>
      <c r="D695" s="3" t="s">
        <v>6173</v>
      </c>
      <c r="E695" s="4" t="s">
        <v>6444</v>
      </c>
      <c r="F695" s="3" t="s">
        <v>6445</v>
      </c>
      <c r="G695" s="4" t="s">
        <v>6483</v>
      </c>
      <c r="H695" s="4" t="s">
        <v>6484</v>
      </c>
      <c r="I695" s="3" t="s">
        <v>49</v>
      </c>
      <c r="J695" s="3" t="s">
        <v>126</v>
      </c>
      <c r="K695" s="3" t="s">
        <v>45</v>
      </c>
      <c r="L695" s="3" t="s">
        <v>45</v>
      </c>
      <c r="M695" s="3" t="s">
        <v>45</v>
      </c>
      <c r="N695" s="4" t="s">
        <v>471</v>
      </c>
      <c r="O695" s="3" t="s">
        <v>390</v>
      </c>
      <c r="P695" s="3" t="s">
        <v>45</v>
      </c>
      <c r="Q695" s="3" t="s">
        <v>45</v>
      </c>
      <c r="R695" s="3" t="s">
        <v>45</v>
      </c>
      <c r="S695" s="3" t="s">
        <v>45</v>
      </c>
      <c r="T695" s="3" t="s">
        <v>45</v>
      </c>
      <c r="U695" s="3" t="s">
        <v>45</v>
      </c>
      <c r="V695" s="4" t="s">
        <v>6485</v>
      </c>
      <c r="W695" s="4" t="s">
        <v>3690</v>
      </c>
      <c r="X695" s="3" t="s">
        <v>45</v>
      </c>
      <c r="Y695" s="3" t="s">
        <v>45</v>
      </c>
      <c r="Z695" s="3" t="s">
        <v>74</v>
      </c>
      <c r="AA695" s="3" t="s">
        <v>45</v>
      </c>
      <c r="AB695" s="3" t="s">
        <v>45</v>
      </c>
      <c r="AC695" s="3" t="s">
        <v>45</v>
      </c>
      <c r="AD695" s="3" t="s">
        <v>45</v>
      </c>
      <c r="AE695" s="3" t="s">
        <v>45</v>
      </c>
      <c r="AF695" s="3" t="s">
        <v>45</v>
      </c>
      <c r="AG695" s="3" t="s">
        <v>45</v>
      </c>
      <c r="AH695" s="3" t="s">
        <v>57</v>
      </c>
      <c r="AI695" s="5" t="s">
        <v>6486</v>
      </c>
      <c r="AJ695" s="3" t="s">
        <v>45</v>
      </c>
      <c r="AK695" s="3" t="s">
        <v>45</v>
      </c>
      <c r="AL695" s="3" t="s">
        <v>45</v>
      </c>
      <c r="AM695" s="3" t="s">
        <v>45</v>
      </c>
      <c r="AN695" s="3" t="s">
        <v>45</v>
      </c>
      <c r="AO695" s="3" t="s">
        <v>45</v>
      </c>
      <c r="AP695" s="3" t="s">
        <v>45</v>
      </c>
      <c r="AQ695" s="4" t="s">
        <v>1260</v>
      </c>
      <c r="AR695" s="4" t="s">
        <v>1260</v>
      </c>
    </row>
    <row r="696">
      <c r="A696" s="3" t="s">
        <v>6487</v>
      </c>
      <c r="B696" s="3" t="s">
        <v>6488</v>
      </c>
      <c r="C696" s="3" t="s">
        <v>5435</v>
      </c>
      <c r="D696" s="3" t="s">
        <v>6173</v>
      </c>
      <c r="E696" s="4" t="s">
        <v>6489</v>
      </c>
      <c r="F696" s="3" t="s">
        <v>6490</v>
      </c>
      <c r="G696" s="4" t="s">
        <v>6491</v>
      </c>
      <c r="H696" s="4" t="s">
        <v>6492</v>
      </c>
      <c r="I696" s="3" t="s">
        <v>49</v>
      </c>
      <c r="J696" s="3" t="s">
        <v>126</v>
      </c>
      <c r="K696" s="3" t="s">
        <v>45</v>
      </c>
      <c r="L696" s="3" t="s">
        <v>176</v>
      </c>
      <c r="M696" s="3" t="s">
        <v>45</v>
      </c>
      <c r="N696" s="3" t="s">
        <v>45</v>
      </c>
      <c r="O696" s="3" t="s">
        <v>74</v>
      </c>
      <c r="P696" s="3" t="s">
        <v>45</v>
      </c>
      <c r="Q696" s="3" t="s">
        <v>45</v>
      </c>
      <c r="R696" s="3" t="s">
        <v>45</v>
      </c>
      <c r="S696" s="3" t="s">
        <v>45</v>
      </c>
      <c r="T696" s="3" t="s">
        <v>45</v>
      </c>
      <c r="U696" s="3" t="s">
        <v>45</v>
      </c>
      <c r="V696" s="3" t="s">
        <v>45</v>
      </c>
      <c r="W696" s="3" t="s">
        <v>45</v>
      </c>
      <c r="X696" s="3" t="s">
        <v>45</v>
      </c>
      <c r="Y696" s="3" t="s">
        <v>45</v>
      </c>
      <c r="Z696" s="3" t="s">
        <v>74</v>
      </c>
      <c r="AA696" s="3" t="s">
        <v>45</v>
      </c>
      <c r="AB696" s="3" t="s">
        <v>45</v>
      </c>
      <c r="AC696" s="3" t="s">
        <v>45</v>
      </c>
      <c r="AD696" s="3" t="s">
        <v>45</v>
      </c>
      <c r="AE696" s="3" t="s">
        <v>45</v>
      </c>
      <c r="AF696" s="3" t="s">
        <v>45</v>
      </c>
      <c r="AG696" s="3" t="s">
        <v>45</v>
      </c>
      <c r="AH696" s="3" t="s">
        <v>57</v>
      </c>
      <c r="AI696" s="5" t="s">
        <v>6493</v>
      </c>
      <c r="AJ696" s="3" t="s">
        <v>45</v>
      </c>
      <c r="AK696" s="3" t="s">
        <v>45</v>
      </c>
      <c r="AL696" s="3" t="s">
        <v>45</v>
      </c>
      <c r="AM696" s="3" t="s">
        <v>45</v>
      </c>
      <c r="AN696" s="3" t="s">
        <v>45</v>
      </c>
      <c r="AO696" s="3" t="s">
        <v>45</v>
      </c>
      <c r="AP696" s="3" t="s">
        <v>45</v>
      </c>
      <c r="AQ696" s="4" t="s">
        <v>2509</v>
      </c>
      <c r="AR696" s="4" t="s">
        <v>2509</v>
      </c>
    </row>
    <row r="697">
      <c r="A697" s="3" t="s">
        <v>6494</v>
      </c>
      <c r="B697" s="3" t="s">
        <v>6495</v>
      </c>
      <c r="C697" s="3" t="s">
        <v>6496</v>
      </c>
      <c r="D697" s="3" t="s">
        <v>6173</v>
      </c>
      <c r="E697" s="4" t="s">
        <v>6302</v>
      </c>
      <c r="F697" s="3" t="s">
        <v>6379</v>
      </c>
      <c r="G697" s="4" t="s">
        <v>6497</v>
      </c>
      <c r="H697" s="4" t="s">
        <v>6498</v>
      </c>
      <c r="I697" s="3" t="s">
        <v>85</v>
      </c>
      <c r="J697" s="3" t="s">
        <v>126</v>
      </c>
      <c r="K697" s="3" t="s">
        <v>45</v>
      </c>
      <c r="L697" s="3" t="s">
        <v>45</v>
      </c>
      <c r="M697" s="3" t="s">
        <v>45</v>
      </c>
      <c r="N697" s="4" t="s">
        <v>1872</v>
      </c>
      <c r="O697" s="3" t="s">
        <v>53</v>
      </c>
      <c r="P697" s="3" t="s">
        <v>45</v>
      </c>
      <c r="Q697" s="3" t="s">
        <v>45</v>
      </c>
      <c r="R697" s="3" t="s">
        <v>45</v>
      </c>
      <c r="S697" s="3" t="s">
        <v>45</v>
      </c>
      <c r="T697" s="3" t="s">
        <v>45</v>
      </c>
      <c r="U697" s="3" t="s">
        <v>45</v>
      </c>
      <c r="V697" s="4" t="s">
        <v>6499</v>
      </c>
      <c r="W697" s="3" t="s">
        <v>45</v>
      </c>
      <c r="X697" s="3" t="s">
        <v>45</v>
      </c>
      <c r="Y697" s="3" t="s">
        <v>45</v>
      </c>
      <c r="Z697" s="3" t="s">
        <v>74</v>
      </c>
      <c r="AA697" s="3" t="s">
        <v>45</v>
      </c>
      <c r="AB697" s="3" t="s">
        <v>45</v>
      </c>
      <c r="AC697" s="3" t="s">
        <v>45</v>
      </c>
      <c r="AD697" s="3" t="s">
        <v>45</v>
      </c>
      <c r="AE697" s="3" t="s">
        <v>45</v>
      </c>
      <c r="AF697" s="3" t="s">
        <v>45</v>
      </c>
      <c r="AG697" s="3" t="s">
        <v>45</v>
      </c>
      <c r="AH697" s="3" t="s">
        <v>57</v>
      </c>
      <c r="AI697" s="5" t="s">
        <v>6350</v>
      </c>
      <c r="AJ697" s="3" t="s">
        <v>45</v>
      </c>
      <c r="AK697" s="3" t="s">
        <v>45</v>
      </c>
      <c r="AL697" s="3" t="s">
        <v>45</v>
      </c>
      <c r="AM697" s="3" t="s">
        <v>45</v>
      </c>
      <c r="AN697" s="3" t="s">
        <v>45</v>
      </c>
      <c r="AO697" s="3" t="s">
        <v>45</v>
      </c>
      <c r="AP697" s="3" t="s">
        <v>45</v>
      </c>
      <c r="AQ697" s="4" t="s">
        <v>551</v>
      </c>
      <c r="AR697" s="4" t="s">
        <v>551</v>
      </c>
    </row>
    <row r="698">
      <c r="A698" s="3" t="s">
        <v>6500</v>
      </c>
      <c r="B698" s="3" t="s">
        <v>6501</v>
      </c>
      <c r="C698" s="3" t="s">
        <v>6496</v>
      </c>
      <c r="D698" s="3" t="s">
        <v>6173</v>
      </c>
      <c r="E698" s="4" t="s">
        <v>6302</v>
      </c>
      <c r="F698" s="3" t="s">
        <v>6379</v>
      </c>
      <c r="G698" s="4" t="s">
        <v>6502</v>
      </c>
      <c r="H698" s="4" t="s">
        <v>6503</v>
      </c>
      <c r="I698" s="3" t="s">
        <v>49</v>
      </c>
      <c r="J698" s="3" t="s">
        <v>126</v>
      </c>
      <c r="K698" s="3" t="s">
        <v>45</v>
      </c>
      <c r="L698" s="3" t="s">
        <v>45</v>
      </c>
      <c r="M698" s="3" t="s">
        <v>45</v>
      </c>
      <c r="N698" s="4" t="s">
        <v>1153</v>
      </c>
      <c r="O698" s="3" t="s">
        <v>390</v>
      </c>
      <c r="P698" s="3" t="s">
        <v>45</v>
      </c>
      <c r="Q698" s="3" t="s">
        <v>45</v>
      </c>
      <c r="R698" s="3" t="s">
        <v>45</v>
      </c>
      <c r="S698" s="3" t="s">
        <v>45</v>
      </c>
      <c r="T698" s="3" t="s">
        <v>45</v>
      </c>
      <c r="U698" s="3" t="s">
        <v>45</v>
      </c>
      <c r="V698" s="4" t="s">
        <v>3260</v>
      </c>
      <c r="W698" s="3" t="s">
        <v>45</v>
      </c>
      <c r="X698" s="3" t="s">
        <v>45</v>
      </c>
      <c r="Y698" s="3" t="s">
        <v>45</v>
      </c>
      <c r="Z698" s="3" t="s">
        <v>74</v>
      </c>
      <c r="AA698" s="3" t="s">
        <v>45</v>
      </c>
      <c r="AB698" s="3" t="s">
        <v>45</v>
      </c>
      <c r="AC698" s="3" t="s">
        <v>45</v>
      </c>
      <c r="AD698" s="3" t="s">
        <v>45</v>
      </c>
      <c r="AE698" s="3" t="s">
        <v>45</v>
      </c>
      <c r="AF698" s="3" t="s">
        <v>45</v>
      </c>
      <c r="AG698" s="3" t="s">
        <v>45</v>
      </c>
      <c r="AH698" s="3" t="s">
        <v>57</v>
      </c>
      <c r="AI698" s="5" t="s">
        <v>6308</v>
      </c>
      <c r="AJ698" s="3" t="s">
        <v>45</v>
      </c>
      <c r="AK698" s="3" t="s">
        <v>45</v>
      </c>
      <c r="AL698" s="3" t="s">
        <v>45</v>
      </c>
      <c r="AM698" s="3" t="s">
        <v>45</v>
      </c>
      <c r="AN698" s="3" t="s">
        <v>45</v>
      </c>
      <c r="AO698" s="3" t="s">
        <v>45</v>
      </c>
      <c r="AP698" s="3" t="s">
        <v>45</v>
      </c>
      <c r="AQ698" s="4" t="s">
        <v>3655</v>
      </c>
      <c r="AR698" s="4" t="s">
        <v>3655</v>
      </c>
    </row>
    <row r="699">
      <c r="A699" s="3" t="s">
        <v>6504</v>
      </c>
      <c r="B699" s="3" t="s">
        <v>6505</v>
      </c>
      <c r="C699" s="3" t="s">
        <v>6506</v>
      </c>
      <c r="D699" s="3" t="s">
        <v>6173</v>
      </c>
      <c r="E699" s="4" t="s">
        <v>6507</v>
      </c>
      <c r="F699" s="3" t="s">
        <v>3310</v>
      </c>
      <c r="G699" s="4" t="s">
        <v>6508</v>
      </c>
      <c r="H699" s="4" t="s">
        <v>6509</v>
      </c>
      <c r="I699" s="3" t="s">
        <v>49</v>
      </c>
      <c r="J699" s="3" t="s">
        <v>126</v>
      </c>
      <c r="K699" s="3" t="s">
        <v>45</v>
      </c>
      <c r="L699" s="3" t="s">
        <v>45</v>
      </c>
      <c r="M699" s="3" t="s">
        <v>45</v>
      </c>
      <c r="N699" s="3" t="s">
        <v>45</v>
      </c>
      <c r="O699" s="3" t="s">
        <v>74</v>
      </c>
      <c r="P699" s="3" t="s">
        <v>45</v>
      </c>
      <c r="Q699" s="3" t="s">
        <v>45</v>
      </c>
      <c r="R699" s="3" t="s">
        <v>45</v>
      </c>
      <c r="S699" s="3" t="s">
        <v>45</v>
      </c>
      <c r="T699" s="3" t="s">
        <v>45</v>
      </c>
      <c r="U699" s="3" t="s">
        <v>45</v>
      </c>
      <c r="V699" s="3" t="s">
        <v>45</v>
      </c>
      <c r="W699" s="4" t="s">
        <v>419</v>
      </c>
      <c r="X699" s="3" t="s">
        <v>6510</v>
      </c>
      <c r="Y699" s="3" t="s">
        <v>45</v>
      </c>
      <c r="Z699" s="3" t="s">
        <v>74</v>
      </c>
      <c r="AA699" s="3" t="s">
        <v>45</v>
      </c>
      <c r="AB699" s="3" t="s">
        <v>45</v>
      </c>
      <c r="AC699" s="3" t="s">
        <v>45</v>
      </c>
      <c r="AD699" s="3" t="s">
        <v>45</v>
      </c>
      <c r="AE699" s="3" t="s">
        <v>45</v>
      </c>
      <c r="AF699" s="3" t="s">
        <v>45</v>
      </c>
      <c r="AG699" s="3" t="s">
        <v>6511</v>
      </c>
      <c r="AH699" s="3" t="s">
        <v>57</v>
      </c>
      <c r="AI699" s="5" t="s">
        <v>6512</v>
      </c>
      <c r="AJ699" s="3" t="s">
        <v>45</v>
      </c>
      <c r="AK699" s="3" t="s">
        <v>45</v>
      </c>
      <c r="AL699" s="3" t="s">
        <v>45</v>
      </c>
      <c r="AM699" s="3" t="s">
        <v>45</v>
      </c>
      <c r="AN699" s="3" t="s">
        <v>45</v>
      </c>
      <c r="AO699" s="3" t="s">
        <v>45</v>
      </c>
      <c r="AP699" s="3" t="s">
        <v>45</v>
      </c>
      <c r="AQ699" s="4" t="s">
        <v>6513</v>
      </c>
      <c r="AR699" s="4" t="s">
        <v>6513</v>
      </c>
    </row>
    <row r="700">
      <c r="A700" s="3" t="s">
        <v>6514</v>
      </c>
      <c r="B700" s="3" t="s">
        <v>6515</v>
      </c>
      <c r="C700" s="3" t="s">
        <v>6506</v>
      </c>
      <c r="D700" s="3" t="s">
        <v>6173</v>
      </c>
      <c r="E700" s="4" t="s">
        <v>6507</v>
      </c>
      <c r="F700" s="3" t="s">
        <v>3310</v>
      </c>
      <c r="G700" s="4" t="s">
        <v>6516</v>
      </c>
      <c r="H700" s="4" t="s">
        <v>6517</v>
      </c>
      <c r="I700" s="3" t="s">
        <v>49</v>
      </c>
      <c r="J700" s="3" t="s">
        <v>126</v>
      </c>
      <c r="K700" s="3" t="s">
        <v>45</v>
      </c>
      <c r="L700" s="3" t="s">
        <v>176</v>
      </c>
      <c r="M700" s="3" t="s">
        <v>45</v>
      </c>
      <c r="N700" s="3" t="s">
        <v>45</v>
      </c>
      <c r="O700" s="3" t="s">
        <v>74</v>
      </c>
      <c r="P700" s="3" t="s">
        <v>45</v>
      </c>
      <c r="Q700" s="3" t="s">
        <v>45</v>
      </c>
      <c r="R700" s="3" t="s">
        <v>6518</v>
      </c>
      <c r="S700" s="3" t="s">
        <v>45</v>
      </c>
      <c r="T700" s="3" t="s">
        <v>45</v>
      </c>
      <c r="U700" s="3" t="s">
        <v>45</v>
      </c>
      <c r="V700" s="3" t="s">
        <v>45</v>
      </c>
      <c r="W700" s="3" t="s">
        <v>45</v>
      </c>
      <c r="X700" s="3" t="s">
        <v>3222</v>
      </c>
      <c r="Y700" s="4" t="s">
        <v>957</v>
      </c>
      <c r="Z700" s="3" t="s">
        <v>74</v>
      </c>
      <c r="AA700" s="3" t="s">
        <v>45</v>
      </c>
      <c r="AB700" s="3" t="s">
        <v>45</v>
      </c>
      <c r="AC700" s="3" t="s">
        <v>45</v>
      </c>
      <c r="AD700" s="3" t="s">
        <v>45</v>
      </c>
      <c r="AE700" s="3" t="s">
        <v>45</v>
      </c>
      <c r="AF700" s="3" t="s">
        <v>45</v>
      </c>
      <c r="AG700" s="3" t="s">
        <v>6519</v>
      </c>
      <c r="AH700" s="3" t="s">
        <v>57</v>
      </c>
      <c r="AI700" s="5" t="s">
        <v>6520</v>
      </c>
      <c r="AJ700" s="3" t="s">
        <v>45</v>
      </c>
      <c r="AK700" s="3" t="s">
        <v>45</v>
      </c>
      <c r="AL700" s="3" t="s">
        <v>45</v>
      </c>
      <c r="AM700" s="3" t="s">
        <v>45</v>
      </c>
      <c r="AN700" s="3" t="s">
        <v>45</v>
      </c>
      <c r="AO700" s="3" t="s">
        <v>45</v>
      </c>
      <c r="AP700" s="3" t="s">
        <v>45</v>
      </c>
      <c r="AQ700" s="4" t="s">
        <v>2870</v>
      </c>
      <c r="AR700" s="4" t="s">
        <v>2870</v>
      </c>
    </row>
    <row r="701">
      <c r="A701" s="3" t="s">
        <v>6521</v>
      </c>
      <c r="B701" s="3" t="s">
        <v>6522</v>
      </c>
      <c r="C701" s="3" t="s">
        <v>6523</v>
      </c>
      <c r="D701" s="3" t="s">
        <v>6173</v>
      </c>
      <c r="E701" s="4" t="s">
        <v>6524</v>
      </c>
      <c r="F701" s="3" t="s">
        <v>6525</v>
      </c>
      <c r="G701" s="4" t="s">
        <v>6526</v>
      </c>
      <c r="H701" s="4" t="s">
        <v>6527</v>
      </c>
      <c r="I701" s="3" t="s">
        <v>49</v>
      </c>
      <c r="J701" s="3" t="s">
        <v>50</v>
      </c>
      <c r="K701" s="3" t="s">
        <v>45</v>
      </c>
      <c r="L701" s="3" t="s">
        <v>6528</v>
      </c>
      <c r="M701" s="3" t="s">
        <v>45</v>
      </c>
      <c r="N701" s="3" t="s">
        <v>45</v>
      </c>
      <c r="O701" s="3" t="s">
        <v>74</v>
      </c>
      <c r="P701" s="3" t="s">
        <v>1095</v>
      </c>
      <c r="Q701" s="3" t="s">
        <v>45</v>
      </c>
      <c r="R701" s="3" t="s">
        <v>45</v>
      </c>
      <c r="S701" s="3" t="s">
        <v>45</v>
      </c>
      <c r="T701" s="3" t="s">
        <v>45</v>
      </c>
      <c r="U701" s="3" t="s">
        <v>221</v>
      </c>
      <c r="V701" s="3" t="s">
        <v>45</v>
      </c>
      <c r="W701" s="4" t="s">
        <v>6529</v>
      </c>
      <c r="X701" s="3" t="s">
        <v>45</v>
      </c>
      <c r="Y701" s="3" t="s">
        <v>45</v>
      </c>
      <c r="Z701" s="3" t="s">
        <v>55</v>
      </c>
      <c r="AA701" s="3" t="s">
        <v>45</v>
      </c>
      <c r="AB701" s="3" t="s">
        <v>56</v>
      </c>
      <c r="AC701" s="3" t="s">
        <v>45</v>
      </c>
      <c r="AD701" s="3" t="s">
        <v>45</v>
      </c>
      <c r="AE701" s="3" t="s">
        <v>45</v>
      </c>
      <c r="AF701" s="3" t="s">
        <v>45</v>
      </c>
      <c r="AG701" s="3" t="s">
        <v>45</v>
      </c>
      <c r="AH701" s="3" t="s">
        <v>57</v>
      </c>
      <c r="AI701" s="5" t="s">
        <v>6530</v>
      </c>
      <c r="AJ701" s="5" t="s">
        <v>6531</v>
      </c>
      <c r="AK701" s="5" t="s">
        <v>6532</v>
      </c>
      <c r="AL701" s="3" t="s">
        <v>45</v>
      </c>
      <c r="AM701" s="3" t="s">
        <v>45</v>
      </c>
      <c r="AN701" s="3" t="s">
        <v>45</v>
      </c>
      <c r="AO701" s="3" t="s">
        <v>45</v>
      </c>
      <c r="AP701" s="3" t="s">
        <v>45</v>
      </c>
      <c r="AQ701" s="4" t="s">
        <v>60</v>
      </c>
      <c r="AR701" s="4" t="s">
        <v>60</v>
      </c>
    </row>
    <row r="702">
      <c r="A702" s="3" t="s">
        <v>6533</v>
      </c>
      <c r="B702" s="3" t="s">
        <v>6534</v>
      </c>
      <c r="C702" s="3" t="s">
        <v>6535</v>
      </c>
      <c r="D702" s="3" t="s">
        <v>6173</v>
      </c>
      <c r="E702" s="4" t="s">
        <v>6536</v>
      </c>
      <c r="F702" s="3" t="s">
        <v>6537</v>
      </c>
      <c r="G702" s="4" t="s">
        <v>6538</v>
      </c>
      <c r="H702" s="4" t="s">
        <v>6539</v>
      </c>
      <c r="I702" s="3" t="s">
        <v>49</v>
      </c>
      <c r="J702" s="3" t="s">
        <v>126</v>
      </c>
      <c r="K702" s="3" t="s">
        <v>45</v>
      </c>
      <c r="L702" s="3" t="s">
        <v>6540</v>
      </c>
      <c r="M702" s="3" t="s">
        <v>45</v>
      </c>
      <c r="N702" s="4" t="s">
        <v>1962</v>
      </c>
      <c r="O702" s="3" t="s">
        <v>88</v>
      </c>
      <c r="P702" s="3" t="s">
        <v>45</v>
      </c>
      <c r="Q702" s="3" t="s">
        <v>45</v>
      </c>
      <c r="R702" s="3" t="s">
        <v>45</v>
      </c>
      <c r="S702" s="4" t="s">
        <v>247</v>
      </c>
      <c r="T702" s="3" t="s">
        <v>45</v>
      </c>
      <c r="U702" s="3" t="s">
        <v>45</v>
      </c>
      <c r="V702" s="4" t="s">
        <v>6541</v>
      </c>
      <c r="W702" s="3" t="s">
        <v>45</v>
      </c>
      <c r="X702" s="3" t="s">
        <v>45</v>
      </c>
      <c r="Y702" s="3" t="s">
        <v>45</v>
      </c>
      <c r="Z702" s="3" t="s">
        <v>74</v>
      </c>
      <c r="AA702" s="3" t="s">
        <v>45</v>
      </c>
      <c r="AB702" s="3" t="s">
        <v>45</v>
      </c>
      <c r="AC702" s="3" t="s">
        <v>45</v>
      </c>
      <c r="AD702" s="3" t="s">
        <v>45</v>
      </c>
      <c r="AE702" s="3" t="s">
        <v>45</v>
      </c>
      <c r="AF702" s="3" t="s">
        <v>45</v>
      </c>
      <c r="AG702" s="3" t="s">
        <v>45</v>
      </c>
      <c r="AH702" s="3" t="s">
        <v>57</v>
      </c>
      <c r="AI702" s="5" t="s">
        <v>6542</v>
      </c>
      <c r="AJ702" s="5" t="s">
        <v>6543</v>
      </c>
      <c r="AK702" s="3" t="s">
        <v>45</v>
      </c>
      <c r="AL702" s="3" t="s">
        <v>45</v>
      </c>
      <c r="AM702" s="3" t="s">
        <v>45</v>
      </c>
      <c r="AN702" s="3" t="s">
        <v>45</v>
      </c>
      <c r="AO702" s="3" t="s">
        <v>45</v>
      </c>
      <c r="AP702" s="3" t="s">
        <v>45</v>
      </c>
      <c r="AQ702" s="4" t="s">
        <v>1050</v>
      </c>
      <c r="AR702" s="4" t="s">
        <v>1050</v>
      </c>
    </row>
    <row r="703">
      <c r="A703" s="3" t="s">
        <v>6544</v>
      </c>
      <c r="B703" s="3" t="s">
        <v>6545</v>
      </c>
      <c r="C703" s="3" t="s">
        <v>6546</v>
      </c>
      <c r="D703" s="3" t="s">
        <v>6173</v>
      </c>
      <c r="E703" s="4" t="s">
        <v>6547</v>
      </c>
      <c r="F703" s="3" t="s">
        <v>6548</v>
      </c>
      <c r="G703" s="4" t="s">
        <v>6549</v>
      </c>
      <c r="H703" s="4" t="s">
        <v>6550</v>
      </c>
      <c r="I703" s="3" t="s">
        <v>49</v>
      </c>
      <c r="J703" s="3" t="s">
        <v>126</v>
      </c>
      <c r="K703" s="3" t="s">
        <v>45</v>
      </c>
      <c r="L703" s="3" t="s">
        <v>479</v>
      </c>
      <c r="M703" s="3" t="s">
        <v>45</v>
      </c>
      <c r="N703" s="3" t="s">
        <v>45</v>
      </c>
      <c r="O703" s="3" t="s">
        <v>74</v>
      </c>
      <c r="P703" s="3" t="s">
        <v>45</v>
      </c>
      <c r="Q703" s="3" t="s">
        <v>45</v>
      </c>
      <c r="R703" s="3" t="s">
        <v>45</v>
      </c>
      <c r="S703" s="3" t="s">
        <v>45</v>
      </c>
      <c r="T703" s="3" t="s">
        <v>45</v>
      </c>
      <c r="U703" s="3" t="s">
        <v>45</v>
      </c>
      <c r="V703" s="3" t="s">
        <v>45</v>
      </c>
      <c r="W703" s="4" t="s">
        <v>5932</v>
      </c>
      <c r="X703" s="3" t="s">
        <v>305</v>
      </c>
      <c r="Y703" s="3" t="s">
        <v>45</v>
      </c>
      <c r="Z703" s="3" t="s">
        <v>55</v>
      </c>
      <c r="AA703" s="3" t="s">
        <v>45</v>
      </c>
      <c r="AB703" s="3" t="s">
        <v>45</v>
      </c>
      <c r="AC703" s="3" t="s">
        <v>45</v>
      </c>
      <c r="AD703" s="3" t="s">
        <v>45</v>
      </c>
      <c r="AE703" s="3" t="s">
        <v>45</v>
      </c>
      <c r="AF703" s="5" t="s">
        <v>6551</v>
      </c>
      <c r="AG703" s="3" t="s">
        <v>6552</v>
      </c>
      <c r="AH703" s="3" t="s">
        <v>57</v>
      </c>
      <c r="AI703" s="5" t="s">
        <v>6553</v>
      </c>
      <c r="AJ703" s="3" t="s">
        <v>45</v>
      </c>
      <c r="AK703" s="3" t="s">
        <v>45</v>
      </c>
      <c r="AL703" s="3" t="s">
        <v>45</v>
      </c>
      <c r="AM703" s="3" t="s">
        <v>45</v>
      </c>
      <c r="AN703" s="3" t="s">
        <v>45</v>
      </c>
      <c r="AO703" s="3" t="s">
        <v>45</v>
      </c>
      <c r="AP703" s="3" t="s">
        <v>45</v>
      </c>
      <c r="AQ703" s="4" t="s">
        <v>2509</v>
      </c>
      <c r="AR703" s="4" t="s">
        <v>2929</v>
      </c>
    </row>
    <row r="704">
      <c r="A704" s="3" t="s">
        <v>6554</v>
      </c>
      <c r="B704" s="3" t="s">
        <v>6555</v>
      </c>
      <c r="C704" s="3" t="s">
        <v>6556</v>
      </c>
      <c r="D704" s="3" t="s">
        <v>6173</v>
      </c>
      <c r="E704" s="4" t="s">
        <v>6557</v>
      </c>
      <c r="F704" s="3" t="s">
        <v>6245</v>
      </c>
      <c r="G704" s="4" t="s">
        <v>6558</v>
      </c>
      <c r="H704" s="4" t="s">
        <v>6559</v>
      </c>
      <c r="I704" s="3" t="s">
        <v>85</v>
      </c>
      <c r="J704" s="3" t="s">
        <v>126</v>
      </c>
      <c r="K704" s="3" t="s">
        <v>246</v>
      </c>
      <c r="L704" s="3" t="s">
        <v>6540</v>
      </c>
      <c r="M704" s="3" t="s">
        <v>45</v>
      </c>
      <c r="N704" s="4" t="s">
        <v>6560</v>
      </c>
      <c r="O704" s="3" t="s">
        <v>88</v>
      </c>
      <c r="P704" s="3" t="s">
        <v>45</v>
      </c>
      <c r="Q704" s="3" t="s">
        <v>45</v>
      </c>
      <c r="R704" s="3" t="s">
        <v>45</v>
      </c>
      <c r="S704" s="3" t="s">
        <v>45</v>
      </c>
      <c r="T704" s="3" t="s">
        <v>45</v>
      </c>
      <c r="U704" s="3" t="s">
        <v>45</v>
      </c>
      <c r="V704" s="3" t="s">
        <v>45</v>
      </c>
      <c r="W704" s="4" t="s">
        <v>6561</v>
      </c>
      <c r="X704" s="3" t="s">
        <v>45</v>
      </c>
      <c r="Y704" s="3" t="s">
        <v>45</v>
      </c>
      <c r="Z704" s="3" t="s">
        <v>74</v>
      </c>
      <c r="AA704" s="3" t="s">
        <v>45</v>
      </c>
      <c r="AB704" s="3" t="s">
        <v>45</v>
      </c>
      <c r="AC704" s="3" t="s">
        <v>45</v>
      </c>
      <c r="AD704" s="3" t="s">
        <v>45</v>
      </c>
      <c r="AE704" s="3" t="s">
        <v>45</v>
      </c>
      <c r="AF704" s="3" t="s">
        <v>45</v>
      </c>
      <c r="AG704" s="3" t="s">
        <v>45</v>
      </c>
      <c r="AH704" s="3" t="s">
        <v>57</v>
      </c>
      <c r="AI704" s="5" t="s">
        <v>6562</v>
      </c>
      <c r="AJ704" s="3" t="s">
        <v>45</v>
      </c>
      <c r="AK704" s="3" t="s">
        <v>45</v>
      </c>
      <c r="AL704" s="3" t="s">
        <v>45</v>
      </c>
      <c r="AM704" s="3" t="s">
        <v>45</v>
      </c>
      <c r="AN704" s="3" t="s">
        <v>45</v>
      </c>
      <c r="AO704" s="3" t="s">
        <v>45</v>
      </c>
      <c r="AP704" s="3" t="s">
        <v>45</v>
      </c>
      <c r="AQ704" s="4" t="s">
        <v>1050</v>
      </c>
      <c r="AR704" s="4" t="s">
        <v>1050</v>
      </c>
    </row>
    <row r="705">
      <c r="A705" s="3" t="s">
        <v>422</v>
      </c>
      <c r="B705" s="3" t="s">
        <v>6563</v>
      </c>
      <c r="C705" s="3" t="s">
        <v>6564</v>
      </c>
      <c r="D705" s="3" t="s">
        <v>6173</v>
      </c>
      <c r="E705" s="4" t="s">
        <v>6565</v>
      </c>
      <c r="F705" s="3" t="s">
        <v>6490</v>
      </c>
      <c r="G705" s="4" t="s">
        <v>6566</v>
      </c>
      <c r="H705" s="4" t="s">
        <v>6567</v>
      </c>
      <c r="I705" s="3" t="s">
        <v>49</v>
      </c>
      <c r="J705" s="3" t="s">
        <v>126</v>
      </c>
      <c r="K705" s="3" t="s">
        <v>45</v>
      </c>
      <c r="L705" s="3" t="s">
        <v>6568</v>
      </c>
      <c r="M705" s="3" t="s">
        <v>45</v>
      </c>
      <c r="N705" s="4" t="s">
        <v>4277</v>
      </c>
      <c r="O705" s="3" t="s">
        <v>88</v>
      </c>
      <c r="P705" s="3" t="s">
        <v>45</v>
      </c>
      <c r="Q705" s="3" t="s">
        <v>45</v>
      </c>
      <c r="R705" s="3" t="s">
        <v>45</v>
      </c>
      <c r="S705" s="3" t="s">
        <v>45</v>
      </c>
      <c r="T705" s="3" t="s">
        <v>45</v>
      </c>
      <c r="U705" s="3" t="s">
        <v>45</v>
      </c>
      <c r="V705" s="3" t="s">
        <v>45</v>
      </c>
      <c r="W705" s="4" t="s">
        <v>102</v>
      </c>
      <c r="X705" s="3" t="s">
        <v>305</v>
      </c>
      <c r="Y705" s="3" t="s">
        <v>45</v>
      </c>
      <c r="Z705" s="3" t="s">
        <v>74</v>
      </c>
      <c r="AA705" s="3" t="s">
        <v>45</v>
      </c>
      <c r="AB705" s="3" t="s">
        <v>45</v>
      </c>
      <c r="AC705" s="3" t="s">
        <v>45</v>
      </c>
      <c r="AD705" s="3" t="s">
        <v>45</v>
      </c>
      <c r="AE705" s="3" t="s">
        <v>45</v>
      </c>
      <c r="AF705" s="3" t="s">
        <v>45</v>
      </c>
      <c r="AG705" s="3" t="s">
        <v>6569</v>
      </c>
      <c r="AH705" s="3" t="s">
        <v>57</v>
      </c>
      <c r="AI705" s="5" t="s">
        <v>6570</v>
      </c>
      <c r="AJ705" s="5" t="s">
        <v>6571</v>
      </c>
      <c r="AK705" s="5" t="s">
        <v>6572</v>
      </c>
      <c r="AL705" s="5" t="s">
        <v>6573</v>
      </c>
      <c r="AM705" s="3" t="s">
        <v>45</v>
      </c>
      <c r="AN705" s="3" t="s">
        <v>45</v>
      </c>
      <c r="AO705" s="3" t="s">
        <v>45</v>
      </c>
      <c r="AP705" s="3" t="s">
        <v>45</v>
      </c>
      <c r="AQ705" s="4" t="s">
        <v>627</v>
      </c>
      <c r="AR705" s="4" t="s">
        <v>2252</v>
      </c>
    </row>
    <row r="706">
      <c r="A706" s="3" t="s">
        <v>6574</v>
      </c>
      <c r="B706" s="3" t="s">
        <v>45</v>
      </c>
      <c r="C706" s="3" t="s">
        <v>6575</v>
      </c>
      <c r="D706" s="3" t="s">
        <v>6173</v>
      </c>
      <c r="E706" s="4" t="s">
        <v>6576</v>
      </c>
      <c r="F706" s="3" t="s">
        <v>6577</v>
      </c>
      <c r="G706" s="4" t="s">
        <v>6578</v>
      </c>
      <c r="H706" s="4" t="s">
        <v>6579</v>
      </c>
      <c r="I706" s="3" t="s">
        <v>3729</v>
      </c>
      <c r="J706" s="3" t="s">
        <v>50</v>
      </c>
      <c r="K706" s="3" t="s">
        <v>45</v>
      </c>
      <c r="L706" s="3" t="s">
        <v>45</v>
      </c>
      <c r="M706" s="3" t="s">
        <v>45</v>
      </c>
      <c r="N706" s="3" t="s">
        <v>45</v>
      </c>
      <c r="O706" s="3" t="s">
        <v>74</v>
      </c>
      <c r="P706" s="3" t="s">
        <v>45</v>
      </c>
      <c r="Q706" s="3" t="s">
        <v>45</v>
      </c>
      <c r="R706" s="3" t="s">
        <v>45</v>
      </c>
      <c r="S706" s="3" t="s">
        <v>45</v>
      </c>
      <c r="T706" s="3" t="s">
        <v>45</v>
      </c>
      <c r="U706" s="3" t="s">
        <v>45</v>
      </c>
      <c r="V706" s="3" t="s">
        <v>45</v>
      </c>
      <c r="W706" s="3" t="s">
        <v>45</v>
      </c>
      <c r="X706" s="3" t="s">
        <v>45</v>
      </c>
      <c r="Y706" s="3" t="s">
        <v>45</v>
      </c>
      <c r="Z706" s="3" t="s">
        <v>55</v>
      </c>
      <c r="AA706" s="3" t="s">
        <v>45</v>
      </c>
      <c r="AB706" s="3" t="s">
        <v>45</v>
      </c>
      <c r="AC706" s="3" t="s">
        <v>45</v>
      </c>
      <c r="AD706" s="5" t="s">
        <v>6580</v>
      </c>
      <c r="AE706" s="3" t="s">
        <v>45</v>
      </c>
      <c r="AF706" s="3" t="s">
        <v>45</v>
      </c>
      <c r="AG706" s="3" t="s">
        <v>6552</v>
      </c>
      <c r="AH706" s="3" t="s">
        <v>6581</v>
      </c>
      <c r="AI706" s="5" t="s">
        <v>6582</v>
      </c>
      <c r="AJ706" s="3" t="s">
        <v>45</v>
      </c>
      <c r="AK706" s="3" t="s">
        <v>45</v>
      </c>
      <c r="AL706" s="3" t="s">
        <v>45</v>
      </c>
      <c r="AM706" s="3" t="s">
        <v>45</v>
      </c>
      <c r="AN706" s="3" t="s">
        <v>45</v>
      </c>
      <c r="AO706" s="3" t="s">
        <v>45</v>
      </c>
      <c r="AP706" s="3" t="s">
        <v>45</v>
      </c>
      <c r="AQ706" s="4" t="s">
        <v>6583</v>
      </c>
      <c r="AR706" s="4" t="s">
        <v>6583</v>
      </c>
    </row>
    <row r="707">
      <c r="A707" s="3" t="s">
        <v>6584</v>
      </c>
      <c r="B707" s="3" t="s">
        <v>6585</v>
      </c>
      <c r="C707" s="3" t="s">
        <v>6586</v>
      </c>
      <c r="D707" s="3" t="s">
        <v>6173</v>
      </c>
      <c r="E707" s="3" t="s">
        <v>45</v>
      </c>
      <c r="F707" s="3" t="s">
        <v>6199</v>
      </c>
      <c r="G707" s="4" t="s">
        <v>6587</v>
      </c>
      <c r="H707" s="4" t="s">
        <v>6588</v>
      </c>
      <c r="I707" s="3" t="s">
        <v>49</v>
      </c>
      <c r="J707" s="3" t="s">
        <v>50</v>
      </c>
      <c r="K707" s="3" t="s">
        <v>45</v>
      </c>
      <c r="L707" s="3" t="s">
        <v>45</v>
      </c>
      <c r="M707" s="3" t="s">
        <v>45</v>
      </c>
      <c r="N707" s="3" t="s">
        <v>45</v>
      </c>
      <c r="O707" s="3" t="s">
        <v>74</v>
      </c>
      <c r="P707" s="3" t="s">
        <v>45</v>
      </c>
      <c r="Q707" s="3" t="s">
        <v>45</v>
      </c>
      <c r="R707" s="3" t="s">
        <v>45</v>
      </c>
      <c r="S707" s="3" t="s">
        <v>45</v>
      </c>
      <c r="T707" s="3" t="s">
        <v>45</v>
      </c>
      <c r="U707" s="3" t="s">
        <v>45</v>
      </c>
      <c r="V707" s="3" t="s">
        <v>45</v>
      </c>
      <c r="W707" s="3" t="s">
        <v>45</v>
      </c>
      <c r="X707" s="3" t="s">
        <v>45</v>
      </c>
      <c r="Y707" s="3" t="s">
        <v>45</v>
      </c>
      <c r="Z707" s="3" t="s">
        <v>55</v>
      </c>
      <c r="AA707" s="3" t="s">
        <v>6589</v>
      </c>
      <c r="AB707" s="3" t="s">
        <v>109</v>
      </c>
      <c r="AC707" s="3" t="s">
        <v>45</v>
      </c>
      <c r="AD707" s="5" t="s">
        <v>6590</v>
      </c>
      <c r="AE707" s="3" t="s">
        <v>45</v>
      </c>
      <c r="AF707" s="3" t="s">
        <v>45</v>
      </c>
      <c r="AG707" s="3" t="s">
        <v>45</v>
      </c>
      <c r="AH707" s="3" t="s">
        <v>57</v>
      </c>
      <c r="AI707" s="5" t="s">
        <v>6591</v>
      </c>
      <c r="AJ707" s="3" t="s">
        <v>45</v>
      </c>
      <c r="AK707" s="3" t="s">
        <v>45</v>
      </c>
      <c r="AL707" s="3" t="s">
        <v>45</v>
      </c>
      <c r="AM707" s="3" t="s">
        <v>45</v>
      </c>
      <c r="AN707" s="3" t="s">
        <v>45</v>
      </c>
      <c r="AO707" s="3" t="s">
        <v>45</v>
      </c>
      <c r="AP707" s="3" t="s">
        <v>45</v>
      </c>
      <c r="AQ707" s="4" t="s">
        <v>799</v>
      </c>
      <c r="AR707" s="4" t="s">
        <v>799</v>
      </c>
    </row>
    <row r="708">
      <c r="A708" s="3" t="s">
        <v>6592</v>
      </c>
      <c r="B708" s="3" t="s">
        <v>6593</v>
      </c>
      <c r="C708" s="3" t="s">
        <v>6594</v>
      </c>
      <c r="D708" s="3" t="s">
        <v>6173</v>
      </c>
      <c r="E708" s="4" t="s">
        <v>6595</v>
      </c>
      <c r="F708" s="3" t="s">
        <v>3772</v>
      </c>
      <c r="G708" s="4" t="s">
        <v>6596</v>
      </c>
      <c r="H708" s="4" t="s">
        <v>6597</v>
      </c>
      <c r="I708" s="3" t="s">
        <v>218</v>
      </c>
      <c r="J708" s="3" t="s">
        <v>126</v>
      </c>
      <c r="K708" s="3" t="s">
        <v>45</v>
      </c>
      <c r="L708" s="3" t="s">
        <v>176</v>
      </c>
      <c r="M708" s="3" t="s">
        <v>45</v>
      </c>
      <c r="N708" s="3" t="s">
        <v>6598</v>
      </c>
      <c r="O708" s="3" t="s">
        <v>88</v>
      </c>
      <c r="P708" s="3" t="s">
        <v>45</v>
      </c>
      <c r="Q708" s="3" t="s">
        <v>45</v>
      </c>
      <c r="R708" s="3" t="s">
        <v>45</v>
      </c>
      <c r="S708" s="3" t="s">
        <v>45</v>
      </c>
      <c r="T708" s="3" t="s">
        <v>45</v>
      </c>
      <c r="U708" s="3" t="s">
        <v>45</v>
      </c>
      <c r="V708" s="3" t="s">
        <v>45</v>
      </c>
      <c r="W708" s="3" t="s">
        <v>45</v>
      </c>
      <c r="X708" s="3" t="s">
        <v>45</v>
      </c>
      <c r="Y708" s="3" t="s">
        <v>45</v>
      </c>
      <c r="Z708" s="3" t="s">
        <v>74</v>
      </c>
      <c r="AA708" s="3" t="s">
        <v>45</v>
      </c>
      <c r="AB708" s="3" t="s">
        <v>45</v>
      </c>
      <c r="AC708" s="3" t="s">
        <v>45</v>
      </c>
      <c r="AD708" s="3" t="s">
        <v>45</v>
      </c>
      <c r="AE708" s="3" t="s">
        <v>45</v>
      </c>
      <c r="AF708" s="3" t="s">
        <v>45</v>
      </c>
      <c r="AG708" s="3" t="s">
        <v>45</v>
      </c>
      <c r="AH708" s="3" t="s">
        <v>57</v>
      </c>
      <c r="AI708" s="5" t="s">
        <v>6599</v>
      </c>
      <c r="AJ708" s="3" t="s">
        <v>45</v>
      </c>
      <c r="AK708" s="3" t="s">
        <v>45</v>
      </c>
      <c r="AL708" s="3" t="s">
        <v>45</v>
      </c>
      <c r="AM708" s="3" t="s">
        <v>45</v>
      </c>
      <c r="AN708" s="3" t="s">
        <v>45</v>
      </c>
      <c r="AO708" s="3" t="s">
        <v>45</v>
      </c>
      <c r="AP708" s="3" t="s">
        <v>45</v>
      </c>
      <c r="AQ708" s="4" t="s">
        <v>2053</v>
      </c>
      <c r="AR708" s="4" t="s">
        <v>2053</v>
      </c>
    </row>
    <row r="709">
      <c r="A709" s="3" t="s">
        <v>6600</v>
      </c>
      <c r="B709" s="3" t="s">
        <v>6601</v>
      </c>
      <c r="C709" s="3" t="s">
        <v>6594</v>
      </c>
      <c r="D709" s="3" t="s">
        <v>6173</v>
      </c>
      <c r="E709" s="4" t="s">
        <v>6595</v>
      </c>
      <c r="F709" s="3" t="s">
        <v>6602</v>
      </c>
      <c r="G709" s="4" t="s">
        <v>6603</v>
      </c>
      <c r="H709" s="4" t="s">
        <v>6604</v>
      </c>
      <c r="I709" s="3" t="s">
        <v>85</v>
      </c>
      <c r="J709" s="3" t="s">
        <v>126</v>
      </c>
      <c r="K709" s="3" t="s">
        <v>45</v>
      </c>
      <c r="L709" s="3" t="s">
        <v>210</v>
      </c>
      <c r="M709" s="3" t="s">
        <v>45</v>
      </c>
      <c r="N709" s="3" t="s">
        <v>6605</v>
      </c>
      <c r="O709" s="3" t="s">
        <v>70</v>
      </c>
      <c r="P709" s="3" t="s">
        <v>5378</v>
      </c>
      <c r="Q709" s="3" t="s">
        <v>6606</v>
      </c>
      <c r="R709" s="3" t="s">
        <v>45</v>
      </c>
      <c r="S709" s="3" t="s">
        <v>45</v>
      </c>
      <c r="T709" s="3" t="s">
        <v>45</v>
      </c>
      <c r="U709" s="3" t="s">
        <v>45</v>
      </c>
      <c r="V709" s="4" t="s">
        <v>6607</v>
      </c>
      <c r="W709" s="4" t="s">
        <v>6608</v>
      </c>
      <c r="X709" s="3" t="s">
        <v>45</v>
      </c>
      <c r="Y709" s="3" t="s">
        <v>45</v>
      </c>
      <c r="Z709" s="3" t="s">
        <v>74</v>
      </c>
      <c r="AA709" s="3" t="s">
        <v>45</v>
      </c>
      <c r="AB709" s="3" t="s">
        <v>45</v>
      </c>
      <c r="AC709" s="3" t="s">
        <v>45</v>
      </c>
      <c r="AD709" s="3" t="s">
        <v>45</v>
      </c>
      <c r="AE709" s="3" t="s">
        <v>45</v>
      </c>
      <c r="AF709" s="3" t="s">
        <v>45</v>
      </c>
      <c r="AG709" s="3" t="s">
        <v>6609</v>
      </c>
      <c r="AH709" s="3" t="s">
        <v>57</v>
      </c>
      <c r="AI709" s="5" t="s">
        <v>6610</v>
      </c>
      <c r="AJ709" s="5" t="s">
        <v>362</v>
      </c>
      <c r="AK709" s="5" t="s">
        <v>6611</v>
      </c>
      <c r="AL709" s="5" t="s">
        <v>6612</v>
      </c>
      <c r="AM709" s="5" t="s">
        <v>6613</v>
      </c>
      <c r="AN709" s="5" t="s">
        <v>6614</v>
      </c>
      <c r="AO709" s="5" t="s">
        <v>6615</v>
      </c>
      <c r="AP709" s="3" t="s">
        <v>45</v>
      </c>
      <c r="AQ709" s="4" t="s">
        <v>2509</v>
      </c>
      <c r="AR709" s="4" t="s">
        <v>2252</v>
      </c>
    </row>
    <row r="710">
      <c r="A710" s="3" t="s">
        <v>6616</v>
      </c>
      <c r="B710" s="3" t="s">
        <v>6617</v>
      </c>
      <c r="C710" s="3" t="s">
        <v>6618</v>
      </c>
      <c r="D710" s="3" t="s">
        <v>6173</v>
      </c>
      <c r="E710" s="4" t="s">
        <v>6619</v>
      </c>
      <c r="F710" s="3" t="s">
        <v>6577</v>
      </c>
      <c r="G710" s="4" t="s">
        <v>6620</v>
      </c>
      <c r="H710" s="4" t="s">
        <v>6621</v>
      </c>
      <c r="I710" s="3" t="s">
        <v>49</v>
      </c>
      <c r="J710" s="3" t="s">
        <v>50</v>
      </c>
      <c r="K710" s="3" t="s">
        <v>45</v>
      </c>
      <c r="L710" s="3" t="s">
        <v>45</v>
      </c>
      <c r="M710" s="3" t="s">
        <v>45</v>
      </c>
      <c r="N710" s="3" t="s">
        <v>45</v>
      </c>
      <c r="O710" s="3" t="s">
        <v>74</v>
      </c>
      <c r="P710" s="3" t="s">
        <v>45</v>
      </c>
      <c r="Q710" s="3" t="s">
        <v>45</v>
      </c>
      <c r="R710" s="3" t="s">
        <v>45</v>
      </c>
      <c r="S710" s="3" t="s">
        <v>45</v>
      </c>
      <c r="T710" s="3" t="s">
        <v>45</v>
      </c>
      <c r="U710" s="3" t="s">
        <v>45</v>
      </c>
      <c r="V710" s="3" t="s">
        <v>45</v>
      </c>
      <c r="W710" s="4" t="s">
        <v>2982</v>
      </c>
      <c r="X710" s="3" t="s">
        <v>45</v>
      </c>
      <c r="Y710" s="3" t="s">
        <v>45</v>
      </c>
      <c r="Z710" s="3" t="s">
        <v>74</v>
      </c>
      <c r="AA710" s="3" t="s">
        <v>45</v>
      </c>
      <c r="AB710" s="3" t="s">
        <v>45</v>
      </c>
      <c r="AC710" s="3" t="s">
        <v>45</v>
      </c>
      <c r="AD710" s="3" t="s">
        <v>45</v>
      </c>
      <c r="AE710" s="3" t="s">
        <v>45</v>
      </c>
      <c r="AF710" s="3" t="s">
        <v>45</v>
      </c>
      <c r="AG710" s="3" t="s">
        <v>45</v>
      </c>
      <c r="AH710" s="3" t="s">
        <v>57</v>
      </c>
      <c r="AI710" s="5" t="s">
        <v>6622</v>
      </c>
      <c r="AJ710" s="3" t="s">
        <v>45</v>
      </c>
      <c r="AK710" s="3" t="s">
        <v>45</v>
      </c>
      <c r="AL710" s="3" t="s">
        <v>45</v>
      </c>
      <c r="AM710" s="3" t="s">
        <v>45</v>
      </c>
      <c r="AN710" s="3" t="s">
        <v>45</v>
      </c>
      <c r="AO710" s="3" t="s">
        <v>45</v>
      </c>
      <c r="AP710" s="3" t="s">
        <v>45</v>
      </c>
      <c r="AQ710" s="4" t="s">
        <v>1260</v>
      </c>
      <c r="AR710" s="4" t="s">
        <v>1260</v>
      </c>
    </row>
    <row r="711">
      <c r="A711" s="3" t="s">
        <v>6332</v>
      </c>
      <c r="B711" s="3" t="s">
        <v>6623</v>
      </c>
      <c r="C711" s="3" t="s">
        <v>6624</v>
      </c>
      <c r="D711" s="3" t="s">
        <v>6173</v>
      </c>
      <c r="E711" s="4" t="s">
        <v>6625</v>
      </c>
      <c r="F711" s="3" t="s">
        <v>6445</v>
      </c>
      <c r="G711" s="4" t="s">
        <v>6626</v>
      </c>
      <c r="H711" s="4" t="s">
        <v>6627</v>
      </c>
      <c r="I711" s="3" t="s">
        <v>49</v>
      </c>
      <c r="J711" s="3" t="s">
        <v>126</v>
      </c>
      <c r="K711" s="3" t="s">
        <v>45</v>
      </c>
      <c r="L711" s="3" t="s">
        <v>659</v>
      </c>
      <c r="M711" s="3" t="s">
        <v>45</v>
      </c>
      <c r="N711" s="3" t="s">
        <v>45</v>
      </c>
      <c r="O711" s="3" t="s">
        <v>74</v>
      </c>
      <c r="P711" s="3" t="s">
        <v>45</v>
      </c>
      <c r="Q711" s="3" t="s">
        <v>45</v>
      </c>
      <c r="R711" s="3" t="s">
        <v>45</v>
      </c>
      <c r="S711" s="4" t="s">
        <v>835</v>
      </c>
      <c r="T711" s="3" t="s">
        <v>105</v>
      </c>
      <c r="U711" s="3" t="s">
        <v>45</v>
      </c>
      <c r="V711" s="3" t="s">
        <v>45</v>
      </c>
      <c r="W711" s="4" t="s">
        <v>6214</v>
      </c>
      <c r="X711" s="3" t="s">
        <v>45</v>
      </c>
      <c r="Y711" s="3" t="s">
        <v>45</v>
      </c>
      <c r="Z711" s="3" t="s">
        <v>55</v>
      </c>
      <c r="AA711" s="3" t="s">
        <v>45</v>
      </c>
      <c r="AB711" s="3" t="s">
        <v>109</v>
      </c>
      <c r="AC711" s="3" t="s">
        <v>45</v>
      </c>
      <c r="AD711" s="3" t="s">
        <v>45</v>
      </c>
      <c r="AE711" s="3" t="s">
        <v>45</v>
      </c>
      <c r="AF711" s="3" t="s">
        <v>45</v>
      </c>
      <c r="AG711" s="3" t="s">
        <v>6628</v>
      </c>
      <c r="AH711" s="3" t="s">
        <v>57</v>
      </c>
      <c r="AI711" s="5" t="s">
        <v>6629</v>
      </c>
      <c r="AJ711" s="3" t="s">
        <v>45</v>
      </c>
      <c r="AK711" s="3" t="s">
        <v>45</v>
      </c>
      <c r="AL711" s="3" t="s">
        <v>45</v>
      </c>
      <c r="AM711" s="3" t="s">
        <v>45</v>
      </c>
      <c r="AN711" s="3" t="s">
        <v>45</v>
      </c>
      <c r="AO711" s="3" t="s">
        <v>45</v>
      </c>
      <c r="AP711" s="3" t="s">
        <v>45</v>
      </c>
      <c r="AQ711" s="4" t="s">
        <v>1016</v>
      </c>
      <c r="AR711" s="4" t="s">
        <v>1016</v>
      </c>
    </row>
    <row r="712">
      <c r="A712" s="3" t="s">
        <v>6630</v>
      </c>
      <c r="B712" s="3" t="s">
        <v>6631</v>
      </c>
      <c r="C712" s="3" t="s">
        <v>6624</v>
      </c>
      <c r="D712" s="3" t="s">
        <v>6173</v>
      </c>
      <c r="E712" s="4" t="s">
        <v>6625</v>
      </c>
      <c r="F712" s="3" t="s">
        <v>6445</v>
      </c>
      <c r="G712" s="4" t="s">
        <v>6632</v>
      </c>
      <c r="H712" s="4" t="s">
        <v>6633</v>
      </c>
      <c r="I712" s="3" t="s">
        <v>49</v>
      </c>
      <c r="J712" s="3" t="s">
        <v>126</v>
      </c>
      <c r="K712" s="3" t="s">
        <v>45</v>
      </c>
      <c r="L712" s="3" t="s">
        <v>45</v>
      </c>
      <c r="M712" s="3" t="s">
        <v>45</v>
      </c>
      <c r="N712" s="3" t="s">
        <v>45</v>
      </c>
      <c r="O712" s="3" t="s">
        <v>74</v>
      </c>
      <c r="P712" s="3" t="s">
        <v>45</v>
      </c>
      <c r="Q712" s="3" t="s">
        <v>45</v>
      </c>
      <c r="R712" s="3" t="s">
        <v>45</v>
      </c>
      <c r="S712" s="4" t="s">
        <v>275</v>
      </c>
      <c r="T712" s="3" t="s">
        <v>45</v>
      </c>
      <c r="U712" s="3" t="s">
        <v>45</v>
      </c>
      <c r="V712" s="4" t="s">
        <v>6634</v>
      </c>
      <c r="W712" s="4" t="s">
        <v>6635</v>
      </c>
      <c r="X712" s="3" t="s">
        <v>45</v>
      </c>
      <c r="Y712" s="3" t="s">
        <v>45</v>
      </c>
      <c r="Z712" s="3" t="s">
        <v>45</v>
      </c>
      <c r="AA712" s="3" t="s">
        <v>45</v>
      </c>
      <c r="AB712" s="3" t="s">
        <v>45</v>
      </c>
      <c r="AC712" s="3" t="s">
        <v>45</v>
      </c>
      <c r="AD712" s="3" t="s">
        <v>45</v>
      </c>
      <c r="AE712" s="3" t="s">
        <v>45</v>
      </c>
      <c r="AF712" s="3" t="s">
        <v>45</v>
      </c>
      <c r="AG712" s="3" t="s">
        <v>45</v>
      </c>
      <c r="AH712" s="3" t="s">
        <v>57</v>
      </c>
      <c r="AI712" s="5" t="s">
        <v>6636</v>
      </c>
      <c r="AJ712" s="3" t="s">
        <v>45</v>
      </c>
      <c r="AK712" s="3" t="s">
        <v>45</v>
      </c>
      <c r="AL712" s="3" t="s">
        <v>45</v>
      </c>
      <c r="AM712" s="3" t="s">
        <v>45</v>
      </c>
      <c r="AN712" s="3" t="s">
        <v>45</v>
      </c>
      <c r="AO712" s="3" t="s">
        <v>45</v>
      </c>
      <c r="AP712" s="3" t="s">
        <v>45</v>
      </c>
      <c r="AQ712" s="4" t="s">
        <v>1016</v>
      </c>
      <c r="AR712" s="4" t="s">
        <v>1016</v>
      </c>
    </row>
    <row r="713">
      <c r="A713" s="3" t="s">
        <v>6637</v>
      </c>
      <c r="B713" s="3" t="s">
        <v>6638</v>
      </c>
      <c r="C713" s="3" t="s">
        <v>6639</v>
      </c>
      <c r="D713" s="3" t="s">
        <v>6173</v>
      </c>
      <c r="E713" s="4" t="s">
        <v>6640</v>
      </c>
      <c r="F713" s="3" t="s">
        <v>6641</v>
      </c>
      <c r="G713" s="4" t="s">
        <v>6642</v>
      </c>
      <c r="H713" s="4" t="s">
        <v>6643</v>
      </c>
      <c r="I713" s="3" t="s">
        <v>218</v>
      </c>
      <c r="J713" s="3" t="s">
        <v>50</v>
      </c>
      <c r="K713" s="3" t="s">
        <v>743</v>
      </c>
      <c r="L713" s="3" t="s">
        <v>6644</v>
      </c>
      <c r="M713" s="3" t="s">
        <v>45</v>
      </c>
      <c r="N713" s="4" t="s">
        <v>6645</v>
      </c>
      <c r="O713" s="3" t="s">
        <v>70</v>
      </c>
      <c r="P713" s="3" t="s">
        <v>71</v>
      </c>
      <c r="Q713" s="3" t="s">
        <v>55</v>
      </c>
      <c r="R713" s="3" t="s">
        <v>45</v>
      </c>
      <c r="S713" s="3" t="s">
        <v>45</v>
      </c>
      <c r="T713" s="3" t="s">
        <v>45</v>
      </c>
      <c r="U713" s="3" t="s">
        <v>45</v>
      </c>
      <c r="V713" s="3" t="s">
        <v>45</v>
      </c>
      <c r="W713" s="4" t="s">
        <v>6646</v>
      </c>
      <c r="X713" s="3" t="s">
        <v>5212</v>
      </c>
      <c r="Y713" s="4" t="s">
        <v>73</v>
      </c>
      <c r="Z713" s="3" t="s">
        <v>74</v>
      </c>
      <c r="AA713" s="3" t="s">
        <v>45</v>
      </c>
      <c r="AB713" s="3" t="s">
        <v>45</v>
      </c>
      <c r="AC713" s="3" t="s">
        <v>45</v>
      </c>
      <c r="AD713" s="3" t="s">
        <v>45</v>
      </c>
      <c r="AE713" s="3" t="s">
        <v>45</v>
      </c>
      <c r="AF713" s="3" t="s">
        <v>45</v>
      </c>
      <c r="AG713" s="3" t="s">
        <v>6647</v>
      </c>
      <c r="AH713" s="3" t="s">
        <v>57</v>
      </c>
      <c r="AI713" s="5" t="s">
        <v>6648</v>
      </c>
      <c r="AJ713" s="5" t="s">
        <v>6649</v>
      </c>
      <c r="AK713" s="5" t="s">
        <v>6650</v>
      </c>
      <c r="AL713" s="5" t="s">
        <v>6651</v>
      </c>
      <c r="AM713" s="5" t="s">
        <v>6652</v>
      </c>
      <c r="AN713" s="3" t="s">
        <v>45</v>
      </c>
      <c r="AO713" s="3" t="s">
        <v>45</v>
      </c>
      <c r="AP713" s="3" t="s">
        <v>45</v>
      </c>
      <c r="AQ713" s="4" t="s">
        <v>2037</v>
      </c>
      <c r="AR713" s="4" t="s">
        <v>3183</v>
      </c>
    </row>
    <row r="714">
      <c r="A714" s="3" t="s">
        <v>6653</v>
      </c>
      <c r="B714" s="3" t="s">
        <v>6654</v>
      </c>
      <c r="C714" s="3" t="s">
        <v>6655</v>
      </c>
      <c r="D714" s="3" t="s">
        <v>6173</v>
      </c>
      <c r="E714" s="4" t="s">
        <v>6656</v>
      </c>
      <c r="F714" s="3" t="s">
        <v>1263</v>
      </c>
      <c r="G714" s="4" t="s">
        <v>6657</v>
      </c>
      <c r="H714" s="4" t="s">
        <v>6658</v>
      </c>
      <c r="I714" s="3" t="s">
        <v>49</v>
      </c>
      <c r="J714" s="3" t="s">
        <v>50</v>
      </c>
      <c r="K714" s="3" t="s">
        <v>45</v>
      </c>
      <c r="L714" s="3" t="s">
        <v>6659</v>
      </c>
      <c r="M714" s="3" t="s">
        <v>45</v>
      </c>
      <c r="N714" s="3" t="s">
        <v>45</v>
      </c>
      <c r="O714" s="3" t="s">
        <v>88</v>
      </c>
      <c r="P714" s="3" t="s">
        <v>45</v>
      </c>
      <c r="Q714" s="3" t="s">
        <v>45</v>
      </c>
      <c r="R714" s="3" t="s">
        <v>45</v>
      </c>
      <c r="S714" s="4" t="s">
        <v>233</v>
      </c>
      <c r="T714" s="3" t="s">
        <v>105</v>
      </c>
      <c r="U714" s="3" t="s">
        <v>45</v>
      </c>
      <c r="V714" s="4" t="s">
        <v>2937</v>
      </c>
      <c r="W714" s="4" t="s">
        <v>6660</v>
      </c>
      <c r="X714" s="3" t="s">
        <v>45</v>
      </c>
      <c r="Y714" s="4" t="s">
        <v>957</v>
      </c>
      <c r="Z714" s="3" t="s">
        <v>74</v>
      </c>
      <c r="AA714" s="3" t="s">
        <v>45</v>
      </c>
      <c r="AB714" s="3" t="s">
        <v>45</v>
      </c>
      <c r="AC714" s="3" t="s">
        <v>45</v>
      </c>
      <c r="AD714" s="3" t="s">
        <v>45</v>
      </c>
      <c r="AE714" s="3" t="s">
        <v>45</v>
      </c>
      <c r="AF714" s="3" t="s">
        <v>45</v>
      </c>
      <c r="AG714" s="3" t="s">
        <v>6661</v>
      </c>
      <c r="AH714" s="3" t="s">
        <v>57</v>
      </c>
      <c r="AI714" s="5" t="s">
        <v>6662</v>
      </c>
      <c r="AJ714" s="5" t="s">
        <v>6663</v>
      </c>
      <c r="AK714" s="5" t="s">
        <v>6572</v>
      </c>
      <c r="AL714" s="3" t="s">
        <v>45</v>
      </c>
      <c r="AM714" s="3" t="s">
        <v>45</v>
      </c>
      <c r="AN714" s="3" t="s">
        <v>45</v>
      </c>
      <c r="AO714" s="3" t="s">
        <v>45</v>
      </c>
      <c r="AP714" s="3" t="s">
        <v>45</v>
      </c>
      <c r="AQ714" s="4" t="s">
        <v>3108</v>
      </c>
      <c r="AR714" s="4" t="s">
        <v>3108</v>
      </c>
    </row>
    <row r="715">
      <c r="A715" s="3" t="s">
        <v>6664</v>
      </c>
      <c r="B715" s="3" t="s">
        <v>6665</v>
      </c>
      <c r="C715" s="3" t="s">
        <v>6666</v>
      </c>
      <c r="D715" s="3" t="s">
        <v>6173</v>
      </c>
      <c r="E715" s="4" t="s">
        <v>6667</v>
      </c>
      <c r="F715" s="3" t="s">
        <v>5910</v>
      </c>
      <c r="G715" s="4" t="s">
        <v>6668</v>
      </c>
      <c r="H715" s="4" t="s">
        <v>6669</v>
      </c>
      <c r="I715" s="3" t="s">
        <v>49</v>
      </c>
      <c r="J715" s="3" t="s">
        <v>126</v>
      </c>
      <c r="K715" s="3" t="s">
        <v>45</v>
      </c>
      <c r="L715" s="3" t="s">
        <v>45</v>
      </c>
      <c r="M715" s="3" t="s">
        <v>45</v>
      </c>
      <c r="N715" s="3" t="s">
        <v>45</v>
      </c>
      <c r="O715" s="3" t="s">
        <v>74</v>
      </c>
      <c r="P715" s="3" t="s">
        <v>45</v>
      </c>
      <c r="Q715" s="3" t="s">
        <v>45</v>
      </c>
      <c r="R715" s="3" t="s">
        <v>45</v>
      </c>
      <c r="S715" s="3" t="s">
        <v>45</v>
      </c>
      <c r="T715" s="3" t="s">
        <v>45</v>
      </c>
      <c r="U715" s="3" t="s">
        <v>45</v>
      </c>
      <c r="V715" s="3" t="s">
        <v>45</v>
      </c>
      <c r="W715" s="4" t="s">
        <v>2908</v>
      </c>
      <c r="X715" s="3" t="s">
        <v>45</v>
      </c>
      <c r="Y715" s="3" t="s">
        <v>45</v>
      </c>
      <c r="Z715" s="3" t="s">
        <v>74</v>
      </c>
      <c r="AA715" s="3" t="s">
        <v>45</v>
      </c>
      <c r="AB715" s="3" t="s">
        <v>45</v>
      </c>
      <c r="AC715" s="3" t="s">
        <v>45</v>
      </c>
      <c r="AD715" s="3" t="s">
        <v>45</v>
      </c>
      <c r="AE715" s="3" t="s">
        <v>45</v>
      </c>
      <c r="AF715" s="3" t="s">
        <v>45</v>
      </c>
      <c r="AG715" s="3" t="s">
        <v>45</v>
      </c>
      <c r="AH715" s="3" t="s">
        <v>57</v>
      </c>
      <c r="AI715" s="5" t="s">
        <v>6670</v>
      </c>
      <c r="AJ715" s="3" t="s">
        <v>45</v>
      </c>
      <c r="AK715" s="3" t="s">
        <v>45</v>
      </c>
      <c r="AL715" s="3" t="s">
        <v>45</v>
      </c>
      <c r="AM715" s="3" t="s">
        <v>45</v>
      </c>
      <c r="AN715" s="3" t="s">
        <v>45</v>
      </c>
      <c r="AO715" s="3" t="s">
        <v>45</v>
      </c>
      <c r="AP715" s="3" t="s">
        <v>45</v>
      </c>
      <c r="AQ715" s="4" t="s">
        <v>661</v>
      </c>
      <c r="AR715" s="4" t="s">
        <v>661</v>
      </c>
    </row>
    <row r="716">
      <c r="A716" s="3" t="s">
        <v>6671</v>
      </c>
      <c r="B716" s="3" t="s">
        <v>6672</v>
      </c>
      <c r="C716" s="3" t="s">
        <v>6673</v>
      </c>
      <c r="D716" s="3" t="s">
        <v>6173</v>
      </c>
      <c r="E716" s="4" t="s">
        <v>6674</v>
      </c>
      <c r="F716" s="3" t="s">
        <v>3581</v>
      </c>
      <c r="G716" s="4" t="s">
        <v>6675</v>
      </c>
      <c r="H716" s="4" t="s">
        <v>6676</v>
      </c>
      <c r="I716" s="3" t="s">
        <v>49</v>
      </c>
      <c r="J716" s="3" t="s">
        <v>126</v>
      </c>
      <c r="K716" s="3" t="s">
        <v>45</v>
      </c>
      <c r="L716" s="3" t="s">
        <v>479</v>
      </c>
      <c r="M716" s="3" t="s">
        <v>45</v>
      </c>
      <c r="N716" s="3" t="s">
        <v>45</v>
      </c>
      <c r="O716" s="3" t="s">
        <v>74</v>
      </c>
      <c r="P716" s="3" t="s">
        <v>45</v>
      </c>
      <c r="Q716" s="3" t="s">
        <v>45</v>
      </c>
      <c r="R716" s="3" t="s">
        <v>45</v>
      </c>
      <c r="S716" s="3" t="s">
        <v>45</v>
      </c>
      <c r="T716" s="3" t="s">
        <v>45</v>
      </c>
      <c r="U716" s="3" t="s">
        <v>45</v>
      </c>
      <c r="V716" s="3" t="s">
        <v>45</v>
      </c>
      <c r="W716" s="3" t="s">
        <v>45</v>
      </c>
      <c r="X716" s="3" t="s">
        <v>5016</v>
      </c>
      <c r="Y716" s="3" t="s">
        <v>45</v>
      </c>
      <c r="Z716" s="3" t="s">
        <v>74</v>
      </c>
      <c r="AA716" s="3" t="s">
        <v>45</v>
      </c>
      <c r="AB716" s="3" t="s">
        <v>45</v>
      </c>
      <c r="AC716" s="3" t="s">
        <v>45</v>
      </c>
      <c r="AD716" s="3" t="s">
        <v>45</v>
      </c>
      <c r="AE716" s="3" t="s">
        <v>45</v>
      </c>
      <c r="AF716" s="3" t="s">
        <v>45</v>
      </c>
      <c r="AG716" s="3" t="s">
        <v>6677</v>
      </c>
      <c r="AH716" s="3" t="s">
        <v>57</v>
      </c>
      <c r="AI716" s="5" t="s">
        <v>6678</v>
      </c>
      <c r="AJ716" s="5" t="s">
        <v>6679</v>
      </c>
      <c r="AK716" s="3" t="s">
        <v>45</v>
      </c>
      <c r="AL716" s="3" t="s">
        <v>45</v>
      </c>
      <c r="AM716" s="3" t="s">
        <v>45</v>
      </c>
      <c r="AN716" s="3" t="s">
        <v>45</v>
      </c>
      <c r="AO716" s="3" t="s">
        <v>45</v>
      </c>
      <c r="AP716" s="3" t="s">
        <v>45</v>
      </c>
      <c r="AQ716" s="4" t="s">
        <v>365</v>
      </c>
      <c r="AR716" s="4" t="s">
        <v>365</v>
      </c>
    </row>
    <row r="717">
      <c r="A717" s="3" t="s">
        <v>6680</v>
      </c>
      <c r="B717" s="3" t="s">
        <v>6681</v>
      </c>
      <c r="C717" s="3" t="s">
        <v>6682</v>
      </c>
      <c r="D717" s="3" t="s">
        <v>6173</v>
      </c>
      <c r="E717" s="4" t="s">
        <v>6683</v>
      </c>
      <c r="F717" s="3" t="s">
        <v>6385</v>
      </c>
      <c r="G717" s="4" t="s">
        <v>6684</v>
      </c>
      <c r="H717" s="4" t="s">
        <v>6685</v>
      </c>
      <c r="I717" s="3" t="s">
        <v>49</v>
      </c>
      <c r="J717" s="3" t="s">
        <v>126</v>
      </c>
      <c r="K717" s="3" t="s">
        <v>45</v>
      </c>
      <c r="L717" s="3" t="s">
        <v>882</v>
      </c>
      <c r="M717" s="3" t="s">
        <v>45</v>
      </c>
      <c r="N717" s="4" t="s">
        <v>499</v>
      </c>
      <c r="O717" s="3" t="s">
        <v>88</v>
      </c>
      <c r="P717" s="3" t="s">
        <v>220</v>
      </c>
      <c r="Q717" s="3" t="s">
        <v>45</v>
      </c>
      <c r="R717" s="3" t="s">
        <v>45</v>
      </c>
      <c r="S717" s="4" t="s">
        <v>104</v>
      </c>
      <c r="T717" s="3" t="s">
        <v>45</v>
      </c>
      <c r="U717" s="3" t="s">
        <v>45</v>
      </c>
      <c r="V717" s="4" t="s">
        <v>106</v>
      </c>
      <c r="W717" s="4" t="s">
        <v>1934</v>
      </c>
      <c r="X717" s="3" t="s">
        <v>45</v>
      </c>
      <c r="Y717" s="3" t="s">
        <v>45</v>
      </c>
      <c r="Z717" s="3" t="s">
        <v>55</v>
      </c>
      <c r="AA717" s="3" t="s">
        <v>45</v>
      </c>
      <c r="AB717" s="3" t="s">
        <v>45</v>
      </c>
      <c r="AC717" s="3" t="s">
        <v>45</v>
      </c>
      <c r="AD717" s="5" t="s">
        <v>6686</v>
      </c>
      <c r="AE717" s="3" t="s">
        <v>45</v>
      </c>
      <c r="AF717" s="3" t="s">
        <v>45</v>
      </c>
      <c r="AG717" s="3" t="s">
        <v>45</v>
      </c>
      <c r="AH717" s="3" t="s">
        <v>840</v>
      </c>
      <c r="AI717" s="5" t="s">
        <v>6687</v>
      </c>
      <c r="AJ717" s="5" t="s">
        <v>6688</v>
      </c>
      <c r="AK717" s="5" t="s">
        <v>6689</v>
      </c>
      <c r="AL717" s="5" t="s">
        <v>6690</v>
      </c>
      <c r="AM717" s="3" t="s">
        <v>45</v>
      </c>
      <c r="AN717" s="3" t="s">
        <v>45</v>
      </c>
      <c r="AO717" s="3" t="s">
        <v>45</v>
      </c>
      <c r="AP717" s="3" t="s">
        <v>45</v>
      </c>
      <c r="AQ717" s="4" t="s">
        <v>6691</v>
      </c>
      <c r="AR717" s="4" t="s">
        <v>1387</v>
      </c>
    </row>
    <row r="718">
      <c r="A718" s="3" t="s">
        <v>6692</v>
      </c>
      <c r="B718" s="3" t="s">
        <v>6693</v>
      </c>
      <c r="C718" s="3" t="s">
        <v>6694</v>
      </c>
      <c r="D718" s="3" t="s">
        <v>6173</v>
      </c>
      <c r="E718" s="4" t="s">
        <v>6695</v>
      </c>
      <c r="F718" s="3" t="s">
        <v>3772</v>
      </c>
      <c r="G718" s="4" t="s">
        <v>6696</v>
      </c>
      <c r="H718" s="4" t="s">
        <v>6697</v>
      </c>
      <c r="I718" s="3" t="s">
        <v>85</v>
      </c>
      <c r="J718" s="3" t="s">
        <v>126</v>
      </c>
      <c r="K718" s="3" t="s">
        <v>45</v>
      </c>
      <c r="L718" s="3" t="s">
        <v>45</v>
      </c>
      <c r="M718" s="3" t="s">
        <v>45</v>
      </c>
      <c r="N718" s="4" t="s">
        <v>6698</v>
      </c>
      <c r="O718" s="3" t="s">
        <v>53</v>
      </c>
      <c r="P718" s="3" t="s">
        <v>45</v>
      </c>
      <c r="Q718" s="3" t="s">
        <v>45</v>
      </c>
      <c r="R718" s="3" t="s">
        <v>45</v>
      </c>
      <c r="S718" s="3" t="s">
        <v>45</v>
      </c>
      <c r="T718" s="3" t="s">
        <v>45</v>
      </c>
      <c r="U718" s="3" t="s">
        <v>45</v>
      </c>
      <c r="V718" s="4" t="s">
        <v>6699</v>
      </c>
      <c r="W718" s="3" t="s">
        <v>45</v>
      </c>
      <c r="X718" s="3" t="s">
        <v>45</v>
      </c>
      <c r="Y718" s="3" t="s">
        <v>45</v>
      </c>
      <c r="Z718" s="3" t="s">
        <v>74</v>
      </c>
      <c r="AA718" s="3" t="s">
        <v>45</v>
      </c>
      <c r="AB718" s="3" t="s">
        <v>45</v>
      </c>
      <c r="AC718" s="3" t="s">
        <v>45</v>
      </c>
      <c r="AD718" s="3" t="s">
        <v>45</v>
      </c>
      <c r="AE718" s="3" t="s">
        <v>45</v>
      </c>
      <c r="AF718" s="3" t="s">
        <v>45</v>
      </c>
      <c r="AG718" s="3" t="s">
        <v>45</v>
      </c>
      <c r="AH718" s="3" t="s">
        <v>57</v>
      </c>
      <c r="AI718" s="5" t="s">
        <v>6350</v>
      </c>
      <c r="AJ718" s="3" t="s">
        <v>45</v>
      </c>
      <c r="AK718" s="3" t="s">
        <v>45</v>
      </c>
      <c r="AL718" s="3" t="s">
        <v>45</v>
      </c>
      <c r="AM718" s="3" t="s">
        <v>45</v>
      </c>
      <c r="AN718" s="3" t="s">
        <v>45</v>
      </c>
      <c r="AO718" s="3" t="s">
        <v>45</v>
      </c>
      <c r="AP718" s="3" t="s">
        <v>45</v>
      </c>
      <c r="AQ718" s="4" t="s">
        <v>551</v>
      </c>
      <c r="AR718" s="4" t="s">
        <v>551</v>
      </c>
    </row>
    <row r="719">
      <c r="A719" s="3" t="s">
        <v>6700</v>
      </c>
      <c r="B719" s="3" t="s">
        <v>6701</v>
      </c>
      <c r="C719" s="3" t="s">
        <v>6702</v>
      </c>
      <c r="D719" s="3" t="s">
        <v>6173</v>
      </c>
      <c r="E719" s="4" t="s">
        <v>6703</v>
      </c>
      <c r="F719" s="3" t="s">
        <v>6704</v>
      </c>
      <c r="G719" s="4" t="s">
        <v>6705</v>
      </c>
      <c r="H719" s="4" t="s">
        <v>6706</v>
      </c>
      <c r="I719" s="3" t="s">
        <v>49</v>
      </c>
      <c r="J719" s="3" t="s">
        <v>126</v>
      </c>
      <c r="K719" s="3" t="s">
        <v>45</v>
      </c>
      <c r="L719" s="3" t="s">
        <v>6707</v>
      </c>
      <c r="M719" s="3" t="s">
        <v>45</v>
      </c>
      <c r="N719" s="4" t="s">
        <v>90</v>
      </c>
      <c r="O719" s="3" t="s">
        <v>88</v>
      </c>
      <c r="P719" s="3" t="s">
        <v>220</v>
      </c>
      <c r="Q719" s="3" t="s">
        <v>45</v>
      </c>
      <c r="R719" s="3" t="s">
        <v>45</v>
      </c>
      <c r="S719" s="3" t="s">
        <v>45</v>
      </c>
      <c r="T719" s="3" t="s">
        <v>45</v>
      </c>
      <c r="U719" s="3" t="s">
        <v>221</v>
      </c>
      <c r="V719" s="4" t="s">
        <v>6708</v>
      </c>
      <c r="W719" s="4" t="s">
        <v>879</v>
      </c>
      <c r="X719" s="3" t="s">
        <v>305</v>
      </c>
      <c r="Y719" s="3" t="s">
        <v>45</v>
      </c>
      <c r="Z719" s="3" t="s">
        <v>55</v>
      </c>
      <c r="AA719" s="3" t="s">
        <v>45</v>
      </c>
      <c r="AB719" s="3" t="s">
        <v>45</v>
      </c>
      <c r="AC719" s="3" t="s">
        <v>45</v>
      </c>
      <c r="AD719" s="3" t="s">
        <v>45</v>
      </c>
      <c r="AE719" s="3" t="s">
        <v>45</v>
      </c>
      <c r="AF719" s="5" t="s">
        <v>6709</v>
      </c>
      <c r="AG719" s="3" t="s">
        <v>45</v>
      </c>
      <c r="AH719" s="3" t="s">
        <v>840</v>
      </c>
      <c r="AI719" s="5" t="s">
        <v>6710</v>
      </c>
      <c r="AJ719" s="5" t="s">
        <v>6711</v>
      </c>
      <c r="AK719" s="3" t="s">
        <v>45</v>
      </c>
      <c r="AL719" s="3" t="s">
        <v>45</v>
      </c>
      <c r="AM719" s="3" t="s">
        <v>45</v>
      </c>
      <c r="AN719" s="3" t="s">
        <v>45</v>
      </c>
      <c r="AO719" s="3" t="s">
        <v>45</v>
      </c>
      <c r="AP719" s="3" t="s">
        <v>45</v>
      </c>
      <c r="AQ719" s="4" t="s">
        <v>1589</v>
      </c>
      <c r="AR719" s="4" t="s">
        <v>1589</v>
      </c>
    </row>
    <row r="720">
      <c r="A720" s="3" t="s">
        <v>6712</v>
      </c>
      <c r="B720" s="3" t="s">
        <v>6713</v>
      </c>
      <c r="C720" s="3" t="s">
        <v>2808</v>
      </c>
      <c r="D720" s="3" t="s">
        <v>6173</v>
      </c>
      <c r="E720" s="4" t="s">
        <v>6714</v>
      </c>
      <c r="F720" s="3" t="s">
        <v>6715</v>
      </c>
      <c r="G720" s="4" t="s">
        <v>6716</v>
      </c>
      <c r="H720" s="4" t="s">
        <v>6717</v>
      </c>
      <c r="I720" s="3" t="s">
        <v>49</v>
      </c>
      <c r="J720" s="3" t="s">
        <v>126</v>
      </c>
      <c r="K720" s="3" t="s">
        <v>45</v>
      </c>
      <c r="L720" s="3" t="s">
        <v>6718</v>
      </c>
      <c r="M720" s="3" t="s">
        <v>45</v>
      </c>
      <c r="N720" s="4" t="s">
        <v>622</v>
      </c>
      <c r="O720" s="3" t="s">
        <v>70</v>
      </c>
      <c r="P720" s="3" t="s">
        <v>6719</v>
      </c>
      <c r="Q720" s="3" t="s">
        <v>45</v>
      </c>
      <c r="R720" s="3" t="s">
        <v>45</v>
      </c>
      <c r="S720" s="3" t="s">
        <v>45</v>
      </c>
      <c r="T720" s="3" t="s">
        <v>45</v>
      </c>
      <c r="U720" s="3" t="s">
        <v>45</v>
      </c>
      <c r="V720" s="3" t="s">
        <v>45</v>
      </c>
      <c r="W720" s="3" t="s">
        <v>45</v>
      </c>
      <c r="X720" s="3" t="s">
        <v>643</v>
      </c>
      <c r="Y720" s="3" t="s">
        <v>45</v>
      </c>
      <c r="Z720" s="3" t="s">
        <v>55</v>
      </c>
      <c r="AA720" s="5" t="s">
        <v>6720</v>
      </c>
      <c r="AB720" s="3" t="s">
        <v>56</v>
      </c>
      <c r="AC720" s="3" t="s">
        <v>45</v>
      </c>
      <c r="AD720" s="3" t="s">
        <v>45</v>
      </c>
      <c r="AE720" s="3" t="s">
        <v>45</v>
      </c>
      <c r="AF720" s="3" t="s">
        <v>45</v>
      </c>
      <c r="AG720" s="3" t="s">
        <v>6721</v>
      </c>
      <c r="AH720" s="3" t="s">
        <v>57</v>
      </c>
      <c r="AI720" s="5" t="s">
        <v>6722</v>
      </c>
      <c r="AJ720" s="5" t="s">
        <v>6723</v>
      </c>
      <c r="AK720" s="5" t="s">
        <v>6724</v>
      </c>
      <c r="AL720" s="5" t="s">
        <v>6725</v>
      </c>
      <c r="AM720" s="3" t="s">
        <v>45</v>
      </c>
      <c r="AN720" s="3" t="s">
        <v>45</v>
      </c>
      <c r="AO720" s="3" t="s">
        <v>45</v>
      </c>
      <c r="AP720" s="3" t="s">
        <v>45</v>
      </c>
      <c r="AQ720" s="4" t="s">
        <v>5691</v>
      </c>
      <c r="AR720" s="4" t="s">
        <v>1387</v>
      </c>
    </row>
    <row r="721">
      <c r="A721" s="3" t="s">
        <v>6726</v>
      </c>
      <c r="B721" s="3" t="s">
        <v>6727</v>
      </c>
      <c r="C721" s="3" t="s">
        <v>6728</v>
      </c>
      <c r="D721" s="3" t="s">
        <v>6173</v>
      </c>
      <c r="E721" s="4" t="s">
        <v>6729</v>
      </c>
      <c r="F721" s="3" t="s">
        <v>3320</v>
      </c>
      <c r="G721" s="4" t="s">
        <v>6730</v>
      </c>
      <c r="H721" s="4" t="s">
        <v>6731</v>
      </c>
      <c r="I721" s="3" t="s">
        <v>245</v>
      </c>
      <c r="J721" s="3" t="s">
        <v>126</v>
      </c>
      <c r="K721" s="3" t="s">
        <v>6732</v>
      </c>
      <c r="L721" s="3" t="s">
        <v>479</v>
      </c>
      <c r="M721" s="3" t="s">
        <v>45</v>
      </c>
      <c r="N721" s="3" t="s">
        <v>6733</v>
      </c>
      <c r="O721" s="3" t="s">
        <v>88</v>
      </c>
      <c r="P721" s="3" t="s">
        <v>45</v>
      </c>
      <c r="Q721" s="3" t="s">
        <v>45</v>
      </c>
      <c r="R721" s="3" t="s">
        <v>45</v>
      </c>
      <c r="S721" s="3" t="s">
        <v>45</v>
      </c>
      <c r="T721" s="3" t="s">
        <v>45</v>
      </c>
      <c r="U721" s="3" t="s">
        <v>45</v>
      </c>
      <c r="V721" s="3" t="s">
        <v>45</v>
      </c>
      <c r="W721" s="4" t="s">
        <v>6734</v>
      </c>
      <c r="X721" s="3" t="s">
        <v>3303</v>
      </c>
      <c r="Y721" s="3" t="s">
        <v>45</v>
      </c>
      <c r="Z721" s="3" t="s">
        <v>55</v>
      </c>
      <c r="AA721" s="3" t="s">
        <v>6735</v>
      </c>
      <c r="AB721" s="3" t="s">
        <v>45</v>
      </c>
      <c r="AC721" s="3" t="s">
        <v>45</v>
      </c>
      <c r="AD721" s="5" t="s">
        <v>6736</v>
      </c>
      <c r="AE721" s="5" t="s">
        <v>6737</v>
      </c>
      <c r="AF721" s="3" t="s">
        <v>45</v>
      </c>
      <c r="AG721" s="3" t="s">
        <v>45</v>
      </c>
      <c r="AH721" s="3" t="s">
        <v>57</v>
      </c>
      <c r="AI721" s="5" t="s">
        <v>6738</v>
      </c>
      <c r="AJ721" s="5" t="s">
        <v>6739</v>
      </c>
      <c r="AK721" s="5" t="s">
        <v>6740</v>
      </c>
      <c r="AL721" s="3" t="s">
        <v>45</v>
      </c>
      <c r="AM721" s="5" t="s">
        <v>6741</v>
      </c>
      <c r="AN721" s="3" t="s">
        <v>45</v>
      </c>
      <c r="AO721" s="3" t="s">
        <v>45</v>
      </c>
      <c r="AP721" s="3" t="s">
        <v>45</v>
      </c>
      <c r="AQ721" s="4" t="s">
        <v>1728</v>
      </c>
      <c r="AR721" s="4" t="s">
        <v>1387</v>
      </c>
    </row>
    <row r="722">
      <c r="A722" s="3" t="s">
        <v>6742</v>
      </c>
      <c r="B722" s="3" t="s">
        <v>6743</v>
      </c>
      <c r="C722" s="3" t="s">
        <v>6744</v>
      </c>
      <c r="D722" s="3" t="s">
        <v>6745</v>
      </c>
      <c r="E722" s="4" t="s">
        <v>6746</v>
      </c>
      <c r="F722" s="3" t="s">
        <v>123</v>
      </c>
      <c r="G722" s="4" t="s">
        <v>6747</v>
      </c>
      <c r="H722" s="4" t="s">
        <v>6748</v>
      </c>
      <c r="I722" s="3" t="s">
        <v>49</v>
      </c>
      <c r="J722" s="3" t="s">
        <v>126</v>
      </c>
      <c r="K722" s="3" t="s">
        <v>45</v>
      </c>
      <c r="L722" s="3" t="s">
        <v>45</v>
      </c>
      <c r="M722" s="3" t="s">
        <v>45</v>
      </c>
      <c r="N722" s="3" t="s">
        <v>45</v>
      </c>
      <c r="O722" s="3" t="s">
        <v>74</v>
      </c>
      <c r="P722" s="3" t="s">
        <v>45</v>
      </c>
      <c r="Q722" s="3" t="s">
        <v>45</v>
      </c>
      <c r="R722" s="3" t="s">
        <v>45</v>
      </c>
      <c r="S722" s="3" t="s">
        <v>45</v>
      </c>
      <c r="T722" s="3" t="s">
        <v>45</v>
      </c>
      <c r="U722" s="3" t="s">
        <v>45</v>
      </c>
      <c r="V722" s="3" t="s">
        <v>45</v>
      </c>
      <c r="W722" s="3" t="s">
        <v>45</v>
      </c>
      <c r="X722" s="3" t="s">
        <v>45</v>
      </c>
      <c r="Y722" s="3" t="s">
        <v>45</v>
      </c>
      <c r="Z722" s="3" t="s">
        <v>74</v>
      </c>
      <c r="AA722" s="3" t="s">
        <v>45</v>
      </c>
      <c r="AB722" s="3" t="s">
        <v>45</v>
      </c>
      <c r="AC722" s="3" t="s">
        <v>45</v>
      </c>
      <c r="AD722" s="3" t="s">
        <v>45</v>
      </c>
      <c r="AE722" s="3" t="s">
        <v>45</v>
      </c>
      <c r="AF722" s="3" t="s">
        <v>45</v>
      </c>
      <c r="AG722" s="3" t="s">
        <v>6749</v>
      </c>
      <c r="AH722" s="3" t="s">
        <v>840</v>
      </c>
      <c r="AI722" s="5" t="s">
        <v>6750</v>
      </c>
      <c r="AJ722" s="3" t="s">
        <v>45</v>
      </c>
      <c r="AK722" s="3" t="s">
        <v>45</v>
      </c>
      <c r="AL722" s="3" t="s">
        <v>45</v>
      </c>
      <c r="AM722" s="3" t="s">
        <v>45</v>
      </c>
      <c r="AN722" s="3" t="s">
        <v>45</v>
      </c>
      <c r="AO722" s="3" t="s">
        <v>45</v>
      </c>
      <c r="AP722" s="3" t="s">
        <v>45</v>
      </c>
      <c r="AQ722" s="4" t="s">
        <v>1102</v>
      </c>
      <c r="AR722" s="4" t="s">
        <v>1102</v>
      </c>
    </row>
    <row r="723">
      <c r="A723" s="3" t="s">
        <v>6751</v>
      </c>
      <c r="B723" s="3" t="s">
        <v>45</v>
      </c>
      <c r="C723" s="3" t="s">
        <v>6752</v>
      </c>
      <c r="D723" s="3" t="s">
        <v>6745</v>
      </c>
      <c r="E723" s="4" t="s">
        <v>6753</v>
      </c>
      <c r="F723" s="3" t="s">
        <v>6577</v>
      </c>
      <c r="G723" s="4" t="s">
        <v>6754</v>
      </c>
      <c r="H723" s="4" t="s">
        <v>6755</v>
      </c>
      <c r="I723" s="3" t="s">
        <v>3729</v>
      </c>
      <c r="J723" s="3" t="s">
        <v>50</v>
      </c>
      <c r="K723" s="3" t="s">
        <v>45</v>
      </c>
      <c r="L723" s="3" t="s">
        <v>45</v>
      </c>
      <c r="M723" s="3" t="s">
        <v>45</v>
      </c>
      <c r="N723" s="3" t="s">
        <v>45</v>
      </c>
      <c r="O723" s="3" t="s">
        <v>88</v>
      </c>
      <c r="P723" s="3" t="s">
        <v>45</v>
      </c>
      <c r="Q723" s="3" t="s">
        <v>45</v>
      </c>
      <c r="R723" s="3" t="s">
        <v>45</v>
      </c>
      <c r="S723" s="3" t="s">
        <v>45</v>
      </c>
      <c r="T723" s="3" t="s">
        <v>45</v>
      </c>
      <c r="U723" s="3" t="s">
        <v>45</v>
      </c>
      <c r="V723" s="3" t="s">
        <v>45</v>
      </c>
      <c r="W723" s="3" t="s">
        <v>45</v>
      </c>
      <c r="X723" s="3" t="s">
        <v>45</v>
      </c>
      <c r="Y723" s="3" t="s">
        <v>45</v>
      </c>
      <c r="Z723" s="3" t="s">
        <v>55</v>
      </c>
      <c r="AA723" s="3" t="s">
        <v>45</v>
      </c>
      <c r="AB723" s="3" t="s">
        <v>45</v>
      </c>
      <c r="AC723" s="3" t="s">
        <v>45</v>
      </c>
      <c r="AD723" s="5" t="s">
        <v>6580</v>
      </c>
      <c r="AE723" s="3" t="s">
        <v>45</v>
      </c>
      <c r="AF723" s="3" t="s">
        <v>45</v>
      </c>
      <c r="AG723" s="3" t="s">
        <v>6756</v>
      </c>
      <c r="AH723" s="3" t="s">
        <v>6581</v>
      </c>
      <c r="AI723" s="5" t="s">
        <v>6757</v>
      </c>
      <c r="AJ723" s="3" t="s">
        <v>45</v>
      </c>
      <c r="AK723" s="3" t="s">
        <v>45</v>
      </c>
      <c r="AL723" s="3" t="s">
        <v>45</v>
      </c>
      <c r="AM723" s="3" t="s">
        <v>45</v>
      </c>
      <c r="AN723" s="3" t="s">
        <v>45</v>
      </c>
      <c r="AO723" s="3" t="s">
        <v>45</v>
      </c>
      <c r="AP723" s="3" t="s">
        <v>45</v>
      </c>
      <c r="AQ723" s="4" t="s">
        <v>6583</v>
      </c>
      <c r="AR723" s="4" t="s">
        <v>6583</v>
      </c>
    </row>
    <row r="724">
      <c r="A724" s="3" t="s">
        <v>6758</v>
      </c>
      <c r="B724" s="3" t="s">
        <v>6759</v>
      </c>
      <c r="C724" s="3" t="s">
        <v>6760</v>
      </c>
      <c r="D724" s="3" t="s">
        <v>6761</v>
      </c>
      <c r="E724" s="3" t="s">
        <v>45</v>
      </c>
      <c r="F724" s="3" t="s">
        <v>6762</v>
      </c>
      <c r="G724" s="4" t="s">
        <v>6763</v>
      </c>
      <c r="H724" s="4" t="s">
        <v>6764</v>
      </c>
      <c r="I724" s="3" t="s">
        <v>49</v>
      </c>
      <c r="J724" s="3" t="s">
        <v>50</v>
      </c>
      <c r="K724" s="3" t="s">
        <v>45</v>
      </c>
      <c r="L724" s="3" t="s">
        <v>45</v>
      </c>
      <c r="M724" s="3" t="s">
        <v>45</v>
      </c>
      <c r="N724" s="3" t="s">
        <v>45</v>
      </c>
      <c r="O724" s="3" t="s">
        <v>74</v>
      </c>
      <c r="P724" s="3" t="s">
        <v>45</v>
      </c>
      <c r="Q724" s="3" t="s">
        <v>45</v>
      </c>
      <c r="R724" s="3" t="s">
        <v>45</v>
      </c>
      <c r="S724" s="3" t="s">
        <v>45</v>
      </c>
      <c r="T724" s="3" t="s">
        <v>45</v>
      </c>
      <c r="U724" s="3" t="s">
        <v>45</v>
      </c>
      <c r="V724" s="3" t="s">
        <v>45</v>
      </c>
      <c r="W724" s="3" t="s">
        <v>45</v>
      </c>
      <c r="X724" s="3" t="s">
        <v>45</v>
      </c>
      <c r="Y724" s="3" t="s">
        <v>45</v>
      </c>
      <c r="Z724" s="3" t="s">
        <v>74</v>
      </c>
      <c r="AA724" s="3" t="s">
        <v>45</v>
      </c>
      <c r="AB724" s="3" t="s">
        <v>45</v>
      </c>
      <c r="AC724" s="3" t="s">
        <v>45</v>
      </c>
      <c r="AD724" s="3" t="s">
        <v>45</v>
      </c>
      <c r="AE724" s="3" t="s">
        <v>45</v>
      </c>
      <c r="AF724" s="3" t="s">
        <v>45</v>
      </c>
      <c r="AG724" s="3" t="s">
        <v>45</v>
      </c>
      <c r="AH724" s="3" t="s">
        <v>57</v>
      </c>
      <c r="AI724" s="5" t="s">
        <v>6765</v>
      </c>
      <c r="AJ724" s="3" t="s">
        <v>45</v>
      </c>
      <c r="AK724" s="3" t="s">
        <v>45</v>
      </c>
      <c r="AL724" s="3" t="s">
        <v>45</v>
      </c>
      <c r="AM724" s="3" t="s">
        <v>45</v>
      </c>
      <c r="AN724" s="3" t="s">
        <v>45</v>
      </c>
      <c r="AO724" s="3" t="s">
        <v>45</v>
      </c>
      <c r="AP724" s="3" t="s">
        <v>45</v>
      </c>
      <c r="AQ724" s="4" t="s">
        <v>3382</v>
      </c>
      <c r="AR724" s="4" t="s">
        <v>3382</v>
      </c>
    </row>
    <row r="725">
      <c r="A725" s="3" t="s">
        <v>6766</v>
      </c>
      <c r="B725" s="3" t="s">
        <v>6767</v>
      </c>
      <c r="C725" s="3" t="s">
        <v>6768</v>
      </c>
      <c r="D725" s="3" t="s">
        <v>6761</v>
      </c>
      <c r="E725" s="4" t="s">
        <v>6769</v>
      </c>
      <c r="F725" s="3" t="s">
        <v>6762</v>
      </c>
      <c r="G725" s="4" t="s">
        <v>6770</v>
      </c>
      <c r="H725" s="4" t="s">
        <v>6771</v>
      </c>
      <c r="I725" s="3" t="s">
        <v>218</v>
      </c>
      <c r="J725" s="3" t="s">
        <v>126</v>
      </c>
      <c r="K725" s="3" t="s">
        <v>45</v>
      </c>
      <c r="L725" s="3" t="s">
        <v>45</v>
      </c>
      <c r="M725" s="3" t="s">
        <v>45</v>
      </c>
      <c r="N725" s="3" t="s">
        <v>45</v>
      </c>
      <c r="O725" s="3" t="s">
        <v>74</v>
      </c>
      <c r="P725" s="3" t="s">
        <v>45</v>
      </c>
      <c r="Q725" s="3" t="s">
        <v>45</v>
      </c>
      <c r="R725" s="3" t="s">
        <v>45</v>
      </c>
      <c r="S725" s="3" t="s">
        <v>45</v>
      </c>
      <c r="T725" s="3" t="s">
        <v>45</v>
      </c>
      <c r="U725" s="3" t="s">
        <v>45</v>
      </c>
      <c r="V725" s="3" t="s">
        <v>45</v>
      </c>
      <c r="W725" s="4" t="s">
        <v>4936</v>
      </c>
      <c r="X725" s="3" t="s">
        <v>45</v>
      </c>
      <c r="Y725" s="3" t="s">
        <v>45</v>
      </c>
      <c r="Z725" s="3" t="s">
        <v>74</v>
      </c>
      <c r="AA725" s="3" t="s">
        <v>45</v>
      </c>
      <c r="AB725" s="3" t="s">
        <v>45</v>
      </c>
      <c r="AC725" s="3" t="s">
        <v>45</v>
      </c>
      <c r="AD725" s="3" t="s">
        <v>45</v>
      </c>
      <c r="AE725" s="3" t="s">
        <v>45</v>
      </c>
      <c r="AF725" s="3" t="s">
        <v>45</v>
      </c>
      <c r="AG725" s="3" t="s">
        <v>6772</v>
      </c>
      <c r="AH725" s="3" t="s">
        <v>57</v>
      </c>
      <c r="AI725" s="5" t="s">
        <v>6773</v>
      </c>
      <c r="AJ725" s="5" t="s">
        <v>6774</v>
      </c>
      <c r="AK725" s="5" t="s">
        <v>6775</v>
      </c>
      <c r="AL725" s="5" t="s">
        <v>6776</v>
      </c>
      <c r="AM725" s="3" t="s">
        <v>45</v>
      </c>
      <c r="AN725" s="3" t="s">
        <v>45</v>
      </c>
      <c r="AO725" s="3" t="s">
        <v>45</v>
      </c>
      <c r="AP725" s="3" t="s">
        <v>45</v>
      </c>
      <c r="AQ725" s="4" t="s">
        <v>2509</v>
      </c>
      <c r="AR725" s="4" t="s">
        <v>1173</v>
      </c>
    </row>
    <row r="726">
      <c r="A726" s="3" t="s">
        <v>6777</v>
      </c>
      <c r="B726" s="3" t="s">
        <v>6778</v>
      </c>
      <c r="C726" s="3" t="s">
        <v>6779</v>
      </c>
      <c r="D726" s="3" t="s">
        <v>6761</v>
      </c>
      <c r="E726" s="4" t="s">
        <v>6780</v>
      </c>
      <c r="F726" s="3" t="s">
        <v>6781</v>
      </c>
      <c r="G726" s="4" t="s">
        <v>6782</v>
      </c>
      <c r="H726" s="4" t="s">
        <v>6783</v>
      </c>
      <c r="I726" s="3" t="s">
        <v>49</v>
      </c>
      <c r="J726" s="3" t="s">
        <v>126</v>
      </c>
      <c r="K726" s="3" t="s">
        <v>45</v>
      </c>
      <c r="L726" s="3" t="s">
        <v>45</v>
      </c>
      <c r="M726" s="3" t="s">
        <v>45</v>
      </c>
      <c r="N726" s="3" t="s">
        <v>45</v>
      </c>
      <c r="O726" s="3" t="s">
        <v>74</v>
      </c>
      <c r="P726" s="3" t="s">
        <v>45</v>
      </c>
      <c r="Q726" s="3" t="s">
        <v>45</v>
      </c>
      <c r="R726" s="3" t="s">
        <v>45</v>
      </c>
      <c r="S726" s="3" t="s">
        <v>45</v>
      </c>
      <c r="T726" s="3" t="s">
        <v>45</v>
      </c>
      <c r="U726" s="3" t="s">
        <v>45</v>
      </c>
      <c r="V726" s="3" t="s">
        <v>45</v>
      </c>
      <c r="W726" s="3" t="s">
        <v>45</v>
      </c>
      <c r="X726" s="3" t="s">
        <v>45</v>
      </c>
      <c r="Y726" s="4" t="s">
        <v>73</v>
      </c>
      <c r="Z726" s="3" t="s">
        <v>55</v>
      </c>
      <c r="AA726" s="3" t="s">
        <v>45</v>
      </c>
      <c r="AB726" s="3" t="s">
        <v>45</v>
      </c>
      <c r="AC726" s="3" t="s">
        <v>45</v>
      </c>
      <c r="AD726" s="5" t="s">
        <v>6784</v>
      </c>
      <c r="AE726" s="3" t="s">
        <v>45</v>
      </c>
      <c r="AF726" s="5" t="s">
        <v>6785</v>
      </c>
      <c r="AG726" s="3" t="s">
        <v>45</v>
      </c>
      <c r="AH726" s="3" t="s">
        <v>57</v>
      </c>
      <c r="AI726" s="5" t="s">
        <v>6786</v>
      </c>
      <c r="AJ726" s="5" t="s">
        <v>6787</v>
      </c>
      <c r="AK726" s="5" t="s">
        <v>6788</v>
      </c>
      <c r="AL726" s="3" t="s">
        <v>45</v>
      </c>
      <c r="AM726" s="3" t="s">
        <v>45</v>
      </c>
      <c r="AN726" s="3" t="s">
        <v>45</v>
      </c>
      <c r="AO726" s="3" t="s">
        <v>45</v>
      </c>
      <c r="AP726" s="3" t="s">
        <v>45</v>
      </c>
      <c r="AQ726" s="4" t="s">
        <v>3574</v>
      </c>
      <c r="AR726" s="4" t="s">
        <v>2988</v>
      </c>
    </row>
    <row r="727">
      <c r="A727" s="3" t="s">
        <v>6789</v>
      </c>
      <c r="B727" s="3" t="s">
        <v>6790</v>
      </c>
      <c r="C727" s="3" t="s">
        <v>6791</v>
      </c>
      <c r="D727" s="3" t="s">
        <v>6761</v>
      </c>
      <c r="E727" s="4" t="s">
        <v>6792</v>
      </c>
      <c r="F727" s="3" t="s">
        <v>6793</v>
      </c>
      <c r="G727" s="4" t="s">
        <v>6794</v>
      </c>
      <c r="H727" s="4" t="s">
        <v>6795</v>
      </c>
      <c r="I727" s="3" t="s">
        <v>85</v>
      </c>
      <c r="J727" s="3" t="s">
        <v>126</v>
      </c>
      <c r="K727" s="3" t="s">
        <v>45</v>
      </c>
      <c r="L727" s="3" t="s">
        <v>176</v>
      </c>
      <c r="M727" s="3" t="s">
        <v>45</v>
      </c>
      <c r="N727" s="3" t="s">
        <v>6796</v>
      </c>
      <c r="O727" s="3" t="s">
        <v>88</v>
      </c>
      <c r="P727" s="3" t="s">
        <v>220</v>
      </c>
      <c r="Q727" s="3" t="s">
        <v>45</v>
      </c>
      <c r="R727" s="3" t="s">
        <v>45</v>
      </c>
      <c r="S727" s="3" t="s">
        <v>45</v>
      </c>
      <c r="T727" s="3" t="s">
        <v>45</v>
      </c>
      <c r="U727" s="3" t="s">
        <v>45</v>
      </c>
      <c r="V727" s="3" t="s">
        <v>45</v>
      </c>
      <c r="W727" s="3" t="s">
        <v>45</v>
      </c>
      <c r="X727" s="3" t="s">
        <v>45</v>
      </c>
      <c r="Y727" s="3" t="s">
        <v>45</v>
      </c>
      <c r="Z727" s="3" t="s">
        <v>74</v>
      </c>
      <c r="AA727" s="3" t="s">
        <v>45</v>
      </c>
      <c r="AB727" s="3" t="s">
        <v>45</v>
      </c>
      <c r="AC727" s="3" t="s">
        <v>45</v>
      </c>
      <c r="AD727" s="3" t="s">
        <v>45</v>
      </c>
      <c r="AE727" s="3" t="s">
        <v>45</v>
      </c>
      <c r="AF727" s="3" t="s">
        <v>45</v>
      </c>
      <c r="AG727" s="3" t="s">
        <v>45</v>
      </c>
      <c r="AH727" s="3" t="s">
        <v>57</v>
      </c>
      <c r="AI727" s="5" t="s">
        <v>6797</v>
      </c>
      <c r="AJ727" s="5" t="s">
        <v>6798</v>
      </c>
      <c r="AK727" s="3" t="s">
        <v>45</v>
      </c>
      <c r="AL727" s="3" t="s">
        <v>45</v>
      </c>
      <c r="AM727" s="3" t="s">
        <v>45</v>
      </c>
      <c r="AN727" s="3" t="s">
        <v>45</v>
      </c>
      <c r="AO727" s="3" t="s">
        <v>45</v>
      </c>
      <c r="AP727" s="3" t="s">
        <v>45</v>
      </c>
      <c r="AQ727" s="4" t="s">
        <v>2053</v>
      </c>
      <c r="AR727" s="4" t="s">
        <v>2053</v>
      </c>
    </row>
    <row r="728">
      <c r="A728" s="3" t="s">
        <v>6799</v>
      </c>
      <c r="B728" s="3" t="s">
        <v>6800</v>
      </c>
      <c r="C728" s="3" t="s">
        <v>6801</v>
      </c>
      <c r="D728" s="3" t="s">
        <v>6761</v>
      </c>
      <c r="E728" s="4" t="s">
        <v>6802</v>
      </c>
      <c r="F728" s="3" t="s">
        <v>6803</v>
      </c>
      <c r="G728" s="4" t="s">
        <v>6804</v>
      </c>
      <c r="H728" s="4" t="s">
        <v>6805</v>
      </c>
      <c r="I728" s="3" t="s">
        <v>49</v>
      </c>
      <c r="J728" s="3" t="s">
        <v>50</v>
      </c>
      <c r="K728" s="3" t="s">
        <v>45</v>
      </c>
      <c r="L728" s="3" t="s">
        <v>45</v>
      </c>
      <c r="M728" s="3" t="s">
        <v>45</v>
      </c>
      <c r="N728" s="3" t="s">
        <v>45</v>
      </c>
      <c r="O728" s="3" t="s">
        <v>74</v>
      </c>
      <c r="P728" s="3" t="s">
        <v>220</v>
      </c>
      <c r="Q728" s="3" t="s">
        <v>45</v>
      </c>
      <c r="R728" s="3" t="s">
        <v>45</v>
      </c>
      <c r="S728" s="3" t="s">
        <v>45</v>
      </c>
      <c r="T728" s="3" t="s">
        <v>45</v>
      </c>
      <c r="U728" s="3" t="s">
        <v>45</v>
      </c>
      <c r="V728" s="3" t="s">
        <v>45</v>
      </c>
      <c r="W728" s="3" t="s">
        <v>45</v>
      </c>
      <c r="X728" s="3" t="s">
        <v>45</v>
      </c>
      <c r="Y728" s="3" t="s">
        <v>45</v>
      </c>
      <c r="Z728" s="3" t="s">
        <v>55</v>
      </c>
      <c r="AA728" s="5" t="s">
        <v>6806</v>
      </c>
      <c r="AB728" s="3" t="s">
        <v>45</v>
      </c>
      <c r="AC728" s="3" t="s">
        <v>45</v>
      </c>
      <c r="AD728" s="3" t="s">
        <v>45</v>
      </c>
      <c r="AE728" s="3" t="s">
        <v>45</v>
      </c>
      <c r="AF728" s="3" t="s">
        <v>45</v>
      </c>
      <c r="AG728" s="3" t="s">
        <v>45</v>
      </c>
      <c r="AH728" s="3" t="s">
        <v>57</v>
      </c>
      <c r="AI728" s="5" t="s">
        <v>6807</v>
      </c>
      <c r="AJ728" s="5" t="s">
        <v>6808</v>
      </c>
      <c r="AK728" s="5" t="s">
        <v>6809</v>
      </c>
      <c r="AL728" s="3" t="s">
        <v>45</v>
      </c>
      <c r="AM728" s="3" t="s">
        <v>45</v>
      </c>
      <c r="AN728" s="3" t="s">
        <v>45</v>
      </c>
      <c r="AO728" s="3" t="s">
        <v>45</v>
      </c>
      <c r="AP728" s="3" t="s">
        <v>45</v>
      </c>
      <c r="AQ728" s="4" t="s">
        <v>3574</v>
      </c>
      <c r="AR728" s="4" t="s">
        <v>1387</v>
      </c>
    </row>
    <row r="729">
      <c r="A729" s="3" t="s">
        <v>969</v>
      </c>
      <c r="B729" s="3" t="s">
        <v>6810</v>
      </c>
      <c r="C729" s="3" t="s">
        <v>6811</v>
      </c>
      <c r="D729" s="3" t="s">
        <v>6761</v>
      </c>
      <c r="E729" s="4" t="s">
        <v>6812</v>
      </c>
      <c r="F729" s="3" t="s">
        <v>6803</v>
      </c>
      <c r="G729" s="4" t="s">
        <v>6813</v>
      </c>
      <c r="H729" s="4" t="s">
        <v>6814</v>
      </c>
      <c r="I729" s="3" t="s">
        <v>85</v>
      </c>
      <c r="J729" s="3" t="s">
        <v>126</v>
      </c>
      <c r="K729" s="3" t="s">
        <v>45</v>
      </c>
      <c r="L729" s="3" t="s">
        <v>45</v>
      </c>
      <c r="M729" s="3" t="s">
        <v>45</v>
      </c>
      <c r="N729" s="4" t="s">
        <v>52</v>
      </c>
      <c r="O729" s="3" t="s">
        <v>53</v>
      </c>
      <c r="P729" s="3" t="s">
        <v>45</v>
      </c>
      <c r="Q729" s="3" t="s">
        <v>45</v>
      </c>
      <c r="R729" s="3" t="s">
        <v>45</v>
      </c>
      <c r="S729" s="3" t="s">
        <v>45</v>
      </c>
      <c r="T729" s="3" t="s">
        <v>45</v>
      </c>
      <c r="U729" s="3" t="s">
        <v>45</v>
      </c>
      <c r="V729" s="4" t="s">
        <v>5787</v>
      </c>
      <c r="W729" s="3" t="s">
        <v>45</v>
      </c>
      <c r="X729" s="3" t="s">
        <v>45</v>
      </c>
      <c r="Y729" s="3" t="s">
        <v>45</v>
      </c>
      <c r="Z729" s="3" t="s">
        <v>74</v>
      </c>
      <c r="AA729" s="3" t="s">
        <v>45</v>
      </c>
      <c r="AB729" s="3" t="s">
        <v>45</v>
      </c>
      <c r="AC729" s="3" t="s">
        <v>45</v>
      </c>
      <c r="AD729" s="3" t="s">
        <v>45</v>
      </c>
      <c r="AE729" s="3" t="s">
        <v>45</v>
      </c>
      <c r="AF729" s="3" t="s">
        <v>45</v>
      </c>
      <c r="AG729" s="3" t="s">
        <v>45</v>
      </c>
      <c r="AH729" s="3" t="s">
        <v>57</v>
      </c>
      <c r="AI729" s="5" t="s">
        <v>6815</v>
      </c>
      <c r="AJ729" s="3" t="s">
        <v>45</v>
      </c>
      <c r="AK729" s="3" t="s">
        <v>45</v>
      </c>
      <c r="AL729" s="3" t="s">
        <v>45</v>
      </c>
      <c r="AM729" s="3" t="s">
        <v>45</v>
      </c>
      <c r="AN729" s="3" t="s">
        <v>45</v>
      </c>
      <c r="AO729" s="3" t="s">
        <v>45</v>
      </c>
      <c r="AP729" s="3" t="s">
        <v>45</v>
      </c>
      <c r="AQ729" s="4" t="s">
        <v>968</v>
      </c>
      <c r="AR729" s="4" t="s">
        <v>968</v>
      </c>
    </row>
    <row r="730">
      <c r="A730" s="3" t="s">
        <v>6816</v>
      </c>
      <c r="B730" s="3" t="s">
        <v>6817</v>
      </c>
      <c r="C730" s="3" t="s">
        <v>6811</v>
      </c>
      <c r="D730" s="3" t="s">
        <v>6761</v>
      </c>
      <c r="E730" s="4" t="s">
        <v>6818</v>
      </c>
      <c r="F730" s="3" t="s">
        <v>6803</v>
      </c>
      <c r="G730" s="4" t="s">
        <v>6819</v>
      </c>
      <c r="H730" s="4" t="s">
        <v>6820</v>
      </c>
      <c r="I730" s="3" t="s">
        <v>85</v>
      </c>
      <c r="J730" s="3" t="s">
        <v>126</v>
      </c>
      <c r="K730" s="3" t="s">
        <v>45</v>
      </c>
      <c r="L730" s="3" t="s">
        <v>45</v>
      </c>
      <c r="M730" s="3" t="s">
        <v>45</v>
      </c>
      <c r="N730" s="3" t="s">
        <v>45</v>
      </c>
      <c r="O730" s="3" t="s">
        <v>74</v>
      </c>
      <c r="P730" s="3" t="s">
        <v>45</v>
      </c>
      <c r="Q730" s="3" t="s">
        <v>45</v>
      </c>
      <c r="R730" s="3" t="s">
        <v>45</v>
      </c>
      <c r="S730" s="3" t="s">
        <v>45</v>
      </c>
      <c r="T730" s="3" t="s">
        <v>45</v>
      </c>
      <c r="U730" s="3" t="s">
        <v>45</v>
      </c>
      <c r="V730" s="3" t="s">
        <v>45</v>
      </c>
      <c r="W730" s="3" t="s">
        <v>45</v>
      </c>
      <c r="X730" s="3" t="s">
        <v>45</v>
      </c>
      <c r="Y730" s="3" t="s">
        <v>45</v>
      </c>
      <c r="Z730" s="3" t="s">
        <v>74</v>
      </c>
      <c r="AA730" s="3" t="s">
        <v>45</v>
      </c>
      <c r="AB730" s="3" t="s">
        <v>45</v>
      </c>
      <c r="AC730" s="3" t="s">
        <v>45</v>
      </c>
      <c r="AD730" s="3" t="s">
        <v>45</v>
      </c>
      <c r="AE730" s="3" t="s">
        <v>45</v>
      </c>
      <c r="AF730" s="3" t="s">
        <v>45</v>
      </c>
      <c r="AG730" s="3" t="s">
        <v>6821</v>
      </c>
      <c r="AH730" s="3" t="s">
        <v>57</v>
      </c>
      <c r="AI730" s="5" t="s">
        <v>6822</v>
      </c>
      <c r="AJ730" s="5" t="s">
        <v>6823</v>
      </c>
      <c r="AK730" s="3" t="s">
        <v>45</v>
      </c>
      <c r="AL730" s="3" t="s">
        <v>45</v>
      </c>
      <c r="AM730" s="3" t="s">
        <v>45</v>
      </c>
      <c r="AN730" s="3" t="s">
        <v>45</v>
      </c>
      <c r="AO730" s="3" t="s">
        <v>45</v>
      </c>
      <c r="AP730" s="3" t="s">
        <v>45</v>
      </c>
      <c r="AQ730" s="4" t="s">
        <v>2509</v>
      </c>
      <c r="AR730" s="4" t="s">
        <v>2509</v>
      </c>
    </row>
    <row r="731">
      <c r="A731" s="3" t="s">
        <v>4975</v>
      </c>
      <c r="B731" s="3" t="s">
        <v>6824</v>
      </c>
      <c r="C731" s="3" t="s">
        <v>3268</v>
      </c>
      <c r="D731" s="3" t="s">
        <v>6761</v>
      </c>
      <c r="E731" s="4" t="s">
        <v>6825</v>
      </c>
      <c r="F731" s="3" t="s">
        <v>6762</v>
      </c>
      <c r="G731" s="4" t="s">
        <v>6826</v>
      </c>
      <c r="H731" s="4" t="s">
        <v>6827</v>
      </c>
      <c r="I731" s="3" t="s">
        <v>436</v>
      </c>
      <c r="J731" s="3" t="s">
        <v>126</v>
      </c>
      <c r="K731" s="3" t="s">
        <v>45</v>
      </c>
      <c r="L731" s="3" t="s">
        <v>447</v>
      </c>
      <c r="M731" s="3" t="s">
        <v>45</v>
      </c>
      <c r="N731" s="3" t="s">
        <v>45</v>
      </c>
      <c r="O731" s="3" t="s">
        <v>74</v>
      </c>
      <c r="P731" s="3" t="s">
        <v>45</v>
      </c>
      <c r="Q731" s="3" t="s">
        <v>45</v>
      </c>
      <c r="R731" s="3" t="s">
        <v>45</v>
      </c>
      <c r="S731" s="3" t="s">
        <v>45</v>
      </c>
      <c r="T731" s="3" t="s">
        <v>45</v>
      </c>
      <c r="U731" s="3" t="s">
        <v>45</v>
      </c>
      <c r="V731" s="3" t="s">
        <v>45</v>
      </c>
      <c r="W731" s="3" t="s">
        <v>45</v>
      </c>
      <c r="X731" s="3" t="s">
        <v>45</v>
      </c>
      <c r="Y731" s="3" t="s">
        <v>45</v>
      </c>
      <c r="Z731" s="3" t="s">
        <v>55</v>
      </c>
      <c r="AA731" s="5" t="s">
        <v>6828</v>
      </c>
      <c r="AB731" s="3" t="s">
        <v>45</v>
      </c>
      <c r="AC731" s="3" t="s">
        <v>45</v>
      </c>
      <c r="AD731" s="5" t="s">
        <v>6829</v>
      </c>
      <c r="AE731" s="3" t="s">
        <v>45</v>
      </c>
      <c r="AF731" s="5" t="s">
        <v>6830</v>
      </c>
      <c r="AG731" s="3" t="s">
        <v>45</v>
      </c>
      <c r="AH731" s="3" t="s">
        <v>57</v>
      </c>
      <c r="AI731" s="5" t="s">
        <v>6786</v>
      </c>
      <c r="AJ731" s="5" t="s">
        <v>6831</v>
      </c>
      <c r="AK731" s="5" t="s">
        <v>6832</v>
      </c>
      <c r="AL731" s="3" t="s">
        <v>45</v>
      </c>
      <c r="AM731" s="3" t="s">
        <v>45</v>
      </c>
      <c r="AN731" s="3" t="s">
        <v>45</v>
      </c>
      <c r="AO731" s="3" t="s">
        <v>45</v>
      </c>
      <c r="AP731" s="3" t="s">
        <v>45</v>
      </c>
      <c r="AQ731" s="4" t="s">
        <v>3574</v>
      </c>
      <c r="AR731" s="4" t="s">
        <v>3713</v>
      </c>
    </row>
    <row r="732">
      <c r="A732" s="3" t="s">
        <v>6833</v>
      </c>
      <c r="B732" s="3" t="s">
        <v>6834</v>
      </c>
      <c r="C732" s="3" t="s">
        <v>6835</v>
      </c>
      <c r="D732" s="3" t="s">
        <v>6761</v>
      </c>
      <c r="E732" s="4" t="s">
        <v>6836</v>
      </c>
      <c r="F732" s="3" t="s">
        <v>6837</v>
      </c>
      <c r="G732" s="4" t="s">
        <v>6838</v>
      </c>
      <c r="H732" s="4" t="s">
        <v>6839</v>
      </c>
      <c r="I732" s="3" t="s">
        <v>218</v>
      </c>
      <c r="J732" s="3" t="s">
        <v>126</v>
      </c>
      <c r="K732" s="3" t="s">
        <v>45</v>
      </c>
      <c r="L732" s="3" t="s">
        <v>45</v>
      </c>
      <c r="M732" s="3" t="s">
        <v>45</v>
      </c>
      <c r="N732" s="3" t="s">
        <v>45</v>
      </c>
      <c r="O732" s="3" t="s">
        <v>88</v>
      </c>
      <c r="P732" s="3" t="s">
        <v>45</v>
      </c>
      <c r="Q732" s="3" t="s">
        <v>45</v>
      </c>
      <c r="R732" s="3" t="s">
        <v>45</v>
      </c>
      <c r="S732" s="4" t="s">
        <v>835</v>
      </c>
      <c r="T732" s="3" t="s">
        <v>45</v>
      </c>
      <c r="U732" s="3" t="s">
        <v>45</v>
      </c>
      <c r="V732" s="4" t="s">
        <v>6840</v>
      </c>
      <c r="W732" s="4" t="s">
        <v>6841</v>
      </c>
      <c r="X732" s="3" t="s">
        <v>45</v>
      </c>
      <c r="Y732" s="3" t="s">
        <v>45</v>
      </c>
      <c r="Z732" s="3" t="s">
        <v>55</v>
      </c>
      <c r="AA732" s="3" t="s">
        <v>45</v>
      </c>
      <c r="AB732" s="3" t="s">
        <v>45</v>
      </c>
      <c r="AC732" s="3" t="s">
        <v>45</v>
      </c>
      <c r="AD732" s="5" t="s">
        <v>6842</v>
      </c>
      <c r="AE732" s="3" t="s">
        <v>45</v>
      </c>
      <c r="AF732" s="5" t="s">
        <v>6843</v>
      </c>
      <c r="AG732" s="3" t="s">
        <v>6844</v>
      </c>
      <c r="AH732" s="3" t="s">
        <v>57</v>
      </c>
      <c r="AI732" s="5" t="s">
        <v>6845</v>
      </c>
      <c r="AJ732" s="5" t="s">
        <v>6846</v>
      </c>
      <c r="AK732" s="5" t="s">
        <v>6847</v>
      </c>
      <c r="AL732" s="5" t="s">
        <v>6848</v>
      </c>
      <c r="AM732" s="5" t="s">
        <v>6849</v>
      </c>
      <c r="AN732" s="3" t="s">
        <v>45</v>
      </c>
      <c r="AO732" s="3" t="s">
        <v>45</v>
      </c>
      <c r="AP732" s="3" t="s">
        <v>45</v>
      </c>
      <c r="AQ732" s="4" t="s">
        <v>736</v>
      </c>
      <c r="AR732" s="4" t="s">
        <v>1729</v>
      </c>
    </row>
    <row r="733">
      <c r="A733" s="3" t="s">
        <v>6850</v>
      </c>
      <c r="B733" s="3" t="s">
        <v>6851</v>
      </c>
      <c r="C733" s="3" t="s">
        <v>6852</v>
      </c>
      <c r="D733" s="3" t="s">
        <v>6761</v>
      </c>
      <c r="E733" s="4" t="s">
        <v>6853</v>
      </c>
      <c r="F733" s="3" t="s">
        <v>6854</v>
      </c>
      <c r="G733" s="4" t="s">
        <v>6855</v>
      </c>
      <c r="H733" s="4" t="s">
        <v>6856</v>
      </c>
      <c r="I733" s="3" t="s">
        <v>218</v>
      </c>
      <c r="J733" s="3" t="s">
        <v>126</v>
      </c>
      <c r="K733" s="3" t="s">
        <v>45</v>
      </c>
      <c r="L733" s="3" t="s">
        <v>447</v>
      </c>
      <c r="M733" s="3" t="s">
        <v>45</v>
      </c>
      <c r="N733" s="3" t="s">
        <v>45</v>
      </c>
      <c r="O733" s="3" t="s">
        <v>74</v>
      </c>
      <c r="P733" s="3" t="s">
        <v>45</v>
      </c>
      <c r="Q733" s="3" t="s">
        <v>45</v>
      </c>
      <c r="R733" s="3" t="s">
        <v>45</v>
      </c>
      <c r="S733" s="3" t="s">
        <v>45</v>
      </c>
      <c r="T733" s="3" t="s">
        <v>45</v>
      </c>
      <c r="U733" s="3" t="s">
        <v>45</v>
      </c>
      <c r="V733" s="3" t="s">
        <v>45</v>
      </c>
      <c r="W733" s="4" t="s">
        <v>6857</v>
      </c>
      <c r="X733" s="3" t="s">
        <v>45</v>
      </c>
      <c r="Y733" s="3" t="s">
        <v>45</v>
      </c>
      <c r="Z733" s="3" t="s">
        <v>74</v>
      </c>
      <c r="AA733" s="3" t="s">
        <v>45</v>
      </c>
      <c r="AB733" s="3" t="s">
        <v>45</v>
      </c>
      <c r="AC733" s="3" t="s">
        <v>45</v>
      </c>
      <c r="AD733" s="3" t="s">
        <v>45</v>
      </c>
      <c r="AE733" s="3" t="s">
        <v>45</v>
      </c>
      <c r="AF733" s="3" t="s">
        <v>45</v>
      </c>
      <c r="AG733" s="3" t="s">
        <v>45</v>
      </c>
      <c r="AH733" s="3" t="s">
        <v>57</v>
      </c>
      <c r="AI733" s="5" t="s">
        <v>6858</v>
      </c>
      <c r="AJ733" s="5" t="s">
        <v>6859</v>
      </c>
      <c r="AK733" s="5" t="s">
        <v>6831</v>
      </c>
      <c r="AL733" s="5" t="s">
        <v>6860</v>
      </c>
      <c r="AM733" s="3" t="s">
        <v>45</v>
      </c>
      <c r="AN733" s="3" t="s">
        <v>45</v>
      </c>
      <c r="AO733" s="3" t="s">
        <v>45</v>
      </c>
      <c r="AP733" s="3" t="s">
        <v>45</v>
      </c>
      <c r="AQ733" s="4" t="s">
        <v>6861</v>
      </c>
      <c r="AR733" s="4" t="s">
        <v>3574</v>
      </c>
    </row>
    <row r="734">
      <c r="A734" s="3" t="s">
        <v>6862</v>
      </c>
      <c r="B734" s="3" t="s">
        <v>6863</v>
      </c>
      <c r="C734" s="3" t="s">
        <v>6854</v>
      </c>
      <c r="D734" s="3" t="s">
        <v>6761</v>
      </c>
      <c r="E734" s="4" t="s">
        <v>6864</v>
      </c>
      <c r="F734" s="3" t="s">
        <v>6854</v>
      </c>
      <c r="G734" s="4" t="s">
        <v>6865</v>
      </c>
      <c r="H734" s="4" t="s">
        <v>6866</v>
      </c>
      <c r="I734" s="3" t="s">
        <v>85</v>
      </c>
      <c r="J734" s="3" t="s">
        <v>126</v>
      </c>
      <c r="K734" s="3" t="s">
        <v>45</v>
      </c>
      <c r="L734" s="3" t="s">
        <v>45</v>
      </c>
      <c r="M734" s="3" t="s">
        <v>45</v>
      </c>
      <c r="N734" s="3" t="s">
        <v>45</v>
      </c>
      <c r="O734" s="3" t="s">
        <v>74</v>
      </c>
      <c r="P734" s="3" t="s">
        <v>45</v>
      </c>
      <c r="Q734" s="3" t="s">
        <v>45</v>
      </c>
      <c r="R734" s="3" t="s">
        <v>45</v>
      </c>
      <c r="S734" s="3" t="s">
        <v>45</v>
      </c>
      <c r="T734" s="3" t="s">
        <v>45</v>
      </c>
      <c r="U734" s="3" t="s">
        <v>45</v>
      </c>
      <c r="V734" s="3" t="s">
        <v>45</v>
      </c>
      <c r="W734" s="3" t="s">
        <v>45</v>
      </c>
      <c r="X734" s="3" t="s">
        <v>45</v>
      </c>
      <c r="Y734" s="3" t="s">
        <v>45</v>
      </c>
      <c r="Z734" s="3" t="s">
        <v>74</v>
      </c>
      <c r="AA734" s="3" t="s">
        <v>45</v>
      </c>
      <c r="AB734" s="3" t="s">
        <v>45</v>
      </c>
      <c r="AC734" s="3" t="s">
        <v>45</v>
      </c>
      <c r="AD734" s="3" t="s">
        <v>45</v>
      </c>
      <c r="AE734" s="3" t="s">
        <v>45</v>
      </c>
      <c r="AF734" s="3" t="s">
        <v>45</v>
      </c>
      <c r="AG734" s="3" t="s">
        <v>45</v>
      </c>
      <c r="AH734" s="3" t="s">
        <v>57</v>
      </c>
      <c r="AI734" s="3" t="s">
        <v>45</v>
      </c>
      <c r="AJ734" s="3" t="s">
        <v>45</v>
      </c>
      <c r="AK734" s="3" t="s">
        <v>45</v>
      </c>
      <c r="AL734" s="3" t="s">
        <v>45</v>
      </c>
      <c r="AM734" s="3" t="s">
        <v>45</v>
      </c>
      <c r="AN734" s="3" t="s">
        <v>45</v>
      </c>
      <c r="AO734" s="3" t="s">
        <v>45</v>
      </c>
      <c r="AP734" s="3" t="s">
        <v>45</v>
      </c>
      <c r="AQ734" s="4" t="s">
        <v>6861</v>
      </c>
      <c r="AR734" s="4" t="s">
        <v>6861</v>
      </c>
    </row>
    <row r="735">
      <c r="A735" s="3" t="s">
        <v>4899</v>
      </c>
      <c r="B735" s="3" t="s">
        <v>6867</v>
      </c>
      <c r="C735" s="3" t="s">
        <v>6854</v>
      </c>
      <c r="D735" s="3" t="s">
        <v>6761</v>
      </c>
      <c r="E735" s="4" t="s">
        <v>6868</v>
      </c>
      <c r="F735" s="3" t="s">
        <v>6854</v>
      </c>
      <c r="G735" s="4" t="s">
        <v>6869</v>
      </c>
      <c r="H735" s="4" t="s">
        <v>6870</v>
      </c>
      <c r="I735" s="3" t="s">
        <v>85</v>
      </c>
      <c r="J735" s="3" t="s">
        <v>126</v>
      </c>
      <c r="K735" s="3" t="s">
        <v>45</v>
      </c>
      <c r="L735" s="3" t="s">
        <v>45</v>
      </c>
      <c r="M735" s="3" t="s">
        <v>45</v>
      </c>
      <c r="N735" s="3" t="s">
        <v>45</v>
      </c>
      <c r="O735" s="3" t="s">
        <v>74</v>
      </c>
      <c r="P735" s="3" t="s">
        <v>45</v>
      </c>
      <c r="Q735" s="3" t="s">
        <v>45</v>
      </c>
      <c r="R735" s="3" t="s">
        <v>45</v>
      </c>
      <c r="S735" s="3" t="s">
        <v>45</v>
      </c>
      <c r="T735" s="3" t="s">
        <v>45</v>
      </c>
      <c r="U735" s="3" t="s">
        <v>45</v>
      </c>
      <c r="V735" s="4" t="s">
        <v>6871</v>
      </c>
      <c r="W735" s="3" t="s">
        <v>45</v>
      </c>
      <c r="X735" s="3" t="s">
        <v>6872</v>
      </c>
      <c r="Y735" s="3" t="s">
        <v>45</v>
      </c>
      <c r="Z735" s="3" t="s">
        <v>74</v>
      </c>
      <c r="AA735" s="3" t="s">
        <v>45</v>
      </c>
      <c r="AB735" s="3" t="s">
        <v>45</v>
      </c>
      <c r="AC735" s="3" t="s">
        <v>45</v>
      </c>
      <c r="AD735" s="3" t="s">
        <v>45</v>
      </c>
      <c r="AE735" s="3" t="s">
        <v>45</v>
      </c>
      <c r="AF735" s="3" t="s">
        <v>45</v>
      </c>
      <c r="AG735" s="3" t="s">
        <v>45</v>
      </c>
      <c r="AH735" s="3" t="s">
        <v>57</v>
      </c>
      <c r="AI735" s="5" t="s">
        <v>6873</v>
      </c>
      <c r="AJ735" s="3" t="s">
        <v>45</v>
      </c>
      <c r="AK735" s="3" t="s">
        <v>45</v>
      </c>
      <c r="AL735" s="3" t="s">
        <v>45</v>
      </c>
      <c r="AM735" s="3" t="s">
        <v>45</v>
      </c>
      <c r="AN735" s="3" t="s">
        <v>45</v>
      </c>
      <c r="AO735" s="3" t="s">
        <v>45</v>
      </c>
      <c r="AP735" s="3" t="s">
        <v>45</v>
      </c>
      <c r="AQ735" s="4" t="s">
        <v>2509</v>
      </c>
      <c r="AR735" s="4" t="s">
        <v>2509</v>
      </c>
    </row>
    <row r="736">
      <c r="A736" s="3" t="s">
        <v>6874</v>
      </c>
      <c r="B736" s="3" t="s">
        <v>6875</v>
      </c>
      <c r="C736" s="3" t="s">
        <v>6876</v>
      </c>
      <c r="D736" s="3" t="s">
        <v>6877</v>
      </c>
      <c r="E736" s="3" t="s">
        <v>45</v>
      </c>
      <c r="F736" s="3" t="s">
        <v>6878</v>
      </c>
      <c r="G736" s="4" t="s">
        <v>6879</v>
      </c>
      <c r="H736" s="4" t="s">
        <v>6880</v>
      </c>
      <c r="I736" s="3" t="s">
        <v>49</v>
      </c>
      <c r="J736" s="3" t="s">
        <v>99</v>
      </c>
      <c r="K736" s="3" t="s">
        <v>45</v>
      </c>
      <c r="L736" s="3" t="s">
        <v>479</v>
      </c>
      <c r="M736" s="3" t="s">
        <v>45</v>
      </c>
      <c r="N736" s="3" t="s">
        <v>45</v>
      </c>
      <c r="O736" s="3" t="s">
        <v>74</v>
      </c>
      <c r="P736" s="3" t="s">
        <v>45</v>
      </c>
      <c r="Q736" s="3" t="s">
        <v>45</v>
      </c>
      <c r="R736" s="3" t="s">
        <v>45</v>
      </c>
      <c r="S736" s="3" t="s">
        <v>45</v>
      </c>
      <c r="T736" s="3" t="s">
        <v>45</v>
      </c>
      <c r="U736" s="3" t="s">
        <v>45</v>
      </c>
      <c r="V736" s="3" t="s">
        <v>45</v>
      </c>
      <c r="W736" s="4" t="s">
        <v>3595</v>
      </c>
      <c r="X736" s="3" t="s">
        <v>6881</v>
      </c>
      <c r="Y736" s="3" t="s">
        <v>45</v>
      </c>
      <c r="Z736" s="3" t="s">
        <v>74</v>
      </c>
      <c r="AA736" s="3" t="s">
        <v>45</v>
      </c>
      <c r="AB736" s="3" t="s">
        <v>45</v>
      </c>
      <c r="AC736" s="3" t="s">
        <v>45</v>
      </c>
      <c r="AD736" s="3" t="s">
        <v>45</v>
      </c>
      <c r="AE736" s="3" t="s">
        <v>45</v>
      </c>
      <c r="AF736" s="3" t="s">
        <v>45</v>
      </c>
      <c r="AG736" s="3" t="s">
        <v>45</v>
      </c>
      <c r="AH736" s="3" t="s">
        <v>57</v>
      </c>
      <c r="AI736" s="5" t="s">
        <v>6882</v>
      </c>
      <c r="AJ736" s="3" t="s">
        <v>45</v>
      </c>
      <c r="AK736" s="3" t="s">
        <v>45</v>
      </c>
      <c r="AL736" s="3" t="s">
        <v>45</v>
      </c>
      <c r="AM736" s="3" t="s">
        <v>45</v>
      </c>
      <c r="AN736" s="3" t="s">
        <v>45</v>
      </c>
      <c r="AO736" s="3" t="s">
        <v>45</v>
      </c>
      <c r="AP736" s="3" t="s">
        <v>45</v>
      </c>
      <c r="AQ736" s="4" t="s">
        <v>6513</v>
      </c>
      <c r="AR736" s="4" t="s">
        <v>6513</v>
      </c>
    </row>
    <row r="737">
      <c r="A737" s="3" t="s">
        <v>6883</v>
      </c>
      <c r="B737" s="3" t="s">
        <v>6884</v>
      </c>
      <c r="C737" s="3" t="s">
        <v>6885</v>
      </c>
      <c r="D737" s="3" t="s">
        <v>6877</v>
      </c>
      <c r="E737" s="4" t="s">
        <v>6886</v>
      </c>
      <c r="F737" s="3" t="s">
        <v>6887</v>
      </c>
      <c r="G737" s="4" t="s">
        <v>6888</v>
      </c>
      <c r="H737" s="4" t="s">
        <v>6889</v>
      </c>
      <c r="I737" s="3" t="s">
        <v>49</v>
      </c>
      <c r="J737" s="3" t="s">
        <v>126</v>
      </c>
      <c r="K737" s="3" t="s">
        <v>45</v>
      </c>
      <c r="L737" s="3" t="s">
        <v>479</v>
      </c>
      <c r="M737" s="3" t="s">
        <v>45</v>
      </c>
      <c r="N737" s="3" t="s">
        <v>45</v>
      </c>
      <c r="O737" s="3" t="s">
        <v>88</v>
      </c>
      <c r="P737" s="3" t="s">
        <v>45</v>
      </c>
      <c r="Q737" s="3" t="s">
        <v>45</v>
      </c>
      <c r="R737" s="3" t="s">
        <v>45</v>
      </c>
      <c r="S737" s="3" t="s">
        <v>45</v>
      </c>
      <c r="T737" s="3" t="s">
        <v>45</v>
      </c>
      <c r="U737" s="3" t="s">
        <v>45</v>
      </c>
      <c r="V737" s="3" t="s">
        <v>45</v>
      </c>
      <c r="W737" s="4" t="s">
        <v>6890</v>
      </c>
      <c r="X737" s="3" t="s">
        <v>45</v>
      </c>
      <c r="Y737" s="3" t="s">
        <v>45</v>
      </c>
      <c r="Z737" s="3" t="s">
        <v>74</v>
      </c>
      <c r="AA737" s="3" t="s">
        <v>45</v>
      </c>
      <c r="AB737" s="3" t="s">
        <v>45</v>
      </c>
      <c r="AC737" s="3" t="s">
        <v>45</v>
      </c>
      <c r="AD737" s="3" t="s">
        <v>45</v>
      </c>
      <c r="AE737" s="3" t="s">
        <v>45</v>
      </c>
      <c r="AF737" s="3" t="s">
        <v>45</v>
      </c>
      <c r="AG737" s="3" t="s">
        <v>6891</v>
      </c>
      <c r="AH737" s="3" t="s">
        <v>57</v>
      </c>
      <c r="AI737" s="5" t="s">
        <v>6892</v>
      </c>
      <c r="AJ737" s="5" t="s">
        <v>6893</v>
      </c>
      <c r="AK737" s="3" t="s">
        <v>45</v>
      </c>
      <c r="AL737" s="3" t="s">
        <v>45</v>
      </c>
      <c r="AM737" s="3" t="s">
        <v>45</v>
      </c>
      <c r="AN737" s="3" t="s">
        <v>45</v>
      </c>
      <c r="AO737" s="3" t="s">
        <v>45</v>
      </c>
      <c r="AP737" s="3" t="s">
        <v>45</v>
      </c>
      <c r="AQ737" s="4" t="s">
        <v>3713</v>
      </c>
      <c r="AR737" s="4" t="s">
        <v>1488</v>
      </c>
    </row>
    <row r="738">
      <c r="A738" s="3" t="s">
        <v>6894</v>
      </c>
      <c r="B738" s="3" t="s">
        <v>6895</v>
      </c>
      <c r="C738" s="3" t="s">
        <v>6896</v>
      </c>
      <c r="D738" s="3" t="s">
        <v>6877</v>
      </c>
      <c r="E738" s="4" t="s">
        <v>6897</v>
      </c>
      <c r="F738" s="3" t="s">
        <v>6898</v>
      </c>
      <c r="G738" s="4" t="s">
        <v>6899</v>
      </c>
      <c r="H738" s="4" t="s">
        <v>6900</v>
      </c>
      <c r="I738" s="3" t="s">
        <v>436</v>
      </c>
      <c r="J738" s="3" t="s">
        <v>50</v>
      </c>
      <c r="K738" s="3" t="s">
        <v>45</v>
      </c>
      <c r="L738" s="3" t="s">
        <v>45</v>
      </c>
      <c r="M738" s="3" t="s">
        <v>45</v>
      </c>
      <c r="N738" s="3" t="s">
        <v>45</v>
      </c>
      <c r="O738" s="3" t="s">
        <v>74</v>
      </c>
      <c r="P738" s="3" t="s">
        <v>45</v>
      </c>
      <c r="Q738" s="3" t="s">
        <v>45</v>
      </c>
      <c r="R738" s="3" t="s">
        <v>45</v>
      </c>
      <c r="S738" s="3" t="s">
        <v>45</v>
      </c>
      <c r="T738" s="3" t="s">
        <v>45</v>
      </c>
      <c r="U738" s="3" t="s">
        <v>45</v>
      </c>
      <c r="V738" s="3" t="s">
        <v>45</v>
      </c>
      <c r="W738" s="3" t="s">
        <v>45</v>
      </c>
      <c r="X738" s="3" t="s">
        <v>45</v>
      </c>
      <c r="Y738" s="3" t="s">
        <v>45</v>
      </c>
      <c r="Z738" s="3" t="s">
        <v>55</v>
      </c>
      <c r="AA738" s="5" t="s">
        <v>6901</v>
      </c>
      <c r="AB738" s="3" t="s">
        <v>45</v>
      </c>
      <c r="AC738" s="3" t="s">
        <v>45</v>
      </c>
      <c r="AD738" s="3" t="s">
        <v>45</v>
      </c>
      <c r="AE738" s="3" t="s">
        <v>45</v>
      </c>
      <c r="AF738" s="3" t="s">
        <v>45</v>
      </c>
      <c r="AG738" s="3" t="s">
        <v>45</v>
      </c>
      <c r="AH738" s="3" t="s">
        <v>57</v>
      </c>
      <c r="AI738" s="5" t="s">
        <v>6902</v>
      </c>
      <c r="AJ738" s="5" t="s">
        <v>6901</v>
      </c>
      <c r="AK738" s="5" t="s">
        <v>6903</v>
      </c>
      <c r="AL738" s="3" t="s">
        <v>45</v>
      </c>
      <c r="AM738" s="3" t="s">
        <v>45</v>
      </c>
      <c r="AN738" s="3" t="s">
        <v>45</v>
      </c>
      <c r="AO738" s="3" t="s">
        <v>45</v>
      </c>
      <c r="AP738" s="3" t="s">
        <v>45</v>
      </c>
      <c r="AQ738" s="4" t="s">
        <v>364</v>
      </c>
      <c r="AR738" s="4" t="s">
        <v>364</v>
      </c>
    </row>
    <row r="739">
      <c r="A739" s="3" t="s">
        <v>6904</v>
      </c>
      <c r="B739" s="3" t="s">
        <v>6905</v>
      </c>
      <c r="C739" s="3" t="s">
        <v>6906</v>
      </c>
      <c r="D739" s="3" t="s">
        <v>6877</v>
      </c>
      <c r="E739" s="4" t="s">
        <v>6907</v>
      </c>
      <c r="F739" s="3" t="s">
        <v>2525</v>
      </c>
      <c r="G739" s="4" t="s">
        <v>6908</v>
      </c>
      <c r="H739" s="4" t="s">
        <v>6909</v>
      </c>
      <c r="I739" s="3" t="s">
        <v>218</v>
      </c>
      <c r="J739" s="3" t="s">
        <v>126</v>
      </c>
      <c r="K739" s="3" t="s">
        <v>45</v>
      </c>
      <c r="L739" s="3" t="s">
        <v>45</v>
      </c>
      <c r="M739" s="3" t="s">
        <v>45</v>
      </c>
      <c r="N739" s="3" t="s">
        <v>45</v>
      </c>
      <c r="O739" s="3" t="s">
        <v>74</v>
      </c>
      <c r="P739" s="3" t="s">
        <v>45</v>
      </c>
      <c r="Q739" s="3" t="s">
        <v>45</v>
      </c>
      <c r="R739" s="3" t="s">
        <v>45</v>
      </c>
      <c r="S739" s="4" t="s">
        <v>233</v>
      </c>
      <c r="T739" s="3" t="s">
        <v>45</v>
      </c>
      <c r="U739" s="3" t="s">
        <v>45</v>
      </c>
      <c r="V739" s="4" t="s">
        <v>6910</v>
      </c>
      <c r="W739" s="4" t="s">
        <v>6286</v>
      </c>
      <c r="X739" s="3" t="s">
        <v>45</v>
      </c>
      <c r="Y739" s="3" t="s">
        <v>45</v>
      </c>
      <c r="Z739" s="3" t="s">
        <v>74</v>
      </c>
      <c r="AA739" s="3" t="s">
        <v>45</v>
      </c>
      <c r="AB739" s="3" t="s">
        <v>45</v>
      </c>
      <c r="AC739" s="3" t="s">
        <v>45</v>
      </c>
      <c r="AD739" s="3" t="s">
        <v>45</v>
      </c>
      <c r="AE739" s="3" t="s">
        <v>45</v>
      </c>
      <c r="AF739" s="3" t="s">
        <v>45</v>
      </c>
      <c r="AG739" s="3" t="s">
        <v>45</v>
      </c>
      <c r="AH739" s="3" t="s">
        <v>57</v>
      </c>
      <c r="AI739" s="5" t="s">
        <v>6911</v>
      </c>
      <c r="AJ739" s="5" t="s">
        <v>6912</v>
      </c>
      <c r="AK739" s="3" t="s">
        <v>45</v>
      </c>
      <c r="AL739" s="3" t="s">
        <v>45</v>
      </c>
      <c r="AM739" s="3" t="s">
        <v>45</v>
      </c>
      <c r="AN739" s="3" t="s">
        <v>45</v>
      </c>
      <c r="AO739" s="3" t="s">
        <v>45</v>
      </c>
      <c r="AP739" s="3" t="s">
        <v>45</v>
      </c>
      <c r="AQ739" s="4" t="s">
        <v>6913</v>
      </c>
      <c r="AR739" s="4" t="s">
        <v>4290</v>
      </c>
    </row>
    <row r="740">
      <c r="A740" s="3" t="s">
        <v>3611</v>
      </c>
      <c r="B740" s="3" t="s">
        <v>6914</v>
      </c>
      <c r="C740" s="3" t="s">
        <v>6915</v>
      </c>
      <c r="D740" s="3" t="s">
        <v>6877</v>
      </c>
      <c r="E740" s="4" t="s">
        <v>6916</v>
      </c>
      <c r="F740" s="3" t="s">
        <v>6887</v>
      </c>
      <c r="G740" s="4" t="s">
        <v>6917</v>
      </c>
      <c r="H740" s="4" t="s">
        <v>6918</v>
      </c>
      <c r="I740" s="3" t="s">
        <v>49</v>
      </c>
      <c r="J740" s="3" t="s">
        <v>126</v>
      </c>
      <c r="K740" s="3" t="s">
        <v>45</v>
      </c>
      <c r="L740" s="3" t="s">
        <v>479</v>
      </c>
      <c r="M740" s="3" t="s">
        <v>45</v>
      </c>
      <c r="N740" s="4" t="s">
        <v>6919</v>
      </c>
      <c r="O740" s="3" t="s">
        <v>70</v>
      </c>
      <c r="P740" s="3" t="s">
        <v>3025</v>
      </c>
      <c r="Q740" s="3" t="s">
        <v>55</v>
      </c>
      <c r="R740" s="3" t="s">
        <v>45</v>
      </c>
      <c r="S740" s="3" t="s">
        <v>45</v>
      </c>
      <c r="T740" s="3" t="s">
        <v>45</v>
      </c>
      <c r="U740" s="3" t="s">
        <v>45</v>
      </c>
      <c r="V740" s="3" t="s">
        <v>45</v>
      </c>
      <c r="W740" s="3" t="s">
        <v>45</v>
      </c>
      <c r="X740" s="3" t="s">
        <v>45</v>
      </c>
      <c r="Y740" s="4" t="s">
        <v>317</v>
      </c>
      <c r="Z740" s="3" t="s">
        <v>74</v>
      </c>
      <c r="AA740" s="3" t="s">
        <v>45</v>
      </c>
      <c r="AB740" s="3" t="s">
        <v>45</v>
      </c>
      <c r="AC740" s="3" t="s">
        <v>45</v>
      </c>
      <c r="AD740" s="3" t="s">
        <v>45</v>
      </c>
      <c r="AE740" s="3" t="s">
        <v>45</v>
      </c>
      <c r="AF740" s="3" t="s">
        <v>45</v>
      </c>
      <c r="AG740" s="3" t="s">
        <v>6920</v>
      </c>
      <c r="AH740" s="3" t="s">
        <v>57</v>
      </c>
      <c r="AI740" s="5" t="s">
        <v>6921</v>
      </c>
      <c r="AJ740" s="5" t="s">
        <v>6922</v>
      </c>
      <c r="AK740" s="3" t="s">
        <v>45</v>
      </c>
      <c r="AL740" s="3" t="s">
        <v>45</v>
      </c>
      <c r="AM740" s="3" t="s">
        <v>45</v>
      </c>
      <c r="AN740" s="3" t="s">
        <v>45</v>
      </c>
      <c r="AO740" s="3" t="s">
        <v>45</v>
      </c>
      <c r="AP740" s="3" t="s">
        <v>45</v>
      </c>
      <c r="AQ740" s="4" t="s">
        <v>671</v>
      </c>
      <c r="AR740" s="4" t="s">
        <v>671</v>
      </c>
    </row>
    <row r="741">
      <c r="A741" s="3" t="s">
        <v>6923</v>
      </c>
      <c r="B741" s="3" t="s">
        <v>6924</v>
      </c>
      <c r="C741" s="3" t="s">
        <v>6925</v>
      </c>
      <c r="D741" s="3" t="s">
        <v>6877</v>
      </c>
      <c r="E741" s="4" t="s">
        <v>6926</v>
      </c>
      <c r="F741" s="3" t="s">
        <v>2525</v>
      </c>
      <c r="G741" s="4" t="s">
        <v>6927</v>
      </c>
      <c r="H741" s="4" t="s">
        <v>6928</v>
      </c>
      <c r="I741" s="3" t="s">
        <v>85</v>
      </c>
      <c r="J741" s="3" t="s">
        <v>126</v>
      </c>
      <c r="K741" s="3" t="s">
        <v>45</v>
      </c>
      <c r="L741" s="3" t="s">
        <v>45</v>
      </c>
      <c r="M741" s="3" t="s">
        <v>45</v>
      </c>
      <c r="N741" s="3" t="s">
        <v>45</v>
      </c>
      <c r="O741" s="3" t="s">
        <v>74</v>
      </c>
      <c r="P741" s="3" t="s">
        <v>45</v>
      </c>
      <c r="Q741" s="3" t="s">
        <v>45</v>
      </c>
      <c r="R741" s="3" t="s">
        <v>45</v>
      </c>
      <c r="S741" s="3" t="s">
        <v>45</v>
      </c>
      <c r="T741" s="3" t="s">
        <v>45</v>
      </c>
      <c r="U741" s="3" t="s">
        <v>45</v>
      </c>
      <c r="V741" s="3" t="s">
        <v>45</v>
      </c>
      <c r="W741" s="3" t="s">
        <v>45</v>
      </c>
      <c r="X741" s="3" t="s">
        <v>45</v>
      </c>
      <c r="Y741" s="3" t="s">
        <v>45</v>
      </c>
      <c r="Z741" s="3" t="s">
        <v>74</v>
      </c>
      <c r="AA741" s="3" t="s">
        <v>45</v>
      </c>
      <c r="AB741" s="3" t="s">
        <v>45</v>
      </c>
      <c r="AC741" s="3" t="s">
        <v>45</v>
      </c>
      <c r="AD741" s="3" t="s">
        <v>45</v>
      </c>
      <c r="AE741" s="3" t="s">
        <v>45</v>
      </c>
      <c r="AF741" s="3" t="s">
        <v>45</v>
      </c>
      <c r="AG741" s="3" t="s">
        <v>45</v>
      </c>
      <c r="AH741" s="3" t="s">
        <v>57</v>
      </c>
      <c r="AI741" s="3" t="s">
        <v>45</v>
      </c>
      <c r="AJ741" s="3" t="s">
        <v>45</v>
      </c>
      <c r="AK741" s="3" t="s">
        <v>45</v>
      </c>
      <c r="AL741" s="3" t="s">
        <v>45</v>
      </c>
      <c r="AM741" s="3" t="s">
        <v>45</v>
      </c>
      <c r="AN741" s="3" t="s">
        <v>45</v>
      </c>
      <c r="AO741" s="3" t="s">
        <v>45</v>
      </c>
      <c r="AP741" s="3" t="s">
        <v>45</v>
      </c>
      <c r="AQ741" s="4" t="s">
        <v>162</v>
      </c>
      <c r="AR741" s="4" t="s">
        <v>162</v>
      </c>
    </row>
    <row r="742">
      <c r="A742" s="3" t="s">
        <v>6929</v>
      </c>
      <c r="B742" s="3" t="s">
        <v>6930</v>
      </c>
      <c r="C742" s="3" t="s">
        <v>6925</v>
      </c>
      <c r="D742" s="3" t="s">
        <v>6877</v>
      </c>
      <c r="E742" s="4" t="s">
        <v>6926</v>
      </c>
      <c r="F742" s="3" t="s">
        <v>2525</v>
      </c>
      <c r="G742" s="4" t="s">
        <v>6931</v>
      </c>
      <c r="H742" s="4" t="s">
        <v>6932</v>
      </c>
      <c r="I742" s="3" t="s">
        <v>85</v>
      </c>
      <c r="J742" s="3" t="s">
        <v>126</v>
      </c>
      <c r="K742" s="3" t="s">
        <v>45</v>
      </c>
      <c r="L742" s="3" t="s">
        <v>45</v>
      </c>
      <c r="M742" s="3" t="s">
        <v>45</v>
      </c>
      <c r="N742" s="4" t="s">
        <v>472</v>
      </c>
      <c r="O742" s="3" t="s">
        <v>390</v>
      </c>
      <c r="P742" s="3" t="s">
        <v>45</v>
      </c>
      <c r="Q742" s="3" t="s">
        <v>45</v>
      </c>
      <c r="R742" s="3" t="s">
        <v>45</v>
      </c>
      <c r="S742" s="3" t="s">
        <v>45</v>
      </c>
      <c r="T742" s="3" t="s">
        <v>45</v>
      </c>
      <c r="U742" s="3" t="s">
        <v>45</v>
      </c>
      <c r="V742" s="4" t="s">
        <v>6933</v>
      </c>
      <c r="W742" s="3" t="s">
        <v>45</v>
      </c>
      <c r="X742" s="3" t="s">
        <v>45</v>
      </c>
      <c r="Y742" s="3" t="s">
        <v>45</v>
      </c>
      <c r="Z742" s="3" t="s">
        <v>74</v>
      </c>
      <c r="AA742" s="3" t="s">
        <v>45</v>
      </c>
      <c r="AB742" s="3" t="s">
        <v>45</v>
      </c>
      <c r="AC742" s="3" t="s">
        <v>45</v>
      </c>
      <c r="AD742" s="3" t="s">
        <v>45</v>
      </c>
      <c r="AE742" s="3" t="s">
        <v>45</v>
      </c>
      <c r="AF742" s="3" t="s">
        <v>45</v>
      </c>
      <c r="AG742" s="3" t="s">
        <v>45</v>
      </c>
      <c r="AH742" s="3" t="s">
        <v>57</v>
      </c>
      <c r="AI742" s="5" t="s">
        <v>6934</v>
      </c>
      <c r="AJ742" s="3" t="s">
        <v>45</v>
      </c>
      <c r="AK742" s="3" t="s">
        <v>45</v>
      </c>
      <c r="AL742" s="3" t="s">
        <v>45</v>
      </c>
      <c r="AM742" s="3" t="s">
        <v>45</v>
      </c>
      <c r="AN742" s="3" t="s">
        <v>45</v>
      </c>
      <c r="AO742" s="3" t="s">
        <v>45</v>
      </c>
      <c r="AP742" s="3" t="s">
        <v>45</v>
      </c>
      <c r="AQ742" s="4" t="s">
        <v>3349</v>
      </c>
      <c r="AR742" s="4" t="s">
        <v>3349</v>
      </c>
    </row>
    <row r="743">
      <c r="A743" s="3" t="s">
        <v>6935</v>
      </c>
      <c r="B743" s="3" t="s">
        <v>6936</v>
      </c>
      <c r="C743" s="3" t="s">
        <v>6925</v>
      </c>
      <c r="D743" s="3" t="s">
        <v>6877</v>
      </c>
      <c r="E743" s="4" t="s">
        <v>6926</v>
      </c>
      <c r="F743" s="3" t="s">
        <v>2525</v>
      </c>
      <c r="G743" s="4" t="s">
        <v>6937</v>
      </c>
      <c r="H743" s="4" t="s">
        <v>6938</v>
      </c>
      <c r="I743" s="3" t="s">
        <v>85</v>
      </c>
      <c r="J743" s="3" t="s">
        <v>126</v>
      </c>
      <c r="K743" s="3" t="s">
        <v>45</v>
      </c>
      <c r="L743" s="3" t="s">
        <v>45</v>
      </c>
      <c r="M743" s="3" t="s">
        <v>45</v>
      </c>
      <c r="N743" s="3" t="s">
        <v>6939</v>
      </c>
      <c r="O743" s="3" t="s">
        <v>390</v>
      </c>
      <c r="P743" s="3" t="s">
        <v>45</v>
      </c>
      <c r="Q743" s="3" t="s">
        <v>45</v>
      </c>
      <c r="R743" s="3" t="s">
        <v>45</v>
      </c>
      <c r="S743" s="3" t="s">
        <v>45</v>
      </c>
      <c r="T743" s="3" t="s">
        <v>45</v>
      </c>
      <c r="U743" s="3" t="s">
        <v>45</v>
      </c>
      <c r="V743" s="3" t="s">
        <v>45</v>
      </c>
      <c r="W743" s="3" t="s">
        <v>45</v>
      </c>
      <c r="X743" s="3" t="s">
        <v>45</v>
      </c>
      <c r="Y743" s="3" t="s">
        <v>45</v>
      </c>
      <c r="Z743" s="3" t="s">
        <v>74</v>
      </c>
      <c r="AA743" s="3" t="s">
        <v>45</v>
      </c>
      <c r="AB743" s="3" t="s">
        <v>45</v>
      </c>
      <c r="AC743" s="3" t="s">
        <v>45</v>
      </c>
      <c r="AD743" s="3" t="s">
        <v>45</v>
      </c>
      <c r="AE743" s="3" t="s">
        <v>45</v>
      </c>
      <c r="AF743" s="3" t="s">
        <v>45</v>
      </c>
      <c r="AG743" s="3" t="s">
        <v>45</v>
      </c>
      <c r="AH743" s="3" t="s">
        <v>57</v>
      </c>
      <c r="AI743" s="5" t="s">
        <v>6934</v>
      </c>
      <c r="AJ743" s="3" t="s">
        <v>45</v>
      </c>
      <c r="AK743" s="3" t="s">
        <v>45</v>
      </c>
      <c r="AL743" s="3" t="s">
        <v>45</v>
      </c>
      <c r="AM743" s="3" t="s">
        <v>45</v>
      </c>
      <c r="AN743" s="3" t="s">
        <v>45</v>
      </c>
      <c r="AO743" s="3" t="s">
        <v>45</v>
      </c>
      <c r="AP743" s="3" t="s">
        <v>45</v>
      </c>
      <c r="AQ743" s="4" t="s">
        <v>3349</v>
      </c>
      <c r="AR743" s="4" t="s">
        <v>3349</v>
      </c>
    </row>
    <row r="744">
      <c r="A744" s="3" t="s">
        <v>6940</v>
      </c>
      <c r="B744" s="3" t="s">
        <v>6941</v>
      </c>
      <c r="C744" s="3" t="s">
        <v>6925</v>
      </c>
      <c r="D744" s="3" t="s">
        <v>6877</v>
      </c>
      <c r="E744" s="4" t="s">
        <v>6926</v>
      </c>
      <c r="F744" s="3" t="s">
        <v>2525</v>
      </c>
      <c r="G744" s="4" t="s">
        <v>6942</v>
      </c>
      <c r="H744" s="4" t="s">
        <v>6932</v>
      </c>
      <c r="I744" s="3" t="s">
        <v>85</v>
      </c>
      <c r="J744" s="3" t="s">
        <v>126</v>
      </c>
      <c r="K744" s="3" t="s">
        <v>45</v>
      </c>
      <c r="L744" s="3" t="s">
        <v>45</v>
      </c>
      <c r="M744" s="3" t="s">
        <v>45</v>
      </c>
      <c r="N744" s="3" t="s">
        <v>6939</v>
      </c>
      <c r="O744" s="3" t="s">
        <v>390</v>
      </c>
      <c r="P744" s="3" t="s">
        <v>45</v>
      </c>
      <c r="Q744" s="3" t="s">
        <v>45</v>
      </c>
      <c r="R744" s="3" t="s">
        <v>45</v>
      </c>
      <c r="S744" s="3" t="s">
        <v>45</v>
      </c>
      <c r="T744" s="3" t="s">
        <v>45</v>
      </c>
      <c r="U744" s="3" t="s">
        <v>45</v>
      </c>
      <c r="V744" s="3" t="s">
        <v>45</v>
      </c>
      <c r="W744" s="3" t="s">
        <v>45</v>
      </c>
      <c r="X744" s="3" t="s">
        <v>45</v>
      </c>
      <c r="Y744" s="3" t="s">
        <v>45</v>
      </c>
      <c r="Z744" s="3" t="s">
        <v>74</v>
      </c>
      <c r="AA744" s="3" t="s">
        <v>45</v>
      </c>
      <c r="AB744" s="3" t="s">
        <v>45</v>
      </c>
      <c r="AC744" s="3" t="s">
        <v>45</v>
      </c>
      <c r="AD744" s="3" t="s">
        <v>45</v>
      </c>
      <c r="AE744" s="3" t="s">
        <v>45</v>
      </c>
      <c r="AF744" s="3" t="s">
        <v>45</v>
      </c>
      <c r="AG744" s="3" t="s">
        <v>45</v>
      </c>
      <c r="AH744" s="3" t="s">
        <v>57</v>
      </c>
      <c r="AI744" s="5" t="s">
        <v>6934</v>
      </c>
      <c r="AJ744" s="3" t="s">
        <v>45</v>
      </c>
      <c r="AK744" s="3" t="s">
        <v>45</v>
      </c>
      <c r="AL744" s="3" t="s">
        <v>45</v>
      </c>
      <c r="AM744" s="3" t="s">
        <v>45</v>
      </c>
      <c r="AN744" s="3" t="s">
        <v>45</v>
      </c>
      <c r="AO744" s="3" t="s">
        <v>45</v>
      </c>
      <c r="AP744" s="3" t="s">
        <v>45</v>
      </c>
      <c r="AQ744" s="4" t="s">
        <v>3349</v>
      </c>
      <c r="AR744" s="4" t="s">
        <v>3349</v>
      </c>
    </row>
    <row r="745">
      <c r="A745" s="3" t="s">
        <v>6943</v>
      </c>
      <c r="B745" s="3" t="s">
        <v>6944</v>
      </c>
      <c r="C745" s="3" t="s">
        <v>6925</v>
      </c>
      <c r="D745" s="3" t="s">
        <v>6877</v>
      </c>
      <c r="E745" s="4" t="s">
        <v>6926</v>
      </c>
      <c r="F745" s="3" t="s">
        <v>2525</v>
      </c>
      <c r="G745" s="4" t="s">
        <v>6945</v>
      </c>
      <c r="H745" s="4" t="s">
        <v>6946</v>
      </c>
      <c r="I745" s="3" t="s">
        <v>85</v>
      </c>
      <c r="J745" s="3" t="s">
        <v>126</v>
      </c>
      <c r="K745" s="3" t="s">
        <v>45</v>
      </c>
      <c r="L745" s="3" t="s">
        <v>45</v>
      </c>
      <c r="M745" s="3" t="s">
        <v>45</v>
      </c>
      <c r="N745" s="3" t="s">
        <v>6939</v>
      </c>
      <c r="O745" s="3" t="s">
        <v>390</v>
      </c>
      <c r="P745" s="3" t="s">
        <v>45</v>
      </c>
      <c r="Q745" s="3" t="s">
        <v>45</v>
      </c>
      <c r="R745" s="3" t="s">
        <v>45</v>
      </c>
      <c r="S745" s="3" t="s">
        <v>45</v>
      </c>
      <c r="T745" s="3" t="s">
        <v>45</v>
      </c>
      <c r="U745" s="3" t="s">
        <v>45</v>
      </c>
      <c r="V745" s="3" t="s">
        <v>45</v>
      </c>
      <c r="W745" s="3" t="s">
        <v>45</v>
      </c>
      <c r="X745" s="3" t="s">
        <v>45</v>
      </c>
      <c r="Y745" s="3" t="s">
        <v>45</v>
      </c>
      <c r="Z745" s="3" t="s">
        <v>74</v>
      </c>
      <c r="AA745" s="3" t="s">
        <v>45</v>
      </c>
      <c r="AB745" s="3" t="s">
        <v>45</v>
      </c>
      <c r="AC745" s="3" t="s">
        <v>45</v>
      </c>
      <c r="AD745" s="3" t="s">
        <v>45</v>
      </c>
      <c r="AE745" s="3" t="s">
        <v>45</v>
      </c>
      <c r="AF745" s="3" t="s">
        <v>45</v>
      </c>
      <c r="AG745" s="3" t="s">
        <v>45</v>
      </c>
      <c r="AH745" s="3" t="s">
        <v>57</v>
      </c>
      <c r="AI745" s="5" t="s">
        <v>6934</v>
      </c>
      <c r="AJ745" s="3" t="s">
        <v>45</v>
      </c>
      <c r="AK745" s="3" t="s">
        <v>45</v>
      </c>
      <c r="AL745" s="3" t="s">
        <v>45</v>
      </c>
      <c r="AM745" s="3" t="s">
        <v>45</v>
      </c>
      <c r="AN745" s="3" t="s">
        <v>45</v>
      </c>
      <c r="AO745" s="3" t="s">
        <v>45</v>
      </c>
      <c r="AP745" s="3" t="s">
        <v>45</v>
      </c>
      <c r="AQ745" s="4" t="s">
        <v>3349</v>
      </c>
      <c r="AR745" s="4" t="s">
        <v>3349</v>
      </c>
    </row>
    <row r="746">
      <c r="A746" s="3" t="s">
        <v>6947</v>
      </c>
      <c r="B746" s="3" t="s">
        <v>6948</v>
      </c>
      <c r="C746" s="3" t="s">
        <v>6925</v>
      </c>
      <c r="D746" s="3" t="s">
        <v>6877</v>
      </c>
      <c r="E746" s="4" t="s">
        <v>6926</v>
      </c>
      <c r="F746" s="3" t="s">
        <v>2525</v>
      </c>
      <c r="G746" s="4" t="s">
        <v>6949</v>
      </c>
      <c r="H746" s="4" t="s">
        <v>6946</v>
      </c>
      <c r="I746" s="3" t="s">
        <v>85</v>
      </c>
      <c r="J746" s="3" t="s">
        <v>126</v>
      </c>
      <c r="K746" s="3" t="s">
        <v>45</v>
      </c>
      <c r="L746" s="3" t="s">
        <v>45</v>
      </c>
      <c r="M746" s="3" t="s">
        <v>45</v>
      </c>
      <c r="N746" s="4" t="s">
        <v>471</v>
      </c>
      <c r="O746" s="3" t="s">
        <v>390</v>
      </c>
      <c r="P746" s="3" t="s">
        <v>45</v>
      </c>
      <c r="Q746" s="3" t="s">
        <v>45</v>
      </c>
      <c r="R746" s="3" t="s">
        <v>45</v>
      </c>
      <c r="S746" s="3" t="s">
        <v>45</v>
      </c>
      <c r="T746" s="3" t="s">
        <v>45</v>
      </c>
      <c r="U746" s="3" t="s">
        <v>45</v>
      </c>
      <c r="V746" s="4" t="s">
        <v>1957</v>
      </c>
      <c r="W746" s="3" t="s">
        <v>45</v>
      </c>
      <c r="X746" s="3" t="s">
        <v>45</v>
      </c>
      <c r="Y746" s="3" t="s">
        <v>45</v>
      </c>
      <c r="Z746" s="3" t="s">
        <v>74</v>
      </c>
      <c r="AA746" s="3" t="s">
        <v>45</v>
      </c>
      <c r="AB746" s="3" t="s">
        <v>45</v>
      </c>
      <c r="AC746" s="3" t="s">
        <v>45</v>
      </c>
      <c r="AD746" s="3" t="s">
        <v>45</v>
      </c>
      <c r="AE746" s="3" t="s">
        <v>45</v>
      </c>
      <c r="AF746" s="3" t="s">
        <v>45</v>
      </c>
      <c r="AG746" s="3" t="s">
        <v>45</v>
      </c>
      <c r="AH746" s="3" t="s">
        <v>57</v>
      </c>
      <c r="AI746" s="5" t="s">
        <v>6934</v>
      </c>
      <c r="AJ746" s="3" t="s">
        <v>45</v>
      </c>
      <c r="AK746" s="3" t="s">
        <v>45</v>
      </c>
      <c r="AL746" s="3" t="s">
        <v>45</v>
      </c>
      <c r="AM746" s="3" t="s">
        <v>45</v>
      </c>
      <c r="AN746" s="3" t="s">
        <v>45</v>
      </c>
      <c r="AO746" s="3" t="s">
        <v>45</v>
      </c>
      <c r="AP746" s="3" t="s">
        <v>45</v>
      </c>
      <c r="AQ746" s="4" t="s">
        <v>3349</v>
      </c>
      <c r="AR746" s="4" t="s">
        <v>3349</v>
      </c>
    </row>
    <row r="747">
      <c r="A747" s="3" t="s">
        <v>6950</v>
      </c>
      <c r="B747" s="3" t="s">
        <v>45</v>
      </c>
      <c r="C747" s="3" t="s">
        <v>6925</v>
      </c>
      <c r="D747" s="3" t="s">
        <v>6877</v>
      </c>
      <c r="E747" s="4" t="s">
        <v>6926</v>
      </c>
      <c r="F747" s="3" t="s">
        <v>2525</v>
      </c>
      <c r="G747" s="4" t="s">
        <v>6951</v>
      </c>
      <c r="H747" s="4" t="s">
        <v>6952</v>
      </c>
      <c r="I747" s="3" t="s">
        <v>49</v>
      </c>
      <c r="J747" s="3" t="s">
        <v>50</v>
      </c>
      <c r="K747" s="3" t="s">
        <v>45</v>
      </c>
      <c r="L747" s="3" t="s">
        <v>45</v>
      </c>
      <c r="M747" s="3" t="s">
        <v>45</v>
      </c>
      <c r="N747" s="4" t="s">
        <v>1580</v>
      </c>
      <c r="O747" s="3" t="s">
        <v>390</v>
      </c>
      <c r="P747" s="3" t="s">
        <v>45</v>
      </c>
      <c r="Q747" s="3" t="s">
        <v>45</v>
      </c>
      <c r="R747" s="3" t="s">
        <v>45</v>
      </c>
      <c r="S747" s="3" t="s">
        <v>45</v>
      </c>
      <c r="T747" s="3" t="s">
        <v>45</v>
      </c>
      <c r="U747" s="3" t="s">
        <v>45</v>
      </c>
      <c r="V747" s="4" t="s">
        <v>2700</v>
      </c>
      <c r="W747" s="3" t="s">
        <v>45</v>
      </c>
      <c r="X747" s="3" t="s">
        <v>45</v>
      </c>
      <c r="Y747" s="3" t="s">
        <v>45</v>
      </c>
      <c r="Z747" s="3" t="s">
        <v>74</v>
      </c>
      <c r="AA747" s="3" t="s">
        <v>45</v>
      </c>
      <c r="AB747" s="3" t="s">
        <v>45</v>
      </c>
      <c r="AC747" s="3" t="s">
        <v>45</v>
      </c>
      <c r="AD747" s="3" t="s">
        <v>45</v>
      </c>
      <c r="AE747" s="3" t="s">
        <v>45</v>
      </c>
      <c r="AF747" s="3" t="s">
        <v>45</v>
      </c>
      <c r="AG747" s="3" t="s">
        <v>45</v>
      </c>
      <c r="AH747" s="3" t="s">
        <v>57</v>
      </c>
      <c r="AI747" s="5" t="s">
        <v>6934</v>
      </c>
      <c r="AJ747" s="3" t="s">
        <v>45</v>
      </c>
      <c r="AK747" s="3" t="s">
        <v>45</v>
      </c>
      <c r="AL747" s="3" t="s">
        <v>45</v>
      </c>
      <c r="AM747" s="3" t="s">
        <v>45</v>
      </c>
      <c r="AN747" s="3" t="s">
        <v>45</v>
      </c>
      <c r="AO747" s="3" t="s">
        <v>45</v>
      </c>
      <c r="AP747" s="3" t="s">
        <v>45</v>
      </c>
      <c r="AQ747" s="4" t="s">
        <v>3349</v>
      </c>
      <c r="AR747" s="4" t="s">
        <v>3349</v>
      </c>
    </row>
    <row r="748">
      <c r="A748" s="3" t="s">
        <v>6953</v>
      </c>
      <c r="B748" s="3" t="s">
        <v>6954</v>
      </c>
      <c r="C748" s="3" t="s">
        <v>6925</v>
      </c>
      <c r="D748" s="3" t="s">
        <v>6877</v>
      </c>
      <c r="E748" s="4" t="s">
        <v>6926</v>
      </c>
      <c r="F748" s="3" t="s">
        <v>2525</v>
      </c>
      <c r="G748" s="4" t="s">
        <v>6955</v>
      </c>
      <c r="H748" s="4" t="s">
        <v>6956</v>
      </c>
      <c r="I748" s="3" t="s">
        <v>85</v>
      </c>
      <c r="J748" s="3" t="s">
        <v>126</v>
      </c>
      <c r="K748" s="3" t="s">
        <v>45</v>
      </c>
      <c r="L748" s="3" t="s">
        <v>45</v>
      </c>
      <c r="M748" s="3" t="s">
        <v>45</v>
      </c>
      <c r="N748" s="3" t="s">
        <v>6957</v>
      </c>
      <c r="O748" s="3" t="s">
        <v>53</v>
      </c>
      <c r="P748" s="3" t="s">
        <v>45</v>
      </c>
      <c r="Q748" s="3" t="s">
        <v>45</v>
      </c>
      <c r="R748" s="3" t="s">
        <v>45</v>
      </c>
      <c r="S748" s="3" t="s">
        <v>45</v>
      </c>
      <c r="T748" s="3" t="s">
        <v>45</v>
      </c>
      <c r="U748" s="3" t="s">
        <v>45</v>
      </c>
      <c r="V748" s="4" t="s">
        <v>6958</v>
      </c>
      <c r="W748" s="3" t="s">
        <v>45</v>
      </c>
      <c r="X748" s="3" t="s">
        <v>45</v>
      </c>
      <c r="Y748" s="3" t="s">
        <v>45</v>
      </c>
      <c r="Z748" s="3" t="s">
        <v>74</v>
      </c>
      <c r="AA748" s="3" t="s">
        <v>45</v>
      </c>
      <c r="AB748" s="3" t="s">
        <v>45</v>
      </c>
      <c r="AC748" s="3" t="s">
        <v>45</v>
      </c>
      <c r="AD748" s="3" t="s">
        <v>45</v>
      </c>
      <c r="AE748" s="3" t="s">
        <v>45</v>
      </c>
      <c r="AF748" s="3" t="s">
        <v>45</v>
      </c>
      <c r="AG748" s="3" t="s">
        <v>45</v>
      </c>
      <c r="AH748" s="3" t="s">
        <v>57</v>
      </c>
      <c r="AI748" s="5" t="s">
        <v>6959</v>
      </c>
      <c r="AJ748" s="3" t="s">
        <v>45</v>
      </c>
      <c r="AK748" s="3" t="s">
        <v>45</v>
      </c>
      <c r="AL748" s="3" t="s">
        <v>45</v>
      </c>
      <c r="AM748" s="3" t="s">
        <v>45</v>
      </c>
      <c r="AN748" s="3" t="s">
        <v>45</v>
      </c>
      <c r="AO748" s="3" t="s">
        <v>45</v>
      </c>
      <c r="AP748" s="3" t="s">
        <v>45</v>
      </c>
      <c r="AQ748" s="4" t="s">
        <v>854</v>
      </c>
      <c r="AR748" s="4" t="s">
        <v>854</v>
      </c>
    </row>
    <row r="749">
      <c r="A749" s="3" t="s">
        <v>6960</v>
      </c>
      <c r="B749" s="3" t="s">
        <v>6961</v>
      </c>
      <c r="C749" s="3" t="s">
        <v>6925</v>
      </c>
      <c r="D749" s="3" t="s">
        <v>6877</v>
      </c>
      <c r="E749" s="4" t="s">
        <v>6926</v>
      </c>
      <c r="F749" s="3" t="s">
        <v>2525</v>
      </c>
      <c r="G749" s="4" t="s">
        <v>6962</v>
      </c>
      <c r="H749" s="4" t="s">
        <v>6963</v>
      </c>
      <c r="I749" s="3" t="s">
        <v>408</v>
      </c>
      <c r="J749" s="3" t="s">
        <v>126</v>
      </c>
      <c r="K749" s="3" t="s">
        <v>45</v>
      </c>
      <c r="L749" s="3" t="s">
        <v>6964</v>
      </c>
      <c r="M749" s="3" t="s">
        <v>45</v>
      </c>
      <c r="N749" s="4" t="s">
        <v>104</v>
      </c>
      <c r="O749" s="3" t="s">
        <v>53</v>
      </c>
      <c r="P749" s="3" t="s">
        <v>45</v>
      </c>
      <c r="Q749" s="3" t="s">
        <v>45</v>
      </c>
      <c r="R749" s="3" t="s">
        <v>45</v>
      </c>
      <c r="S749" s="3" t="s">
        <v>45</v>
      </c>
      <c r="T749" s="3" t="s">
        <v>45</v>
      </c>
      <c r="U749" s="3" t="s">
        <v>45</v>
      </c>
      <c r="V749" s="3" t="s">
        <v>45</v>
      </c>
      <c r="W749" s="3" t="s">
        <v>45</v>
      </c>
      <c r="X749" s="3" t="s">
        <v>45</v>
      </c>
      <c r="Y749" s="3" t="s">
        <v>45</v>
      </c>
      <c r="Z749" s="3" t="s">
        <v>74</v>
      </c>
      <c r="AA749" s="3" t="s">
        <v>45</v>
      </c>
      <c r="AB749" s="3" t="s">
        <v>45</v>
      </c>
      <c r="AC749" s="3" t="s">
        <v>45</v>
      </c>
      <c r="AD749" s="3" t="s">
        <v>45</v>
      </c>
      <c r="AE749" s="3" t="s">
        <v>45</v>
      </c>
      <c r="AF749" s="3" t="s">
        <v>45</v>
      </c>
      <c r="AG749" s="3" t="s">
        <v>45</v>
      </c>
      <c r="AH749" s="3" t="s">
        <v>57</v>
      </c>
      <c r="AI749" s="5" t="s">
        <v>6965</v>
      </c>
      <c r="AJ749" s="3" t="s">
        <v>45</v>
      </c>
      <c r="AK749" s="3" t="s">
        <v>45</v>
      </c>
      <c r="AL749" s="3" t="s">
        <v>45</v>
      </c>
      <c r="AM749" s="3" t="s">
        <v>45</v>
      </c>
      <c r="AN749" s="3" t="s">
        <v>45</v>
      </c>
      <c r="AO749" s="3" t="s">
        <v>45</v>
      </c>
      <c r="AP749" s="3" t="s">
        <v>45</v>
      </c>
      <c r="AQ749" s="4" t="s">
        <v>162</v>
      </c>
      <c r="AR749" s="4" t="s">
        <v>162</v>
      </c>
    </row>
    <row r="750">
      <c r="A750" s="3" t="s">
        <v>6966</v>
      </c>
      <c r="B750" s="3" t="s">
        <v>6967</v>
      </c>
      <c r="C750" s="3" t="s">
        <v>6925</v>
      </c>
      <c r="D750" s="3" t="s">
        <v>6877</v>
      </c>
      <c r="E750" s="4" t="s">
        <v>6926</v>
      </c>
      <c r="F750" s="3" t="s">
        <v>2525</v>
      </c>
      <c r="G750" s="4" t="s">
        <v>6968</v>
      </c>
      <c r="H750" s="4" t="s">
        <v>6969</v>
      </c>
      <c r="I750" s="3" t="s">
        <v>408</v>
      </c>
      <c r="J750" s="3" t="s">
        <v>126</v>
      </c>
      <c r="K750" s="3" t="s">
        <v>45</v>
      </c>
      <c r="L750" s="3" t="s">
        <v>6964</v>
      </c>
      <c r="M750" s="3" t="s">
        <v>45</v>
      </c>
      <c r="N750" s="4" t="s">
        <v>1153</v>
      </c>
      <c r="O750" s="3" t="s">
        <v>88</v>
      </c>
      <c r="P750" s="3" t="s">
        <v>45</v>
      </c>
      <c r="Q750" s="3" t="s">
        <v>45</v>
      </c>
      <c r="R750" s="3" t="s">
        <v>45</v>
      </c>
      <c r="S750" s="4" t="s">
        <v>104</v>
      </c>
      <c r="T750" s="3" t="s">
        <v>45</v>
      </c>
      <c r="U750" s="3" t="s">
        <v>45</v>
      </c>
      <c r="V750" s="3" t="s">
        <v>45</v>
      </c>
      <c r="W750" s="3" t="s">
        <v>45</v>
      </c>
      <c r="X750" s="3" t="s">
        <v>45</v>
      </c>
      <c r="Y750" s="4" t="s">
        <v>317</v>
      </c>
      <c r="Z750" s="3" t="s">
        <v>74</v>
      </c>
      <c r="AA750" s="3" t="s">
        <v>45</v>
      </c>
      <c r="AB750" s="3" t="s">
        <v>45</v>
      </c>
      <c r="AC750" s="3" t="s">
        <v>45</v>
      </c>
      <c r="AD750" s="3" t="s">
        <v>45</v>
      </c>
      <c r="AE750" s="3" t="s">
        <v>45</v>
      </c>
      <c r="AF750" s="3" t="s">
        <v>45</v>
      </c>
      <c r="AG750" s="3" t="s">
        <v>45</v>
      </c>
      <c r="AH750" s="3" t="s">
        <v>57</v>
      </c>
      <c r="AI750" s="5" t="s">
        <v>6965</v>
      </c>
      <c r="AJ750" s="5" t="s">
        <v>6970</v>
      </c>
      <c r="AK750" s="3" t="s">
        <v>45</v>
      </c>
      <c r="AL750" s="3" t="s">
        <v>45</v>
      </c>
      <c r="AM750" s="3" t="s">
        <v>45</v>
      </c>
      <c r="AN750" s="3" t="s">
        <v>45</v>
      </c>
      <c r="AO750" s="3" t="s">
        <v>45</v>
      </c>
      <c r="AP750" s="3" t="s">
        <v>45</v>
      </c>
      <c r="AQ750" s="4" t="s">
        <v>162</v>
      </c>
      <c r="AR750" s="4" t="s">
        <v>162</v>
      </c>
    </row>
    <row r="751">
      <c r="A751" s="3" t="s">
        <v>6971</v>
      </c>
      <c r="B751" s="3" t="s">
        <v>6972</v>
      </c>
      <c r="C751" s="3" t="s">
        <v>6973</v>
      </c>
      <c r="D751" s="3" t="s">
        <v>6877</v>
      </c>
      <c r="E751" s="4" t="s">
        <v>6974</v>
      </c>
      <c r="F751" s="3" t="s">
        <v>6975</v>
      </c>
      <c r="G751" s="4" t="s">
        <v>6976</v>
      </c>
      <c r="H751" s="4" t="s">
        <v>6977</v>
      </c>
      <c r="I751" s="3" t="s">
        <v>245</v>
      </c>
      <c r="J751" s="3" t="s">
        <v>50</v>
      </c>
      <c r="K751" s="3" t="s">
        <v>45</v>
      </c>
      <c r="L751" s="3" t="s">
        <v>6978</v>
      </c>
      <c r="M751" s="3" t="s">
        <v>45</v>
      </c>
      <c r="N751" s="4" t="s">
        <v>2982</v>
      </c>
      <c r="O751" s="3" t="s">
        <v>74</v>
      </c>
      <c r="P751" s="3" t="s">
        <v>45</v>
      </c>
      <c r="Q751" s="3" t="s">
        <v>45</v>
      </c>
      <c r="R751" s="3" t="s">
        <v>45</v>
      </c>
      <c r="S751" s="3" t="s">
        <v>45</v>
      </c>
      <c r="T751" s="3" t="s">
        <v>45</v>
      </c>
      <c r="U751" s="3" t="s">
        <v>221</v>
      </c>
      <c r="V751" s="3" t="s">
        <v>45</v>
      </c>
      <c r="W751" s="4" t="s">
        <v>2982</v>
      </c>
      <c r="X751" s="3" t="s">
        <v>6979</v>
      </c>
      <c r="Y751" s="3" t="s">
        <v>45</v>
      </c>
      <c r="Z751" s="3" t="s">
        <v>55</v>
      </c>
      <c r="AA751" s="3" t="s">
        <v>45</v>
      </c>
      <c r="AB751" s="3" t="s">
        <v>109</v>
      </c>
      <c r="AC751" s="3" t="s">
        <v>45</v>
      </c>
      <c r="AD751" s="3" t="s">
        <v>45</v>
      </c>
      <c r="AE751" s="3" t="s">
        <v>45</v>
      </c>
      <c r="AF751" s="3" t="s">
        <v>45</v>
      </c>
      <c r="AG751" s="3" t="s">
        <v>45</v>
      </c>
      <c r="AH751" s="3" t="s">
        <v>57</v>
      </c>
      <c r="AI751" s="5" t="s">
        <v>6980</v>
      </c>
      <c r="AJ751" s="5" t="s">
        <v>6981</v>
      </c>
      <c r="AK751" s="5" t="s">
        <v>6982</v>
      </c>
      <c r="AL751" s="3" t="s">
        <v>45</v>
      </c>
      <c r="AM751" s="3" t="s">
        <v>45</v>
      </c>
      <c r="AN751" s="3" t="s">
        <v>45</v>
      </c>
      <c r="AO751" s="3" t="s">
        <v>45</v>
      </c>
      <c r="AP751" s="3" t="s">
        <v>45</v>
      </c>
      <c r="AQ751" s="4" t="s">
        <v>6983</v>
      </c>
      <c r="AR751" s="4" t="s">
        <v>6983</v>
      </c>
    </row>
    <row r="752">
      <c r="A752" s="3" t="s">
        <v>6984</v>
      </c>
      <c r="B752" s="3" t="s">
        <v>45</v>
      </c>
      <c r="C752" s="3" t="s">
        <v>6985</v>
      </c>
      <c r="D752" s="3" t="s">
        <v>6877</v>
      </c>
      <c r="E752" s="3" t="s">
        <v>45</v>
      </c>
      <c r="F752" s="3" t="s">
        <v>6986</v>
      </c>
      <c r="G752" s="4" t="s">
        <v>6987</v>
      </c>
      <c r="H752" s="4" t="s">
        <v>6988</v>
      </c>
      <c r="I752" s="3" t="s">
        <v>85</v>
      </c>
      <c r="J752" s="3" t="s">
        <v>99</v>
      </c>
      <c r="K752" s="3" t="s">
        <v>45</v>
      </c>
      <c r="L752" s="3" t="s">
        <v>45</v>
      </c>
      <c r="M752" s="3" t="s">
        <v>45</v>
      </c>
      <c r="N752" s="3" t="s">
        <v>45</v>
      </c>
      <c r="O752" s="3" t="s">
        <v>74</v>
      </c>
      <c r="P752" s="3" t="s">
        <v>45</v>
      </c>
      <c r="Q752" s="3" t="s">
        <v>45</v>
      </c>
      <c r="R752" s="3" t="s">
        <v>45</v>
      </c>
      <c r="S752" s="3" t="s">
        <v>45</v>
      </c>
      <c r="T752" s="3" t="s">
        <v>45</v>
      </c>
      <c r="U752" s="3" t="s">
        <v>45</v>
      </c>
      <c r="V752" s="3" t="s">
        <v>45</v>
      </c>
      <c r="W752" s="3" t="s">
        <v>45</v>
      </c>
      <c r="X752" s="3" t="s">
        <v>45</v>
      </c>
      <c r="Y752" s="3" t="s">
        <v>45</v>
      </c>
      <c r="Z752" s="3" t="s">
        <v>74</v>
      </c>
      <c r="AA752" s="3" t="s">
        <v>45</v>
      </c>
      <c r="AB752" s="3" t="s">
        <v>45</v>
      </c>
      <c r="AC752" s="3" t="s">
        <v>45</v>
      </c>
      <c r="AD752" s="3" t="s">
        <v>45</v>
      </c>
      <c r="AE752" s="3" t="s">
        <v>45</v>
      </c>
      <c r="AF752" s="3" t="s">
        <v>45</v>
      </c>
      <c r="AG752" s="3" t="s">
        <v>45</v>
      </c>
      <c r="AH752" s="3" t="s">
        <v>57</v>
      </c>
      <c r="AI752" s="3" t="s">
        <v>45</v>
      </c>
      <c r="AJ752" s="3" t="s">
        <v>45</v>
      </c>
      <c r="AK752" s="3" t="s">
        <v>45</v>
      </c>
      <c r="AL752" s="3" t="s">
        <v>45</v>
      </c>
      <c r="AM752" s="3" t="s">
        <v>45</v>
      </c>
      <c r="AN752" s="3" t="s">
        <v>45</v>
      </c>
      <c r="AO752" s="3" t="s">
        <v>45</v>
      </c>
      <c r="AP752" s="3" t="s">
        <v>45</v>
      </c>
      <c r="AQ752" s="4" t="s">
        <v>465</v>
      </c>
      <c r="AR752" s="4" t="s">
        <v>465</v>
      </c>
    </row>
    <row r="753">
      <c r="A753" s="3" t="s">
        <v>6989</v>
      </c>
      <c r="B753" s="3" t="s">
        <v>6990</v>
      </c>
      <c r="C753" s="3" t="s">
        <v>6985</v>
      </c>
      <c r="D753" s="3" t="s">
        <v>6877</v>
      </c>
      <c r="E753" s="4" t="s">
        <v>6991</v>
      </c>
      <c r="F753" s="3" t="s">
        <v>6986</v>
      </c>
      <c r="G753" s="4" t="s">
        <v>6992</v>
      </c>
      <c r="H753" s="4" t="s">
        <v>6993</v>
      </c>
      <c r="I753" s="3" t="s">
        <v>85</v>
      </c>
      <c r="J753" s="3" t="s">
        <v>126</v>
      </c>
      <c r="K753" s="3" t="s">
        <v>45</v>
      </c>
      <c r="L753" s="3" t="s">
        <v>210</v>
      </c>
      <c r="M753" s="3" t="s">
        <v>45</v>
      </c>
      <c r="N753" s="3" t="s">
        <v>45</v>
      </c>
      <c r="O753" s="3" t="s">
        <v>88</v>
      </c>
      <c r="P753" s="3" t="s">
        <v>45</v>
      </c>
      <c r="Q753" s="3" t="s">
        <v>45</v>
      </c>
      <c r="R753" s="3" t="s">
        <v>45</v>
      </c>
      <c r="S753" s="3" t="s">
        <v>45</v>
      </c>
      <c r="T753" s="3" t="s">
        <v>45</v>
      </c>
      <c r="U753" s="3" t="s">
        <v>45</v>
      </c>
      <c r="V753" s="4" t="s">
        <v>6994</v>
      </c>
      <c r="W753" s="3" t="s">
        <v>45</v>
      </c>
      <c r="X753" s="3" t="s">
        <v>45</v>
      </c>
      <c r="Y753" s="3" t="s">
        <v>45</v>
      </c>
      <c r="Z753" s="3" t="s">
        <v>74</v>
      </c>
      <c r="AA753" s="3" t="s">
        <v>45</v>
      </c>
      <c r="AB753" s="3" t="s">
        <v>45</v>
      </c>
      <c r="AC753" s="3" t="s">
        <v>45</v>
      </c>
      <c r="AD753" s="3" t="s">
        <v>45</v>
      </c>
      <c r="AE753" s="3" t="s">
        <v>45</v>
      </c>
      <c r="AF753" s="3" t="s">
        <v>45</v>
      </c>
      <c r="AG753" s="3" t="s">
        <v>45</v>
      </c>
      <c r="AH753" s="3" t="s">
        <v>840</v>
      </c>
      <c r="AI753" s="5" t="s">
        <v>6995</v>
      </c>
      <c r="AJ753" s="3" t="s">
        <v>45</v>
      </c>
      <c r="AK753" s="3" t="s">
        <v>45</v>
      </c>
      <c r="AL753" s="3" t="s">
        <v>45</v>
      </c>
      <c r="AM753" s="3" t="s">
        <v>45</v>
      </c>
      <c r="AN753" s="3" t="s">
        <v>45</v>
      </c>
      <c r="AO753" s="3" t="s">
        <v>45</v>
      </c>
      <c r="AP753" s="3" t="s">
        <v>45</v>
      </c>
      <c r="AQ753" s="4" t="s">
        <v>1742</v>
      </c>
      <c r="AR753" s="4" t="s">
        <v>1742</v>
      </c>
    </row>
    <row r="754">
      <c r="A754" s="3" t="s">
        <v>6996</v>
      </c>
      <c r="B754" s="3" t="s">
        <v>6997</v>
      </c>
      <c r="C754" s="3" t="s">
        <v>6998</v>
      </c>
      <c r="D754" s="3" t="s">
        <v>6877</v>
      </c>
      <c r="E754" s="4" t="s">
        <v>6999</v>
      </c>
      <c r="F754" s="3" t="s">
        <v>3299</v>
      </c>
      <c r="G754" s="4" t="s">
        <v>7000</v>
      </c>
      <c r="H754" s="4" t="s">
        <v>7001</v>
      </c>
      <c r="I754" s="3" t="s">
        <v>49</v>
      </c>
      <c r="J754" s="3" t="s">
        <v>50</v>
      </c>
      <c r="K754" s="3" t="s">
        <v>45</v>
      </c>
      <c r="L754" s="3" t="s">
        <v>7002</v>
      </c>
      <c r="M754" s="3" t="s">
        <v>45</v>
      </c>
      <c r="N754" s="3" t="s">
        <v>45</v>
      </c>
      <c r="O754" s="3" t="s">
        <v>74</v>
      </c>
      <c r="P754" s="3" t="s">
        <v>7003</v>
      </c>
      <c r="Q754" s="3" t="s">
        <v>45</v>
      </c>
      <c r="R754" s="3" t="s">
        <v>45</v>
      </c>
      <c r="S754" s="3" t="s">
        <v>45</v>
      </c>
      <c r="T754" s="3" t="s">
        <v>45</v>
      </c>
      <c r="U754" s="3" t="s">
        <v>221</v>
      </c>
      <c r="V754" s="3" t="s">
        <v>45</v>
      </c>
      <c r="W754" s="4" t="s">
        <v>1072</v>
      </c>
      <c r="X754" s="3" t="s">
        <v>45</v>
      </c>
      <c r="Y754" s="3" t="s">
        <v>45</v>
      </c>
      <c r="Z754" s="3" t="s">
        <v>45</v>
      </c>
      <c r="AA754" s="3" t="s">
        <v>45</v>
      </c>
      <c r="AB754" s="3" t="s">
        <v>45</v>
      </c>
      <c r="AC754" s="3" t="s">
        <v>45</v>
      </c>
      <c r="AD754" s="3" t="s">
        <v>45</v>
      </c>
      <c r="AE754" s="3" t="s">
        <v>45</v>
      </c>
      <c r="AF754" s="3" t="s">
        <v>45</v>
      </c>
      <c r="AG754" s="3" t="s">
        <v>45</v>
      </c>
      <c r="AH754" s="3" t="s">
        <v>57</v>
      </c>
      <c r="AI754" s="5" t="s">
        <v>4457</v>
      </c>
      <c r="AJ754" s="3" t="s">
        <v>45</v>
      </c>
      <c r="AK754" s="3" t="s">
        <v>45</v>
      </c>
      <c r="AL754" s="3" t="s">
        <v>45</v>
      </c>
      <c r="AM754" s="3" t="s">
        <v>45</v>
      </c>
      <c r="AN754" s="3" t="s">
        <v>45</v>
      </c>
      <c r="AO754" s="3" t="s">
        <v>45</v>
      </c>
      <c r="AP754" s="3" t="s">
        <v>45</v>
      </c>
      <c r="AQ754" s="4" t="s">
        <v>712</v>
      </c>
      <c r="AR754" s="4" t="s">
        <v>712</v>
      </c>
    </row>
    <row r="755">
      <c r="A755" s="3" t="s">
        <v>7004</v>
      </c>
      <c r="B755" s="3" t="s">
        <v>7005</v>
      </c>
      <c r="C755" s="3" t="s">
        <v>7006</v>
      </c>
      <c r="D755" s="3" t="s">
        <v>6877</v>
      </c>
      <c r="E755" s="4" t="s">
        <v>7007</v>
      </c>
      <c r="F755" s="3" t="s">
        <v>7008</v>
      </c>
      <c r="G755" s="4" t="s">
        <v>7009</v>
      </c>
      <c r="H755" s="4" t="s">
        <v>7010</v>
      </c>
      <c r="I755" s="3" t="s">
        <v>49</v>
      </c>
      <c r="J755" s="3" t="s">
        <v>126</v>
      </c>
      <c r="K755" s="3" t="s">
        <v>45</v>
      </c>
      <c r="L755" s="3" t="s">
        <v>176</v>
      </c>
      <c r="M755" s="3" t="s">
        <v>45</v>
      </c>
      <c r="N755" s="3" t="s">
        <v>45</v>
      </c>
      <c r="O755" s="3" t="s">
        <v>74</v>
      </c>
      <c r="P755" s="3" t="s">
        <v>45</v>
      </c>
      <c r="Q755" s="3" t="s">
        <v>45</v>
      </c>
      <c r="R755" s="3" t="s">
        <v>45</v>
      </c>
      <c r="S755" s="3" t="s">
        <v>45</v>
      </c>
      <c r="T755" s="3" t="s">
        <v>45</v>
      </c>
      <c r="U755" s="3" t="s">
        <v>45</v>
      </c>
      <c r="V755" s="3" t="s">
        <v>45</v>
      </c>
      <c r="W755" s="3" t="s">
        <v>45</v>
      </c>
      <c r="X755" s="3" t="s">
        <v>45</v>
      </c>
      <c r="Y755" s="3" t="s">
        <v>45</v>
      </c>
      <c r="Z755" s="3" t="s">
        <v>74</v>
      </c>
      <c r="AA755" s="3" t="s">
        <v>45</v>
      </c>
      <c r="AB755" s="3" t="s">
        <v>45</v>
      </c>
      <c r="AC755" s="3" t="s">
        <v>45</v>
      </c>
      <c r="AD755" s="3" t="s">
        <v>45</v>
      </c>
      <c r="AE755" s="3" t="s">
        <v>45</v>
      </c>
      <c r="AF755" s="3" t="s">
        <v>45</v>
      </c>
      <c r="AG755" s="3" t="s">
        <v>45</v>
      </c>
      <c r="AH755" s="3" t="s">
        <v>57</v>
      </c>
      <c r="AI755" s="5" t="s">
        <v>7011</v>
      </c>
      <c r="AJ755" s="3" t="s">
        <v>45</v>
      </c>
      <c r="AK755" s="3" t="s">
        <v>45</v>
      </c>
      <c r="AL755" s="3" t="s">
        <v>45</v>
      </c>
      <c r="AM755" s="3" t="s">
        <v>45</v>
      </c>
      <c r="AN755" s="3" t="s">
        <v>45</v>
      </c>
      <c r="AO755" s="3" t="s">
        <v>45</v>
      </c>
      <c r="AP755" s="3" t="s">
        <v>45</v>
      </c>
      <c r="AQ755" s="4" t="s">
        <v>7012</v>
      </c>
      <c r="AR755" s="4" t="s">
        <v>7012</v>
      </c>
    </row>
    <row r="756">
      <c r="A756" s="3" t="s">
        <v>7013</v>
      </c>
      <c r="B756" s="3" t="s">
        <v>7014</v>
      </c>
      <c r="C756" s="3" t="s">
        <v>7015</v>
      </c>
      <c r="D756" s="3" t="s">
        <v>7016</v>
      </c>
      <c r="E756" s="4" t="s">
        <v>7017</v>
      </c>
      <c r="F756" s="3" t="s">
        <v>7018</v>
      </c>
      <c r="G756" s="4" t="s">
        <v>7019</v>
      </c>
      <c r="H756" s="4" t="s">
        <v>7020</v>
      </c>
      <c r="I756" s="3" t="s">
        <v>49</v>
      </c>
      <c r="J756" s="3" t="s">
        <v>126</v>
      </c>
      <c r="K756" s="3" t="s">
        <v>45</v>
      </c>
      <c r="L756" s="3" t="s">
        <v>7021</v>
      </c>
      <c r="M756" s="3" t="s">
        <v>45</v>
      </c>
      <c r="N756" s="4" t="s">
        <v>7022</v>
      </c>
      <c r="O756" s="3" t="s">
        <v>88</v>
      </c>
      <c r="P756" s="3" t="s">
        <v>71</v>
      </c>
      <c r="Q756" s="3" t="s">
        <v>45</v>
      </c>
      <c r="R756" s="3" t="s">
        <v>45</v>
      </c>
      <c r="S756" s="3" t="s">
        <v>45</v>
      </c>
      <c r="T756" s="3" t="s">
        <v>45</v>
      </c>
      <c r="U756" s="3" t="s">
        <v>45</v>
      </c>
      <c r="V756" s="4" t="s">
        <v>1650</v>
      </c>
      <c r="W756" s="4" t="s">
        <v>871</v>
      </c>
      <c r="X756" s="3" t="s">
        <v>624</v>
      </c>
      <c r="Y756" s="3" t="s">
        <v>45</v>
      </c>
      <c r="Z756" s="3" t="s">
        <v>74</v>
      </c>
      <c r="AA756" s="3" t="s">
        <v>7023</v>
      </c>
      <c r="AB756" s="3" t="s">
        <v>45</v>
      </c>
      <c r="AC756" s="3" t="s">
        <v>45</v>
      </c>
      <c r="AD756" s="3" t="s">
        <v>45</v>
      </c>
      <c r="AE756" s="3" t="s">
        <v>45</v>
      </c>
      <c r="AF756" s="3" t="s">
        <v>45</v>
      </c>
      <c r="AG756" s="3" t="s">
        <v>7024</v>
      </c>
      <c r="AH756" s="3" t="s">
        <v>7025</v>
      </c>
      <c r="AI756" s="5" t="s">
        <v>7026</v>
      </c>
      <c r="AJ756" s="5" t="s">
        <v>7027</v>
      </c>
      <c r="AK756" s="3" t="s">
        <v>45</v>
      </c>
      <c r="AL756" s="3" t="s">
        <v>45</v>
      </c>
      <c r="AM756" s="3" t="s">
        <v>45</v>
      </c>
      <c r="AN756" s="3" t="s">
        <v>45</v>
      </c>
      <c r="AO756" s="3" t="s">
        <v>45</v>
      </c>
      <c r="AP756" s="3" t="s">
        <v>45</v>
      </c>
      <c r="AQ756" s="4" t="s">
        <v>7028</v>
      </c>
      <c r="AR756" s="4" t="s">
        <v>117</v>
      </c>
    </row>
    <row r="757">
      <c r="A757" s="3" t="s">
        <v>7029</v>
      </c>
      <c r="B757" s="3" t="s">
        <v>7030</v>
      </c>
      <c r="C757" s="3" t="s">
        <v>7031</v>
      </c>
      <c r="D757" s="3" t="s">
        <v>7016</v>
      </c>
      <c r="E757" s="4" t="s">
        <v>7032</v>
      </c>
      <c r="F757" s="3" t="s">
        <v>7033</v>
      </c>
      <c r="G757" s="4" t="s">
        <v>7034</v>
      </c>
      <c r="H757" s="4" t="s">
        <v>7035</v>
      </c>
      <c r="I757" s="3" t="s">
        <v>49</v>
      </c>
      <c r="J757" s="3" t="s">
        <v>126</v>
      </c>
      <c r="K757" s="3" t="s">
        <v>45</v>
      </c>
      <c r="L757" s="3" t="s">
        <v>45</v>
      </c>
      <c r="M757" s="3" t="s">
        <v>45</v>
      </c>
      <c r="N757" s="3" t="s">
        <v>45</v>
      </c>
      <c r="O757" s="3" t="s">
        <v>74</v>
      </c>
      <c r="P757" s="3" t="s">
        <v>45</v>
      </c>
      <c r="Q757" s="3" t="s">
        <v>45</v>
      </c>
      <c r="R757" s="3" t="s">
        <v>45</v>
      </c>
      <c r="S757" s="4" t="s">
        <v>275</v>
      </c>
      <c r="T757" s="3" t="s">
        <v>45</v>
      </c>
      <c r="U757" s="3" t="s">
        <v>45</v>
      </c>
      <c r="V757" s="4" t="s">
        <v>1152</v>
      </c>
      <c r="W757" s="4" t="s">
        <v>7036</v>
      </c>
      <c r="X757" s="3" t="s">
        <v>45</v>
      </c>
      <c r="Y757" s="3" t="s">
        <v>45</v>
      </c>
      <c r="Z757" s="3" t="s">
        <v>55</v>
      </c>
      <c r="AA757" s="3" t="s">
        <v>45</v>
      </c>
      <c r="AB757" s="3" t="s">
        <v>45</v>
      </c>
      <c r="AC757" s="3" t="s">
        <v>45</v>
      </c>
      <c r="AD757" s="5" t="s">
        <v>7037</v>
      </c>
      <c r="AE757" s="3" t="s">
        <v>45</v>
      </c>
      <c r="AF757" s="5" t="s">
        <v>7038</v>
      </c>
      <c r="AG757" s="3" t="s">
        <v>45</v>
      </c>
      <c r="AH757" s="3" t="s">
        <v>57</v>
      </c>
      <c r="AI757" s="5" t="s">
        <v>7039</v>
      </c>
      <c r="AJ757" s="5" t="s">
        <v>7040</v>
      </c>
      <c r="AK757" s="5" t="s">
        <v>7041</v>
      </c>
      <c r="AL757" s="3" t="s">
        <v>45</v>
      </c>
      <c r="AM757" s="3" t="s">
        <v>45</v>
      </c>
      <c r="AN757" s="3" t="s">
        <v>45</v>
      </c>
      <c r="AO757" s="3" t="s">
        <v>45</v>
      </c>
      <c r="AP757" s="3" t="s">
        <v>45</v>
      </c>
      <c r="AQ757" s="4" t="s">
        <v>4332</v>
      </c>
      <c r="AR757" s="4" t="s">
        <v>1387</v>
      </c>
    </row>
    <row r="758">
      <c r="A758" s="3" t="s">
        <v>7042</v>
      </c>
      <c r="B758" s="3" t="s">
        <v>7043</v>
      </c>
      <c r="C758" s="3" t="s">
        <v>7031</v>
      </c>
      <c r="D758" s="3" t="s">
        <v>7016</v>
      </c>
      <c r="E758" s="4" t="s">
        <v>7032</v>
      </c>
      <c r="F758" s="3" t="s">
        <v>7033</v>
      </c>
      <c r="G758" s="4" t="s">
        <v>7044</v>
      </c>
      <c r="H758" s="4" t="s">
        <v>7045</v>
      </c>
      <c r="I758" s="3" t="s">
        <v>49</v>
      </c>
      <c r="J758" s="3" t="s">
        <v>126</v>
      </c>
      <c r="K758" s="3" t="s">
        <v>45</v>
      </c>
      <c r="L758" s="3" t="s">
        <v>470</v>
      </c>
      <c r="M758" s="3" t="s">
        <v>45</v>
      </c>
      <c r="N758" s="4" t="s">
        <v>7046</v>
      </c>
      <c r="O758" s="3" t="s">
        <v>88</v>
      </c>
      <c r="P758" s="3" t="s">
        <v>45</v>
      </c>
      <c r="Q758" s="3" t="s">
        <v>45</v>
      </c>
      <c r="R758" s="3" t="s">
        <v>45</v>
      </c>
      <c r="S758" s="4" t="s">
        <v>835</v>
      </c>
      <c r="T758" s="3" t="s">
        <v>45</v>
      </c>
      <c r="U758" s="3" t="s">
        <v>45</v>
      </c>
      <c r="V758" s="4" t="s">
        <v>1152</v>
      </c>
      <c r="W758" s="4" t="s">
        <v>7036</v>
      </c>
      <c r="X758" s="3" t="s">
        <v>7047</v>
      </c>
      <c r="Y758" s="3" t="s">
        <v>45</v>
      </c>
      <c r="Z758" s="3" t="s">
        <v>45</v>
      </c>
      <c r="AA758" s="3" t="s">
        <v>45</v>
      </c>
      <c r="AB758" s="3" t="s">
        <v>45</v>
      </c>
      <c r="AC758" s="3" t="s">
        <v>45</v>
      </c>
      <c r="AD758" s="3" t="s">
        <v>45</v>
      </c>
      <c r="AE758" s="3" t="s">
        <v>45</v>
      </c>
      <c r="AF758" s="5" t="s">
        <v>7038</v>
      </c>
      <c r="AG758" s="3" t="s">
        <v>45</v>
      </c>
      <c r="AH758" s="3" t="s">
        <v>57</v>
      </c>
      <c r="AI758" s="5" t="s">
        <v>7048</v>
      </c>
      <c r="AJ758" s="5" t="s">
        <v>7049</v>
      </c>
      <c r="AK758" s="3" t="s">
        <v>45</v>
      </c>
      <c r="AL758" s="3" t="s">
        <v>45</v>
      </c>
      <c r="AM758" s="3" t="s">
        <v>45</v>
      </c>
      <c r="AN758" s="3" t="s">
        <v>45</v>
      </c>
      <c r="AO758" s="3" t="s">
        <v>45</v>
      </c>
      <c r="AP758" s="3" t="s">
        <v>45</v>
      </c>
      <c r="AQ758" s="4" t="s">
        <v>3636</v>
      </c>
      <c r="AR758" s="4" t="s">
        <v>3636</v>
      </c>
    </row>
    <row r="759">
      <c r="A759" s="3" t="s">
        <v>7050</v>
      </c>
      <c r="B759" s="3" t="s">
        <v>7051</v>
      </c>
      <c r="C759" s="3" t="s">
        <v>7052</v>
      </c>
      <c r="D759" s="3" t="s">
        <v>7016</v>
      </c>
      <c r="E759" s="4" t="s">
        <v>7053</v>
      </c>
      <c r="F759" s="3" t="s">
        <v>6548</v>
      </c>
      <c r="G759" s="4" t="s">
        <v>7054</v>
      </c>
      <c r="H759" s="4" t="s">
        <v>7055</v>
      </c>
      <c r="I759" s="3" t="s">
        <v>245</v>
      </c>
      <c r="J759" s="3" t="s">
        <v>50</v>
      </c>
      <c r="K759" s="3" t="s">
        <v>45</v>
      </c>
      <c r="L759" s="3" t="s">
        <v>45</v>
      </c>
      <c r="M759" s="3" t="s">
        <v>45</v>
      </c>
      <c r="N759" s="3" t="s">
        <v>45</v>
      </c>
      <c r="O759" s="3" t="s">
        <v>74</v>
      </c>
      <c r="P759" s="3" t="s">
        <v>45</v>
      </c>
      <c r="Q759" s="3" t="s">
        <v>45</v>
      </c>
      <c r="R759" s="3" t="s">
        <v>45</v>
      </c>
      <c r="S759" s="3" t="s">
        <v>45</v>
      </c>
      <c r="T759" s="3" t="s">
        <v>45</v>
      </c>
      <c r="U759" s="3" t="s">
        <v>45</v>
      </c>
      <c r="V759" s="3" t="s">
        <v>45</v>
      </c>
      <c r="W759" s="4" t="s">
        <v>2034</v>
      </c>
      <c r="X759" s="3" t="s">
        <v>7056</v>
      </c>
      <c r="Y759" s="3" t="s">
        <v>45</v>
      </c>
      <c r="Z759" s="3" t="s">
        <v>74</v>
      </c>
      <c r="AA759" s="3" t="s">
        <v>45</v>
      </c>
      <c r="AB759" s="3" t="s">
        <v>45</v>
      </c>
      <c r="AC759" s="3" t="s">
        <v>45</v>
      </c>
      <c r="AD759" s="3" t="s">
        <v>45</v>
      </c>
      <c r="AE759" s="3" t="s">
        <v>45</v>
      </c>
      <c r="AF759" s="3" t="s">
        <v>45</v>
      </c>
      <c r="AG759" s="3" t="s">
        <v>7057</v>
      </c>
      <c r="AH759" s="3" t="s">
        <v>57</v>
      </c>
      <c r="AI759" s="5" t="s">
        <v>7058</v>
      </c>
      <c r="AJ759" s="3" t="s">
        <v>45</v>
      </c>
      <c r="AK759" s="3" t="s">
        <v>45</v>
      </c>
      <c r="AL759" s="3" t="s">
        <v>45</v>
      </c>
      <c r="AM759" s="3" t="s">
        <v>45</v>
      </c>
      <c r="AN759" s="3" t="s">
        <v>45</v>
      </c>
      <c r="AO759" s="3" t="s">
        <v>45</v>
      </c>
      <c r="AP759" s="3" t="s">
        <v>45</v>
      </c>
      <c r="AQ759" s="4" t="s">
        <v>7059</v>
      </c>
      <c r="AR759" s="4" t="s">
        <v>7059</v>
      </c>
    </row>
    <row r="760">
      <c r="A760" s="3" t="s">
        <v>7060</v>
      </c>
      <c r="B760" s="3" t="s">
        <v>7061</v>
      </c>
      <c r="C760" s="3" t="s">
        <v>7062</v>
      </c>
      <c r="D760" s="3" t="s">
        <v>7016</v>
      </c>
      <c r="E760" s="4" t="s">
        <v>7063</v>
      </c>
      <c r="F760" s="3" t="s">
        <v>7064</v>
      </c>
      <c r="G760" s="4" t="s">
        <v>7065</v>
      </c>
      <c r="H760" s="4" t="s">
        <v>7066</v>
      </c>
      <c r="I760" s="3" t="s">
        <v>49</v>
      </c>
      <c r="J760" s="3" t="s">
        <v>126</v>
      </c>
      <c r="K760" s="3" t="s">
        <v>45</v>
      </c>
      <c r="L760" s="3" t="s">
        <v>7067</v>
      </c>
      <c r="M760" s="3" t="s">
        <v>45</v>
      </c>
      <c r="N760" s="3" t="s">
        <v>45</v>
      </c>
      <c r="O760" s="3" t="s">
        <v>88</v>
      </c>
      <c r="P760" s="3" t="s">
        <v>45</v>
      </c>
      <c r="Q760" s="3" t="s">
        <v>45</v>
      </c>
      <c r="R760" s="3" t="s">
        <v>45</v>
      </c>
      <c r="S760" s="3" t="s">
        <v>7068</v>
      </c>
      <c r="T760" s="3" t="s">
        <v>45</v>
      </c>
      <c r="U760" s="3" t="s">
        <v>45</v>
      </c>
      <c r="V760" s="4" t="s">
        <v>2342</v>
      </c>
      <c r="W760" s="4" t="s">
        <v>3015</v>
      </c>
      <c r="X760" s="3" t="s">
        <v>45</v>
      </c>
      <c r="Y760" s="3" t="s">
        <v>45</v>
      </c>
      <c r="Z760" s="3" t="s">
        <v>55</v>
      </c>
      <c r="AA760" s="5" t="s">
        <v>7069</v>
      </c>
      <c r="AB760" s="3" t="s">
        <v>45</v>
      </c>
      <c r="AC760" s="3" t="s">
        <v>45</v>
      </c>
      <c r="AD760" s="3" t="s">
        <v>45</v>
      </c>
      <c r="AE760" s="3" t="s">
        <v>45</v>
      </c>
      <c r="AF760" s="3" t="s">
        <v>45</v>
      </c>
      <c r="AG760" s="3" t="s">
        <v>7070</v>
      </c>
      <c r="AH760" s="3" t="s">
        <v>57</v>
      </c>
      <c r="AI760" s="5" t="s">
        <v>7071</v>
      </c>
      <c r="AJ760" s="5" t="s">
        <v>7072</v>
      </c>
      <c r="AK760" s="5" t="s">
        <v>7073</v>
      </c>
      <c r="AL760" s="5" t="s">
        <v>7074</v>
      </c>
      <c r="AM760" s="5" t="s">
        <v>7075</v>
      </c>
      <c r="AN760" s="5" t="s">
        <v>7069</v>
      </c>
      <c r="AO760" s="5" t="s">
        <v>7076</v>
      </c>
      <c r="AP760" s="5" t="s">
        <v>7077</v>
      </c>
      <c r="AQ760" s="4" t="s">
        <v>2114</v>
      </c>
      <c r="AR760" s="4" t="s">
        <v>7078</v>
      </c>
    </row>
    <row r="761">
      <c r="A761" s="3" t="s">
        <v>7079</v>
      </c>
      <c r="B761" s="3" t="s">
        <v>7080</v>
      </c>
      <c r="C761" s="3" t="s">
        <v>7062</v>
      </c>
      <c r="D761" s="3" t="s">
        <v>7016</v>
      </c>
      <c r="E761" s="4" t="s">
        <v>7063</v>
      </c>
      <c r="F761" s="3" t="s">
        <v>7064</v>
      </c>
      <c r="G761" s="4" t="s">
        <v>7081</v>
      </c>
      <c r="H761" s="4" t="s">
        <v>7082</v>
      </c>
      <c r="I761" s="3" t="s">
        <v>49</v>
      </c>
      <c r="J761" s="3" t="s">
        <v>126</v>
      </c>
      <c r="K761" s="3" t="s">
        <v>45</v>
      </c>
      <c r="L761" s="3" t="s">
        <v>45</v>
      </c>
      <c r="M761" s="3" t="s">
        <v>45</v>
      </c>
      <c r="N761" s="3" t="s">
        <v>45</v>
      </c>
      <c r="O761" s="3" t="s">
        <v>74</v>
      </c>
      <c r="P761" s="3" t="s">
        <v>45</v>
      </c>
      <c r="Q761" s="3" t="s">
        <v>45</v>
      </c>
      <c r="R761" s="3" t="s">
        <v>45</v>
      </c>
      <c r="S761" s="4" t="s">
        <v>1872</v>
      </c>
      <c r="T761" s="3" t="s">
        <v>45</v>
      </c>
      <c r="U761" s="3" t="s">
        <v>45</v>
      </c>
      <c r="V761" s="4" t="s">
        <v>7083</v>
      </c>
      <c r="W761" s="4" t="s">
        <v>6457</v>
      </c>
      <c r="X761" s="3" t="s">
        <v>45</v>
      </c>
      <c r="Y761" s="3" t="s">
        <v>45</v>
      </c>
      <c r="Z761" s="3" t="s">
        <v>74</v>
      </c>
      <c r="AA761" s="3" t="s">
        <v>45</v>
      </c>
      <c r="AB761" s="3" t="s">
        <v>45</v>
      </c>
      <c r="AC761" s="3" t="s">
        <v>45</v>
      </c>
      <c r="AD761" s="3" t="s">
        <v>45</v>
      </c>
      <c r="AE761" s="3" t="s">
        <v>45</v>
      </c>
      <c r="AF761" s="3" t="s">
        <v>45</v>
      </c>
      <c r="AG761" s="3" t="s">
        <v>7084</v>
      </c>
      <c r="AH761" s="3" t="s">
        <v>57</v>
      </c>
      <c r="AI761" s="5" t="s">
        <v>7085</v>
      </c>
      <c r="AJ761" s="5" t="s">
        <v>7086</v>
      </c>
      <c r="AK761" s="3" t="s">
        <v>45</v>
      </c>
      <c r="AL761" s="3" t="s">
        <v>45</v>
      </c>
      <c r="AM761" s="3" t="s">
        <v>45</v>
      </c>
      <c r="AN761" s="3" t="s">
        <v>45</v>
      </c>
      <c r="AO761" s="3" t="s">
        <v>45</v>
      </c>
      <c r="AP761" s="3" t="s">
        <v>45</v>
      </c>
      <c r="AQ761" s="4" t="s">
        <v>2870</v>
      </c>
      <c r="AR761" s="4" t="s">
        <v>2870</v>
      </c>
    </row>
    <row r="762">
      <c r="A762" s="3" t="s">
        <v>7087</v>
      </c>
      <c r="B762" s="3" t="s">
        <v>7088</v>
      </c>
      <c r="C762" s="3" t="s">
        <v>7062</v>
      </c>
      <c r="D762" s="3" t="s">
        <v>7016</v>
      </c>
      <c r="E762" s="4" t="s">
        <v>7063</v>
      </c>
      <c r="F762" s="3" t="s">
        <v>7064</v>
      </c>
      <c r="G762" s="4" t="s">
        <v>7089</v>
      </c>
      <c r="H762" s="4" t="s">
        <v>7090</v>
      </c>
      <c r="I762" s="3" t="s">
        <v>49</v>
      </c>
      <c r="J762" s="3" t="s">
        <v>126</v>
      </c>
      <c r="K762" s="3" t="s">
        <v>45</v>
      </c>
      <c r="L762" s="3" t="s">
        <v>45</v>
      </c>
      <c r="M762" s="3" t="s">
        <v>45</v>
      </c>
      <c r="N762" s="3" t="s">
        <v>45</v>
      </c>
      <c r="O762" s="3" t="s">
        <v>74</v>
      </c>
      <c r="P762" s="3" t="s">
        <v>45</v>
      </c>
      <c r="Q762" s="3" t="s">
        <v>45</v>
      </c>
      <c r="R762" s="3" t="s">
        <v>45</v>
      </c>
      <c r="S762" s="3" t="s">
        <v>45</v>
      </c>
      <c r="T762" s="3" t="s">
        <v>45</v>
      </c>
      <c r="U762" s="3" t="s">
        <v>45</v>
      </c>
      <c r="V762" s="3" t="s">
        <v>45</v>
      </c>
      <c r="W762" s="3" t="s">
        <v>45</v>
      </c>
      <c r="X762" s="3" t="s">
        <v>45</v>
      </c>
      <c r="Y762" s="3" t="s">
        <v>45</v>
      </c>
      <c r="Z762" s="3" t="s">
        <v>74</v>
      </c>
      <c r="AA762" s="3" t="s">
        <v>45</v>
      </c>
      <c r="AB762" s="3" t="s">
        <v>45</v>
      </c>
      <c r="AC762" s="3" t="s">
        <v>45</v>
      </c>
      <c r="AD762" s="3" t="s">
        <v>45</v>
      </c>
      <c r="AE762" s="3" t="s">
        <v>45</v>
      </c>
      <c r="AF762" s="3" t="s">
        <v>45</v>
      </c>
      <c r="AG762" s="3" t="s">
        <v>45</v>
      </c>
      <c r="AH762" s="3" t="s">
        <v>57</v>
      </c>
      <c r="AI762" s="5" t="s">
        <v>7091</v>
      </c>
      <c r="AJ762" s="5" t="s">
        <v>7092</v>
      </c>
      <c r="AK762" s="3" t="s">
        <v>45</v>
      </c>
      <c r="AL762" s="3" t="s">
        <v>45</v>
      </c>
      <c r="AM762" s="3" t="s">
        <v>45</v>
      </c>
      <c r="AN762" s="3" t="s">
        <v>45</v>
      </c>
      <c r="AO762" s="3" t="s">
        <v>45</v>
      </c>
      <c r="AP762" s="3" t="s">
        <v>45</v>
      </c>
      <c r="AQ762" s="4" t="s">
        <v>2870</v>
      </c>
      <c r="AR762" s="4" t="s">
        <v>2870</v>
      </c>
    </row>
    <row r="763">
      <c r="A763" s="3" t="s">
        <v>7093</v>
      </c>
      <c r="B763" s="3" t="s">
        <v>7094</v>
      </c>
      <c r="C763" s="3" t="s">
        <v>7062</v>
      </c>
      <c r="D763" s="3" t="s">
        <v>7016</v>
      </c>
      <c r="E763" s="4" t="s">
        <v>7063</v>
      </c>
      <c r="F763" s="3" t="s">
        <v>7064</v>
      </c>
      <c r="G763" s="4" t="s">
        <v>7095</v>
      </c>
      <c r="H763" s="4" t="s">
        <v>7096</v>
      </c>
      <c r="I763" s="3" t="s">
        <v>49</v>
      </c>
      <c r="J763" s="3" t="s">
        <v>50</v>
      </c>
      <c r="K763" s="3" t="s">
        <v>45</v>
      </c>
      <c r="L763" s="3" t="s">
        <v>45</v>
      </c>
      <c r="M763" s="3" t="s">
        <v>45</v>
      </c>
      <c r="N763" s="3" t="s">
        <v>45</v>
      </c>
      <c r="O763" s="3" t="s">
        <v>70</v>
      </c>
      <c r="P763" s="3" t="s">
        <v>45</v>
      </c>
      <c r="Q763" s="3" t="s">
        <v>45</v>
      </c>
      <c r="R763" s="3" t="s">
        <v>45</v>
      </c>
      <c r="S763" s="3" t="s">
        <v>7097</v>
      </c>
      <c r="T763" s="3" t="s">
        <v>45</v>
      </c>
      <c r="U763" s="3" t="s">
        <v>45</v>
      </c>
      <c r="V763" s="4" t="s">
        <v>7098</v>
      </c>
      <c r="W763" s="4" t="s">
        <v>7099</v>
      </c>
      <c r="X763" s="3" t="s">
        <v>45</v>
      </c>
      <c r="Y763" s="3" t="s">
        <v>45</v>
      </c>
      <c r="Z763" s="3" t="s">
        <v>74</v>
      </c>
      <c r="AA763" s="3" t="s">
        <v>45</v>
      </c>
      <c r="AB763" s="3" t="s">
        <v>45</v>
      </c>
      <c r="AC763" s="3" t="s">
        <v>45</v>
      </c>
      <c r="AD763" s="3" t="s">
        <v>45</v>
      </c>
      <c r="AE763" s="3" t="s">
        <v>45</v>
      </c>
      <c r="AF763" s="3" t="s">
        <v>45</v>
      </c>
      <c r="AG763" s="3" t="s">
        <v>45</v>
      </c>
      <c r="AH763" s="3" t="s">
        <v>57</v>
      </c>
      <c r="AI763" s="3" t="s">
        <v>45</v>
      </c>
      <c r="AJ763" s="5" t="s">
        <v>7091</v>
      </c>
      <c r="AK763" s="5" t="s">
        <v>7092</v>
      </c>
      <c r="AL763" s="3" t="s">
        <v>45</v>
      </c>
      <c r="AM763" s="3" t="s">
        <v>45</v>
      </c>
      <c r="AN763" s="3" t="s">
        <v>45</v>
      </c>
      <c r="AO763" s="3" t="s">
        <v>45</v>
      </c>
      <c r="AP763" s="3" t="s">
        <v>45</v>
      </c>
      <c r="AQ763" s="4" t="s">
        <v>2870</v>
      </c>
      <c r="AR763" s="4" t="s">
        <v>2870</v>
      </c>
    </row>
    <row r="764">
      <c r="A764" s="3" t="s">
        <v>7100</v>
      </c>
      <c r="B764" s="3" t="s">
        <v>7101</v>
      </c>
      <c r="C764" s="3" t="s">
        <v>7062</v>
      </c>
      <c r="D764" s="3" t="s">
        <v>7016</v>
      </c>
      <c r="E764" s="4" t="s">
        <v>7063</v>
      </c>
      <c r="F764" s="3" t="s">
        <v>7064</v>
      </c>
      <c r="G764" s="4" t="s">
        <v>7102</v>
      </c>
      <c r="H764" s="4" t="s">
        <v>7103</v>
      </c>
      <c r="I764" s="3" t="s">
        <v>245</v>
      </c>
      <c r="J764" s="3" t="s">
        <v>126</v>
      </c>
      <c r="K764" s="3" t="s">
        <v>743</v>
      </c>
      <c r="L764" s="3" t="s">
        <v>45</v>
      </c>
      <c r="M764" s="3" t="s">
        <v>45</v>
      </c>
      <c r="N764" s="3" t="s">
        <v>45</v>
      </c>
      <c r="O764" s="3" t="s">
        <v>70</v>
      </c>
      <c r="P764" s="3" t="s">
        <v>45</v>
      </c>
      <c r="Q764" s="3" t="s">
        <v>45</v>
      </c>
      <c r="R764" s="3" t="s">
        <v>45</v>
      </c>
      <c r="S764" s="4" t="s">
        <v>259</v>
      </c>
      <c r="T764" s="3" t="s">
        <v>45</v>
      </c>
      <c r="U764" s="3" t="s">
        <v>45</v>
      </c>
      <c r="V764" s="4" t="s">
        <v>7104</v>
      </c>
      <c r="W764" s="4" t="s">
        <v>7105</v>
      </c>
      <c r="X764" s="3" t="s">
        <v>7106</v>
      </c>
      <c r="Y764" s="3" t="s">
        <v>45</v>
      </c>
      <c r="Z764" s="3" t="s">
        <v>55</v>
      </c>
      <c r="AA764" s="5" t="s">
        <v>7107</v>
      </c>
      <c r="AB764" s="3" t="s">
        <v>45</v>
      </c>
      <c r="AC764" s="3" t="s">
        <v>45</v>
      </c>
      <c r="AD764" s="3" t="s">
        <v>45</v>
      </c>
      <c r="AE764" s="3" t="s">
        <v>45</v>
      </c>
      <c r="AF764" s="3" t="s">
        <v>45</v>
      </c>
      <c r="AG764" s="3" t="s">
        <v>7108</v>
      </c>
      <c r="AH764" s="3" t="s">
        <v>57</v>
      </c>
      <c r="AI764" s="5" t="s">
        <v>7071</v>
      </c>
      <c r="AJ764" s="5" t="s">
        <v>7109</v>
      </c>
      <c r="AK764" s="5" t="s">
        <v>7072</v>
      </c>
      <c r="AL764" s="5" t="s">
        <v>7073</v>
      </c>
      <c r="AM764" s="5" t="s">
        <v>7074</v>
      </c>
      <c r="AN764" s="5" t="s">
        <v>7075</v>
      </c>
      <c r="AO764" s="5" t="s">
        <v>7110</v>
      </c>
      <c r="AP764" s="3" t="s">
        <v>45</v>
      </c>
      <c r="AQ764" s="4" t="s">
        <v>2114</v>
      </c>
      <c r="AR764" s="4" t="s">
        <v>1387</v>
      </c>
    </row>
    <row r="765">
      <c r="A765" s="3" t="s">
        <v>7111</v>
      </c>
      <c r="B765" s="3" t="s">
        <v>7112</v>
      </c>
      <c r="C765" s="3" t="s">
        <v>7113</v>
      </c>
      <c r="D765" s="3" t="s">
        <v>7016</v>
      </c>
      <c r="E765" s="4" t="s">
        <v>7114</v>
      </c>
      <c r="F765" s="3" t="s">
        <v>7115</v>
      </c>
      <c r="G765" s="4" t="s">
        <v>7116</v>
      </c>
      <c r="H765" s="4" t="s">
        <v>7117</v>
      </c>
      <c r="I765" s="3" t="s">
        <v>85</v>
      </c>
      <c r="J765" s="3" t="s">
        <v>126</v>
      </c>
      <c r="K765" s="3" t="s">
        <v>45</v>
      </c>
      <c r="L765" s="3" t="s">
        <v>45</v>
      </c>
      <c r="M765" s="3" t="s">
        <v>45</v>
      </c>
      <c r="N765" s="4" t="s">
        <v>709</v>
      </c>
      <c r="O765" s="3" t="s">
        <v>390</v>
      </c>
      <c r="P765" s="3" t="s">
        <v>45</v>
      </c>
      <c r="Q765" s="3" t="s">
        <v>45</v>
      </c>
      <c r="R765" s="3" t="s">
        <v>45</v>
      </c>
      <c r="S765" s="3" t="s">
        <v>45</v>
      </c>
      <c r="T765" s="3" t="s">
        <v>45</v>
      </c>
      <c r="U765" s="3" t="s">
        <v>45</v>
      </c>
      <c r="V765" s="3" t="s">
        <v>45</v>
      </c>
      <c r="W765" s="3" t="s">
        <v>45</v>
      </c>
      <c r="X765" s="3" t="s">
        <v>45</v>
      </c>
      <c r="Y765" s="3" t="s">
        <v>45</v>
      </c>
      <c r="Z765" s="3" t="s">
        <v>74</v>
      </c>
      <c r="AA765" s="3" t="s">
        <v>45</v>
      </c>
      <c r="AB765" s="3" t="s">
        <v>45</v>
      </c>
      <c r="AC765" s="3" t="s">
        <v>45</v>
      </c>
      <c r="AD765" s="3" t="s">
        <v>45</v>
      </c>
      <c r="AE765" s="3" t="s">
        <v>45</v>
      </c>
      <c r="AF765" s="3" t="s">
        <v>45</v>
      </c>
      <c r="AG765" s="3" t="s">
        <v>45</v>
      </c>
      <c r="AH765" s="3" t="s">
        <v>57</v>
      </c>
      <c r="AI765" s="5" t="s">
        <v>7118</v>
      </c>
      <c r="AJ765" s="3" t="s">
        <v>45</v>
      </c>
      <c r="AK765" s="3" t="s">
        <v>45</v>
      </c>
      <c r="AL765" s="3" t="s">
        <v>45</v>
      </c>
      <c r="AM765" s="3" t="s">
        <v>45</v>
      </c>
      <c r="AN765" s="3" t="s">
        <v>45</v>
      </c>
      <c r="AO765" s="3" t="s">
        <v>45</v>
      </c>
      <c r="AP765" s="3" t="s">
        <v>45</v>
      </c>
      <c r="AQ765" s="4" t="s">
        <v>7119</v>
      </c>
      <c r="AR765" s="4" t="s">
        <v>7119</v>
      </c>
    </row>
    <row r="766">
      <c r="A766" s="3" t="s">
        <v>7120</v>
      </c>
      <c r="B766" s="3" t="s">
        <v>7121</v>
      </c>
      <c r="C766" s="3" t="s">
        <v>7113</v>
      </c>
      <c r="D766" s="3" t="s">
        <v>7016</v>
      </c>
      <c r="E766" s="4" t="s">
        <v>7114</v>
      </c>
      <c r="F766" s="3" t="s">
        <v>7115</v>
      </c>
      <c r="G766" s="4" t="s">
        <v>7122</v>
      </c>
      <c r="H766" s="4" t="s">
        <v>7123</v>
      </c>
      <c r="I766" s="3" t="s">
        <v>49</v>
      </c>
      <c r="J766" s="3" t="s">
        <v>50</v>
      </c>
      <c r="K766" s="3" t="s">
        <v>45</v>
      </c>
      <c r="L766" s="3" t="s">
        <v>45</v>
      </c>
      <c r="M766" s="3" t="s">
        <v>45</v>
      </c>
      <c r="N766" s="3" t="s">
        <v>45</v>
      </c>
      <c r="O766" s="3" t="s">
        <v>88</v>
      </c>
      <c r="P766" s="3" t="s">
        <v>45</v>
      </c>
      <c r="Q766" s="3" t="s">
        <v>45</v>
      </c>
      <c r="R766" s="3" t="s">
        <v>45</v>
      </c>
      <c r="S766" s="4" t="s">
        <v>7124</v>
      </c>
      <c r="T766" s="3" t="s">
        <v>45</v>
      </c>
      <c r="U766" s="3" t="s">
        <v>45</v>
      </c>
      <c r="V766" s="3" t="s">
        <v>45</v>
      </c>
      <c r="W766" s="4" t="s">
        <v>4980</v>
      </c>
      <c r="X766" s="3" t="s">
        <v>3222</v>
      </c>
      <c r="Y766" s="3" t="s">
        <v>45</v>
      </c>
      <c r="Z766" s="3" t="s">
        <v>74</v>
      </c>
      <c r="AA766" s="3" t="s">
        <v>45</v>
      </c>
      <c r="AB766" s="3" t="s">
        <v>45</v>
      </c>
      <c r="AC766" s="3" t="s">
        <v>45</v>
      </c>
      <c r="AD766" s="3" t="s">
        <v>45</v>
      </c>
      <c r="AE766" s="3" t="s">
        <v>45</v>
      </c>
      <c r="AF766" s="3" t="s">
        <v>45</v>
      </c>
      <c r="AG766" s="3" t="s">
        <v>45</v>
      </c>
      <c r="AH766" s="3" t="s">
        <v>57</v>
      </c>
      <c r="AI766" s="5" t="s">
        <v>7125</v>
      </c>
      <c r="AJ766" s="3" t="s">
        <v>45</v>
      </c>
      <c r="AK766" s="3" t="s">
        <v>45</v>
      </c>
      <c r="AL766" s="3" t="s">
        <v>45</v>
      </c>
      <c r="AM766" s="3" t="s">
        <v>45</v>
      </c>
      <c r="AN766" s="3" t="s">
        <v>45</v>
      </c>
      <c r="AO766" s="3" t="s">
        <v>45</v>
      </c>
      <c r="AP766" s="3" t="s">
        <v>45</v>
      </c>
      <c r="AQ766" s="4" t="s">
        <v>2037</v>
      </c>
      <c r="AR766" s="4" t="s">
        <v>2037</v>
      </c>
    </row>
    <row r="767">
      <c r="A767" s="3" t="s">
        <v>7126</v>
      </c>
      <c r="B767" s="3" t="s">
        <v>7127</v>
      </c>
      <c r="C767" s="3" t="s">
        <v>7128</v>
      </c>
      <c r="D767" s="3" t="s">
        <v>7016</v>
      </c>
      <c r="E767" s="4" t="s">
        <v>7129</v>
      </c>
      <c r="F767" s="3" t="s">
        <v>7130</v>
      </c>
      <c r="G767" s="4" t="s">
        <v>7131</v>
      </c>
      <c r="H767" s="4" t="s">
        <v>7132</v>
      </c>
      <c r="I767" s="3" t="s">
        <v>85</v>
      </c>
      <c r="J767" s="3" t="s">
        <v>126</v>
      </c>
      <c r="K767" s="3" t="s">
        <v>45</v>
      </c>
      <c r="L767" s="3" t="s">
        <v>7133</v>
      </c>
      <c r="M767" s="3" t="s">
        <v>45</v>
      </c>
      <c r="N767" s="3" t="s">
        <v>45</v>
      </c>
      <c r="O767" s="3" t="s">
        <v>74</v>
      </c>
      <c r="P767" s="3" t="s">
        <v>45</v>
      </c>
      <c r="Q767" s="3" t="s">
        <v>45</v>
      </c>
      <c r="R767" s="3" t="s">
        <v>45</v>
      </c>
      <c r="S767" s="3" t="s">
        <v>45</v>
      </c>
      <c r="T767" s="3" t="s">
        <v>45</v>
      </c>
      <c r="U767" s="3" t="s">
        <v>45</v>
      </c>
      <c r="V767" s="4" t="s">
        <v>4397</v>
      </c>
      <c r="W767" s="3" t="s">
        <v>45</v>
      </c>
      <c r="X767" s="3" t="s">
        <v>45</v>
      </c>
      <c r="Y767" s="3" t="s">
        <v>45</v>
      </c>
      <c r="Z767" s="3" t="s">
        <v>74</v>
      </c>
      <c r="AA767" s="3" t="s">
        <v>45</v>
      </c>
      <c r="AB767" s="3" t="s">
        <v>45</v>
      </c>
      <c r="AC767" s="3" t="s">
        <v>45</v>
      </c>
      <c r="AD767" s="3" t="s">
        <v>45</v>
      </c>
      <c r="AE767" s="3" t="s">
        <v>45</v>
      </c>
      <c r="AF767" s="3" t="s">
        <v>45</v>
      </c>
      <c r="AG767" s="3" t="s">
        <v>45</v>
      </c>
      <c r="AH767" s="3" t="s">
        <v>7025</v>
      </c>
      <c r="AI767" s="5" t="s">
        <v>7134</v>
      </c>
      <c r="AJ767" s="3" t="s">
        <v>45</v>
      </c>
      <c r="AK767" s="3" t="s">
        <v>45</v>
      </c>
      <c r="AL767" s="3" t="s">
        <v>45</v>
      </c>
      <c r="AM767" s="3" t="s">
        <v>45</v>
      </c>
      <c r="AN767" s="3" t="s">
        <v>45</v>
      </c>
      <c r="AO767" s="3" t="s">
        <v>45</v>
      </c>
      <c r="AP767" s="3" t="s">
        <v>45</v>
      </c>
      <c r="AQ767" s="4" t="s">
        <v>1059</v>
      </c>
      <c r="AR767" s="4" t="s">
        <v>1059</v>
      </c>
    </row>
    <row r="768">
      <c r="A768" s="3" t="s">
        <v>7135</v>
      </c>
      <c r="B768" s="3" t="s">
        <v>7136</v>
      </c>
      <c r="C768" s="3" t="s">
        <v>7128</v>
      </c>
      <c r="D768" s="3" t="s">
        <v>7016</v>
      </c>
      <c r="E768" s="4" t="s">
        <v>7137</v>
      </c>
      <c r="F768" s="3" t="s">
        <v>7130</v>
      </c>
      <c r="G768" s="4" t="s">
        <v>7138</v>
      </c>
      <c r="H768" s="4" t="s">
        <v>7139</v>
      </c>
      <c r="I768" s="3" t="s">
        <v>85</v>
      </c>
      <c r="J768" s="3" t="s">
        <v>126</v>
      </c>
      <c r="K768" s="3" t="s">
        <v>45</v>
      </c>
      <c r="L768" s="3" t="s">
        <v>7133</v>
      </c>
      <c r="M768" s="3" t="s">
        <v>45</v>
      </c>
      <c r="N768" s="3" t="s">
        <v>45</v>
      </c>
      <c r="O768" s="3" t="s">
        <v>74</v>
      </c>
      <c r="P768" s="3" t="s">
        <v>45</v>
      </c>
      <c r="Q768" s="3" t="s">
        <v>45</v>
      </c>
      <c r="R768" s="3" t="s">
        <v>45</v>
      </c>
      <c r="S768" s="3" t="s">
        <v>45</v>
      </c>
      <c r="T768" s="3" t="s">
        <v>45</v>
      </c>
      <c r="U768" s="3" t="s">
        <v>45</v>
      </c>
      <c r="V768" s="4" t="s">
        <v>5572</v>
      </c>
      <c r="W768" s="3" t="s">
        <v>45</v>
      </c>
      <c r="X768" s="3" t="s">
        <v>45</v>
      </c>
      <c r="Y768" s="3" t="s">
        <v>45</v>
      </c>
      <c r="Z768" s="3" t="s">
        <v>74</v>
      </c>
      <c r="AA768" s="3" t="s">
        <v>45</v>
      </c>
      <c r="AB768" s="3" t="s">
        <v>45</v>
      </c>
      <c r="AC768" s="3" t="s">
        <v>45</v>
      </c>
      <c r="AD768" s="3" t="s">
        <v>45</v>
      </c>
      <c r="AE768" s="3" t="s">
        <v>45</v>
      </c>
      <c r="AF768" s="3" t="s">
        <v>45</v>
      </c>
      <c r="AG768" s="3" t="s">
        <v>45</v>
      </c>
      <c r="AH768" s="3" t="s">
        <v>7025</v>
      </c>
      <c r="AI768" s="5" t="s">
        <v>7140</v>
      </c>
      <c r="AJ768" s="3" t="s">
        <v>45</v>
      </c>
      <c r="AK768" s="3" t="s">
        <v>45</v>
      </c>
      <c r="AL768" s="3" t="s">
        <v>45</v>
      </c>
      <c r="AM768" s="3" t="s">
        <v>45</v>
      </c>
      <c r="AN768" s="3" t="s">
        <v>45</v>
      </c>
      <c r="AO768" s="3" t="s">
        <v>45</v>
      </c>
      <c r="AP768" s="3" t="s">
        <v>45</v>
      </c>
      <c r="AQ768" s="4" t="s">
        <v>1059</v>
      </c>
      <c r="AR768" s="4" t="s">
        <v>1059</v>
      </c>
    </row>
    <row r="769">
      <c r="A769" s="3" t="s">
        <v>7141</v>
      </c>
      <c r="B769" s="3" t="s">
        <v>7142</v>
      </c>
      <c r="C769" s="3" t="s">
        <v>1732</v>
      </c>
      <c r="D769" s="3" t="s">
        <v>7016</v>
      </c>
      <c r="E769" s="4" t="s">
        <v>7143</v>
      </c>
      <c r="F769" s="3" t="s">
        <v>7064</v>
      </c>
      <c r="G769" s="4" t="s">
        <v>7144</v>
      </c>
      <c r="H769" s="4" t="s">
        <v>7145</v>
      </c>
      <c r="I769" s="3" t="s">
        <v>436</v>
      </c>
      <c r="J769" s="3" t="s">
        <v>126</v>
      </c>
      <c r="K769" s="3" t="s">
        <v>743</v>
      </c>
      <c r="L769" s="3" t="s">
        <v>45</v>
      </c>
      <c r="M769" s="3" t="s">
        <v>45</v>
      </c>
      <c r="N769" s="4" t="s">
        <v>622</v>
      </c>
      <c r="O769" s="3" t="s">
        <v>70</v>
      </c>
      <c r="P769" s="3" t="s">
        <v>45</v>
      </c>
      <c r="Q769" s="3" t="s">
        <v>45</v>
      </c>
      <c r="R769" s="3" t="s">
        <v>45</v>
      </c>
      <c r="S769" s="3" t="s">
        <v>45</v>
      </c>
      <c r="T769" s="3" t="s">
        <v>45</v>
      </c>
      <c r="U769" s="3" t="s">
        <v>45</v>
      </c>
      <c r="V769" s="4" t="s">
        <v>2044</v>
      </c>
      <c r="W769" s="4" t="s">
        <v>7146</v>
      </c>
      <c r="X769" s="3" t="s">
        <v>45</v>
      </c>
      <c r="Y769" s="3" t="s">
        <v>45</v>
      </c>
      <c r="Z769" s="3" t="s">
        <v>55</v>
      </c>
      <c r="AA769" s="3" t="s">
        <v>7147</v>
      </c>
      <c r="AB769" s="3" t="s">
        <v>45</v>
      </c>
      <c r="AC769" s="3" t="s">
        <v>45</v>
      </c>
      <c r="AD769" s="3" t="s">
        <v>45</v>
      </c>
      <c r="AE769" s="3" t="s">
        <v>45</v>
      </c>
      <c r="AF769" s="3" t="s">
        <v>45</v>
      </c>
      <c r="AG769" s="3" t="s">
        <v>7148</v>
      </c>
      <c r="AH769" s="3" t="s">
        <v>57</v>
      </c>
      <c r="AI769" s="5" t="s">
        <v>7149</v>
      </c>
      <c r="AJ769" s="5" t="s">
        <v>7150</v>
      </c>
      <c r="AK769" s="5" t="s">
        <v>7151</v>
      </c>
      <c r="AL769" s="5" t="s">
        <v>7152</v>
      </c>
      <c r="AM769" s="5" t="s">
        <v>7153</v>
      </c>
      <c r="AN769" s="5" t="s">
        <v>7091</v>
      </c>
      <c r="AO769" s="5" t="s">
        <v>7085</v>
      </c>
      <c r="AP769" s="3" t="s">
        <v>45</v>
      </c>
      <c r="AQ769" s="4" t="s">
        <v>212</v>
      </c>
      <c r="AR769" s="4" t="s">
        <v>1387</v>
      </c>
    </row>
    <row r="770">
      <c r="A770" s="3" t="s">
        <v>1261</v>
      </c>
      <c r="B770" s="3" t="s">
        <v>7154</v>
      </c>
      <c r="C770" s="3" t="s">
        <v>7155</v>
      </c>
      <c r="D770" s="3" t="s">
        <v>7016</v>
      </c>
      <c r="E770" s="4" t="s">
        <v>7156</v>
      </c>
      <c r="F770" s="3" t="s">
        <v>7018</v>
      </c>
      <c r="G770" s="4" t="s">
        <v>7157</v>
      </c>
      <c r="H770" s="4" t="s">
        <v>7158</v>
      </c>
      <c r="I770" s="3" t="s">
        <v>85</v>
      </c>
      <c r="J770" s="3" t="s">
        <v>126</v>
      </c>
      <c r="K770" s="3" t="s">
        <v>45</v>
      </c>
      <c r="L770" s="3" t="s">
        <v>45</v>
      </c>
      <c r="M770" s="3" t="s">
        <v>45</v>
      </c>
      <c r="N770" s="4" t="s">
        <v>7159</v>
      </c>
      <c r="O770" s="3" t="s">
        <v>390</v>
      </c>
      <c r="P770" s="3" t="s">
        <v>45</v>
      </c>
      <c r="Q770" s="3" t="s">
        <v>45</v>
      </c>
      <c r="R770" s="3" t="s">
        <v>45</v>
      </c>
      <c r="S770" s="3" t="s">
        <v>45</v>
      </c>
      <c r="T770" s="3" t="s">
        <v>45</v>
      </c>
      <c r="U770" s="3" t="s">
        <v>45</v>
      </c>
      <c r="V770" s="4" t="s">
        <v>7160</v>
      </c>
      <c r="W770" s="4" t="s">
        <v>2045</v>
      </c>
      <c r="X770" s="3" t="s">
        <v>45</v>
      </c>
      <c r="Y770" s="3" t="s">
        <v>45</v>
      </c>
      <c r="Z770" s="3" t="s">
        <v>74</v>
      </c>
      <c r="AA770" s="3" t="s">
        <v>45</v>
      </c>
      <c r="AB770" s="3" t="s">
        <v>45</v>
      </c>
      <c r="AC770" s="3" t="s">
        <v>45</v>
      </c>
      <c r="AD770" s="3" t="s">
        <v>45</v>
      </c>
      <c r="AE770" s="3" t="s">
        <v>45</v>
      </c>
      <c r="AF770" s="3" t="s">
        <v>45</v>
      </c>
      <c r="AG770" s="3" t="s">
        <v>7161</v>
      </c>
      <c r="AH770" s="3" t="s">
        <v>7025</v>
      </c>
      <c r="AI770" s="5" t="s">
        <v>7162</v>
      </c>
      <c r="AJ770" s="5" t="s">
        <v>7163</v>
      </c>
      <c r="AK770" s="3" t="s">
        <v>45</v>
      </c>
      <c r="AL770" s="3" t="s">
        <v>45</v>
      </c>
      <c r="AM770" s="3" t="s">
        <v>45</v>
      </c>
      <c r="AN770" s="3" t="s">
        <v>45</v>
      </c>
      <c r="AO770" s="3" t="s">
        <v>45</v>
      </c>
      <c r="AP770" s="3" t="s">
        <v>45</v>
      </c>
      <c r="AQ770" s="4" t="s">
        <v>7164</v>
      </c>
      <c r="AR770" s="4" t="s">
        <v>7164</v>
      </c>
    </row>
    <row r="771">
      <c r="A771" s="3" t="s">
        <v>7165</v>
      </c>
      <c r="B771" s="3" t="s">
        <v>7166</v>
      </c>
      <c r="C771" s="3" t="s">
        <v>7167</v>
      </c>
      <c r="D771" s="3" t="s">
        <v>7016</v>
      </c>
      <c r="E771" s="4" t="s">
        <v>7168</v>
      </c>
      <c r="F771" s="3" t="s">
        <v>7033</v>
      </c>
      <c r="G771" s="4" t="s">
        <v>7169</v>
      </c>
      <c r="H771" s="4" t="s">
        <v>7170</v>
      </c>
      <c r="I771" s="3" t="s">
        <v>85</v>
      </c>
      <c r="J771" s="3" t="s">
        <v>126</v>
      </c>
      <c r="K771" s="3" t="s">
        <v>45</v>
      </c>
      <c r="L771" s="3" t="s">
        <v>7133</v>
      </c>
      <c r="M771" s="3" t="s">
        <v>45</v>
      </c>
      <c r="N771" s="3" t="s">
        <v>45</v>
      </c>
      <c r="O771" s="3" t="s">
        <v>74</v>
      </c>
      <c r="P771" s="3" t="s">
        <v>45</v>
      </c>
      <c r="Q771" s="3" t="s">
        <v>45</v>
      </c>
      <c r="R771" s="3" t="s">
        <v>45</v>
      </c>
      <c r="S771" s="3" t="s">
        <v>45</v>
      </c>
      <c r="T771" s="3" t="s">
        <v>45</v>
      </c>
      <c r="U771" s="3" t="s">
        <v>45</v>
      </c>
      <c r="V771" s="4" t="s">
        <v>7171</v>
      </c>
      <c r="W771" s="3" t="s">
        <v>45</v>
      </c>
      <c r="X771" s="3" t="s">
        <v>45</v>
      </c>
      <c r="Y771" s="3" t="s">
        <v>45</v>
      </c>
      <c r="Z771" s="3" t="s">
        <v>74</v>
      </c>
      <c r="AA771" s="3" t="s">
        <v>45</v>
      </c>
      <c r="AB771" s="3" t="s">
        <v>45</v>
      </c>
      <c r="AC771" s="3" t="s">
        <v>45</v>
      </c>
      <c r="AD771" s="3" t="s">
        <v>45</v>
      </c>
      <c r="AE771" s="3" t="s">
        <v>45</v>
      </c>
      <c r="AF771" s="3" t="s">
        <v>45</v>
      </c>
      <c r="AG771" s="3" t="s">
        <v>45</v>
      </c>
      <c r="AH771" s="3" t="s">
        <v>7025</v>
      </c>
      <c r="AI771" s="5" t="s">
        <v>7172</v>
      </c>
      <c r="AJ771" s="3" t="s">
        <v>45</v>
      </c>
      <c r="AK771" s="3" t="s">
        <v>45</v>
      </c>
      <c r="AL771" s="3" t="s">
        <v>45</v>
      </c>
      <c r="AM771" s="3" t="s">
        <v>45</v>
      </c>
      <c r="AN771" s="3" t="s">
        <v>45</v>
      </c>
      <c r="AO771" s="3" t="s">
        <v>45</v>
      </c>
      <c r="AP771" s="3" t="s">
        <v>45</v>
      </c>
      <c r="AQ771" s="4" t="s">
        <v>1059</v>
      </c>
      <c r="AR771" s="4" t="s">
        <v>1059</v>
      </c>
    </row>
    <row r="772">
      <c r="A772" s="3" t="s">
        <v>7173</v>
      </c>
      <c r="B772" s="3" t="s">
        <v>7174</v>
      </c>
      <c r="C772" s="3" t="s">
        <v>7175</v>
      </c>
      <c r="D772" s="3" t="s">
        <v>7016</v>
      </c>
      <c r="E772" s="4" t="s">
        <v>7176</v>
      </c>
      <c r="F772" s="3" t="s">
        <v>2525</v>
      </c>
      <c r="G772" s="4" t="s">
        <v>7177</v>
      </c>
      <c r="H772" s="4" t="s">
        <v>7178</v>
      </c>
      <c r="I772" s="3" t="s">
        <v>49</v>
      </c>
      <c r="J772" s="3" t="s">
        <v>50</v>
      </c>
      <c r="K772" s="3" t="s">
        <v>45</v>
      </c>
      <c r="L772" s="3" t="s">
        <v>45</v>
      </c>
      <c r="M772" s="3" t="s">
        <v>45</v>
      </c>
      <c r="N772" s="3" t="s">
        <v>45</v>
      </c>
      <c r="O772" s="3" t="s">
        <v>88</v>
      </c>
      <c r="P772" s="3" t="s">
        <v>45</v>
      </c>
      <c r="Q772" s="3" t="s">
        <v>45</v>
      </c>
      <c r="R772" s="3" t="s">
        <v>45</v>
      </c>
      <c r="S772" s="3" t="s">
        <v>45</v>
      </c>
      <c r="T772" s="3" t="s">
        <v>45</v>
      </c>
      <c r="U772" s="3" t="s">
        <v>45</v>
      </c>
      <c r="V772" s="3" t="s">
        <v>45</v>
      </c>
      <c r="W772" s="3" t="s">
        <v>45</v>
      </c>
      <c r="X772" s="3" t="s">
        <v>45</v>
      </c>
      <c r="Y772" s="3" t="s">
        <v>45</v>
      </c>
      <c r="Z772" s="3" t="s">
        <v>74</v>
      </c>
      <c r="AA772" s="3" t="s">
        <v>45</v>
      </c>
      <c r="AB772" s="3" t="s">
        <v>45</v>
      </c>
      <c r="AC772" s="3" t="s">
        <v>45</v>
      </c>
      <c r="AD772" s="3" t="s">
        <v>45</v>
      </c>
      <c r="AE772" s="3" t="s">
        <v>45</v>
      </c>
      <c r="AF772" s="3" t="s">
        <v>45</v>
      </c>
      <c r="AG772" s="3" t="s">
        <v>7179</v>
      </c>
      <c r="AH772" s="3" t="s">
        <v>57</v>
      </c>
      <c r="AI772" s="5" t="s">
        <v>7180</v>
      </c>
      <c r="AJ772" s="5" t="s">
        <v>7181</v>
      </c>
      <c r="AK772" s="5" t="s">
        <v>7182</v>
      </c>
      <c r="AL772" s="3" t="s">
        <v>45</v>
      </c>
      <c r="AM772" s="3" t="s">
        <v>45</v>
      </c>
      <c r="AN772" s="3" t="s">
        <v>45</v>
      </c>
      <c r="AO772" s="3" t="s">
        <v>45</v>
      </c>
      <c r="AP772" s="3" t="s">
        <v>45</v>
      </c>
      <c r="AQ772" s="4" t="s">
        <v>7183</v>
      </c>
      <c r="AR772" s="4" t="s">
        <v>7183</v>
      </c>
    </row>
    <row r="773">
      <c r="A773" s="3" t="s">
        <v>7184</v>
      </c>
      <c r="B773" s="3" t="s">
        <v>7185</v>
      </c>
      <c r="C773" s="3" t="s">
        <v>7186</v>
      </c>
      <c r="D773" s="3" t="s">
        <v>7016</v>
      </c>
      <c r="E773" s="4" t="s">
        <v>7187</v>
      </c>
      <c r="F773" s="3" t="s">
        <v>5604</v>
      </c>
      <c r="G773" s="4" t="s">
        <v>7188</v>
      </c>
      <c r="H773" s="4" t="s">
        <v>7189</v>
      </c>
      <c r="I773" s="3" t="s">
        <v>218</v>
      </c>
      <c r="J773" s="3" t="s">
        <v>50</v>
      </c>
      <c r="K773" s="3" t="s">
        <v>45</v>
      </c>
      <c r="L773" s="3" t="s">
        <v>7190</v>
      </c>
      <c r="M773" s="3" t="s">
        <v>45</v>
      </c>
      <c r="N773" s="3" t="s">
        <v>7191</v>
      </c>
      <c r="O773" s="3" t="s">
        <v>70</v>
      </c>
      <c r="P773" s="3" t="s">
        <v>220</v>
      </c>
      <c r="Q773" s="3" t="s">
        <v>45</v>
      </c>
      <c r="R773" s="3" t="s">
        <v>45</v>
      </c>
      <c r="S773" s="4" t="s">
        <v>7192</v>
      </c>
      <c r="T773" s="3" t="s">
        <v>45</v>
      </c>
      <c r="U773" s="3" t="s">
        <v>45</v>
      </c>
      <c r="V773" s="4" t="s">
        <v>7193</v>
      </c>
      <c r="W773" s="4" t="s">
        <v>667</v>
      </c>
      <c r="X773" s="3" t="s">
        <v>7194</v>
      </c>
      <c r="Y773" s="3" t="s">
        <v>45</v>
      </c>
      <c r="Z773" s="3" t="s">
        <v>74</v>
      </c>
      <c r="AA773" s="3" t="s">
        <v>45</v>
      </c>
      <c r="AB773" s="3" t="s">
        <v>45</v>
      </c>
      <c r="AC773" s="3" t="s">
        <v>45</v>
      </c>
      <c r="AD773" s="3" t="s">
        <v>45</v>
      </c>
      <c r="AE773" s="3" t="s">
        <v>45</v>
      </c>
      <c r="AF773" s="3" t="s">
        <v>45</v>
      </c>
      <c r="AG773" s="3" t="s">
        <v>7195</v>
      </c>
      <c r="AH773" s="3" t="s">
        <v>57</v>
      </c>
      <c r="AI773" s="5" t="s">
        <v>7196</v>
      </c>
      <c r="AJ773" s="5" t="s">
        <v>7197</v>
      </c>
      <c r="AK773" s="5" t="s">
        <v>7198</v>
      </c>
      <c r="AL773" s="5" t="s">
        <v>7199</v>
      </c>
      <c r="AM773" s="5" t="s">
        <v>7200</v>
      </c>
      <c r="AN773" s="5" t="s">
        <v>7201</v>
      </c>
      <c r="AO773" s="5" t="s">
        <v>7202</v>
      </c>
      <c r="AP773" s="3" t="s">
        <v>45</v>
      </c>
      <c r="AQ773" s="4" t="s">
        <v>651</v>
      </c>
      <c r="AR773" s="4" t="s">
        <v>7203</v>
      </c>
    </row>
    <row r="774">
      <c r="A774" s="3" t="s">
        <v>7204</v>
      </c>
      <c r="B774" s="3" t="s">
        <v>7205</v>
      </c>
      <c r="C774" s="3" t="s">
        <v>7206</v>
      </c>
      <c r="D774" s="3" t="s">
        <v>7016</v>
      </c>
      <c r="E774" s="4" t="s">
        <v>7207</v>
      </c>
      <c r="F774" s="3" t="s">
        <v>7064</v>
      </c>
      <c r="G774" s="4" t="s">
        <v>7208</v>
      </c>
      <c r="H774" s="4" t="s">
        <v>7209</v>
      </c>
      <c r="I774" s="3" t="s">
        <v>49</v>
      </c>
      <c r="J774" s="3" t="s">
        <v>126</v>
      </c>
      <c r="K774" s="3" t="s">
        <v>45</v>
      </c>
      <c r="L774" s="3" t="s">
        <v>45</v>
      </c>
      <c r="M774" s="3" t="s">
        <v>45</v>
      </c>
      <c r="N774" s="3" t="s">
        <v>45</v>
      </c>
      <c r="O774" s="3" t="s">
        <v>74</v>
      </c>
      <c r="P774" s="3" t="s">
        <v>45</v>
      </c>
      <c r="Q774" s="3" t="s">
        <v>45</v>
      </c>
      <c r="R774" s="3" t="s">
        <v>45</v>
      </c>
      <c r="S774" s="4" t="s">
        <v>233</v>
      </c>
      <c r="T774" s="3" t="s">
        <v>45</v>
      </c>
      <c r="U774" s="3" t="s">
        <v>45</v>
      </c>
      <c r="V774" s="4" t="s">
        <v>7210</v>
      </c>
      <c r="W774" s="4" t="s">
        <v>837</v>
      </c>
      <c r="X774" s="3" t="s">
        <v>45</v>
      </c>
      <c r="Y774" s="3" t="s">
        <v>45</v>
      </c>
      <c r="Z774" s="3" t="s">
        <v>74</v>
      </c>
      <c r="AA774" s="3" t="s">
        <v>45</v>
      </c>
      <c r="AB774" s="3" t="s">
        <v>74</v>
      </c>
      <c r="AC774" s="3" t="s">
        <v>45</v>
      </c>
      <c r="AD774" s="3" t="s">
        <v>45</v>
      </c>
      <c r="AE774" s="3" t="s">
        <v>45</v>
      </c>
      <c r="AF774" s="3" t="s">
        <v>45</v>
      </c>
      <c r="AG774" s="3" t="s">
        <v>2975</v>
      </c>
      <c r="AH774" s="3" t="s">
        <v>57</v>
      </c>
      <c r="AI774" s="5" t="s">
        <v>7211</v>
      </c>
      <c r="AJ774" s="5" t="s">
        <v>7212</v>
      </c>
      <c r="AK774" s="3" t="s">
        <v>45</v>
      </c>
      <c r="AL774" s="3" t="s">
        <v>45</v>
      </c>
      <c r="AM774" s="3" t="s">
        <v>45</v>
      </c>
      <c r="AN774" s="3" t="s">
        <v>45</v>
      </c>
      <c r="AO774" s="3" t="s">
        <v>45</v>
      </c>
      <c r="AP774" s="3" t="s">
        <v>45</v>
      </c>
      <c r="AQ774" s="4" t="s">
        <v>2252</v>
      </c>
      <c r="AR774" s="4" t="s">
        <v>2252</v>
      </c>
    </row>
    <row r="775">
      <c r="A775" s="3" t="s">
        <v>7213</v>
      </c>
      <c r="B775" s="3" t="s">
        <v>7214</v>
      </c>
      <c r="C775" s="3" t="s">
        <v>7215</v>
      </c>
      <c r="D775" s="3" t="s">
        <v>7016</v>
      </c>
      <c r="E775" s="4" t="s">
        <v>7216</v>
      </c>
      <c r="F775" s="3" t="s">
        <v>7064</v>
      </c>
      <c r="G775" s="4" t="s">
        <v>7217</v>
      </c>
      <c r="H775" s="4" t="s">
        <v>7218</v>
      </c>
      <c r="I775" s="3" t="s">
        <v>49</v>
      </c>
      <c r="J775" s="3" t="s">
        <v>50</v>
      </c>
      <c r="K775" s="3" t="s">
        <v>45</v>
      </c>
      <c r="L775" s="3" t="s">
        <v>45</v>
      </c>
      <c r="M775" s="3" t="s">
        <v>45</v>
      </c>
      <c r="N775" s="4" t="s">
        <v>622</v>
      </c>
      <c r="O775" s="3" t="s">
        <v>70</v>
      </c>
      <c r="P775" s="3" t="s">
        <v>45</v>
      </c>
      <c r="Q775" s="3" t="s">
        <v>45</v>
      </c>
      <c r="R775" s="3" t="s">
        <v>45</v>
      </c>
      <c r="S775" s="4" t="s">
        <v>6286</v>
      </c>
      <c r="T775" s="3" t="s">
        <v>45</v>
      </c>
      <c r="U775" s="3" t="s">
        <v>45</v>
      </c>
      <c r="V775" s="4" t="s">
        <v>7219</v>
      </c>
      <c r="W775" s="4" t="s">
        <v>1196</v>
      </c>
      <c r="X775" s="3" t="s">
        <v>360</v>
      </c>
      <c r="Y775" s="3" t="s">
        <v>45</v>
      </c>
      <c r="Z775" s="3" t="s">
        <v>55</v>
      </c>
      <c r="AA775" s="3" t="s">
        <v>45</v>
      </c>
      <c r="AB775" s="3" t="s">
        <v>45</v>
      </c>
      <c r="AC775" s="3" t="s">
        <v>45</v>
      </c>
      <c r="AD775" s="5" t="s">
        <v>7220</v>
      </c>
      <c r="AE775" s="3" t="s">
        <v>45</v>
      </c>
      <c r="AF775" s="3" t="s">
        <v>45</v>
      </c>
      <c r="AG775" s="3" t="s">
        <v>7221</v>
      </c>
      <c r="AH775" s="3" t="s">
        <v>57</v>
      </c>
      <c r="AI775" s="5" t="s">
        <v>1132</v>
      </c>
      <c r="AJ775" s="5" t="s">
        <v>7222</v>
      </c>
      <c r="AK775" s="5" t="s">
        <v>7085</v>
      </c>
      <c r="AL775" s="3" t="s">
        <v>45</v>
      </c>
      <c r="AM775" s="3" t="s">
        <v>45</v>
      </c>
      <c r="AN775" s="3" t="s">
        <v>45</v>
      </c>
      <c r="AO775" s="3" t="s">
        <v>45</v>
      </c>
      <c r="AP775" s="3" t="s">
        <v>45</v>
      </c>
      <c r="AQ775" s="4" t="s">
        <v>7223</v>
      </c>
      <c r="AR775" s="4" t="s">
        <v>2870</v>
      </c>
    </row>
    <row r="776">
      <c r="A776" s="3" t="s">
        <v>7224</v>
      </c>
      <c r="B776" s="3" t="s">
        <v>7225</v>
      </c>
      <c r="C776" s="3" t="s">
        <v>7226</v>
      </c>
      <c r="D776" s="3" t="s">
        <v>7016</v>
      </c>
      <c r="E776" s="4" t="s">
        <v>7227</v>
      </c>
      <c r="F776" s="3" t="s">
        <v>214</v>
      </c>
      <c r="G776" s="4" t="s">
        <v>7228</v>
      </c>
      <c r="H776" s="4" t="s">
        <v>7229</v>
      </c>
      <c r="I776" s="3" t="s">
        <v>85</v>
      </c>
      <c r="J776" s="3" t="s">
        <v>126</v>
      </c>
      <c r="K776" s="3" t="s">
        <v>45</v>
      </c>
      <c r="L776" s="3" t="s">
        <v>1033</v>
      </c>
      <c r="M776" s="3" t="s">
        <v>45</v>
      </c>
      <c r="N776" s="4" t="s">
        <v>7230</v>
      </c>
      <c r="O776" s="3" t="s">
        <v>53</v>
      </c>
      <c r="P776" s="3" t="s">
        <v>45</v>
      </c>
      <c r="Q776" s="3" t="s">
        <v>45</v>
      </c>
      <c r="R776" s="3" t="s">
        <v>45</v>
      </c>
      <c r="S776" s="3" t="s">
        <v>45</v>
      </c>
      <c r="T776" s="3" t="s">
        <v>105</v>
      </c>
      <c r="U776" s="3" t="s">
        <v>45</v>
      </c>
      <c r="V776" s="4" t="s">
        <v>7231</v>
      </c>
      <c r="W776" s="3" t="s">
        <v>45</v>
      </c>
      <c r="X776" s="3" t="s">
        <v>45</v>
      </c>
      <c r="Y776" s="3" t="s">
        <v>45</v>
      </c>
      <c r="Z776" s="3" t="s">
        <v>74</v>
      </c>
      <c r="AA776" s="3" t="s">
        <v>45</v>
      </c>
      <c r="AB776" s="3" t="s">
        <v>45</v>
      </c>
      <c r="AC776" s="3" t="s">
        <v>45</v>
      </c>
      <c r="AD776" s="3" t="s">
        <v>45</v>
      </c>
      <c r="AE776" s="3" t="s">
        <v>45</v>
      </c>
      <c r="AF776" s="3" t="s">
        <v>45</v>
      </c>
      <c r="AG776" s="3" t="s">
        <v>45</v>
      </c>
      <c r="AH776" s="3" t="s">
        <v>7025</v>
      </c>
      <c r="AI776" s="5" t="s">
        <v>7232</v>
      </c>
      <c r="AJ776" s="3" t="s">
        <v>45</v>
      </c>
      <c r="AK776" s="3" t="s">
        <v>45</v>
      </c>
      <c r="AL776" s="3" t="s">
        <v>45</v>
      </c>
      <c r="AM776" s="3" t="s">
        <v>45</v>
      </c>
      <c r="AN776" s="3" t="s">
        <v>45</v>
      </c>
      <c r="AO776" s="3" t="s">
        <v>45</v>
      </c>
      <c r="AP776" s="3" t="s">
        <v>45</v>
      </c>
      <c r="AQ776" s="4" t="s">
        <v>1059</v>
      </c>
      <c r="AR776" s="4" t="s">
        <v>7164</v>
      </c>
    </row>
    <row r="777">
      <c r="A777" s="3" t="s">
        <v>7233</v>
      </c>
      <c r="B777" s="3" t="s">
        <v>7234</v>
      </c>
      <c r="C777" s="3" t="s">
        <v>7235</v>
      </c>
      <c r="D777" s="3" t="s">
        <v>7016</v>
      </c>
      <c r="E777" s="4" t="s">
        <v>7236</v>
      </c>
      <c r="F777" s="3" t="s">
        <v>214</v>
      </c>
      <c r="G777" s="4" t="s">
        <v>7237</v>
      </c>
      <c r="H777" s="4" t="s">
        <v>7238</v>
      </c>
      <c r="I777" s="3" t="s">
        <v>436</v>
      </c>
      <c r="J777" s="3" t="s">
        <v>126</v>
      </c>
      <c r="K777" s="3" t="s">
        <v>45</v>
      </c>
      <c r="L777" s="3" t="s">
        <v>45</v>
      </c>
      <c r="M777" s="3" t="s">
        <v>45</v>
      </c>
      <c r="N777" s="3" t="s">
        <v>45</v>
      </c>
      <c r="O777" s="3" t="s">
        <v>88</v>
      </c>
      <c r="P777" s="3" t="s">
        <v>45</v>
      </c>
      <c r="Q777" s="3" t="s">
        <v>45</v>
      </c>
      <c r="R777" s="3" t="s">
        <v>45</v>
      </c>
      <c r="S777" s="4" t="s">
        <v>52</v>
      </c>
      <c r="T777" s="3" t="s">
        <v>45</v>
      </c>
      <c r="U777" s="3" t="s">
        <v>45</v>
      </c>
      <c r="V777" s="4" t="s">
        <v>420</v>
      </c>
      <c r="W777" s="4" t="s">
        <v>612</v>
      </c>
      <c r="X777" s="3" t="s">
        <v>45</v>
      </c>
      <c r="Y777" s="3" t="s">
        <v>45</v>
      </c>
      <c r="Z777" s="3" t="s">
        <v>55</v>
      </c>
      <c r="AA777" s="3" t="s">
        <v>45</v>
      </c>
      <c r="AB777" s="3" t="s">
        <v>45</v>
      </c>
      <c r="AC777" s="3" t="s">
        <v>45</v>
      </c>
      <c r="AD777" s="3" t="s">
        <v>45</v>
      </c>
      <c r="AE777" s="3" t="s">
        <v>45</v>
      </c>
      <c r="AF777" s="5" t="s">
        <v>7239</v>
      </c>
      <c r="AG777" s="3" t="s">
        <v>7240</v>
      </c>
      <c r="AH777" s="3" t="s">
        <v>57</v>
      </c>
      <c r="AI777" s="5" t="s">
        <v>7241</v>
      </c>
      <c r="AJ777" s="5" t="s">
        <v>7242</v>
      </c>
      <c r="AK777" s="5" t="s">
        <v>7243</v>
      </c>
      <c r="AL777" s="5" t="s">
        <v>7244</v>
      </c>
      <c r="AM777" s="5" t="s">
        <v>7245</v>
      </c>
      <c r="AN777" s="3" t="s">
        <v>45</v>
      </c>
      <c r="AO777" s="3" t="s">
        <v>45</v>
      </c>
      <c r="AP777" s="3" t="s">
        <v>45</v>
      </c>
      <c r="AQ777" s="4" t="s">
        <v>636</v>
      </c>
      <c r="AR777" s="4" t="s">
        <v>7246</v>
      </c>
    </row>
    <row r="778">
      <c r="A778" s="3" t="s">
        <v>7247</v>
      </c>
      <c r="B778" s="3" t="s">
        <v>7248</v>
      </c>
      <c r="C778" s="3" t="s">
        <v>7249</v>
      </c>
      <c r="D778" s="3" t="s">
        <v>7016</v>
      </c>
      <c r="E778" s="4" t="s">
        <v>7250</v>
      </c>
      <c r="F778" s="3" t="s">
        <v>7251</v>
      </c>
      <c r="G778" s="4" t="s">
        <v>7252</v>
      </c>
      <c r="H778" s="4" t="s">
        <v>7253</v>
      </c>
      <c r="I778" s="3" t="s">
        <v>49</v>
      </c>
      <c r="J778" s="3" t="s">
        <v>50</v>
      </c>
      <c r="K778" s="3" t="s">
        <v>45</v>
      </c>
      <c r="L778" s="3" t="s">
        <v>7254</v>
      </c>
      <c r="M778" s="3" t="s">
        <v>45</v>
      </c>
      <c r="N778" s="4" t="s">
        <v>7255</v>
      </c>
      <c r="O778" s="3" t="s">
        <v>88</v>
      </c>
      <c r="P778" s="3" t="s">
        <v>45</v>
      </c>
      <c r="Q778" s="3" t="s">
        <v>45</v>
      </c>
      <c r="R778" s="3" t="s">
        <v>45</v>
      </c>
      <c r="S778" s="3" t="s">
        <v>45</v>
      </c>
      <c r="T778" s="3" t="s">
        <v>45</v>
      </c>
      <c r="U778" s="3" t="s">
        <v>45</v>
      </c>
      <c r="V778" s="3" t="s">
        <v>45</v>
      </c>
      <c r="W778" s="3" t="s">
        <v>45</v>
      </c>
      <c r="X778" s="3" t="s">
        <v>1977</v>
      </c>
      <c r="Y778" s="3" t="s">
        <v>45</v>
      </c>
      <c r="Z778" s="3" t="s">
        <v>74</v>
      </c>
      <c r="AA778" s="3" t="s">
        <v>45</v>
      </c>
      <c r="AB778" s="3" t="s">
        <v>45</v>
      </c>
      <c r="AC778" s="3" t="s">
        <v>45</v>
      </c>
      <c r="AD778" s="3" t="s">
        <v>45</v>
      </c>
      <c r="AE778" s="3" t="s">
        <v>45</v>
      </c>
      <c r="AF778" s="3" t="s">
        <v>45</v>
      </c>
      <c r="AG778" s="3" t="s">
        <v>7256</v>
      </c>
      <c r="AH778" s="3" t="s">
        <v>57</v>
      </c>
      <c r="AI778" s="5" t="s">
        <v>7257</v>
      </c>
      <c r="AJ778" s="5" t="s">
        <v>7258</v>
      </c>
      <c r="AK778" s="3" t="s">
        <v>45</v>
      </c>
      <c r="AL778" s="3" t="s">
        <v>45</v>
      </c>
      <c r="AM778" s="3" t="s">
        <v>45</v>
      </c>
      <c r="AN778" s="3" t="s">
        <v>45</v>
      </c>
      <c r="AO778" s="3" t="s">
        <v>45</v>
      </c>
      <c r="AP778" s="3" t="s">
        <v>45</v>
      </c>
      <c r="AQ778" s="4" t="s">
        <v>4152</v>
      </c>
      <c r="AR778" s="4" t="s">
        <v>4152</v>
      </c>
    </row>
    <row r="779">
      <c r="A779" s="3" t="s">
        <v>7259</v>
      </c>
      <c r="B779" s="3" t="s">
        <v>7260</v>
      </c>
      <c r="C779" s="3" t="s">
        <v>7261</v>
      </c>
      <c r="D779" s="3" t="s">
        <v>7016</v>
      </c>
      <c r="E779" s="4" t="s">
        <v>7262</v>
      </c>
      <c r="F779" s="3" t="s">
        <v>7263</v>
      </c>
      <c r="G779" s="4" t="s">
        <v>7264</v>
      </c>
      <c r="H779" s="4" t="s">
        <v>7265</v>
      </c>
      <c r="I779" s="3" t="s">
        <v>49</v>
      </c>
      <c r="J779" s="3" t="s">
        <v>50</v>
      </c>
      <c r="K779" s="3" t="s">
        <v>45</v>
      </c>
      <c r="L779" s="3" t="s">
        <v>45</v>
      </c>
      <c r="M779" s="3" t="s">
        <v>45</v>
      </c>
      <c r="N779" s="3" t="s">
        <v>45</v>
      </c>
      <c r="O779" s="3" t="s">
        <v>88</v>
      </c>
      <c r="P779" s="3" t="s">
        <v>45</v>
      </c>
      <c r="Q779" s="3" t="s">
        <v>45</v>
      </c>
      <c r="R779" s="3" t="s">
        <v>45</v>
      </c>
      <c r="S779" s="4" t="s">
        <v>52</v>
      </c>
      <c r="T779" s="3" t="s">
        <v>45</v>
      </c>
      <c r="U779" s="3" t="s">
        <v>45</v>
      </c>
      <c r="V779" s="4" t="s">
        <v>7266</v>
      </c>
      <c r="W779" s="3" t="s">
        <v>45</v>
      </c>
      <c r="X779" s="3" t="s">
        <v>45</v>
      </c>
      <c r="Y779" s="3" t="s">
        <v>45</v>
      </c>
      <c r="Z779" s="3" t="s">
        <v>74</v>
      </c>
      <c r="AA779" s="3" t="s">
        <v>45</v>
      </c>
      <c r="AB779" s="3" t="s">
        <v>45</v>
      </c>
      <c r="AC779" s="3" t="s">
        <v>45</v>
      </c>
      <c r="AD779" s="3" t="s">
        <v>45</v>
      </c>
      <c r="AE779" s="3" t="s">
        <v>45</v>
      </c>
      <c r="AF779" s="3" t="s">
        <v>45</v>
      </c>
      <c r="AG779" s="3" t="s">
        <v>7267</v>
      </c>
      <c r="AH779" s="3" t="s">
        <v>57</v>
      </c>
      <c r="AI779" s="5" t="s">
        <v>7268</v>
      </c>
      <c r="AJ779" s="3" t="s">
        <v>45</v>
      </c>
      <c r="AK779" s="3" t="s">
        <v>45</v>
      </c>
      <c r="AL779" s="3" t="s">
        <v>45</v>
      </c>
      <c r="AM779" s="3" t="s">
        <v>45</v>
      </c>
      <c r="AN779" s="3" t="s">
        <v>45</v>
      </c>
      <c r="AO779" s="3" t="s">
        <v>45</v>
      </c>
      <c r="AP779" s="3" t="s">
        <v>45</v>
      </c>
      <c r="AQ779" s="4" t="s">
        <v>3382</v>
      </c>
      <c r="AR779" s="4" t="s">
        <v>3382</v>
      </c>
    </row>
    <row r="780">
      <c r="A780" s="3" t="s">
        <v>7269</v>
      </c>
      <c r="B780" s="3" t="s">
        <v>7270</v>
      </c>
      <c r="C780" s="3" t="s">
        <v>7271</v>
      </c>
      <c r="D780" s="3" t="s">
        <v>7016</v>
      </c>
      <c r="E780" s="4" t="s">
        <v>7272</v>
      </c>
      <c r="F780" s="3" t="s">
        <v>1718</v>
      </c>
      <c r="G780" s="4" t="s">
        <v>7273</v>
      </c>
      <c r="H780" s="4" t="s">
        <v>7274</v>
      </c>
      <c r="I780" s="3" t="s">
        <v>49</v>
      </c>
      <c r="J780" s="3" t="s">
        <v>126</v>
      </c>
      <c r="K780" s="3" t="s">
        <v>45</v>
      </c>
      <c r="L780" s="3" t="s">
        <v>7275</v>
      </c>
      <c r="M780" s="3" t="s">
        <v>45</v>
      </c>
      <c r="N780" s="3" t="s">
        <v>45</v>
      </c>
      <c r="O780" s="3" t="s">
        <v>88</v>
      </c>
      <c r="P780" s="3" t="s">
        <v>45</v>
      </c>
      <c r="Q780" s="3" t="s">
        <v>45</v>
      </c>
      <c r="R780" s="3" t="s">
        <v>45</v>
      </c>
      <c r="S780" s="4" t="s">
        <v>233</v>
      </c>
      <c r="T780" s="3" t="s">
        <v>45</v>
      </c>
      <c r="U780" s="3" t="s">
        <v>45</v>
      </c>
      <c r="V780" s="4" t="s">
        <v>2656</v>
      </c>
      <c r="W780" s="3" t="s">
        <v>45</v>
      </c>
      <c r="X780" s="3" t="s">
        <v>45</v>
      </c>
      <c r="Y780" s="3" t="s">
        <v>45</v>
      </c>
      <c r="Z780" s="3" t="s">
        <v>55</v>
      </c>
      <c r="AA780" s="3" t="s">
        <v>45</v>
      </c>
      <c r="AB780" s="3" t="s">
        <v>45</v>
      </c>
      <c r="AC780" s="3" t="s">
        <v>45</v>
      </c>
      <c r="AD780" s="3" t="s">
        <v>45</v>
      </c>
      <c r="AE780" s="3" t="s">
        <v>45</v>
      </c>
      <c r="AF780" s="5" t="s">
        <v>7276</v>
      </c>
      <c r="AG780" s="3" t="s">
        <v>45</v>
      </c>
      <c r="AH780" s="3" t="s">
        <v>57</v>
      </c>
      <c r="AI780" s="5" t="s">
        <v>7277</v>
      </c>
      <c r="AJ780" s="5" t="s">
        <v>7278</v>
      </c>
      <c r="AK780" s="3" t="s">
        <v>45</v>
      </c>
      <c r="AL780" s="3" t="s">
        <v>45</v>
      </c>
      <c r="AM780" s="3" t="s">
        <v>45</v>
      </c>
      <c r="AN780" s="3" t="s">
        <v>45</v>
      </c>
      <c r="AO780" s="3" t="s">
        <v>45</v>
      </c>
      <c r="AP780" s="3" t="s">
        <v>45</v>
      </c>
      <c r="AQ780" s="4" t="s">
        <v>148</v>
      </c>
      <c r="AR780" s="4" t="s">
        <v>148</v>
      </c>
    </row>
    <row r="781">
      <c r="A781" s="3" t="s">
        <v>7279</v>
      </c>
      <c r="B781" s="3" t="s">
        <v>7280</v>
      </c>
      <c r="C781" s="3" t="s">
        <v>7281</v>
      </c>
      <c r="D781" s="3" t="s">
        <v>7016</v>
      </c>
      <c r="E781" s="4" t="s">
        <v>7282</v>
      </c>
      <c r="F781" s="3" t="s">
        <v>7283</v>
      </c>
      <c r="G781" s="4" t="s">
        <v>7284</v>
      </c>
      <c r="H781" s="4" t="s">
        <v>7285</v>
      </c>
      <c r="I781" s="3" t="s">
        <v>85</v>
      </c>
      <c r="J781" s="3" t="s">
        <v>126</v>
      </c>
      <c r="K781" s="3" t="s">
        <v>45</v>
      </c>
      <c r="L781" s="3" t="s">
        <v>7286</v>
      </c>
      <c r="M781" s="3" t="s">
        <v>45</v>
      </c>
      <c r="N781" s="4" t="s">
        <v>835</v>
      </c>
      <c r="O781" s="3" t="s">
        <v>53</v>
      </c>
      <c r="P781" s="3" t="s">
        <v>45</v>
      </c>
      <c r="Q781" s="3" t="s">
        <v>45</v>
      </c>
      <c r="R781" s="3" t="s">
        <v>45</v>
      </c>
      <c r="S781" s="3" t="s">
        <v>45</v>
      </c>
      <c r="T781" s="3" t="s">
        <v>45</v>
      </c>
      <c r="U781" s="3" t="s">
        <v>45</v>
      </c>
      <c r="V781" s="4" t="s">
        <v>1142</v>
      </c>
      <c r="W781" s="3" t="s">
        <v>45</v>
      </c>
      <c r="X781" s="3" t="s">
        <v>45</v>
      </c>
      <c r="Y781" s="3" t="s">
        <v>45</v>
      </c>
      <c r="Z781" s="3" t="s">
        <v>74</v>
      </c>
      <c r="AA781" s="3" t="s">
        <v>45</v>
      </c>
      <c r="AB781" s="3" t="s">
        <v>45</v>
      </c>
      <c r="AC781" s="3" t="s">
        <v>45</v>
      </c>
      <c r="AD781" s="3" t="s">
        <v>45</v>
      </c>
      <c r="AE781" s="3" t="s">
        <v>45</v>
      </c>
      <c r="AF781" s="3" t="s">
        <v>45</v>
      </c>
      <c r="AG781" s="3" t="s">
        <v>7287</v>
      </c>
      <c r="AH781" s="3" t="s">
        <v>7025</v>
      </c>
      <c r="AI781" s="5" t="s">
        <v>7288</v>
      </c>
      <c r="AJ781" s="3" t="s">
        <v>45</v>
      </c>
      <c r="AK781" s="3" t="s">
        <v>45</v>
      </c>
      <c r="AL781" s="3" t="s">
        <v>45</v>
      </c>
      <c r="AM781" s="3" t="s">
        <v>45</v>
      </c>
      <c r="AN781" s="3" t="s">
        <v>45</v>
      </c>
      <c r="AO781" s="3" t="s">
        <v>45</v>
      </c>
      <c r="AP781" s="3" t="s">
        <v>45</v>
      </c>
      <c r="AQ781" s="4" t="s">
        <v>7164</v>
      </c>
      <c r="AR781" s="4" t="s">
        <v>7164</v>
      </c>
    </row>
    <row r="782">
      <c r="A782" s="3" t="s">
        <v>7289</v>
      </c>
      <c r="B782" s="3" t="s">
        <v>7290</v>
      </c>
      <c r="C782" s="3" t="s">
        <v>7291</v>
      </c>
      <c r="D782" s="3" t="s">
        <v>7016</v>
      </c>
      <c r="E782" s="4" t="s">
        <v>7292</v>
      </c>
      <c r="F782" s="3" t="s">
        <v>7293</v>
      </c>
      <c r="G782" s="4" t="s">
        <v>7294</v>
      </c>
      <c r="H782" s="4" t="s">
        <v>7295</v>
      </c>
      <c r="I782" s="3" t="s">
        <v>49</v>
      </c>
      <c r="J782" s="3" t="s">
        <v>126</v>
      </c>
      <c r="K782" s="3" t="s">
        <v>45</v>
      </c>
      <c r="L782" s="3" t="s">
        <v>7296</v>
      </c>
      <c r="M782" s="3" t="s">
        <v>45</v>
      </c>
      <c r="N782" s="3" t="s">
        <v>45</v>
      </c>
      <c r="O782" s="3" t="s">
        <v>74</v>
      </c>
      <c r="P782" s="3" t="s">
        <v>45</v>
      </c>
      <c r="Q782" s="3" t="s">
        <v>45</v>
      </c>
      <c r="R782" s="3" t="s">
        <v>45</v>
      </c>
      <c r="S782" s="4" t="s">
        <v>233</v>
      </c>
      <c r="T782" s="3" t="s">
        <v>45</v>
      </c>
      <c r="U782" s="3" t="s">
        <v>45</v>
      </c>
      <c r="V782" s="4" t="s">
        <v>7297</v>
      </c>
      <c r="W782" s="3" t="s">
        <v>45</v>
      </c>
      <c r="X782" s="3" t="s">
        <v>45</v>
      </c>
      <c r="Y782" s="3" t="s">
        <v>45</v>
      </c>
      <c r="Z782" s="3" t="s">
        <v>74</v>
      </c>
      <c r="AA782" s="3" t="s">
        <v>45</v>
      </c>
      <c r="AB782" s="3" t="s">
        <v>45</v>
      </c>
      <c r="AC782" s="3" t="s">
        <v>45</v>
      </c>
      <c r="AD782" s="3" t="s">
        <v>45</v>
      </c>
      <c r="AE782" s="3" t="s">
        <v>45</v>
      </c>
      <c r="AF782" s="3" t="s">
        <v>45</v>
      </c>
      <c r="AG782" s="3" t="s">
        <v>7298</v>
      </c>
      <c r="AH782" s="3" t="s">
        <v>57</v>
      </c>
      <c r="AI782" s="5" t="s">
        <v>7299</v>
      </c>
      <c r="AJ782" s="3" t="s">
        <v>45</v>
      </c>
      <c r="AK782" s="3" t="s">
        <v>45</v>
      </c>
      <c r="AL782" s="3" t="s">
        <v>45</v>
      </c>
      <c r="AM782" s="3" t="s">
        <v>45</v>
      </c>
      <c r="AN782" s="3" t="s">
        <v>45</v>
      </c>
      <c r="AO782" s="3" t="s">
        <v>45</v>
      </c>
      <c r="AP782" s="3" t="s">
        <v>45</v>
      </c>
      <c r="AQ782" s="4" t="s">
        <v>2252</v>
      </c>
      <c r="AR782" s="4" t="s">
        <v>2252</v>
      </c>
    </row>
    <row r="783">
      <c r="A783" s="3" t="s">
        <v>7300</v>
      </c>
      <c r="B783" s="3" t="s">
        <v>7301</v>
      </c>
      <c r="C783" s="3" t="s">
        <v>7302</v>
      </c>
      <c r="D783" s="3" t="s">
        <v>7016</v>
      </c>
      <c r="E783" s="4" t="s">
        <v>7063</v>
      </c>
      <c r="F783" s="3" t="s">
        <v>7064</v>
      </c>
      <c r="G783" s="4" t="s">
        <v>7303</v>
      </c>
      <c r="H783" s="4" t="s">
        <v>7304</v>
      </c>
      <c r="I783" s="3" t="s">
        <v>49</v>
      </c>
      <c r="J783" s="3" t="s">
        <v>126</v>
      </c>
      <c r="K783" s="3" t="s">
        <v>45</v>
      </c>
      <c r="L783" s="3" t="s">
        <v>7305</v>
      </c>
      <c r="M783" s="3" t="s">
        <v>45</v>
      </c>
      <c r="N783" s="3" t="s">
        <v>45</v>
      </c>
      <c r="O783" s="3" t="s">
        <v>74</v>
      </c>
      <c r="P783" s="3" t="s">
        <v>45</v>
      </c>
      <c r="Q783" s="3" t="s">
        <v>45</v>
      </c>
      <c r="R783" s="3" t="s">
        <v>45</v>
      </c>
      <c r="S783" s="4" t="s">
        <v>835</v>
      </c>
      <c r="T783" s="3" t="s">
        <v>45</v>
      </c>
      <c r="U783" s="3" t="s">
        <v>45</v>
      </c>
      <c r="V783" s="4" t="s">
        <v>7306</v>
      </c>
      <c r="W783" s="4" t="s">
        <v>7307</v>
      </c>
      <c r="X783" s="3" t="s">
        <v>7308</v>
      </c>
      <c r="Y783" s="3" t="s">
        <v>45</v>
      </c>
      <c r="Z783" s="3" t="s">
        <v>55</v>
      </c>
      <c r="AA783" s="5" t="s">
        <v>7309</v>
      </c>
      <c r="AB783" s="3" t="s">
        <v>45</v>
      </c>
      <c r="AC783" s="3" t="s">
        <v>45</v>
      </c>
      <c r="AD783" s="3" t="s">
        <v>45</v>
      </c>
      <c r="AE783" s="3" t="s">
        <v>45</v>
      </c>
      <c r="AF783" s="3" t="s">
        <v>45</v>
      </c>
      <c r="AG783" s="3" t="s">
        <v>7310</v>
      </c>
      <c r="AH783" s="3" t="s">
        <v>57</v>
      </c>
      <c r="AI783" s="5" t="s">
        <v>7311</v>
      </c>
      <c r="AJ783" s="5" t="s">
        <v>7153</v>
      </c>
      <c r="AK783" s="5" t="s">
        <v>7312</v>
      </c>
      <c r="AL783" s="3" t="s">
        <v>45</v>
      </c>
      <c r="AM783" s="3" t="s">
        <v>45</v>
      </c>
      <c r="AN783" s="3" t="s">
        <v>45</v>
      </c>
      <c r="AO783" s="3" t="s">
        <v>45</v>
      </c>
      <c r="AP783" s="3" t="s">
        <v>45</v>
      </c>
      <c r="AQ783" s="4" t="s">
        <v>7119</v>
      </c>
      <c r="AR783" s="4" t="s">
        <v>7246</v>
      </c>
    </row>
    <row r="784">
      <c r="A784" s="3" t="s">
        <v>7313</v>
      </c>
      <c r="B784" s="3" t="s">
        <v>7314</v>
      </c>
      <c r="C784" s="3" t="s">
        <v>7315</v>
      </c>
      <c r="D784" s="3" t="s">
        <v>7016</v>
      </c>
      <c r="E784" s="4" t="s">
        <v>7316</v>
      </c>
      <c r="F784" s="3" t="s">
        <v>7251</v>
      </c>
      <c r="G784" s="4" t="s">
        <v>7317</v>
      </c>
      <c r="H784" s="4" t="s">
        <v>7318</v>
      </c>
      <c r="I784" s="3" t="s">
        <v>49</v>
      </c>
      <c r="J784" s="3" t="s">
        <v>50</v>
      </c>
      <c r="K784" s="3" t="s">
        <v>45</v>
      </c>
      <c r="L784" s="3" t="s">
        <v>7319</v>
      </c>
      <c r="M784" s="3" t="s">
        <v>45</v>
      </c>
      <c r="N784" s="3" t="s">
        <v>45</v>
      </c>
      <c r="O784" s="3" t="s">
        <v>74</v>
      </c>
      <c r="P784" s="3" t="s">
        <v>45</v>
      </c>
      <c r="Q784" s="3" t="s">
        <v>45</v>
      </c>
      <c r="R784" s="3" t="s">
        <v>45</v>
      </c>
      <c r="S784" s="3" t="s">
        <v>45</v>
      </c>
      <c r="T784" s="3" t="s">
        <v>45</v>
      </c>
      <c r="U784" s="3" t="s">
        <v>45</v>
      </c>
      <c r="V784" s="4" t="s">
        <v>492</v>
      </c>
      <c r="W784" s="4" t="s">
        <v>7320</v>
      </c>
      <c r="X784" s="3" t="s">
        <v>7321</v>
      </c>
      <c r="Y784" s="3" t="s">
        <v>45</v>
      </c>
      <c r="Z784" s="3" t="s">
        <v>74</v>
      </c>
      <c r="AA784" s="3" t="s">
        <v>45</v>
      </c>
      <c r="AB784" s="3" t="s">
        <v>45</v>
      </c>
      <c r="AC784" s="3" t="s">
        <v>45</v>
      </c>
      <c r="AD784" s="3" t="s">
        <v>45</v>
      </c>
      <c r="AE784" s="3" t="s">
        <v>45</v>
      </c>
      <c r="AF784" s="3" t="s">
        <v>45</v>
      </c>
      <c r="AG784" s="3" t="s">
        <v>7322</v>
      </c>
      <c r="AH784" s="3" t="s">
        <v>7025</v>
      </c>
      <c r="AI784" s="5" t="s">
        <v>7323</v>
      </c>
      <c r="AJ784" s="5" t="s">
        <v>7324</v>
      </c>
      <c r="AK784" s="5" t="s">
        <v>7325</v>
      </c>
      <c r="AL784" s="5" t="s">
        <v>7326</v>
      </c>
      <c r="AM784" s="3" t="s">
        <v>45</v>
      </c>
      <c r="AN784" s="3" t="s">
        <v>45</v>
      </c>
      <c r="AO784" s="3" t="s">
        <v>45</v>
      </c>
      <c r="AP784" s="3" t="s">
        <v>45</v>
      </c>
      <c r="AQ784" s="4" t="s">
        <v>7164</v>
      </c>
      <c r="AR784" s="4" t="s">
        <v>7164</v>
      </c>
    </row>
    <row r="785">
      <c r="A785" s="3" t="s">
        <v>7327</v>
      </c>
      <c r="B785" s="3" t="s">
        <v>7328</v>
      </c>
      <c r="C785" s="3" t="s">
        <v>7329</v>
      </c>
      <c r="D785" s="3" t="s">
        <v>7016</v>
      </c>
      <c r="E785" s="4" t="s">
        <v>7330</v>
      </c>
      <c r="F785" s="3" t="s">
        <v>7331</v>
      </c>
      <c r="G785" s="4" t="s">
        <v>7332</v>
      </c>
      <c r="H785" s="4" t="s">
        <v>7333</v>
      </c>
      <c r="I785" s="3" t="s">
        <v>85</v>
      </c>
      <c r="J785" s="3" t="s">
        <v>126</v>
      </c>
      <c r="K785" s="3" t="s">
        <v>45</v>
      </c>
      <c r="L785" s="3" t="s">
        <v>6249</v>
      </c>
      <c r="M785" s="3" t="s">
        <v>45</v>
      </c>
      <c r="N785" s="4" t="s">
        <v>4040</v>
      </c>
      <c r="O785" s="3" t="s">
        <v>53</v>
      </c>
      <c r="P785" s="3" t="s">
        <v>220</v>
      </c>
      <c r="Q785" s="3" t="s">
        <v>45</v>
      </c>
      <c r="R785" s="3" t="s">
        <v>45</v>
      </c>
      <c r="S785" s="3" t="s">
        <v>45</v>
      </c>
      <c r="T785" s="3" t="s">
        <v>89</v>
      </c>
      <c r="U785" s="3" t="s">
        <v>45</v>
      </c>
      <c r="V785" s="4" t="s">
        <v>7334</v>
      </c>
      <c r="W785" s="3" t="s">
        <v>45</v>
      </c>
      <c r="X785" s="3" t="s">
        <v>45</v>
      </c>
      <c r="Y785" s="3" t="s">
        <v>45</v>
      </c>
      <c r="Z785" s="3" t="s">
        <v>74</v>
      </c>
      <c r="AA785" s="3" t="s">
        <v>45</v>
      </c>
      <c r="AB785" s="3" t="s">
        <v>45</v>
      </c>
      <c r="AC785" s="3" t="s">
        <v>45</v>
      </c>
      <c r="AD785" s="3" t="s">
        <v>45</v>
      </c>
      <c r="AE785" s="3" t="s">
        <v>45</v>
      </c>
      <c r="AF785" s="3" t="s">
        <v>45</v>
      </c>
      <c r="AG785" s="3" t="s">
        <v>45</v>
      </c>
      <c r="AH785" s="3" t="s">
        <v>7025</v>
      </c>
      <c r="AI785" s="5" t="s">
        <v>7335</v>
      </c>
      <c r="AJ785" s="3" t="s">
        <v>45</v>
      </c>
      <c r="AK785" s="3" t="s">
        <v>45</v>
      </c>
      <c r="AL785" s="3" t="s">
        <v>45</v>
      </c>
      <c r="AM785" s="3" t="s">
        <v>45</v>
      </c>
      <c r="AN785" s="3" t="s">
        <v>45</v>
      </c>
      <c r="AO785" s="3" t="s">
        <v>45</v>
      </c>
      <c r="AP785" s="3" t="s">
        <v>45</v>
      </c>
      <c r="AQ785" s="4" t="s">
        <v>7164</v>
      </c>
      <c r="AR785" s="4" t="s">
        <v>7164</v>
      </c>
    </row>
    <row r="786">
      <c r="A786" s="3" t="s">
        <v>7336</v>
      </c>
      <c r="B786" s="3" t="s">
        <v>7337</v>
      </c>
      <c r="C786" s="3" t="s">
        <v>7338</v>
      </c>
      <c r="D786" s="3" t="s">
        <v>7016</v>
      </c>
      <c r="E786" s="4" t="s">
        <v>7339</v>
      </c>
      <c r="F786" s="3" t="s">
        <v>7340</v>
      </c>
      <c r="G786" s="4" t="s">
        <v>7341</v>
      </c>
      <c r="H786" s="4" t="s">
        <v>7342</v>
      </c>
      <c r="I786" s="3" t="s">
        <v>49</v>
      </c>
      <c r="J786" s="3" t="s">
        <v>50</v>
      </c>
      <c r="K786" s="3" t="s">
        <v>45</v>
      </c>
      <c r="L786" s="3" t="s">
        <v>7343</v>
      </c>
      <c r="M786" s="3" t="s">
        <v>45</v>
      </c>
      <c r="N786" s="3" t="s">
        <v>45</v>
      </c>
      <c r="O786" s="3" t="s">
        <v>88</v>
      </c>
      <c r="P786" s="3" t="s">
        <v>45</v>
      </c>
      <c r="Q786" s="3" t="s">
        <v>45</v>
      </c>
      <c r="R786" s="3" t="s">
        <v>45</v>
      </c>
      <c r="S786" s="4" t="s">
        <v>104</v>
      </c>
      <c r="T786" s="3" t="s">
        <v>45</v>
      </c>
      <c r="U786" s="3" t="s">
        <v>45</v>
      </c>
      <c r="V786" s="3" t="s">
        <v>45</v>
      </c>
      <c r="W786" s="3" t="s">
        <v>45</v>
      </c>
      <c r="X786" s="3" t="s">
        <v>2963</v>
      </c>
      <c r="Y786" s="3" t="s">
        <v>45</v>
      </c>
      <c r="Z786" s="3" t="s">
        <v>74</v>
      </c>
      <c r="AA786" s="3" t="s">
        <v>45</v>
      </c>
      <c r="AB786" s="3" t="s">
        <v>45</v>
      </c>
      <c r="AC786" s="3" t="s">
        <v>45</v>
      </c>
      <c r="AD786" s="3" t="s">
        <v>45</v>
      </c>
      <c r="AE786" s="3" t="s">
        <v>45</v>
      </c>
      <c r="AF786" s="3" t="s">
        <v>45</v>
      </c>
      <c r="AG786" s="3" t="s">
        <v>45</v>
      </c>
      <c r="AH786" s="3" t="s">
        <v>7025</v>
      </c>
      <c r="AI786" s="5" t="s">
        <v>7344</v>
      </c>
      <c r="AJ786" s="3" t="s">
        <v>45</v>
      </c>
      <c r="AK786" s="3" t="s">
        <v>45</v>
      </c>
      <c r="AL786" s="3" t="s">
        <v>45</v>
      </c>
      <c r="AM786" s="3" t="s">
        <v>45</v>
      </c>
      <c r="AN786" s="3" t="s">
        <v>45</v>
      </c>
      <c r="AO786" s="3" t="s">
        <v>45</v>
      </c>
      <c r="AP786" s="3" t="s">
        <v>45</v>
      </c>
      <c r="AQ786" s="4" t="s">
        <v>1059</v>
      </c>
      <c r="AR786" s="4" t="s">
        <v>1059</v>
      </c>
    </row>
    <row r="787">
      <c r="A787" s="3" t="s">
        <v>7345</v>
      </c>
      <c r="B787" s="3" t="s">
        <v>7346</v>
      </c>
      <c r="C787" s="3" t="s">
        <v>7347</v>
      </c>
      <c r="D787" s="3" t="s">
        <v>7016</v>
      </c>
      <c r="E787" s="4" t="s">
        <v>7348</v>
      </c>
      <c r="F787" s="3" t="s">
        <v>7349</v>
      </c>
      <c r="G787" s="4" t="s">
        <v>7350</v>
      </c>
      <c r="H787" s="4" t="s">
        <v>7351</v>
      </c>
      <c r="I787" s="3" t="s">
        <v>49</v>
      </c>
      <c r="J787" s="3" t="s">
        <v>126</v>
      </c>
      <c r="K787" s="3" t="s">
        <v>45</v>
      </c>
      <c r="L787" s="3" t="s">
        <v>7352</v>
      </c>
      <c r="M787" s="3" t="s">
        <v>45</v>
      </c>
      <c r="N787" s="3" t="s">
        <v>45</v>
      </c>
      <c r="O787" s="3" t="s">
        <v>74</v>
      </c>
      <c r="P787" s="3" t="s">
        <v>45</v>
      </c>
      <c r="Q787" s="3" t="s">
        <v>45</v>
      </c>
      <c r="R787" s="3" t="s">
        <v>45</v>
      </c>
      <c r="S787" s="3" t="s">
        <v>45</v>
      </c>
      <c r="T787" s="3" t="s">
        <v>45</v>
      </c>
      <c r="U787" s="3" t="s">
        <v>45</v>
      </c>
      <c r="V787" s="3" t="s">
        <v>45</v>
      </c>
      <c r="W787" s="4" t="s">
        <v>410</v>
      </c>
      <c r="X787" s="3" t="s">
        <v>7353</v>
      </c>
      <c r="Y787" s="3" t="s">
        <v>45</v>
      </c>
      <c r="Z787" s="3" t="s">
        <v>74</v>
      </c>
      <c r="AA787" s="3" t="s">
        <v>45</v>
      </c>
      <c r="AB787" s="3" t="s">
        <v>45</v>
      </c>
      <c r="AC787" s="3" t="s">
        <v>45</v>
      </c>
      <c r="AD787" s="3" t="s">
        <v>45</v>
      </c>
      <c r="AE787" s="3" t="s">
        <v>45</v>
      </c>
      <c r="AF787" s="3" t="s">
        <v>45</v>
      </c>
      <c r="AG787" s="3" t="s">
        <v>7354</v>
      </c>
      <c r="AH787" s="3" t="s">
        <v>57</v>
      </c>
      <c r="AI787" s="5" t="s">
        <v>7355</v>
      </c>
      <c r="AJ787" s="5" t="s">
        <v>7356</v>
      </c>
      <c r="AK787" s="5" t="s">
        <v>7356</v>
      </c>
      <c r="AL787" s="3" t="s">
        <v>45</v>
      </c>
      <c r="AM787" s="3" t="s">
        <v>45</v>
      </c>
      <c r="AN787" s="3" t="s">
        <v>45</v>
      </c>
      <c r="AO787" s="3" t="s">
        <v>45</v>
      </c>
      <c r="AP787" s="3" t="s">
        <v>45</v>
      </c>
      <c r="AQ787" s="4" t="s">
        <v>168</v>
      </c>
      <c r="AR787" s="4" t="s">
        <v>7246</v>
      </c>
    </row>
    <row r="788">
      <c r="A788" s="3" t="s">
        <v>7357</v>
      </c>
      <c r="B788" s="3" t="s">
        <v>7358</v>
      </c>
      <c r="C788" s="3" t="s">
        <v>7359</v>
      </c>
      <c r="D788" s="3" t="s">
        <v>7016</v>
      </c>
      <c r="E788" s="4" t="s">
        <v>7360</v>
      </c>
      <c r="F788" s="3" t="s">
        <v>7115</v>
      </c>
      <c r="G788" s="4" t="s">
        <v>7361</v>
      </c>
      <c r="H788" s="4" t="s">
        <v>7362</v>
      </c>
      <c r="I788" s="3" t="s">
        <v>436</v>
      </c>
      <c r="J788" s="3" t="s">
        <v>126</v>
      </c>
      <c r="K788" s="3" t="s">
        <v>45</v>
      </c>
      <c r="L788" s="3" t="s">
        <v>7363</v>
      </c>
      <c r="M788" s="3" t="s">
        <v>45</v>
      </c>
      <c r="N788" s="3" t="s">
        <v>45</v>
      </c>
      <c r="O788" s="3" t="s">
        <v>74</v>
      </c>
      <c r="P788" s="3" t="s">
        <v>45</v>
      </c>
      <c r="Q788" s="3" t="s">
        <v>45</v>
      </c>
      <c r="R788" s="3" t="s">
        <v>45</v>
      </c>
      <c r="S788" s="4" t="s">
        <v>247</v>
      </c>
      <c r="T788" s="3" t="s">
        <v>45</v>
      </c>
      <c r="U788" s="3" t="s">
        <v>45</v>
      </c>
      <c r="V788" s="3" t="s">
        <v>45</v>
      </c>
      <c r="W788" s="4" t="s">
        <v>7364</v>
      </c>
      <c r="X788" s="3" t="s">
        <v>45</v>
      </c>
      <c r="Y788" s="4" t="s">
        <v>317</v>
      </c>
      <c r="Z788" s="3" t="s">
        <v>55</v>
      </c>
      <c r="AA788" s="5" t="s">
        <v>7365</v>
      </c>
      <c r="AB788" s="3" t="s">
        <v>45</v>
      </c>
      <c r="AC788" s="3" t="s">
        <v>45</v>
      </c>
      <c r="AD788" s="5" t="s">
        <v>7366</v>
      </c>
      <c r="AE788" s="3" t="s">
        <v>45</v>
      </c>
      <c r="AF788" s="3" t="s">
        <v>45</v>
      </c>
      <c r="AG788" s="5" t="s">
        <v>7367</v>
      </c>
      <c r="AH788" s="3" t="s">
        <v>57</v>
      </c>
      <c r="AI788" s="5" t="s">
        <v>7368</v>
      </c>
      <c r="AJ788" s="5" t="s">
        <v>7369</v>
      </c>
      <c r="AK788" s="5" t="s">
        <v>7370</v>
      </c>
      <c r="AL788" s="5" t="s">
        <v>7369</v>
      </c>
      <c r="AM788" s="3" t="s">
        <v>45</v>
      </c>
      <c r="AN788" s="3" t="s">
        <v>45</v>
      </c>
      <c r="AO788" s="3" t="s">
        <v>45</v>
      </c>
      <c r="AP788" s="3" t="s">
        <v>45</v>
      </c>
      <c r="AQ788" s="4" t="s">
        <v>854</v>
      </c>
      <c r="AR788" s="4" t="s">
        <v>7246</v>
      </c>
    </row>
    <row r="789">
      <c r="A789" s="3" t="s">
        <v>7371</v>
      </c>
      <c r="B789" s="3" t="s">
        <v>7372</v>
      </c>
      <c r="C789" s="3" t="s">
        <v>7373</v>
      </c>
      <c r="D789" s="3" t="s">
        <v>7016</v>
      </c>
      <c r="E789" s="4" t="s">
        <v>7374</v>
      </c>
      <c r="F789" s="3" t="s">
        <v>7375</v>
      </c>
      <c r="G789" s="4" t="s">
        <v>7376</v>
      </c>
      <c r="H789" s="4" t="s">
        <v>7377</v>
      </c>
      <c r="I789" s="3" t="s">
        <v>218</v>
      </c>
      <c r="J789" s="3" t="s">
        <v>126</v>
      </c>
      <c r="K789" s="3" t="s">
        <v>743</v>
      </c>
      <c r="L789" s="3" t="s">
        <v>7378</v>
      </c>
      <c r="M789" s="3" t="s">
        <v>45</v>
      </c>
      <c r="N789" s="4" t="s">
        <v>7379</v>
      </c>
      <c r="O789" s="3" t="s">
        <v>70</v>
      </c>
      <c r="P789" s="3" t="s">
        <v>71</v>
      </c>
      <c r="Q789" s="3" t="s">
        <v>7380</v>
      </c>
      <c r="R789" s="3" t="s">
        <v>45</v>
      </c>
      <c r="S789" s="3" t="s">
        <v>45</v>
      </c>
      <c r="T789" s="3" t="s">
        <v>45</v>
      </c>
      <c r="U789" s="3" t="s">
        <v>45</v>
      </c>
      <c r="V789" s="3" t="s">
        <v>45</v>
      </c>
      <c r="W789" s="4" t="s">
        <v>7381</v>
      </c>
      <c r="X789" s="3" t="s">
        <v>360</v>
      </c>
      <c r="Y789" s="4" t="s">
        <v>317</v>
      </c>
      <c r="Z789" s="3" t="s">
        <v>55</v>
      </c>
      <c r="AA789" s="3" t="s">
        <v>7382</v>
      </c>
      <c r="AB789" s="3" t="s">
        <v>109</v>
      </c>
      <c r="AC789" s="3" t="s">
        <v>45</v>
      </c>
      <c r="AD789" s="5" t="s">
        <v>7383</v>
      </c>
      <c r="AE789" s="5" t="s">
        <v>7384</v>
      </c>
      <c r="AF789" s="3" t="s">
        <v>45</v>
      </c>
      <c r="AG789" s="3" t="s">
        <v>7385</v>
      </c>
      <c r="AH789" s="3" t="s">
        <v>57</v>
      </c>
      <c r="AI789" s="5" t="s">
        <v>7386</v>
      </c>
      <c r="AJ789" s="5" t="s">
        <v>7387</v>
      </c>
      <c r="AK789" s="5" t="s">
        <v>7388</v>
      </c>
      <c r="AL789" s="5" t="s">
        <v>7389</v>
      </c>
      <c r="AM789" s="5" t="s">
        <v>7344</v>
      </c>
      <c r="AN789" s="5" t="s">
        <v>7390</v>
      </c>
      <c r="AO789" s="5" t="s">
        <v>7391</v>
      </c>
      <c r="AP789" s="3" t="s">
        <v>45</v>
      </c>
      <c r="AQ789" s="4" t="s">
        <v>2987</v>
      </c>
      <c r="AR789" s="4" t="s">
        <v>2037</v>
      </c>
    </row>
    <row r="790">
      <c r="A790" s="3" t="s">
        <v>7392</v>
      </c>
      <c r="B790" s="3" t="s">
        <v>7393</v>
      </c>
      <c r="C790" s="3" t="s">
        <v>7394</v>
      </c>
      <c r="D790" s="3" t="s">
        <v>7016</v>
      </c>
      <c r="E790" s="4" t="s">
        <v>7395</v>
      </c>
      <c r="F790" s="3" t="s">
        <v>7349</v>
      </c>
      <c r="G790" s="4" t="s">
        <v>7396</v>
      </c>
      <c r="H790" s="4" t="s">
        <v>7397</v>
      </c>
      <c r="I790" s="3" t="s">
        <v>49</v>
      </c>
      <c r="J790" s="3" t="s">
        <v>50</v>
      </c>
      <c r="K790" s="3" t="s">
        <v>45</v>
      </c>
      <c r="L790" s="3" t="s">
        <v>45</v>
      </c>
      <c r="M790" s="3" t="s">
        <v>45</v>
      </c>
      <c r="N790" s="3" t="s">
        <v>45</v>
      </c>
      <c r="O790" s="3" t="s">
        <v>74</v>
      </c>
      <c r="P790" s="3" t="s">
        <v>45</v>
      </c>
      <c r="Q790" s="3" t="s">
        <v>45</v>
      </c>
      <c r="R790" s="3" t="s">
        <v>45</v>
      </c>
      <c r="S790" s="4" t="s">
        <v>233</v>
      </c>
      <c r="T790" s="3" t="s">
        <v>45</v>
      </c>
      <c r="U790" s="3" t="s">
        <v>45</v>
      </c>
      <c r="V790" s="4" t="s">
        <v>7398</v>
      </c>
      <c r="W790" s="4" t="s">
        <v>410</v>
      </c>
      <c r="X790" s="3" t="s">
        <v>45</v>
      </c>
      <c r="Y790" s="3" t="s">
        <v>45</v>
      </c>
      <c r="Z790" s="3" t="s">
        <v>74</v>
      </c>
      <c r="AA790" s="3" t="s">
        <v>45</v>
      </c>
      <c r="AB790" s="3" t="s">
        <v>45</v>
      </c>
      <c r="AC790" s="3" t="s">
        <v>45</v>
      </c>
      <c r="AD790" s="3" t="s">
        <v>45</v>
      </c>
      <c r="AE790" s="3" t="s">
        <v>45</v>
      </c>
      <c r="AF790" s="3" t="s">
        <v>45</v>
      </c>
      <c r="AG790" s="3" t="s">
        <v>7399</v>
      </c>
      <c r="AH790" s="3" t="s">
        <v>57</v>
      </c>
      <c r="AI790" s="5" t="s">
        <v>7400</v>
      </c>
      <c r="AJ790" s="3" t="s">
        <v>45</v>
      </c>
      <c r="AK790" s="3" t="s">
        <v>45</v>
      </c>
      <c r="AL790" s="3" t="s">
        <v>45</v>
      </c>
      <c r="AM790" s="3" t="s">
        <v>45</v>
      </c>
      <c r="AN790" s="3" t="s">
        <v>45</v>
      </c>
      <c r="AO790" s="3" t="s">
        <v>45</v>
      </c>
      <c r="AP790" s="3" t="s">
        <v>45</v>
      </c>
      <c r="AQ790" s="4" t="s">
        <v>78</v>
      </c>
      <c r="AR790" s="4" t="s">
        <v>78</v>
      </c>
    </row>
    <row r="791">
      <c r="A791" s="3" t="s">
        <v>7401</v>
      </c>
      <c r="B791" s="3" t="s">
        <v>7402</v>
      </c>
      <c r="C791" s="3" t="s">
        <v>7403</v>
      </c>
      <c r="D791" s="3" t="s">
        <v>7016</v>
      </c>
      <c r="E791" s="4" t="s">
        <v>7404</v>
      </c>
      <c r="F791" s="3" t="s">
        <v>7064</v>
      </c>
      <c r="G791" s="4" t="s">
        <v>7405</v>
      </c>
      <c r="H791" s="4" t="s">
        <v>7406</v>
      </c>
      <c r="I791" s="3" t="s">
        <v>49</v>
      </c>
      <c r="J791" s="3" t="s">
        <v>50</v>
      </c>
      <c r="K791" s="3" t="s">
        <v>45</v>
      </c>
      <c r="L791" s="3" t="s">
        <v>7407</v>
      </c>
      <c r="M791" s="3" t="s">
        <v>45</v>
      </c>
      <c r="N791" s="4" t="s">
        <v>2222</v>
      </c>
      <c r="O791" s="3" t="s">
        <v>88</v>
      </c>
      <c r="P791" s="3" t="s">
        <v>45</v>
      </c>
      <c r="Q791" s="3" t="s">
        <v>45</v>
      </c>
      <c r="R791" s="3" t="s">
        <v>45</v>
      </c>
      <c r="S791" s="4" t="s">
        <v>275</v>
      </c>
      <c r="T791" s="3" t="s">
        <v>45</v>
      </c>
      <c r="U791" s="3" t="s">
        <v>45</v>
      </c>
      <c r="V791" s="4" t="s">
        <v>4074</v>
      </c>
      <c r="W791" s="4" t="s">
        <v>7408</v>
      </c>
      <c r="X791" s="3" t="s">
        <v>45</v>
      </c>
      <c r="Y791" s="3" t="s">
        <v>45</v>
      </c>
      <c r="Z791" s="3" t="s">
        <v>74</v>
      </c>
      <c r="AA791" s="3" t="s">
        <v>45</v>
      </c>
      <c r="AB791" s="3" t="s">
        <v>45</v>
      </c>
      <c r="AC791" s="3" t="s">
        <v>45</v>
      </c>
      <c r="AD791" s="3" t="s">
        <v>45</v>
      </c>
      <c r="AE791" s="3" t="s">
        <v>45</v>
      </c>
      <c r="AF791" s="3" t="s">
        <v>45</v>
      </c>
      <c r="AG791" s="3" t="s">
        <v>7409</v>
      </c>
      <c r="AH791" s="3" t="s">
        <v>57</v>
      </c>
      <c r="AI791" s="5" t="s">
        <v>7149</v>
      </c>
      <c r="AJ791" s="5" t="s">
        <v>7222</v>
      </c>
      <c r="AK791" s="5" t="s">
        <v>7072</v>
      </c>
      <c r="AL791" s="3" t="s">
        <v>45</v>
      </c>
      <c r="AM791" s="3" t="s">
        <v>45</v>
      </c>
      <c r="AN791" s="3" t="s">
        <v>45</v>
      </c>
      <c r="AO791" s="3" t="s">
        <v>45</v>
      </c>
      <c r="AP791" s="3" t="s">
        <v>45</v>
      </c>
      <c r="AQ791" s="4" t="s">
        <v>212</v>
      </c>
      <c r="AR791" s="4" t="s">
        <v>212</v>
      </c>
    </row>
    <row r="792">
      <c r="A792" s="3" t="s">
        <v>7410</v>
      </c>
      <c r="B792" s="3" t="s">
        <v>7411</v>
      </c>
      <c r="C792" s="3" t="s">
        <v>7403</v>
      </c>
      <c r="D792" s="3" t="s">
        <v>7016</v>
      </c>
      <c r="E792" s="4" t="s">
        <v>7412</v>
      </c>
      <c r="F792" s="3" t="s">
        <v>7064</v>
      </c>
      <c r="G792" s="4" t="s">
        <v>7413</v>
      </c>
      <c r="H792" s="4" t="s">
        <v>7414</v>
      </c>
      <c r="I792" s="3" t="s">
        <v>49</v>
      </c>
      <c r="J792" s="3" t="s">
        <v>126</v>
      </c>
      <c r="K792" s="3" t="s">
        <v>45</v>
      </c>
      <c r="L792" s="3" t="s">
        <v>45</v>
      </c>
      <c r="M792" s="3" t="s">
        <v>45</v>
      </c>
      <c r="N792" s="3" t="s">
        <v>45</v>
      </c>
      <c r="O792" s="3" t="s">
        <v>74</v>
      </c>
      <c r="P792" s="3" t="s">
        <v>45</v>
      </c>
      <c r="Q792" s="3" t="s">
        <v>45</v>
      </c>
      <c r="R792" s="3" t="s">
        <v>45</v>
      </c>
      <c r="S792" s="3" t="s">
        <v>45</v>
      </c>
      <c r="T792" s="3" t="s">
        <v>45</v>
      </c>
      <c r="U792" s="3" t="s">
        <v>45</v>
      </c>
      <c r="V792" s="4" t="s">
        <v>7415</v>
      </c>
      <c r="W792" s="4" t="s">
        <v>879</v>
      </c>
      <c r="X792" s="3" t="s">
        <v>45</v>
      </c>
      <c r="Y792" s="3" t="s">
        <v>45</v>
      </c>
      <c r="Z792" s="3" t="s">
        <v>74</v>
      </c>
      <c r="AA792" s="3" t="s">
        <v>45</v>
      </c>
      <c r="AB792" s="3" t="s">
        <v>45</v>
      </c>
      <c r="AC792" s="3" t="s">
        <v>45</v>
      </c>
      <c r="AD792" s="3" t="s">
        <v>45</v>
      </c>
      <c r="AE792" s="3" t="s">
        <v>45</v>
      </c>
      <c r="AF792" s="3" t="s">
        <v>45</v>
      </c>
      <c r="AG792" s="3" t="s">
        <v>45</v>
      </c>
      <c r="AH792" s="3" t="s">
        <v>57</v>
      </c>
      <c r="AI792" s="5" t="s">
        <v>7416</v>
      </c>
      <c r="AJ792" s="3" t="s">
        <v>45</v>
      </c>
      <c r="AK792" s="3" t="s">
        <v>45</v>
      </c>
      <c r="AL792" s="3" t="s">
        <v>45</v>
      </c>
      <c r="AM792" s="3" t="s">
        <v>45</v>
      </c>
      <c r="AN792" s="3" t="s">
        <v>45</v>
      </c>
      <c r="AO792" s="3" t="s">
        <v>45</v>
      </c>
      <c r="AP792" s="3" t="s">
        <v>45</v>
      </c>
      <c r="AQ792" s="4" t="s">
        <v>2987</v>
      </c>
      <c r="AR792" s="4" t="s">
        <v>2987</v>
      </c>
    </row>
    <row r="793">
      <c r="A793" s="3" t="s">
        <v>7417</v>
      </c>
      <c r="B793" s="3" t="s">
        <v>7418</v>
      </c>
      <c r="C793" s="3" t="s">
        <v>7419</v>
      </c>
      <c r="D793" s="3" t="s">
        <v>7016</v>
      </c>
      <c r="E793" s="4" t="s">
        <v>7420</v>
      </c>
      <c r="F793" s="3" t="s">
        <v>7421</v>
      </c>
      <c r="G793" s="4" t="s">
        <v>7422</v>
      </c>
      <c r="H793" s="4" t="s">
        <v>7423</v>
      </c>
      <c r="I793" s="3" t="s">
        <v>49</v>
      </c>
      <c r="J793" s="3" t="s">
        <v>126</v>
      </c>
      <c r="K793" s="3" t="s">
        <v>45</v>
      </c>
      <c r="L793" s="3" t="s">
        <v>45</v>
      </c>
      <c r="M793" s="3" t="s">
        <v>45</v>
      </c>
      <c r="N793" s="3" t="s">
        <v>45</v>
      </c>
      <c r="O793" s="3" t="s">
        <v>74</v>
      </c>
      <c r="P793" s="3" t="s">
        <v>45</v>
      </c>
      <c r="Q793" s="3" t="s">
        <v>45</v>
      </c>
      <c r="R793" s="3" t="s">
        <v>45</v>
      </c>
      <c r="S793" s="3" t="s">
        <v>45</v>
      </c>
      <c r="T793" s="3" t="s">
        <v>105</v>
      </c>
      <c r="U793" s="3" t="s">
        <v>45</v>
      </c>
      <c r="V793" s="3" t="s">
        <v>45</v>
      </c>
      <c r="W793" s="4" t="s">
        <v>1083</v>
      </c>
      <c r="X793" s="3" t="s">
        <v>45</v>
      </c>
      <c r="Y793" s="3" t="s">
        <v>45</v>
      </c>
      <c r="Z793" s="3" t="s">
        <v>55</v>
      </c>
      <c r="AA793" s="3" t="s">
        <v>45</v>
      </c>
      <c r="AB793" s="3" t="s">
        <v>45</v>
      </c>
      <c r="AC793" s="3" t="s">
        <v>45</v>
      </c>
      <c r="AD793" s="5" t="s">
        <v>7424</v>
      </c>
      <c r="AE793" s="3" t="s">
        <v>45</v>
      </c>
      <c r="AF793" s="3" t="s">
        <v>45</v>
      </c>
      <c r="AG793" s="3" t="s">
        <v>45</v>
      </c>
      <c r="AH793" s="3" t="s">
        <v>57</v>
      </c>
      <c r="AI793" s="5" t="s">
        <v>7425</v>
      </c>
      <c r="AJ793" s="5" t="s">
        <v>7426</v>
      </c>
      <c r="AK793" s="3" t="s">
        <v>45</v>
      </c>
      <c r="AL793" s="3" t="s">
        <v>45</v>
      </c>
      <c r="AM793" s="3" t="s">
        <v>45</v>
      </c>
      <c r="AN793" s="3" t="s">
        <v>45</v>
      </c>
      <c r="AO793" s="3" t="s">
        <v>45</v>
      </c>
      <c r="AP793" s="3" t="s">
        <v>45</v>
      </c>
      <c r="AQ793" s="4" t="s">
        <v>7427</v>
      </c>
      <c r="AR793" s="4" t="s">
        <v>7427</v>
      </c>
    </row>
    <row r="794">
      <c r="A794" s="3" t="s">
        <v>7428</v>
      </c>
      <c r="B794" s="3" t="s">
        <v>7429</v>
      </c>
      <c r="C794" s="3" t="s">
        <v>7430</v>
      </c>
      <c r="D794" s="3" t="s">
        <v>7016</v>
      </c>
      <c r="E794" s="4" t="s">
        <v>7431</v>
      </c>
      <c r="F794" s="3" t="s">
        <v>7432</v>
      </c>
      <c r="G794" s="4" t="s">
        <v>7433</v>
      </c>
      <c r="H794" s="4" t="s">
        <v>7434</v>
      </c>
      <c r="I794" s="3" t="s">
        <v>85</v>
      </c>
      <c r="J794" s="3" t="s">
        <v>126</v>
      </c>
      <c r="K794" s="3" t="s">
        <v>45</v>
      </c>
      <c r="L794" s="3" t="s">
        <v>45</v>
      </c>
      <c r="M794" s="3" t="s">
        <v>45</v>
      </c>
      <c r="N794" s="4" t="s">
        <v>437</v>
      </c>
      <c r="O794" s="3" t="s">
        <v>722</v>
      </c>
      <c r="P794" s="3" t="s">
        <v>45</v>
      </c>
      <c r="Q794" s="3" t="s">
        <v>45</v>
      </c>
      <c r="R794" s="3" t="s">
        <v>45</v>
      </c>
      <c r="S794" s="3" t="s">
        <v>45</v>
      </c>
      <c r="T794" s="3" t="s">
        <v>45</v>
      </c>
      <c r="U794" s="3" t="s">
        <v>45</v>
      </c>
      <c r="V794" s="3" t="s">
        <v>45</v>
      </c>
      <c r="W794" s="3" t="s">
        <v>45</v>
      </c>
      <c r="X794" s="3" t="s">
        <v>45</v>
      </c>
      <c r="Y794" s="3" t="s">
        <v>45</v>
      </c>
      <c r="Z794" s="3" t="s">
        <v>74</v>
      </c>
      <c r="AA794" s="3" t="s">
        <v>45</v>
      </c>
      <c r="AB794" s="3" t="s">
        <v>45</v>
      </c>
      <c r="AC794" s="3" t="s">
        <v>45</v>
      </c>
      <c r="AD794" s="3" t="s">
        <v>45</v>
      </c>
      <c r="AE794" s="3" t="s">
        <v>45</v>
      </c>
      <c r="AF794" s="3" t="s">
        <v>45</v>
      </c>
      <c r="AG794" s="3" t="s">
        <v>5931</v>
      </c>
      <c r="AH794" s="3" t="s">
        <v>57</v>
      </c>
      <c r="AI794" s="5" t="s">
        <v>7435</v>
      </c>
      <c r="AJ794" s="5" t="s">
        <v>7436</v>
      </c>
      <c r="AK794" s="3" t="s">
        <v>45</v>
      </c>
      <c r="AL794" s="3" t="s">
        <v>45</v>
      </c>
      <c r="AM794" s="3" t="s">
        <v>45</v>
      </c>
      <c r="AN794" s="3" t="s">
        <v>45</v>
      </c>
      <c r="AO794" s="3" t="s">
        <v>45</v>
      </c>
      <c r="AP794" s="3" t="s">
        <v>45</v>
      </c>
      <c r="AQ794" s="4" t="s">
        <v>6079</v>
      </c>
      <c r="AR794" s="4" t="s">
        <v>6079</v>
      </c>
    </row>
    <row r="795">
      <c r="A795" s="3" t="s">
        <v>7437</v>
      </c>
      <c r="B795" s="3" t="s">
        <v>7438</v>
      </c>
      <c r="C795" s="3" t="s">
        <v>7439</v>
      </c>
      <c r="D795" s="3" t="s">
        <v>7016</v>
      </c>
      <c r="E795" s="4" t="s">
        <v>7440</v>
      </c>
      <c r="F795" s="3" t="s">
        <v>214</v>
      </c>
      <c r="G795" s="4" t="s">
        <v>7441</v>
      </c>
      <c r="H795" s="4" t="s">
        <v>7442</v>
      </c>
      <c r="I795" s="3" t="s">
        <v>85</v>
      </c>
      <c r="J795" s="3" t="s">
        <v>126</v>
      </c>
      <c r="K795" s="3" t="s">
        <v>45</v>
      </c>
      <c r="L795" s="3" t="s">
        <v>7443</v>
      </c>
      <c r="M795" s="3" t="s">
        <v>45</v>
      </c>
      <c r="N795" s="4" t="s">
        <v>104</v>
      </c>
      <c r="O795" s="3" t="s">
        <v>53</v>
      </c>
      <c r="P795" s="3" t="s">
        <v>45</v>
      </c>
      <c r="Q795" s="3" t="s">
        <v>45</v>
      </c>
      <c r="R795" s="3" t="s">
        <v>45</v>
      </c>
      <c r="S795" s="3" t="s">
        <v>45</v>
      </c>
      <c r="T795" s="3" t="s">
        <v>45</v>
      </c>
      <c r="U795" s="3" t="s">
        <v>45</v>
      </c>
      <c r="V795" s="4" t="s">
        <v>4135</v>
      </c>
      <c r="W795" s="3" t="s">
        <v>45</v>
      </c>
      <c r="X795" s="3" t="s">
        <v>45</v>
      </c>
      <c r="Y795" s="3" t="s">
        <v>45</v>
      </c>
      <c r="Z795" s="3" t="s">
        <v>74</v>
      </c>
      <c r="AA795" s="3" t="s">
        <v>45</v>
      </c>
      <c r="AB795" s="3" t="s">
        <v>45</v>
      </c>
      <c r="AC795" s="3" t="s">
        <v>45</v>
      </c>
      <c r="AD795" s="3" t="s">
        <v>45</v>
      </c>
      <c r="AE795" s="3" t="s">
        <v>45</v>
      </c>
      <c r="AF795" s="3" t="s">
        <v>45</v>
      </c>
      <c r="AG795" s="3" t="s">
        <v>45</v>
      </c>
      <c r="AH795" s="3" t="s">
        <v>7025</v>
      </c>
      <c r="AI795" s="5" t="s">
        <v>7444</v>
      </c>
      <c r="AJ795" s="3" t="s">
        <v>45</v>
      </c>
      <c r="AK795" s="3" t="s">
        <v>45</v>
      </c>
      <c r="AL795" s="3" t="s">
        <v>45</v>
      </c>
      <c r="AM795" s="3" t="s">
        <v>45</v>
      </c>
      <c r="AN795" s="3" t="s">
        <v>45</v>
      </c>
      <c r="AO795" s="3" t="s">
        <v>45</v>
      </c>
      <c r="AP795" s="3" t="s">
        <v>45</v>
      </c>
      <c r="AQ795" s="4" t="s">
        <v>1059</v>
      </c>
      <c r="AR795" s="4" t="s">
        <v>1059</v>
      </c>
    </row>
    <row r="796">
      <c r="A796" s="3" t="s">
        <v>7445</v>
      </c>
      <c r="B796" s="3" t="s">
        <v>7446</v>
      </c>
      <c r="C796" s="3" t="s">
        <v>5435</v>
      </c>
      <c r="D796" s="3" t="s">
        <v>7016</v>
      </c>
      <c r="E796" s="4" t="s">
        <v>7447</v>
      </c>
      <c r="F796" s="3" t="s">
        <v>5435</v>
      </c>
      <c r="G796" s="4" t="s">
        <v>7448</v>
      </c>
      <c r="H796" s="4" t="s">
        <v>7449</v>
      </c>
      <c r="I796" s="3" t="s">
        <v>49</v>
      </c>
      <c r="J796" s="3" t="s">
        <v>126</v>
      </c>
      <c r="K796" s="3" t="s">
        <v>743</v>
      </c>
      <c r="L796" s="3" t="s">
        <v>7450</v>
      </c>
      <c r="M796" s="3" t="s">
        <v>45</v>
      </c>
      <c r="N796" s="3" t="s">
        <v>7451</v>
      </c>
      <c r="O796" s="3" t="s">
        <v>88</v>
      </c>
      <c r="P796" s="3" t="s">
        <v>45</v>
      </c>
      <c r="Q796" s="3" t="s">
        <v>45</v>
      </c>
      <c r="R796" s="3" t="s">
        <v>45</v>
      </c>
      <c r="S796" s="3" t="s">
        <v>45</v>
      </c>
      <c r="T796" s="3" t="s">
        <v>45</v>
      </c>
      <c r="U796" s="3" t="s">
        <v>45</v>
      </c>
      <c r="V796" s="4" t="s">
        <v>3357</v>
      </c>
      <c r="W796" s="4" t="s">
        <v>1316</v>
      </c>
      <c r="X796" s="3" t="s">
        <v>192</v>
      </c>
      <c r="Y796" s="3" t="s">
        <v>45</v>
      </c>
      <c r="Z796" s="3" t="s">
        <v>55</v>
      </c>
      <c r="AA796" s="3" t="s">
        <v>45</v>
      </c>
      <c r="AB796" s="3" t="s">
        <v>45</v>
      </c>
      <c r="AC796" s="3" t="s">
        <v>45</v>
      </c>
      <c r="AD796" s="3" t="s">
        <v>45</v>
      </c>
      <c r="AE796" s="3" t="s">
        <v>45</v>
      </c>
      <c r="AF796" s="3" t="s">
        <v>45</v>
      </c>
      <c r="AG796" s="3" t="s">
        <v>7452</v>
      </c>
      <c r="AH796" s="3" t="s">
        <v>57</v>
      </c>
      <c r="AI796" s="5" t="s">
        <v>7453</v>
      </c>
      <c r="AJ796" s="5" t="s">
        <v>7454</v>
      </c>
      <c r="AK796" s="5" t="s">
        <v>7455</v>
      </c>
      <c r="AL796" s="3" t="s">
        <v>45</v>
      </c>
      <c r="AM796" s="3" t="s">
        <v>45</v>
      </c>
      <c r="AN796" s="3" t="s">
        <v>45</v>
      </c>
      <c r="AO796" s="3" t="s">
        <v>45</v>
      </c>
      <c r="AP796" s="3" t="s">
        <v>45</v>
      </c>
      <c r="AQ796" s="4" t="s">
        <v>6913</v>
      </c>
      <c r="AR796" s="4" t="s">
        <v>5413</v>
      </c>
    </row>
    <row r="797">
      <c r="A797" s="3" t="s">
        <v>7456</v>
      </c>
      <c r="B797" s="3" t="s">
        <v>7457</v>
      </c>
      <c r="C797" s="3" t="s">
        <v>5435</v>
      </c>
      <c r="D797" s="3" t="s">
        <v>7016</v>
      </c>
      <c r="E797" s="4" t="s">
        <v>7447</v>
      </c>
      <c r="F797" s="3" t="s">
        <v>5435</v>
      </c>
      <c r="G797" s="4" t="s">
        <v>7458</v>
      </c>
      <c r="H797" s="4" t="s">
        <v>7459</v>
      </c>
      <c r="I797" s="3" t="s">
        <v>49</v>
      </c>
      <c r="J797" s="3" t="s">
        <v>126</v>
      </c>
      <c r="K797" s="3" t="s">
        <v>743</v>
      </c>
      <c r="L797" s="3" t="s">
        <v>7450</v>
      </c>
      <c r="M797" s="3" t="s">
        <v>45</v>
      </c>
      <c r="N797" s="3" t="s">
        <v>7451</v>
      </c>
      <c r="O797" s="3" t="s">
        <v>88</v>
      </c>
      <c r="P797" s="3" t="s">
        <v>45</v>
      </c>
      <c r="Q797" s="3" t="s">
        <v>45</v>
      </c>
      <c r="R797" s="3" t="s">
        <v>45</v>
      </c>
      <c r="S797" s="3" t="s">
        <v>45</v>
      </c>
      <c r="T797" s="3" t="s">
        <v>45</v>
      </c>
      <c r="U797" s="3" t="s">
        <v>45</v>
      </c>
      <c r="V797" s="4" t="s">
        <v>7460</v>
      </c>
      <c r="W797" s="4" t="s">
        <v>612</v>
      </c>
      <c r="X797" s="3" t="s">
        <v>192</v>
      </c>
      <c r="Y797" s="3" t="s">
        <v>45</v>
      </c>
      <c r="Z797" s="3" t="s">
        <v>55</v>
      </c>
      <c r="AA797" s="3" t="s">
        <v>45</v>
      </c>
      <c r="AB797" s="3" t="s">
        <v>45</v>
      </c>
      <c r="AC797" s="3" t="s">
        <v>45</v>
      </c>
      <c r="AD797" s="3" t="s">
        <v>45</v>
      </c>
      <c r="AE797" s="3" t="s">
        <v>45</v>
      </c>
      <c r="AF797" s="3" t="s">
        <v>45</v>
      </c>
      <c r="AG797" s="3" t="s">
        <v>7452</v>
      </c>
      <c r="AH797" s="3" t="s">
        <v>57</v>
      </c>
      <c r="AI797" s="5" t="s">
        <v>7453</v>
      </c>
      <c r="AJ797" s="5" t="s">
        <v>7455</v>
      </c>
      <c r="AK797" s="3" t="s">
        <v>45</v>
      </c>
      <c r="AL797" s="3" t="s">
        <v>45</v>
      </c>
      <c r="AM797" s="3" t="s">
        <v>45</v>
      </c>
      <c r="AN797" s="3" t="s">
        <v>45</v>
      </c>
      <c r="AO797" s="3" t="s">
        <v>45</v>
      </c>
      <c r="AP797" s="3" t="s">
        <v>45</v>
      </c>
      <c r="AQ797" s="4" t="s">
        <v>6913</v>
      </c>
      <c r="AR797" s="4" t="s">
        <v>5413</v>
      </c>
    </row>
    <row r="798">
      <c r="A798" s="3" t="s">
        <v>7461</v>
      </c>
      <c r="B798" s="3" t="s">
        <v>7462</v>
      </c>
      <c r="C798" s="3" t="s">
        <v>5435</v>
      </c>
      <c r="D798" s="3" t="s">
        <v>7016</v>
      </c>
      <c r="E798" s="4" t="s">
        <v>7447</v>
      </c>
      <c r="F798" s="3" t="s">
        <v>5435</v>
      </c>
      <c r="G798" s="4" t="s">
        <v>7463</v>
      </c>
      <c r="H798" s="4" t="s">
        <v>7464</v>
      </c>
      <c r="I798" s="3" t="s">
        <v>85</v>
      </c>
      <c r="J798" s="3" t="s">
        <v>126</v>
      </c>
      <c r="K798" s="3" t="s">
        <v>45</v>
      </c>
      <c r="L798" s="3" t="s">
        <v>1620</v>
      </c>
      <c r="M798" s="3" t="s">
        <v>45</v>
      </c>
      <c r="N798" s="3" t="s">
        <v>45</v>
      </c>
      <c r="O798" s="3" t="s">
        <v>74</v>
      </c>
      <c r="P798" s="3" t="s">
        <v>45</v>
      </c>
      <c r="Q798" s="3" t="s">
        <v>45</v>
      </c>
      <c r="R798" s="3" t="s">
        <v>45</v>
      </c>
      <c r="S798" s="3" t="s">
        <v>45</v>
      </c>
      <c r="T798" s="3" t="s">
        <v>45</v>
      </c>
      <c r="U798" s="3" t="s">
        <v>45</v>
      </c>
      <c r="V798" s="4" t="s">
        <v>7465</v>
      </c>
      <c r="W798" s="3" t="s">
        <v>45</v>
      </c>
      <c r="X798" s="3" t="s">
        <v>45</v>
      </c>
      <c r="Y798" s="3" t="s">
        <v>45</v>
      </c>
      <c r="Z798" s="3" t="s">
        <v>74</v>
      </c>
      <c r="AA798" s="3" t="s">
        <v>45</v>
      </c>
      <c r="AB798" s="3" t="s">
        <v>45</v>
      </c>
      <c r="AC798" s="3" t="s">
        <v>45</v>
      </c>
      <c r="AD798" s="3" t="s">
        <v>45</v>
      </c>
      <c r="AE798" s="3" t="s">
        <v>45</v>
      </c>
      <c r="AF798" s="3" t="s">
        <v>45</v>
      </c>
      <c r="AG798" s="3" t="s">
        <v>45</v>
      </c>
      <c r="AH798" s="3" t="s">
        <v>7025</v>
      </c>
      <c r="AI798" s="3" t="s">
        <v>45</v>
      </c>
      <c r="AJ798" s="3" t="s">
        <v>45</v>
      </c>
      <c r="AK798" s="3" t="s">
        <v>45</v>
      </c>
      <c r="AL798" s="3" t="s">
        <v>45</v>
      </c>
      <c r="AM798" s="3" t="s">
        <v>45</v>
      </c>
      <c r="AN798" s="3" t="s">
        <v>45</v>
      </c>
      <c r="AO798" s="3" t="s">
        <v>45</v>
      </c>
      <c r="AP798" s="3" t="s">
        <v>45</v>
      </c>
      <c r="AQ798" s="4" t="s">
        <v>7164</v>
      </c>
      <c r="AR798" s="4" t="s">
        <v>7164</v>
      </c>
    </row>
    <row r="799">
      <c r="A799" s="3" t="s">
        <v>7466</v>
      </c>
      <c r="B799" s="3" t="s">
        <v>7467</v>
      </c>
      <c r="C799" s="3" t="s">
        <v>7468</v>
      </c>
      <c r="D799" s="3" t="s">
        <v>7016</v>
      </c>
      <c r="E799" s="4" t="s">
        <v>7469</v>
      </c>
      <c r="F799" s="3" t="s">
        <v>7470</v>
      </c>
      <c r="G799" s="4" t="s">
        <v>7471</v>
      </c>
      <c r="H799" s="4" t="s">
        <v>7472</v>
      </c>
      <c r="I799" s="3" t="s">
        <v>49</v>
      </c>
      <c r="J799" s="3" t="s">
        <v>126</v>
      </c>
      <c r="K799" s="3" t="s">
        <v>45</v>
      </c>
      <c r="L799" s="3" t="s">
        <v>45</v>
      </c>
      <c r="M799" s="3" t="s">
        <v>45</v>
      </c>
      <c r="N799" s="3" t="s">
        <v>45</v>
      </c>
      <c r="O799" s="3" t="s">
        <v>74</v>
      </c>
      <c r="P799" s="3" t="s">
        <v>45</v>
      </c>
      <c r="Q799" s="3" t="s">
        <v>45</v>
      </c>
      <c r="R799" s="3" t="s">
        <v>45</v>
      </c>
      <c r="S799" s="3" t="s">
        <v>45</v>
      </c>
      <c r="T799" s="3" t="s">
        <v>45</v>
      </c>
      <c r="U799" s="3" t="s">
        <v>45</v>
      </c>
      <c r="V799" s="3" t="s">
        <v>45</v>
      </c>
      <c r="W799" s="3" t="s">
        <v>45</v>
      </c>
      <c r="X799" s="3" t="s">
        <v>45</v>
      </c>
      <c r="Y799" s="3" t="s">
        <v>45</v>
      </c>
      <c r="Z799" s="3" t="s">
        <v>45</v>
      </c>
      <c r="AA799" s="3" t="s">
        <v>45</v>
      </c>
      <c r="AB799" s="3" t="s">
        <v>45</v>
      </c>
      <c r="AC799" s="3" t="s">
        <v>45</v>
      </c>
      <c r="AD799" s="3" t="s">
        <v>45</v>
      </c>
      <c r="AE799" s="3" t="s">
        <v>45</v>
      </c>
      <c r="AF799" s="3" t="s">
        <v>45</v>
      </c>
      <c r="AG799" s="3" t="s">
        <v>45</v>
      </c>
      <c r="AH799" s="3" t="s">
        <v>57</v>
      </c>
      <c r="AI799" s="5" t="s">
        <v>7473</v>
      </c>
      <c r="AJ799" s="3" t="s">
        <v>45</v>
      </c>
      <c r="AK799" s="3" t="s">
        <v>45</v>
      </c>
      <c r="AL799" s="3" t="s">
        <v>45</v>
      </c>
      <c r="AM799" s="3" t="s">
        <v>45</v>
      </c>
      <c r="AN799" s="3" t="s">
        <v>45</v>
      </c>
      <c r="AO799" s="3" t="s">
        <v>45</v>
      </c>
      <c r="AP799" s="3" t="s">
        <v>45</v>
      </c>
      <c r="AQ799" s="4" t="s">
        <v>1016</v>
      </c>
      <c r="AR799" s="4" t="s">
        <v>1016</v>
      </c>
    </row>
    <row r="800">
      <c r="A800" s="3" t="s">
        <v>7474</v>
      </c>
      <c r="B800" s="3" t="s">
        <v>7475</v>
      </c>
      <c r="C800" s="3" t="s">
        <v>7476</v>
      </c>
      <c r="D800" s="3" t="s">
        <v>7016</v>
      </c>
      <c r="E800" s="4" t="s">
        <v>7477</v>
      </c>
      <c r="F800" s="3" t="s">
        <v>7478</v>
      </c>
      <c r="G800" s="4" t="s">
        <v>7479</v>
      </c>
      <c r="H800" s="4" t="s">
        <v>7480</v>
      </c>
      <c r="I800" s="3" t="s">
        <v>49</v>
      </c>
      <c r="J800" s="3" t="s">
        <v>50</v>
      </c>
      <c r="K800" s="3" t="s">
        <v>45</v>
      </c>
      <c r="L800" s="3" t="s">
        <v>479</v>
      </c>
      <c r="M800" s="3" t="s">
        <v>45</v>
      </c>
      <c r="N800" s="3" t="s">
        <v>45</v>
      </c>
      <c r="O800" s="3" t="s">
        <v>88</v>
      </c>
      <c r="P800" s="3" t="s">
        <v>45</v>
      </c>
      <c r="Q800" s="3" t="s">
        <v>45</v>
      </c>
      <c r="R800" s="3" t="s">
        <v>45</v>
      </c>
      <c r="S800" s="4" t="s">
        <v>52</v>
      </c>
      <c r="T800" s="3" t="s">
        <v>45</v>
      </c>
      <c r="U800" s="3" t="s">
        <v>45</v>
      </c>
      <c r="V800" s="4" t="s">
        <v>2565</v>
      </c>
      <c r="W800" s="4" t="s">
        <v>7481</v>
      </c>
      <c r="X800" s="3" t="s">
        <v>45</v>
      </c>
      <c r="Y800" s="3" t="s">
        <v>45</v>
      </c>
      <c r="Z800" s="3" t="s">
        <v>74</v>
      </c>
      <c r="AA800" s="3" t="s">
        <v>45</v>
      </c>
      <c r="AB800" s="3" t="s">
        <v>45</v>
      </c>
      <c r="AC800" s="3" t="s">
        <v>45</v>
      </c>
      <c r="AD800" s="3" t="s">
        <v>45</v>
      </c>
      <c r="AE800" s="3" t="s">
        <v>45</v>
      </c>
      <c r="AF800" s="3" t="s">
        <v>45</v>
      </c>
      <c r="AG800" s="3" t="s">
        <v>45</v>
      </c>
      <c r="AH800" s="3" t="s">
        <v>57</v>
      </c>
      <c r="AI800" s="5" t="s">
        <v>7482</v>
      </c>
      <c r="AJ800" s="3" t="s">
        <v>45</v>
      </c>
      <c r="AK800" s="3" t="s">
        <v>45</v>
      </c>
      <c r="AL800" s="3" t="s">
        <v>45</v>
      </c>
      <c r="AM800" s="3" t="s">
        <v>45</v>
      </c>
      <c r="AN800" s="3" t="s">
        <v>45</v>
      </c>
      <c r="AO800" s="3" t="s">
        <v>45</v>
      </c>
      <c r="AP800" s="3" t="s">
        <v>45</v>
      </c>
      <c r="AQ800" s="4" t="s">
        <v>197</v>
      </c>
      <c r="AR800" s="4" t="s">
        <v>197</v>
      </c>
    </row>
    <row r="801">
      <c r="A801" s="3" t="s">
        <v>7483</v>
      </c>
      <c r="B801" s="3" t="s">
        <v>7484</v>
      </c>
      <c r="C801" s="3" t="s">
        <v>7485</v>
      </c>
      <c r="D801" s="3" t="s">
        <v>7016</v>
      </c>
      <c r="E801" s="4" t="s">
        <v>7486</v>
      </c>
      <c r="F801" s="3" t="s">
        <v>2525</v>
      </c>
      <c r="G801" s="4" t="s">
        <v>7487</v>
      </c>
      <c r="H801" s="4" t="s">
        <v>7488</v>
      </c>
      <c r="I801" s="3" t="s">
        <v>218</v>
      </c>
      <c r="J801" s="3" t="s">
        <v>126</v>
      </c>
      <c r="K801" s="3" t="s">
        <v>7489</v>
      </c>
      <c r="L801" s="3" t="s">
        <v>7490</v>
      </c>
      <c r="M801" s="3" t="s">
        <v>45</v>
      </c>
      <c r="N801" s="4" t="s">
        <v>410</v>
      </c>
      <c r="O801" s="3" t="s">
        <v>70</v>
      </c>
      <c r="P801" s="3" t="s">
        <v>45</v>
      </c>
      <c r="Q801" s="3" t="s">
        <v>45</v>
      </c>
      <c r="R801" s="3" t="s">
        <v>45</v>
      </c>
      <c r="S801" s="3" t="s">
        <v>45</v>
      </c>
      <c r="T801" s="3" t="s">
        <v>105</v>
      </c>
      <c r="U801" s="3" t="s">
        <v>221</v>
      </c>
      <c r="V801" s="4" t="s">
        <v>1165</v>
      </c>
      <c r="W801" s="4" t="s">
        <v>1750</v>
      </c>
      <c r="X801" s="3" t="s">
        <v>7491</v>
      </c>
      <c r="Y801" s="4" t="s">
        <v>317</v>
      </c>
      <c r="Z801" s="3" t="s">
        <v>55</v>
      </c>
      <c r="AA801" s="3" t="s">
        <v>45</v>
      </c>
      <c r="AB801" s="3" t="s">
        <v>109</v>
      </c>
      <c r="AC801" s="3" t="s">
        <v>45</v>
      </c>
      <c r="AD801" s="5" t="s">
        <v>7492</v>
      </c>
      <c r="AE801" s="5" t="s">
        <v>7493</v>
      </c>
      <c r="AF801" s="3" t="s">
        <v>45</v>
      </c>
      <c r="AG801" s="3" t="s">
        <v>45</v>
      </c>
      <c r="AH801" s="3" t="s">
        <v>57</v>
      </c>
      <c r="AI801" s="5" t="s">
        <v>7494</v>
      </c>
      <c r="AJ801" s="5" t="s">
        <v>7495</v>
      </c>
      <c r="AK801" s="3" t="s">
        <v>45</v>
      </c>
      <c r="AL801" s="3" t="s">
        <v>45</v>
      </c>
      <c r="AM801" s="3" t="s">
        <v>45</v>
      </c>
      <c r="AN801" s="3" t="s">
        <v>45</v>
      </c>
      <c r="AO801" s="3" t="s">
        <v>45</v>
      </c>
      <c r="AP801" s="3" t="s">
        <v>45</v>
      </c>
      <c r="AQ801" s="4" t="s">
        <v>1767</v>
      </c>
      <c r="AR801" s="4" t="s">
        <v>1767</v>
      </c>
    </row>
    <row r="802">
      <c r="A802" s="3" t="s">
        <v>7496</v>
      </c>
      <c r="B802" s="3" t="s">
        <v>7497</v>
      </c>
      <c r="C802" s="3" t="s">
        <v>7498</v>
      </c>
      <c r="D802" s="3" t="s">
        <v>7016</v>
      </c>
      <c r="E802" s="4" t="s">
        <v>7499</v>
      </c>
      <c r="F802" s="3" t="s">
        <v>7500</v>
      </c>
      <c r="G802" s="4" t="s">
        <v>7501</v>
      </c>
      <c r="H802" s="4" t="s">
        <v>7502</v>
      </c>
      <c r="I802" s="3" t="s">
        <v>85</v>
      </c>
      <c r="J802" s="3" t="s">
        <v>126</v>
      </c>
      <c r="K802" s="3" t="s">
        <v>45</v>
      </c>
      <c r="L802" s="3" t="s">
        <v>2389</v>
      </c>
      <c r="M802" s="3" t="s">
        <v>45</v>
      </c>
      <c r="N802" s="4" t="s">
        <v>2982</v>
      </c>
      <c r="O802" s="3" t="s">
        <v>390</v>
      </c>
      <c r="P802" s="3" t="s">
        <v>45</v>
      </c>
      <c r="Q802" s="3" t="s">
        <v>45</v>
      </c>
      <c r="R802" s="3" t="s">
        <v>45</v>
      </c>
      <c r="S802" s="3" t="s">
        <v>45</v>
      </c>
      <c r="T802" s="3" t="s">
        <v>45</v>
      </c>
      <c r="U802" s="3" t="s">
        <v>45</v>
      </c>
      <c r="V802" s="4" t="s">
        <v>7503</v>
      </c>
      <c r="W802" s="3" t="s">
        <v>45</v>
      </c>
      <c r="X802" s="3" t="s">
        <v>7504</v>
      </c>
      <c r="Y802" s="3" t="s">
        <v>45</v>
      </c>
      <c r="Z802" s="3" t="s">
        <v>74</v>
      </c>
      <c r="AA802" s="3" t="s">
        <v>45</v>
      </c>
      <c r="AB802" s="3" t="s">
        <v>45</v>
      </c>
      <c r="AC802" s="3" t="s">
        <v>45</v>
      </c>
      <c r="AD802" s="3" t="s">
        <v>45</v>
      </c>
      <c r="AE802" s="3" t="s">
        <v>45</v>
      </c>
      <c r="AF802" s="3" t="s">
        <v>45</v>
      </c>
      <c r="AG802" s="3" t="s">
        <v>45</v>
      </c>
      <c r="AH802" s="3" t="s">
        <v>57</v>
      </c>
      <c r="AI802" s="5" t="s">
        <v>7505</v>
      </c>
      <c r="AJ802" s="3" t="s">
        <v>45</v>
      </c>
      <c r="AK802" s="3" t="s">
        <v>45</v>
      </c>
      <c r="AL802" s="3" t="s">
        <v>45</v>
      </c>
      <c r="AM802" s="3" t="s">
        <v>45</v>
      </c>
      <c r="AN802" s="3" t="s">
        <v>45</v>
      </c>
      <c r="AO802" s="3" t="s">
        <v>45</v>
      </c>
      <c r="AP802" s="3" t="s">
        <v>45</v>
      </c>
      <c r="AQ802" s="4" t="s">
        <v>212</v>
      </c>
      <c r="AR802" s="4" t="s">
        <v>212</v>
      </c>
    </row>
    <row r="803">
      <c r="A803" s="3" t="s">
        <v>7506</v>
      </c>
      <c r="B803" s="3" t="s">
        <v>7507</v>
      </c>
      <c r="C803" s="3" t="s">
        <v>7508</v>
      </c>
      <c r="D803" s="3" t="s">
        <v>7016</v>
      </c>
      <c r="E803" s="4" t="s">
        <v>7509</v>
      </c>
      <c r="F803" s="3" t="s">
        <v>7018</v>
      </c>
      <c r="G803" s="4" t="s">
        <v>7510</v>
      </c>
      <c r="H803" s="4" t="s">
        <v>7511</v>
      </c>
      <c r="I803" s="3" t="s">
        <v>408</v>
      </c>
      <c r="J803" s="3" t="s">
        <v>126</v>
      </c>
      <c r="K803" s="3" t="s">
        <v>45</v>
      </c>
      <c r="L803" s="3" t="s">
        <v>7512</v>
      </c>
      <c r="M803" s="3" t="s">
        <v>45</v>
      </c>
      <c r="N803" s="4" t="s">
        <v>90</v>
      </c>
      <c r="O803" s="3" t="s">
        <v>88</v>
      </c>
      <c r="P803" s="3" t="s">
        <v>45</v>
      </c>
      <c r="Q803" s="3" t="s">
        <v>45</v>
      </c>
      <c r="R803" s="3" t="s">
        <v>45</v>
      </c>
      <c r="S803" s="3" t="s">
        <v>45</v>
      </c>
      <c r="T803" s="3" t="s">
        <v>45</v>
      </c>
      <c r="U803" s="3" t="s">
        <v>45</v>
      </c>
      <c r="V803" s="3" t="s">
        <v>45</v>
      </c>
      <c r="W803" s="3" t="s">
        <v>45</v>
      </c>
      <c r="X803" s="3" t="s">
        <v>45</v>
      </c>
      <c r="Y803" s="3" t="s">
        <v>45</v>
      </c>
      <c r="Z803" s="3" t="s">
        <v>74</v>
      </c>
      <c r="AA803" s="3" t="s">
        <v>45</v>
      </c>
      <c r="AB803" s="3" t="s">
        <v>45</v>
      </c>
      <c r="AC803" s="3" t="s">
        <v>45</v>
      </c>
      <c r="AD803" s="3" t="s">
        <v>45</v>
      </c>
      <c r="AE803" s="3" t="s">
        <v>45</v>
      </c>
      <c r="AF803" s="3" t="s">
        <v>45</v>
      </c>
      <c r="AG803" s="3" t="s">
        <v>7513</v>
      </c>
      <c r="AH803" s="3" t="s">
        <v>57</v>
      </c>
      <c r="AI803" s="5" t="s">
        <v>7514</v>
      </c>
      <c r="AJ803" s="5" t="s">
        <v>7515</v>
      </c>
      <c r="AK803" s="5" t="s">
        <v>7516</v>
      </c>
      <c r="AL803" s="3" t="s">
        <v>45</v>
      </c>
      <c r="AM803" s="3" t="s">
        <v>45</v>
      </c>
      <c r="AN803" s="3" t="s">
        <v>45</v>
      </c>
      <c r="AO803" s="3" t="s">
        <v>45</v>
      </c>
      <c r="AP803" s="3" t="s">
        <v>45</v>
      </c>
      <c r="AQ803" s="4" t="s">
        <v>162</v>
      </c>
      <c r="AR803" s="4" t="s">
        <v>162</v>
      </c>
    </row>
    <row r="804">
      <c r="A804" s="3" t="s">
        <v>7517</v>
      </c>
      <c r="B804" s="3" t="s">
        <v>7518</v>
      </c>
      <c r="C804" s="3" t="s">
        <v>7519</v>
      </c>
      <c r="D804" s="3" t="s">
        <v>7016</v>
      </c>
      <c r="E804" s="4" t="s">
        <v>7520</v>
      </c>
      <c r="F804" s="3" t="s">
        <v>7521</v>
      </c>
      <c r="G804" s="4" t="s">
        <v>7522</v>
      </c>
      <c r="H804" s="4" t="s">
        <v>7523</v>
      </c>
      <c r="I804" s="3" t="s">
        <v>218</v>
      </c>
      <c r="J804" s="3" t="s">
        <v>50</v>
      </c>
      <c r="K804" s="3" t="s">
        <v>743</v>
      </c>
      <c r="L804" s="3" t="s">
        <v>7524</v>
      </c>
      <c r="M804" s="3" t="s">
        <v>45</v>
      </c>
      <c r="N804" s="4" t="s">
        <v>4819</v>
      </c>
      <c r="O804" s="3" t="s">
        <v>88</v>
      </c>
      <c r="P804" s="3" t="s">
        <v>71</v>
      </c>
      <c r="Q804" s="3" t="s">
        <v>7525</v>
      </c>
      <c r="R804" s="3" t="s">
        <v>45</v>
      </c>
      <c r="S804" s="3" t="s">
        <v>45</v>
      </c>
      <c r="T804" s="3" t="s">
        <v>105</v>
      </c>
      <c r="U804" s="3" t="s">
        <v>45</v>
      </c>
      <c r="V804" s="3" t="s">
        <v>45</v>
      </c>
      <c r="W804" s="4" t="s">
        <v>1219</v>
      </c>
      <c r="X804" s="3" t="s">
        <v>45</v>
      </c>
      <c r="Y804" s="4" t="s">
        <v>2073</v>
      </c>
      <c r="Z804" s="3" t="s">
        <v>55</v>
      </c>
      <c r="AA804" s="3" t="s">
        <v>45</v>
      </c>
      <c r="AB804" s="3" t="s">
        <v>45</v>
      </c>
      <c r="AC804" s="3" t="s">
        <v>45</v>
      </c>
      <c r="AD804" s="5" t="s">
        <v>7493</v>
      </c>
      <c r="AE804" s="3" t="s">
        <v>45</v>
      </c>
      <c r="AF804" s="3" t="s">
        <v>45</v>
      </c>
      <c r="AG804" s="3" t="s">
        <v>7526</v>
      </c>
      <c r="AH804" s="3" t="s">
        <v>840</v>
      </c>
      <c r="AI804" s="5" t="s">
        <v>7527</v>
      </c>
      <c r="AJ804" s="5" t="s">
        <v>7528</v>
      </c>
      <c r="AK804" s="5" t="s">
        <v>7529</v>
      </c>
      <c r="AL804" s="3" t="s">
        <v>45</v>
      </c>
      <c r="AM804" s="3" t="s">
        <v>45</v>
      </c>
      <c r="AN804" s="3" t="s">
        <v>45</v>
      </c>
      <c r="AO804" s="3" t="s">
        <v>45</v>
      </c>
      <c r="AP804" s="3" t="s">
        <v>45</v>
      </c>
      <c r="AQ804" s="4" t="s">
        <v>7530</v>
      </c>
      <c r="AR804" s="4" t="s">
        <v>2988</v>
      </c>
    </row>
    <row r="805">
      <c r="A805" s="3" t="s">
        <v>7531</v>
      </c>
      <c r="B805" s="3" t="s">
        <v>7532</v>
      </c>
      <c r="C805" s="3" t="s">
        <v>7533</v>
      </c>
      <c r="D805" s="3" t="s">
        <v>7016</v>
      </c>
      <c r="E805" s="4" t="s">
        <v>7534</v>
      </c>
      <c r="F805" s="3" t="s">
        <v>7535</v>
      </c>
      <c r="G805" s="4" t="s">
        <v>7536</v>
      </c>
      <c r="H805" s="4" t="s">
        <v>7537</v>
      </c>
      <c r="I805" s="3" t="s">
        <v>49</v>
      </c>
      <c r="J805" s="3" t="s">
        <v>126</v>
      </c>
      <c r="K805" s="3" t="s">
        <v>743</v>
      </c>
      <c r="L805" s="3" t="s">
        <v>479</v>
      </c>
      <c r="M805" s="3" t="s">
        <v>45</v>
      </c>
      <c r="N805" s="3" t="s">
        <v>45</v>
      </c>
      <c r="O805" s="3" t="s">
        <v>88</v>
      </c>
      <c r="P805" s="3" t="s">
        <v>45</v>
      </c>
      <c r="Q805" s="3" t="s">
        <v>45</v>
      </c>
      <c r="R805" s="3" t="s">
        <v>45</v>
      </c>
      <c r="S805" s="3" t="s">
        <v>45</v>
      </c>
      <c r="T805" s="3" t="s">
        <v>45</v>
      </c>
      <c r="U805" s="3" t="s">
        <v>45</v>
      </c>
      <c r="V805" s="3" t="s">
        <v>45</v>
      </c>
      <c r="W805" s="3" t="s">
        <v>45</v>
      </c>
      <c r="X805" s="3" t="s">
        <v>45</v>
      </c>
      <c r="Y805" s="3" t="s">
        <v>45</v>
      </c>
      <c r="Z805" s="3" t="s">
        <v>74</v>
      </c>
      <c r="AA805" s="3" t="s">
        <v>45</v>
      </c>
      <c r="AB805" s="3" t="s">
        <v>45</v>
      </c>
      <c r="AC805" s="3" t="s">
        <v>45</v>
      </c>
      <c r="AD805" s="3" t="s">
        <v>45</v>
      </c>
      <c r="AE805" s="3" t="s">
        <v>45</v>
      </c>
      <c r="AF805" s="3" t="s">
        <v>45</v>
      </c>
      <c r="AG805" s="3" t="s">
        <v>7538</v>
      </c>
      <c r="AH805" s="3" t="s">
        <v>57</v>
      </c>
      <c r="AI805" s="5" t="s">
        <v>7539</v>
      </c>
      <c r="AJ805" s="5" t="s">
        <v>7540</v>
      </c>
      <c r="AK805" s="5" t="s">
        <v>7541</v>
      </c>
      <c r="AL805" s="3" t="s">
        <v>45</v>
      </c>
      <c r="AM805" s="3" t="s">
        <v>45</v>
      </c>
      <c r="AN805" s="3" t="s">
        <v>45</v>
      </c>
      <c r="AO805" s="3" t="s">
        <v>45</v>
      </c>
      <c r="AP805" s="3" t="s">
        <v>45</v>
      </c>
      <c r="AQ805" s="4" t="s">
        <v>1134</v>
      </c>
      <c r="AR805" s="4" t="s">
        <v>3153</v>
      </c>
    </row>
    <row r="806">
      <c r="A806" s="3" t="s">
        <v>7542</v>
      </c>
      <c r="B806" s="3" t="s">
        <v>7543</v>
      </c>
      <c r="C806" s="3" t="s">
        <v>7544</v>
      </c>
      <c r="D806" s="3" t="s">
        <v>7016</v>
      </c>
      <c r="E806" s="4" t="s">
        <v>7545</v>
      </c>
      <c r="F806" s="3" t="s">
        <v>7115</v>
      </c>
      <c r="G806" s="4" t="s">
        <v>7546</v>
      </c>
      <c r="H806" s="4" t="s">
        <v>7547</v>
      </c>
      <c r="I806" s="3" t="s">
        <v>49</v>
      </c>
      <c r="J806" s="3" t="s">
        <v>50</v>
      </c>
      <c r="K806" s="3" t="s">
        <v>45</v>
      </c>
      <c r="L806" s="3" t="s">
        <v>7548</v>
      </c>
      <c r="M806" s="3" t="s">
        <v>45</v>
      </c>
      <c r="N806" s="3" t="s">
        <v>45</v>
      </c>
      <c r="O806" s="3" t="s">
        <v>88</v>
      </c>
      <c r="P806" s="3" t="s">
        <v>45</v>
      </c>
      <c r="Q806" s="3" t="s">
        <v>45</v>
      </c>
      <c r="R806" s="3" t="s">
        <v>45</v>
      </c>
      <c r="S806" s="4" t="s">
        <v>275</v>
      </c>
      <c r="T806" s="3" t="s">
        <v>45</v>
      </c>
      <c r="U806" s="3" t="s">
        <v>45</v>
      </c>
      <c r="V806" s="4" t="s">
        <v>7549</v>
      </c>
      <c r="W806" s="4" t="s">
        <v>5323</v>
      </c>
      <c r="X806" s="3" t="s">
        <v>45</v>
      </c>
      <c r="Y806" s="3" t="s">
        <v>45</v>
      </c>
      <c r="Z806" s="3" t="s">
        <v>55</v>
      </c>
      <c r="AA806" s="3" t="s">
        <v>45</v>
      </c>
      <c r="AB806" s="3" t="s">
        <v>45</v>
      </c>
      <c r="AC806" s="3" t="s">
        <v>45</v>
      </c>
      <c r="AD806" s="5" t="s">
        <v>7550</v>
      </c>
      <c r="AE806" s="3" t="s">
        <v>45</v>
      </c>
      <c r="AF806" s="3" t="s">
        <v>45</v>
      </c>
      <c r="AG806" s="3" t="s">
        <v>45</v>
      </c>
      <c r="AH806" s="3" t="s">
        <v>57</v>
      </c>
      <c r="AI806" s="5" t="s">
        <v>7551</v>
      </c>
      <c r="AJ806" s="5" t="s">
        <v>7552</v>
      </c>
      <c r="AK806" s="5" t="s">
        <v>7550</v>
      </c>
      <c r="AL806" s="3" t="s">
        <v>45</v>
      </c>
      <c r="AM806" s="3" t="s">
        <v>45</v>
      </c>
      <c r="AN806" s="3" t="s">
        <v>45</v>
      </c>
      <c r="AO806" s="3" t="s">
        <v>45</v>
      </c>
      <c r="AP806" s="3" t="s">
        <v>45</v>
      </c>
      <c r="AQ806" s="4" t="s">
        <v>1203</v>
      </c>
      <c r="AR806" s="4" t="s">
        <v>7246</v>
      </c>
    </row>
    <row r="807">
      <c r="A807" s="3" t="s">
        <v>7553</v>
      </c>
      <c r="B807" s="3" t="s">
        <v>7554</v>
      </c>
      <c r="C807" s="3" t="s">
        <v>7555</v>
      </c>
      <c r="D807" s="3" t="s">
        <v>7016</v>
      </c>
      <c r="E807" s="4" t="s">
        <v>7556</v>
      </c>
      <c r="F807" s="3" t="s">
        <v>7557</v>
      </c>
      <c r="G807" s="4" t="s">
        <v>7558</v>
      </c>
      <c r="H807" s="4" t="s">
        <v>7559</v>
      </c>
      <c r="I807" s="3" t="s">
        <v>218</v>
      </c>
      <c r="J807" s="3" t="s">
        <v>126</v>
      </c>
      <c r="K807" s="3" t="s">
        <v>45</v>
      </c>
      <c r="L807" s="3" t="s">
        <v>7560</v>
      </c>
      <c r="M807" s="3" t="s">
        <v>45</v>
      </c>
      <c r="N807" s="3" t="s">
        <v>45</v>
      </c>
      <c r="O807" s="3" t="s">
        <v>74</v>
      </c>
      <c r="P807" s="3" t="s">
        <v>45</v>
      </c>
      <c r="Q807" s="3" t="s">
        <v>45</v>
      </c>
      <c r="R807" s="3" t="s">
        <v>45</v>
      </c>
      <c r="S807" s="4" t="s">
        <v>835</v>
      </c>
      <c r="T807" s="3" t="s">
        <v>45</v>
      </c>
      <c r="U807" s="3" t="s">
        <v>45</v>
      </c>
      <c r="V807" s="3" t="s">
        <v>45</v>
      </c>
      <c r="W807" s="4" t="s">
        <v>945</v>
      </c>
      <c r="X807" s="3" t="s">
        <v>45</v>
      </c>
      <c r="Y807" s="3" t="s">
        <v>45</v>
      </c>
      <c r="Z807" s="3" t="s">
        <v>74</v>
      </c>
      <c r="AA807" s="3" t="s">
        <v>45</v>
      </c>
      <c r="AB807" s="3" t="s">
        <v>45</v>
      </c>
      <c r="AC807" s="3" t="s">
        <v>45</v>
      </c>
      <c r="AD807" s="3" t="s">
        <v>45</v>
      </c>
      <c r="AE807" s="3" t="s">
        <v>45</v>
      </c>
      <c r="AF807" s="3" t="s">
        <v>45</v>
      </c>
      <c r="AG807" s="3" t="s">
        <v>7561</v>
      </c>
      <c r="AH807" s="3" t="s">
        <v>57</v>
      </c>
      <c r="AI807" s="5" t="s">
        <v>7562</v>
      </c>
      <c r="AJ807" s="5" t="s">
        <v>7563</v>
      </c>
      <c r="AK807" s="5" t="s">
        <v>7564</v>
      </c>
      <c r="AL807" s="3" t="s">
        <v>45</v>
      </c>
      <c r="AM807" s="3" t="s">
        <v>45</v>
      </c>
      <c r="AN807" s="3" t="s">
        <v>45</v>
      </c>
      <c r="AO807" s="3" t="s">
        <v>45</v>
      </c>
      <c r="AP807" s="3" t="s">
        <v>45</v>
      </c>
      <c r="AQ807" s="4" t="s">
        <v>7565</v>
      </c>
      <c r="AR807" s="4" t="s">
        <v>4388</v>
      </c>
    </row>
    <row r="808">
      <c r="A808" s="3" t="s">
        <v>7566</v>
      </c>
      <c r="B808" s="3" t="s">
        <v>7567</v>
      </c>
      <c r="C808" s="3" t="s">
        <v>7568</v>
      </c>
      <c r="D808" s="3" t="s">
        <v>7016</v>
      </c>
      <c r="E808" s="4" t="s">
        <v>7569</v>
      </c>
      <c r="F808" s="3" t="s">
        <v>7421</v>
      </c>
      <c r="G808" s="4" t="s">
        <v>7570</v>
      </c>
      <c r="H808" s="4" t="s">
        <v>7571</v>
      </c>
      <c r="I808" s="3" t="s">
        <v>85</v>
      </c>
      <c r="J808" s="3" t="s">
        <v>126</v>
      </c>
      <c r="K808" s="3" t="s">
        <v>743</v>
      </c>
      <c r="L808" s="3" t="s">
        <v>7572</v>
      </c>
      <c r="M808" s="3" t="s">
        <v>45</v>
      </c>
      <c r="N808" s="3" t="s">
        <v>7573</v>
      </c>
      <c r="O808" s="3" t="s">
        <v>722</v>
      </c>
      <c r="P808" s="3" t="s">
        <v>45</v>
      </c>
      <c r="Q808" s="3" t="s">
        <v>45</v>
      </c>
      <c r="R808" s="3" t="s">
        <v>45</v>
      </c>
      <c r="S808" s="3" t="s">
        <v>45</v>
      </c>
      <c r="T808" s="3" t="s">
        <v>45</v>
      </c>
      <c r="U808" s="3" t="s">
        <v>45</v>
      </c>
      <c r="V808" s="3" t="s">
        <v>45</v>
      </c>
      <c r="W808" s="3" t="s">
        <v>45</v>
      </c>
      <c r="X808" s="3" t="s">
        <v>45</v>
      </c>
      <c r="Y808" s="3" t="s">
        <v>45</v>
      </c>
      <c r="Z808" s="3" t="s">
        <v>74</v>
      </c>
      <c r="AA808" s="3" t="s">
        <v>45</v>
      </c>
      <c r="AB808" s="3" t="s">
        <v>45</v>
      </c>
      <c r="AC808" s="3" t="s">
        <v>45</v>
      </c>
      <c r="AD808" s="3" t="s">
        <v>45</v>
      </c>
      <c r="AE808" s="3" t="s">
        <v>45</v>
      </c>
      <c r="AF808" s="3" t="s">
        <v>45</v>
      </c>
      <c r="AG808" s="3" t="s">
        <v>7574</v>
      </c>
      <c r="AH808" s="3" t="s">
        <v>840</v>
      </c>
      <c r="AI808" s="5" t="s">
        <v>7435</v>
      </c>
      <c r="AJ808" s="5" t="s">
        <v>7436</v>
      </c>
      <c r="AK808" s="5" t="s">
        <v>7575</v>
      </c>
      <c r="AL808" s="5" t="s">
        <v>7576</v>
      </c>
      <c r="AM808" s="3" t="s">
        <v>45</v>
      </c>
      <c r="AN808" s="3" t="s">
        <v>45</v>
      </c>
      <c r="AO808" s="3" t="s">
        <v>45</v>
      </c>
      <c r="AP808" s="3" t="s">
        <v>45</v>
      </c>
      <c r="AQ808" s="4" t="s">
        <v>807</v>
      </c>
      <c r="AR808" s="4" t="s">
        <v>6079</v>
      </c>
    </row>
    <row r="809">
      <c r="A809" s="3" t="s">
        <v>7577</v>
      </c>
      <c r="B809" s="3" t="s">
        <v>7578</v>
      </c>
      <c r="C809" s="3" t="s">
        <v>7568</v>
      </c>
      <c r="D809" s="3" t="s">
        <v>7016</v>
      </c>
      <c r="E809" s="4" t="s">
        <v>7569</v>
      </c>
      <c r="F809" s="3" t="s">
        <v>7421</v>
      </c>
      <c r="G809" s="4" t="s">
        <v>7579</v>
      </c>
      <c r="H809" s="4" t="s">
        <v>7580</v>
      </c>
      <c r="I809" s="3" t="s">
        <v>49</v>
      </c>
      <c r="J809" s="3" t="s">
        <v>50</v>
      </c>
      <c r="K809" s="3" t="s">
        <v>45</v>
      </c>
      <c r="L809" s="3" t="s">
        <v>7581</v>
      </c>
      <c r="M809" s="3" t="s">
        <v>45</v>
      </c>
      <c r="N809" s="3" t="s">
        <v>45</v>
      </c>
      <c r="O809" s="3" t="s">
        <v>88</v>
      </c>
      <c r="P809" s="3" t="s">
        <v>45</v>
      </c>
      <c r="Q809" s="3" t="s">
        <v>45</v>
      </c>
      <c r="R809" s="3" t="s">
        <v>45</v>
      </c>
      <c r="S809" s="4" t="s">
        <v>104</v>
      </c>
      <c r="T809" s="3" t="s">
        <v>45</v>
      </c>
      <c r="U809" s="3" t="s">
        <v>45</v>
      </c>
      <c r="V809" s="4" t="s">
        <v>7582</v>
      </c>
      <c r="W809" s="3" t="s">
        <v>45</v>
      </c>
      <c r="X809" s="3" t="s">
        <v>7583</v>
      </c>
      <c r="Y809" s="4" t="s">
        <v>73</v>
      </c>
      <c r="Z809" s="3" t="s">
        <v>74</v>
      </c>
      <c r="AA809" s="3" t="s">
        <v>45</v>
      </c>
      <c r="AB809" s="3" t="s">
        <v>45</v>
      </c>
      <c r="AC809" s="3" t="s">
        <v>45</v>
      </c>
      <c r="AD809" s="3" t="s">
        <v>45</v>
      </c>
      <c r="AE809" s="3" t="s">
        <v>45</v>
      </c>
      <c r="AF809" s="3" t="s">
        <v>45</v>
      </c>
      <c r="AG809" s="3" t="s">
        <v>7584</v>
      </c>
      <c r="AH809" s="3" t="s">
        <v>57</v>
      </c>
      <c r="AI809" s="5" t="s">
        <v>7585</v>
      </c>
      <c r="AJ809" s="3" t="s">
        <v>45</v>
      </c>
      <c r="AK809" s="3" t="s">
        <v>45</v>
      </c>
      <c r="AL809" s="3" t="s">
        <v>45</v>
      </c>
      <c r="AM809" s="3" t="s">
        <v>45</v>
      </c>
      <c r="AN809" s="3" t="s">
        <v>45</v>
      </c>
      <c r="AO809" s="3" t="s">
        <v>45</v>
      </c>
      <c r="AP809" s="3" t="s">
        <v>45</v>
      </c>
      <c r="AQ809" s="4" t="s">
        <v>1059</v>
      </c>
      <c r="AR809" s="4" t="s">
        <v>1059</v>
      </c>
    </row>
    <row r="810">
      <c r="A810" s="3" t="s">
        <v>7586</v>
      </c>
      <c r="B810" s="3" t="s">
        <v>7587</v>
      </c>
      <c r="C810" s="3" t="s">
        <v>1158</v>
      </c>
      <c r="D810" s="3" t="s">
        <v>7016</v>
      </c>
      <c r="E810" s="4" t="s">
        <v>7588</v>
      </c>
      <c r="F810" s="3" t="s">
        <v>6422</v>
      </c>
      <c r="G810" s="4" t="s">
        <v>7589</v>
      </c>
      <c r="H810" s="4" t="s">
        <v>7590</v>
      </c>
      <c r="I810" s="3" t="s">
        <v>49</v>
      </c>
      <c r="J810" s="3" t="s">
        <v>126</v>
      </c>
      <c r="K810" s="3" t="s">
        <v>45</v>
      </c>
      <c r="L810" s="3" t="s">
        <v>45</v>
      </c>
      <c r="M810" s="3" t="s">
        <v>45</v>
      </c>
      <c r="N810" s="3" t="s">
        <v>45</v>
      </c>
      <c r="O810" s="3" t="s">
        <v>74</v>
      </c>
      <c r="P810" s="3" t="s">
        <v>220</v>
      </c>
      <c r="Q810" s="3" t="s">
        <v>45</v>
      </c>
      <c r="R810" s="3" t="s">
        <v>45</v>
      </c>
      <c r="S810" s="4" t="s">
        <v>789</v>
      </c>
      <c r="T810" s="3" t="s">
        <v>45</v>
      </c>
      <c r="U810" s="3" t="s">
        <v>45</v>
      </c>
      <c r="V810" s="3" t="s">
        <v>45</v>
      </c>
      <c r="W810" s="4" t="s">
        <v>5066</v>
      </c>
      <c r="X810" s="3" t="s">
        <v>45</v>
      </c>
      <c r="Y810" s="3" t="s">
        <v>45</v>
      </c>
      <c r="Z810" s="3" t="s">
        <v>55</v>
      </c>
      <c r="AA810" s="3" t="s">
        <v>45</v>
      </c>
      <c r="AB810" s="3" t="s">
        <v>109</v>
      </c>
      <c r="AC810" s="3" t="s">
        <v>45</v>
      </c>
      <c r="AD810" s="3" t="s">
        <v>45</v>
      </c>
      <c r="AE810" s="3" t="s">
        <v>45</v>
      </c>
      <c r="AF810" s="5" t="s">
        <v>7591</v>
      </c>
      <c r="AG810" s="3" t="s">
        <v>7592</v>
      </c>
      <c r="AH810" s="3" t="s">
        <v>57</v>
      </c>
      <c r="AI810" s="5" t="s">
        <v>7593</v>
      </c>
      <c r="AJ810" s="3" t="s">
        <v>45</v>
      </c>
      <c r="AK810" s="3" t="s">
        <v>45</v>
      </c>
      <c r="AL810" s="3" t="s">
        <v>45</v>
      </c>
      <c r="AM810" s="3" t="s">
        <v>45</v>
      </c>
      <c r="AN810" s="3" t="s">
        <v>45</v>
      </c>
      <c r="AO810" s="3" t="s">
        <v>45</v>
      </c>
      <c r="AP810" s="3" t="s">
        <v>45</v>
      </c>
      <c r="AQ810" s="4" t="s">
        <v>712</v>
      </c>
      <c r="AR810" s="4" t="s">
        <v>712</v>
      </c>
    </row>
    <row r="811">
      <c r="A811" s="3" t="s">
        <v>7594</v>
      </c>
      <c r="B811" s="3" t="s">
        <v>7595</v>
      </c>
      <c r="C811" s="3" t="s">
        <v>7596</v>
      </c>
      <c r="D811" s="3" t="s">
        <v>7016</v>
      </c>
      <c r="E811" s="4" t="s">
        <v>7597</v>
      </c>
      <c r="F811" s="3" t="s">
        <v>7478</v>
      </c>
      <c r="G811" s="4" t="s">
        <v>7598</v>
      </c>
      <c r="H811" s="4" t="s">
        <v>7599</v>
      </c>
      <c r="I811" s="3" t="s">
        <v>49</v>
      </c>
      <c r="J811" s="3" t="s">
        <v>50</v>
      </c>
      <c r="K811" s="3" t="s">
        <v>45</v>
      </c>
      <c r="L811" s="3" t="s">
        <v>45</v>
      </c>
      <c r="M811" s="3" t="s">
        <v>45</v>
      </c>
      <c r="N811" s="3" t="s">
        <v>45</v>
      </c>
      <c r="O811" s="3" t="s">
        <v>74</v>
      </c>
      <c r="P811" s="3" t="s">
        <v>45</v>
      </c>
      <c r="Q811" s="3" t="s">
        <v>45</v>
      </c>
      <c r="R811" s="3" t="s">
        <v>45</v>
      </c>
      <c r="S811" s="4" t="s">
        <v>104</v>
      </c>
      <c r="T811" s="3" t="s">
        <v>45</v>
      </c>
      <c r="U811" s="3" t="s">
        <v>45</v>
      </c>
      <c r="V811" s="4" t="s">
        <v>7600</v>
      </c>
      <c r="W811" s="3" t="s">
        <v>45</v>
      </c>
      <c r="X811" s="3" t="s">
        <v>45</v>
      </c>
      <c r="Y811" s="3" t="s">
        <v>45</v>
      </c>
      <c r="Z811" s="3" t="s">
        <v>74</v>
      </c>
      <c r="AA811" s="3" t="s">
        <v>45</v>
      </c>
      <c r="AB811" s="3" t="s">
        <v>45</v>
      </c>
      <c r="AC811" s="3" t="s">
        <v>45</v>
      </c>
      <c r="AD811" s="3" t="s">
        <v>45</v>
      </c>
      <c r="AE811" s="3" t="s">
        <v>45</v>
      </c>
      <c r="AF811" s="3" t="s">
        <v>45</v>
      </c>
      <c r="AG811" s="3" t="s">
        <v>7601</v>
      </c>
      <c r="AH811" s="3" t="s">
        <v>57</v>
      </c>
      <c r="AI811" s="5" t="s">
        <v>7602</v>
      </c>
      <c r="AJ811" s="3" t="s">
        <v>45</v>
      </c>
      <c r="AK811" s="3" t="s">
        <v>45</v>
      </c>
      <c r="AL811" s="3" t="s">
        <v>45</v>
      </c>
      <c r="AM811" s="3" t="s">
        <v>45</v>
      </c>
      <c r="AN811" s="3" t="s">
        <v>45</v>
      </c>
      <c r="AO811" s="3" t="s">
        <v>45</v>
      </c>
      <c r="AP811" s="3" t="s">
        <v>45</v>
      </c>
      <c r="AQ811" s="4" t="s">
        <v>6366</v>
      </c>
      <c r="AR811" s="4" t="s">
        <v>6366</v>
      </c>
    </row>
    <row r="812">
      <c r="A812" s="3" t="s">
        <v>7603</v>
      </c>
      <c r="B812" s="3" t="s">
        <v>7604</v>
      </c>
      <c r="C812" s="3" t="s">
        <v>7605</v>
      </c>
      <c r="D812" s="3" t="s">
        <v>7016</v>
      </c>
      <c r="E812" s="4" t="s">
        <v>7606</v>
      </c>
      <c r="F812" s="3" t="s">
        <v>7607</v>
      </c>
      <c r="G812" s="4" t="s">
        <v>7608</v>
      </c>
      <c r="H812" s="4" t="s">
        <v>7609</v>
      </c>
      <c r="I812" s="3" t="s">
        <v>408</v>
      </c>
      <c r="J812" s="3" t="s">
        <v>126</v>
      </c>
      <c r="K812" s="3" t="s">
        <v>45</v>
      </c>
      <c r="L812" s="3" t="s">
        <v>7610</v>
      </c>
      <c r="M812" s="3" t="s">
        <v>45</v>
      </c>
      <c r="N812" s="3" t="s">
        <v>7611</v>
      </c>
      <c r="O812" s="3" t="s">
        <v>70</v>
      </c>
      <c r="P812" s="3" t="s">
        <v>71</v>
      </c>
      <c r="Q812" s="3" t="s">
        <v>55</v>
      </c>
      <c r="R812" s="3" t="s">
        <v>45</v>
      </c>
      <c r="S812" s="3" t="s">
        <v>45</v>
      </c>
      <c r="T812" s="3" t="s">
        <v>45</v>
      </c>
      <c r="U812" s="3" t="s">
        <v>45</v>
      </c>
      <c r="V812" s="3" t="s">
        <v>45</v>
      </c>
      <c r="W812" s="4" t="s">
        <v>7612</v>
      </c>
      <c r="X812" s="3" t="s">
        <v>45</v>
      </c>
      <c r="Y812" s="3" t="s">
        <v>45</v>
      </c>
      <c r="Z812" s="3" t="s">
        <v>55</v>
      </c>
      <c r="AA812" s="3" t="s">
        <v>45</v>
      </c>
      <c r="AB812" s="3" t="s">
        <v>45</v>
      </c>
      <c r="AC812" s="3" t="s">
        <v>45</v>
      </c>
      <c r="AD812" s="5" t="s">
        <v>7384</v>
      </c>
      <c r="AE812" s="3" t="s">
        <v>45</v>
      </c>
      <c r="AF812" s="3" t="s">
        <v>45</v>
      </c>
      <c r="AG812" s="3" t="s">
        <v>7613</v>
      </c>
      <c r="AH812" s="3" t="s">
        <v>57</v>
      </c>
      <c r="AI812" s="5" t="s">
        <v>7614</v>
      </c>
      <c r="AJ812" s="5" t="s">
        <v>7615</v>
      </c>
      <c r="AK812" s="5" t="s">
        <v>7616</v>
      </c>
      <c r="AL812" s="5" t="s">
        <v>7617</v>
      </c>
      <c r="AM812" s="5" t="s">
        <v>7618</v>
      </c>
      <c r="AN812" s="5" t="s">
        <v>7619</v>
      </c>
      <c r="AO812" s="3" t="s">
        <v>45</v>
      </c>
      <c r="AP812" s="3" t="s">
        <v>45</v>
      </c>
      <c r="AQ812" s="4" t="s">
        <v>1134</v>
      </c>
      <c r="AR812" s="4" t="s">
        <v>7246</v>
      </c>
    </row>
    <row r="813">
      <c r="A813" s="3" t="s">
        <v>7620</v>
      </c>
      <c r="B813" s="3" t="s">
        <v>7621</v>
      </c>
      <c r="C813" s="3" t="s">
        <v>7622</v>
      </c>
      <c r="D813" s="3" t="s">
        <v>7016</v>
      </c>
      <c r="E813" s="4" t="s">
        <v>7623</v>
      </c>
      <c r="F813" s="3" t="s">
        <v>214</v>
      </c>
      <c r="G813" s="4" t="s">
        <v>7624</v>
      </c>
      <c r="H813" s="4" t="s">
        <v>7625</v>
      </c>
      <c r="I813" s="3" t="s">
        <v>85</v>
      </c>
      <c r="J813" s="3" t="s">
        <v>126</v>
      </c>
      <c r="K813" s="3" t="s">
        <v>45</v>
      </c>
      <c r="L813" s="3" t="s">
        <v>7133</v>
      </c>
      <c r="M813" s="3" t="s">
        <v>45</v>
      </c>
      <c r="N813" s="3" t="s">
        <v>45</v>
      </c>
      <c r="O813" s="3" t="s">
        <v>74</v>
      </c>
      <c r="P813" s="3" t="s">
        <v>45</v>
      </c>
      <c r="Q813" s="3" t="s">
        <v>45</v>
      </c>
      <c r="R813" s="3" t="s">
        <v>45</v>
      </c>
      <c r="S813" s="3" t="s">
        <v>45</v>
      </c>
      <c r="T813" s="3" t="s">
        <v>45</v>
      </c>
      <c r="U813" s="3" t="s">
        <v>45</v>
      </c>
      <c r="V813" s="4" t="s">
        <v>7626</v>
      </c>
      <c r="W813" s="3" t="s">
        <v>45</v>
      </c>
      <c r="X813" s="3" t="s">
        <v>45</v>
      </c>
      <c r="Y813" s="3" t="s">
        <v>45</v>
      </c>
      <c r="Z813" s="3" t="s">
        <v>74</v>
      </c>
      <c r="AA813" s="3" t="s">
        <v>45</v>
      </c>
      <c r="AB813" s="3" t="s">
        <v>45</v>
      </c>
      <c r="AC813" s="3" t="s">
        <v>45</v>
      </c>
      <c r="AD813" s="3" t="s">
        <v>45</v>
      </c>
      <c r="AE813" s="3" t="s">
        <v>45</v>
      </c>
      <c r="AF813" s="3" t="s">
        <v>45</v>
      </c>
      <c r="AG813" s="3" t="s">
        <v>45</v>
      </c>
      <c r="AH813" s="3" t="s">
        <v>7025</v>
      </c>
      <c r="AI813" s="5" t="s">
        <v>7627</v>
      </c>
      <c r="AJ813" s="3" t="s">
        <v>45</v>
      </c>
      <c r="AK813" s="3" t="s">
        <v>45</v>
      </c>
      <c r="AL813" s="3" t="s">
        <v>45</v>
      </c>
      <c r="AM813" s="3" t="s">
        <v>45</v>
      </c>
      <c r="AN813" s="3" t="s">
        <v>45</v>
      </c>
      <c r="AO813" s="3" t="s">
        <v>45</v>
      </c>
      <c r="AP813" s="3" t="s">
        <v>45</v>
      </c>
      <c r="AQ813" s="4" t="s">
        <v>1059</v>
      </c>
      <c r="AR813" s="4" t="s">
        <v>1059</v>
      </c>
    </row>
    <row r="814">
      <c r="A814" s="3" t="s">
        <v>7628</v>
      </c>
      <c r="B814" s="3" t="s">
        <v>7629</v>
      </c>
      <c r="C814" s="3" t="s">
        <v>7630</v>
      </c>
      <c r="D814" s="3" t="s">
        <v>7016</v>
      </c>
      <c r="E814" s="4" t="s">
        <v>7631</v>
      </c>
      <c r="F814" s="3" t="s">
        <v>7630</v>
      </c>
      <c r="G814" s="4" t="s">
        <v>7632</v>
      </c>
      <c r="H814" s="4" t="s">
        <v>7633</v>
      </c>
      <c r="I814" s="3" t="s">
        <v>85</v>
      </c>
      <c r="J814" s="3" t="s">
        <v>126</v>
      </c>
      <c r="K814" s="3" t="s">
        <v>45</v>
      </c>
      <c r="L814" s="3" t="s">
        <v>1333</v>
      </c>
      <c r="M814" s="3" t="s">
        <v>45</v>
      </c>
      <c r="N814" s="4" t="s">
        <v>52</v>
      </c>
      <c r="O814" s="3" t="s">
        <v>53</v>
      </c>
      <c r="P814" s="3" t="s">
        <v>45</v>
      </c>
      <c r="Q814" s="3" t="s">
        <v>45</v>
      </c>
      <c r="R814" s="3" t="s">
        <v>45</v>
      </c>
      <c r="S814" s="3" t="s">
        <v>45</v>
      </c>
      <c r="T814" s="3" t="s">
        <v>45</v>
      </c>
      <c r="U814" s="3" t="s">
        <v>45</v>
      </c>
      <c r="V814" s="4" t="s">
        <v>7634</v>
      </c>
      <c r="W814" s="3" t="s">
        <v>45</v>
      </c>
      <c r="X814" s="3" t="s">
        <v>45</v>
      </c>
      <c r="Y814" s="3" t="s">
        <v>45</v>
      </c>
      <c r="Z814" s="3" t="s">
        <v>74</v>
      </c>
      <c r="AA814" s="3" t="s">
        <v>45</v>
      </c>
      <c r="AB814" s="3" t="s">
        <v>45</v>
      </c>
      <c r="AC814" s="3" t="s">
        <v>45</v>
      </c>
      <c r="AD814" s="3" t="s">
        <v>45</v>
      </c>
      <c r="AE814" s="3" t="s">
        <v>45</v>
      </c>
      <c r="AF814" s="3" t="s">
        <v>45</v>
      </c>
      <c r="AG814" s="3" t="s">
        <v>45</v>
      </c>
      <c r="AH814" s="3" t="s">
        <v>7025</v>
      </c>
      <c r="AI814" s="5" t="s">
        <v>7635</v>
      </c>
      <c r="AJ814" s="3" t="s">
        <v>45</v>
      </c>
      <c r="AK814" s="3" t="s">
        <v>45</v>
      </c>
      <c r="AL814" s="3" t="s">
        <v>45</v>
      </c>
      <c r="AM814" s="3" t="s">
        <v>45</v>
      </c>
      <c r="AN814" s="3" t="s">
        <v>45</v>
      </c>
      <c r="AO814" s="3" t="s">
        <v>45</v>
      </c>
      <c r="AP814" s="3" t="s">
        <v>45</v>
      </c>
      <c r="AQ814" s="4" t="s">
        <v>1059</v>
      </c>
      <c r="AR814" s="4" t="s">
        <v>1059</v>
      </c>
    </row>
    <row r="815">
      <c r="A815" s="3" t="s">
        <v>7636</v>
      </c>
      <c r="B815" s="3" t="s">
        <v>7637</v>
      </c>
      <c r="C815" s="3" t="s">
        <v>7630</v>
      </c>
      <c r="D815" s="3" t="s">
        <v>7016</v>
      </c>
      <c r="E815" s="4" t="s">
        <v>7631</v>
      </c>
      <c r="F815" s="3" t="s">
        <v>7630</v>
      </c>
      <c r="G815" s="4" t="s">
        <v>7638</v>
      </c>
      <c r="H815" s="4" t="s">
        <v>7639</v>
      </c>
      <c r="I815" s="3" t="s">
        <v>85</v>
      </c>
      <c r="J815" s="3" t="s">
        <v>126</v>
      </c>
      <c r="K815" s="3" t="s">
        <v>45</v>
      </c>
      <c r="L815" s="3" t="s">
        <v>387</v>
      </c>
      <c r="M815" s="3" t="s">
        <v>45</v>
      </c>
      <c r="N815" s="3" t="s">
        <v>45</v>
      </c>
      <c r="O815" s="3" t="s">
        <v>74</v>
      </c>
      <c r="P815" s="3" t="s">
        <v>45</v>
      </c>
      <c r="Q815" s="3" t="s">
        <v>45</v>
      </c>
      <c r="R815" s="3" t="s">
        <v>45</v>
      </c>
      <c r="S815" s="3" t="s">
        <v>45</v>
      </c>
      <c r="T815" s="3" t="s">
        <v>45</v>
      </c>
      <c r="U815" s="3" t="s">
        <v>45</v>
      </c>
      <c r="V815" s="4" t="s">
        <v>7640</v>
      </c>
      <c r="W815" s="3" t="s">
        <v>45</v>
      </c>
      <c r="X815" s="3" t="s">
        <v>45</v>
      </c>
      <c r="Y815" s="3" t="s">
        <v>45</v>
      </c>
      <c r="Z815" s="3" t="s">
        <v>74</v>
      </c>
      <c r="AA815" s="3" t="s">
        <v>45</v>
      </c>
      <c r="AB815" s="3" t="s">
        <v>45</v>
      </c>
      <c r="AC815" s="3" t="s">
        <v>45</v>
      </c>
      <c r="AD815" s="3" t="s">
        <v>45</v>
      </c>
      <c r="AE815" s="3" t="s">
        <v>45</v>
      </c>
      <c r="AF815" s="3" t="s">
        <v>45</v>
      </c>
      <c r="AG815" s="3" t="s">
        <v>45</v>
      </c>
      <c r="AH815" s="3" t="s">
        <v>7025</v>
      </c>
      <c r="AI815" s="5" t="s">
        <v>7641</v>
      </c>
      <c r="AJ815" s="5" t="s">
        <v>7642</v>
      </c>
      <c r="AK815" s="3" t="s">
        <v>45</v>
      </c>
      <c r="AL815" s="3" t="s">
        <v>45</v>
      </c>
      <c r="AM815" s="3" t="s">
        <v>45</v>
      </c>
      <c r="AN815" s="3" t="s">
        <v>45</v>
      </c>
      <c r="AO815" s="3" t="s">
        <v>45</v>
      </c>
      <c r="AP815" s="3" t="s">
        <v>45</v>
      </c>
      <c r="AQ815" s="4" t="s">
        <v>1059</v>
      </c>
      <c r="AR815" s="4" t="s">
        <v>1059</v>
      </c>
    </row>
    <row r="816">
      <c r="A816" s="3" t="s">
        <v>7643</v>
      </c>
      <c r="B816" s="3" t="s">
        <v>7644</v>
      </c>
      <c r="C816" s="3" t="s">
        <v>7630</v>
      </c>
      <c r="D816" s="3" t="s">
        <v>7016</v>
      </c>
      <c r="E816" s="4" t="s">
        <v>7645</v>
      </c>
      <c r="F816" s="3" t="s">
        <v>7630</v>
      </c>
      <c r="G816" s="4" t="s">
        <v>7646</v>
      </c>
      <c r="H816" s="4" t="s">
        <v>7647</v>
      </c>
      <c r="I816" s="3" t="s">
        <v>85</v>
      </c>
      <c r="J816" s="3" t="s">
        <v>126</v>
      </c>
      <c r="K816" s="3" t="s">
        <v>45</v>
      </c>
      <c r="L816" s="3" t="s">
        <v>1620</v>
      </c>
      <c r="M816" s="3" t="s">
        <v>45</v>
      </c>
      <c r="N816" s="3" t="s">
        <v>45</v>
      </c>
      <c r="O816" s="3" t="s">
        <v>74</v>
      </c>
      <c r="P816" s="3" t="s">
        <v>45</v>
      </c>
      <c r="Q816" s="3" t="s">
        <v>45</v>
      </c>
      <c r="R816" s="3" t="s">
        <v>45</v>
      </c>
      <c r="S816" s="3" t="s">
        <v>45</v>
      </c>
      <c r="T816" s="3" t="s">
        <v>45</v>
      </c>
      <c r="U816" s="3" t="s">
        <v>45</v>
      </c>
      <c r="V816" s="3" t="s">
        <v>45</v>
      </c>
      <c r="W816" s="3" t="s">
        <v>45</v>
      </c>
      <c r="X816" s="3" t="s">
        <v>45</v>
      </c>
      <c r="Y816" s="3" t="s">
        <v>45</v>
      </c>
      <c r="Z816" s="3" t="s">
        <v>74</v>
      </c>
      <c r="AA816" s="3" t="s">
        <v>45</v>
      </c>
      <c r="AB816" s="3" t="s">
        <v>45</v>
      </c>
      <c r="AC816" s="3" t="s">
        <v>45</v>
      </c>
      <c r="AD816" s="3" t="s">
        <v>45</v>
      </c>
      <c r="AE816" s="3" t="s">
        <v>45</v>
      </c>
      <c r="AF816" s="3" t="s">
        <v>45</v>
      </c>
      <c r="AG816" s="3" t="s">
        <v>45</v>
      </c>
      <c r="AH816" s="3" t="s">
        <v>7025</v>
      </c>
      <c r="AI816" s="5" t="s">
        <v>7648</v>
      </c>
      <c r="AJ816" s="3" t="s">
        <v>45</v>
      </c>
      <c r="AK816" s="3" t="s">
        <v>45</v>
      </c>
      <c r="AL816" s="3" t="s">
        <v>45</v>
      </c>
      <c r="AM816" s="3" t="s">
        <v>45</v>
      </c>
      <c r="AN816" s="3" t="s">
        <v>45</v>
      </c>
      <c r="AO816" s="3" t="s">
        <v>45</v>
      </c>
      <c r="AP816" s="3" t="s">
        <v>45</v>
      </c>
      <c r="AQ816" s="4" t="s">
        <v>1059</v>
      </c>
      <c r="AR816" s="4" t="s">
        <v>1059</v>
      </c>
    </row>
    <row r="817">
      <c r="A817" s="3" t="s">
        <v>7649</v>
      </c>
      <c r="B817" s="3" t="s">
        <v>7650</v>
      </c>
      <c r="C817" s="3" t="s">
        <v>7630</v>
      </c>
      <c r="D817" s="3" t="s">
        <v>7016</v>
      </c>
      <c r="E817" s="4" t="s">
        <v>7651</v>
      </c>
      <c r="F817" s="3" t="s">
        <v>7630</v>
      </c>
      <c r="G817" s="4" t="s">
        <v>7652</v>
      </c>
      <c r="H817" s="4" t="s">
        <v>7653</v>
      </c>
      <c r="I817" s="3" t="s">
        <v>85</v>
      </c>
      <c r="J817" s="3" t="s">
        <v>126</v>
      </c>
      <c r="K817" s="3" t="s">
        <v>45</v>
      </c>
      <c r="L817" s="3" t="s">
        <v>1620</v>
      </c>
      <c r="M817" s="3" t="s">
        <v>45</v>
      </c>
      <c r="N817" s="3" t="s">
        <v>45</v>
      </c>
      <c r="O817" s="3" t="s">
        <v>74</v>
      </c>
      <c r="P817" s="3" t="s">
        <v>45</v>
      </c>
      <c r="Q817" s="3" t="s">
        <v>45</v>
      </c>
      <c r="R817" s="3" t="s">
        <v>45</v>
      </c>
      <c r="S817" s="3" t="s">
        <v>45</v>
      </c>
      <c r="T817" s="3" t="s">
        <v>45</v>
      </c>
      <c r="U817" s="3" t="s">
        <v>45</v>
      </c>
      <c r="V817" s="3" t="s">
        <v>45</v>
      </c>
      <c r="W817" s="3" t="s">
        <v>45</v>
      </c>
      <c r="X817" s="3" t="s">
        <v>45</v>
      </c>
      <c r="Y817" s="3" t="s">
        <v>45</v>
      </c>
      <c r="Z817" s="3" t="s">
        <v>74</v>
      </c>
      <c r="AA817" s="3" t="s">
        <v>45</v>
      </c>
      <c r="AB817" s="3" t="s">
        <v>45</v>
      </c>
      <c r="AC817" s="3" t="s">
        <v>45</v>
      </c>
      <c r="AD817" s="3" t="s">
        <v>45</v>
      </c>
      <c r="AE817" s="3" t="s">
        <v>45</v>
      </c>
      <c r="AF817" s="3" t="s">
        <v>45</v>
      </c>
      <c r="AG817" s="3" t="s">
        <v>45</v>
      </c>
      <c r="AH817" s="3" t="s">
        <v>7025</v>
      </c>
      <c r="AI817" s="5" t="s">
        <v>7648</v>
      </c>
      <c r="AJ817" s="3" t="s">
        <v>45</v>
      </c>
      <c r="AK817" s="3" t="s">
        <v>45</v>
      </c>
      <c r="AL817" s="3" t="s">
        <v>45</v>
      </c>
      <c r="AM817" s="3" t="s">
        <v>45</v>
      </c>
      <c r="AN817" s="3" t="s">
        <v>45</v>
      </c>
      <c r="AO817" s="3" t="s">
        <v>45</v>
      </c>
      <c r="AP817" s="3" t="s">
        <v>45</v>
      </c>
      <c r="AQ817" s="4" t="s">
        <v>1059</v>
      </c>
      <c r="AR817" s="4" t="s">
        <v>1059</v>
      </c>
    </row>
    <row r="818">
      <c r="A818" s="3" t="s">
        <v>7654</v>
      </c>
      <c r="B818" s="3" t="s">
        <v>7655</v>
      </c>
      <c r="C818" s="3" t="s">
        <v>7630</v>
      </c>
      <c r="D818" s="3" t="s">
        <v>7016</v>
      </c>
      <c r="E818" s="4" t="s">
        <v>7656</v>
      </c>
      <c r="F818" s="3" t="s">
        <v>7630</v>
      </c>
      <c r="G818" s="4" t="s">
        <v>7657</v>
      </c>
      <c r="H818" s="4" t="s">
        <v>7658</v>
      </c>
      <c r="I818" s="3" t="s">
        <v>85</v>
      </c>
      <c r="J818" s="3" t="s">
        <v>126</v>
      </c>
      <c r="K818" s="3" t="s">
        <v>45</v>
      </c>
      <c r="L818" s="3" t="s">
        <v>1620</v>
      </c>
      <c r="M818" s="3" t="s">
        <v>45</v>
      </c>
      <c r="N818" s="3" t="s">
        <v>45</v>
      </c>
      <c r="O818" s="3" t="s">
        <v>74</v>
      </c>
      <c r="P818" s="3" t="s">
        <v>45</v>
      </c>
      <c r="Q818" s="3" t="s">
        <v>45</v>
      </c>
      <c r="R818" s="3" t="s">
        <v>45</v>
      </c>
      <c r="S818" s="3" t="s">
        <v>45</v>
      </c>
      <c r="T818" s="3" t="s">
        <v>45</v>
      </c>
      <c r="U818" s="3" t="s">
        <v>45</v>
      </c>
      <c r="V818" s="3" t="s">
        <v>45</v>
      </c>
      <c r="W818" s="3" t="s">
        <v>45</v>
      </c>
      <c r="X818" s="3" t="s">
        <v>45</v>
      </c>
      <c r="Y818" s="3" t="s">
        <v>45</v>
      </c>
      <c r="Z818" s="3" t="s">
        <v>74</v>
      </c>
      <c r="AA818" s="3" t="s">
        <v>45</v>
      </c>
      <c r="AB818" s="3" t="s">
        <v>45</v>
      </c>
      <c r="AC818" s="3" t="s">
        <v>45</v>
      </c>
      <c r="AD818" s="3" t="s">
        <v>45</v>
      </c>
      <c r="AE818" s="3" t="s">
        <v>45</v>
      </c>
      <c r="AF818" s="3" t="s">
        <v>45</v>
      </c>
      <c r="AG818" s="3" t="s">
        <v>45</v>
      </c>
      <c r="AH818" s="3" t="s">
        <v>7025</v>
      </c>
      <c r="AI818" s="5" t="s">
        <v>7648</v>
      </c>
      <c r="AJ818" s="3" t="s">
        <v>45</v>
      </c>
      <c r="AK818" s="3" t="s">
        <v>45</v>
      </c>
      <c r="AL818" s="3" t="s">
        <v>45</v>
      </c>
      <c r="AM818" s="3" t="s">
        <v>45</v>
      </c>
      <c r="AN818" s="3" t="s">
        <v>45</v>
      </c>
      <c r="AO818" s="3" t="s">
        <v>45</v>
      </c>
      <c r="AP818" s="3" t="s">
        <v>45</v>
      </c>
      <c r="AQ818" s="4" t="s">
        <v>1059</v>
      </c>
      <c r="AR818" s="4" t="s">
        <v>1059</v>
      </c>
    </row>
    <row r="819">
      <c r="A819" s="3" t="s">
        <v>7659</v>
      </c>
      <c r="B819" s="3" t="s">
        <v>7660</v>
      </c>
      <c r="C819" s="3" t="s">
        <v>7630</v>
      </c>
      <c r="D819" s="3" t="s">
        <v>7016</v>
      </c>
      <c r="E819" s="4" t="s">
        <v>7631</v>
      </c>
      <c r="F819" s="3" t="s">
        <v>7630</v>
      </c>
      <c r="G819" s="4" t="s">
        <v>7661</v>
      </c>
      <c r="H819" s="4" t="s">
        <v>7662</v>
      </c>
      <c r="I819" s="3" t="s">
        <v>85</v>
      </c>
      <c r="J819" s="3" t="s">
        <v>126</v>
      </c>
      <c r="K819" s="3" t="s">
        <v>45</v>
      </c>
      <c r="L819" s="3" t="s">
        <v>1620</v>
      </c>
      <c r="M819" s="3" t="s">
        <v>45</v>
      </c>
      <c r="N819" s="3" t="s">
        <v>45</v>
      </c>
      <c r="O819" s="3" t="s">
        <v>74</v>
      </c>
      <c r="P819" s="3" t="s">
        <v>45</v>
      </c>
      <c r="Q819" s="3" t="s">
        <v>45</v>
      </c>
      <c r="R819" s="3" t="s">
        <v>45</v>
      </c>
      <c r="S819" s="3" t="s">
        <v>45</v>
      </c>
      <c r="T819" s="3" t="s">
        <v>45</v>
      </c>
      <c r="U819" s="3" t="s">
        <v>45</v>
      </c>
      <c r="V819" s="3" t="s">
        <v>45</v>
      </c>
      <c r="W819" s="3" t="s">
        <v>45</v>
      </c>
      <c r="X819" s="3" t="s">
        <v>45</v>
      </c>
      <c r="Y819" s="3" t="s">
        <v>45</v>
      </c>
      <c r="Z819" s="3" t="s">
        <v>74</v>
      </c>
      <c r="AA819" s="3" t="s">
        <v>45</v>
      </c>
      <c r="AB819" s="3" t="s">
        <v>45</v>
      </c>
      <c r="AC819" s="3" t="s">
        <v>45</v>
      </c>
      <c r="AD819" s="3" t="s">
        <v>45</v>
      </c>
      <c r="AE819" s="3" t="s">
        <v>45</v>
      </c>
      <c r="AF819" s="3" t="s">
        <v>45</v>
      </c>
      <c r="AG819" s="3" t="s">
        <v>45</v>
      </c>
      <c r="AH819" s="3" t="s">
        <v>7025</v>
      </c>
      <c r="AI819" s="5" t="s">
        <v>7648</v>
      </c>
      <c r="AJ819" s="3" t="s">
        <v>45</v>
      </c>
      <c r="AK819" s="3" t="s">
        <v>45</v>
      </c>
      <c r="AL819" s="3" t="s">
        <v>45</v>
      </c>
      <c r="AM819" s="3" t="s">
        <v>45</v>
      </c>
      <c r="AN819" s="3" t="s">
        <v>45</v>
      </c>
      <c r="AO819" s="3" t="s">
        <v>45</v>
      </c>
      <c r="AP819" s="3" t="s">
        <v>45</v>
      </c>
      <c r="AQ819" s="4" t="s">
        <v>1059</v>
      </c>
      <c r="AR819" s="4" t="s">
        <v>1059</v>
      </c>
    </row>
    <row r="820">
      <c r="A820" s="3" t="s">
        <v>7663</v>
      </c>
      <c r="B820" s="3" t="s">
        <v>7664</v>
      </c>
      <c r="C820" s="3" t="s">
        <v>7630</v>
      </c>
      <c r="D820" s="3" t="s">
        <v>7016</v>
      </c>
      <c r="E820" s="4" t="s">
        <v>7645</v>
      </c>
      <c r="F820" s="3" t="s">
        <v>7630</v>
      </c>
      <c r="G820" s="4" t="s">
        <v>7665</v>
      </c>
      <c r="H820" s="4" t="s">
        <v>7666</v>
      </c>
      <c r="I820" s="3" t="s">
        <v>85</v>
      </c>
      <c r="J820" s="3" t="s">
        <v>126</v>
      </c>
      <c r="K820" s="3" t="s">
        <v>45</v>
      </c>
      <c r="L820" s="3" t="s">
        <v>7667</v>
      </c>
      <c r="M820" s="3" t="s">
        <v>45</v>
      </c>
      <c r="N820" s="3" t="s">
        <v>45</v>
      </c>
      <c r="O820" s="3" t="s">
        <v>74</v>
      </c>
      <c r="P820" s="3" t="s">
        <v>45</v>
      </c>
      <c r="Q820" s="3" t="s">
        <v>45</v>
      </c>
      <c r="R820" s="3" t="s">
        <v>45</v>
      </c>
      <c r="S820" s="3" t="s">
        <v>45</v>
      </c>
      <c r="T820" s="3" t="s">
        <v>105</v>
      </c>
      <c r="U820" s="3" t="s">
        <v>4580</v>
      </c>
      <c r="V820" s="3" t="s">
        <v>45</v>
      </c>
      <c r="W820" s="3" t="s">
        <v>45</v>
      </c>
      <c r="X820" s="3" t="s">
        <v>45</v>
      </c>
      <c r="Y820" s="3" t="s">
        <v>45</v>
      </c>
      <c r="Z820" s="3" t="s">
        <v>74</v>
      </c>
      <c r="AA820" s="3" t="s">
        <v>45</v>
      </c>
      <c r="AB820" s="3" t="s">
        <v>45</v>
      </c>
      <c r="AC820" s="3" t="s">
        <v>45</v>
      </c>
      <c r="AD820" s="3" t="s">
        <v>45</v>
      </c>
      <c r="AE820" s="3" t="s">
        <v>45</v>
      </c>
      <c r="AF820" s="3" t="s">
        <v>45</v>
      </c>
      <c r="AG820" s="3" t="s">
        <v>45</v>
      </c>
      <c r="AH820" s="3" t="s">
        <v>7025</v>
      </c>
      <c r="AI820" s="5" t="s">
        <v>7668</v>
      </c>
      <c r="AJ820" s="3" t="s">
        <v>45</v>
      </c>
      <c r="AK820" s="3" t="s">
        <v>45</v>
      </c>
      <c r="AL820" s="3" t="s">
        <v>45</v>
      </c>
      <c r="AM820" s="3" t="s">
        <v>45</v>
      </c>
      <c r="AN820" s="3" t="s">
        <v>45</v>
      </c>
      <c r="AO820" s="3" t="s">
        <v>45</v>
      </c>
      <c r="AP820" s="3" t="s">
        <v>45</v>
      </c>
      <c r="AQ820" s="4" t="s">
        <v>1059</v>
      </c>
      <c r="AR820" s="4" t="s">
        <v>1059</v>
      </c>
    </row>
    <row r="821">
      <c r="A821" s="3" t="s">
        <v>7669</v>
      </c>
      <c r="B821" s="3" t="s">
        <v>7670</v>
      </c>
      <c r="C821" s="3" t="s">
        <v>7630</v>
      </c>
      <c r="D821" s="3" t="s">
        <v>7016</v>
      </c>
      <c r="E821" s="4" t="s">
        <v>7645</v>
      </c>
      <c r="F821" s="3" t="s">
        <v>7630</v>
      </c>
      <c r="G821" s="4" t="s">
        <v>7671</v>
      </c>
      <c r="H821" s="4" t="s">
        <v>7672</v>
      </c>
      <c r="I821" s="3" t="s">
        <v>85</v>
      </c>
      <c r="J821" s="3" t="s">
        <v>126</v>
      </c>
      <c r="K821" s="3" t="s">
        <v>45</v>
      </c>
      <c r="L821" s="3" t="s">
        <v>855</v>
      </c>
      <c r="M821" s="3" t="s">
        <v>45</v>
      </c>
      <c r="N821" s="3" t="s">
        <v>45</v>
      </c>
      <c r="O821" s="3" t="s">
        <v>74</v>
      </c>
      <c r="P821" s="3" t="s">
        <v>45</v>
      </c>
      <c r="Q821" s="3" t="s">
        <v>45</v>
      </c>
      <c r="R821" s="3" t="s">
        <v>45</v>
      </c>
      <c r="S821" s="3" t="s">
        <v>45</v>
      </c>
      <c r="T821" s="3" t="s">
        <v>45</v>
      </c>
      <c r="U821" s="3" t="s">
        <v>45</v>
      </c>
      <c r="V821" s="3" t="s">
        <v>45</v>
      </c>
      <c r="W821" s="3" t="s">
        <v>45</v>
      </c>
      <c r="X821" s="3" t="s">
        <v>45</v>
      </c>
      <c r="Y821" s="3" t="s">
        <v>45</v>
      </c>
      <c r="Z821" s="3" t="s">
        <v>74</v>
      </c>
      <c r="AA821" s="3" t="s">
        <v>45</v>
      </c>
      <c r="AB821" s="3" t="s">
        <v>45</v>
      </c>
      <c r="AC821" s="3" t="s">
        <v>45</v>
      </c>
      <c r="AD821" s="3" t="s">
        <v>45</v>
      </c>
      <c r="AE821" s="3" t="s">
        <v>45</v>
      </c>
      <c r="AF821" s="3" t="s">
        <v>45</v>
      </c>
      <c r="AG821" s="3" t="s">
        <v>45</v>
      </c>
      <c r="AH821" s="3" t="s">
        <v>7025</v>
      </c>
      <c r="AI821" s="5" t="s">
        <v>7673</v>
      </c>
      <c r="AJ821" s="3" t="s">
        <v>45</v>
      </c>
      <c r="AK821" s="3" t="s">
        <v>45</v>
      </c>
      <c r="AL821" s="3" t="s">
        <v>45</v>
      </c>
      <c r="AM821" s="3" t="s">
        <v>45</v>
      </c>
      <c r="AN821" s="3" t="s">
        <v>45</v>
      </c>
      <c r="AO821" s="3" t="s">
        <v>45</v>
      </c>
      <c r="AP821" s="3" t="s">
        <v>45</v>
      </c>
      <c r="AQ821" s="4" t="s">
        <v>1059</v>
      </c>
      <c r="AR821" s="4" t="s">
        <v>1059</v>
      </c>
    </row>
    <row r="822">
      <c r="A822" s="3" t="s">
        <v>7674</v>
      </c>
      <c r="B822" s="3" t="s">
        <v>7675</v>
      </c>
      <c r="C822" s="3" t="s">
        <v>7630</v>
      </c>
      <c r="D822" s="3" t="s">
        <v>7016</v>
      </c>
      <c r="E822" s="4" t="s">
        <v>7676</v>
      </c>
      <c r="F822" s="3" t="s">
        <v>7630</v>
      </c>
      <c r="G822" s="4" t="s">
        <v>7677</v>
      </c>
      <c r="H822" s="4" t="s">
        <v>7678</v>
      </c>
      <c r="I822" s="3" t="s">
        <v>85</v>
      </c>
      <c r="J822" s="3" t="s">
        <v>126</v>
      </c>
      <c r="K822" s="3" t="s">
        <v>45</v>
      </c>
      <c r="L822" s="3" t="s">
        <v>7679</v>
      </c>
      <c r="M822" s="3" t="s">
        <v>45</v>
      </c>
      <c r="N822" s="3" t="s">
        <v>45</v>
      </c>
      <c r="O822" s="3" t="s">
        <v>74</v>
      </c>
      <c r="P822" s="3" t="s">
        <v>45</v>
      </c>
      <c r="Q822" s="3" t="s">
        <v>45</v>
      </c>
      <c r="R822" s="3" t="s">
        <v>45</v>
      </c>
      <c r="S822" s="3" t="s">
        <v>45</v>
      </c>
      <c r="T822" s="3" t="s">
        <v>45</v>
      </c>
      <c r="U822" s="3" t="s">
        <v>45</v>
      </c>
      <c r="V822" s="4" t="s">
        <v>7680</v>
      </c>
      <c r="W822" s="3" t="s">
        <v>45</v>
      </c>
      <c r="X822" s="3" t="s">
        <v>45</v>
      </c>
      <c r="Y822" s="3" t="s">
        <v>45</v>
      </c>
      <c r="Z822" s="3" t="s">
        <v>74</v>
      </c>
      <c r="AA822" s="3" t="s">
        <v>45</v>
      </c>
      <c r="AB822" s="3" t="s">
        <v>45</v>
      </c>
      <c r="AC822" s="3" t="s">
        <v>45</v>
      </c>
      <c r="AD822" s="3" t="s">
        <v>45</v>
      </c>
      <c r="AE822" s="3" t="s">
        <v>45</v>
      </c>
      <c r="AF822" s="3" t="s">
        <v>45</v>
      </c>
      <c r="AG822" s="3" t="s">
        <v>45</v>
      </c>
      <c r="AH822" s="3" t="s">
        <v>7025</v>
      </c>
      <c r="AI822" s="5" t="s">
        <v>7681</v>
      </c>
      <c r="AJ822" s="3" t="s">
        <v>45</v>
      </c>
      <c r="AK822" s="3" t="s">
        <v>45</v>
      </c>
      <c r="AL822" s="3" t="s">
        <v>45</v>
      </c>
      <c r="AM822" s="3" t="s">
        <v>45</v>
      </c>
      <c r="AN822" s="3" t="s">
        <v>45</v>
      </c>
      <c r="AO822" s="3" t="s">
        <v>45</v>
      </c>
      <c r="AP822" s="3" t="s">
        <v>45</v>
      </c>
      <c r="AQ822" s="4" t="s">
        <v>1059</v>
      </c>
      <c r="AR822" s="4" t="s">
        <v>1059</v>
      </c>
    </row>
    <row r="823">
      <c r="A823" s="3" t="s">
        <v>7682</v>
      </c>
      <c r="B823" s="3" t="s">
        <v>7683</v>
      </c>
      <c r="C823" s="3" t="s">
        <v>7630</v>
      </c>
      <c r="D823" s="3" t="s">
        <v>7016</v>
      </c>
      <c r="E823" s="4" t="s">
        <v>7684</v>
      </c>
      <c r="F823" s="3" t="s">
        <v>7630</v>
      </c>
      <c r="G823" s="4" t="s">
        <v>7685</v>
      </c>
      <c r="H823" s="4" t="s">
        <v>7686</v>
      </c>
      <c r="I823" s="3" t="s">
        <v>85</v>
      </c>
      <c r="J823" s="3" t="s">
        <v>126</v>
      </c>
      <c r="K823" s="3" t="s">
        <v>45</v>
      </c>
      <c r="L823" s="3" t="s">
        <v>7133</v>
      </c>
      <c r="M823" s="3" t="s">
        <v>45</v>
      </c>
      <c r="N823" s="3" t="s">
        <v>45</v>
      </c>
      <c r="O823" s="3" t="s">
        <v>74</v>
      </c>
      <c r="P823" s="3" t="s">
        <v>45</v>
      </c>
      <c r="Q823" s="3" t="s">
        <v>45</v>
      </c>
      <c r="R823" s="3" t="s">
        <v>45</v>
      </c>
      <c r="S823" s="3" t="s">
        <v>45</v>
      </c>
      <c r="T823" s="3" t="s">
        <v>45</v>
      </c>
      <c r="U823" s="3" t="s">
        <v>45</v>
      </c>
      <c r="V823" s="4" t="s">
        <v>4397</v>
      </c>
      <c r="W823" s="3" t="s">
        <v>45</v>
      </c>
      <c r="X823" s="3" t="s">
        <v>45</v>
      </c>
      <c r="Y823" s="3" t="s">
        <v>45</v>
      </c>
      <c r="Z823" s="3" t="s">
        <v>74</v>
      </c>
      <c r="AA823" s="3" t="s">
        <v>45</v>
      </c>
      <c r="AB823" s="3" t="s">
        <v>45</v>
      </c>
      <c r="AC823" s="3" t="s">
        <v>45</v>
      </c>
      <c r="AD823" s="3" t="s">
        <v>45</v>
      </c>
      <c r="AE823" s="3" t="s">
        <v>45</v>
      </c>
      <c r="AF823" s="3" t="s">
        <v>45</v>
      </c>
      <c r="AG823" s="3" t="s">
        <v>45</v>
      </c>
      <c r="AH823" s="3" t="s">
        <v>7025</v>
      </c>
      <c r="AI823" s="5" t="s">
        <v>7687</v>
      </c>
      <c r="AJ823" s="3" t="s">
        <v>45</v>
      </c>
      <c r="AK823" s="3" t="s">
        <v>45</v>
      </c>
      <c r="AL823" s="3" t="s">
        <v>45</v>
      </c>
      <c r="AM823" s="3" t="s">
        <v>45</v>
      </c>
      <c r="AN823" s="3" t="s">
        <v>45</v>
      </c>
      <c r="AO823" s="3" t="s">
        <v>45</v>
      </c>
      <c r="AP823" s="3" t="s">
        <v>45</v>
      </c>
      <c r="AQ823" s="4" t="s">
        <v>1059</v>
      </c>
      <c r="AR823" s="4" t="s">
        <v>1059</v>
      </c>
    </row>
    <row r="824">
      <c r="A824" s="3" t="s">
        <v>7628</v>
      </c>
      <c r="B824" s="3" t="s">
        <v>7688</v>
      </c>
      <c r="C824" s="3" t="s">
        <v>7689</v>
      </c>
      <c r="D824" s="3" t="s">
        <v>7016</v>
      </c>
      <c r="E824" s="4" t="s">
        <v>7656</v>
      </c>
      <c r="F824" s="3" t="s">
        <v>7630</v>
      </c>
      <c r="G824" s="4" t="s">
        <v>7690</v>
      </c>
      <c r="H824" s="4" t="s">
        <v>7691</v>
      </c>
      <c r="I824" s="3" t="s">
        <v>85</v>
      </c>
      <c r="J824" s="3" t="s">
        <v>126</v>
      </c>
      <c r="K824" s="3" t="s">
        <v>45</v>
      </c>
      <c r="L824" s="3" t="s">
        <v>1333</v>
      </c>
      <c r="M824" s="3" t="s">
        <v>45</v>
      </c>
      <c r="N824" s="3" t="s">
        <v>45</v>
      </c>
      <c r="O824" s="3" t="s">
        <v>74</v>
      </c>
      <c r="P824" s="3" t="s">
        <v>45</v>
      </c>
      <c r="Q824" s="3" t="s">
        <v>45</v>
      </c>
      <c r="R824" s="3" t="s">
        <v>45</v>
      </c>
      <c r="S824" s="3" t="s">
        <v>45</v>
      </c>
      <c r="T824" s="3" t="s">
        <v>45</v>
      </c>
      <c r="U824" s="3" t="s">
        <v>45</v>
      </c>
      <c r="V824" s="4" t="s">
        <v>7692</v>
      </c>
      <c r="W824" s="3" t="s">
        <v>45</v>
      </c>
      <c r="X824" s="3" t="s">
        <v>45</v>
      </c>
      <c r="Y824" s="3" t="s">
        <v>45</v>
      </c>
      <c r="Z824" s="3" t="s">
        <v>74</v>
      </c>
      <c r="AA824" s="3" t="s">
        <v>45</v>
      </c>
      <c r="AB824" s="3" t="s">
        <v>45</v>
      </c>
      <c r="AC824" s="3" t="s">
        <v>45</v>
      </c>
      <c r="AD824" s="3" t="s">
        <v>45</v>
      </c>
      <c r="AE824" s="3" t="s">
        <v>45</v>
      </c>
      <c r="AF824" s="3" t="s">
        <v>45</v>
      </c>
      <c r="AG824" s="3" t="s">
        <v>45</v>
      </c>
      <c r="AH824" s="3" t="s">
        <v>7025</v>
      </c>
      <c r="AI824" s="5" t="s">
        <v>7693</v>
      </c>
      <c r="AJ824" s="3" t="s">
        <v>45</v>
      </c>
      <c r="AK824" s="3" t="s">
        <v>45</v>
      </c>
      <c r="AL824" s="3" t="s">
        <v>45</v>
      </c>
      <c r="AM824" s="3" t="s">
        <v>45</v>
      </c>
      <c r="AN824" s="3" t="s">
        <v>45</v>
      </c>
      <c r="AO824" s="3" t="s">
        <v>45</v>
      </c>
      <c r="AP824" s="3" t="s">
        <v>45</v>
      </c>
      <c r="AQ824" s="4" t="s">
        <v>1059</v>
      </c>
      <c r="AR824" s="4" t="s">
        <v>1059</v>
      </c>
    </row>
    <row r="825">
      <c r="A825" s="3" t="s">
        <v>7694</v>
      </c>
      <c r="B825" s="3" t="s">
        <v>7695</v>
      </c>
      <c r="C825" s="3" t="s">
        <v>7696</v>
      </c>
      <c r="D825" s="3" t="s">
        <v>7016</v>
      </c>
      <c r="E825" s="4" t="s">
        <v>7697</v>
      </c>
      <c r="F825" s="3" t="s">
        <v>7500</v>
      </c>
      <c r="G825" s="4" t="s">
        <v>7698</v>
      </c>
      <c r="H825" s="4" t="s">
        <v>7699</v>
      </c>
      <c r="I825" s="3" t="s">
        <v>85</v>
      </c>
      <c r="J825" s="3" t="s">
        <v>126</v>
      </c>
      <c r="K825" s="3" t="s">
        <v>45</v>
      </c>
      <c r="L825" s="3" t="s">
        <v>45</v>
      </c>
      <c r="M825" s="3" t="s">
        <v>45</v>
      </c>
      <c r="N825" s="3" t="s">
        <v>45</v>
      </c>
      <c r="O825" s="3" t="s">
        <v>74</v>
      </c>
      <c r="P825" s="3" t="s">
        <v>45</v>
      </c>
      <c r="Q825" s="3" t="s">
        <v>45</v>
      </c>
      <c r="R825" s="3" t="s">
        <v>45</v>
      </c>
      <c r="S825" s="3" t="s">
        <v>45</v>
      </c>
      <c r="T825" s="3" t="s">
        <v>45</v>
      </c>
      <c r="U825" s="3" t="s">
        <v>45</v>
      </c>
      <c r="V825" s="3" t="s">
        <v>45</v>
      </c>
      <c r="W825" s="3" t="s">
        <v>45</v>
      </c>
      <c r="X825" s="3" t="s">
        <v>45</v>
      </c>
      <c r="Y825" s="3" t="s">
        <v>45</v>
      </c>
      <c r="Z825" s="3" t="s">
        <v>74</v>
      </c>
      <c r="AA825" s="3" t="s">
        <v>45</v>
      </c>
      <c r="AB825" s="3" t="s">
        <v>45</v>
      </c>
      <c r="AC825" s="3" t="s">
        <v>45</v>
      </c>
      <c r="AD825" s="3" t="s">
        <v>45</v>
      </c>
      <c r="AE825" s="3" t="s">
        <v>45</v>
      </c>
      <c r="AF825" s="3" t="s">
        <v>45</v>
      </c>
      <c r="AG825" s="3" t="s">
        <v>45</v>
      </c>
      <c r="AH825" s="3" t="s">
        <v>7025</v>
      </c>
      <c r="AI825" s="3" t="s">
        <v>45</v>
      </c>
      <c r="AJ825" s="3" t="s">
        <v>45</v>
      </c>
      <c r="AK825" s="3" t="s">
        <v>45</v>
      </c>
      <c r="AL825" s="3" t="s">
        <v>45</v>
      </c>
      <c r="AM825" s="3" t="s">
        <v>45</v>
      </c>
      <c r="AN825" s="3" t="s">
        <v>45</v>
      </c>
      <c r="AO825" s="3" t="s">
        <v>45</v>
      </c>
      <c r="AP825" s="3" t="s">
        <v>45</v>
      </c>
      <c r="AQ825" s="4" t="s">
        <v>5107</v>
      </c>
      <c r="AR825" s="4" t="s">
        <v>5107</v>
      </c>
    </row>
    <row r="826">
      <c r="A826" s="3" t="s">
        <v>7700</v>
      </c>
      <c r="B826" s="3" t="s">
        <v>7701</v>
      </c>
      <c r="C826" s="3" t="s">
        <v>7696</v>
      </c>
      <c r="D826" s="3" t="s">
        <v>7016</v>
      </c>
      <c r="E826" s="4" t="s">
        <v>7702</v>
      </c>
      <c r="F826" s="3" t="s">
        <v>7500</v>
      </c>
      <c r="G826" s="4" t="s">
        <v>7703</v>
      </c>
      <c r="H826" s="4" t="s">
        <v>7704</v>
      </c>
      <c r="I826" s="3" t="s">
        <v>85</v>
      </c>
      <c r="J826" s="3" t="s">
        <v>126</v>
      </c>
      <c r="K826" s="3" t="s">
        <v>45</v>
      </c>
      <c r="L826" s="3" t="s">
        <v>45</v>
      </c>
      <c r="M826" s="3" t="s">
        <v>45</v>
      </c>
      <c r="N826" s="4" t="s">
        <v>104</v>
      </c>
      <c r="O826" s="3" t="s">
        <v>53</v>
      </c>
      <c r="P826" s="3" t="s">
        <v>45</v>
      </c>
      <c r="Q826" s="3" t="s">
        <v>45</v>
      </c>
      <c r="R826" s="3" t="s">
        <v>45</v>
      </c>
      <c r="S826" s="3" t="s">
        <v>45</v>
      </c>
      <c r="T826" s="3" t="s">
        <v>45</v>
      </c>
      <c r="U826" s="3" t="s">
        <v>45</v>
      </c>
      <c r="V826" s="4" t="s">
        <v>7705</v>
      </c>
      <c r="W826" s="3" t="s">
        <v>45</v>
      </c>
      <c r="X826" s="3" t="s">
        <v>45</v>
      </c>
      <c r="Y826" s="3" t="s">
        <v>45</v>
      </c>
      <c r="Z826" s="3" t="s">
        <v>74</v>
      </c>
      <c r="AA826" s="3" t="s">
        <v>45</v>
      </c>
      <c r="AB826" s="3" t="s">
        <v>45</v>
      </c>
      <c r="AC826" s="3" t="s">
        <v>45</v>
      </c>
      <c r="AD826" s="3" t="s">
        <v>45</v>
      </c>
      <c r="AE826" s="3" t="s">
        <v>45</v>
      </c>
      <c r="AF826" s="3" t="s">
        <v>45</v>
      </c>
      <c r="AG826" s="3" t="s">
        <v>45</v>
      </c>
      <c r="AH826" s="3" t="s">
        <v>57</v>
      </c>
      <c r="AI826" s="5" t="s">
        <v>7706</v>
      </c>
      <c r="AJ826" s="3" t="s">
        <v>45</v>
      </c>
      <c r="AK826" s="3" t="s">
        <v>45</v>
      </c>
      <c r="AL826" s="3" t="s">
        <v>45</v>
      </c>
      <c r="AM826" s="3" t="s">
        <v>45</v>
      </c>
      <c r="AN826" s="3" t="s">
        <v>45</v>
      </c>
      <c r="AO826" s="3" t="s">
        <v>45</v>
      </c>
      <c r="AP826" s="3" t="s">
        <v>45</v>
      </c>
      <c r="AQ826" s="4" t="s">
        <v>854</v>
      </c>
      <c r="AR826" s="4" t="s">
        <v>5107</v>
      </c>
    </row>
    <row r="827">
      <c r="A827" s="3" t="s">
        <v>7707</v>
      </c>
      <c r="B827" s="3" t="s">
        <v>7708</v>
      </c>
      <c r="C827" s="3" t="s">
        <v>7696</v>
      </c>
      <c r="D827" s="3" t="s">
        <v>7016</v>
      </c>
      <c r="E827" s="4" t="s">
        <v>7709</v>
      </c>
      <c r="F827" s="3" t="s">
        <v>7500</v>
      </c>
      <c r="G827" s="4" t="s">
        <v>7710</v>
      </c>
      <c r="H827" s="4" t="s">
        <v>7711</v>
      </c>
      <c r="I827" s="3" t="s">
        <v>85</v>
      </c>
      <c r="J827" s="3" t="s">
        <v>126</v>
      </c>
      <c r="K827" s="3" t="s">
        <v>45</v>
      </c>
      <c r="L827" s="3" t="s">
        <v>1521</v>
      </c>
      <c r="M827" s="3" t="s">
        <v>45</v>
      </c>
      <c r="N827" s="4" t="s">
        <v>7712</v>
      </c>
      <c r="O827" s="3" t="s">
        <v>53</v>
      </c>
      <c r="P827" s="3" t="s">
        <v>45</v>
      </c>
      <c r="Q827" s="3" t="s">
        <v>45</v>
      </c>
      <c r="R827" s="3" t="s">
        <v>45</v>
      </c>
      <c r="S827" s="3" t="s">
        <v>45</v>
      </c>
      <c r="T827" s="3" t="s">
        <v>45</v>
      </c>
      <c r="U827" s="3" t="s">
        <v>45</v>
      </c>
      <c r="V827" s="4" t="s">
        <v>7713</v>
      </c>
      <c r="W827" s="3" t="s">
        <v>45</v>
      </c>
      <c r="X827" s="3" t="s">
        <v>45</v>
      </c>
      <c r="Y827" s="3" t="s">
        <v>45</v>
      </c>
      <c r="Z827" s="3" t="s">
        <v>74</v>
      </c>
      <c r="AA827" s="3" t="s">
        <v>45</v>
      </c>
      <c r="AB827" s="3" t="s">
        <v>45</v>
      </c>
      <c r="AC827" s="3" t="s">
        <v>45</v>
      </c>
      <c r="AD827" s="3" t="s">
        <v>45</v>
      </c>
      <c r="AE827" s="3" t="s">
        <v>45</v>
      </c>
      <c r="AF827" s="3" t="s">
        <v>45</v>
      </c>
      <c r="AG827" s="3" t="s">
        <v>7714</v>
      </c>
      <c r="AH827" s="3" t="s">
        <v>7025</v>
      </c>
      <c r="AI827" s="5" t="s">
        <v>7715</v>
      </c>
      <c r="AJ827" s="3" t="s">
        <v>45</v>
      </c>
      <c r="AK827" s="3" t="s">
        <v>45</v>
      </c>
      <c r="AL827" s="3" t="s">
        <v>45</v>
      </c>
      <c r="AM827" s="3" t="s">
        <v>45</v>
      </c>
      <c r="AN827" s="3" t="s">
        <v>45</v>
      </c>
      <c r="AO827" s="3" t="s">
        <v>45</v>
      </c>
      <c r="AP827" s="3" t="s">
        <v>45</v>
      </c>
      <c r="AQ827" s="4" t="s">
        <v>7164</v>
      </c>
      <c r="AR827" s="4" t="s">
        <v>7164</v>
      </c>
    </row>
    <row r="828">
      <c r="A828" s="3" t="s">
        <v>7716</v>
      </c>
      <c r="B828" s="3" t="s">
        <v>7717</v>
      </c>
      <c r="C828" s="3" t="s">
        <v>7696</v>
      </c>
      <c r="D828" s="3" t="s">
        <v>7016</v>
      </c>
      <c r="E828" s="4" t="s">
        <v>7718</v>
      </c>
      <c r="F828" s="3" t="s">
        <v>7500</v>
      </c>
      <c r="G828" s="4" t="s">
        <v>7719</v>
      </c>
      <c r="H828" s="4" t="s">
        <v>7720</v>
      </c>
      <c r="I828" s="3" t="s">
        <v>85</v>
      </c>
      <c r="J828" s="3" t="s">
        <v>126</v>
      </c>
      <c r="K828" s="3" t="s">
        <v>45</v>
      </c>
      <c r="L828" s="3" t="s">
        <v>1521</v>
      </c>
      <c r="M828" s="3" t="s">
        <v>45</v>
      </c>
      <c r="N828" s="4" t="s">
        <v>582</v>
      </c>
      <c r="O828" s="3" t="s">
        <v>53</v>
      </c>
      <c r="P828" s="3" t="s">
        <v>45</v>
      </c>
      <c r="Q828" s="3" t="s">
        <v>45</v>
      </c>
      <c r="R828" s="3" t="s">
        <v>45</v>
      </c>
      <c r="S828" s="3" t="s">
        <v>45</v>
      </c>
      <c r="T828" s="3" t="s">
        <v>45</v>
      </c>
      <c r="U828" s="3" t="s">
        <v>45</v>
      </c>
      <c r="V828" s="4" t="s">
        <v>7721</v>
      </c>
      <c r="W828" s="4" t="s">
        <v>2754</v>
      </c>
      <c r="X828" s="3" t="s">
        <v>45</v>
      </c>
      <c r="Y828" s="3" t="s">
        <v>45</v>
      </c>
      <c r="Z828" s="3" t="s">
        <v>74</v>
      </c>
      <c r="AA828" s="3" t="s">
        <v>45</v>
      </c>
      <c r="AB828" s="3" t="s">
        <v>45</v>
      </c>
      <c r="AC828" s="3" t="s">
        <v>45</v>
      </c>
      <c r="AD828" s="3" t="s">
        <v>45</v>
      </c>
      <c r="AE828" s="3" t="s">
        <v>45</v>
      </c>
      <c r="AF828" s="3" t="s">
        <v>45</v>
      </c>
      <c r="AG828" s="3" t="s">
        <v>45</v>
      </c>
      <c r="AH828" s="3" t="s">
        <v>57</v>
      </c>
      <c r="AI828" s="5" t="s">
        <v>7722</v>
      </c>
      <c r="AJ828" s="3" t="s">
        <v>45</v>
      </c>
      <c r="AK828" s="3" t="s">
        <v>45</v>
      </c>
      <c r="AL828" s="3" t="s">
        <v>45</v>
      </c>
      <c r="AM828" s="3" t="s">
        <v>45</v>
      </c>
      <c r="AN828" s="3" t="s">
        <v>45</v>
      </c>
      <c r="AO828" s="3" t="s">
        <v>45</v>
      </c>
      <c r="AP828" s="3" t="s">
        <v>45</v>
      </c>
      <c r="AQ828" s="4" t="s">
        <v>854</v>
      </c>
      <c r="AR828" s="4" t="s">
        <v>854</v>
      </c>
    </row>
    <row r="829">
      <c r="A829" s="3" t="s">
        <v>7723</v>
      </c>
      <c r="B829" s="3" t="s">
        <v>7724</v>
      </c>
      <c r="C829" s="3" t="s">
        <v>7696</v>
      </c>
      <c r="D829" s="3" t="s">
        <v>7016</v>
      </c>
      <c r="E829" s="4" t="s">
        <v>7725</v>
      </c>
      <c r="F829" s="3" t="s">
        <v>7500</v>
      </c>
      <c r="G829" s="4" t="s">
        <v>7726</v>
      </c>
      <c r="H829" s="4" t="s">
        <v>7727</v>
      </c>
      <c r="I829" s="3" t="s">
        <v>85</v>
      </c>
      <c r="J829" s="3" t="s">
        <v>126</v>
      </c>
      <c r="K829" s="3" t="s">
        <v>45</v>
      </c>
      <c r="L829" s="3" t="s">
        <v>543</v>
      </c>
      <c r="M829" s="3" t="s">
        <v>45</v>
      </c>
      <c r="N829" s="4" t="s">
        <v>7728</v>
      </c>
      <c r="O829" s="3" t="s">
        <v>53</v>
      </c>
      <c r="P829" s="3" t="s">
        <v>45</v>
      </c>
      <c r="Q829" s="3" t="s">
        <v>45</v>
      </c>
      <c r="R829" s="3" t="s">
        <v>45</v>
      </c>
      <c r="S829" s="3" t="s">
        <v>45</v>
      </c>
      <c r="T829" s="3" t="s">
        <v>45</v>
      </c>
      <c r="U829" s="3" t="s">
        <v>45</v>
      </c>
      <c r="V829" s="4" t="s">
        <v>7729</v>
      </c>
      <c r="W829" s="3" t="s">
        <v>45</v>
      </c>
      <c r="X829" s="3" t="s">
        <v>45</v>
      </c>
      <c r="Y829" s="3" t="s">
        <v>45</v>
      </c>
      <c r="Z829" s="3" t="s">
        <v>74</v>
      </c>
      <c r="AA829" s="3" t="s">
        <v>45</v>
      </c>
      <c r="AB829" s="3" t="s">
        <v>45</v>
      </c>
      <c r="AC829" s="3" t="s">
        <v>45</v>
      </c>
      <c r="AD829" s="3" t="s">
        <v>45</v>
      </c>
      <c r="AE829" s="3" t="s">
        <v>45</v>
      </c>
      <c r="AF829" s="3" t="s">
        <v>45</v>
      </c>
      <c r="AG829" s="3" t="s">
        <v>45</v>
      </c>
      <c r="AH829" s="3" t="s">
        <v>57</v>
      </c>
      <c r="AI829" s="5" t="s">
        <v>7730</v>
      </c>
      <c r="AJ829" s="3" t="s">
        <v>45</v>
      </c>
      <c r="AK829" s="3" t="s">
        <v>45</v>
      </c>
      <c r="AL829" s="3" t="s">
        <v>45</v>
      </c>
      <c r="AM829" s="3" t="s">
        <v>45</v>
      </c>
      <c r="AN829" s="3" t="s">
        <v>45</v>
      </c>
      <c r="AO829" s="3" t="s">
        <v>45</v>
      </c>
      <c r="AP829" s="3" t="s">
        <v>45</v>
      </c>
      <c r="AQ829" s="4" t="s">
        <v>854</v>
      </c>
      <c r="AR829" s="4" t="s">
        <v>854</v>
      </c>
    </row>
    <row r="830">
      <c r="A830" s="3" t="s">
        <v>7731</v>
      </c>
      <c r="B830" s="3" t="s">
        <v>7732</v>
      </c>
      <c r="C830" s="3" t="s">
        <v>7696</v>
      </c>
      <c r="D830" s="3" t="s">
        <v>7016</v>
      </c>
      <c r="E830" s="4" t="s">
        <v>7709</v>
      </c>
      <c r="F830" s="3" t="s">
        <v>7500</v>
      </c>
      <c r="G830" s="4" t="s">
        <v>7733</v>
      </c>
      <c r="H830" s="4" t="s">
        <v>7734</v>
      </c>
      <c r="I830" s="3" t="s">
        <v>85</v>
      </c>
      <c r="J830" s="3" t="s">
        <v>126</v>
      </c>
      <c r="K830" s="3" t="s">
        <v>45</v>
      </c>
      <c r="L830" s="3" t="s">
        <v>543</v>
      </c>
      <c r="M830" s="3" t="s">
        <v>45</v>
      </c>
      <c r="N830" s="4" t="s">
        <v>7735</v>
      </c>
      <c r="O830" s="3" t="s">
        <v>53</v>
      </c>
      <c r="P830" s="3" t="s">
        <v>45</v>
      </c>
      <c r="Q830" s="3" t="s">
        <v>45</v>
      </c>
      <c r="R830" s="3" t="s">
        <v>45</v>
      </c>
      <c r="S830" s="3" t="s">
        <v>45</v>
      </c>
      <c r="T830" s="3" t="s">
        <v>45</v>
      </c>
      <c r="U830" s="3" t="s">
        <v>45</v>
      </c>
      <c r="V830" s="4" t="s">
        <v>7736</v>
      </c>
      <c r="W830" s="3" t="s">
        <v>45</v>
      </c>
      <c r="X830" s="3" t="s">
        <v>45</v>
      </c>
      <c r="Y830" s="3" t="s">
        <v>45</v>
      </c>
      <c r="Z830" s="3" t="s">
        <v>74</v>
      </c>
      <c r="AA830" s="3" t="s">
        <v>45</v>
      </c>
      <c r="AB830" s="3" t="s">
        <v>45</v>
      </c>
      <c r="AC830" s="3" t="s">
        <v>45</v>
      </c>
      <c r="AD830" s="3" t="s">
        <v>45</v>
      </c>
      <c r="AE830" s="3" t="s">
        <v>45</v>
      </c>
      <c r="AF830" s="3" t="s">
        <v>45</v>
      </c>
      <c r="AG830" s="3" t="s">
        <v>45</v>
      </c>
      <c r="AH830" s="3" t="s">
        <v>57</v>
      </c>
      <c r="AI830" s="5" t="s">
        <v>7730</v>
      </c>
      <c r="AJ830" s="3" t="s">
        <v>45</v>
      </c>
      <c r="AK830" s="3" t="s">
        <v>45</v>
      </c>
      <c r="AL830" s="3" t="s">
        <v>45</v>
      </c>
      <c r="AM830" s="3" t="s">
        <v>45</v>
      </c>
      <c r="AN830" s="3" t="s">
        <v>45</v>
      </c>
      <c r="AO830" s="3" t="s">
        <v>45</v>
      </c>
      <c r="AP830" s="3" t="s">
        <v>45</v>
      </c>
      <c r="AQ830" s="4" t="s">
        <v>854</v>
      </c>
      <c r="AR830" s="4" t="s">
        <v>854</v>
      </c>
    </row>
    <row r="831">
      <c r="A831" s="3" t="s">
        <v>7737</v>
      </c>
      <c r="B831" s="3" t="s">
        <v>7738</v>
      </c>
      <c r="C831" s="3" t="s">
        <v>7696</v>
      </c>
      <c r="D831" s="3" t="s">
        <v>7016</v>
      </c>
      <c r="E831" s="4" t="s">
        <v>7739</v>
      </c>
      <c r="F831" s="3" t="s">
        <v>7500</v>
      </c>
      <c r="G831" s="4" t="s">
        <v>7740</v>
      </c>
      <c r="H831" s="4" t="s">
        <v>7741</v>
      </c>
      <c r="I831" s="3" t="s">
        <v>85</v>
      </c>
      <c r="J831" s="3" t="s">
        <v>126</v>
      </c>
      <c r="K831" s="3" t="s">
        <v>45</v>
      </c>
      <c r="L831" s="3" t="s">
        <v>387</v>
      </c>
      <c r="M831" s="3" t="s">
        <v>45</v>
      </c>
      <c r="N831" s="3" t="s">
        <v>45</v>
      </c>
      <c r="O831" s="3" t="s">
        <v>74</v>
      </c>
      <c r="P831" s="3" t="s">
        <v>45</v>
      </c>
      <c r="Q831" s="3" t="s">
        <v>45</v>
      </c>
      <c r="R831" s="3" t="s">
        <v>45</v>
      </c>
      <c r="S831" s="3" t="s">
        <v>45</v>
      </c>
      <c r="T831" s="3" t="s">
        <v>45</v>
      </c>
      <c r="U831" s="3" t="s">
        <v>45</v>
      </c>
      <c r="V831" s="4" t="s">
        <v>2738</v>
      </c>
      <c r="W831" s="3" t="s">
        <v>45</v>
      </c>
      <c r="X831" s="3" t="s">
        <v>45</v>
      </c>
      <c r="Y831" s="3" t="s">
        <v>45</v>
      </c>
      <c r="Z831" s="3" t="s">
        <v>74</v>
      </c>
      <c r="AA831" s="3" t="s">
        <v>45</v>
      </c>
      <c r="AB831" s="3" t="s">
        <v>45</v>
      </c>
      <c r="AC831" s="3" t="s">
        <v>45</v>
      </c>
      <c r="AD831" s="3" t="s">
        <v>45</v>
      </c>
      <c r="AE831" s="3" t="s">
        <v>45</v>
      </c>
      <c r="AF831" s="3" t="s">
        <v>45</v>
      </c>
      <c r="AG831" s="3" t="s">
        <v>45</v>
      </c>
      <c r="AH831" s="3" t="s">
        <v>7025</v>
      </c>
      <c r="AI831" s="5" t="s">
        <v>7742</v>
      </c>
      <c r="AJ831" s="3" t="s">
        <v>45</v>
      </c>
      <c r="AK831" s="3" t="s">
        <v>45</v>
      </c>
      <c r="AL831" s="3" t="s">
        <v>45</v>
      </c>
      <c r="AM831" s="3" t="s">
        <v>45</v>
      </c>
      <c r="AN831" s="3" t="s">
        <v>45</v>
      </c>
      <c r="AO831" s="3" t="s">
        <v>45</v>
      </c>
      <c r="AP831" s="3" t="s">
        <v>45</v>
      </c>
      <c r="AQ831" s="4" t="s">
        <v>7164</v>
      </c>
      <c r="AR831" s="4" t="s">
        <v>7164</v>
      </c>
    </row>
    <row r="832">
      <c r="A832" s="3" t="s">
        <v>7743</v>
      </c>
      <c r="B832" s="3" t="s">
        <v>7744</v>
      </c>
      <c r="C832" s="3" t="s">
        <v>7696</v>
      </c>
      <c r="D832" s="3" t="s">
        <v>7016</v>
      </c>
      <c r="E832" s="4" t="s">
        <v>7745</v>
      </c>
      <c r="F832" s="3" t="s">
        <v>7500</v>
      </c>
      <c r="G832" s="4" t="s">
        <v>7746</v>
      </c>
      <c r="H832" s="4" t="s">
        <v>7747</v>
      </c>
      <c r="I832" s="3" t="s">
        <v>85</v>
      </c>
      <c r="J832" s="3" t="s">
        <v>126</v>
      </c>
      <c r="K832" s="3" t="s">
        <v>45</v>
      </c>
      <c r="L832" s="3" t="s">
        <v>1620</v>
      </c>
      <c r="M832" s="3" t="s">
        <v>45</v>
      </c>
      <c r="N832" s="3" t="s">
        <v>45</v>
      </c>
      <c r="O832" s="3" t="s">
        <v>74</v>
      </c>
      <c r="P832" s="3" t="s">
        <v>45</v>
      </c>
      <c r="Q832" s="3" t="s">
        <v>45</v>
      </c>
      <c r="R832" s="3" t="s">
        <v>45</v>
      </c>
      <c r="S832" s="3" t="s">
        <v>45</v>
      </c>
      <c r="T832" s="3" t="s">
        <v>45</v>
      </c>
      <c r="U832" s="3" t="s">
        <v>45</v>
      </c>
      <c r="V832" s="4" t="s">
        <v>7748</v>
      </c>
      <c r="W832" s="3" t="s">
        <v>45</v>
      </c>
      <c r="X832" s="3" t="s">
        <v>45</v>
      </c>
      <c r="Y832" s="3" t="s">
        <v>45</v>
      </c>
      <c r="Z832" s="3" t="s">
        <v>74</v>
      </c>
      <c r="AA832" s="3" t="s">
        <v>45</v>
      </c>
      <c r="AB832" s="3" t="s">
        <v>45</v>
      </c>
      <c r="AC832" s="3" t="s">
        <v>45</v>
      </c>
      <c r="AD832" s="3" t="s">
        <v>45</v>
      </c>
      <c r="AE832" s="3" t="s">
        <v>45</v>
      </c>
      <c r="AF832" s="3" t="s">
        <v>45</v>
      </c>
      <c r="AG832" s="3" t="s">
        <v>45</v>
      </c>
      <c r="AH832" s="3" t="s">
        <v>7025</v>
      </c>
      <c r="AI832" s="3" t="s">
        <v>45</v>
      </c>
      <c r="AJ832" s="3" t="s">
        <v>45</v>
      </c>
      <c r="AK832" s="3" t="s">
        <v>45</v>
      </c>
      <c r="AL832" s="3" t="s">
        <v>45</v>
      </c>
      <c r="AM832" s="3" t="s">
        <v>45</v>
      </c>
      <c r="AN832" s="3" t="s">
        <v>45</v>
      </c>
      <c r="AO832" s="3" t="s">
        <v>45</v>
      </c>
      <c r="AP832" s="3" t="s">
        <v>45</v>
      </c>
      <c r="AQ832" s="4" t="s">
        <v>7164</v>
      </c>
      <c r="AR832" s="4" t="s">
        <v>7164</v>
      </c>
    </row>
    <row r="833">
      <c r="A833" s="3" t="s">
        <v>7749</v>
      </c>
      <c r="B833" s="3" t="s">
        <v>7750</v>
      </c>
      <c r="C833" s="3" t="s">
        <v>7696</v>
      </c>
      <c r="D833" s="3" t="s">
        <v>7016</v>
      </c>
      <c r="E833" s="4" t="s">
        <v>7751</v>
      </c>
      <c r="F833" s="3" t="s">
        <v>7500</v>
      </c>
      <c r="G833" s="4" t="s">
        <v>7752</v>
      </c>
      <c r="H833" s="4" t="s">
        <v>7753</v>
      </c>
      <c r="I833" s="3" t="s">
        <v>85</v>
      </c>
      <c r="J833" s="3" t="s">
        <v>126</v>
      </c>
      <c r="K833" s="3" t="s">
        <v>45</v>
      </c>
      <c r="L833" s="3" t="s">
        <v>1620</v>
      </c>
      <c r="M833" s="3" t="s">
        <v>45</v>
      </c>
      <c r="N833" s="3" t="s">
        <v>45</v>
      </c>
      <c r="O833" s="3" t="s">
        <v>74</v>
      </c>
      <c r="P833" s="3" t="s">
        <v>45</v>
      </c>
      <c r="Q833" s="3" t="s">
        <v>45</v>
      </c>
      <c r="R833" s="3" t="s">
        <v>45</v>
      </c>
      <c r="S833" s="3" t="s">
        <v>45</v>
      </c>
      <c r="T833" s="3" t="s">
        <v>45</v>
      </c>
      <c r="U833" s="3" t="s">
        <v>45</v>
      </c>
      <c r="V833" s="4" t="s">
        <v>7754</v>
      </c>
      <c r="W833" s="3" t="s">
        <v>45</v>
      </c>
      <c r="X833" s="3" t="s">
        <v>45</v>
      </c>
      <c r="Y833" s="3" t="s">
        <v>45</v>
      </c>
      <c r="Z833" s="3" t="s">
        <v>74</v>
      </c>
      <c r="AA833" s="3" t="s">
        <v>45</v>
      </c>
      <c r="AB833" s="3" t="s">
        <v>45</v>
      </c>
      <c r="AC833" s="3" t="s">
        <v>45</v>
      </c>
      <c r="AD833" s="3" t="s">
        <v>45</v>
      </c>
      <c r="AE833" s="3" t="s">
        <v>45</v>
      </c>
      <c r="AF833" s="3" t="s">
        <v>45</v>
      </c>
      <c r="AG833" s="3" t="s">
        <v>45</v>
      </c>
      <c r="AH833" s="3" t="s">
        <v>7025</v>
      </c>
      <c r="AI833" s="3" t="s">
        <v>45</v>
      </c>
      <c r="AJ833" s="3" t="s">
        <v>45</v>
      </c>
      <c r="AK833" s="3" t="s">
        <v>45</v>
      </c>
      <c r="AL833" s="3" t="s">
        <v>45</v>
      </c>
      <c r="AM833" s="3" t="s">
        <v>45</v>
      </c>
      <c r="AN833" s="3" t="s">
        <v>45</v>
      </c>
      <c r="AO833" s="3" t="s">
        <v>45</v>
      </c>
      <c r="AP833" s="3" t="s">
        <v>45</v>
      </c>
      <c r="AQ833" s="4" t="s">
        <v>7164</v>
      </c>
      <c r="AR833" s="4" t="s">
        <v>7164</v>
      </c>
    </row>
    <row r="834">
      <c r="A834" s="3" t="s">
        <v>7755</v>
      </c>
      <c r="B834" s="3" t="s">
        <v>7756</v>
      </c>
      <c r="C834" s="3" t="s">
        <v>7757</v>
      </c>
      <c r="D834" s="3" t="s">
        <v>7016</v>
      </c>
      <c r="E834" s="4" t="s">
        <v>7758</v>
      </c>
      <c r="F834" s="3" t="s">
        <v>7293</v>
      </c>
      <c r="G834" s="4" t="s">
        <v>7759</v>
      </c>
      <c r="H834" s="4" t="s">
        <v>7760</v>
      </c>
      <c r="I834" s="3" t="s">
        <v>49</v>
      </c>
      <c r="J834" s="3" t="s">
        <v>126</v>
      </c>
      <c r="K834" s="3" t="s">
        <v>45</v>
      </c>
      <c r="L834" s="3" t="s">
        <v>45</v>
      </c>
      <c r="M834" s="3" t="s">
        <v>45</v>
      </c>
      <c r="N834" s="3" t="s">
        <v>45</v>
      </c>
      <c r="O834" s="3" t="s">
        <v>88</v>
      </c>
      <c r="P834" s="3" t="s">
        <v>45</v>
      </c>
      <c r="Q834" s="3" t="s">
        <v>45</v>
      </c>
      <c r="R834" s="3" t="s">
        <v>45</v>
      </c>
      <c r="S834" s="4" t="s">
        <v>7761</v>
      </c>
      <c r="T834" s="3" t="s">
        <v>45</v>
      </c>
      <c r="U834" s="3" t="s">
        <v>45</v>
      </c>
      <c r="V834" s="4" t="s">
        <v>7762</v>
      </c>
      <c r="W834" s="3" t="s">
        <v>45</v>
      </c>
      <c r="X834" s="3" t="s">
        <v>45</v>
      </c>
      <c r="Y834" s="3" t="s">
        <v>45</v>
      </c>
      <c r="Z834" s="3" t="s">
        <v>74</v>
      </c>
      <c r="AA834" s="3" t="s">
        <v>45</v>
      </c>
      <c r="AB834" s="3" t="s">
        <v>45</v>
      </c>
      <c r="AC834" s="3" t="s">
        <v>45</v>
      </c>
      <c r="AD834" s="3" t="s">
        <v>45</v>
      </c>
      <c r="AE834" s="3" t="s">
        <v>45</v>
      </c>
      <c r="AF834" s="3" t="s">
        <v>45</v>
      </c>
      <c r="AG834" s="3" t="s">
        <v>7763</v>
      </c>
      <c r="AH834" s="3" t="s">
        <v>57</v>
      </c>
      <c r="AI834" s="5" t="s">
        <v>7764</v>
      </c>
      <c r="AJ834" s="5" t="s">
        <v>7765</v>
      </c>
      <c r="AK834" s="3" t="s">
        <v>45</v>
      </c>
      <c r="AL834" s="3" t="s">
        <v>45</v>
      </c>
      <c r="AM834" s="3" t="s">
        <v>45</v>
      </c>
      <c r="AN834" s="3" t="s">
        <v>45</v>
      </c>
      <c r="AO834" s="3" t="s">
        <v>45</v>
      </c>
      <c r="AP834" s="3" t="s">
        <v>45</v>
      </c>
      <c r="AQ834" s="4" t="s">
        <v>671</v>
      </c>
      <c r="AR834" s="4" t="s">
        <v>7246</v>
      </c>
    </row>
    <row r="835">
      <c r="A835" s="3" t="s">
        <v>7766</v>
      </c>
      <c r="B835" s="3" t="s">
        <v>7767</v>
      </c>
      <c r="C835" s="3" t="s">
        <v>7757</v>
      </c>
      <c r="D835" s="3" t="s">
        <v>7016</v>
      </c>
      <c r="E835" s="4" t="s">
        <v>7768</v>
      </c>
      <c r="F835" s="3" t="s">
        <v>214</v>
      </c>
      <c r="G835" s="4" t="s">
        <v>7769</v>
      </c>
      <c r="H835" s="4" t="s">
        <v>7770</v>
      </c>
      <c r="I835" s="3" t="s">
        <v>49</v>
      </c>
      <c r="J835" s="3" t="s">
        <v>126</v>
      </c>
      <c r="K835" s="3" t="s">
        <v>45</v>
      </c>
      <c r="L835" s="3" t="s">
        <v>7771</v>
      </c>
      <c r="M835" s="3" t="s">
        <v>45</v>
      </c>
      <c r="N835" s="4" t="s">
        <v>1083</v>
      </c>
      <c r="O835" s="3" t="s">
        <v>88</v>
      </c>
      <c r="P835" s="3" t="s">
        <v>45</v>
      </c>
      <c r="Q835" s="3" t="s">
        <v>45</v>
      </c>
      <c r="R835" s="3" t="s">
        <v>45</v>
      </c>
      <c r="S835" s="4" t="s">
        <v>1610</v>
      </c>
      <c r="T835" s="3" t="s">
        <v>45</v>
      </c>
      <c r="U835" s="3" t="s">
        <v>45</v>
      </c>
      <c r="V835" s="4" t="s">
        <v>2466</v>
      </c>
      <c r="W835" s="3" t="s">
        <v>45</v>
      </c>
      <c r="X835" s="3" t="s">
        <v>45</v>
      </c>
      <c r="Y835" s="3" t="s">
        <v>45</v>
      </c>
      <c r="Z835" s="3" t="s">
        <v>55</v>
      </c>
      <c r="AA835" s="3" t="s">
        <v>45</v>
      </c>
      <c r="AB835" s="3" t="s">
        <v>45</v>
      </c>
      <c r="AC835" s="3" t="s">
        <v>45</v>
      </c>
      <c r="AD835" s="3" t="s">
        <v>45</v>
      </c>
      <c r="AE835" s="3" t="s">
        <v>45</v>
      </c>
      <c r="AF835" s="5" t="s">
        <v>7772</v>
      </c>
      <c r="AG835" s="3" t="s">
        <v>45</v>
      </c>
      <c r="AH835" s="3" t="s">
        <v>57</v>
      </c>
      <c r="AI835" s="5" t="s">
        <v>7764</v>
      </c>
      <c r="AJ835" s="5" t="s">
        <v>7773</v>
      </c>
      <c r="AK835" s="3" t="s">
        <v>45</v>
      </c>
      <c r="AL835" s="3" t="s">
        <v>45</v>
      </c>
      <c r="AM835" s="3" t="s">
        <v>45</v>
      </c>
      <c r="AN835" s="3" t="s">
        <v>45</v>
      </c>
      <c r="AO835" s="3" t="s">
        <v>45</v>
      </c>
      <c r="AP835" s="3" t="s">
        <v>45</v>
      </c>
      <c r="AQ835" s="4" t="s">
        <v>671</v>
      </c>
      <c r="AR835" s="4" t="s">
        <v>671</v>
      </c>
    </row>
    <row r="836">
      <c r="A836" s="3" t="s">
        <v>7774</v>
      </c>
      <c r="B836" s="3" t="s">
        <v>7775</v>
      </c>
      <c r="C836" s="3" t="s">
        <v>7776</v>
      </c>
      <c r="D836" s="3" t="s">
        <v>7016</v>
      </c>
      <c r="E836" s="4" t="s">
        <v>7777</v>
      </c>
      <c r="F836" s="3" t="s">
        <v>7064</v>
      </c>
      <c r="G836" s="4" t="s">
        <v>7778</v>
      </c>
      <c r="H836" s="4" t="s">
        <v>7779</v>
      </c>
      <c r="I836" s="3" t="s">
        <v>245</v>
      </c>
      <c r="J836" s="3" t="s">
        <v>126</v>
      </c>
      <c r="K836" s="3" t="s">
        <v>45</v>
      </c>
      <c r="L836" s="3" t="s">
        <v>45</v>
      </c>
      <c r="M836" s="3" t="s">
        <v>45</v>
      </c>
      <c r="N836" s="3" t="s">
        <v>45</v>
      </c>
      <c r="O836" s="3" t="s">
        <v>74</v>
      </c>
      <c r="P836" s="3" t="s">
        <v>45</v>
      </c>
      <c r="Q836" s="3" t="s">
        <v>45</v>
      </c>
      <c r="R836" s="3" t="s">
        <v>45</v>
      </c>
      <c r="S836" s="3" t="s">
        <v>45</v>
      </c>
      <c r="T836" s="3" t="s">
        <v>45</v>
      </c>
      <c r="U836" s="3" t="s">
        <v>45</v>
      </c>
      <c r="V836" s="3" t="s">
        <v>45</v>
      </c>
      <c r="W836" s="4" t="s">
        <v>7780</v>
      </c>
      <c r="X836" s="3" t="s">
        <v>45</v>
      </c>
      <c r="Y836" s="3" t="s">
        <v>45</v>
      </c>
      <c r="Z836" s="3" t="s">
        <v>55</v>
      </c>
      <c r="AA836" s="3" t="s">
        <v>45</v>
      </c>
      <c r="AB836" s="3" t="s">
        <v>45</v>
      </c>
      <c r="AC836" s="3" t="s">
        <v>45</v>
      </c>
      <c r="AD836" s="5" t="s">
        <v>7781</v>
      </c>
      <c r="AE836" s="3" t="s">
        <v>45</v>
      </c>
      <c r="AF836" s="3" t="s">
        <v>45</v>
      </c>
      <c r="AG836" s="3" t="s">
        <v>45</v>
      </c>
      <c r="AH836" s="3" t="s">
        <v>57</v>
      </c>
      <c r="AI836" s="5" t="s">
        <v>7782</v>
      </c>
      <c r="AJ836" s="3" t="s">
        <v>45</v>
      </c>
      <c r="AK836" s="3" t="s">
        <v>45</v>
      </c>
      <c r="AL836" s="3" t="s">
        <v>45</v>
      </c>
      <c r="AM836" s="3" t="s">
        <v>45</v>
      </c>
      <c r="AN836" s="3" t="s">
        <v>45</v>
      </c>
      <c r="AO836" s="3" t="s">
        <v>45</v>
      </c>
      <c r="AP836" s="3" t="s">
        <v>45</v>
      </c>
      <c r="AQ836" s="4" t="s">
        <v>864</v>
      </c>
      <c r="AR836" s="4" t="s">
        <v>7246</v>
      </c>
    </row>
    <row r="837">
      <c r="A837" s="3" t="s">
        <v>7783</v>
      </c>
      <c r="B837" s="3" t="s">
        <v>7784</v>
      </c>
      <c r="C837" s="3" t="s">
        <v>4638</v>
      </c>
      <c r="D837" s="3" t="s">
        <v>7016</v>
      </c>
      <c r="E837" s="4" t="s">
        <v>7785</v>
      </c>
      <c r="F837" s="3" t="s">
        <v>7340</v>
      </c>
      <c r="G837" s="4" t="s">
        <v>7786</v>
      </c>
      <c r="H837" s="4" t="s">
        <v>7787</v>
      </c>
      <c r="I837" s="3" t="s">
        <v>85</v>
      </c>
      <c r="J837" s="3" t="s">
        <v>126</v>
      </c>
      <c r="K837" s="3" t="s">
        <v>45</v>
      </c>
      <c r="L837" s="3" t="s">
        <v>7443</v>
      </c>
      <c r="M837" s="3" t="s">
        <v>45</v>
      </c>
      <c r="N837" s="4" t="s">
        <v>275</v>
      </c>
      <c r="O837" s="3" t="s">
        <v>53</v>
      </c>
      <c r="P837" s="3" t="s">
        <v>45</v>
      </c>
      <c r="Q837" s="3" t="s">
        <v>45</v>
      </c>
      <c r="R837" s="3" t="s">
        <v>45</v>
      </c>
      <c r="S837" s="3" t="s">
        <v>45</v>
      </c>
      <c r="T837" s="3" t="s">
        <v>45</v>
      </c>
      <c r="U837" s="3" t="s">
        <v>45</v>
      </c>
      <c r="V837" s="4" t="s">
        <v>1611</v>
      </c>
      <c r="W837" s="3" t="s">
        <v>45</v>
      </c>
      <c r="X837" s="3" t="s">
        <v>45</v>
      </c>
      <c r="Y837" s="3" t="s">
        <v>45</v>
      </c>
      <c r="Z837" s="3" t="s">
        <v>74</v>
      </c>
      <c r="AA837" s="3" t="s">
        <v>45</v>
      </c>
      <c r="AB837" s="3" t="s">
        <v>45</v>
      </c>
      <c r="AC837" s="3" t="s">
        <v>45</v>
      </c>
      <c r="AD837" s="3" t="s">
        <v>45</v>
      </c>
      <c r="AE837" s="3" t="s">
        <v>45</v>
      </c>
      <c r="AF837" s="3" t="s">
        <v>45</v>
      </c>
      <c r="AG837" s="3" t="s">
        <v>45</v>
      </c>
      <c r="AH837" s="3" t="s">
        <v>7025</v>
      </c>
      <c r="AI837" s="5" t="s">
        <v>7788</v>
      </c>
      <c r="AJ837" s="3" t="s">
        <v>45</v>
      </c>
      <c r="AK837" s="3" t="s">
        <v>45</v>
      </c>
      <c r="AL837" s="3" t="s">
        <v>45</v>
      </c>
      <c r="AM837" s="3" t="s">
        <v>45</v>
      </c>
      <c r="AN837" s="3" t="s">
        <v>45</v>
      </c>
      <c r="AO837" s="3" t="s">
        <v>45</v>
      </c>
      <c r="AP837" s="3" t="s">
        <v>45</v>
      </c>
      <c r="AQ837" s="4" t="s">
        <v>1059</v>
      </c>
      <c r="AR837" s="4" t="s">
        <v>1059</v>
      </c>
    </row>
    <row r="838">
      <c r="A838" s="3" t="s">
        <v>7789</v>
      </c>
      <c r="B838" s="3" t="s">
        <v>7790</v>
      </c>
      <c r="C838" s="3" t="s">
        <v>4638</v>
      </c>
      <c r="D838" s="3" t="s">
        <v>7016</v>
      </c>
      <c r="E838" s="4" t="s">
        <v>7785</v>
      </c>
      <c r="F838" s="3" t="s">
        <v>7340</v>
      </c>
      <c r="G838" s="4" t="s">
        <v>7791</v>
      </c>
      <c r="H838" s="4" t="s">
        <v>7792</v>
      </c>
      <c r="I838" s="3" t="s">
        <v>85</v>
      </c>
      <c r="J838" s="3" t="s">
        <v>126</v>
      </c>
      <c r="K838" s="3" t="s">
        <v>45</v>
      </c>
      <c r="L838" s="3" t="s">
        <v>7793</v>
      </c>
      <c r="M838" s="3" t="s">
        <v>45</v>
      </c>
      <c r="N838" s="4" t="s">
        <v>275</v>
      </c>
      <c r="O838" s="3" t="s">
        <v>53</v>
      </c>
      <c r="P838" s="3" t="s">
        <v>45</v>
      </c>
      <c r="Q838" s="3" t="s">
        <v>45</v>
      </c>
      <c r="R838" s="3" t="s">
        <v>45</v>
      </c>
      <c r="S838" s="3" t="s">
        <v>45</v>
      </c>
      <c r="T838" s="3" t="s">
        <v>724</v>
      </c>
      <c r="U838" s="3" t="s">
        <v>45</v>
      </c>
      <c r="V838" s="4" t="s">
        <v>1611</v>
      </c>
      <c r="W838" s="3" t="s">
        <v>45</v>
      </c>
      <c r="X838" s="3" t="s">
        <v>45</v>
      </c>
      <c r="Y838" s="3" t="s">
        <v>45</v>
      </c>
      <c r="Z838" s="3" t="s">
        <v>74</v>
      </c>
      <c r="AA838" s="3" t="s">
        <v>45</v>
      </c>
      <c r="AB838" s="3" t="s">
        <v>45</v>
      </c>
      <c r="AC838" s="3" t="s">
        <v>45</v>
      </c>
      <c r="AD838" s="3" t="s">
        <v>45</v>
      </c>
      <c r="AE838" s="3" t="s">
        <v>45</v>
      </c>
      <c r="AF838" s="3" t="s">
        <v>45</v>
      </c>
      <c r="AG838" s="3" t="s">
        <v>45</v>
      </c>
      <c r="AH838" s="3" t="s">
        <v>7025</v>
      </c>
      <c r="AI838" s="5" t="s">
        <v>7794</v>
      </c>
      <c r="AJ838" s="3" t="s">
        <v>45</v>
      </c>
      <c r="AK838" s="3" t="s">
        <v>45</v>
      </c>
      <c r="AL838" s="3" t="s">
        <v>45</v>
      </c>
      <c r="AM838" s="3" t="s">
        <v>45</v>
      </c>
      <c r="AN838" s="3" t="s">
        <v>45</v>
      </c>
      <c r="AO838" s="3" t="s">
        <v>45</v>
      </c>
      <c r="AP838" s="3" t="s">
        <v>45</v>
      </c>
      <c r="AQ838" s="4" t="s">
        <v>1059</v>
      </c>
      <c r="AR838" s="4" t="s">
        <v>1059</v>
      </c>
    </row>
    <row r="839">
      <c r="A839" s="3" t="s">
        <v>7795</v>
      </c>
      <c r="B839" s="3" t="s">
        <v>7796</v>
      </c>
      <c r="C839" s="3" t="s">
        <v>4638</v>
      </c>
      <c r="D839" s="3" t="s">
        <v>7016</v>
      </c>
      <c r="E839" s="4" t="s">
        <v>7797</v>
      </c>
      <c r="F839" s="3" t="s">
        <v>7340</v>
      </c>
      <c r="G839" s="4" t="s">
        <v>7798</v>
      </c>
      <c r="H839" s="4" t="s">
        <v>7799</v>
      </c>
      <c r="I839" s="3" t="s">
        <v>85</v>
      </c>
      <c r="J839" s="3" t="s">
        <v>126</v>
      </c>
      <c r="K839" s="3" t="s">
        <v>45</v>
      </c>
      <c r="L839" s="3" t="s">
        <v>7800</v>
      </c>
      <c r="M839" s="3" t="s">
        <v>45</v>
      </c>
      <c r="N839" s="3" t="s">
        <v>45</v>
      </c>
      <c r="O839" s="3" t="s">
        <v>74</v>
      </c>
      <c r="P839" s="3" t="s">
        <v>45</v>
      </c>
      <c r="Q839" s="3" t="s">
        <v>45</v>
      </c>
      <c r="R839" s="3" t="s">
        <v>45</v>
      </c>
      <c r="S839" s="3" t="s">
        <v>45</v>
      </c>
      <c r="T839" s="3" t="s">
        <v>45</v>
      </c>
      <c r="U839" s="3" t="s">
        <v>45</v>
      </c>
      <c r="V839" s="3" t="s">
        <v>45</v>
      </c>
      <c r="W839" s="3" t="s">
        <v>45</v>
      </c>
      <c r="X839" s="3" t="s">
        <v>45</v>
      </c>
      <c r="Y839" s="3" t="s">
        <v>45</v>
      </c>
      <c r="Z839" s="3" t="s">
        <v>74</v>
      </c>
      <c r="AA839" s="3" t="s">
        <v>45</v>
      </c>
      <c r="AB839" s="3" t="s">
        <v>45</v>
      </c>
      <c r="AC839" s="3" t="s">
        <v>45</v>
      </c>
      <c r="AD839" s="3" t="s">
        <v>45</v>
      </c>
      <c r="AE839" s="3" t="s">
        <v>45</v>
      </c>
      <c r="AF839" s="3" t="s">
        <v>45</v>
      </c>
      <c r="AG839" s="3" t="s">
        <v>45</v>
      </c>
      <c r="AH839" s="3" t="s">
        <v>7025</v>
      </c>
      <c r="AI839" s="5" t="s">
        <v>7801</v>
      </c>
      <c r="AJ839" s="3" t="s">
        <v>45</v>
      </c>
      <c r="AK839" s="3" t="s">
        <v>45</v>
      </c>
      <c r="AL839" s="3" t="s">
        <v>45</v>
      </c>
      <c r="AM839" s="3" t="s">
        <v>45</v>
      </c>
      <c r="AN839" s="3" t="s">
        <v>45</v>
      </c>
      <c r="AO839" s="3" t="s">
        <v>45</v>
      </c>
      <c r="AP839" s="3" t="s">
        <v>45</v>
      </c>
      <c r="AQ839" s="4" t="s">
        <v>1059</v>
      </c>
      <c r="AR839" s="4" t="s">
        <v>1059</v>
      </c>
    </row>
    <row r="840">
      <c r="A840" s="3" t="s">
        <v>7802</v>
      </c>
      <c r="B840" s="3" t="s">
        <v>7803</v>
      </c>
      <c r="C840" s="3" t="s">
        <v>7804</v>
      </c>
      <c r="D840" s="3" t="s">
        <v>7016</v>
      </c>
      <c r="E840" s="4" t="s">
        <v>7486</v>
      </c>
      <c r="F840" s="3" t="s">
        <v>7500</v>
      </c>
      <c r="G840" s="4" t="s">
        <v>7805</v>
      </c>
      <c r="H840" s="4" t="s">
        <v>7806</v>
      </c>
      <c r="I840" s="3" t="s">
        <v>49</v>
      </c>
      <c r="J840" s="3" t="s">
        <v>50</v>
      </c>
      <c r="K840" s="3" t="s">
        <v>7807</v>
      </c>
      <c r="L840" s="3" t="s">
        <v>45</v>
      </c>
      <c r="M840" s="3" t="s">
        <v>45</v>
      </c>
      <c r="N840" s="4" t="s">
        <v>156</v>
      </c>
      <c r="O840" s="3" t="s">
        <v>722</v>
      </c>
      <c r="P840" s="3" t="s">
        <v>45</v>
      </c>
      <c r="Q840" s="3" t="s">
        <v>45</v>
      </c>
      <c r="R840" s="3" t="s">
        <v>45</v>
      </c>
      <c r="S840" s="3" t="s">
        <v>45</v>
      </c>
      <c r="T840" s="3" t="s">
        <v>45</v>
      </c>
      <c r="U840" s="3" t="s">
        <v>45</v>
      </c>
      <c r="V840" s="3" t="s">
        <v>45</v>
      </c>
      <c r="W840" s="4" t="s">
        <v>1196</v>
      </c>
      <c r="X840" s="3" t="s">
        <v>45</v>
      </c>
      <c r="Y840" s="3" t="s">
        <v>45</v>
      </c>
      <c r="Z840" s="3" t="s">
        <v>74</v>
      </c>
      <c r="AA840" s="3" t="s">
        <v>45</v>
      </c>
      <c r="AB840" s="3" t="s">
        <v>74</v>
      </c>
      <c r="AC840" s="3" t="s">
        <v>45</v>
      </c>
      <c r="AD840" s="3" t="s">
        <v>45</v>
      </c>
      <c r="AE840" s="3" t="s">
        <v>45</v>
      </c>
      <c r="AF840" s="3" t="s">
        <v>45</v>
      </c>
      <c r="AG840" s="3" t="s">
        <v>7808</v>
      </c>
      <c r="AH840" s="3" t="s">
        <v>57</v>
      </c>
      <c r="AI840" s="5" t="s">
        <v>7809</v>
      </c>
      <c r="AJ840" s="5" t="s">
        <v>7810</v>
      </c>
      <c r="AK840" s="3" t="s">
        <v>45</v>
      </c>
      <c r="AL840" s="3" t="s">
        <v>45</v>
      </c>
      <c r="AM840" s="3" t="s">
        <v>45</v>
      </c>
      <c r="AN840" s="3" t="s">
        <v>45</v>
      </c>
      <c r="AO840" s="3" t="s">
        <v>45</v>
      </c>
      <c r="AP840" s="3" t="s">
        <v>45</v>
      </c>
      <c r="AQ840" s="4" t="s">
        <v>1767</v>
      </c>
      <c r="AR840" s="4" t="s">
        <v>1767</v>
      </c>
    </row>
    <row r="841">
      <c r="A841" s="3" t="s">
        <v>7811</v>
      </c>
      <c r="B841" s="3" t="s">
        <v>7812</v>
      </c>
      <c r="C841" s="3" t="s">
        <v>7813</v>
      </c>
      <c r="D841" s="3" t="s">
        <v>7016</v>
      </c>
      <c r="E841" s="4" t="s">
        <v>7814</v>
      </c>
      <c r="F841" s="3" t="s">
        <v>7064</v>
      </c>
      <c r="G841" s="4" t="s">
        <v>7815</v>
      </c>
      <c r="H841" s="4" t="s">
        <v>7816</v>
      </c>
      <c r="I841" s="3" t="s">
        <v>49</v>
      </c>
      <c r="J841" s="3" t="s">
        <v>50</v>
      </c>
      <c r="K841" s="3" t="s">
        <v>45</v>
      </c>
      <c r="L841" s="3" t="s">
        <v>45</v>
      </c>
      <c r="M841" s="3" t="s">
        <v>45</v>
      </c>
      <c r="N841" s="3" t="s">
        <v>45</v>
      </c>
      <c r="O841" s="3" t="s">
        <v>74</v>
      </c>
      <c r="P841" s="3" t="s">
        <v>45</v>
      </c>
      <c r="Q841" s="3" t="s">
        <v>45</v>
      </c>
      <c r="R841" s="3" t="s">
        <v>45</v>
      </c>
      <c r="S841" s="4" t="s">
        <v>104</v>
      </c>
      <c r="T841" s="3" t="s">
        <v>45</v>
      </c>
      <c r="U841" s="3" t="s">
        <v>45</v>
      </c>
      <c r="V841" s="4" t="s">
        <v>7817</v>
      </c>
      <c r="W841" s="3" t="s">
        <v>45</v>
      </c>
      <c r="X841" s="3" t="s">
        <v>45</v>
      </c>
      <c r="Y841" s="3" t="s">
        <v>45</v>
      </c>
      <c r="Z841" s="3" t="s">
        <v>74</v>
      </c>
      <c r="AA841" s="3" t="s">
        <v>45</v>
      </c>
      <c r="AB841" s="3" t="s">
        <v>45</v>
      </c>
      <c r="AC841" s="3" t="s">
        <v>45</v>
      </c>
      <c r="AD841" s="3" t="s">
        <v>45</v>
      </c>
      <c r="AE841" s="3" t="s">
        <v>45</v>
      </c>
      <c r="AF841" s="3" t="s">
        <v>45</v>
      </c>
      <c r="AG841" s="3" t="s">
        <v>7818</v>
      </c>
      <c r="AH841" s="3" t="s">
        <v>57</v>
      </c>
      <c r="AI841" s="5" t="s">
        <v>7819</v>
      </c>
      <c r="AJ841" s="5" t="s">
        <v>7820</v>
      </c>
      <c r="AK841" s="5" t="s">
        <v>7821</v>
      </c>
      <c r="AL841" s="3" t="s">
        <v>45</v>
      </c>
      <c r="AM841" s="3" t="s">
        <v>45</v>
      </c>
      <c r="AN841" s="3" t="s">
        <v>45</v>
      </c>
      <c r="AO841" s="3" t="s">
        <v>45</v>
      </c>
      <c r="AP841" s="3" t="s">
        <v>45</v>
      </c>
      <c r="AQ841" s="4" t="s">
        <v>2870</v>
      </c>
      <c r="AR841" s="4" t="s">
        <v>339</v>
      </c>
    </row>
    <row r="842">
      <c r="A842" s="3" t="s">
        <v>7822</v>
      </c>
      <c r="B842" s="3" t="s">
        <v>45</v>
      </c>
      <c r="C842" s="3" t="s">
        <v>7823</v>
      </c>
      <c r="D842" s="3" t="s">
        <v>7016</v>
      </c>
      <c r="E842" s="4" t="s">
        <v>7824</v>
      </c>
      <c r="F842" s="3" t="s">
        <v>3784</v>
      </c>
      <c r="G842" s="4" t="s">
        <v>7825</v>
      </c>
      <c r="H842" s="4" t="s">
        <v>7826</v>
      </c>
      <c r="I842" s="3" t="s">
        <v>85</v>
      </c>
      <c r="J842" s="3" t="s">
        <v>99</v>
      </c>
      <c r="K842" s="3" t="s">
        <v>5931</v>
      </c>
      <c r="L842" s="3" t="s">
        <v>45</v>
      </c>
      <c r="M842" s="3" t="s">
        <v>45</v>
      </c>
      <c r="N842" s="3" t="s">
        <v>7827</v>
      </c>
      <c r="O842" s="3" t="s">
        <v>390</v>
      </c>
      <c r="P842" s="3" t="s">
        <v>45</v>
      </c>
      <c r="Q842" s="3" t="s">
        <v>45</v>
      </c>
      <c r="R842" s="3" t="s">
        <v>45</v>
      </c>
      <c r="S842" s="3" t="s">
        <v>45</v>
      </c>
      <c r="T842" s="3" t="s">
        <v>45</v>
      </c>
      <c r="U842" s="3" t="s">
        <v>45</v>
      </c>
      <c r="V842" s="3" t="s">
        <v>45</v>
      </c>
      <c r="W842" s="3" t="s">
        <v>45</v>
      </c>
      <c r="X842" s="3" t="s">
        <v>45</v>
      </c>
      <c r="Y842" s="3" t="s">
        <v>45</v>
      </c>
      <c r="Z842" s="3" t="s">
        <v>74</v>
      </c>
      <c r="AA842" s="3" t="s">
        <v>45</v>
      </c>
      <c r="AB842" s="3" t="s">
        <v>45</v>
      </c>
      <c r="AC842" s="3" t="s">
        <v>45</v>
      </c>
      <c r="AD842" s="3" t="s">
        <v>45</v>
      </c>
      <c r="AE842" s="3" t="s">
        <v>45</v>
      </c>
      <c r="AF842" s="3" t="s">
        <v>45</v>
      </c>
      <c r="AG842" s="3" t="s">
        <v>5931</v>
      </c>
      <c r="AH842" s="3" t="s">
        <v>57</v>
      </c>
      <c r="AI842" s="5" t="s">
        <v>7435</v>
      </c>
      <c r="AJ842" s="5" t="s">
        <v>7436</v>
      </c>
      <c r="AK842" s="3" t="s">
        <v>45</v>
      </c>
      <c r="AL842" s="3" t="s">
        <v>45</v>
      </c>
      <c r="AM842" s="3" t="s">
        <v>45</v>
      </c>
      <c r="AN842" s="3" t="s">
        <v>45</v>
      </c>
      <c r="AO842" s="3" t="s">
        <v>45</v>
      </c>
      <c r="AP842" s="3" t="s">
        <v>45</v>
      </c>
      <c r="AQ842" s="4" t="s">
        <v>6079</v>
      </c>
      <c r="AR842" s="4" t="s">
        <v>6079</v>
      </c>
    </row>
    <row r="843">
      <c r="A843" s="3" t="s">
        <v>7581</v>
      </c>
      <c r="B843" s="3" t="s">
        <v>7828</v>
      </c>
      <c r="C843" s="3" t="s">
        <v>7823</v>
      </c>
      <c r="D843" s="3" t="s">
        <v>7016</v>
      </c>
      <c r="E843" s="4" t="s">
        <v>7824</v>
      </c>
      <c r="F843" s="3" t="s">
        <v>3784</v>
      </c>
      <c r="G843" s="4" t="s">
        <v>7829</v>
      </c>
      <c r="H843" s="4" t="s">
        <v>7830</v>
      </c>
      <c r="I843" s="3" t="s">
        <v>85</v>
      </c>
      <c r="J843" s="3" t="s">
        <v>126</v>
      </c>
      <c r="K843" s="3" t="s">
        <v>45</v>
      </c>
      <c r="L843" s="3" t="s">
        <v>45</v>
      </c>
      <c r="M843" s="3" t="s">
        <v>45</v>
      </c>
      <c r="N843" s="4" t="s">
        <v>2608</v>
      </c>
      <c r="O843" s="3" t="s">
        <v>390</v>
      </c>
      <c r="P843" s="3" t="s">
        <v>45</v>
      </c>
      <c r="Q843" s="3" t="s">
        <v>45</v>
      </c>
      <c r="R843" s="3" t="s">
        <v>45</v>
      </c>
      <c r="S843" s="3" t="s">
        <v>45</v>
      </c>
      <c r="T843" s="3" t="s">
        <v>45</v>
      </c>
      <c r="U843" s="3" t="s">
        <v>45</v>
      </c>
      <c r="V843" s="3" t="s">
        <v>45</v>
      </c>
      <c r="W843" s="3" t="s">
        <v>45</v>
      </c>
      <c r="X843" s="3" t="s">
        <v>45</v>
      </c>
      <c r="Y843" s="3" t="s">
        <v>45</v>
      </c>
      <c r="Z843" s="3" t="s">
        <v>74</v>
      </c>
      <c r="AA843" s="3" t="s">
        <v>45</v>
      </c>
      <c r="AB843" s="3" t="s">
        <v>45</v>
      </c>
      <c r="AC843" s="3" t="s">
        <v>45</v>
      </c>
      <c r="AD843" s="3" t="s">
        <v>45</v>
      </c>
      <c r="AE843" s="3" t="s">
        <v>45</v>
      </c>
      <c r="AF843" s="3" t="s">
        <v>45</v>
      </c>
      <c r="AG843" s="3" t="s">
        <v>7831</v>
      </c>
      <c r="AH843" s="3" t="s">
        <v>57</v>
      </c>
      <c r="AI843" s="5" t="s">
        <v>7435</v>
      </c>
      <c r="AJ843" s="5" t="s">
        <v>7436</v>
      </c>
      <c r="AK843" s="5" t="s">
        <v>7832</v>
      </c>
      <c r="AL843" s="5" t="s">
        <v>7833</v>
      </c>
      <c r="AM843" s="3" t="s">
        <v>45</v>
      </c>
      <c r="AN843" s="3" t="s">
        <v>45</v>
      </c>
      <c r="AO843" s="3" t="s">
        <v>45</v>
      </c>
      <c r="AP843" s="3" t="s">
        <v>45</v>
      </c>
      <c r="AQ843" s="4" t="s">
        <v>1113</v>
      </c>
      <c r="AR843" s="4" t="s">
        <v>1113</v>
      </c>
    </row>
    <row r="844">
      <c r="A844" s="3" t="s">
        <v>7834</v>
      </c>
      <c r="B844" s="3" t="s">
        <v>7835</v>
      </c>
      <c r="C844" s="3" t="s">
        <v>7836</v>
      </c>
      <c r="D844" s="3" t="s">
        <v>7016</v>
      </c>
      <c r="E844" s="4" t="s">
        <v>7017</v>
      </c>
      <c r="F844" s="3" t="s">
        <v>7018</v>
      </c>
      <c r="G844" s="4" t="s">
        <v>7837</v>
      </c>
      <c r="H844" s="4" t="s">
        <v>7838</v>
      </c>
      <c r="I844" s="3" t="s">
        <v>218</v>
      </c>
      <c r="J844" s="3" t="s">
        <v>126</v>
      </c>
      <c r="K844" s="3" t="s">
        <v>743</v>
      </c>
      <c r="L844" s="3" t="s">
        <v>659</v>
      </c>
      <c r="M844" s="3" t="s">
        <v>45</v>
      </c>
      <c r="N844" s="4" t="s">
        <v>7839</v>
      </c>
      <c r="O844" s="3" t="s">
        <v>70</v>
      </c>
      <c r="P844" s="3" t="s">
        <v>71</v>
      </c>
      <c r="Q844" s="3" t="s">
        <v>55</v>
      </c>
      <c r="R844" s="3" t="s">
        <v>45</v>
      </c>
      <c r="S844" s="4" t="s">
        <v>835</v>
      </c>
      <c r="T844" s="3" t="s">
        <v>45</v>
      </c>
      <c r="U844" s="3" t="s">
        <v>45</v>
      </c>
      <c r="V844" s="3" t="s">
        <v>45</v>
      </c>
      <c r="W844" s="4" t="s">
        <v>7840</v>
      </c>
      <c r="X844" s="3" t="s">
        <v>7841</v>
      </c>
      <c r="Y844" s="3" t="s">
        <v>45</v>
      </c>
      <c r="Z844" s="3" t="s">
        <v>55</v>
      </c>
      <c r="AA844" s="3" t="s">
        <v>7023</v>
      </c>
      <c r="AB844" s="3" t="s">
        <v>45</v>
      </c>
      <c r="AC844" s="3" t="s">
        <v>45</v>
      </c>
      <c r="AD844" s="5" t="s">
        <v>7842</v>
      </c>
      <c r="AE844" s="3" t="s">
        <v>45</v>
      </c>
      <c r="AF844" s="3" t="s">
        <v>45</v>
      </c>
      <c r="AG844" s="3" t="s">
        <v>7843</v>
      </c>
      <c r="AH844" s="3" t="s">
        <v>57</v>
      </c>
      <c r="AI844" s="5" t="s">
        <v>7844</v>
      </c>
      <c r="AJ844" s="5" t="s">
        <v>7845</v>
      </c>
      <c r="AK844" s="5" t="s">
        <v>7846</v>
      </c>
      <c r="AL844" s="5" t="s">
        <v>7847</v>
      </c>
      <c r="AM844" s="5" t="s">
        <v>7515</v>
      </c>
      <c r="AN844" s="5" t="s">
        <v>7848</v>
      </c>
      <c r="AO844" s="5" t="s">
        <v>7849</v>
      </c>
      <c r="AP844" s="5" t="s">
        <v>7850</v>
      </c>
      <c r="AQ844" s="4" t="s">
        <v>212</v>
      </c>
      <c r="AR844" s="4" t="s">
        <v>117</v>
      </c>
    </row>
    <row r="845">
      <c r="A845" s="3" t="s">
        <v>7851</v>
      </c>
      <c r="B845" s="3" t="s">
        <v>7852</v>
      </c>
      <c r="C845" s="3" t="s">
        <v>7853</v>
      </c>
      <c r="D845" s="3" t="s">
        <v>7016</v>
      </c>
      <c r="E845" s="4" t="s">
        <v>7854</v>
      </c>
      <c r="F845" s="3" t="s">
        <v>3465</v>
      </c>
      <c r="G845" s="4" t="s">
        <v>7855</v>
      </c>
      <c r="H845" s="4" t="s">
        <v>7856</v>
      </c>
      <c r="I845" s="3" t="s">
        <v>436</v>
      </c>
      <c r="J845" s="3" t="s">
        <v>126</v>
      </c>
      <c r="K845" s="3" t="s">
        <v>45</v>
      </c>
      <c r="L845" s="3" t="s">
        <v>7857</v>
      </c>
      <c r="M845" s="3" t="s">
        <v>45</v>
      </c>
      <c r="N845" s="3" t="s">
        <v>45</v>
      </c>
      <c r="O845" s="3" t="s">
        <v>74</v>
      </c>
      <c r="P845" s="3" t="s">
        <v>45</v>
      </c>
      <c r="Q845" s="3" t="s">
        <v>45</v>
      </c>
      <c r="R845" s="3" t="s">
        <v>45</v>
      </c>
      <c r="S845" s="4" t="s">
        <v>582</v>
      </c>
      <c r="T845" s="3" t="s">
        <v>45</v>
      </c>
      <c r="U845" s="3" t="s">
        <v>45</v>
      </c>
      <c r="V845" s="4" t="s">
        <v>7858</v>
      </c>
      <c r="W845" s="4" t="s">
        <v>90</v>
      </c>
      <c r="X845" s="3" t="s">
        <v>7859</v>
      </c>
      <c r="Y845" s="4" t="s">
        <v>317</v>
      </c>
      <c r="Z845" s="3" t="s">
        <v>55</v>
      </c>
      <c r="AA845" s="3" t="s">
        <v>45</v>
      </c>
      <c r="AB845" s="3" t="s">
        <v>56</v>
      </c>
      <c r="AC845" s="3" t="s">
        <v>45</v>
      </c>
      <c r="AD845" s="3" t="s">
        <v>45</v>
      </c>
      <c r="AE845" s="3" t="s">
        <v>45</v>
      </c>
      <c r="AF845" s="3" t="s">
        <v>45</v>
      </c>
      <c r="AG845" s="3" t="s">
        <v>45</v>
      </c>
      <c r="AH845" s="3" t="s">
        <v>57</v>
      </c>
      <c r="AI845" s="5" t="s">
        <v>7860</v>
      </c>
      <c r="AJ845" s="5" t="s">
        <v>7861</v>
      </c>
      <c r="AK845" s="3" t="s">
        <v>45</v>
      </c>
      <c r="AL845" s="3" t="s">
        <v>45</v>
      </c>
      <c r="AM845" s="3" t="s">
        <v>45</v>
      </c>
      <c r="AN845" s="3" t="s">
        <v>45</v>
      </c>
      <c r="AO845" s="3" t="s">
        <v>45</v>
      </c>
      <c r="AP845" s="3" t="s">
        <v>45</v>
      </c>
      <c r="AQ845" s="4" t="s">
        <v>2459</v>
      </c>
      <c r="AR845" s="4" t="s">
        <v>457</v>
      </c>
    </row>
    <row r="846">
      <c r="A846" s="3" t="s">
        <v>7862</v>
      </c>
      <c r="B846" s="3" t="s">
        <v>7863</v>
      </c>
      <c r="C846" s="3" t="s">
        <v>7864</v>
      </c>
      <c r="D846" s="3" t="s">
        <v>7016</v>
      </c>
      <c r="E846" s="4" t="s">
        <v>7865</v>
      </c>
      <c r="F846" s="3" t="s">
        <v>2525</v>
      </c>
      <c r="G846" s="4" t="s">
        <v>7866</v>
      </c>
      <c r="H846" s="4" t="s">
        <v>7867</v>
      </c>
      <c r="I846" s="3" t="s">
        <v>49</v>
      </c>
      <c r="J846" s="3" t="s">
        <v>50</v>
      </c>
      <c r="K846" s="3" t="s">
        <v>743</v>
      </c>
      <c r="L846" s="3" t="s">
        <v>7868</v>
      </c>
      <c r="M846" s="3" t="s">
        <v>45</v>
      </c>
      <c r="N846" s="3" t="s">
        <v>7869</v>
      </c>
      <c r="O846" s="3" t="s">
        <v>88</v>
      </c>
      <c r="P846" s="3" t="s">
        <v>71</v>
      </c>
      <c r="Q846" s="3" t="s">
        <v>45</v>
      </c>
      <c r="R846" s="3" t="s">
        <v>45</v>
      </c>
      <c r="S846" s="3" t="s">
        <v>45</v>
      </c>
      <c r="T846" s="3" t="s">
        <v>45</v>
      </c>
      <c r="U846" s="3" t="s">
        <v>45</v>
      </c>
      <c r="V846" s="3" t="s">
        <v>45</v>
      </c>
      <c r="W846" s="4" t="s">
        <v>3595</v>
      </c>
      <c r="X846" s="3" t="s">
        <v>45</v>
      </c>
      <c r="Y846" s="3" t="s">
        <v>45</v>
      </c>
      <c r="Z846" s="3" t="s">
        <v>55</v>
      </c>
      <c r="AA846" s="3" t="s">
        <v>45</v>
      </c>
      <c r="AB846" s="3" t="s">
        <v>45</v>
      </c>
      <c r="AC846" s="3" t="s">
        <v>45</v>
      </c>
      <c r="AD846" s="5" t="s">
        <v>7493</v>
      </c>
      <c r="AE846" s="3" t="s">
        <v>45</v>
      </c>
      <c r="AF846" s="3" t="s">
        <v>45</v>
      </c>
      <c r="AG846" s="3" t="s">
        <v>7870</v>
      </c>
      <c r="AH846" s="3" t="s">
        <v>57</v>
      </c>
      <c r="AI846" s="5" t="s">
        <v>7871</v>
      </c>
      <c r="AJ846" s="5" t="s">
        <v>7872</v>
      </c>
      <c r="AK846" s="5" t="s">
        <v>7873</v>
      </c>
      <c r="AL846" s="5" t="s">
        <v>7874</v>
      </c>
      <c r="AM846" s="3" t="s">
        <v>45</v>
      </c>
      <c r="AN846" s="3" t="s">
        <v>45</v>
      </c>
      <c r="AO846" s="3" t="s">
        <v>45</v>
      </c>
      <c r="AP846" s="3" t="s">
        <v>45</v>
      </c>
      <c r="AQ846" s="4" t="s">
        <v>7530</v>
      </c>
      <c r="AR846" s="4" t="s">
        <v>224</v>
      </c>
    </row>
    <row r="847">
      <c r="A847" s="3" t="s">
        <v>7875</v>
      </c>
      <c r="B847" s="3" t="s">
        <v>7876</v>
      </c>
      <c r="C847" s="3" t="s">
        <v>7877</v>
      </c>
      <c r="D847" s="3" t="s">
        <v>7016</v>
      </c>
      <c r="E847" s="4" t="s">
        <v>7878</v>
      </c>
      <c r="F847" s="3" t="s">
        <v>7293</v>
      </c>
      <c r="G847" s="4" t="s">
        <v>7879</v>
      </c>
      <c r="H847" s="4" t="s">
        <v>7880</v>
      </c>
      <c r="I847" s="3" t="s">
        <v>49</v>
      </c>
      <c r="J847" s="3" t="s">
        <v>126</v>
      </c>
      <c r="K847" s="3" t="s">
        <v>45</v>
      </c>
      <c r="L847" s="3" t="s">
        <v>7881</v>
      </c>
      <c r="M847" s="3" t="s">
        <v>45</v>
      </c>
      <c r="N847" s="3" t="s">
        <v>45</v>
      </c>
      <c r="O847" s="3" t="s">
        <v>88</v>
      </c>
      <c r="P847" s="3" t="s">
        <v>45</v>
      </c>
      <c r="Q847" s="3" t="s">
        <v>45</v>
      </c>
      <c r="R847" s="3" t="s">
        <v>45</v>
      </c>
      <c r="S847" s="3" t="s">
        <v>45</v>
      </c>
      <c r="T847" s="3" t="s">
        <v>45</v>
      </c>
      <c r="U847" s="3" t="s">
        <v>45</v>
      </c>
      <c r="V847" s="4" t="s">
        <v>611</v>
      </c>
      <c r="W847" s="3" t="s">
        <v>45</v>
      </c>
      <c r="X847" s="3" t="s">
        <v>45</v>
      </c>
      <c r="Y847" s="3" t="s">
        <v>45</v>
      </c>
      <c r="Z847" s="3" t="s">
        <v>55</v>
      </c>
      <c r="AA847" s="3" t="s">
        <v>45</v>
      </c>
      <c r="AB847" s="3" t="s">
        <v>45</v>
      </c>
      <c r="AC847" s="3" t="s">
        <v>45</v>
      </c>
      <c r="AD847" s="3" t="s">
        <v>45</v>
      </c>
      <c r="AE847" s="3" t="s">
        <v>45</v>
      </c>
      <c r="AF847" s="5" t="s">
        <v>7882</v>
      </c>
      <c r="AG847" s="3" t="s">
        <v>7883</v>
      </c>
      <c r="AH847" s="3" t="s">
        <v>57</v>
      </c>
      <c r="AI847" s="5" t="s">
        <v>7884</v>
      </c>
      <c r="AJ847" s="5" t="s">
        <v>7885</v>
      </c>
      <c r="AK847" s="5" t="s">
        <v>7886</v>
      </c>
      <c r="AL847" s="5" t="s">
        <v>7887</v>
      </c>
      <c r="AM847" s="3" t="s">
        <v>45</v>
      </c>
      <c r="AN847" s="3" t="s">
        <v>45</v>
      </c>
      <c r="AO847" s="3" t="s">
        <v>45</v>
      </c>
      <c r="AP847" s="3" t="s">
        <v>45</v>
      </c>
      <c r="AQ847" s="4" t="s">
        <v>636</v>
      </c>
      <c r="AR847" s="4" t="s">
        <v>7246</v>
      </c>
    </row>
    <row r="848">
      <c r="A848" s="3" t="s">
        <v>7888</v>
      </c>
      <c r="B848" s="3" t="s">
        <v>7889</v>
      </c>
      <c r="C848" s="3" t="s">
        <v>7890</v>
      </c>
      <c r="D848" s="3" t="s">
        <v>7016</v>
      </c>
      <c r="E848" s="4" t="s">
        <v>7891</v>
      </c>
      <c r="F848" s="3" t="s">
        <v>7500</v>
      </c>
      <c r="G848" s="4" t="s">
        <v>7892</v>
      </c>
      <c r="H848" s="4" t="s">
        <v>7893</v>
      </c>
      <c r="I848" s="3" t="s">
        <v>49</v>
      </c>
      <c r="J848" s="3" t="s">
        <v>126</v>
      </c>
      <c r="K848" s="3" t="s">
        <v>45</v>
      </c>
      <c r="L848" s="3" t="s">
        <v>7894</v>
      </c>
      <c r="M848" s="3" t="s">
        <v>45</v>
      </c>
      <c r="N848" s="4" t="s">
        <v>2501</v>
      </c>
      <c r="O848" s="3" t="s">
        <v>88</v>
      </c>
      <c r="P848" s="3" t="s">
        <v>45</v>
      </c>
      <c r="Q848" s="3" t="s">
        <v>45</v>
      </c>
      <c r="R848" s="3" t="s">
        <v>45</v>
      </c>
      <c r="S848" s="3" t="s">
        <v>45</v>
      </c>
      <c r="T848" s="3" t="s">
        <v>45</v>
      </c>
      <c r="U848" s="3" t="s">
        <v>221</v>
      </c>
      <c r="V848" s="4" t="s">
        <v>6840</v>
      </c>
      <c r="W848" s="3" t="s">
        <v>45</v>
      </c>
      <c r="X848" s="3" t="s">
        <v>45</v>
      </c>
      <c r="Y848" s="3" t="s">
        <v>45</v>
      </c>
      <c r="Z848" s="3" t="s">
        <v>55</v>
      </c>
      <c r="AA848" s="3" t="s">
        <v>7895</v>
      </c>
      <c r="AB848" s="3" t="s">
        <v>45</v>
      </c>
      <c r="AC848" s="3" t="s">
        <v>45</v>
      </c>
      <c r="AD848" s="5" t="s">
        <v>7384</v>
      </c>
      <c r="AE848" s="3" t="s">
        <v>45</v>
      </c>
      <c r="AF848" s="3" t="s">
        <v>45</v>
      </c>
      <c r="AG848" s="3" t="s">
        <v>7896</v>
      </c>
      <c r="AH848" s="3" t="s">
        <v>57</v>
      </c>
      <c r="AI848" s="5" t="s">
        <v>7897</v>
      </c>
      <c r="AJ848" s="5" t="s">
        <v>7898</v>
      </c>
      <c r="AK848" s="5" t="s">
        <v>7899</v>
      </c>
      <c r="AL848" s="5" t="s">
        <v>7900</v>
      </c>
      <c r="AM848" s="5" t="s">
        <v>7901</v>
      </c>
      <c r="AN848" s="5" t="s">
        <v>7902</v>
      </c>
      <c r="AO848" s="5" t="s">
        <v>7903</v>
      </c>
      <c r="AP848" s="3" t="s">
        <v>45</v>
      </c>
      <c r="AQ848" s="4" t="s">
        <v>854</v>
      </c>
      <c r="AR848" s="4" t="s">
        <v>7904</v>
      </c>
    </row>
    <row r="849">
      <c r="A849" s="3" t="s">
        <v>7905</v>
      </c>
      <c r="B849" s="3" t="s">
        <v>7906</v>
      </c>
      <c r="C849" s="3" t="s">
        <v>7907</v>
      </c>
      <c r="D849" s="3" t="s">
        <v>7016</v>
      </c>
      <c r="E849" s="4" t="s">
        <v>7908</v>
      </c>
      <c r="F849" s="3" t="s">
        <v>7909</v>
      </c>
      <c r="G849" s="4" t="s">
        <v>7910</v>
      </c>
      <c r="H849" s="4" t="s">
        <v>7911</v>
      </c>
      <c r="I849" s="3" t="s">
        <v>85</v>
      </c>
      <c r="J849" s="3" t="s">
        <v>126</v>
      </c>
      <c r="K849" s="3" t="s">
        <v>45</v>
      </c>
      <c r="L849" s="3" t="s">
        <v>7912</v>
      </c>
      <c r="M849" s="3" t="s">
        <v>45</v>
      </c>
      <c r="N849" s="3" t="s">
        <v>45</v>
      </c>
      <c r="O849" s="3" t="s">
        <v>74</v>
      </c>
      <c r="P849" s="3" t="s">
        <v>45</v>
      </c>
      <c r="Q849" s="3" t="s">
        <v>45</v>
      </c>
      <c r="R849" s="3" t="s">
        <v>45</v>
      </c>
      <c r="S849" s="3" t="s">
        <v>45</v>
      </c>
      <c r="T849" s="3" t="s">
        <v>45</v>
      </c>
      <c r="U849" s="3" t="s">
        <v>45</v>
      </c>
      <c r="V849" s="3" t="s">
        <v>45</v>
      </c>
      <c r="W849" s="3" t="s">
        <v>45</v>
      </c>
      <c r="X849" s="3" t="s">
        <v>45</v>
      </c>
      <c r="Y849" s="3" t="s">
        <v>45</v>
      </c>
      <c r="Z849" s="3" t="s">
        <v>74</v>
      </c>
      <c r="AA849" s="3" t="s">
        <v>45</v>
      </c>
      <c r="AB849" s="3" t="s">
        <v>45</v>
      </c>
      <c r="AC849" s="3" t="s">
        <v>45</v>
      </c>
      <c r="AD849" s="3" t="s">
        <v>45</v>
      </c>
      <c r="AE849" s="3" t="s">
        <v>45</v>
      </c>
      <c r="AF849" s="3" t="s">
        <v>45</v>
      </c>
      <c r="AG849" s="3" t="s">
        <v>45</v>
      </c>
      <c r="AH849" s="3" t="s">
        <v>7025</v>
      </c>
      <c r="AI849" s="3" t="s">
        <v>45</v>
      </c>
      <c r="AJ849" s="3" t="s">
        <v>45</v>
      </c>
      <c r="AK849" s="3" t="s">
        <v>45</v>
      </c>
      <c r="AL849" s="3" t="s">
        <v>45</v>
      </c>
      <c r="AM849" s="3" t="s">
        <v>45</v>
      </c>
      <c r="AN849" s="3" t="s">
        <v>45</v>
      </c>
      <c r="AO849" s="3" t="s">
        <v>45</v>
      </c>
      <c r="AP849" s="3" t="s">
        <v>45</v>
      </c>
      <c r="AQ849" s="4" t="s">
        <v>7164</v>
      </c>
      <c r="AR849" s="4" t="s">
        <v>7164</v>
      </c>
    </row>
    <row r="850">
      <c r="A850" s="3" t="s">
        <v>7913</v>
      </c>
      <c r="B850" s="3" t="s">
        <v>7914</v>
      </c>
      <c r="C850" s="3" t="s">
        <v>7915</v>
      </c>
      <c r="D850" s="3" t="s">
        <v>7016</v>
      </c>
      <c r="E850" s="4" t="s">
        <v>7499</v>
      </c>
      <c r="F850" s="3" t="s">
        <v>7500</v>
      </c>
      <c r="G850" s="4" t="s">
        <v>7916</v>
      </c>
      <c r="H850" s="4" t="s">
        <v>7917</v>
      </c>
      <c r="I850" s="3" t="s">
        <v>49</v>
      </c>
      <c r="J850" s="3" t="s">
        <v>50</v>
      </c>
      <c r="K850" s="3" t="s">
        <v>45</v>
      </c>
      <c r="L850" s="3" t="s">
        <v>7918</v>
      </c>
      <c r="M850" s="3" t="s">
        <v>45</v>
      </c>
      <c r="N850" s="3" t="s">
        <v>45</v>
      </c>
      <c r="O850" s="3" t="s">
        <v>74</v>
      </c>
      <c r="P850" s="3" t="s">
        <v>45</v>
      </c>
      <c r="Q850" s="3" t="s">
        <v>45</v>
      </c>
      <c r="R850" s="3" t="s">
        <v>45</v>
      </c>
      <c r="S850" s="3" t="s">
        <v>45</v>
      </c>
      <c r="T850" s="3" t="s">
        <v>45</v>
      </c>
      <c r="U850" s="3" t="s">
        <v>45</v>
      </c>
      <c r="V850" s="3" t="s">
        <v>45</v>
      </c>
      <c r="W850" s="3" t="s">
        <v>45</v>
      </c>
      <c r="X850" s="3" t="s">
        <v>45</v>
      </c>
      <c r="Y850" s="3" t="s">
        <v>45</v>
      </c>
      <c r="Z850" s="3" t="s">
        <v>74</v>
      </c>
      <c r="AA850" s="3" t="s">
        <v>45</v>
      </c>
      <c r="AB850" s="3" t="s">
        <v>45</v>
      </c>
      <c r="AC850" s="3" t="s">
        <v>45</v>
      </c>
      <c r="AD850" s="3" t="s">
        <v>45</v>
      </c>
      <c r="AE850" s="3" t="s">
        <v>45</v>
      </c>
      <c r="AF850" s="3" t="s">
        <v>45</v>
      </c>
      <c r="AG850" s="3" t="s">
        <v>7919</v>
      </c>
      <c r="AH850" s="3" t="s">
        <v>7025</v>
      </c>
      <c r="AI850" s="5" t="s">
        <v>7920</v>
      </c>
      <c r="AJ850" s="3" t="s">
        <v>45</v>
      </c>
      <c r="AK850" s="3" t="s">
        <v>45</v>
      </c>
      <c r="AL850" s="3" t="s">
        <v>45</v>
      </c>
      <c r="AM850" s="3" t="s">
        <v>45</v>
      </c>
      <c r="AN850" s="3" t="s">
        <v>45</v>
      </c>
      <c r="AO850" s="3" t="s">
        <v>45</v>
      </c>
      <c r="AP850" s="3" t="s">
        <v>45</v>
      </c>
      <c r="AQ850" s="4" t="s">
        <v>7164</v>
      </c>
      <c r="AR850" s="4" t="s">
        <v>7164</v>
      </c>
    </row>
    <row r="851">
      <c r="A851" s="3" t="s">
        <v>7921</v>
      </c>
      <c r="B851" s="3" t="s">
        <v>7922</v>
      </c>
      <c r="C851" s="3" t="s">
        <v>7923</v>
      </c>
      <c r="D851" s="3" t="s">
        <v>7016</v>
      </c>
      <c r="E851" s="4" t="s">
        <v>7924</v>
      </c>
      <c r="F851" s="3" t="s">
        <v>7115</v>
      </c>
      <c r="G851" s="4" t="s">
        <v>7925</v>
      </c>
      <c r="H851" s="4" t="s">
        <v>7926</v>
      </c>
      <c r="I851" s="3" t="s">
        <v>49</v>
      </c>
      <c r="J851" s="3" t="s">
        <v>50</v>
      </c>
      <c r="K851" s="3" t="s">
        <v>45</v>
      </c>
      <c r="L851" s="3" t="s">
        <v>45</v>
      </c>
      <c r="M851" s="3" t="s">
        <v>45</v>
      </c>
      <c r="N851" s="3" t="s">
        <v>45</v>
      </c>
      <c r="O851" s="3" t="s">
        <v>74</v>
      </c>
      <c r="P851" s="3" t="s">
        <v>45</v>
      </c>
      <c r="Q851" s="3" t="s">
        <v>45</v>
      </c>
      <c r="R851" s="3" t="s">
        <v>45</v>
      </c>
      <c r="S851" s="3" t="s">
        <v>45</v>
      </c>
      <c r="T851" s="3" t="s">
        <v>45</v>
      </c>
      <c r="U851" s="3" t="s">
        <v>45</v>
      </c>
      <c r="V851" s="4" t="s">
        <v>2044</v>
      </c>
      <c r="W851" s="4" t="s">
        <v>7927</v>
      </c>
      <c r="X851" s="3" t="s">
        <v>7928</v>
      </c>
      <c r="Y851" s="3" t="s">
        <v>45</v>
      </c>
      <c r="Z851" s="3" t="s">
        <v>74</v>
      </c>
      <c r="AA851" s="3" t="s">
        <v>45</v>
      </c>
      <c r="AB851" s="3" t="s">
        <v>45</v>
      </c>
      <c r="AC851" s="3" t="s">
        <v>45</v>
      </c>
      <c r="AD851" s="3" t="s">
        <v>45</v>
      </c>
      <c r="AE851" s="3" t="s">
        <v>45</v>
      </c>
      <c r="AF851" s="3" t="s">
        <v>45</v>
      </c>
      <c r="AG851" s="3" t="s">
        <v>7929</v>
      </c>
      <c r="AH851" s="3" t="s">
        <v>57</v>
      </c>
      <c r="AI851" s="5" t="s">
        <v>7930</v>
      </c>
      <c r="AJ851" s="3" t="s">
        <v>45</v>
      </c>
      <c r="AK851" s="3" t="s">
        <v>45</v>
      </c>
      <c r="AL851" s="3" t="s">
        <v>45</v>
      </c>
      <c r="AM851" s="3" t="s">
        <v>45</v>
      </c>
      <c r="AN851" s="3" t="s">
        <v>45</v>
      </c>
      <c r="AO851" s="3" t="s">
        <v>45</v>
      </c>
      <c r="AP851" s="3" t="s">
        <v>45</v>
      </c>
      <c r="AQ851" s="4" t="s">
        <v>212</v>
      </c>
      <c r="AR851" s="4" t="s">
        <v>212</v>
      </c>
    </row>
    <row r="852">
      <c r="A852" s="3" t="s">
        <v>7931</v>
      </c>
      <c r="B852" s="3" t="s">
        <v>7932</v>
      </c>
      <c r="C852" s="3" t="s">
        <v>7933</v>
      </c>
      <c r="D852" s="3" t="s">
        <v>7016</v>
      </c>
      <c r="E852" s="4" t="s">
        <v>7934</v>
      </c>
      <c r="F852" s="3" t="s">
        <v>7500</v>
      </c>
      <c r="G852" s="4" t="s">
        <v>7935</v>
      </c>
      <c r="H852" s="4" t="s">
        <v>7936</v>
      </c>
      <c r="I852" s="3" t="s">
        <v>85</v>
      </c>
      <c r="J852" s="3" t="s">
        <v>126</v>
      </c>
      <c r="K852" s="3" t="s">
        <v>45</v>
      </c>
      <c r="L852" s="3" t="s">
        <v>45</v>
      </c>
      <c r="M852" s="3" t="s">
        <v>45</v>
      </c>
      <c r="N852" s="3" t="s">
        <v>45</v>
      </c>
      <c r="O852" s="3" t="s">
        <v>74</v>
      </c>
      <c r="P852" s="3" t="s">
        <v>45</v>
      </c>
      <c r="Q852" s="3" t="s">
        <v>45</v>
      </c>
      <c r="R852" s="3" t="s">
        <v>45</v>
      </c>
      <c r="S852" s="3" t="s">
        <v>45</v>
      </c>
      <c r="T852" s="3" t="s">
        <v>45</v>
      </c>
      <c r="U852" s="3" t="s">
        <v>45</v>
      </c>
      <c r="V852" s="3" t="s">
        <v>45</v>
      </c>
      <c r="W852" s="3" t="s">
        <v>45</v>
      </c>
      <c r="X852" s="3" t="s">
        <v>45</v>
      </c>
      <c r="Y852" s="3" t="s">
        <v>45</v>
      </c>
      <c r="Z852" s="3" t="s">
        <v>74</v>
      </c>
      <c r="AA852" s="3" t="s">
        <v>45</v>
      </c>
      <c r="AB852" s="3" t="s">
        <v>45</v>
      </c>
      <c r="AC852" s="3" t="s">
        <v>45</v>
      </c>
      <c r="AD852" s="3" t="s">
        <v>45</v>
      </c>
      <c r="AE852" s="3" t="s">
        <v>45</v>
      </c>
      <c r="AF852" s="3" t="s">
        <v>45</v>
      </c>
      <c r="AG852" s="3" t="s">
        <v>45</v>
      </c>
      <c r="AH852" s="3" t="s">
        <v>57</v>
      </c>
      <c r="AI852" s="5" t="s">
        <v>7706</v>
      </c>
      <c r="AJ852" s="3" t="s">
        <v>45</v>
      </c>
      <c r="AK852" s="3" t="s">
        <v>45</v>
      </c>
      <c r="AL852" s="3" t="s">
        <v>45</v>
      </c>
      <c r="AM852" s="3" t="s">
        <v>45</v>
      </c>
      <c r="AN852" s="3" t="s">
        <v>45</v>
      </c>
      <c r="AO852" s="3" t="s">
        <v>45</v>
      </c>
      <c r="AP852" s="3" t="s">
        <v>45</v>
      </c>
      <c r="AQ852" s="4" t="s">
        <v>854</v>
      </c>
      <c r="AR852" s="4" t="s">
        <v>854</v>
      </c>
    </row>
    <row r="853">
      <c r="A853" s="3" t="s">
        <v>7937</v>
      </c>
      <c r="B853" s="3" t="s">
        <v>7938</v>
      </c>
      <c r="C853" s="3" t="s">
        <v>7939</v>
      </c>
      <c r="D853" s="3" t="s">
        <v>7016</v>
      </c>
      <c r="E853" s="4" t="s">
        <v>7940</v>
      </c>
      <c r="F853" s="3" t="s">
        <v>7941</v>
      </c>
      <c r="G853" s="4" t="s">
        <v>7942</v>
      </c>
      <c r="H853" s="4" t="s">
        <v>7943</v>
      </c>
      <c r="I853" s="3" t="s">
        <v>49</v>
      </c>
      <c r="J853" s="3" t="s">
        <v>126</v>
      </c>
      <c r="K853" s="3" t="s">
        <v>246</v>
      </c>
      <c r="L853" s="3" t="s">
        <v>7944</v>
      </c>
      <c r="M853" s="3" t="s">
        <v>45</v>
      </c>
      <c r="N853" s="3" t="s">
        <v>45</v>
      </c>
      <c r="O853" s="3" t="s">
        <v>74</v>
      </c>
      <c r="P853" s="3" t="s">
        <v>45</v>
      </c>
      <c r="Q853" s="3" t="s">
        <v>45</v>
      </c>
      <c r="R853" s="3" t="s">
        <v>45</v>
      </c>
      <c r="S853" s="3" t="s">
        <v>45</v>
      </c>
      <c r="T853" s="3" t="s">
        <v>45</v>
      </c>
      <c r="U853" s="3" t="s">
        <v>45</v>
      </c>
      <c r="V853" s="3" t="s">
        <v>45</v>
      </c>
      <c r="W853" s="4" t="s">
        <v>835</v>
      </c>
      <c r="X853" s="3" t="s">
        <v>45</v>
      </c>
      <c r="Y853" s="3" t="s">
        <v>45</v>
      </c>
      <c r="Z853" s="3" t="s">
        <v>74</v>
      </c>
      <c r="AA853" s="3" t="s">
        <v>45</v>
      </c>
      <c r="AB853" s="3" t="s">
        <v>45</v>
      </c>
      <c r="AC853" s="3" t="s">
        <v>45</v>
      </c>
      <c r="AD853" s="3" t="s">
        <v>45</v>
      </c>
      <c r="AE853" s="3" t="s">
        <v>45</v>
      </c>
      <c r="AF853" s="3" t="s">
        <v>45</v>
      </c>
      <c r="AG853" s="3" t="s">
        <v>45</v>
      </c>
      <c r="AH853" s="3" t="s">
        <v>57</v>
      </c>
      <c r="AI853" s="5" t="s">
        <v>7945</v>
      </c>
      <c r="AJ853" s="3" t="s">
        <v>45</v>
      </c>
      <c r="AK853" s="3" t="s">
        <v>45</v>
      </c>
      <c r="AL853" s="3" t="s">
        <v>45</v>
      </c>
      <c r="AM853" s="3" t="s">
        <v>45</v>
      </c>
      <c r="AN853" s="3" t="s">
        <v>45</v>
      </c>
      <c r="AO853" s="3" t="s">
        <v>45</v>
      </c>
      <c r="AP853" s="3" t="s">
        <v>45</v>
      </c>
      <c r="AQ853" s="4" t="s">
        <v>78</v>
      </c>
      <c r="AR853" s="4" t="s">
        <v>78</v>
      </c>
    </row>
    <row r="854">
      <c r="A854" s="3" t="s">
        <v>7946</v>
      </c>
      <c r="B854" s="3" t="s">
        <v>7947</v>
      </c>
      <c r="C854" s="3" t="s">
        <v>7948</v>
      </c>
      <c r="D854" s="3" t="s">
        <v>7016</v>
      </c>
      <c r="E854" s="4" t="s">
        <v>7949</v>
      </c>
      <c r="F854" s="3" t="s">
        <v>7033</v>
      </c>
      <c r="G854" s="4" t="s">
        <v>7950</v>
      </c>
      <c r="H854" s="4" t="s">
        <v>7951</v>
      </c>
      <c r="I854" s="3" t="s">
        <v>245</v>
      </c>
      <c r="J854" s="3" t="s">
        <v>126</v>
      </c>
      <c r="K854" s="3" t="s">
        <v>45</v>
      </c>
      <c r="L854" s="3" t="s">
        <v>45</v>
      </c>
      <c r="M854" s="3" t="s">
        <v>45</v>
      </c>
      <c r="N854" s="3" t="s">
        <v>45</v>
      </c>
      <c r="O854" s="3" t="s">
        <v>88</v>
      </c>
      <c r="P854" s="3" t="s">
        <v>45</v>
      </c>
      <c r="Q854" s="3" t="s">
        <v>45</v>
      </c>
      <c r="R854" s="3" t="s">
        <v>45</v>
      </c>
      <c r="S854" s="4" t="s">
        <v>835</v>
      </c>
      <c r="T854" s="3" t="s">
        <v>45</v>
      </c>
      <c r="U854" s="3" t="s">
        <v>45</v>
      </c>
      <c r="V854" s="4" t="s">
        <v>4570</v>
      </c>
      <c r="W854" s="4" t="s">
        <v>5521</v>
      </c>
      <c r="X854" s="3" t="s">
        <v>45</v>
      </c>
      <c r="Y854" s="3" t="s">
        <v>45</v>
      </c>
      <c r="Z854" s="3" t="s">
        <v>55</v>
      </c>
      <c r="AA854" s="3" t="s">
        <v>45</v>
      </c>
      <c r="AB854" s="3" t="s">
        <v>45</v>
      </c>
      <c r="AC854" s="3" t="s">
        <v>45</v>
      </c>
      <c r="AD854" s="3" t="s">
        <v>45</v>
      </c>
      <c r="AE854" s="3" t="s">
        <v>45</v>
      </c>
      <c r="AF854" s="3" t="s">
        <v>45</v>
      </c>
      <c r="AG854" s="3" t="s">
        <v>7952</v>
      </c>
      <c r="AH854" s="3" t="s">
        <v>7025</v>
      </c>
      <c r="AI854" s="5" t="s">
        <v>7953</v>
      </c>
      <c r="AJ854" s="5" t="s">
        <v>7954</v>
      </c>
      <c r="AK854" s="5" t="s">
        <v>7955</v>
      </c>
      <c r="AL854" s="5" t="s">
        <v>7040</v>
      </c>
      <c r="AM854" s="3" t="s">
        <v>45</v>
      </c>
      <c r="AN854" s="3" t="s">
        <v>45</v>
      </c>
      <c r="AO854" s="3" t="s">
        <v>45</v>
      </c>
      <c r="AP854" s="3" t="s">
        <v>45</v>
      </c>
      <c r="AQ854" s="4" t="s">
        <v>1059</v>
      </c>
      <c r="AR854" s="4" t="s">
        <v>7956</v>
      </c>
    </row>
    <row r="855">
      <c r="A855" s="3" t="s">
        <v>7957</v>
      </c>
      <c r="B855" s="3" t="s">
        <v>7958</v>
      </c>
      <c r="C855" s="3" t="s">
        <v>7959</v>
      </c>
      <c r="D855" s="3" t="s">
        <v>7016</v>
      </c>
      <c r="E855" s="4" t="s">
        <v>7960</v>
      </c>
      <c r="F855" s="3" t="s">
        <v>7018</v>
      </c>
      <c r="G855" s="4" t="s">
        <v>7961</v>
      </c>
      <c r="H855" s="4" t="s">
        <v>7962</v>
      </c>
      <c r="I855" s="3" t="s">
        <v>49</v>
      </c>
      <c r="J855" s="3" t="s">
        <v>126</v>
      </c>
      <c r="K855" s="3" t="s">
        <v>45</v>
      </c>
      <c r="L855" s="3" t="s">
        <v>1798</v>
      </c>
      <c r="M855" s="3" t="s">
        <v>45</v>
      </c>
      <c r="N855" s="3" t="s">
        <v>45</v>
      </c>
      <c r="O855" s="3" t="s">
        <v>74</v>
      </c>
      <c r="P855" s="3" t="s">
        <v>45</v>
      </c>
      <c r="Q855" s="3" t="s">
        <v>45</v>
      </c>
      <c r="R855" s="3" t="s">
        <v>45</v>
      </c>
      <c r="S855" s="3" t="s">
        <v>45</v>
      </c>
      <c r="T855" s="3" t="s">
        <v>45</v>
      </c>
      <c r="U855" s="3" t="s">
        <v>221</v>
      </c>
      <c r="V855" s="3" t="s">
        <v>45</v>
      </c>
      <c r="W855" s="4" t="s">
        <v>7963</v>
      </c>
      <c r="X855" s="3" t="s">
        <v>7964</v>
      </c>
      <c r="Y855" s="3" t="s">
        <v>45</v>
      </c>
      <c r="Z855" s="3" t="s">
        <v>55</v>
      </c>
      <c r="AA855" s="3" t="s">
        <v>45</v>
      </c>
      <c r="AB855" s="3" t="s">
        <v>45</v>
      </c>
      <c r="AC855" s="3" t="s">
        <v>45</v>
      </c>
      <c r="AD855" s="3" t="s">
        <v>45</v>
      </c>
      <c r="AE855" s="3" t="s">
        <v>45</v>
      </c>
      <c r="AF855" s="5" t="s">
        <v>7965</v>
      </c>
      <c r="AG855" s="3" t="s">
        <v>7966</v>
      </c>
      <c r="AH855" s="3" t="s">
        <v>840</v>
      </c>
      <c r="AI855" s="5" t="s">
        <v>7967</v>
      </c>
      <c r="AJ855" s="5" t="s">
        <v>7968</v>
      </c>
      <c r="AK855" s="5" t="s">
        <v>7969</v>
      </c>
      <c r="AL855" s="3" t="s">
        <v>45</v>
      </c>
      <c r="AM855" s="3" t="s">
        <v>45</v>
      </c>
      <c r="AN855" s="3" t="s">
        <v>45</v>
      </c>
      <c r="AO855" s="3" t="s">
        <v>45</v>
      </c>
      <c r="AP855" s="3" t="s">
        <v>45</v>
      </c>
      <c r="AQ855" s="4" t="s">
        <v>1728</v>
      </c>
      <c r="AR855" s="4" t="s">
        <v>237</v>
      </c>
    </row>
    <row r="856">
      <c r="A856" s="3" t="s">
        <v>7970</v>
      </c>
      <c r="B856" s="3" t="s">
        <v>7971</v>
      </c>
      <c r="C856" s="3" t="s">
        <v>7972</v>
      </c>
      <c r="D856" s="3" t="s">
        <v>7016</v>
      </c>
      <c r="E856" s="4" t="s">
        <v>7114</v>
      </c>
      <c r="F856" s="3" t="s">
        <v>7115</v>
      </c>
      <c r="G856" s="4" t="s">
        <v>7973</v>
      </c>
      <c r="H856" s="4" t="s">
        <v>7974</v>
      </c>
      <c r="I856" s="3" t="s">
        <v>49</v>
      </c>
      <c r="J856" s="3" t="s">
        <v>126</v>
      </c>
      <c r="K856" s="3" t="s">
        <v>743</v>
      </c>
      <c r="L856" s="3" t="s">
        <v>479</v>
      </c>
      <c r="M856" s="3" t="s">
        <v>45</v>
      </c>
      <c r="N856" s="4" t="s">
        <v>7975</v>
      </c>
      <c r="O856" s="3" t="s">
        <v>88</v>
      </c>
      <c r="P856" s="3" t="s">
        <v>2926</v>
      </c>
      <c r="Q856" s="3" t="s">
        <v>7976</v>
      </c>
      <c r="R856" s="3" t="s">
        <v>45</v>
      </c>
      <c r="S856" s="3" t="s">
        <v>45</v>
      </c>
      <c r="T856" s="3" t="s">
        <v>45</v>
      </c>
      <c r="U856" s="3" t="s">
        <v>45</v>
      </c>
      <c r="V856" s="3" t="s">
        <v>45</v>
      </c>
      <c r="W856" s="4" t="s">
        <v>7977</v>
      </c>
      <c r="X856" s="3" t="s">
        <v>3088</v>
      </c>
      <c r="Y856" s="3" t="s">
        <v>45</v>
      </c>
      <c r="Z856" s="3" t="s">
        <v>55</v>
      </c>
      <c r="AA856" s="3" t="s">
        <v>45</v>
      </c>
      <c r="AB856" s="3" t="s">
        <v>45</v>
      </c>
      <c r="AC856" s="3" t="s">
        <v>45</v>
      </c>
      <c r="AD856" s="5" t="s">
        <v>7978</v>
      </c>
      <c r="AE856" s="3" t="s">
        <v>45</v>
      </c>
      <c r="AF856" s="3" t="s">
        <v>45</v>
      </c>
      <c r="AG856" s="3" t="s">
        <v>7979</v>
      </c>
      <c r="AH856" s="3" t="s">
        <v>57</v>
      </c>
      <c r="AI856" s="5" t="s">
        <v>7540</v>
      </c>
      <c r="AJ856" s="5" t="s">
        <v>7980</v>
      </c>
      <c r="AK856" s="5" t="s">
        <v>7981</v>
      </c>
      <c r="AL856" s="5" t="s">
        <v>7982</v>
      </c>
      <c r="AM856" s="5" t="s">
        <v>7983</v>
      </c>
      <c r="AN856" s="5" t="s">
        <v>7984</v>
      </c>
      <c r="AO856" s="3" t="s">
        <v>45</v>
      </c>
      <c r="AP856" s="3" t="s">
        <v>45</v>
      </c>
      <c r="AQ856" s="4" t="s">
        <v>1134</v>
      </c>
      <c r="AR856" s="4" t="s">
        <v>7956</v>
      </c>
    </row>
    <row r="857">
      <c r="A857" s="3" t="s">
        <v>7985</v>
      </c>
      <c r="B857" s="3" t="s">
        <v>7986</v>
      </c>
      <c r="C857" s="3" t="s">
        <v>7987</v>
      </c>
      <c r="D857" s="3" t="s">
        <v>7016</v>
      </c>
      <c r="E857" s="4" t="s">
        <v>7988</v>
      </c>
      <c r="F857" s="3" t="s">
        <v>7989</v>
      </c>
      <c r="G857" s="4" t="s">
        <v>7990</v>
      </c>
      <c r="H857" s="4" t="s">
        <v>7991</v>
      </c>
      <c r="I857" s="3" t="s">
        <v>245</v>
      </c>
      <c r="J857" s="3" t="s">
        <v>126</v>
      </c>
      <c r="K857" s="3" t="s">
        <v>45</v>
      </c>
      <c r="L857" s="3" t="s">
        <v>7992</v>
      </c>
      <c r="M857" s="3" t="s">
        <v>45</v>
      </c>
      <c r="N857" s="3" t="s">
        <v>45</v>
      </c>
      <c r="O857" s="3" t="s">
        <v>74</v>
      </c>
      <c r="P857" s="3" t="s">
        <v>45</v>
      </c>
      <c r="Q857" s="3" t="s">
        <v>45</v>
      </c>
      <c r="R857" s="3" t="s">
        <v>45</v>
      </c>
      <c r="S857" s="3" t="s">
        <v>45</v>
      </c>
      <c r="T857" s="3" t="s">
        <v>45</v>
      </c>
      <c r="U857" s="3" t="s">
        <v>45</v>
      </c>
      <c r="V857" s="3" t="s">
        <v>45</v>
      </c>
      <c r="W857" s="4" t="s">
        <v>4277</v>
      </c>
      <c r="X857" s="3" t="s">
        <v>45</v>
      </c>
      <c r="Y857" s="3" t="s">
        <v>45</v>
      </c>
      <c r="Z857" s="3" t="s">
        <v>55</v>
      </c>
      <c r="AA857" s="5" t="s">
        <v>7993</v>
      </c>
      <c r="AB857" s="3" t="s">
        <v>45</v>
      </c>
      <c r="AC857" s="3" t="s">
        <v>45</v>
      </c>
      <c r="AD857" s="5" t="s">
        <v>7978</v>
      </c>
      <c r="AE857" s="3" t="s">
        <v>45</v>
      </c>
      <c r="AF857" s="3" t="s">
        <v>45</v>
      </c>
      <c r="AG857" s="3" t="s">
        <v>45</v>
      </c>
      <c r="AH857" s="3" t="s">
        <v>57</v>
      </c>
      <c r="AI857" s="5" t="s">
        <v>7994</v>
      </c>
      <c r="AJ857" s="5" t="s">
        <v>7995</v>
      </c>
      <c r="AK857" s="3" t="s">
        <v>45</v>
      </c>
      <c r="AL857" s="3" t="s">
        <v>45</v>
      </c>
      <c r="AM857" s="3" t="s">
        <v>45</v>
      </c>
      <c r="AN857" s="3" t="s">
        <v>45</v>
      </c>
      <c r="AO857" s="3" t="s">
        <v>45</v>
      </c>
      <c r="AP857" s="3" t="s">
        <v>45</v>
      </c>
      <c r="AQ857" s="3" t="s">
        <v>45</v>
      </c>
      <c r="AR857" s="4" t="s">
        <v>7956</v>
      </c>
    </row>
    <row r="858">
      <c r="A858" s="3" t="s">
        <v>7996</v>
      </c>
      <c r="B858" s="3" t="s">
        <v>7997</v>
      </c>
      <c r="C858" s="3" t="s">
        <v>7998</v>
      </c>
      <c r="D858" s="3" t="s">
        <v>7016</v>
      </c>
      <c r="E858" s="4" t="s">
        <v>7999</v>
      </c>
      <c r="F858" s="3" t="s">
        <v>7293</v>
      </c>
      <c r="G858" s="4" t="s">
        <v>8000</v>
      </c>
      <c r="H858" s="4" t="s">
        <v>8001</v>
      </c>
      <c r="I858" s="3" t="s">
        <v>85</v>
      </c>
      <c r="J858" s="3" t="s">
        <v>126</v>
      </c>
      <c r="K858" s="3" t="s">
        <v>45</v>
      </c>
      <c r="L858" s="3" t="s">
        <v>8002</v>
      </c>
      <c r="M858" s="3" t="s">
        <v>45</v>
      </c>
      <c r="N858" s="3" t="s">
        <v>45</v>
      </c>
      <c r="O858" s="3" t="s">
        <v>74</v>
      </c>
      <c r="P858" s="3" t="s">
        <v>45</v>
      </c>
      <c r="Q858" s="3" t="s">
        <v>45</v>
      </c>
      <c r="R858" s="3" t="s">
        <v>45</v>
      </c>
      <c r="S858" s="3" t="s">
        <v>45</v>
      </c>
      <c r="T858" s="3" t="s">
        <v>45</v>
      </c>
      <c r="U858" s="3" t="s">
        <v>45</v>
      </c>
      <c r="V858" s="3" t="s">
        <v>45</v>
      </c>
      <c r="W858" s="3" t="s">
        <v>45</v>
      </c>
      <c r="X858" s="3" t="s">
        <v>45</v>
      </c>
      <c r="Y858" s="3" t="s">
        <v>45</v>
      </c>
      <c r="Z858" s="3" t="s">
        <v>74</v>
      </c>
      <c r="AA858" s="3" t="s">
        <v>45</v>
      </c>
      <c r="AB858" s="3" t="s">
        <v>45</v>
      </c>
      <c r="AC858" s="3" t="s">
        <v>45</v>
      </c>
      <c r="AD858" s="3" t="s">
        <v>45</v>
      </c>
      <c r="AE858" s="3" t="s">
        <v>45</v>
      </c>
      <c r="AF858" s="3" t="s">
        <v>45</v>
      </c>
      <c r="AG858" s="3" t="s">
        <v>45</v>
      </c>
      <c r="AH858" s="3" t="s">
        <v>57</v>
      </c>
      <c r="AI858" s="5" t="s">
        <v>5513</v>
      </c>
      <c r="AJ858" s="3" t="s">
        <v>45</v>
      </c>
      <c r="AK858" s="3" t="s">
        <v>45</v>
      </c>
      <c r="AL858" s="3" t="s">
        <v>45</v>
      </c>
      <c r="AM858" s="3" t="s">
        <v>45</v>
      </c>
      <c r="AN858" s="3" t="s">
        <v>45</v>
      </c>
      <c r="AO858" s="3" t="s">
        <v>45</v>
      </c>
      <c r="AP858" s="3" t="s">
        <v>45</v>
      </c>
      <c r="AQ858" s="4" t="s">
        <v>1270</v>
      </c>
      <c r="AR858" s="4" t="s">
        <v>8003</v>
      </c>
    </row>
    <row r="859">
      <c r="A859" s="3" t="s">
        <v>8004</v>
      </c>
      <c r="B859" s="3" t="s">
        <v>8005</v>
      </c>
      <c r="C859" s="3" t="s">
        <v>8006</v>
      </c>
      <c r="D859" s="3" t="s">
        <v>7016</v>
      </c>
      <c r="E859" s="4" t="s">
        <v>8007</v>
      </c>
      <c r="F859" s="3" t="s">
        <v>7941</v>
      </c>
      <c r="G859" s="4" t="s">
        <v>8008</v>
      </c>
      <c r="H859" s="4" t="s">
        <v>8009</v>
      </c>
      <c r="I859" s="3" t="s">
        <v>49</v>
      </c>
      <c r="J859" s="3" t="s">
        <v>126</v>
      </c>
      <c r="K859" s="3" t="s">
        <v>743</v>
      </c>
      <c r="L859" s="3" t="s">
        <v>8010</v>
      </c>
      <c r="M859" s="3" t="s">
        <v>45</v>
      </c>
      <c r="N859" s="4" t="s">
        <v>3608</v>
      </c>
      <c r="O859" s="3" t="s">
        <v>88</v>
      </c>
      <c r="P859" s="3" t="s">
        <v>71</v>
      </c>
      <c r="Q859" s="3" t="s">
        <v>8011</v>
      </c>
      <c r="R859" s="3" t="s">
        <v>45</v>
      </c>
      <c r="S859" s="3" t="s">
        <v>45</v>
      </c>
      <c r="T859" s="3" t="s">
        <v>45</v>
      </c>
      <c r="U859" s="3" t="s">
        <v>45</v>
      </c>
      <c r="V859" s="3" t="s">
        <v>45</v>
      </c>
      <c r="W859" s="3" t="s">
        <v>45</v>
      </c>
      <c r="X859" s="3" t="s">
        <v>45</v>
      </c>
      <c r="Y859" s="3" t="s">
        <v>45</v>
      </c>
      <c r="Z859" s="3" t="s">
        <v>55</v>
      </c>
      <c r="AA859" s="3" t="s">
        <v>45</v>
      </c>
      <c r="AB859" s="3" t="s">
        <v>45</v>
      </c>
      <c r="AC859" s="3" t="s">
        <v>45</v>
      </c>
      <c r="AD859" s="3" t="s">
        <v>45</v>
      </c>
      <c r="AE859" s="3" t="s">
        <v>45</v>
      </c>
      <c r="AF859" s="3" t="s">
        <v>45</v>
      </c>
      <c r="AG859" s="3" t="s">
        <v>8012</v>
      </c>
      <c r="AH859" s="3" t="s">
        <v>57</v>
      </c>
      <c r="AI859" s="5" t="s">
        <v>8013</v>
      </c>
      <c r="AJ859" s="5" t="s">
        <v>8014</v>
      </c>
      <c r="AK859" s="3" t="s">
        <v>45</v>
      </c>
      <c r="AL859" s="3" t="s">
        <v>45</v>
      </c>
      <c r="AM859" s="3" t="s">
        <v>45</v>
      </c>
      <c r="AN859" s="3" t="s">
        <v>45</v>
      </c>
      <c r="AO859" s="3" t="s">
        <v>45</v>
      </c>
      <c r="AP859" s="3" t="s">
        <v>45</v>
      </c>
      <c r="AQ859" s="4" t="s">
        <v>8015</v>
      </c>
      <c r="AR859" s="4" t="s">
        <v>7956</v>
      </c>
    </row>
    <row r="860">
      <c r="A860" s="3" t="s">
        <v>8016</v>
      </c>
      <c r="B860" s="3" t="s">
        <v>8017</v>
      </c>
      <c r="C860" s="3" t="s">
        <v>8018</v>
      </c>
      <c r="D860" s="3" t="s">
        <v>7016</v>
      </c>
      <c r="E860" s="4" t="s">
        <v>8019</v>
      </c>
      <c r="F860" s="3" t="s">
        <v>7340</v>
      </c>
      <c r="G860" s="4" t="s">
        <v>8020</v>
      </c>
      <c r="H860" s="4" t="s">
        <v>8021</v>
      </c>
      <c r="I860" s="3" t="s">
        <v>85</v>
      </c>
      <c r="J860" s="3" t="s">
        <v>126</v>
      </c>
      <c r="K860" s="3" t="s">
        <v>45</v>
      </c>
      <c r="L860" s="3" t="s">
        <v>8022</v>
      </c>
      <c r="M860" s="3" t="s">
        <v>45</v>
      </c>
      <c r="N860" s="4" t="s">
        <v>233</v>
      </c>
      <c r="O860" s="3" t="s">
        <v>53</v>
      </c>
      <c r="P860" s="3" t="s">
        <v>45</v>
      </c>
      <c r="Q860" s="3" t="s">
        <v>45</v>
      </c>
      <c r="R860" s="3" t="s">
        <v>45</v>
      </c>
      <c r="S860" s="3" t="s">
        <v>45</v>
      </c>
      <c r="T860" s="3" t="s">
        <v>45</v>
      </c>
      <c r="U860" s="3" t="s">
        <v>45</v>
      </c>
      <c r="V860" s="4" t="s">
        <v>8023</v>
      </c>
      <c r="W860" s="3" t="s">
        <v>45</v>
      </c>
      <c r="X860" s="3" t="s">
        <v>45</v>
      </c>
      <c r="Y860" s="3" t="s">
        <v>45</v>
      </c>
      <c r="Z860" s="3" t="s">
        <v>74</v>
      </c>
      <c r="AA860" s="3" t="s">
        <v>45</v>
      </c>
      <c r="AB860" s="3" t="s">
        <v>45</v>
      </c>
      <c r="AC860" s="3" t="s">
        <v>45</v>
      </c>
      <c r="AD860" s="3" t="s">
        <v>45</v>
      </c>
      <c r="AE860" s="3" t="s">
        <v>45</v>
      </c>
      <c r="AF860" s="3" t="s">
        <v>45</v>
      </c>
      <c r="AG860" s="3" t="s">
        <v>45</v>
      </c>
      <c r="AH860" s="3" t="s">
        <v>7025</v>
      </c>
      <c r="AI860" s="3" t="s">
        <v>45</v>
      </c>
      <c r="AJ860" s="3" t="s">
        <v>45</v>
      </c>
      <c r="AK860" s="3" t="s">
        <v>45</v>
      </c>
      <c r="AL860" s="3" t="s">
        <v>45</v>
      </c>
      <c r="AM860" s="3" t="s">
        <v>45</v>
      </c>
      <c r="AN860" s="3" t="s">
        <v>45</v>
      </c>
      <c r="AO860" s="3" t="s">
        <v>45</v>
      </c>
      <c r="AP860" s="3" t="s">
        <v>45</v>
      </c>
      <c r="AQ860" s="4" t="s">
        <v>1059</v>
      </c>
      <c r="AR860" s="4" t="s">
        <v>1059</v>
      </c>
    </row>
    <row r="861">
      <c r="A861" s="3" t="s">
        <v>8024</v>
      </c>
      <c r="B861" s="3" t="s">
        <v>8025</v>
      </c>
      <c r="C861" s="3" t="s">
        <v>7251</v>
      </c>
      <c r="D861" s="3" t="s">
        <v>7016</v>
      </c>
      <c r="E861" s="4" t="s">
        <v>8026</v>
      </c>
      <c r="F861" s="3" t="s">
        <v>7251</v>
      </c>
      <c r="G861" s="4" t="s">
        <v>8027</v>
      </c>
      <c r="H861" s="4" t="s">
        <v>8028</v>
      </c>
      <c r="I861" s="3" t="s">
        <v>49</v>
      </c>
      <c r="J861" s="3" t="s">
        <v>50</v>
      </c>
      <c r="K861" s="3" t="s">
        <v>45</v>
      </c>
      <c r="L861" s="3" t="s">
        <v>45</v>
      </c>
      <c r="M861" s="3" t="s">
        <v>45</v>
      </c>
      <c r="N861" s="3" t="s">
        <v>45</v>
      </c>
      <c r="O861" s="3" t="s">
        <v>74</v>
      </c>
      <c r="P861" s="3" t="s">
        <v>45</v>
      </c>
      <c r="Q861" s="3" t="s">
        <v>45</v>
      </c>
      <c r="R861" s="3" t="s">
        <v>45</v>
      </c>
      <c r="S861" s="3" t="s">
        <v>45</v>
      </c>
      <c r="T861" s="3" t="s">
        <v>45</v>
      </c>
      <c r="U861" s="3" t="s">
        <v>45</v>
      </c>
      <c r="V861" s="4" t="s">
        <v>492</v>
      </c>
      <c r="W861" s="3" t="s">
        <v>45</v>
      </c>
      <c r="X861" s="3" t="s">
        <v>3222</v>
      </c>
      <c r="Y861" s="3" t="s">
        <v>45</v>
      </c>
      <c r="Z861" s="3" t="s">
        <v>74</v>
      </c>
      <c r="AA861" s="3" t="s">
        <v>45</v>
      </c>
      <c r="AB861" s="3" t="s">
        <v>45</v>
      </c>
      <c r="AC861" s="3" t="s">
        <v>45</v>
      </c>
      <c r="AD861" s="3" t="s">
        <v>45</v>
      </c>
      <c r="AE861" s="3" t="s">
        <v>45</v>
      </c>
      <c r="AF861" s="3" t="s">
        <v>45</v>
      </c>
      <c r="AG861" s="3" t="s">
        <v>45</v>
      </c>
      <c r="AH861" s="3" t="s">
        <v>57</v>
      </c>
      <c r="AI861" s="5" t="s">
        <v>7324</v>
      </c>
      <c r="AJ861" s="5" t="s">
        <v>7323</v>
      </c>
      <c r="AK861" s="5" t="s">
        <v>7325</v>
      </c>
      <c r="AL861" s="3" t="s">
        <v>45</v>
      </c>
      <c r="AM861" s="3" t="s">
        <v>45</v>
      </c>
      <c r="AN861" s="3" t="s">
        <v>45</v>
      </c>
      <c r="AO861" s="3" t="s">
        <v>45</v>
      </c>
      <c r="AP861" s="3" t="s">
        <v>45</v>
      </c>
      <c r="AQ861" s="4" t="s">
        <v>465</v>
      </c>
      <c r="AR861" s="4" t="s">
        <v>465</v>
      </c>
    </row>
    <row r="862">
      <c r="A862" s="3" t="s">
        <v>8029</v>
      </c>
      <c r="B862" s="3" t="s">
        <v>8030</v>
      </c>
      <c r="C862" s="3" t="s">
        <v>8031</v>
      </c>
      <c r="D862" s="3" t="s">
        <v>8032</v>
      </c>
      <c r="E862" s="4" t="s">
        <v>8033</v>
      </c>
      <c r="F862" s="3" t="s">
        <v>8034</v>
      </c>
      <c r="G862" s="4" t="s">
        <v>8035</v>
      </c>
      <c r="H862" s="4" t="s">
        <v>8036</v>
      </c>
      <c r="I862" s="3" t="s">
        <v>49</v>
      </c>
      <c r="J862" s="3" t="s">
        <v>126</v>
      </c>
      <c r="K862" s="3" t="s">
        <v>45</v>
      </c>
      <c r="L862" s="3" t="s">
        <v>45</v>
      </c>
      <c r="M862" s="3" t="s">
        <v>45</v>
      </c>
      <c r="N862" s="3" t="s">
        <v>45</v>
      </c>
      <c r="O862" s="3" t="s">
        <v>74</v>
      </c>
      <c r="P862" s="3" t="s">
        <v>45</v>
      </c>
      <c r="Q862" s="3" t="s">
        <v>45</v>
      </c>
      <c r="R862" s="3" t="s">
        <v>45</v>
      </c>
      <c r="S862" s="3" t="s">
        <v>45</v>
      </c>
      <c r="T862" s="3" t="s">
        <v>45</v>
      </c>
      <c r="U862" s="3" t="s">
        <v>45</v>
      </c>
      <c r="V862" s="3" t="s">
        <v>45</v>
      </c>
      <c r="W862" s="4" t="s">
        <v>8037</v>
      </c>
      <c r="X862" s="3" t="s">
        <v>45</v>
      </c>
      <c r="Y862" s="3" t="s">
        <v>45</v>
      </c>
      <c r="Z862" s="3" t="s">
        <v>74</v>
      </c>
      <c r="AA862" s="3" t="s">
        <v>45</v>
      </c>
      <c r="AB862" s="3" t="s">
        <v>45</v>
      </c>
      <c r="AC862" s="3" t="s">
        <v>45</v>
      </c>
      <c r="AD862" s="3" t="s">
        <v>45</v>
      </c>
      <c r="AE862" s="3" t="s">
        <v>45</v>
      </c>
      <c r="AF862" s="3" t="s">
        <v>45</v>
      </c>
      <c r="AG862" s="3" t="s">
        <v>45</v>
      </c>
      <c r="AH862" s="3" t="s">
        <v>57</v>
      </c>
      <c r="AI862" s="5" t="s">
        <v>8038</v>
      </c>
      <c r="AJ862" s="3" t="s">
        <v>45</v>
      </c>
      <c r="AK862" s="3" t="s">
        <v>45</v>
      </c>
      <c r="AL862" s="3" t="s">
        <v>45</v>
      </c>
      <c r="AM862" s="3" t="s">
        <v>45</v>
      </c>
      <c r="AN862" s="3" t="s">
        <v>45</v>
      </c>
      <c r="AO862" s="3" t="s">
        <v>45</v>
      </c>
      <c r="AP862" s="3" t="s">
        <v>45</v>
      </c>
      <c r="AQ862" s="4" t="s">
        <v>3280</v>
      </c>
      <c r="AR862" s="4" t="s">
        <v>3280</v>
      </c>
    </row>
    <row r="863">
      <c r="A863" s="3" t="s">
        <v>1077</v>
      </c>
      <c r="B863" s="3" t="s">
        <v>8039</v>
      </c>
      <c r="C863" s="3" t="s">
        <v>8040</v>
      </c>
      <c r="D863" s="3" t="s">
        <v>8032</v>
      </c>
      <c r="E863" s="4" t="s">
        <v>8041</v>
      </c>
      <c r="F863" s="3" t="s">
        <v>8042</v>
      </c>
      <c r="G863" s="4" t="s">
        <v>8043</v>
      </c>
      <c r="H863" s="4" t="s">
        <v>8044</v>
      </c>
      <c r="I863" s="3" t="s">
        <v>49</v>
      </c>
      <c r="J863" s="3" t="s">
        <v>50</v>
      </c>
      <c r="K863" s="3" t="s">
        <v>45</v>
      </c>
      <c r="L863" s="3" t="s">
        <v>45</v>
      </c>
      <c r="M863" s="3" t="s">
        <v>45</v>
      </c>
      <c r="N863" s="4" t="s">
        <v>156</v>
      </c>
      <c r="O863" s="3" t="s">
        <v>88</v>
      </c>
      <c r="P863" s="3" t="s">
        <v>45</v>
      </c>
      <c r="Q863" s="3" t="s">
        <v>45</v>
      </c>
      <c r="R863" s="3" t="s">
        <v>45</v>
      </c>
      <c r="S863" s="3" t="s">
        <v>45</v>
      </c>
      <c r="T863" s="3" t="s">
        <v>45</v>
      </c>
      <c r="U863" s="3" t="s">
        <v>45</v>
      </c>
      <c r="V863" s="4" t="s">
        <v>2342</v>
      </c>
      <c r="W863" s="3" t="s">
        <v>45</v>
      </c>
      <c r="X863" s="3" t="s">
        <v>7106</v>
      </c>
      <c r="Y863" s="3" t="s">
        <v>45</v>
      </c>
      <c r="Z863" s="3" t="s">
        <v>74</v>
      </c>
      <c r="AA863" s="3" t="s">
        <v>45</v>
      </c>
      <c r="AB863" s="3" t="s">
        <v>45</v>
      </c>
      <c r="AC863" s="3" t="s">
        <v>45</v>
      </c>
      <c r="AD863" s="3" t="s">
        <v>45</v>
      </c>
      <c r="AE863" s="3" t="s">
        <v>45</v>
      </c>
      <c r="AF863" s="3" t="s">
        <v>45</v>
      </c>
      <c r="AG863" s="3" t="s">
        <v>45</v>
      </c>
      <c r="AH863" s="3" t="s">
        <v>57</v>
      </c>
      <c r="AI863" s="5" t="s">
        <v>1084</v>
      </c>
      <c r="AJ863" s="3" t="s">
        <v>45</v>
      </c>
      <c r="AK863" s="3" t="s">
        <v>45</v>
      </c>
      <c r="AL863" s="3" t="s">
        <v>45</v>
      </c>
      <c r="AM863" s="3" t="s">
        <v>45</v>
      </c>
      <c r="AN863" s="3" t="s">
        <v>45</v>
      </c>
      <c r="AO863" s="3" t="s">
        <v>45</v>
      </c>
      <c r="AP863" s="3" t="s">
        <v>45</v>
      </c>
      <c r="AQ863" s="4" t="s">
        <v>1085</v>
      </c>
      <c r="AR863" s="4" t="s">
        <v>1085</v>
      </c>
    </row>
    <row r="864">
      <c r="A864" s="3" t="s">
        <v>205</v>
      </c>
      <c r="B864" s="3" t="s">
        <v>8045</v>
      </c>
      <c r="C864" s="3" t="s">
        <v>8046</v>
      </c>
      <c r="D864" s="3" t="s">
        <v>8032</v>
      </c>
      <c r="E864" s="4" t="s">
        <v>8047</v>
      </c>
      <c r="F864" s="3" t="s">
        <v>8048</v>
      </c>
      <c r="G864" s="4" t="s">
        <v>8049</v>
      </c>
      <c r="H864" s="4" t="s">
        <v>8050</v>
      </c>
      <c r="I864" s="3" t="s">
        <v>218</v>
      </c>
      <c r="J864" s="3" t="s">
        <v>50</v>
      </c>
      <c r="K864" s="3" t="s">
        <v>45</v>
      </c>
      <c r="L864" s="3" t="s">
        <v>210</v>
      </c>
      <c r="M864" s="3" t="s">
        <v>45</v>
      </c>
      <c r="N864" s="4" t="s">
        <v>90</v>
      </c>
      <c r="O864" s="3" t="s">
        <v>88</v>
      </c>
      <c r="P864" s="3" t="s">
        <v>45</v>
      </c>
      <c r="Q864" s="3" t="s">
        <v>45</v>
      </c>
      <c r="R864" s="3" t="s">
        <v>45</v>
      </c>
      <c r="S864" s="3" t="s">
        <v>45</v>
      </c>
      <c r="T864" s="3" t="s">
        <v>45</v>
      </c>
      <c r="U864" s="3" t="s">
        <v>45</v>
      </c>
      <c r="V864" s="4" t="s">
        <v>222</v>
      </c>
      <c r="W864" s="4" t="s">
        <v>3389</v>
      </c>
      <c r="X864" s="3" t="s">
        <v>223</v>
      </c>
      <c r="Y864" s="3" t="s">
        <v>45</v>
      </c>
      <c r="Z864" s="3" t="s">
        <v>74</v>
      </c>
      <c r="AA864" s="3" t="s">
        <v>45</v>
      </c>
      <c r="AB864" s="3" t="s">
        <v>45</v>
      </c>
      <c r="AC864" s="3" t="s">
        <v>45</v>
      </c>
      <c r="AD864" s="3" t="s">
        <v>45</v>
      </c>
      <c r="AE864" s="3" t="s">
        <v>45</v>
      </c>
      <c r="AF864" s="3" t="s">
        <v>45</v>
      </c>
      <c r="AG864" s="3" t="s">
        <v>8051</v>
      </c>
      <c r="AH864" s="3" t="s">
        <v>57</v>
      </c>
      <c r="AI864" s="5" t="s">
        <v>8052</v>
      </c>
      <c r="AJ864" s="5" t="s">
        <v>362</v>
      </c>
      <c r="AK864" s="5" t="s">
        <v>8053</v>
      </c>
      <c r="AL864" s="3" t="s">
        <v>45</v>
      </c>
      <c r="AM864" s="3" t="s">
        <v>45</v>
      </c>
      <c r="AN864" s="3" t="s">
        <v>45</v>
      </c>
      <c r="AO864" s="3" t="s">
        <v>45</v>
      </c>
      <c r="AP864" s="3" t="s">
        <v>45</v>
      </c>
      <c r="AQ864" s="4" t="s">
        <v>5820</v>
      </c>
      <c r="AR864" s="4" t="s">
        <v>5820</v>
      </c>
    </row>
    <row r="865">
      <c r="A865" s="3" t="s">
        <v>163</v>
      </c>
      <c r="B865" s="3" t="s">
        <v>8054</v>
      </c>
      <c r="C865" s="3" t="s">
        <v>8055</v>
      </c>
      <c r="D865" s="3" t="s">
        <v>8032</v>
      </c>
      <c r="E865" s="4" t="s">
        <v>8056</v>
      </c>
      <c r="F865" s="3" t="s">
        <v>8055</v>
      </c>
      <c r="G865" s="4" t="s">
        <v>8057</v>
      </c>
      <c r="H865" s="4" t="s">
        <v>8058</v>
      </c>
      <c r="I865" s="3" t="s">
        <v>85</v>
      </c>
      <c r="J865" s="3" t="s">
        <v>126</v>
      </c>
      <c r="K865" s="3" t="s">
        <v>45</v>
      </c>
      <c r="L865" s="3" t="s">
        <v>45</v>
      </c>
      <c r="M865" s="3" t="s">
        <v>45</v>
      </c>
      <c r="N865" s="3" t="s">
        <v>45</v>
      </c>
      <c r="O865" s="3" t="s">
        <v>74</v>
      </c>
      <c r="P865" s="3" t="s">
        <v>45</v>
      </c>
      <c r="Q865" s="3" t="s">
        <v>45</v>
      </c>
      <c r="R865" s="3" t="s">
        <v>45</v>
      </c>
      <c r="S865" s="3" t="s">
        <v>45</v>
      </c>
      <c r="T865" s="3" t="s">
        <v>45</v>
      </c>
      <c r="U865" s="3" t="s">
        <v>45</v>
      </c>
      <c r="V865" s="3" t="s">
        <v>45</v>
      </c>
      <c r="W865" s="3" t="s">
        <v>45</v>
      </c>
      <c r="X865" s="3" t="s">
        <v>45</v>
      </c>
      <c r="Y865" s="3" t="s">
        <v>45</v>
      </c>
      <c r="Z865" s="3" t="s">
        <v>55</v>
      </c>
      <c r="AA865" s="3" t="s">
        <v>45</v>
      </c>
      <c r="AB865" s="3" t="s">
        <v>56</v>
      </c>
      <c r="AC865" s="3" t="s">
        <v>45</v>
      </c>
      <c r="AD865" s="5" t="s">
        <v>7367</v>
      </c>
      <c r="AE865" s="3" t="s">
        <v>45</v>
      </c>
      <c r="AF865" s="3" t="s">
        <v>45</v>
      </c>
      <c r="AG865" s="3" t="s">
        <v>45</v>
      </c>
      <c r="AH865" s="3" t="s">
        <v>57</v>
      </c>
      <c r="AI865" s="3" t="s">
        <v>45</v>
      </c>
      <c r="AJ865" s="3" t="s">
        <v>45</v>
      </c>
      <c r="AK865" s="3" t="s">
        <v>45</v>
      </c>
      <c r="AL865" s="3" t="s">
        <v>45</v>
      </c>
      <c r="AM865" s="3" t="s">
        <v>45</v>
      </c>
      <c r="AN865" s="3" t="s">
        <v>45</v>
      </c>
      <c r="AO865" s="3" t="s">
        <v>45</v>
      </c>
      <c r="AP865" s="3" t="s">
        <v>45</v>
      </c>
      <c r="AQ865" s="4" t="s">
        <v>168</v>
      </c>
      <c r="AR865" s="4" t="s">
        <v>168</v>
      </c>
    </row>
    <row r="866">
      <c r="A866" s="3" t="s">
        <v>8059</v>
      </c>
      <c r="B866" s="3" t="s">
        <v>8060</v>
      </c>
      <c r="C866" s="3" t="s">
        <v>3299</v>
      </c>
      <c r="D866" s="3" t="s">
        <v>8032</v>
      </c>
      <c r="E866" s="4" t="s">
        <v>8061</v>
      </c>
      <c r="F866" s="3" t="s">
        <v>3299</v>
      </c>
      <c r="G866" s="4" t="s">
        <v>8062</v>
      </c>
      <c r="H866" s="4" t="s">
        <v>8063</v>
      </c>
      <c r="I866" s="3" t="s">
        <v>436</v>
      </c>
      <c r="J866" s="3" t="s">
        <v>126</v>
      </c>
      <c r="K866" s="3" t="s">
        <v>45</v>
      </c>
      <c r="L866" s="3" t="s">
        <v>8064</v>
      </c>
      <c r="M866" s="3" t="s">
        <v>45</v>
      </c>
      <c r="N866" s="3" t="s">
        <v>45</v>
      </c>
      <c r="O866" s="3" t="s">
        <v>88</v>
      </c>
      <c r="P866" s="3" t="s">
        <v>220</v>
      </c>
      <c r="Q866" s="3" t="s">
        <v>45</v>
      </c>
      <c r="R866" s="3" t="s">
        <v>45</v>
      </c>
      <c r="S866" s="4" t="s">
        <v>275</v>
      </c>
      <c r="T866" s="3" t="s">
        <v>45</v>
      </c>
      <c r="U866" s="3" t="s">
        <v>221</v>
      </c>
      <c r="V866" s="4" t="s">
        <v>420</v>
      </c>
      <c r="W866" s="4" t="s">
        <v>3595</v>
      </c>
      <c r="X866" s="3" t="s">
        <v>1796</v>
      </c>
      <c r="Y866" s="4" t="s">
        <v>317</v>
      </c>
      <c r="Z866" s="3" t="s">
        <v>55</v>
      </c>
      <c r="AA866" s="3" t="s">
        <v>45</v>
      </c>
      <c r="AB866" s="3" t="s">
        <v>109</v>
      </c>
      <c r="AC866" s="3" t="s">
        <v>8065</v>
      </c>
      <c r="AD866" s="5" t="s">
        <v>8066</v>
      </c>
      <c r="AE866" s="3" t="s">
        <v>45</v>
      </c>
      <c r="AF866" s="3" t="s">
        <v>45</v>
      </c>
      <c r="AG866" s="3" t="s">
        <v>8067</v>
      </c>
      <c r="AH866" s="3" t="s">
        <v>840</v>
      </c>
      <c r="AI866" s="5" t="s">
        <v>8068</v>
      </c>
      <c r="AJ866" s="5" t="s">
        <v>8069</v>
      </c>
      <c r="AK866" s="5" t="s">
        <v>8070</v>
      </c>
      <c r="AL866" s="5" t="s">
        <v>8071</v>
      </c>
      <c r="AM866" s="5" t="s">
        <v>8072</v>
      </c>
      <c r="AN866" s="3" t="s">
        <v>45</v>
      </c>
      <c r="AO866" s="3" t="s">
        <v>45</v>
      </c>
      <c r="AP866" s="3" t="s">
        <v>45</v>
      </c>
      <c r="AQ866" s="4" t="s">
        <v>7183</v>
      </c>
      <c r="AR866" s="4" t="s">
        <v>1050</v>
      </c>
    </row>
    <row r="867">
      <c r="A867" s="3" t="s">
        <v>8073</v>
      </c>
      <c r="B867" s="3" t="s">
        <v>8074</v>
      </c>
      <c r="C867" s="3" t="s">
        <v>8075</v>
      </c>
      <c r="D867" s="3" t="s">
        <v>8032</v>
      </c>
      <c r="E867" s="4" t="s">
        <v>8076</v>
      </c>
      <c r="F867" s="3" t="s">
        <v>8077</v>
      </c>
      <c r="G867" s="4" t="s">
        <v>8078</v>
      </c>
      <c r="H867" s="4" t="s">
        <v>8079</v>
      </c>
      <c r="I867" s="3" t="s">
        <v>436</v>
      </c>
      <c r="J867" s="3" t="s">
        <v>50</v>
      </c>
      <c r="K867" s="3" t="s">
        <v>743</v>
      </c>
      <c r="L867" s="3" t="s">
        <v>8080</v>
      </c>
      <c r="M867" s="3" t="s">
        <v>45</v>
      </c>
      <c r="N867" s="3" t="s">
        <v>8081</v>
      </c>
      <c r="O867" s="3" t="s">
        <v>88</v>
      </c>
      <c r="P867" s="3" t="s">
        <v>45</v>
      </c>
      <c r="Q867" s="3" t="s">
        <v>45</v>
      </c>
      <c r="R867" s="3" t="s">
        <v>45</v>
      </c>
      <c r="S867" s="3" t="s">
        <v>45</v>
      </c>
      <c r="T867" s="3" t="s">
        <v>45</v>
      </c>
      <c r="U867" s="3" t="s">
        <v>221</v>
      </c>
      <c r="V867" s="3" t="s">
        <v>45</v>
      </c>
      <c r="W867" s="3" t="s">
        <v>45</v>
      </c>
      <c r="X867" s="3" t="s">
        <v>5016</v>
      </c>
      <c r="Y867" s="4" t="s">
        <v>317</v>
      </c>
      <c r="Z867" s="3" t="s">
        <v>55</v>
      </c>
      <c r="AA867" s="3" t="s">
        <v>45</v>
      </c>
      <c r="AB867" s="3" t="s">
        <v>45</v>
      </c>
      <c r="AC867" s="3" t="s">
        <v>45</v>
      </c>
      <c r="AD867" s="5" t="s">
        <v>8082</v>
      </c>
      <c r="AE867" s="3" t="s">
        <v>45</v>
      </c>
      <c r="AF867" s="5" t="s">
        <v>8083</v>
      </c>
      <c r="AG867" s="3" t="s">
        <v>45</v>
      </c>
      <c r="AH867" s="3" t="s">
        <v>57</v>
      </c>
      <c r="AI867" s="5" t="s">
        <v>8084</v>
      </c>
      <c r="AJ867" s="5" t="s">
        <v>8085</v>
      </c>
      <c r="AK867" s="5" t="s">
        <v>8086</v>
      </c>
      <c r="AL867" s="5" t="s">
        <v>8087</v>
      </c>
      <c r="AM867" s="5" t="s">
        <v>8088</v>
      </c>
      <c r="AN867" s="3" t="s">
        <v>45</v>
      </c>
      <c r="AO867" s="3" t="s">
        <v>45</v>
      </c>
      <c r="AP867" s="3" t="s">
        <v>45</v>
      </c>
      <c r="AQ867" s="4" t="s">
        <v>7028</v>
      </c>
      <c r="AR867" s="4" t="s">
        <v>1050</v>
      </c>
    </row>
    <row r="868">
      <c r="A868" s="3" t="s">
        <v>8089</v>
      </c>
      <c r="B868" s="3" t="s">
        <v>8090</v>
      </c>
      <c r="C868" s="3" t="s">
        <v>8091</v>
      </c>
      <c r="D868" s="3" t="s">
        <v>8032</v>
      </c>
      <c r="E868" s="4" t="s">
        <v>8092</v>
      </c>
      <c r="F868" s="3" t="s">
        <v>8093</v>
      </c>
      <c r="G868" s="4" t="s">
        <v>8094</v>
      </c>
      <c r="H868" s="4" t="s">
        <v>8095</v>
      </c>
      <c r="I868" s="3" t="s">
        <v>49</v>
      </c>
      <c r="J868" s="3" t="s">
        <v>50</v>
      </c>
      <c r="K868" s="3" t="s">
        <v>45</v>
      </c>
      <c r="L868" s="3" t="s">
        <v>45</v>
      </c>
      <c r="M868" s="3" t="s">
        <v>45</v>
      </c>
      <c r="N868" s="4" t="s">
        <v>1553</v>
      </c>
      <c r="O868" s="3" t="s">
        <v>390</v>
      </c>
      <c r="P868" s="3" t="s">
        <v>45</v>
      </c>
      <c r="Q868" s="3" t="s">
        <v>45</v>
      </c>
      <c r="R868" s="3" t="s">
        <v>45</v>
      </c>
      <c r="S868" s="3" t="s">
        <v>45</v>
      </c>
      <c r="T868" s="3" t="s">
        <v>45</v>
      </c>
      <c r="U868" s="3" t="s">
        <v>45</v>
      </c>
      <c r="V868" s="4" t="s">
        <v>8096</v>
      </c>
      <c r="W868" s="4" t="s">
        <v>871</v>
      </c>
      <c r="X868" s="3" t="s">
        <v>45</v>
      </c>
      <c r="Y868" s="3" t="s">
        <v>45</v>
      </c>
      <c r="Z868" s="3" t="s">
        <v>74</v>
      </c>
      <c r="AA868" s="3" t="s">
        <v>45</v>
      </c>
      <c r="AB868" s="3" t="s">
        <v>45</v>
      </c>
      <c r="AC868" s="3" t="s">
        <v>45</v>
      </c>
      <c r="AD868" s="3" t="s">
        <v>45</v>
      </c>
      <c r="AE868" s="3" t="s">
        <v>45</v>
      </c>
      <c r="AF868" s="3" t="s">
        <v>45</v>
      </c>
      <c r="AG868" s="3" t="s">
        <v>8051</v>
      </c>
      <c r="AH868" s="3" t="s">
        <v>57</v>
      </c>
      <c r="AI868" s="5" t="s">
        <v>8097</v>
      </c>
      <c r="AJ868" s="3" t="s">
        <v>45</v>
      </c>
      <c r="AK868" s="3" t="s">
        <v>45</v>
      </c>
      <c r="AL868" s="3" t="s">
        <v>45</v>
      </c>
      <c r="AM868" s="3" t="s">
        <v>45</v>
      </c>
      <c r="AN868" s="3" t="s">
        <v>45</v>
      </c>
      <c r="AO868" s="3" t="s">
        <v>45</v>
      </c>
      <c r="AP868" s="3" t="s">
        <v>45</v>
      </c>
      <c r="AQ868" s="4" t="s">
        <v>168</v>
      </c>
      <c r="AR868" s="4" t="s">
        <v>168</v>
      </c>
    </row>
    <row r="869">
      <c r="A869" s="3" t="s">
        <v>8098</v>
      </c>
      <c r="B869" s="3" t="s">
        <v>8099</v>
      </c>
      <c r="C869" s="3" t="s">
        <v>8100</v>
      </c>
      <c r="D869" s="3" t="s">
        <v>8032</v>
      </c>
      <c r="E869" s="4" t="s">
        <v>8101</v>
      </c>
      <c r="F869" s="3" t="s">
        <v>7251</v>
      </c>
      <c r="G869" s="4" t="s">
        <v>8102</v>
      </c>
      <c r="H869" s="4" t="s">
        <v>8103</v>
      </c>
      <c r="I869" s="3" t="s">
        <v>85</v>
      </c>
      <c r="J869" s="3" t="s">
        <v>126</v>
      </c>
      <c r="K869" s="3" t="s">
        <v>45</v>
      </c>
      <c r="L869" s="3" t="s">
        <v>45</v>
      </c>
      <c r="M869" s="3" t="s">
        <v>45</v>
      </c>
      <c r="N869" s="3" t="s">
        <v>45</v>
      </c>
      <c r="O869" s="3" t="s">
        <v>74</v>
      </c>
      <c r="P869" s="3" t="s">
        <v>45</v>
      </c>
      <c r="Q869" s="3" t="s">
        <v>45</v>
      </c>
      <c r="R869" s="3" t="s">
        <v>45</v>
      </c>
      <c r="S869" s="3" t="s">
        <v>45</v>
      </c>
      <c r="T869" s="3" t="s">
        <v>45</v>
      </c>
      <c r="U869" s="3" t="s">
        <v>45</v>
      </c>
      <c r="V869" s="3" t="s">
        <v>45</v>
      </c>
      <c r="W869" s="3" t="s">
        <v>45</v>
      </c>
      <c r="X869" s="3" t="s">
        <v>305</v>
      </c>
      <c r="Y869" s="3" t="s">
        <v>45</v>
      </c>
      <c r="Z869" s="3" t="s">
        <v>74</v>
      </c>
      <c r="AA869" s="3" t="s">
        <v>45</v>
      </c>
      <c r="AB869" s="3" t="s">
        <v>45</v>
      </c>
      <c r="AC869" s="3" t="s">
        <v>45</v>
      </c>
      <c r="AD869" s="3" t="s">
        <v>45</v>
      </c>
      <c r="AE869" s="3" t="s">
        <v>45</v>
      </c>
      <c r="AF869" s="3" t="s">
        <v>45</v>
      </c>
      <c r="AG869" s="3" t="s">
        <v>45</v>
      </c>
      <c r="AH869" s="3" t="s">
        <v>57</v>
      </c>
      <c r="AI869" s="3" t="s">
        <v>45</v>
      </c>
      <c r="AJ869" s="3" t="s">
        <v>45</v>
      </c>
      <c r="AK869" s="3" t="s">
        <v>45</v>
      </c>
      <c r="AL869" s="3" t="s">
        <v>45</v>
      </c>
      <c r="AM869" s="3" t="s">
        <v>45</v>
      </c>
      <c r="AN869" s="3" t="s">
        <v>45</v>
      </c>
      <c r="AO869" s="3" t="s">
        <v>45</v>
      </c>
      <c r="AP869" s="3" t="s">
        <v>45</v>
      </c>
      <c r="AQ869" s="4" t="s">
        <v>2787</v>
      </c>
      <c r="AR869" s="4" t="s">
        <v>2787</v>
      </c>
    </row>
    <row r="870">
      <c r="A870" s="3" t="s">
        <v>8104</v>
      </c>
      <c r="B870" s="3" t="s">
        <v>8105</v>
      </c>
      <c r="C870" s="3" t="s">
        <v>6548</v>
      </c>
      <c r="D870" s="3" t="s">
        <v>8032</v>
      </c>
      <c r="E870" s="4" t="s">
        <v>8106</v>
      </c>
      <c r="F870" s="3" t="s">
        <v>6548</v>
      </c>
      <c r="G870" s="4" t="s">
        <v>8107</v>
      </c>
      <c r="H870" s="4" t="s">
        <v>8108</v>
      </c>
      <c r="I870" s="3" t="s">
        <v>49</v>
      </c>
      <c r="J870" s="3" t="s">
        <v>126</v>
      </c>
      <c r="K870" s="3" t="s">
        <v>45</v>
      </c>
      <c r="L870" s="3" t="s">
        <v>8109</v>
      </c>
      <c r="M870" s="3" t="s">
        <v>45</v>
      </c>
      <c r="N870" s="4" t="s">
        <v>981</v>
      </c>
      <c r="O870" s="3" t="s">
        <v>390</v>
      </c>
      <c r="P870" s="3" t="s">
        <v>45</v>
      </c>
      <c r="Q870" s="3" t="s">
        <v>45</v>
      </c>
      <c r="R870" s="3" t="s">
        <v>45</v>
      </c>
      <c r="S870" s="3" t="s">
        <v>45</v>
      </c>
      <c r="T870" s="3" t="s">
        <v>45</v>
      </c>
      <c r="U870" s="3" t="s">
        <v>45</v>
      </c>
      <c r="V870" s="3" t="s">
        <v>45</v>
      </c>
      <c r="W870" s="3" t="s">
        <v>45</v>
      </c>
      <c r="X870" s="3" t="s">
        <v>8110</v>
      </c>
      <c r="Y870" s="4" t="s">
        <v>317</v>
      </c>
      <c r="Z870" s="3" t="s">
        <v>55</v>
      </c>
      <c r="AA870" s="3" t="s">
        <v>45</v>
      </c>
      <c r="AB870" s="3" t="s">
        <v>45</v>
      </c>
      <c r="AC870" s="3" t="s">
        <v>45</v>
      </c>
      <c r="AD870" s="3" t="s">
        <v>45</v>
      </c>
      <c r="AE870" s="3" t="s">
        <v>45</v>
      </c>
      <c r="AF870" s="5" t="s">
        <v>8111</v>
      </c>
      <c r="AG870" s="3" t="s">
        <v>45</v>
      </c>
      <c r="AH870" s="3" t="s">
        <v>840</v>
      </c>
      <c r="AI870" s="5" t="s">
        <v>8112</v>
      </c>
      <c r="AJ870" s="5" t="s">
        <v>8113</v>
      </c>
      <c r="AK870" s="5" t="s">
        <v>8114</v>
      </c>
      <c r="AL870" s="3" t="s">
        <v>45</v>
      </c>
      <c r="AM870" s="3" t="s">
        <v>45</v>
      </c>
      <c r="AN870" s="3" t="s">
        <v>45</v>
      </c>
      <c r="AO870" s="3" t="s">
        <v>45</v>
      </c>
      <c r="AP870" s="3" t="s">
        <v>45</v>
      </c>
      <c r="AQ870" s="4" t="s">
        <v>5413</v>
      </c>
      <c r="AR870" s="4" t="s">
        <v>5413</v>
      </c>
    </row>
    <row r="871">
      <c r="A871" s="3" t="s">
        <v>8115</v>
      </c>
      <c r="B871" s="3" t="s">
        <v>8116</v>
      </c>
      <c r="C871" s="3" t="s">
        <v>8117</v>
      </c>
      <c r="D871" s="3" t="s">
        <v>8032</v>
      </c>
      <c r="E871" s="4" t="s">
        <v>8118</v>
      </c>
      <c r="F871" s="3" t="s">
        <v>8119</v>
      </c>
      <c r="G871" s="4" t="s">
        <v>8120</v>
      </c>
      <c r="H871" s="4" t="s">
        <v>8121</v>
      </c>
      <c r="I871" s="3" t="s">
        <v>49</v>
      </c>
      <c r="J871" s="3" t="s">
        <v>126</v>
      </c>
      <c r="K871" s="3" t="s">
        <v>743</v>
      </c>
      <c r="L871" s="3" t="s">
        <v>8122</v>
      </c>
      <c r="M871" s="3" t="s">
        <v>45</v>
      </c>
      <c r="N871" s="4" t="s">
        <v>3136</v>
      </c>
      <c r="O871" s="3" t="s">
        <v>70</v>
      </c>
      <c r="P871" s="3" t="s">
        <v>220</v>
      </c>
      <c r="Q871" s="3" t="s">
        <v>45</v>
      </c>
      <c r="R871" s="3" t="s">
        <v>45</v>
      </c>
      <c r="S871" s="4" t="s">
        <v>922</v>
      </c>
      <c r="T871" s="3" t="s">
        <v>45</v>
      </c>
      <c r="U871" s="3" t="s">
        <v>45</v>
      </c>
      <c r="V871" s="3" t="s">
        <v>45</v>
      </c>
      <c r="W871" s="4" t="s">
        <v>8123</v>
      </c>
      <c r="X871" s="3" t="s">
        <v>192</v>
      </c>
      <c r="Y871" s="3" t="s">
        <v>45</v>
      </c>
      <c r="Z871" s="3" t="s">
        <v>55</v>
      </c>
      <c r="AA871" s="3" t="s">
        <v>8124</v>
      </c>
      <c r="AB871" s="3" t="s">
        <v>45</v>
      </c>
      <c r="AC871" s="3" t="s">
        <v>45</v>
      </c>
      <c r="AD871" s="3" t="s">
        <v>45</v>
      </c>
      <c r="AE871" s="3" t="s">
        <v>45</v>
      </c>
      <c r="AF871" s="5" t="s">
        <v>8125</v>
      </c>
      <c r="AG871" s="3" t="s">
        <v>8126</v>
      </c>
      <c r="AH871" s="3" t="s">
        <v>57</v>
      </c>
      <c r="AI871" s="5" t="s">
        <v>8127</v>
      </c>
      <c r="AJ871" s="5" t="s">
        <v>8128</v>
      </c>
      <c r="AK871" s="5" t="s">
        <v>8129</v>
      </c>
      <c r="AL871" s="5" t="s">
        <v>8130</v>
      </c>
      <c r="AM871" s="3" t="s">
        <v>45</v>
      </c>
      <c r="AN871" s="3" t="s">
        <v>45</v>
      </c>
      <c r="AO871" s="3" t="s">
        <v>45</v>
      </c>
      <c r="AP871" s="3" t="s">
        <v>45</v>
      </c>
      <c r="AQ871" s="4" t="s">
        <v>4332</v>
      </c>
      <c r="AR871" s="4" t="s">
        <v>8131</v>
      </c>
    </row>
    <row r="872">
      <c r="A872" s="3" t="s">
        <v>5441</v>
      </c>
      <c r="B872" s="3" t="s">
        <v>8132</v>
      </c>
      <c r="C872" s="3" t="s">
        <v>8133</v>
      </c>
      <c r="D872" s="3" t="s">
        <v>8134</v>
      </c>
      <c r="E872" s="4" t="s">
        <v>8135</v>
      </c>
      <c r="F872" s="3" t="s">
        <v>8136</v>
      </c>
      <c r="G872" s="4" t="s">
        <v>8137</v>
      </c>
      <c r="H872" s="4" t="s">
        <v>8138</v>
      </c>
      <c r="I872" s="3" t="s">
        <v>49</v>
      </c>
      <c r="J872" s="3" t="s">
        <v>50</v>
      </c>
      <c r="K872" s="3" t="s">
        <v>45</v>
      </c>
      <c r="L872" s="3" t="s">
        <v>45</v>
      </c>
      <c r="M872" s="3" t="s">
        <v>45</v>
      </c>
      <c r="N872" s="4" t="s">
        <v>233</v>
      </c>
      <c r="O872" s="3" t="s">
        <v>53</v>
      </c>
      <c r="P872" s="3" t="s">
        <v>45</v>
      </c>
      <c r="Q872" s="3" t="s">
        <v>45</v>
      </c>
      <c r="R872" s="3" t="s">
        <v>45</v>
      </c>
      <c r="S872" s="3" t="s">
        <v>45</v>
      </c>
      <c r="T872" s="3" t="s">
        <v>45</v>
      </c>
      <c r="U872" s="3" t="s">
        <v>45</v>
      </c>
      <c r="V872" s="4" t="s">
        <v>2738</v>
      </c>
      <c r="W872" s="4" t="s">
        <v>52</v>
      </c>
      <c r="X872" s="3" t="s">
        <v>45</v>
      </c>
      <c r="Y872" s="3" t="s">
        <v>45</v>
      </c>
      <c r="Z872" s="3" t="s">
        <v>74</v>
      </c>
      <c r="AA872" s="3" t="s">
        <v>45</v>
      </c>
      <c r="AB872" s="3" t="s">
        <v>45</v>
      </c>
      <c r="AC872" s="3" t="s">
        <v>45</v>
      </c>
      <c r="AD872" s="3" t="s">
        <v>45</v>
      </c>
      <c r="AE872" s="3" t="s">
        <v>45</v>
      </c>
      <c r="AF872" s="3" t="s">
        <v>45</v>
      </c>
      <c r="AG872" s="3" t="s">
        <v>45</v>
      </c>
      <c r="AH872" s="3" t="s">
        <v>57</v>
      </c>
      <c r="AI872" s="5" t="s">
        <v>8139</v>
      </c>
      <c r="AJ872" s="3" t="s">
        <v>45</v>
      </c>
      <c r="AK872" s="3" t="s">
        <v>45</v>
      </c>
      <c r="AL872" s="3" t="s">
        <v>45</v>
      </c>
      <c r="AM872" s="3" t="s">
        <v>45</v>
      </c>
      <c r="AN872" s="3" t="s">
        <v>45</v>
      </c>
      <c r="AO872" s="3" t="s">
        <v>45</v>
      </c>
      <c r="AP872" s="3" t="s">
        <v>45</v>
      </c>
      <c r="AQ872" s="4" t="s">
        <v>1113</v>
      </c>
      <c r="AR872" s="4" t="s">
        <v>1113</v>
      </c>
    </row>
    <row r="873">
      <c r="A873" s="3" t="s">
        <v>8140</v>
      </c>
      <c r="B873" s="3" t="s">
        <v>8141</v>
      </c>
      <c r="C873" s="3" t="s">
        <v>8142</v>
      </c>
      <c r="D873" s="3" t="s">
        <v>8134</v>
      </c>
      <c r="E873" s="4" t="s">
        <v>8143</v>
      </c>
      <c r="F873" s="3" t="s">
        <v>8144</v>
      </c>
      <c r="G873" s="4" t="s">
        <v>8145</v>
      </c>
      <c r="H873" s="4" t="s">
        <v>8146</v>
      </c>
      <c r="I873" s="3" t="s">
        <v>49</v>
      </c>
      <c r="J873" s="3" t="s">
        <v>126</v>
      </c>
      <c r="K873" s="3" t="s">
        <v>45</v>
      </c>
      <c r="L873" s="3" t="s">
        <v>45</v>
      </c>
      <c r="M873" s="3" t="s">
        <v>45</v>
      </c>
      <c r="N873" s="4" t="s">
        <v>102</v>
      </c>
      <c r="O873" s="3" t="s">
        <v>88</v>
      </c>
      <c r="P873" s="3" t="s">
        <v>45</v>
      </c>
      <c r="Q873" s="3" t="s">
        <v>45</v>
      </c>
      <c r="R873" s="3" t="s">
        <v>45</v>
      </c>
      <c r="S873" s="3" t="s">
        <v>45</v>
      </c>
      <c r="T873" s="3" t="s">
        <v>45</v>
      </c>
      <c r="U873" s="3" t="s">
        <v>45</v>
      </c>
      <c r="V873" s="3" t="s">
        <v>45</v>
      </c>
      <c r="W873" s="4" t="s">
        <v>668</v>
      </c>
      <c r="X873" s="3" t="s">
        <v>45</v>
      </c>
      <c r="Y873" s="3" t="s">
        <v>45</v>
      </c>
      <c r="Z873" s="3" t="s">
        <v>74</v>
      </c>
      <c r="AA873" s="3" t="s">
        <v>45</v>
      </c>
      <c r="AB873" s="3" t="s">
        <v>45</v>
      </c>
      <c r="AC873" s="3" t="s">
        <v>45</v>
      </c>
      <c r="AD873" s="3" t="s">
        <v>45</v>
      </c>
      <c r="AE873" s="3" t="s">
        <v>45</v>
      </c>
      <c r="AF873" s="3" t="s">
        <v>45</v>
      </c>
      <c r="AG873" s="3" t="s">
        <v>45</v>
      </c>
      <c r="AH873" s="3" t="s">
        <v>57</v>
      </c>
      <c r="AI873" s="5" t="s">
        <v>8147</v>
      </c>
      <c r="AJ873" s="5" t="s">
        <v>8148</v>
      </c>
      <c r="AK873" s="5" t="s">
        <v>8149</v>
      </c>
      <c r="AL873" s="3" t="s">
        <v>45</v>
      </c>
      <c r="AM873" s="3" t="s">
        <v>45</v>
      </c>
      <c r="AN873" s="3" t="s">
        <v>45</v>
      </c>
      <c r="AO873" s="3" t="s">
        <v>45</v>
      </c>
      <c r="AP873" s="3" t="s">
        <v>45</v>
      </c>
      <c r="AQ873" s="4" t="s">
        <v>651</v>
      </c>
      <c r="AR873" s="4" t="s">
        <v>2870</v>
      </c>
    </row>
    <row r="874">
      <c r="A874" s="3" t="s">
        <v>8150</v>
      </c>
      <c r="B874" s="3" t="s">
        <v>8151</v>
      </c>
      <c r="C874" s="3" t="s">
        <v>8152</v>
      </c>
      <c r="D874" s="3" t="s">
        <v>8134</v>
      </c>
      <c r="E874" s="4" t="s">
        <v>8153</v>
      </c>
      <c r="F874" s="3" t="s">
        <v>8154</v>
      </c>
      <c r="G874" s="4" t="s">
        <v>8155</v>
      </c>
      <c r="H874" s="4" t="s">
        <v>8156</v>
      </c>
      <c r="I874" s="3" t="s">
        <v>245</v>
      </c>
      <c r="J874" s="3" t="s">
        <v>50</v>
      </c>
      <c r="K874" s="3" t="s">
        <v>45</v>
      </c>
      <c r="L874" s="3" t="s">
        <v>2740</v>
      </c>
      <c r="M874" s="3" t="s">
        <v>45</v>
      </c>
      <c r="N874" s="4" t="s">
        <v>8157</v>
      </c>
      <c r="O874" s="3" t="s">
        <v>88</v>
      </c>
      <c r="P874" s="3" t="s">
        <v>45</v>
      </c>
      <c r="Q874" s="3" t="s">
        <v>45</v>
      </c>
      <c r="R874" s="3" t="s">
        <v>45</v>
      </c>
      <c r="S874" s="4" t="s">
        <v>233</v>
      </c>
      <c r="T874" s="3" t="s">
        <v>45</v>
      </c>
      <c r="U874" s="3" t="s">
        <v>45</v>
      </c>
      <c r="V874" s="4" t="s">
        <v>2120</v>
      </c>
      <c r="W874" s="4" t="s">
        <v>1962</v>
      </c>
      <c r="X874" s="3" t="s">
        <v>8158</v>
      </c>
      <c r="Y874" s="3" t="s">
        <v>45</v>
      </c>
      <c r="Z874" s="3" t="s">
        <v>55</v>
      </c>
      <c r="AA874" s="3" t="s">
        <v>8159</v>
      </c>
      <c r="AB874" s="3" t="s">
        <v>45</v>
      </c>
      <c r="AC874" s="3" t="s">
        <v>45</v>
      </c>
      <c r="AD874" s="5" t="s">
        <v>8160</v>
      </c>
      <c r="AE874" s="3" t="s">
        <v>45</v>
      </c>
      <c r="AF874" s="3" t="s">
        <v>45</v>
      </c>
      <c r="AG874" s="3" t="s">
        <v>8161</v>
      </c>
      <c r="AH874" s="3" t="s">
        <v>57</v>
      </c>
      <c r="AI874" s="5" t="s">
        <v>8162</v>
      </c>
      <c r="AJ874" s="5" t="s">
        <v>8163</v>
      </c>
      <c r="AK874" s="3" t="s">
        <v>45</v>
      </c>
      <c r="AL874" s="3" t="s">
        <v>45</v>
      </c>
      <c r="AM874" s="3" t="s">
        <v>45</v>
      </c>
      <c r="AN874" s="3" t="s">
        <v>45</v>
      </c>
      <c r="AO874" s="3" t="s">
        <v>45</v>
      </c>
      <c r="AP874" s="3" t="s">
        <v>45</v>
      </c>
      <c r="AQ874" s="4" t="s">
        <v>1789</v>
      </c>
      <c r="AR874" s="4" t="s">
        <v>8164</v>
      </c>
    </row>
    <row r="875">
      <c r="A875" s="3" t="s">
        <v>163</v>
      </c>
      <c r="B875" s="3" t="s">
        <v>8165</v>
      </c>
      <c r="C875" s="3" t="s">
        <v>8166</v>
      </c>
      <c r="D875" s="3" t="s">
        <v>8167</v>
      </c>
      <c r="E875" s="4" t="s">
        <v>8168</v>
      </c>
      <c r="F875" s="3" t="s">
        <v>3246</v>
      </c>
      <c r="G875" s="4" t="s">
        <v>8169</v>
      </c>
      <c r="H875" s="4" t="s">
        <v>8170</v>
      </c>
      <c r="I875" s="3" t="s">
        <v>85</v>
      </c>
      <c r="J875" s="3" t="s">
        <v>126</v>
      </c>
      <c r="K875" s="3" t="s">
        <v>45</v>
      </c>
      <c r="L875" s="3" t="s">
        <v>45</v>
      </c>
      <c r="M875" s="3" t="s">
        <v>45</v>
      </c>
      <c r="N875" s="3" t="s">
        <v>45</v>
      </c>
      <c r="O875" s="3" t="s">
        <v>74</v>
      </c>
      <c r="P875" s="3" t="s">
        <v>45</v>
      </c>
      <c r="Q875" s="3" t="s">
        <v>45</v>
      </c>
      <c r="R875" s="3" t="s">
        <v>45</v>
      </c>
      <c r="S875" s="3" t="s">
        <v>45</v>
      </c>
      <c r="T875" s="3" t="s">
        <v>45</v>
      </c>
      <c r="U875" s="3" t="s">
        <v>45</v>
      </c>
      <c r="V875" s="3" t="s">
        <v>45</v>
      </c>
      <c r="W875" s="3" t="s">
        <v>45</v>
      </c>
      <c r="X875" s="3" t="s">
        <v>45</v>
      </c>
      <c r="Y875" s="3" t="s">
        <v>45</v>
      </c>
      <c r="Z875" s="3" t="s">
        <v>74</v>
      </c>
      <c r="AA875" s="3" t="s">
        <v>45</v>
      </c>
      <c r="AB875" s="3" t="s">
        <v>45</v>
      </c>
      <c r="AC875" s="3" t="s">
        <v>45</v>
      </c>
      <c r="AD875" s="3" t="s">
        <v>45</v>
      </c>
      <c r="AE875" s="3" t="s">
        <v>45</v>
      </c>
      <c r="AF875" s="3" t="s">
        <v>45</v>
      </c>
      <c r="AG875" s="3" t="s">
        <v>45</v>
      </c>
      <c r="AH875" s="3" t="s">
        <v>57</v>
      </c>
      <c r="AI875" s="3" t="s">
        <v>45</v>
      </c>
      <c r="AJ875" s="3" t="s">
        <v>45</v>
      </c>
      <c r="AK875" s="3" t="s">
        <v>45</v>
      </c>
      <c r="AL875" s="3" t="s">
        <v>45</v>
      </c>
      <c r="AM875" s="3" t="s">
        <v>45</v>
      </c>
      <c r="AN875" s="3" t="s">
        <v>45</v>
      </c>
      <c r="AO875" s="3" t="s">
        <v>45</v>
      </c>
      <c r="AP875" s="3" t="s">
        <v>45</v>
      </c>
      <c r="AQ875" s="4" t="s">
        <v>168</v>
      </c>
      <c r="AR875" s="4" t="s">
        <v>168</v>
      </c>
    </row>
    <row r="876">
      <c r="A876" s="3" t="s">
        <v>8171</v>
      </c>
      <c r="B876" s="3" t="s">
        <v>8172</v>
      </c>
      <c r="C876" s="3" t="s">
        <v>8166</v>
      </c>
      <c r="D876" s="3" t="s">
        <v>8167</v>
      </c>
      <c r="E876" s="4" t="s">
        <v>8173</v>
      </c>
      <c r="F876" s="3" t="s">
        <v>3246</v>
      </c>
      <c r="G876" s="4" t="s">
        <v>8174</v>
      </c>
      <c r="H876" s="4" t="s">
        <v>8175</v>
      </c>
      <c r="I876" s="3" t="s">
        <v>218</v>
      </c>
      <c r="J876" s="3" t="s">
        <v>126</v>
      </c>
      <c r="K876" s="3" t="s">
        <v>45</v>
      </c>
      <c r="L876" s="3" t="s">
        <v>45</v>
      </c>
      <c r="M876" s="3" t="s">
        <v>45</v>
      </c>
      <c r="N876" s="3" t="s">
        <v>45</v>
      </c>
      <c r="O876" s="3" t="s">
        <v>53</v>
      </c>
      <c r="P876" s="3" t="s">
        <v>45</v>
      </c>
      <c r="Q876" s="3" t="s">
        <v>45</v>
      </c>
      <c r="R876" s="3" t="s">
        <v>45</v>
      </c>
      <c r="S876" s="3" t="s">
        <v>45</v>
      </c>
      <c r="T876" s="3" t="s">
        <v>45</v>
      </c>
      <c r="U876" s="3" t="s">
        <v>45</v>
      </c>
      <c r="V876" s="3" t="s">
        <v>45</v>
      </c>
      <c r="W876" s="3" t="s">
        <v>45</v>
      </c>
      <c r="X876" s="3" t="s">
        <v>45</v>
      </c>
      <c r="Y876" s="3" t="s">
        <v>45</v>
      </c>
      <c r="Z876" s="3" t="s">
        <v>55</v>
      </c>
      <c r="AA876" s="3" t="s">
        <v>45</v>
      </c>
      <c r="AB876" s="3" t="s">
        <v>45</v>
      </c>
      <c r="AC876" s="3" t="s">
        <v>45</v>
      </c>
      <c r="AD876" s="3" t="s">
        <v>45</v>
      </c>
      <c r="AE876" s="3" t="s">
        <v>45</v>
      </c>
      <c r="AF876" s="5" t="s">
        <v>8176</v>
      </c>
      <c r="AG876" s="3" t="s">
        <v>8177</v>
      </c>
      <c r="AH876" s="3" t="s">
        <v>57</v>
      </c>
      <c r="AI876" s="5" t="s">
        <v>8178</v>
      </c>
      <c r="AJ876" s="5" t="s">
        <v>8179</v>
      </c>
      <c r="AK876" s="5" t="s">
        <v>8180</v>
      </c>
      <c r="AL876" s="3" t="s">
        <v>45</v>
      </c>
      <c r="AM876" s="3" t="s">
        <v>45</v>
      </c>
      <c r="AN876" s="3" t="s">
        <v>45</v>
      </c>
      <c r="AO876" s="3" t="s">
        <v>45</v>
      </c>
      <c r="AP876" s="3" t="s">
        <v>45</v>
      </c>
      <c r="AQ876" s="4" t="s">
        <v>671</v>
      </c>
      <c r="AR876" s="4" t="s">
        <v>671</v>
      </c>
    </row>
    <row r="877">
      <c r="A877" s="3" t="s">
        <v>1077</v>
      </c>
      <c r="B877" s="3" t="s">
        <v>45</v>
      </c>
      <c r="C877" s="3" t="s">
        <v>268</v>
      </c>
      <c r="D877" s="3" t="s">
        <v>8167</v>
      </c>
      <c r="E877" s="4" t="s">
        <v>8181</v>
      </c>
      <c r="F877" s="3" t="s">
        <v>214</v>
      </c>
      <c r="G877" s="4" t="s">
        <v>8182</v>
      </c>
      <c r="H877" s="4" t="s">
        <v>8183</v>
      </c>
      <c r="I877" s="3" t="s">
        <v>49</v>
      </c>
      <c r="J877" s="3" t="s">
        <v>99</v>
      </c>
      <c r="K877" s="3" t="s">
        <v>45</v>
      </c>
      <c r="L877" s="3" t="s">
        <v>45</v>
      </c>
      <c r="M877" s="3" t="s">
        <v>45</v>
      </c>
      <c r="N877" s="4" t="s">
        <v>2501</v>
      </c>
      <c r="O877" s="3" t="s">
        <v>88</v>
      </c>
      <c r="P877" s="3" t="s">
        <v>45</v>
      </c>
      <c r="Q877" s="3" t="s">
        <v>45</v>
      </c>
      <c r="R877" s="3" t="s">
        <v>45</v>
      </c>
      <c r="S877" s="3" t="s">
        <v>45</v>
      </c>
      <c r="T877" s="3" t="s">
        <v>45</v>
      </c>
      <c r="U877" s="3" t="s">
        <v>45</v>
      </c>
      <c r="V877" s="3" t="s">
        <v>45</v>
      </c>
      <c r="W877" s="4" t="s">
        <v>8184</v>
      </c>
      <c r="X877" s="3" t="s">
        <v>45</v>
      </c>
      <c r="Y877" s="3" t="s">
        <v>45</v>
      </c>
      <c r="Z877" s="3" t="s">
        <v>74</v>
      </c>
      <c r="AA877" s="3" t="s">
        <v>45</v>
      </c>
      <c r="AB877" s="3" t="s">
        <v>45</v>
      </c>
      <c r="AC877" s="3" t="s">
        <v>45</v>
      </c>
      <c r="AD877" s="3" t="s">
        <v>45</v>
      </c>
      <c r="AE877" s="3" t="s">
        <v>45</v>
      </c>
      <c r="AF877" s="3" t="s">
        <v>45</v>
      </c>
      <c r="AG877" s="3" t="s">
        <v>45</v>
      </c>
      <c r="AH877" s="3" t="s">
        <v>57</v>
      </c>
      <c r="AI877" s="5" t="s">
        <v>1084</v>
      </c>
      <c r="AJ877" s="3" t="s">
        <v>45</v>
      </c>
      <c r="AK877" s="3" t="s">
        <v>45</v>
      </c>
      <c r="AL877" s="3" t="s">
        <v>45</v>
      </c>
      <c r="AM877" s="3" t="s">
        <v>45</v>
      </c>
      <c r="AN877" s="3" t="s">
        <v>45</v>
      </c>
      <c r="AO877" s="3" t="s">
        <v>45</v>
      </c>
      <c r="AP877" s="3" t="s">
        <v>45</v>
      </c>
      <c r="AQ877" s="4" t="s">
        <v>1085</v>
      </c>
      <c r="AR877" s="4" t="s">
        <v>1085</v>
      </c>
    </row>
    <row r="878">
      <c r="A878" s="3" t="s">
        <v>8185</v>
      </c>
      <c r="B878" s="3" t="s">
        <v>8186</v>
      </c>
      <c r="C878" s="3" t="s">
        <v>268</v>
      </c>
      <c r="D878" s="3" t="s">
        <v>8167</v>
      </c>
      <c r="E878" s="4" t="s">
        <v>8181</v>
      </c>
      <c r="F878" s="3" t="s">
        <v>214</v>
      </c>
      <c r="G878" s="4" t="s">
        <v>8187</v>
      </c>
      <c r="H878" s="4" t="s">
        <v>8188</v>
      </c>
      <c r="I878" s="3" t="s">
        <v>85</v>
      </c>
      <c r="J878" s="3" t="s">
        <v>126</v>
      </c>
      <c r="K878" s="3" t="s">
        <v>45</v>
      </c>
      <c r="L878" s="3" t="s">
        <v>176</v>
      </c>
      <c r="M878" s="3" t="s">
        <v>45</v>
      </c>
      <c r="N878" s="3" t="s">
        <v>45</v>
      </c>
      <c r="O878" s="3" t="s">
        <v>74</v>
      </c>
      <c r="P878" s="3" t="s">
        <v>45</v>
      </c>
      <c r="Q878" s="3" t="s">
        <v>45</v>
      </c>
      <c r="R878" s="3" t="s">
        <v>45</v>
      </c>
      <c r="S878" s="3" t="s">
        <v>45</v>
      </c>
      <c r="T878" s="3" t="s">
        <v>45</v>
      </c>
      <c r="U878" s="3" t="s">
        <v>45</v>
      </c>
      <c r="V878" s="3" t="s">
        <v>45</v>
      </c>
      <c r="W878" s="3" t="s">
        <v>45</v>
      </c>
      <c r="X878" s="3" t="s">
        <v>179</v>
      </c>
      <c r="Y878" s="3" t="s">
        <v>45</v>
      </c>
      <c r="Z878" s="3" t="s">
        <v>74</v>
      </c>
      <c r="AA878" s="3" t="s">
        <v>45</v>
      </c>
      <c r="AB878" s="3" t="s">
        <v>45</v>
      </c>
      <c r="AC878" s="3" t="s">
        <v>45</v>
      </c>
      <c r="AD878" s="3" t="s">
        <v>45</v>
      </c>
      <c r="AE878" s="3" t="s">
        <v>45</v>
      </c>
      <c r="AF878" s="3" t="s">
        <v>45</v>
      </c>
      <c r="AG878" s="3" t="s">
        <v>45</v>
      </c>
      <c r="AH878" s="3" t="s">
        <v>57</v>
      </c>
      <c r="AI878" s="3" t="s">
        <v>45</v>
      </c>
      <c r="AJ878" s="3" t="s">
        <v>45</v>
      </c>
      <c r="AK878" s="3" t="s">
        <v>45</v>
      </c>
      <c r="AL878" s="3" t="s">
        <v>45</v>
      </c>
      <c r="AM878" s="3" t="s">
        <v>45</v>
      </c>
      <c r="AN878" s="3" t="s">
        <v>45</v>
      </c>
      <c r="AO878" s="3" t="s">
        <v>45</v>
      </c>
      <c r="AP878" s="3" t="s">
        <v>45</v>
      </c>
      <c r="AQ878" s="4" t="s">
        <v>295</v>
      </c>
      <c r="AR878" s="4" t="s">
        <v>295</v>
      </c>
    </row>
    <row r="879">
      <c r="A879" s="3" t="s">
        <v>8189</v>
      </c>
      <c r="B879" s="3" t="s">
        <v>8190</v>
      </c>
      <c r="C879" s="3" t="s">
        <v>8191</v>
      </c>
      <c r="D879" s="3" t="s">
        <v>8167</v>
      </c>
      <c r="E879" s="4" t="s">
        <v>8192</v>
      </c>
      <c r="F879" s="3" t="s">
        <v>8193</v>
      </c>
      <c r="G879" s="4" t="s">
        <v>8194</v>
      </c>
      <c r="H879" s="4" t="s">
        <v>8195</v>
      </c>
      <c r="I879" s="3" t="s">
        <v>85</v>
      </c>
      <c r="J879" s="3" t="s">
        <v>126</v>
      </c>
      <c r="K879" s="3" t="s">
        <v>45</v>
      </c>
      <c r="L879" s="3" t="s">
        <v>210</v>
      </c>
      <c r="M879" s="3" t="s">
        <v>45</v>
      </c>
      <c r="N879" s="3" t="s">
        <v>45</v>
      </c>
      <c r="O879" s="3" t="s">
        <v>74</v>
      </c>
      <c r="P879" s="3" t="s">
        <v>45</v>
      </c>
      <c r="Q879" s="3" t="s">
        <v>45</v>
      </c>
      <c r="R879" s="3" t="s">
        <v>45</v>
      </c>
      <c r="S879" s="3" t="s">
        <v>45</v>
      </c>
      <c r="T879" s="3" t="s">
        <v>45</v>
      </c>
      <c r="U879" s="3" t="s">
        <v>45</v>
      </c>
      <c r="V879" s="4" t="s">
        <v>2081</v>
      </c>
      <c r="W879" s="3" t="s">
        <v>45</v>
      </c>
      <c r="X879" s="3" t="s">
        <v>45</v>
      </c>
      <c r="Y879" s="3" t="s">
        <v>45</v>
      </c>
      <c r="Z879" s="3" t="s">
        <v>74</v>
      </c>
      <c r="AA879" s="3" t="s">
        <v>45</v>
      </c>
      <c r="AB879" s="3" t="s">
        <v>45</v>
      </c>
      <c r="AC879" s="3" t="s">
        <v>45</v>
      </c>
      <c r="AD879" s="3" t="s">
        <v>45</v>
      </c>
      <c r="AE879" s="3" t="s">
        <v>45</v>
      </c>
      <c r="AF879" s="3" t="s">
        <v>45</v>
      </c>
      <c r="AG879" s="3" t="s">
        <v>45</v>
      </c>
      <c r="AH879" s="3" t="s">
        <v>57</v>
      </c>
      <c r="AI879" s="5" t="s">
        <v>8196</v>
      </c>
      <c r="AJ879" s="3" t="s">
        <v>45</v>
      </c>
      <c r="AK879" s="3" t="s">
        <v>45</v>
      </c>
      <c r="AL879" s="3" t="s">
        <v>45</v>
      </c>
      <c r="AM879" s="3" t="s">
        <v>45</v>
      </c>
      <c r="AN879" s="3" t="s">
        <v>45</v>
      </c>
      <c r="AO879" s="3" t="s">
        <v>45</v>
      </c>
      <c r="AP879" s="3" t="s">
        <v>45</v>
      </c>
      <c r="AQ879" s="4" t="s">
        <v>212</v>
      </c>
      <c r="AR879" s="4" t="s">
        <v>212</v>
      </c>
    </row>
    <row r="880">
      <c r="A880" s="3" t="s">
        <v>8197</v>
      </c>
      <c r="B880" s="3" t="s">
        <v>45</v>
      </c>
      <c r="C880" s="3" t="s">
        <v>8198</v>
      </c>
      <c r="D880" s="3" t="s">
        <v>8167</v>
      </c>
      <c r="E880" s="4" t="s">
        <v>8199</v>
      </c>
      <c r="F880" s="3" t="s">
        <v>8200</v>
      </c>
      <c r="G880" s="4" t="s">
        <v>8201</v>
      </c>
      <c r="H880" s="4" t="s">
        <v>8202</v>
      </c>
      <c r="I880" s="3" t="s">
        <v>49</v>
      </c>
      <c r="J880" s="3" t="s">
        <v>50</v>
      </c>
      <c r="K880" s="3" t="s">
        <v>45</v>
      </c>
      <c r="L880" s="3" t="s">
        <v>45</v>
      </c>
      <c r="M880" s="3" t="s">
        <v>45</v>
      </c>
      <c r="N880" s="3" t="s">
        <v>45</v>
      </c>
      <c r="O880" s="3" t="s">
        <v>74</v>
      </c>
      <c r="P880" s="3" t="s">
        <v>45</v>
      </c>
      <c r="Q880" s="3" t="s">
        <v>45</v>
      </c>
      <c r="R880" s="3" t="s">
        <v>45</v>
      </c>
      <c r="S880" s="3" t="s">
        <v>45</v>
      </c>
      <c r="T880" s="3" t="s">
        <v>45</v>
      </c>
      <c r="U880" s="3" t="s">
        <v>45</v>
      </c>
      <c r="V880" s="3" t="s">
        <v>45</v>
      </c>
      <c r="W880" s="4" t="s">
        <v>8203</v>
      </c>
      <c r="X880" s="3" t="s">
        <v>45</v>
      </c>
      <c r="Y880" s="3" t="s">
        <v>45</v>
      </c>
      <c r="Z880" s="3" t="s">
        <v>74</v>
      </c>
      <c r="AA880" s="3" t="s">
        <v>45</v>
      </c>
      <c r="AB880" s="3" t="s">
        <v>45</v>
      </c>
      <c r="AC880" s="3" t="s">
        <v>45</v>
      </c>
      <c r="AD880" s="3" t="s">
        <v>45</v>
      </c>
      <c r="AE880" s="3" t="s">
        <v>45</v>
      </c>
      <c r="AF880" s="3" t="s">
        <v>45</v>
      </c>
      <c r="AG880" s="3" t="s">
        <v>45</v>
      </c>
      <c r="AH880" s="3" t="s">
        <v>57</v>
      </c>
      <c r="AI880" s="5" t="s">
        <v>634</v>
      </c>
      <c r="AJ880" s="3" t="s">
        <v>45</v>
      </c>
      <c r="AK880" s="3" t="s">
        <v>45</v>
      </c>
      <c r="AL880" s="3" t="s">
        <v>45</v>
      </c>
      <c r="AM880" s="3" t="s">
        <v>45</v>
      </c>
      <c r="AN880" s="3" t="s">
        <v>45</v>
      </c>
      <c r="AO880" s="3" t="s">
        <v>45</v>
      </c>
      <c r="AP880" s="3" t="s">
        <v>45</v>
      </c>
      <c r="AQ880" s="4" t="s">
        <v>636</v>
      </c>
      <c r="AR880" s="4" t="s">
        <v>636</v>
      </c>
    </row>
    <row r="881">
      <c r="A881" s="3" t="s">
        <v>8204</v>
      </c>
      <c r="B881" s="3" t="s">
        <v>8205</v>
      </c>
      <c r="C881" s="3" t="s">
        <v>8206</v>
      </c>
      <c r="D881" s="3" t="s">
        <v>8167</v>
      </c>
      <c r="E881" s="4" t="s">
        <v>8207</v>
      </c>
      <c r="F881" s="3" t="s">
        <v>2808</v>
      </c>
      <c r="G881" s="4" t="s">
        <v>8208</v>
      </c>
      <c r="H881" s="4" t="s">
        <v>8209</v>
      </c>
      <c r="I881" s="3" t="s">
        <v>49</v>
      </c>
      <c r="J881" s="3" t="s">
        <v>99</v>
      </c>
      <c r="K881" s="3" t="s">
        <v>45</v>
      </c>
      <c r="L881" s="3" t="s">
        <v>45</v>
      </c>
      <c r="M881" s="3" t="s">
        <v>45</v>
      </c>
      <c r="N881" s="4" t="s">
        <v>1153</v>
      </c>
      <c r="O881" s="3" t="s">
        <v>390</v>
      </c>
      <c r="P881" s="3" t="s">
        <v>1141</v>
      </c>
      <c r="Q881" s="3" t="s">
        <v>45</v>
      </c>
      <c r="R881" s="3" t="s">
        <v>45</v>
      </c>
      <c r="S881" s="3" t="s">
        <v>45</v>
      </c>
      <c r="T881" s="3" t="s">
        <v>45</v>
      </c>
      <c r="U881" s="3" t="s">
        <v>45</v>
      </c>
      <c r="V881" s="4" t="s">
        <v>8210</v>
      </c>
      <c r="W881" s="3" t="s">
        <v>45</v>
      </c>
      <c r="X881" s="3" t="s">
        <v>45</v>
      </c>
      <c r="Y881" s="3" t="s">
        <v>45</v>
      </c>
      <c r="Z881" s="3" t="s">
        <v>74</v>
      </c>
      <c r="AA881" s="3" t="s">
        <v>45</v>
      </c>
      <c r="AB881" s="3" t="s">
        <v>45</v>
      </c>
      <c r="AC881" s="3" t="s">
        <v>45</v>
      </c>
      <c r="AD881" s="3" t="s">
        <v>45</v>
      </c>
      <c r="AE881" s="3" t="s">
        <v>45</v>
      </c>
      <c r="AF881" s="3" t="s">
        <v>45</v>
      </c>
      <c r="AG881" s="3" t="s">
        <v>8211</v>
      </c>
      <c r="AH881" s="3" t="s">
        <v>57</v>
      </c>
      <c r="AI881" s="5" t="s">
        <v>8212</v>
      </c>
      <c r="AJ881" s="5" t="s">
        <v>8213</v>
      </c>
      <c r="AK881" s="5" t="s">
        <v>8214</v>
      </c>
      <c r="AL881" s="3" t="s">
        <v>45</v>
      </c>
      <c r="AM881" s="3" t="s">
        <v>45</v>
      </c>
      <c r="AN881" s="3" t="s">
        <v>45</v>
      </c>
      <c r="AO881" s="3" t="s">
        <v>45</v>
      </c>
      <c r="AP881" s="3" t="s">
        <v>45</v>
      </c>
      <c r="AQ881" s="4" t="s">
        <v>339</v>
      </c>
      <c r="AR881" s="4" t="s">
        <v>339</v>
      </c>
    </row>
    <row r="882">
      <c r="A882" s="3" t="s">
        <v>8215</v>
      </c>
      <c r="B882" s="3" t="s">
        <v>8216</v>
      </c>
      <c r="C882" s="3" t="s">
        <v>8217</v>
      </c>
      <c r="D882" s="3" t="s">
        <v>8167</v>
      </c>
      <c r="E882" s="4" t="s">
        <v>8218</v>
      </c>
      <c r="F882" s="3" t="s">
        <v>3581</v>
      </c>
      <c r="G882" s="4" t="s">
        <v>8219</v>
      </c>
      <c r="H882" s="4" t="s">
        <v>8220</v>
      </c>
      <c r="I882" s="3" t="s">
        <v>85</v>
      </c>
      <c r="J882" s="3" t="s">
        <v>126</v>
      </c>
      <c r="K882" s="3" t="s">
        <v>45</v>
      </c>
      <c r="L882" s="3" t="s">
        <v>8221</v>
      </c>
      <c r="M882" s="3" t="s">
        <v>45</v>
      </c>
      <c r="N882" s="4" t="s">
        <v>8222</v>
      </c>
      <c r="O882" s="3" t="s">
        <v>88</v>
      </c>
      <c r="P882" s="3" t="s">
        <v>45</v>
      </c>
      <c r="Q882" s="3" t="s">
        <v>45</v>
      </c>
      <c r="R882" s="3" t="s">
        <v>45</v>
      </c>
      <c r="S882" s="3" t="s">
        <v>45</v>
      </c>
      <c r="T882" s="3" t="s">
        <v>45</v>
      </c>
      <c r="U882" s="3" t="s">
        <v>45</v>
      </c>
      <c r="V882" s="3" t="s">
        <v>45</v>
      </c>
      <c r="W882" s="3" t="s">
        <v>45</v>
      </c>
      <c r="X882" s="3" t="s">
        <v>45</v>
      </c>
      <c r="Y882" s="3" t="s">
        <v>45</v>
      </c>
      <c r="Z882" s="3" t="s">
        <v>55</v>
      </c>
      <c r="AA882" s="3" t="s">
        <v>45</v>
      </c>
      <c r="AB882" s="3" t="s">
        <v>45</v>
      </c>
      <c r="AC882" s="3" t="s">
        <v>45</v>
      </c>
      <c r="AD882" s="3" t="s">
        <v>45</v>
      </c>
      <c r="AE882" s="3" t="s">
        <v>45</v>
      </c>
      <c r="AF882" s="3" t="s">
        <v>45</v>
      </c>
      <c r="AG882" s="3" t="s">
        <v>8223</v>
      </c>
      <c r="AH882" s="3" t="s">
        <v>57</v>
      </c>
      <c r="AI882" s="5" t="s">
        <v>8224</v>
      </c>
      <c r="AJ882" s="5" t="s">
        <v>8225</v>
      </c>
      <c r="AK882" s="5" t="s">
        <v>8226</v>
      </c>
      <c r="AL882" s="3" t="s">
        <v>45</v>
      </c>
      <c r="AM882" s="3" t="s">
        <v>45</v>
      </c>
      <c r="AN882" s="3" t="s">
        <v>45</v>
      </c>
      <c r="AO882" s="3" t="s">
        <v>45</v>
      </c>
      <c r="AP882" s="3" t="s">
        <v>45</v>
      </c>
      <c r="AQ882" s="4" t="s">
        <v>1828</v>
      </c>
      <c r="AR882" s="4" t="s">
        <v>8227</v>
      </c>
    </row>
    <row r="883">
      <c r="A883" s="3" t="s">
        <v>8228</v>
      </c>
      <c r="B883" s="3" t="s">
        <v>8229</v>
      </c>
      <c r="C883" s="3" t="s">
        <v>8217</v>
      </c>
      <c r="D883" s="3" t="s">
        <v>8167</v>
      </c>
      <c r="E883" s="4" t="s">
        <v>8218</v>
      </c>
      <c r="F883" s="3" t="s">
        <v>3581</v>
      </c>
      <c r="G883" s="4" t="s">
        <v>8230</v>
      </c>
      <c r="H883" s="4" t="s">
        <v>8231</v>
      </c>
      <c r="I883" s="3" t="s">
        <v>408</v>
      </c>
      <c r="J883" s="3" t="s">
        <v>126</v>
      </c>
      <c r="K883" s="3" t="s">
        <v>45</v>
      </c>
      <c r="L883" s="3" t="s">
        <v>8221</v>
      </c>
      <c r="M883" s="3" t="s">
        <v>45</v>
      </c>
      <c r="N883" s="4" t="s">
        <v>1219</v>
      </c>
      <c r="O883" s="3" t="s">
        <v>88</v>
      </c>
      <c r="P883" s="3" t="s">
        <v>45</v>
      </c>
      <c r="Q883" s="3" t="s">
        <v>45</v>
      </c>
      <c r="R883" s="3" t="s">
        <v>45</v>
      </c>
      <c r="S883" s="3" t="s">
        <v>45</v>
      </c>
      <c r="T883" s="3" t="s">
        <v>45</v>
      </c>
      <c r="U883" s="3" t="s">
        <v>45</v>
      </c>
      <c r="V883" s="4" t="s">
        <v>106</v>
      </c>
      <c r="W883" s="3" t="s">
        <v>45</v>
      </c>
      <c r="X883" s="3" t="s">
        <v>45</v>
      </c>
      <c r="Y883" s="3" t="s">
        <v>45</v>
      </c>
      <c r="Z883" s="3" t="s">
        <v>55</v>
      </c>
      <c r="AA883" s="3" t="s">
        <v>8232</v>
      </c>
      <c r="AB883" s="3" t="s">
        <v>109</v>
      </c>
      <c r="AC883" s="3" t="s">
        <v>45</v>
      </c>
      <c r="AD883" s="5" t="s">
        <v>8233</v>
      </c>
      <c r="AE883" s="5" t="s">
        <v>8234</v>
      </c>
      <c r="AF883" s="5" t="s">
        <v>8235</v>
      </c>
      <c r="AG883" s="3" t="s">
        <v>8223</v>
      </c>
      <c r="AH883" s="3" t="s">
        <v>57</v>
      </c>
      <c r="AI883" s="5" t="s">
        <v>8236</v>
      </c>
      <c r="AJ883" s="5" t="s">
        <v>8237</v>
      </c>
      <c r="AK883" s="5" t="s">
        <v>8238</v>
      </c>
      <c r="AL883" s="5" t="s">
        <v>8239</v>
      </c>
      <c r="AM883" s="5" t="s">
        <v>8226</v>
      </c>
      <c r="AN883" s="3" t="s">
        <v>45</v>
      </c>
      <c r="AO883" s="3" t="s">
        <v>45</v>
      </c>
      <c r="AP883" s="3" t="s">
        <v>45</v>
      </c>
      <c r="AQ883" s="4" t="s">
        <v>1828</v>
      </c>
      <c r="AR883" s="4" t="s">
        <v>3693</v>
      </c>
    </row>
    <row r="884">
      <c r="A884" s="3" t="s">
        <v>8240</v>
      </c>
      <c r="B884" s="3" t="s">
        <v>8241</v>
      </c>
      <c r="C884" s="3" t="s">
        <v>8242</v>
      </c>
      <c r="D884" s="3" t="s">
        <v>8167</v>
      </c>
      <c r="E884" s="4" t="s">
        <v>8243</v>
      </c>
      <c r="F884" s="3" t="s">
        <v>8244</v>
      </c>
      <c r="G884" s="4" t="s">
        <v>8245</v>
      </c>
      <c r="H884" s="4" t="s">
        <v>8246</v>
      </c>
      <c r="I884" s="3" t="s">
        <v>49</v>
      </c>
      <c r="J884" s="3" t="s">
        <v>126</v>
      </c>
      <c r="K884" s="3" t="s">
        <v>45</v>
      </c>
      <c r="L884" s="3" t="s">
        <v>45</v>
      </c>
      <c r="M884" s="3" t="s">
        <v>45</v>
      </c>
      <c r="N884" s="3" t="s">
        <v>45</v>
      </c>
      <c r="O884" s="3" t="s">
        <v>74</v>
      </c>
      <c r="P884" s="3" t="s">
        <v>220</v>
      </c>
      <c r="Q884" s="3" t="s">
        <v>45</v>
      </c>
      <c r="R884" s="3" t="s">
        <v>45</v>
      </c>
      <c r="S884" s="3" t="s">
        <v>45</v>
      </c>
      <c r="T884" s="3" t="s">
        <v>45</v>
      </c>
      <c r="U884" s="3" t="s">
        <v>45</v>
      </c>
      <c r="V884" s="4" t="s">
        <v>8247</v>
      </c>
      <c r="W884" s="3" t="s">
        <v>45</v>
      </c>
      <c r="X884" s="3" t="s">
        <v>45</v>
      </c>
      <c r="Y884" s="3" t="s">
        <v>45</v>
      </c>
      <c r="Z884" s="3" t="s">
        <v>55</v>
      </c>
      <c r="AA884" s="3" t="s">
        <v>45</v>
      </c>
      <c r="AB884" s="3" t="s">
        <v>109</v>
      </c>
      <c r="AC884" s="3" t="s">
        <v>45</v>
      </c>
      <c r="AD884" s="3" t="s">
        <v>8248</v>
      </c>
      <c r="AE884" s="3" t="s">
        <v>45</v>
      </c>
      <c r="AF884" s="5" t="s">
        <v>8249</v>
      </c>
      <c r="AG884" s="3" t="s">
        <v>8250</v>
      </c>
      <c r="AH884" s="3" t="s">
        <v>57</v>
      </c>
      <c r="AI884" s="5" t="s">
        <v>8251</v>
      </c>
      <c r="AJ884" s="5" t="s">
        <v>8252</v>
      </c>
      <c r="AK884" s="5" t="s">
        <v>8253</v>
      </c>
      <c r="AL884" s="3" t="s">
        <v>45</v>
      </c>
      <c r="AM884" s="3" t="s">
        <v>45</v>
      </c>
      <c r="AN884" s="3" t="s">
        <v>45</v>
      </c>
      <c r="AO884" s="3" t="s">
        <v>45</v>
      </c>
      <c r="AP884" s="3" t="s">
        <v>45</v>
      </c>
      <c r="AQ884" s="4" t="s">
        <v>1230</v>
      </c>
      <c r="AR884" s="4" t="s">
        <v>413</v>
      </c>
    </row>
    <row r="885">
      <c r="A885" s="3" t="s">
        <v>381</v>
      </c>
      <c r="B885" s="3" t="s">
        <v>8254</v>
      </c>
      <c r="C885" s="3" t="s">
        <v>8242</v>
      </c>
      <c r="D885" s="3" t="s">
        <v>8167</v>
      </c>
      <c r="E885" s="4" t="s">
        <v>8255</v>
      </c>
      <c r="F885" s="3" t="s">
        <v>8244</v>
      </c>
      <c r="G885" s="4" t="s">
        <v>8256</v>
      </c>
      <c r="H885" s="4" t="s">
        <v>8257</v>
      </c>
      <c r="I885" s="3" t="s">
        <v>49</v>
      </c>
      <c r="J885" s="3" t="s">
        <v>126</v>
      </c>
      <c r="K885" s="3" t="s">
        <v>45</v>
      </c>
      <c r="L885" s="3" t="s">
        <v>45</v>
      </c>
      <c r="M885" s="3" t="s">
        <v>45</v>
      </c>
      <c r="N885" s="3" t="s">
        <v>45</v>
      </c>
      <c r="O885" s="3" t="s">
        <v>74</v>
      </c>
      <c r="P885" s="3" t="s">
        <v>45</v>
      </c>
      <c r="Q885" s="3" t="s">
        <v>45</v>
      </c>
      <c r="R885" s="3" t="s">
        <v>45</v>
      </c>
      <c r="S885" s="3" t="s">
        <v>45</v>
      </c>
      <c r="T885" s="3" t="s">
        <v>45</v>
      </c>
      <c r="U885" s="3" t="s">
        <v>45</v>
      </c>
      <c r="V885" s="4" t="s">
        <v>8258</v>
      </c>
      <c r="W885" s="3" t="s">
        <v>45</v>
      </c>
      <c r="X885" s="3" t="s">
        <v>45</v>
      </c>
      <c r="Y885" s="3" t="s">
        <v>45</v>
      </c>
      <c r="Z885" s="3" t="s">
        <v>74</v>
      </c>
      <c r="AA885" s="3" t="s">
        <v>45</v>
      </c>
      <c r="AB885" s="3" t="s">
        <v>45</v>
      </c>
      <c r="AC885" s="3" t="s">
        <v>45</v>
      </c>
      <c r="AD885" s="3" t="s">
        <v>45</v>
      </c>
      <c r="AE885" s="3" t="s">
        <v>45</v>
      </c>
      <c r="AF885" s="3" t="s">
        <v>45</v>
      </c>
      <c r="AG885" s="3" t="s">
        <v>45</v>
      </c>
      <c r="AH885" s="3" t="s">
        <v>57</v>
      </c>
      <c r="AI885" s="5" t="s">
        <v>1288</v>
      </c>
      <c r="AJ885" s="3" t="s">
        <v>45</v>
      </c>
      <c r="AK885" s="3" t="s">
        <v>45</v>
      </c>
      <c r="AL885" s="3" t="s">
        <v>45</v>
      </c>
      <c r="AM885" s="3" t="s">
        <v>45</v>
      </c>
      <c r="AN885" s="3" t="s">
        <v>45</v>
      </c>
      <c r="AO885" s="3" t="s">
        <v>45</v>
      </c>
      <c r="AP885" s="3" t="s">
        <v>45</v>
      </c>
      <c r="AQ885" s="4" t="s">
        <v>1113</v>
      </c>
      <c r="AR885" s="4" t="s">
        <v>1113</v>
      </c>
    </row>
    <row r="886">
      <c r="A886" s="3" t="s">
        <v>8259</v>
      </c>
      <c r="B886" s="3" t="s">
        <v>45</v>
      </c>
      <c r="C886" s="3" t="s">
        <v>8242</v>
      </c>
      <c r="D886" s="3" t="s">
        <v>8167</v>
      </c>
      <c r="E886" s="4" t="s">
        <v>8260</v>
      </c>
      <c r="F886" s="3" t="s">
        <v>8244</v>
      </c>
      <c r="G886" s="4" t="s">
        <v>8261</v>
      </c>
      <c r="H886" s="4" t="s">
        <v>8262</v>
      </c>
      <c r="I886" s="3" t="s">
        <v>49</v>
      </c>
      <c r="J886" s="3" t="s">
        <v>50</v>
      </c>
      <c r="K886" s="3" t="s">
        <v>45</v>
      </c>
      <c r="L886" s="3" t="s">
        <v>45</v>
      </c>
      <c r="M886" s="3" t="s">
        <v>45</v>
      </c>
      <c r="N886" s="4" t="s">
        <v>2608</v>
      </c>
      <c r="O886" s="3" t="s">
        <v>390</v>
      </c>
      <c r="P886" s="3" t="s">
        <v>220</v>
      </c>
      <c r="Q886" s="3" t="s">
        <v>45</v>
      </c>
      <c r="R886" s="3" t="s">
        <v>45</v>
      </c>
      <c r="S886" s="3" t="s">
        <v>45</v>
      </c>
      <c r="T886" s="3" t="s">
        <v>45</v>
      </c>
      <c r="U886" s="3" t="s">
        <v>45</v>
      </c>
      <c r="V886" s="4" t="s">
        <v>8263</v>
      </c>
      <c r="W886" s="3" t="s">
        <v>45</v>
      </c>
      <c r="X886" s="3" t="s">
        <v>8264</v>
      </c>
      <c r="Y886" s="3" t="s">
        <v>45</v>
      </c>
      <c r="Z886" s="3" t="s">
        <v>74</v>
      </c>
      <c r="AA886" s="3" t="s">
        <v>45</v>
      </c>
      <c r="AB886" s="3" t="s">
        <v>45</v>
      </c>
      <c r="AC886" s="3" t="s">
        <v>45</v>
      </c>
      <c r="AD886" s="3" t="s">
        <v>45</v>
      </c>
      <c r="AE886" s="3" t="s">
        <v>45</v>
      </c>
      <c r="AF886" s="3" t="s">
        <v>45</v>
      </c>
      <c r="AG886" s="3" t="s">
        <v>45</v>
      </c>
      <c r="AH886" s="3" t="s">
        <v>57</v>
      </c>
      <c r="AI886" s="5" t="s">
        <v>8265</v>
      </c>
      <c r="AJ886" s="3" t="s">
        <v>45</v>
      </c>
      <c r="AK886" s="3" t="s">
        <v>45</v>
      </c>
      <c r="AL886" s="3" t="s">
        <v>45</v>
      </c>
      <c r="AM886" s="3" t="s">
        <v>45</v>
      </c>
      <c r="AN886" s="3" t="s">
        <v>45</v>
      </c>
      <c r="AO886" s="3" t="s">
        <v>45</v>
      </c>
      <c r="AP886" s="3" t="s">
        <v>45</v>
      </c>
      <c r="AQ886" s="4" t="s">
        <v>77</v>
      </c>
      <c r="AR886" s="4" t="s">
        <v>77</v>
      </c>
    </row>
    <row r="887">
      <c r="A887" s="3" t="s">
        <v>8266</v>
      </c>
      <c r="B887" s="3" t="s">
        <v>45</v>
      </c>
      <c r="C887" s="3" t="s">
        <v>8267</v>
      </c>
      <c r="D887" s="3" t="s">
        <v>8268</v>
      </c>
      <c r="E887" s="4" t="s">
        <v>8269</v>
      </c>
      <c r="F887" s="3" t="s">
        <v>8270</v>
      </c>
      <c r="G887" s="4" t="s">
        <v>8271</v>
      </c>
      <c r="H887" s="4" t="s">
        <v>8272</v>
      </c>
      <c r="I887" s="3" t="s">
        <v>49</v>
      </c>
      <c r="J887" s="3" t="s">
        <v>99</v>
      </c>
      <c r="K887" s="3" t="s">
        <v>45</v>
      </c>
      <c r="L887" s="3" t="s">
        <v>8273</v>
      </c>
      <c r="M887" s="3" t="s">
        <v>45</v>
      </c>
      <c r="N887" s="3" t="s">
        <v>8274</v>
      </c>
      <c r="O887" s="3" t="s">
        <v>88</v>
      </c>
      <c r="P887" s="3" t="s">
        <v>45</v>
      </c>
      <c r="Q887" s="3" t="s">
        <v>45</v>
      </c>
      <c r="R887" s="3" t="s">
        <v>45</v>
      </c>
      <c r="S887" s="3" t="s">
        <v>45</v>
      </c>
      <c r="T887" s="3" t="s">
        <v>45</v>
      </c>
      <c r="U887" s="3" t="s">
        <v>45</v>
      </c>
      <c r="V887" s="3" t="s">
        <v>45</v>
      </c>
      <c r="W887" s="4" t="s">
        <v>87</v>
      </c>
      <c r="X887" s="3" t="s">
        <v>8275</v>
      </c>
      <c r="Y887" s="4" t="s">
        <v>727</v>
      </c>
      <c r="Z887" s="3" t="s">
        <v>74</v>
      </c>
      <c r="AA887" s="3" t="s">
        <v>45</v>
      </c>
      <c r="AB887" s="3" t="s">
        <v>45</v>
      </c>
      <c r="AC887" s="3" t="s">
        <v>45</v>
      </c>
      <c r="AD887" s="3" t="s">
        <v>45</v>
      </c>
      <c r="AE887" s="3" t="s">
        <v>45</v>
      </c>
      <c r="AF887" s="3" t="s">
        <v>45</v>
      </c>
      <c r="AG887" s="3" t="s">
        <v>45</v>
      </c>
      <c r="AH887" s="3" t="s">
        <v>57</v>
      </c>
      <c r="AI887" s="5" t="s">
        <v>8276</v>
      </c>
      <c r="AJ887" s="5" t="s">
        <v>8277</v>
      </c>
      <c r="AK887" s="3" t="s">
        <v>45</v>
      </c>
      <c r="AL887" s="3" t="s">
        <v>45</v>
      </c>
      <c r="AM887" s="3" t="s">
        <v>45</v>
      </c>
      <c r="AN887" s="3" t="s">
        <v>45</v>
      </c>
      <c r="AO887" s="3" t="s">
        <v>45</v>
      </c>
      <c r="AP887" s="3" t="s">
        <v>45</v>
      </c>
      <c r="AQ887" s="4" t="s">
        <v>8227</v>
      </c>
      <c r="AR887" s="4" t="s">
        <v>8227</v>
      </c>
    </row>
    <row r="888">
      <c r="A888" s="3" t="s">
        <v>8278</v>
      </c>
      <c r="B888" s="3" t="s">
        <v>8279</v>
      </c>
      <c r="C888" s="3" t="s">
        <v>8267</v>
      </c>
      <c r="D888" s="3" t="s">
        <v>8268</v>
      </c>
      <c r="E888" s="4" t="s">
        <v>8269</v>
      </c>
      <c r="F888" s="3" t="s">
        <v>8270</v>
      </c>
      <c r="G888" s="4" t="s">
        <v>8280</v>
      </c>
      <c r="H888" s="4" t="s">
        <v>8281</v>
      </c>
      <c r="I888" s="3" t="s">
        <v>218</v>
      </c>
      <c r="J888" s="3" t="s">
        <v>126</v>
      </c>
      <c r="K888" s="3" t="s">
        <v>45</v>
      </c>
      <c r="L888" s="3" t="s">
        <v>529</v>
      </c>
      <c r="M888" s="3" t="s">
        <v>45</v>
      </c>
      <c r="N888" s="4" t="s">
        <v>3678</v>
      </c>
      <c r="O888" s="3" t="s">
        <v>88</v>
      </c>
      <c r="P888" s="3" t="s">
        <v>45</v>
      </c>
      <c r="Q888" s="3" t="s">
        <v>45</v>
      </c>
      <c r="R888" s="3" t="s">
        <v>45</v>
      </c>
      <c r="S888" s="3" t="s">
        <v>45</v>
      </c>
      <c r="T888" s="3" t="s">
        <v>45</v>
      </c>
      <c r="U888" s="3" t="s">
        <v>45</v>
      </c>
      <c r="V888" s="4" t="s">
        <v>8282</v>
      </c>
      <c r="W888" s="4" t="s">
        <v>2071</v>
      </c>
      <c r="X888" s="3" t="s">
        <v>45</v>
      </c>
      <c r="Y888" s="4" t="s">
        <v>317</v>
      </c>
      <c r="Z888" s="3" t="s">
        <v>74</v>
      </c>
      <c r="AA888" s="3" t="s">
        <v>45</v>
      </c>
      <c r="AB888" s="3" t="s">
        <v>45</v>
      </c>
      <c r="AC888" s="3" t="s">
        <v>45</v>
      </c>
      <c r="AD888" s="3" t="s">
        <v>45</v>
      </c>
      <c r="AE888" s="3" t="s">
        <v>45</v>
      </c>
      <c r="AF888" s="3" t="s">
        <v>45</v>
      </c>
      <c r="AG888" s="3" t="s">
        <v>45</v>
      </c>
      <c r="AH888" s="3" t="s">
        <v>57</v>
      </c>
      <c r="AI888" s="5" t="s">
        <v>8283</v>
      </c>
      <c r="AJ888" s="5" t="s">
        <v>8284</v>
      </c>
      <c r="AK888" s="3" t="s">
        <v>45</v>
      </c>
      <c r="AL888" s="3" t="s">
        <v>45</v>
      </c>
      <c r="AM888" s="3" t="s">
        <v>45</v>
      </c>
      <c r="AN888" s="3" t="s">
        <v>45</v>
      </c>
      <c r="AO888" s="3" t="s">
        <v>45</v>
      </c>
      <c r="AP888" s="3" t="s">
        <v>45</v>
      </c>
      <c r="AQ888" s="4" t="s">
        <v>474</v>
      </c>
      <c r="AR888" s="4" t="s">
        <v>474</v>
      </c>
    </row>
    <row r="889">
      <c r="A889" s="3" t="s">
        <v>8285</v>
      </c>
      <c r="B889" s="3" t="s">
        <v>8286</v>
      </c>
      <c r="C889" s="3" t="s">
        <v>8287</v>
      </c>
      <c r="D889" s="3" t="s">
        <v>8268</v>
      </c>
      <c r="E889" s="4" t="s">
        <v>8288</v>
      </c>
      <c r="F889" s="3" t="s">
        <v>8289</v>
      </c>
      <c r="G889" s="4" t="s">
        <v>8290</v>
      </c>
      <c r="H889" s="4" t="s">
        <v>8291</v>
      </c>
      <c r="I889" s="3" t="s">
        <v>218</v>
      </c>
      <c r="J889" s="3" t="s">
        <v>126</v>
      </c>
      <c r="K889" s="3" t="s">
        <v>45</v>
      </c>
      <c r="L889" s="3" t="s">
        <v>45</v>
      </c>
      <c r="M889" s="3" t="s">
        <v>45</v>
      </c>
      <c r="N889" s="4" t="s">
        <v>1219</v>
      </c>
      <c r="O889" s="3" t="s">
        <v>70</v>
      </c>
      <c r="P889" s="3" t="s">
        <v>45</v>
      </c>
      <c r="Q889" s="3" t="s">
        <v>45</v>
      </c>
      <c r="R889" s="3" t="s">
        <v>45</v>
      </c>
      <c r="S889" s="3" t="s">
        <v>45</v>
      </c>
      <c r="T889" s="3" t="s">
        <v>45</v>
      </c>
      <c r="U889" s="3" t="s">
        <v>45</v>
      </c>
      <c r="V889" s="4" t="s">
        <v>1238</v>
      </c>
      <c r="W889" s="4" t="s">
        <v>128</v>
      </c>
      <c r="X889" s="3" t="s">
        <v>624</v>
      </c>
      <c r="Y889" s="3" t="s">
        <v>45</v>
      </c>
      <c r="Z889" s="3" t="s">
        <v>74</v>
      </c>
      <c r="AA889" s="3" t="s">
        <v>45</v>
      </c>
      <c r="AB889" s="3" t="s">
        <v>45</v>
      </c>
      <c r="AC889" s="3" t="s">
        <v>45</v>
      </c>
      <c r="AD889" s="3" t="s">
        <v>45</v>
      </c>
      <c r="AE889" s="3" t="s">
        <v>45</v>
      </c>
      <c r="AF889" s="3" t="s">
        <v>45</v>
      </c>
      <c r="AG889" s="3" t="s">
        <v>8292</v>
      </c>
      <c r="AH889" s="3" t="s">
        <v>57</v>
      </c>
      <c r="AI889" s="5" t="s">
        <v>8293</v>
      </c>
      <c r="AJ889" s="5" t="s">
        <v>8294</v>
      </c>
      <c r="AK889" s="5" t="s">
        <v>8295</v>
      </c>
      <c r="AL889" s="5" t="s">
        <v>8296</v>
      </c>
      <c r="AM889" s="5" t="s">
        <v>8297</v>
      </c>
      <c r="AN889" s="3" t="s">
        <v>45</v>
      </c>
      <c r="AO889" s="3" t="s">
        <v>45</v>
      </c>
      <c r="AP889" s="3" t="s">
        <v>45</v>
      </c>
      <c r="AQ889" s="4" t="s">
        <v>147</v>
      </c>
      <c r="AR889" s="4" t="s">
        <v>4458</v>
      </c>
    </row>
    <row r="890">
      <c r="A890" s="3" t="s">
        <v>8298</v>
      </c>
      <c r="B890" s="3" t="s">
        <v>8299</v>
      </c>
      <c r="C890" s="3" t="s">
        <v>8287</v>
      </c>
      <c r="D890" s="3" t="s">
        <v>8268</v>
      </c>
      <c r="E890" s="4" t="s">
        <v>8288</v>
      </c>
      <c r="F890" s="3" t="s">
        <v>8300</v>
      </c>
      <c r="G890" s="4" t="s">
        <v>8301</v>
      </c>
      <c r="H890" s="4" t="s">
        <v>8302</v>
      </c>
      <c r="I890" s="3" t="s">
        <v>85</v>
      </c>
      <c r="J890" s="3" t="s">
        <v>126</v>
      </c>
      <c r="K890" s="3" t="s">
        <v>45</v>
      </c>
      <c r="L890" s="3" t="s">
        <v>8303</v>
      </c>
      <c r="M890" s="3" t="s">
        <v>45</v>
      </c>
      <c r="N890" s="4" t="s">
        <v>128</v>
      </c>
      <c r="O890" s="3" t="s">
        <v>70</v>
      </c>
      <c r="P890" s="3" t="s">
        <v>45</v>
      </c>
      <c r="Q890" s="3" t="s">
        <v>45</v>
      </c>
      <c r="R890" s="3" t="s">
        <v>45</v>
      </c>
      <c r="S890" s="3" t="s">
        <v>45</v>
      </c>
      <c r="T890" s="3" t="s">
        <v>45</v>
      </c>
      <c r="U890" s="3" t="s">
        <v>45</v>
      </c>
      <c r="V890" s="4" t="s">
        <v>3930</v>
      </c>
      <c r="W890" s="3" t="s">
        <v>45</v>
      </c>
      <c r="X890" s="3" t="s">
        <v>45</v>
      </c>
      <c r="Y890" s="4" t="s">
        <v>6127</v>
      </c>
      <c r="Z890" s="3" t="s">
        <v>74</v>
      </c>
      <c r="AA890" s="3" t="s">
        <v>45</v>
      </c>
      <c r="AB890" s="3" t="s">
        <v>45</v>
      </c>
      <c r="AC890" s="3" t="s">
        <v>45</v>
      </c>
      <c r="AD890" s="3" t="s">
        <v>45</v>
      </c>
      <c r="AE890" s="3" t="s">
        <v>45</v>
      </c>
      <c r="AF890" s="3" t="s">
        <v>45</v>
      </c>
      <c r="AG890" s="3" t="s">
        <v>8304</v>
      </c>
      <c r="AH890" s="3" t="s">
        <v>57</v>
      </c>
      <c r="AI890" s="5" t="s">
        <v>8305</v>
      </c>
      <c r="AJ890" s="5" t="s">
        <v>8306</v>
      </c>
      <c r="AK890" s="5" t="s">
        <v>6722</v>
      </c>
      <c r="AL890" s="5" t="s">
        <v>8307</v>
      </c>
      <c r="AM890" s="5" t="s">
        <v>8308</v>
      </c>
      <c r="AN890" s="5" t="s">
        <v>8309</v>
      </c>
      <c r="AO890" s="5" t="s">
        <v>8310</v>
      </c>
      <c r="AP890" s="3" t="s">
        <v>45</v>
      </c>
      <c r="AQ890" s="4" t="s">
        <v>5691</v>
      </c>
      <c r="AR890" s="4" t="s">
        <v>2459</v>
      </c>
    </row>
    <row r="891">
      <c r="A891" s="3" t="s">
        <v>8311</v>
      </c>
      <c r="B891" s="3" t="s">
        <v>8312</v>
      </c>
      <c r="C891" s="3" t="s">
        <v>8313</v>
      </c>
      <c r="D891" s="3" t="s">
        <v>8268</v>
      </c>
      <c r="E891" s="4" t="s">
        <v>8314</v>
      </c>
      <c r="F891" s="3" t="s">
        <v>8315</v>
      </c>
      <c r="G891" s="4" t="s">
        <v>8316</v>
      </c>
      <c r="H891" s="4" t="s">
        <v>8317</v>
      </c>
      <c r="I891" s="3" t="s">
        <v>408</v>
      </c>
      <c r="J891" s="3" t="s">
        <v>126</v>
      </c>
      <c r="K891" s="3" t="s">
        <v>8318</v>
      </c>
      <c r="L891" s="3" t="s">
        <v>8319</v>
      </c>
      <c r="M891" s="3" t="s">
        <v>45</v>
      </c>
      <c r="N891" s="4" t="s">
        <v>4277</v>
      </c>
      <c r="O891" s="3" t="s">
        <v>88</v>
      </c>
      <c r="P891" s="3" t="s">
        <v>45</v>
      </c>
      <c r="Q891" s="3" t="s">
        <v>45</v>
      </c>
      <c r="R891" s="3" t="s">
        <v>45</v>
      </c>
      <c r="S891" s="3" t="s">
        <v>45</v>
      </c>
      <c r="T891" s="3" t="s">
        <v>45</v>
      </c>
      <c r="U891" s="3" t="s">
        <v>45</v>
      </c>
      <c r="V891" s="3" t="s">
        <v>45</v>
      </c>
      <c r="W891" s="3" t="s">
        <v>45</v>
      </c>
      <c r="X891" s="3" t="s">
        <v>45</v>
      </c>
      <c r="Y891" s="3" t="s">
        <v>45</v>
      </c>
      <c r="Z891" s="3" t="s">
        <v>74</v>
      </c>
      <c r="AA891" s="3" t="s">
        <v>45</v>
      </c>
      <c r="AB891" s="3" t="s">
        <v>45</v>
      </c>
      <c r="AC891" s="3" t="s">
        <v>45</v>
      </c>
      <c r="AD891" s="3" t="s">
        <v>45</v>
      </c>
      <c r="AE891" s="3" t="s">
        <v>45</v>
      </c>
      <c r="AF891" s="3" t="s">
        <v>45</v>
      </c>
      <c r="AG891" s="3" t="s">
        <v>8320</v>
      </c>
      <c r="AH891" s="3" t="s">
        <v>57</v>
      </c>
      <c r="AI891" s="5" t="s">
        <v>8321</v>
      </c>
      <c r="AJ891" s="5" t="s">
        <v>8322</v>
      </c>
      <c r="AK891" s="5" t="s">
        <v>8323</v>
      </c>
      <c r="AL891" s="5" t="s">
        <v>8324</v>
      </c>
      <c r="AM891" s="5" t="s">
        <v>8325</v>
      </c>
      <c r="AN891" s="5" t="s">
        <v>8326</v>
      </c>
      <c r="AO891" s="3" t="s">
        <v>45</v>
      </c>
      <c r="AP891" s="3" t="s">
        <v>45</v>
      </c>
      <c r="AQ891" s="4" t="s">
        <v>6513</v>
      </c>
      <c r="AR891" s="4" t="s">
        <v>898</v>
      </c>
    </row>
    <row r="892">
      <c r="A892" s="3" t="s">
        <v>8327</v>
      </c>
      <c r="B892" s="3" t="s">
        <v>8328</v>
      </c>
      <c r="C892" s="3" t="s">
        <v>3310</v>
      </c>
      <c r="D892" s="3" t="s">
        <v>8268</v>
      </c>
      <c r="E892" s="4" t="s">
        <v>8329</v>
      </c>
      <c r="F892" s="3" t="s">
        <v>8330</v>
      </c>
      <c r="G892" s="4" t="s">
        <v>8331</v>
      </c>
      <c r="H892" s="4" t="s">
        <v>8332</v>
      </c>
      <c r="I892" s="3" t="s">
        <v>85</v>
      </c>
      <c r="J892" s="3" t="s">
        <v>126</v>
      </c>
      <c r="K892" s="3" t="s">
        <v>45</v>
      </c>
      <c r="L892" s="3" t="s">
        <v>45</v>
      </c>
      <c r="M892" s="3" t="s">
        <v>45</v>
      </c>
      <c r="N892" s="3" t="s">
        <v>45</v>
      </c>
      <c r="O892" s="3" t="s">
        <v>74</v>
      </c>
      <c r="P892" s="3" t="s">
        <v>45</v>
      </c>
      <c r="Q892" s="3" t="s">
        <v>45</v>
      </c>
      <c r="R892" s="3" t="s">
        <v>45</v>
      </c>
      <c r="S892" s="3" t="s">
        <v>45</v>
      </c>
      <c r="T892" s="3" t="s">
        <v>45</v>
      </c>
      <c r="U892" s="3" t="s">
        <v>45</v>
      </c>
      <c r="V892" s="3" t="s">
        <v>45</v>
      </c>
      <c r="W892" s="3" t="s">
        <v>45</v>
      </c>
      <c r="X892" s="3" t="s">
        <v>45</v>
      </c>
      <c r="Y892" s="3" t="s">
        <v>45</v>
      </c>
      <c r="Z892" s="3" t="s">
        <v>74</v>
      </c>
      <c r="AA892" s="3" t="s">
        <v>45</v>
      </c>
      <c r="AB892" s="3" t="s">
        <v>45</v>
      </c>
      <c r="AC892" s="3" t="s">
        <v>45</v>
      </c>
      <c r="AD892" s="3" t="s">
        <v>45</v>
      </c>
      <c r="AE892" s="3" t="s">
        <v>45</v>
      </c>
      <c r="AF892" s="3" t="s">
        <v>45</v>
      </c>
      <c r="AG892" s="3" t="s">
        <v>8333</v>
      </c>
      <c r="AH892" s="3" t="s">
        <v>57</v>
      </c>
      <c r="AI892" s="5" t="s">
        <v>8334</v>
      </c>
      <c r="AJ892" s="3" t="s">
        <v>45</v>
      </c>
      <c r="AK892" s="3" t="s">
        <v>45</v>
      </c>
      <c r="AL892" s="3" t="s">
        <v>45</v>
      </c>
      <c r="AM892" s="3" t="s">
        <v>45</v>
      </c>
      <c r="AN892" s="3" t="s">
        <v>45</v>
      </c>
      <c r="AO892" s="3" t="s">
        <v>45</v>
      </c>
      <c r="AP892" s="3" t="s">
        <v>45</v>
      </c>
      <c r="AQ892" s="4" t="s">
        <v>8335</v>
      </c>
      <c r="AR892" s="4" t="s">
        <v>8335</v>
      </c>
    </row>
    <row r="893">
      <c r="A893" s="3" t="s">
        <v>8336</v>
      </c>
      <c r="B893" s="3" t="s">
        <v>8337</v>
      </c>
      <c r="C893" s="3" t="s">
        <v>3310</v>
      </c>
      <c r="D893" s="3" t="s">
        <v>8268</v>
      </c>
      <c r="E893" s="4" t="s">
        <v>8329</v>
      </c>
      <c r="F893" s="3" t="s">
        <v>8330</v>
      </c>
      <c r="G893" s="4" t="s">
        <v>8338</v>
      </c>
      <c r="H893" s="4" t="s">
        <v>8339</v>
      </c>
      <c r="I893" s="3" t="s">
        <v>85</v>
      </c>
      <c r="J893" s="3" t="s">
        <v>126</v>
      </c>
      <c r="K893" s="3" t="s">
        <v>45</v>
      </c>
      <c r="L893" s="3" t="s">
        <v>45</v>
      </c>
      <c r="M893" s="3" t="s">
        <v>45</v>
      </c>
      <c r="N893" s="3" t="s">
        <v>45</v>
      </c>
      <c r="O893" s="3" t="s">
        <v>74</v>
      </c>
      <c r="P893" s="3" t="s">
        <v>45</v>
      </c>
      <c r="Q893" s="3" t="s">
        <v>45</v>
      </c>
      <c r="R893" s="3" t="s">
        <v>45</v>
      </c>
      <c r="S893" s="3" t="s">
        <v>45</v>
      </c>
      <c r="T893" s="3" t="s">
        <v>45</v>
      </c>
      <c r="U893" s="3" t="s">
        <v>45</v>
      </c>
      <c r="V893" s="3" t="s">
        <v>45</v>
      </c>
      <c r="W893" s="3" t="s">
        <v>45</v>
      </c>
      <c r="X893" s="3" t="s">
        <v>45</v>
      </c>
      <c r="Y893" s="3" t="s">
        <v>45</v>
      </c>
      <c r="Z893" s="3" t="s">
        <v>74</v>
      </c>
      <c r="AA893" s="3" t="s">
        <v>45</v>
      </c>
      <c r="AB893" s="3" t="s">
        <v>45</v>
      </c>
      <c r="AC893" s="3" t="s">
        <v>45</v>
      </c>
      <c r="AD893" s="3" t="s">
        <v>45</v>
      </c>
      <c r="AE893" s="3" t="s">
        <v>45</v>
      </c>
      <c r="AF893" s="3" t="s">
        <v>45</v>
      </c>
      <c r="AG893" s="3" t="s">
        <v>8333</v>
      </c>
      <c r="AH893" s="3" t="s">
        <v>57</v>
      </c>
      <c r="AI893" s="5" t="s">
        <v>8334</v>
      </c>
      <c r="AJ893" s="3" t="s">
        <v>45</v>
      </c>
      <c r="AK893" s="3" t="s">
        <v>45</v>
      </c>
      <c r="AL893" s="3" t="s">
        <v>45</v>
      </c>
      <c r="AM893" s="3" t="s">
        <v>45</v>
      </c>
      <c r="AN893" s="3" t="s">
        <v>45</v>
      </c>
      <c r="AO893" s="3" t="s">
        <v>45</v>
      </c>
      <c r="AP893" s="3" t="s">
        <v>45</v>
      </c>
      <c r="AQ893" s="4" t="s">
        <v>8335</v>
      </c>
      <c r="AR893" s="4" t="s">
        <v>8335</v>
      </c>
    </row>
    <row r="894">
      <c r="A894" s="3" t="s">
        <v>8340</v>
      </c>
      <c r="B894" s="3" t="s">
        <v>8341</v>
      </c>
      <c r="C894" s="3" t="s">
        <v>8342</v>
      </c>
      <c r="D894" s="3" t="s">
        <v>8268</v>
      </c>
      <c r="E894" s="4" t="s">
        <v>8343</v>
      </c>
      <c r="F894" s="3" t="s">
        <v>8344</v>
      </c>
      <c r="G894" s="4" t="s">
        <v>8345</v>
      </c>
      <c r="H894" s="4" t="s">
        <v>8346</v>
      </c>
      <c r="I894" s="3" t="s">
        <v>218</v>
      </c>
      <c r="J894" s="3" t="s">
        <v>50</v>
      </c>
      <c r="K894" s="3" t="s">
        <v>743</v>
      </c>
      <c r="L894" s="3" t="s">
        <v>8347</v>
      </c>
      <c r="M894" s="3" t="s">
        <v>45</v>
      </c>
      <c r="N894" s="3" t="s">
        <v>8348</v>
      </c>
      <c r="O894" s="3" t="s">
        <v>70</v>
      </c>
      <c r="P894" s="3" t="s">
        <v>8349</v>
      </c>
      <c r="Q894" s="3" t="s">
        <v>45</v>
      </c>
      <c r="R894" s="3" t="s">
        <v>45</v>
      </c>
      <c r="S894" s="3" t="s">
        <v>45</v>
      </c>
      <c r="T894" s="3" t="s">
        <v>105</v>
      </c>
      <c r="U894" s="3" t="s">
        <v>221</v>
      </c>
      <c r="V894" s="4" t="s">
        <v>8350</v>
      </c>
      <c r="W894" s="4" t="s">
        <v>8351</v>
      </c>
      <c r="X894" s="3" t="s">
        <v>45</v>
      </c>
      <c r="Y894" s="4" t="s">
        <v>727</v>
      </c>
      <c r="Z894" s="3" t="s">
        <v>55</v>
      </c>
      <c r="AA894" s="3" t="s">
        <v>8352</v>
      </c>
      <c r="AB894" s="3" t="s">
        <v>45</v>
      </c>
      <c r="AC894" s="3" t="s">
        <v>45</v>
      </c>
      <c r="AD894" s="3" t="s">
        <v>45</v>
      </c>
      <c r="AE894" s="3" t="s">
        <v>45</v>
      </c>
      <c r="AF894" s="5" t="s">
        <v>8353</v>
      </c>
      <c r="AG894" s="3" t="s">
        <v>8354</v>
      </c>
      <c r="AH894" s="3" t="s">
        <v>57</v>
      </c>
      <c r="AI894" s="5" t="s">
        <v>8355</v>
      </c>
      <c r="AJ894" s="5" t="s">
        <v>8356</v>
      </c>
      <c r="AK894" s="5" t="s">
        <v>8357</v>
      </c>
      <c r="AL894" s="5" t="s">
        <v>8358</v>
      </c>
      <c r="AM894" s="5" t="s">
        <v>8359</v>
      </c>
      <c r="AN894" s="5" t="s">
        <v>8360</v>
      </c>
      <c r="AO894" s="3" t="s">
        <v>45</v>
      </c>
      <c r="AP894" s="3" t="s">
        <v>45</v>
      </c>
      <c r="AQ894" s="4" t="s">
        <v>3831</v>
      </c>
      <c r="AR894" s="4" t="s">
        <v>8131</v>
      </c>
    </row>
    <row r="895">
      <c r="A895" s="3" t="s">
        <v>8361</v>
      </c>
      <c r="B895" s="3" t="s">
        <v>8362</v>
      </c>
      <c r="C895" s="3" t="s">
        <v>8363</v>
      </c>
      <c r="D895" s="3" t="s">
        <v>8268</v>
      </c>
      <c r="E895" s="4" t="s">
        <v>8364</v>
      </c>
      <c r="F895" s="3" t="s">
        <v>8365</v>
      </c>
      <c r="G895" s="4" t="s">
        <v>8366</v>
      </c>
      <c r="H895" s="4" t="s">
        <v>8367</v>
      </c>
      <c r="I895" s="3" t="s">
        <v>85</v>
      </c>
      <c r="J895" s="3" t="s">
        <v>126</v>
      </c>
      <c r="K895" s="3" t="s">
        <v>45</v>
      </c>
      <c r="L895" s="3" t="s">
        <v>45</v>
      </c>
      <c r="M895" s="3" t="s">
        <v>45</v>
      </c>
      <c r="N895" s="3" t="s">
        <v>45</v>
      </c>
      <c r="O895" s="3" t="s">
        <v>74</v>
      </c>
      <c r="P895" s="3" t="s">
        <v>45</v>
      </c>
      <c r="Q895" s="3" t="s">
        <v>45</v>
      </c>
      <c r="R895" s="3" t="s">
        <v>45</v>
      </c>
      <c r="S895" s="3" t="s">
        <v>45</v>
      </c>
      <c r="T895" s="3" t="s">
        <v>45</v>
      </c>
      <c r="U895" s="3" t="s">
        <v>45</v>
      </c>
      <c r="V895" s="3" t="s">
        <v>45</v>
      </c>
      <c r="W895" s="3" t="s">
        <v>45</v>
      </c>
      <c r="X895" s="3" t="s">
        <v>45</v>
      </c>
      <c r="Y895" s="3" t="s">
        <v>45</v>
      </c>
      <c r="Z895" s="3" t="s">
        <v>74</v>
      </c>
      <c r="AA895" s="3" t="s">
        <v>45</v>
      </c>
      <c r="AB895" s="3" t="s">
        <v>45</v>
      </c>
      <c r="AC895" s="3" t="s">
        <v>45</v>
      </c>
      <c r="AD895" s="3" t="s">
        <v>45</v>
      </c>
      <c r="AE895" s="3" t="s">
        <v>45</v>
      </c>
      <c r="AF895" s="3" t="s">
        <v>45</v>
      </c>
      <c r="AG895" s="3" t="s">
        <v>8368</v>
      </c>
      <c r="AH895" s="3" t="s">
        <v>57</v>
      </c>
      <c r="AI895" s="5" t="s">
        <v>8334</v>
      </c>
      <c r="AJ895" s="3" t="s">
        <v>45</v>
      </c>
      <c r="AK895" s="3" t="s">
        <v>45</v>
      </c>
      <c r="AL895" s="3" t="s">
        <v>45</v>
      </c>
      <c r="AM895" s="3" t="s">
        <v>45</v>
      </c>
      <c r="AN895" s="3" t="s">
        <v>45</v>
      </c>
      <c r="AO895" s="3" t="s">
        <v>45</v>
      </c>
      <c r="AP895" s="3" t="s">
        <v>45</v>
      </c>
      <c r="AQ895" s="4" t="s">
        <v>8335</v>
      </c>
      <c r="AR895" s="4" t="s">
        <v>8335</v>
      </c>
    </row>
    <row r="896">
      <c r="A896" s="3" t="s">
        <v>8369</v>
      </c>
      <c r="B896" s="3" t="s">
        <v>8370</v>
      </c>
      <c r="C896" s="3" t="s">
        <v>8371</v>
      </c>
      <c r="D896" s="3" t="s">
        <v>8268</v>
      </c>
      <c r="E896" s="4" t="s">
        <v>8372</v>
      </c>
      <c r="F896" s="3" t="s">
        <v>8373</v>
      </c>
      <c r="G896" s="4" t="s">
        <v>8374</v>
      </c>
      <c r="H896" s="4" t="s">
        <v>8375</v>
      </c>
      <c r="I896" s="3" t="s">
        <v>85</v>
      </c>
      <c r="J896" s="3" t="s">
        <v>126</v>
      </c>
      <c r="K896" s="3" t="s">
        <v>45</v>
      </c>
      <c r="L896" s="3" t="s">
        <v>45</v>
      </c>
      <c r="M896" s="3" t="s">
        <v>45</v>
      </c>
      <c r="N896" s="3" t="s">
        <v>45</v>
      </c>
      <c r="O896" s="3" t="s">
        <v>74</v>
      </c>
      <c r="P896" s="3" t="s">
        <v>45</v>
      </c>
      <c r="Q896" s="3" t="s">
        <v>45</v>
      </c>
      <c r="R896" s="3" t="s">
        <v>45</v>
      </c>
      <c r="S896" s="3" t="s">
        <v>45</v>
      </c>
      <c r="T896" s="3" t="s">
        <v>45</v>
      </c>
      <c r="U896" s="3" t="s">
        <v>45</v>
      </c>
      <c r="V896" s="3" t="s">
        <v>45</v>
      </c>
      <c r="W896" s="3" t="s">
        <v>45</v>
      </c>
      <c r="X896" s="3" t="s">
        <v>45</v>
      </c>
      <c r="Y896" s="3" t="s">
        <v>45</v>
      </c>
      <c r="Z896" s="3" t="s">
        <v>74</v>
      </c>
      <c r="AA896" s="3" t="s">
        <v>45</v>
      </c>
      <c r="AB896" s="3" t="s">
        <v>45</v>
      </c>
      <c r="AC896" s="3" t="s">
        <v>45</v>
      </c>
      <c r="AD896" s="3" t="s">
        <v>45</v>
      </c>
      <c r="AE896" s="3" t="s">
        <v>45</v>
      </c>
      <c r="AF896" s="3" t="s">
        <v>45</v>
      </c>
      <c r="AG896" s="3" t="s">
        <v>8333</v>
      </c>
      <c r="AH896" s="3" t="s">
        <v>57</v>
      </c>
      <c r="AI896" s="5" t="s">
        <v>8334</v>
      </c>
      <c r="AJ896" s="3" t="s">
        <v>45</v>
      </c>
      <c r="AK896" s="3" t="s">
        <v>45</v>
      </c>
      <c r="AL896" s="3" t="s">
        <v>45</v>
      </c>
      <c r="AM896" s="3" t="s">
        <v>45</v>
      </c>
      <c r="AN896" s="3" t="s">
        <v>45</v>
      </c>
      <c r="AO896" s="3" t="s">
        <v>45</v>
      </c>
      <c r="AP896" s="3" t="s">
        <v>45</v>
      </c>
      <c r="AQ896" s="4" t="s">
        <v>8335</v>
      </c>
      <c r="AR896" s="4" t="s">
        <v>8335</v>
      </c>
    </row>
    <row r="897">
      <c r="A897" s="3" t="s">
        <v>8376</v>
      </c>
      <c r="B897" s="3" t="s">
        <v>8377</v>
      </c>
      <c r="C897" s="3" t="s">
        <v>8371</v>
      </c>
      <c r="D897" s="3" t="s">
        <v>8268</v>
      </c>
      <c r="E897" s="4" t="s">
        <v>8378</v>
      </c>
      <c r="F897" s="3" t="s">
        <v>8373</v>
      </c>
      <c r="G897" s="4" t="s">
        <v>8379</v>
      </c>
      <c r="H897" s="4" t="s">
        <v>8380</v>
      </c>
      <c r="I897" s="3" t="s">
        <v>85</v>
      </c>
      <c r="J897" s="3" t="s">
        <v>126</v>
      </c>
      <c r="K897" s="3" t="s">
        <v>45</v>
      </c>
      <c r="L897" s="3" t="s">
        <v>45</v>
      </c>
      <c r="M897" s="3" t="s">
        <v>45</v>
      </c>
      <c r="N897" s="3" t="s">
        <v>45</v>
      </c>
      <c r="O897" s="3" t="s">
        <v>74</v>
      </c>
      <c r="P897" s="3" t="s">
        <v>45</v>
      </c>
      <c r="Q897" s="3" t="s">
        <v>45</v>
      </c>
      <c r="R897" s="3" t="s">
        <v>45</v>
      </c>
      <c r="S897" s="3" t="s">
        <v>45</v>
      </c>
      <c r="T897" s="3" t="s">
        <v>45</v>
      </c>
      <c r="U897" s="3" t="s">
        <v>45</v>
      </c>
      <c r="V897" s="3" t="s">
        <v>45</v>
      </c>
      <c r="W897" s="3" t="s">
        <v>45</v>
      </c>
      <c r="X897" s="3" t="s">
        <v>45</v>
      </c>
      <c r="Y897" s="3" t="s">
        <v>45</v>
      </c>
      <c r="Z897" s="3" t="s">
        <v>74</v>
      </c>
      <c r="AA897" s="3" t="s">
        <v>45</v>
      </c>
      <c r="AB897" s="3" t="s">
        <v>45</v>
      </c>
      <c r="AC897" s="3" t="s">
        <v>45</v>
      </c>
      <c r="AD897" s="3" t="s">
        <v>45</v>
      </c>
      <c r="AE897" s="3" t="s">
        <v>45</v>
      </c>
      <c r="AF897" s="3" t="s">
        <v>45</v>
      </c>
      <c r="AG897" s="3" t="s">
        <v>45</v>
      </c>
      <c r="AH897" s="3" t="s">
        <v>57</v>
      </c>
      <c r="AI897" s="3" t="s">
        <v>45</v>
      </c>
      <c r="AJ897" s="3" t="s">
        <v>45</v>
      </c>
      <c r="AK897" s="3" t="s">
        <v>45</v>
      </c>
      <c r="AL897" s="3" t="s">
        <v>45</v>
      </c>
      <c r="AM897" s="3" t="s">
        <v>45</v>
      </c>
      <c r="AN897" s="3" t="s">
        <v>45</v>
      </c>
      <c r="AO897" s="3" t="s">
        <v>45</v>
      </c>
      <c r="AP897" s="3" t="s">
        <v>45</v>
      </c>
      <c r="AQ897" s="4" t="s">
        <v>8335</v>
      </c>
      <c r="AR897" s="4" t="s">
        <v>8335</v>
      </c>
    </row>
    <row r="898">
      <c r="A898" s="3" t="s">
        <v>8381</v>
      </c>
      <c r="B898" s="3" t="s">
        <v>8382</v>
      </c>
      <c r="C898" s="3" t="s">
        <v>8371</v>
      </c>
      <c r="D898" s="3" t="s">
        <v>8268</v>
      </c>
      <c r="E898" s="4" t="s">
        <v>8383</v>
      </c>
      <c r="F898" s="3" t="s">
        <v>8373</v>
      </c>
      <c r="G898" s="4" t="s">
        <v>8384</v>
      </c>
      <c r="H898" s="4" t="s">
        <v>8385</v>
      </c>
      <c r="I898" s="3" t="s">
        <v>85</v>
      </c>
      <c r="J898" s="3" t="s">
        <v>126</v>
      </c>
      <c r="K898" s="3" t="s">
        <v>45</v>
      </c>
      <c r="L898" s="3" t="s">
        <v>8386</v>
      </c>
      <c r="M898" s="3" t="s">
        <v>45</v>
      </c>
      <c r="N898" s="3" t="s">
        <v>45</v>
      </c>
      <c r="O898" s="3" t="s">
        <v>74</v>
      </c>
      <c r="P898" s="3" t="s">
        <v>45</v>
      </c>
      <c r="Q898" s="3" t="s">
        <v>45</v>
      </c>
      <c r="R898" s="3" t="s">
        <v>45</v>
      </c>
      <c r="S898" s="3" t="s">
        <v>45</v>
      </c>
      <c r="T898" s="3" t="s">
        <v>45</v>
      </c>
      <c r="U898" s="3" t="s">
        <v>45</v>
      </c>
      <c r="V898" s="3" t="s">
        <v>45</v>
      </c>
      <c r="W898" s="3" t="s">
        <v>45</v>
      </c>
      <c r="X898" s="3" t="s">
        <v>45</v>
      </c>
      <c r="Y898" s="3" t="s">
        <v>45</v>
      </c>
      <c r="Z898" s="3" t="s">
        <v>74</v>
      </c>
      <c r="AA898" s="3" t="s">
        <v>45</v>
      </c>
      <c r="AB898" s="3" t="s">
        <v>45</v>
      </c>
      <c r="AC898" s="3" t="s">
        <v>45</v>
      </c>
      <c r="AD898" s="3" t="s">
        <v>45</v>
      </c>
      <c r="AE898" s="3" t="s">
        <v>45</v>
      </c>
      <c r="AF898" s="3" t="s">
        <v>45</v>
      </c>
      <c r="AG898" s="3" t="s">
        <v>8333</v>
      </c>
      <c r="AH898" s="3" t="s">
        <v>57</v>
      </c>
      <c r="AI898" s="5" t="s">
        <v>8334</v>
      </c>
      <c r="AJ898" s="3" t="s">
        <v>45</v>
      </c>
      <c r="AK898" s="3" t="s">
        <v>45</v>
      </c>
      <c r="AL898" s="3" t="s">
        <v>45</v>
      </c>
      <c r="AM898" s="3" t="s">
        <v>45</v>
      </c>
      <c r="AN898" s="3" t="s">
        <v>45</v>
      </c>
      <c r="AO898" s="3" t="s">
        <v>45</v>
      </c>
      <c r="AP898" s="3" t="s">
        <v>45</v>
      </c>
      <c r="AQ898" s="4" t="s">
        <v>8335</v>
      </c>
      <c r="AR898" s="4" t="s">
        <v>8335</v>
      </c>
    </row>
    <row r="899">
      <c r="A899" s="3" t="s">
        <v>8387</v>
      </c>
      <c r="B899" s="3" t="s">
        <v>74</v>
      </c>
      <c r="C899" s="3" t="s">
        <v>8388</v>
      </c>
      <c r="D899" s="3" t="s">
        <v>8268</v>
      </c>
      <c r="E899" s="3" t="s">
        <v>45</v>
      </c>
      <c r="F899" s="3" t="s">
        <v>8371</v>
      </c>
      <c r="G899" s="4" t="s">
        <v>8389</v>
      </c>
      <c r="H899" s="4" t="s">
        <v>8390</v>
      </c>
      <c r="I899" s="3" t="s">
        <v>49</v>
      </c>
      <c r="J899" s="3" t="s">
        <v>99</v>
      </c>
      <c r="K899" s="3" t="s">
        <v>45</v>
      </c>
      <c r="L899" s="3" t="s">
        <v>2528</v>
      </c>
      <c r="M899" s="3" t="s">
        <v>45</v>
      </c>
      <c r="N899" s="4" t="s">
        <v>2566</v>
      </c>
      <c r="O899" s="3" t="s">
        <v>88</v>
      </c>
      <c r="P899" s="3" t="s">
        <v>45</v>
      </c>
      <c r="Q899" s="3" t="s">
        <v>45</v>
      </c>
      <c r="R899" s="3" t="s">
        <v>45</v>
      </c>
      <c r="S899" s="3" t="s">
        <v>45</v>
      </c>
      <c r="T899" s="3" t="s">
        <v>45</v>
      </c>
      <c r="U899" s="3" t="s">
        <v>45</v>
      </c>
      <c r="V899" s="3" t="s">
        <v>45</v>
      </c>
      <c r="W899" s="4" t="s">
        <v>2248</v>
      </c>
      <c r="X899" s="3" t="s">
        <v>45</v>
      </c>
      <c r="Y899" s="4" t="s">
        <v>317</v>
      </c>
      <c r="Z899" s="3" t="s">
        <v>74</v>
      </c>
      <c r="AA899" s="3" t="s">
        <v>45</v>
      </c>
      <c r="AB899" s="3" t="s">
        <v>45</v>
      </c>
      <c r="AC899" s="3" t="s">
        <v>45</v>
      </c>
      <c r="AD899" s="3" t="s">
        <v>45</v>
      </c>
      <c r="AE899" s="3" t="s">
        <v>45</v>
      </c>
      <c r="AF899" s="3" t="s">
        <v>45</v>
      </c>
      <c r="AG899" s="3" t="s">
        <v>45</v>
      </c>
      <c r="AH899" s="3" t="s">
        <v>57</v>
      </c>
      <c r="AI899" s="5" t="s">
        <v>8391</v>
      </c>
      <c r="AJ899" s="5" t="s">
        <v>8392</v>
      </c>
      <c r="AK899" s="3" t="s">
        <v>45</v>
      </c>
      <c r="AL899" s="3" t="s">
        <v>45</v>
      </c>
      <c r="AM899" s="3" t="s">
        <v>45</v>
      </c>
      <c r="AN899" s="3" t="s">
        <v>45</v>
      </c>
      <c r="AO899" s="3" t="s">
        <v>45</v>
      </c>
      <c r="AP899" s="3" t="s">
        <v>45</v>
      </c>
      <c r="AQ899" s="4" t="s">
        <v>5398</v>
      </c>
      <c r="AR899" s="4" t="s">
        <v>5398</v>
      </c>
    </row>
    <row r="900">
      <c r="A900" s="3" t="s">
        <v>8393</v>
      </c>
      <c r="B900" s="3" t="s">
        <v>8394</v>
      </c>
      <c r="C900" s="3" t="s">
        <v>8395</v>
      </c>
      <c r="D900" s="3" t="s">
        <v>8268</v>
      </c>
      <c r="E900" s="4" t="s">
        <v>8396</v>
      </c>
      <c r="F900" s="3" t="s">
        <v>8395</v>
      </c>
      <c r="G900" s="4" t="s">
        <v>8397</v>
      </c>
      <c r="H900" s="4" t="s">
        <v>8398</v>
      </c>
      <c r="I900" s="3" t="s">
        <v>49</v>
      </c>
      <c r="J900" s="3" t="s">
        <v>126</v>
      </c>
      <c r="K900" s="3" t="s">
        <v>45</v>
      </c>
      <c r="L900" s="3" t="s">
        <v>45</v>
      </c>
      <c r="M900" s="3" t="s">
        <v>45</v>
      </c>
      <c r="N900" s="3" t="s">
        <v>45</v>
      </c>
      <c r="O900" s="3" t="s">
        <v>74</v>
      </c>
      <c r="P900" s="3" t="s">
        <v>45</v>
      </c>
      <c r="Q900" s="3" t="s">
        <v>45</v>
      </c>
      <c r="R900" s="3" t="s">
        <v>45</v>
      </c>
      <c r="S900" s="3" t="s">
        <v>45</v>
      </c>
      <c r="T900" s="3" t="s">
        <v>45</v>
      </c>
      <c r="U900" s="3" t="s">
        <v>45</v>
      </c>
      <c r="V900" s="4" t="s">
        <v>8399</v>
      </c>
      <c r="W900" s="3" t="s">
        <v>45</v>
      </c>
      <c r="X900" s="3" t="s">
        <v>45</v>
      </c>
      <c r="Y900" s="4" t="s">
        <v>727</v>
      </c>
      <c r="Z900" s="3" t="s">
        <v>74</v>
      </c>
      <c r="AA900" s="3" t="s">
        <v>45</v>
      </c>
      <c r="AB900" s="3" t="s">
        <v>45</v>
      </c>
      <c r="AC900" s="3" t="s">
        <v>45</v>
      </c>
      <c r="AD900" s="3" t="s">
        <v>45</v>
      </c>
      <c r="AE900" s="3" t="s">
        <v>45</v>
      </c>
      <c r="AF900" s="3" t="s">
        <v>45</v>
      </c>
      <c r="AG900" s="3" t="s">
        <v>45</v>
      </c>
      <c r="AH900" s="3" t="s">
        <v>57</v>
      </c>
      <c r="AI900" s="5" t="s">
        <v>8400</v>
      </c>
      <c r="AJ900" s="3" t="s">
        <v>45</v>
      </c>
      <c r="AK900" s="3" t="s">
        <v>45</v>
      </c>
      <c r="AL900" s="3" t="s">
        <v>45</v>
      </c>
      <c r="AM900" s="3" t="s">
        <v>45</v>
      </c>
      <c r="AN900" s="3" t="s">
        <v>45</v>
      </c>
      <c r="AO900" s="3" t="s">
        <v>45</v>
      </c>
      <c r="AP900" s="3" t="s">
        <v>45</v>
      </c>
      <c r="AQ900" s="4" t="s">
        <v>671</v>
      </c>
      <c r="AR900" s="4" t="s">
        <v>671</v>
      </c>
    </row>
    <row r="901">
      <c r="A901" s="3" t="s">
        <v>8401</v>
      </c>
      <c r="B901" s="3" t="s">
        <v>8402</v>
      </c>
      <c r="C901" s="3" t="s">
        <v>8395</v>
      </c>
      <c r="D901" s="3" t="s">
        <v>8268</v>
      </c>
      <c r="E901" s="4" t="s">
        <v>8403</v>
      </c>
      <c r="F901" s="3" t="s">
        <v>8395</v>
      </c>
      <c r="G901" s="4" t="s">
        <v>8404</v>
      </c>
      <c r="H901" s="4" t="s">
        <v>8405</v>
      </c>
      <c r="I901" s="3" t="s">
        <v>49</v>
      </c>
      <c r="J901" s="3" t="s">
        <v>126</v>
      </c>
      <c r="K901" s="3" t="s">
        <v>45</v>
      </c>
      <c r="L901" s="3" t="s">
        <v>1569</v>
      </c>
      <c r="M901" s="3" t="s">
        <v>45</v>
      </c>
      <c r="N901" s="3" t="s">
        <v>45</v>
      </c>
      <c r="O901" s="3" t="s">
        <v>74</v>
      </c>
      <c r="P901" s="3" t="s">
        <v>45</v>
      </c>
      <c r="Q901" s="3" t="s">
        <v>45</v>
      </c>
      <c r="R901" s="3" t="s">
        <v>45</v>
      </c>
      <c r="S901" s="3" t="s">
        <v>45</v>
      </c>
      <c r="T901" s="3" t="s">
        <v>45</v>
      </c>
      <c r="U901" s="3" t="s">
        <v>45</v>
      </c>
      <c r="V901" s="3" t="s">
        <v>45</v>
      </c>
      <c r="W901" s="4" t="s">
        <v>535</v>
      </c>
      <c r="X901" s="3" t="s">
        <v>45</v>
      </c>
      <c r="Y901" s="3" t="s">
        <v>45</v>
      </c>
      <c r="Z901" s="3" t="s">
        <v>74</v>
      </c>
      <c r="AA901" s="3" t="s">
        <v>45</v>
      </c>
      <c r="AB901" s="3" t="s">
        <v>45</v>
      </c>
      <c r="AC901" s="3" t="s">
        <v>45</v>
      </c>
      <c r="AD901" s="3" t="s">
        <v>45</v>
      </c>
      <c r="AE901" s="3" t="s">
        <v>45</v>
      </c>
      <c r="AF901" s="3" t="s">
        <v>45</v>
      </c>
      <c r="AG901" s="3" t="s">
        <v>45</v>
      </c>
      <c r="AH901" s="3" t="s">
        <v>57</v>
      </c>
      <c r="AI901" s="5" t="s">
        <v>8400</v>
      </c>
      <c r="AJ901" s="3" t="s">
        <v>45</v>
      </c>
      <c r="AK901" s="3" t="s">
        <v>45</v>
      </c>
      <c r="AL901" s="3" t="s">
        <v>45</v>
      </c>
      <c r="AM901" s="3" t="s">
        <v>45</v>
      </c>
      <c r="AN901" s="3" t="s">
        <v>45</v>
      </c>
      <c r="AO901" s="3" t="s">
        <v>45</v>
      </c>
      <c r="AP901" s="3" t="s">
        <v>45</v>
      </c>
      <c r="AQ901" s="4" t="s">
        <v>671</v>
      </c>
      <c r="AR901" s="4" t="s">
        <v>671</v>
      </c>
    </row>
    <row r="902">
      <c r="A902" s="3" t="s">
        <v>8406</v>
      </c>
      <c r="B902" s="3" t="s">
        <v>8407</v>
      </c>
      <c r="C902" s="3" t="s">
        <v>8408</v>
      </c>
      <c r="D902" s="3" t="s">
        <v>8268</v>
      </c>
      <c r="E902" s="3" t="s">
        <v>45</v>
      </c>
      <c r="F902" s="3" t="s">
        <v>8409</v>
      </c>
      <c r="G902" s="4" t="s">
        <v>8410</v>
      </c>
      <c r="H902" s="4" t="s">
        <v>8411</v>
      </c>
      <c r="I902" s="3" t="s">
        <v>49</v>
      </c>
      <c r="J902" s="3" t="s">
        <v>99</v>
      </c>
      <c r="K902" s="3" t="s">
        <v>45</v>
      </c>
      <c r="L902" s="3" t="s">
        <v>45</v>
      </c>
      <c r="M902" s="3" t="s">
        <v>45</v>
      </c>
      <c r="N902" s="4" t="s">
        <v>1094</v>
      </c>
      <c r="O902" s="3" t="s">
        <v>70</v>
      </c>
      <c r="P902" s="3" t="s">
        <v>45</v>
      </c>
      <c r="Q902" s="3" t="s">
        <v>45</v>
      </c>
      <c r="R902" s="3" t="s">
        <v>45</v>
      </c>
      <c r="S902" s="3" t="s">
        <v>45</v>
      </c>
      <c r="T902" s="3" t="s">
        <v>45</v>
      </c>
      <c r="U902" s="3" t="s">
        <v>45</v>
      </c>
      <c r="V902" s="3" t="s">
        <v>45</v>
      </c>
      <c r="W902" s="4" t="s">
        <v>8412</v>
      </c>
      <c r="X902" s="3" t="s">
        <v>45</v>
      </c>
      <c r="Y902" s="3" t="s">
        <v>45</v>
      </c>
      <c r="Z902" s="3" t="s">
        <v>74</v>
      </c>
      <c r="AA902" s="3" t="s">
        <v>45</v>
      </c>
      <c r="AB902" s="3" t="s">
        <v>45</v>
      </c>
      <c r="AC902" s="3" t="s">
        <v>45</v>
      </c>
      <c r="AD902" s="3" t="s">
        <v>45</v>
      </c>
      <c r="AE902" s="3" t="s">
        <v>45</v>
      </c>
      <c r="AF902" s="3" t="s">
        <v>45</v>
      </c>
      <c r="AG902" s="3" t="s">
        <v>8413</v>
      </c>
      <c r="AH902" s="3" t="s">
        <v>57</v>
      </c>
      <c r="AI902" s="5" t="s">
        <v>8414</v>
      </c>
      <c r="AJ902" s="3" t="s">
        <v>45</v>
      </c>
      <c r="AK902" s="3" t="s">
        <v>45</v>
      </c>
      <c r="AL902" s="3" t="s">
        <v>45</v>
      </c>
      <c r="AM902" s="3" t="s">
        <v>45</v>
      </c>
      <c r="AN902" s="3" t="s">
        <v>45</v>
      </c>
      <c r="AO902" s="3" t="s">
        <v>45</v>
      </c>
      <c r="AP902" s="3" t="s">
        <v>45</v>
      </c>
      <c r="AQ902" s="4" t="s">
        <v>1049</v>
      </c>
      <c r="AR902" s="4" t="s">
        <v>1049</v>
      </c>
    </row>
    <row r="903">
      <c r="A903" s="3" t="s">
        <v>7474</v>
      </c>
      <c r="B903" s="3" t="s">
        <v>8264</v>
      </c>
      <c r="C903" s="3" t="s">
        <v>8415</v>
      </c>
      <c r="D903" s="3" t="s">
        <v>8268</v>
      </c>
      <c r="E903" s="4" t="s">
        <v>8416</v>
      </c>
      <c r="F903" s="3" t="s">
        <v>8417</v>
      </c>
      <c r="G903" s="4" t="s">
        <v>8418</v>
      </c>
      <c r="H903" s="4" t="s">
        <v>8419</v>
      </c>
      <c r="I903" s="3" t="s">
        <v>49</v>
      </c>
      <c r="J903" s="3" t="s">
        <v>50</v>
      </c>
      <c r="K903" s="3" t="s">
        <v>45</v>
      </c>
      <c r="L903" s="3" t="s">
        <v>479</v>
      </c>
      <c r="M903" s="3" t="s">
        <v>45</v>
      </c>
      <c r="N903" s="3" t="s">
        <v>45</v>
      </c>
      <c r="O903" s="3" t="s">
        <v>74</v>
      </c>
      <c r="P903" s="3" t="s">
        <v>45</v>
      </c>
      <c r="Q903" s="3" t="s">
        <v>45</v>
      </c>
      <c r="R903" s="3" t="s">
        <v>45</v>
      </c>
      <c r="S903" s="4" t="s">
        <v>104</v>
      </c>
      <c r="T903" s="3" t="s">
        <v>45</v>
      </c>
      <c r="U903" s="3" t="s">
        <v>45</v>
      </c>
      <c r="V903" s="4" t="s">
        <v>8420</v>
      </c>
      <c r="W903" s="4" t="s">
        <v>8421</v>
      </c>
      <c r="X903" s="3" t="s">
        <v>2091</v>
      </c>
      <c r="Y903" s="4" t="s">
        <v>317</v>
      </c>
      <c r="Z903" s="3" t="s">
        <v>45</v>
      </c>
      <c r="AA903" s="3" t="s">
        <v>45</v>
      </c>
      <c r="AB903" s="3" t="s">
        <v>45</v>
      </c>
      <c r="AC903" s="3" t="s">
        <v>45</v>
      </c>
      <c r="AD903" s="3" t="s">
        <v>45</v>
      </c>
      <c r="AE903" s="3" t="s">
        <v>45</v>
      </c>
      <c r="AF903" s="3" t="s">
        <v>45</v>
      </c>
      <c r="AG903" s="3" t="s">
        <v>45</v>
      </c>
      <c r="AH903" s="3" t="s">
        <v>57</v>
      </c>
      <c r="AI903" s="5" t="s">
        <v>8422</v>
      </c>
      <c r="AJ903" s="3" t="s">
        <v>45</v>
      </c>
      <c r="AK903" s="3" t="s">
        <v>45</v>
      </c>
      <c r="AL903" s="3" t="s">
        <v>45</v>
      </c>
      <c r="AM903" s="3" t="s">
        <v>45</v>
      </c>
      <c r="AN903" s="3" t="s">
        <v>45</v>
      </c>
      <c r="AO903" s="3" t="s">
        <v>45</v>
      </c>
      <c r="AP903" s="3" t="s">
        <v>45</v>
      </c>
      <c r="AQ903" s="4" t="s">
        <v>1016</v>
      </c>
      <c r="AR903" s="4" t="s">
        <v>1016</v>
      </c>
    </row>
    <row r="904">
      <c r="A904" s="3" t="s">
        <v>8387</v>
      </c>
      <c r="B904" s="3" t="s">
        <v>74</v>
      </c>
      <c r="C904" s="3" t="s">
        <v>8423</v>
      </c>
      <c r="D904" s="3" t="s">
        <v>8268</v>
      </c>
      <c r="E904" s="3" t="s">
        <v>45</v>
      </c>
      <c r="F904" s="3" t="s">
        <v>8424</v>
      </c>
      <c r="G904" s="4" t="s">
        <v>8425</v>
      </c>
      <c r="H904" s="4" t="s">
        <v>8426</v>
      </c>
      <c r="I904" s="3" t="s">
        <v>49</v>
      </c>
      <c r="J904" s="3" t="s">
        <v>99</v>
      </c>
      <c r="K904" s="3" t="s">
        <v>45</v>
      </c>
      <c r="L904" s="3" t="s">
        <v>2528</v>
      </c>
      <c r="M904" s="3" t="s">
        <v>45</v>
      </c>
      <c r="N904" s="3" t="s">
        <v>8427</v>
      </c>
      <c r="O904" s="3" t="s">
        <v>88</v>
      </c>
      <c r="P904" s="3" t="s">
        <v>45</v>
      </c>
      <c r="Q904" s="3" t="s">
        <v>45</v>
      </c>
      <c r="R904" s="3" t="s">
        <v>45</v>
      </c>
      <c r="S904" s="3" t="s">
        <v>45</v>
      </c>
      <c r="T904" s="3" t="s">
        <v>45</v>
      </c>
      <c r="U904" s="3" t="s">
        <v>45</v>
      </c>
      <c r="V904" s="3" t="s">
        <v>45</v>
      </c>
      <c r="W904" s="4" t="s">
        <v>5990</v>
      </c>
      <c r="X904" s="3" t="s">
        <v>45</v>
      </c>
      <c r="Y904" s="3" t="s">
        <v>45</v>
      </c>
      <c r="Z904" s="3" t="s">
        <v>74</v>
      </c>
      <c r="AA904" s="3" t="s">
        <v>45</v>
      </c>
      <c r="AB904" s="3" t="s">
        <v>45</v>
      </c>
      <c r="AC904" s="3" t="s">
        <v>45</v>
      </c>
      <c r="AD904" s="3" t="s">
        <v>45</v>
      </c>
      <c r="AE904" s="3" t="s">
        <v>45</v>
      </c>
      <c r="AF904" s="3" t="s">
        <v>45</v>
      </c>
      <c r="AG904" s="3" t="s">
        <v>45</v>
      </c>
      <c r="AH904" s="3" t="s">
        <v>57</v>
      </c>
      <c r="AI904" s="5" t="s">
        <v>8428</v>
      </c>
      <c r="AJ904" s="3" t="s">
        <v>45</v>
      </c>
      <c r="AK904" s="3" t="s">
        <v>45</v>
      </c>
      <c r="AL904" s="3" t="s">
        <v>45</v>
      </c>
      <c r="AM904" s="3" t="s">
        <v>45</v>
      </c>
      <c r="AN904" s="3" t="s">
        <v>45</v>
      </c>
      <c r="AO904" s="3" t="s">
        <v>45</v>
      </c>
      <c r="AP904" s="3" t="s">
        <v>45</v>
      </c>
      <c r="AQ904" s="4" t="s">
        <v>5398</v>
      </c>
      <c r="AR904" s="4" t="s">
        <v>5398</v>
      </c>
    </row>
    <row r="905">
      <c r="A905" s="3" t="s">
        <v>8429</v>
      </c>
      <c r="B905" s="3" t="s">
        <v>8430</v>
      </c>
      <c r="C905" s="3" t="s">
        <v>8431</v>
      </c>
      <c r="D905" s="3" t="s">
        <v>8268</v>
      </c>
      <c r="E905" s="4" t="s">
        <v>8432</v>
      </c>
      <c r="F905" s="3" t="s">
        <v>2525</v>
      </c>
      <c r="G905" s="4" t="s">
        <v>8433</v>
      </c>
      <c r="H905" s="4" t="s">
        <v>8434</v>
      </c>
      <c r="I905" s="3" t="s">
        <v>49</v>
      </c>
      <c r="J905" s="3" t="s">
        <v>8435</v>
      </c>
      <c r="K905" s="3" t="s">
        <v>45</v>
      </c>
      <c r="L905" s="3" t="s">
        <v>8436</v>
      </c>
      <c r="M905" s="3" t="s">
        <v>45</v>
      </c>
      <c r="N905" s="4" t="s">
        <v>1553</v>
      </c>
      <c r="O905" s="3" t="s">
        <v>390</v>
      </c>
      <c r="P905" s="3" t="s">
        <v>8437</v>
      </c>
      <c r="Q905" s="3" t="s">
        <v>8438</v>
      </c>
      <c r="R905" s="3" t="s">
        <v>45</v>
      </c>
      <c r="S905" s="4" t="s">
        <v>835</v>
      </c>
      <c r="T905" s="3" t="s">
        <v>105</v>
      </c>
      <c r="U905" s="3" t="s">
        <v>221</v>
      </c>
      <c r="V905" s="4" t="s">
        <v>1814</v>
      </c>
      <c r="W905" s="4" t="s">
        <v>8439</v>
      </c>
      <c r="X905" s="3" t="s">
        <v>8440</v>
      </c>
      <c r="Y905" s="3" t="s">
        <v>45</v>
      </c>
      <c r="Z905" s="3" t="s">
        <v>55</v>
      </c>
      <c r="AA905" s="3" t="s">
        <v>45</v>
      </c>
      <c r="AB905" s="3" t="s">
        <v>45</v>
      </c>
      <c r="AC905" s="3" t="s">
        <v>45</v>
      </c>
      <c r="AD905" s="3" t="s">
        <v>45</v>
      </c>
      <c r="AE905" s="3" t="s">
        <v>45</v>
      </c>
      <c r="AF905" s="5" t="s">
        <v>8441</v>
      </c>
      <c r="AG905" s="3" t="s">
        <v>45</v>
      </c>
      <c r="AH905" s="3" t="s">
        <v>57</v>
      </c>
      <c r="AI905" s="5" t="s">
        <v>8442</v>
      </c>
      <c r="AJ905" s="3" t="s">
        <v>45</v>
      </c>
      <c r="AK905" s="3" t="s">
        <v>45</v>
      </c>
      <c r="AL905" s="3" t="s">
        <v>45</v>
      </c>
      <c r="AM905" s="3" t="s">
        <v>45</v>
      </c>
      <c r="AN905" s="3" t="s">
        <v>45</v>
      </c>
      <c r="AO905" s="3" t="s">
        <v>45</v>
      </c>
      <c r="AP905" s="3" t="s">
        <v>45</v>
      </c>
      <c r="AQ905" s="4" t="s">
        <v>1754</v>
      </c>
      <c r="AR905" s="4" t="s">
        <v>1754</v>
      </c>
    </row>
    <row r="906">
      <c r="A906" s="3" t="s">
        <v>8443</v>
      </c>
      <c r="B906" s="3" t="s">
        <v>8444</v>
      </c>
      <c r="C906" s="3" t="s">
        <v>5533</v>
      </c>
      <c r="D906" s="3" t="s">
        <v>8268</v>
      </c>
      <c r="E906" s="4" t="s">
        <v>8445</v>
      </c>
      <c r="F906" s="3" t="s">
        <v>8446</v>
      </c>
      <c r="G906" s="4" t="s">
        <v>8447</v>
      </c>
      <c r="H906" s="4" t="s">
        <v>8448</v>
      </c>
      <c r="I906" s="3" t="s">
        <v>49</v>
      </c>
      <c r="J906" s="3" t="s">
        <v>126</v>
      </c>
      <c r="K906" s="3" t="s">
        <v>45</v>
      </c>
      <c r="L906" s="3" t="s">
        <v>45</v>
      </c>
      <c r="M906" s="3" t="s">
        <v>45</v>
      </c>
      <c r="N906" s="4" t="s">
        <v>622</v>
      </c>
      <c r="O906" s="3" t="s">
        <v>70</v>
      </c>
      <c r="P906" s="3" t="s">
        <v>45</v>
      </c>
      <c r="Q906" s="3" t="s">
        <v>45</v>
      </c>
      <c r="R906" s="3" t="s">
        <v>45</v>
      </c>
      <c r="S906" s="3" t="s">
        <v>45</v>
      </c>
      <c r="T906" s="3" t="s">
        <v>45</v>
      </c>
      <c r="U906" s="3" t="s">
        <v>45</v>
      </c>
      <c r="V906" s="4" t="s">
        <v>8449</v>
      </c>
      <c r="W906" s="4" t="s">
        <v>8450</v>
      </c>
      <c r="X906" s="3" t="s">
        <v>5016</v>
      </c>
      <c r="Y906" s="3" t="s">
        <v>45</v>
      </c>
      <c r="Z906" s="3" t="s">
        <v>74</v>
      </c>
      <c r="AA906" s="3" t="s">
        <v>45</v>
      </c>
      <c r="AB906" s="3" t="s">
        <v>45</v>
      </c>
      <c r="AC906" s="3" t="s">
        <v>45</v>
      </c>
      <c r="AD906" s="3" t="s">
        <v>45</v>
      </c>
      <c r="AE906" s="3" t="s">
        <v>45</v>
      </c>
      <c r="AF906" s="3" t="s">
        <v>45</v>
      </c>
      <c r="AG906" s="3" t="s">
        <v>45</v>
      </c>
      <c r="AH906" s="3" t="s">
        <v>57</v>
      </c>
      <c r="AI906" s="5" t="s">
        <v>8451</v>
      </c>
      <c r="AJ906" s="5" t="s">
        <v>6723</v>
      </c>
      <c r="AK906" s="5" t="s">
        <v>8452</v>
      </c>
      <c r="AL906" s="3" t="s">
        <v>45</v>
      </c>
      <c r="AM906" s="3" t="s">
        <v>45</v>
      </c>
      <c r="AN906" s="3" t="s">
        <v>45</v>
      </c>
      <c r="AO906" s="3" t="s">
        <v>45</v>
      </c>
      <c r="AP906" s="3" t="s">
        <v>45</v>
      </c>
      <c r="AQ906" s="4" t="s">
        <v>5691</v>
      </c>
      <c r="AR906" s="4" t="s">
        <v>2459</v>
      </c>
    </row>
    <row r="907">
      <c r="A907" s="3" t="s">
        <v>45</v>
      </c>
      <c r="B907" s="3" t="s">
        <v>8453</v>
      </c>
      <c r="C907" s="3" t="s">
        <v>8454</v>
      </c>
      <c r="D907" s="3" t="s">
        <v>8268</v>
      </c>
      <c r="E907" s="4" t="s">
        <v>8455</v>
      </c>
      <c r="F907" s="3" t="s">
        <v>8456</v>
      </c>
      <c r="G907" s="4" t="s">
        <v>8457</v>
      </c>
      <c r="H907" s="4" t="s">
        <v>8458</v>
      </c>
      <c r="I907" s="3" t="s">
        <v>49</v>
      </c>
      <c r="J907" s="3" t="s">
        <v>126</v>
      </c>
      <c r="K907" s="3" t="s">
        <v>45</v>
      </c>
      <c r="L907" s="3" t="s">
        <v>409</v>
      </c>
      <c r="M907" s="3" t="s">
        <v>45</v>
      </c>
      <c r="N907" s="3" t="s">
        <v>45</v>
      </c>
      <c r="O907" s="3" t="s">
        <v>74</v>
      </c>
      <c r="P907" s="3" t="s">
        <v>45</v>
      </c>
      <c r="Q907" s="3" t="s">
        <v>45</v>
      </c>
      <c r="R907" s="3" t="s">
        <v>45</v>
      </c>
      <c r="S907" s="3" t="s">
        <v>45</v>
      </c>
      <c r="T907" s="3" t="s">
        <v>45</v>
      </c>
      <c r="U907" s="3" t="s">
        <v>45</v>
      </c>
      <c r="V907" s="4" t="s">
        <v>8459</v>
      </c>
      <c r="W907" s="3" t="s">
        <v>45</v>
      </c>
      <c r="X907" s="3" t="s">
        <v>45</v>
      </c>
      <c r="Y907" s="4" t="s">
        <v>73</v>
      </c>
      <c r="Z907" s="3" t="s">
        <v>74</v>
      </c>
      <c r="AA907" s="3" t="s">
        <v>45</v>
      </c>
      <c r="AB907" s="3" t="s">
        <v>45</v>
      </c>
      <c r="AC907" s="3" t="s">
        <v>45</v>
      </c>
      <c r="AD907" s="3" t="s">
        <v>45</v>
      </c>
      <c r="AE907" s="3" t="s">
        <v>45</v>
      </c>
      <c r="AF907" s="3" t="s">
        <v>45</v>
      </c>
      <c r="AG907" s="3" t="s">
        <v>45</v>
      </c>
      <c r="AH907" s="3" t="s">
        <v>57</v>
      </c>
      <c r="AI907" s="5" t="s">
        <v>8460</v>
      </c>
      <c r="AJ907" s="3" t="s">
        <v>45</v>
      </c>
      <c r="AK907" s="3" t="s">
        <v>45</v>
      </c>
      <c r="AL907" s="3" t="s">
        <v>45</v>
      </c>
      <c r="AM907" s="3" t="s">
        <v>45</v>
      </c>
      <c r="AN907" s="3" t="s">
        <v>45</v>
      </c>
      <c r="AO907" s="3" t="s">
        <v>45</v>
      </c>
      <c r="AP907" s="3" t="s">
        <v>45</v>
      </c>
      <c r="AQ907" s="4" t="s">
        <v>8335</v>
      </c>
      <c r="AR907" s="4" t="s">
        <v>8335</v>
      </c>
    </row>
    <row r="908">
      <c r="A908" s="3" t="s">
        <v>8461</v>
      </c>
      <c r="B908" s="3" t="s">
        <v>8453</v>
      </c>
      <c r="C908" s="3" t="s">
        <v>8454</v>
      </c>
      <c r="D908" s="3" t="s">
        <v>8268</v>
      </c>
      <c r="E908" s="4" t="s">
        <v>8455</v>
      </c>
      <c r="F908" s="3" t="s">
        <v>8456</v>
      </c>
      <c r="G908" s="4" t="s">
        <v>8457</v>
      </c>
      <c r="H908" s="4" t="s">
        <v>8458</v>
      </c>
      <c r="I908" s="3" t="s">
        <v>49</v>
      </c>
      <c r="J908" s="3" t="s">
        <v>126</v>
      </c>
      <c r="K908" s="3" t="s">
        <v>45</v>
      </c>
      <c r="L908" s="3" t="s">
        <v>409</v>
      </c>
      <c r="M908" s="3" t="s">
        <v>45</v>
      </c>
      <c r="N908" s="3" t="s">
        <v>45</v>
      </c>
      <c r="O908" s="3" t="s">
        <v>74</v>
      </c>
      <c r="P908" s="3" t="s">
        <v>45</v>
      </c>
      <c r="Q908" s="3" t="s">
        <v>45</v>
      </c>
      <c r="R908" s="3" t="s">
        <v>45</v>
      </c>
      <c r="S908" s="3" t="s">
        <v>45</v>
      </c>
      <c r="T908" s="3" t="s">
        <v>45</v>
      </c>
      <c r="U908" s="3" t="s">
        <v>45</v>
      </c>
      <c r="V908" s="4" t="s">
        <v>8459</v>
      </c>
      <c r="W908" s="3" t="s">
        <v>45</v>
      </c>
      <c r="X908" s="3" t="s">
        <v>45</v>
      </c>
      <c r="Y908" s="4" t="s">
        <v>73</v>
      </c>
      <c r="Z908" s="3" t="s">
        <v>74</v>
      </c>
      <c r="AA908" s="3" t="s">
        <v>45</v>
      </c>
      <c r="AB908" s="3" t="s">
        <v>45</v>
      </c>
      <c r="AC908" s="3" t="s">
        <v>45</v>
      </c>
      <c r="AD908" s="3" t="s">
        <v>45</v>
      </c>
      <c r="AE908" s="3" t="s">
        <v>45</v>
      </c>
      <c r="AF908" s="3" t="s">
        <v>45</v>
      </c>
      <c r="AG908" s="3" t="s">
        <v>45</v>
      </c>
      <c r="AH908" s="3" t="s">
        <v>57</v>
      </c>
      <c r="AI908" s="5" t="s">
        <v>8460</v>
      </c>
      <c r="AJ908" s="3" t="s">
        <v>45</v>
      </c>
      <c r="AK908" s="3" t="s">
        <v>45</v>
      </c>
      <c r="AL908" s="3" t="s">
        <v>45</v>
      </c>
      <c r="AM908" s="3" t="s">
        <v>45</v>
      </c>
      <c r="AN908" s="3" t="s">
        <v>45</v>
      </c>
      <c r="AO908" s="3" t="s">
        <v>45</v>
      </c>
      <c r="AP908" s="3" t="s">
        <v>45</v>
      </c>
      <c r="AQ908" s="4" t="s">
        <v>8335</v>
      </c>
      <c r="AR908" s="4" t="s">
        <v>8335</v>
      </c>
    </row>
    <row r="909">
      <c r="A909" s="3" t="s">
        <v>8462</v>
      </c>
      <c r="B909" s="3" t="s">
        <v>8463</v>
      </c>
      <c r="C909" s="3" t="s">
        <v>8464</v>
      </c>
      <c r="D909" s="3" t="s">
        <v>8268</v>
      </c>
      <c r="E909" s="4" t="s">
        <v>8396</v>
      </c>
      <c r="F909" s="3" t="s">
        <v>8395</v>
      </c>
      <c r="G909" s="4" t="s">
        <v>8465</v>
      </c>
      <c r="H909" s="4" t="s">
        <v>8466</v>
      </c>
      <c r="I909" s="3" t="s">
        <v>49</v>
      </c>
      <c r="J909" s="3" t="s">
        <v>126</v>
      </c>
      <c r="K909" s="3" t="s">
        <v>45</v>
      </c>
      <c r="L909" s="3" t="s">
        <v>1569</v>
      </c>
      <c r="M909" s="3" t="s">
        <v>45</v>
      </c>
      <c r="N909" s="3" t="s">
        <v>45</v>
      </c>
      <c r="O909" s="3" t="s">
        <v>88</v>
      </c>
      <c r="P909" s="3" t="s">
        <v>45</v>
      </c>
      <c r="Q909" s="3" t="s">
        <v>45</v>
      </c>
      <c r="R909" s="3" t="s">
        <v>45</v>
      </c>
      <c r="S909" s="4" t="s">
        <v>233</v>
      </c>
      <c r="T909" s="3" t="s">
        <v>45</v>
      </c>
      <c r="U909" s="3" t="s">
        <v>45</v>
      </c>
      <c r="V909" s="4" t="s">
        <v>8467</v>
      </c>
      <c r="W909" s="4" t="s">
        <v>535</v>
      </c>
      <c r="X909" s="3" t="s">
        <v>4752</v>
      </c>
      <c r="Y909" s="3" t="s">
        <v>45</v>
      </c>
      <c r="Z909" s="3" t="s">
        <v>74</v>
      </c>
      <c r="AA909" s="3" t="s">
        <v>45</v>
      </c>
      <c r="AB909" s="3" t="s">
        <v>45</v>
      </c>
      <c r="AC909" s="3" t="s">
        <v>45</v>
      </c>
      <c r="AD909" s="3" t="s">
        <v>45</v>
      </c>
      <c r="AE909" s="3" t="s">
        <v>45</v>
      </c>
      <c r="AF909" s="3" t="s">
        <v>45</v>
      </c>
      <c r="AG909" s="3" t="s">
        <v>45</v>
      </c>
      <c r="AH909" s="3" t="s">
        <v>57</v>
      </c>
      <c r="AI909" s="5" t="s">
        <v>8468</v>
      </c>
      <c r="AJ909" s="3" t="s">
        <v>45</v>
      </c>
      <c r="AK909" s="3" t="s">
        <v>45</v>
      </c>
      <c r="AL909" s="3" t="s">
        <v>45</v>
      </c>
      <c r="AM909" s="3" t="s">
        <v>45</v>
      </c>
      <c r="AN909" s="3" t="s">
        <v>45</v>
      </c>
      <c r="AO909" s="3" t="s">
        <v>45</v>
      </c>
      <c r="AP909" s="3" t="s">
        <v>45</v>
      </c>
      <c r="AQ909" s="4" t="s">
        <v>3183</v>
      </c>
      <c r="AR909" s="4" t="s">
        <v>3183</v>
      </c>
    </row>
    <row r="910">
      <c r="A910" s="3" t="s">
        <v>1559</v>
      </c>
      <c r="B910" s="3" t="s">
        <v>8469</v>
      </c>
      <c r="C910" s="3" t="s">
        <v>8464</v>
      </c>
      <c r="D910" s="3" t="s">
        <v>8268</v>
      </c>
      <c r="E910" s="4" t="s">
        <v>8396</v>
      </c>
      <c r="F910" s="3" t="s">
        <v>8395</v>
      </c>
      <c r="G910" s="4" t="s">
        <v>8470</v>
      </c>
      <c r="H910" s="4" t="s">
        <v>8471</v>
      </c>
      <c r="I910" s="3" t="s">
        <v>49</v>
      </c>
      <c r="J910" s="3" t="s">
        <v>126</v>
      </c>
      <c r="K910" s="3" t="s">
        <v>45</v>
      </c>
      <c r="L910" s="3" t="s">
        <v>45</v>
      </c>
      <c r="M910" s="3" t="s">
        <v>45</v>
      </c>
      <c r="N910" s="3" t="s">
        <v>45</v>
      </c>
      <c r="O910" s="3" t="s">
        <v>74</v>
      </c>
      <c r="P910" s="3" t="s">
        <v>45</v>
      </c>
      <c r="Q910" s="3" t="s">
        <v>45</v>
      </c>
      <c r="R910" s="3" t="s">
        <v>45</v>
      </c>
      <c r="S910" s="3" t="s">
        <v>45</v>
      </c>
      <c r="T910" s="3" t="s">
        <v>45</v>
      </c>
      <c r="U910" s="3" t="s">
        <v>45</v>
      </c>
      <c r="V910" s="4" t="s">
        <v>8399</v>
      </c>
      <c r="W910" s="3" t="s">
        <v>45</v>
      </c>
      <c r="X910" s="3" t="s">
        <v>8472</v>
      </c>
      <c r="Y910" s="3" t="s">
        <v>45</v>
      </c>
      <c r="Z910" s="3" t="s">
        <v>74</v>
      </c>
      <c r="AA910" s="3" t="s">
        <v>45</v>
      </c>
      <c r="AB910" s="3" t="s">
        <v>45</v>
      </c>
      <c r="AC910" s="3" t="s">
        <v>45</v>
      </c>
      <c r="AD910" s="3" t="s">
        <v>45</v>
      </c>
      <c r="AE910" s="3" t="s">
        <v>45</v>
      </c>
      <c r="AF910" s="3" t="s">
        <v>45</v>
      </c>
      <c r="AG910" s="3" t="s">
        <v>45</v>
      </c>
      <c r="AH910" s="3" t="s">
        <v>57</v>
      </c>
      <c r="AI910" s="5" t="s">
        <v>8473</v>
      </c>
      <c r="AJ910" s="3" t="s">
        <v>45</v>
      </c>
      <c r="AK910" s="3" t="s">
        <v>45</v>
      </c>
      <c r="AL910" s="3" t="s">
        <v>45</v>
      </c>
      <c r="AM910" s="3" t="s">
        <v>45</v>
      </c>
      <c r="AN910" s="3" t="s">
        <v>45</v>
      </c>
      <c r="AO910" s="3" t="s">
        <v>45</v>
      </c>
      <c r="AP910" s="3" t="s">
        <v>45</v>
      </c>
      <c r="AQ910" s="4" t="s">
        <v>8474</v>
      </c>
      <c r="AR910" s="4" t="s">
        <v>8474</v>
      </c>
    </row>
    <row r="911">
      <c r="A911" s="3" t="s">
        <v>8475</v>
      </c>
      <c r="B911" s="3" t="s">
        <v>8394</v>
      </c>
      <c r="C911" s="3" t="s">
        <v>8464</v>
      </c>
      <c r="D911" s="3" t="s">
        <v>8268</v>
      </c>
      <c r="E911" s="4" t="s">
        <v>8396</v>
      </c>
      <c r="F911" s="3" t="s">
        <v>8395</v>
      </c>
      <c r="G911" s="4" t="s">
        <v>8476</v>
      </c>
      <c r="H911" s="4" t="s">
        <v>8477</v>
      </c>
      <c r="I911" s="3" t="s">
        <v>218</v>
      </c>
      <c r="J911" s="3" t="s">
        <v>126</v>
      </c>
      <c r="K911" s="3" t="s">
        <v>45</v>
      </c>
      <c r="L911" s="3" t="s">
        <v>1569</v>
      </c>
      <c r="M911" s="3" t="s">
        <v>45</v>
      </c>
      <c r="N911" s="3" t="s">
        <v>45</v>
      </c>
      <c r="O911" s="3" t="s">
        <v>88</v>
      </c>
      <c r="P911" s="3" t="s">
        <v>45</v>
      </c>
      <c r="Q911" s="3" t="s">
        <v>45</v>
      </c>
      <c r="R911" s="3" t="s">
        <v>45</v>
      </c>
      <c r="S911" s="3" t="s">
        <v>45</v>
      </c>
      <c r="T911" s="3" t="s">
        <v>45</v>
      </c>
      <c r="U911" s="3" t="s">
        <v>45</v>
      </c>
      <c r="V911" s="4" t="s">
        <v>8399</v>
      </c>
      <c r="W911" s="3" t="s">
        <v>45</v>
      </c>
      <c r="X911" s="3" t="s">
        <v>45</v>
      </c>
      <c r="Y911" s="4" t="s">
        <v>727</v>
      </c>
      <c r="Z911" s="3" t="s">
        <v>74</v>
      </c>
      <c r="AA911" s="3" t="s">
        <v>45</v>
      </c>
      <c r="AB911" s="3" t="s">
        <v>45</v>
      </c>
      <c r="AC911" s="3" t="s">
        <v>45</v>
      </c>
      <c r="AD911" s="3" t="s">
        <v>45</v>
      </c>
      <c r="AE911" s="3" t="s">
        <v>45</v>
      </c>
      <c r="AF911" s="3" t="s">
        <v>45</v>
      </c>
      <c r="AG911" s="3" t="s">
        <v>45</v>
      </c>
      <c r="AH911" s="3" t="s">
        <v>57</v>
      </c>
      <c r="AI911" s="5" t="s">
        <v>8468</v>
      </c>
      <c r="AJ911" s="3" t="s">
        <v>45</v>
      </c>
      <c r="AK911" s="3" t="s">
        <v>45</v>
      </c>
      <c r="AL911" s="3" t="s">
        <v>45</v>
      </c>
      <c r="AM911" s="3" t="s">
        <v>45</v>
      </c>
      <c r="AN911" s="3" t="s">
        <v>45</v>
      </c>
      <c r="AO911" s="3" t="s">
        <v>45</v>
      </c>
      <c r="AP911" s="3" t="s">
        <v>45</v>
      </c>
      <c r="AQ911" s="4" t="s">
        <v>413</v>
      </c>
      <c r="AR911" s="4" t="s">
        <v>413</v>
      </c>
    </row>
    <row r="912">
      <c r="A912" s="3" t="s">
        <v>8478</v>
      </c>
      <c r="B912" s="3" t="s">
        <v>8479</v>
      </c>
      <c r="C912" s="3" t="s">
        <v>8480</v>
      </c>
      <c r="D912" s="3" t="s">
        <v>8268</v>
      </c>
      <c r="E912" s="4" t="s">
        <v>8481</v>
      </c>
      <c r="F912" s="3" t="s">
        <v>8480</v>
      </c>
      <c r="G912" s="4" t="s">
        <v>8482</v>
      </c>
      <c r="H912" s="4" t="s">
        <v>8483</v>
      </c>
      <c r="I912" s="3" t="s">
        <v>85</v>
      </c>
      <c r="J912" s="3" t="s">
        <v>126</v>
      </c>
      <c r="K912" s="3" t="s">
        <v>45</v>
      </c>
      <c r="L912" s="3" t="s">
        <v>8484</v>
      </c>
      <c r="M912" s="3" t="s">
        <v>45</v>
      </c>
      <c r="N912" s="4" t="s">
        <v>1083</v>
      </c>
      <c r="O912" s="3" t="s">
        <v>88</v>
      </c>
      <c r="P912" s="3" t="s">
        <v>45</v>
      </c>
      <c r="Q912" s="3" t="s">
        <v>45</v>
      </c>
      <c r="R912" s="3" t="s">
        <v>45</v>
      </c>
      <c r="S912" s="3" t="s">
        <v>45</v>
      </c>
      <c r="T912" s="3" t="s">
        <v>105</v>
      </c>
      <c r="U912" s="3" t="s">
        <v>45</v>
      </c>
      <c r="V912" s="3" t="s">
        <v>45</v>
      </c>
      <c r="W912" s="4" t="s">
        <v>3586</v>
      </c>
      <c r="X912" s="3" t="s">
        <v>45</v>
      </c>
      <c r="Y912" s="3" t="s">
        <v>45</v>
      </c>
      <c r="Z912" s="3" t="s">
        <v>74</v>
      </c>
      <c r="AA912" s="3" t="s">
        <v>45</v>
      </c>
      <c r="AB912" s="3" t="s">
        <v>45</v>
      </c>
      <c r="AC912" s="3" t="s">
        <v>45</v>
      </c>
      <c r="AD912" s="3" t="s">
        <v>45</v>
      </c>
      <c r="AE912" s="3" t="s">
        <v>45</v>
      </c>
      <c r="AF912" s="3" t="s">
        <v>45</v>
      </c>
      <c r="AG912" s="3" t="s">
        <v>8485</v>
      </c>
      <c r="AH912" s="3" t="s">
        <v>57</v>
      </c>
      <c r="AI912" s="5" t="s">
        <v>8486</v>
      </c>
      <c r="AJ912" s="5" t="s">
        <v>8487</v>
      </c>
      <c r="AK912" s="5" t="s">
        <v>8488</v>
      </c>
      <c r="AL912" s="3" t="s">
        <v>45</v>
      </c>
      <c r="AM912" s="3" t="s">
        <v>45</v>
      </c>
      <c r="AN912" s="3" t="s">
        <v>45</v>
      </c>
      <c r="AO912" s="3" t="s">
        <v>45</v>
      </c>
      <c r="AP912" s="3" t="s">
        <v>45</v>
      </c>
      <c r="AQ912" s="4" t="s">
        <v>8335</v>
      </c>
      <c r="AR912" s="4" t="s">
        <v>1059</v>
      </c>
    </row>
    <row r="913">
      <c r="A913" s="3" t="s">
        <v>8489</v>
      </c>
      <c r="B913" s="3" t="s">
        <v>8490</v>
      </c>
      <c r="C913" s="3" t="s">
        <v>8480</v>
      </c>
      <c r="D913" s="3" t="s">
        <v>8268</v>
      </c>
      <c r="E913" s="4" t="s">
        <v>8481</v>
      </c>
      <c r="F913" s="3" t="s">
        <v>8480</v>
      </c>
      <c r="G913" s="4" t="s">
        <v>8491</v>
      </c>
      <c r="H913" s="4" t="s">
        <v>8492</v>
      </c>
      <c r="I913" s="3" t="s">
        <v>49</v>
      </c>
      <c r="J913" s="3" t="s">
        <v>126</v>
      </c>
      <c r="K913" s="3" t="s">
        <v>45</v>
      </c>
      <c r="L913" s="3" t="s">
        <v>45</v>
      </c>
      <c r="M913" s="3" t="s">
        <v>45</v>
      </c>
      <c r="N913" s="3" t="s">
        <v>45</v>
      </c>
      <c r="O913" s="3" t="s">
        <v>74</v>
      </c>
      <c r="P913" s="3" t="s">
        <v>45</v>
      </c>
      <c r="Q913" s="3" t="s">
        <v>45</v>
      </c>
      <c r="R913" s="3" t="s">
        <v>45</v>
      </c>
      <c r="S913" s="3" t="s">
        <v>45</v>
      </c>
      <c r="T913" s="3" t="s">
        <v>45</v>
      </c>
      <c r="U913" s="3" t="s">
        <v>45</v>
      </c>
      <c r="V913" s="3" t="s">
        <v>45</v>
      </c>
      <c r="W913" s="4" t="s">
        <v>8493</v>
      </c>
      <c r="X913" s="3" t="s">
        <v>45</v>
      </c>
      <c r="Y913" s="3" t="s">
        <v>45</v>
      </c>
      <c r="Z913" s="3" t="s">
        <v>74</v>
      </c>
      <c r="AA913" s="3" t="s">
        <v>45</v>
      </c>
      <c r="AB913" s="3" t="s">
        <v>45</v>
      </c>
      <c r="AC913" s="3" t="s">
        <v>45</v>
      </c>
      <c r="AD913" s="3" t="s">
        <v>45</v>
      </c>
      <c r="AE913" s="3" t="s">
        <v>45</v>
      </c>
      <c r="AF913" s="3" t="s">
        <v>45</v>
      </c>
      <c r="AG913" s="3" t="s">
        <v>45</v>
      </c>
      <c r="AH913" s="3" t="s">
        <v>57</v>
      </c>
      <c r="AI913" s="5" t="s">
        <v>8494</v>
      </c>
      <c r="AJ913" s="5" t="s">
        <v>8486</v>
      </c>
      <c r="AK913" s="5" t="s">
        <v>8495</v>
      </c>
      <c r="AL913" s="3" t="s">
        <v>45</v>
      </c>
      <c r="AM913" s="3" t="s">
        <v>45</v>
      </c>
      <c r="AN913" s="3" t="s">
        <v>45</v>
      </c>
      <c r="AO913" s="3" t="s">
        <v>45</v>
      </c>
      <c r="AP913" s="3" t="s">
        <v>45</v>
      </c>
      <c r="AQ913" s="4" t="s">
        <v>8335</v>
      </c>
      <c r="AR913" s="4" t="s">
        <v>8335</v>
      </c>
    </row>
    <row r="914">
      <c r="A914" s="3" t="s">
        <v>8496</v>
      </c>
      <c r="B914" s="3" t="s">
        <v>8497</v>
      </c>
      <c r="C914" s="3" t="s">
        <v>8498</v>
      </c>
      <c r="D914" s="3" t="s">
        <v>8268</v>
      </c>
      <c r="E914" s="4" t="s">
        <v>8499</v>
      </c>
      <c r="F914" s="3" t="s">
        <v>7331</v>
      </c>
      <c r="G914" s="4" t="s">
        <v>8500</v>
      </c>
      <c r="H914" s="4" t="s">
        <v>8501</v>
      </c>
      <c r="I914" s="3" t="s">
        <v>218</v>
      </c>
      <c r="J914" s="3" t="s">
        <v>126</v>
      </c>
      <c r="K914" s="3" t="s">
        <v>743</v>
      </c>
      <c r="L914" s="3" t="s">
        <v>4918</v>
      </c>
      <c r="M914" s="3" t="s">
        <v>45</v>
      </c>
      <c r="N914" s="4" t="s">
        <v>8502</v>
      </c>
      <c r="O914" s="3" t="s">
        <v>70</v>
      </c>
      <c r="P914" s="3" t="s">
        <v>45</v>
      </c>
      <c r="Q914" s="3" t="s">
        <v>45</v>
      </c>
      <c r="R914" s="3" t="s">
        <v>45</v>
      </c>
      <c r="S914" s="4" t="s">
        <v>1872</v>
      </c>
      <c r="T914" s="3" t="s">
        <v>45</v>
      </c>
      <c r="U914" s="3" t="s">
        <v>45</v>
      </c>
      <c r="V914" s="4" t="s">
        <v>8503</v>
      </c>
      <c r="W914" s="3" t="s">
        <v>45</v>
      </c>
      <c r="X914" s="3" t="s">
        <v>8504</v>
      </c>
      <c r="Y914" s="3" t="s">
        <v>45</v>
      </c>
      <c r="Z914" s="3" t="s">
        <v>74</v>
      </c>
      <c r="AA914" s="3" t="s">
        <v>45</v>
      </c>
      <c r="AB914" s="3" t="s">
        <v>45</v>
      </c>
      <c r="AC914" s="3" t="s">
        <v>45</v>
      </c>
      <c r="AD914" s="3" t="s">
        <v>45</v>
      </c>
      <c r="AE914" s="3" t="s">
        <v>45</v>
      </c>
      <c r="AF914" s="3" t="s">
        <v>45</v>
      </c>
      <c r="AG914" s="3" t="s">
        <v>8505</v>
      </c>
      <c r="AH914" s="3" t="s">
        <v>57</v>
      </c>
      <c r="AI914" s="5" t="s">
        <v>8506</v>
      </c>
      <c r="AJ914" s="5" t="s">
        <v>8507</v>
      </c>
      <c r="AK914" s="3" t="s">
        <v>45</v>
      </c>
      <c r="AL914" s="3" t="s">
        <v>45</v>
      </c>
      <c r="AM914" s="3" t="s">
        <v>45</v>
      </c>
      <c r="AN914" s="3" t="s">
        <v>45</v>
      </c>
      <c r="AO914" s="3" t="s">
        <v>45</v>
      </c>
      <c r="AP914" s="3" t="s">
        <v>45</v>
      </c>
      <c r="AQ914" s="4" t="s">
        <v>2230</v>
      </c>
      <c r="AR914" s="4" t="s">
        <v>5002</v>
      </c>
    </row>
    <row r="915">
      <c r="A915" s="3" t="s">
        <v>8508</v>
      </c>
      <c r="B915" s="3" t="s">
        <v>45</v>
      </c>
      <c r="C915" s="3" t="s">
        <v>8509</v>
      </c>
      <c r="D915" s="3" t="s">
        <v>8268</v>
      </c>
      <c r="E915" s="3" t="s">
        <v>45</v>
      </c>
      <c r="F915" s="3" t="s">
        <v>8510</v>
      </c>
      <c r="G915" s="4" t="s">
        <v>8511</v>
      </c>
      <c r="H915" s="4" t="s">
        <v>8512</v>
      </c>
      <c r="I915" s="3" t="s">
        <v>245</v>
      </c>
      <c r="J915" s="3" t="s">
        <v>50</v>
      </c>
      <c r="K915" s="3" t="s">
        <v>45</v>
      </c>
      <c r="L915" s="3" t="s">
        <v>45</v>
      </c>
      <c r="M915" s="3" t="s">
        <v>45</v>
      </c>
      <c r="N915" s="4" t="s">
        <v>2222</v>
      </c>
      <c r="O915" s="3" t="s">
        <v>88</v>
      </c>
      <c r="P915" s="3" t="s">
        <v>45</v>
      </c>
      <c r="Q915" s="3" t="s">
        <v>45</v>
      </c>
      <c r="R915" s="3" t="s">
        <v>45</v>
      </c>
      <c r="S915" s="3" t="s">
        <v>45</v>
      </c>
      <c r="T915" s="3" t="s">
        <v>45</v>
      </c>
      <c r="U915" s="3" t="s">
        <v>45</v>
      </c>
      <c r="V915" s="3" t="s">
        <v>45</v>
      </c>
      <c r="W915" s="4" t="s">
        <v>419</v>
      </c>
      <c r="X915" s="3" t="s">
        <v>511</v>
      </c>
      <c r="Y915" s="3" t="s">
        <v>45</v>
      </c>
      <c r="Z915" s="3" t="s">
        <v>74</v>
      </c>
      <c r="AA915" s="3" t="s">
        <v>45</v>
      </c>
      <c r="AB915" s="3" t="s">
        <v>45</v>
      </c>
      <c r="AC915" s="3" t="s">
        <v>45</v>
      </c>
      <c r="AD915" s="3" t="s">
        <v>45</v>
      </c>
      <c r="AE915" s="3" t="s">
        <v>45</v>
      </c>
      <c r="AF915" s="3" t="s">
        <v>45</v>
      </c>
      <c r="AG915" s="3" t="s">
        <v>8513</v>
      </c>
      <c r="AH915" s="3" t="s">
        <v>57</v>
      </c>
      <c r="AI915" s="5" t="s">
        <v>8514</v>
      </c>
      <c r="AJ915" s="5" t="s">
        <v>8515</v>
      </c>
      <c r="AK915" s="3" t="s">
        <v>45</v>
      </c>
      <c r="AL915" s="3" t="s">
        <v>45</v>
      </c>
      <c r="AM915" s="3" t="s">
        <v>45</v>
      </c>
      <c r="AN915" s="3" t="s">
        <v>45</v>
      </c>
      <c r="AO915" s="3" t="s">
        <v>45</v>
      </c>
      <c r="AP915" s="3" t="s">
        <v>45</v>
      </c>
      <c r="AQ915" s="4" t="s">
        <v>3956</v>
      </c>
      <c r="AR915" s="4" t="s">
        <v>3956</v>
      </c>
    </row>
    <row r="916">
      <c r="A916" s="3" t="s">
        <v>8516</v>
      </c>
      <c r="B916" s="3" t="s">
        <v>8517</v>
      </c>
      <c r="C916" s="3" t="s">
        <v>8518</v>
      </c>
      <c r="D916" s="3" t="s">
        <v>8268</v>
      </c>
      <c r="E916" s="4" t="s">
        <v>8519</v>
      </c>
      <c r="F916" s="3" t="s">
        <v>8520</v>
      </c>
      <c r="G916" s="4" t="s">
        <v>8521</v>
      </c>
      <c r="H916" s="4" t="s">
        <v>8522</v>
      </c>
      <c r="I916" s="3" t="s">
        <v>85</v>
      </c>
      <c r="J916" s="3" t="s">
        <v>126</v>
      </c>
      <c r="K916" s="3" t="s">
        <v>45</v>
      </c>
      <c r="L916" s="3" t="s">
        <v>45</v>
      </c>
      <c r="M916" s="3" t="s">
        <v>45</v>
      </c>
      <c r="N916" s="4" t="s">
        <v>156</v>
      </c>
      <c r="O916" s="3" t="s">
        <v>88</v>
      </c>
      <c r="P916" s="3" t="s">
        <v>45</v>
      </c>
      <c r="Q916" s="3" t="s">
        <v>45</v>
      </c>
      <c r="R916" s="3" t="s">
        <v>45</v>
      </c>
      <c r="S916" s="3" t="s">
        <v>45</v>
      </c>
      <c r="T916" s="3" t="s">
        <v>45</v>
      </c>
      <c r="U916" s="3" t="s">
        <v>45</v>
      </c>
      <c r="V916" s="3" t="s">
        <v>45</v>
      </c>
      <c r="W916" s="3" t="s">
        <v>45</v>
      </c>
      <c r="X916" s="3" t="s">
        <v>45</v>
      </c>
      <c r="Y916" s="3" t="s">
        <v>45</v>
      </c>
      <c r="Z916" s="3" t="s">
        <v>74</v>
      </c>
      <c r="AA916" s="3" t="s">
        <v>45</v>
      </c>
      <c r="AB916" s="3" t="s">
        <v>45</v>
      </c>
      <c r="AC916" s="3" t="s">
        <v>45</v>
      </c>
      <c r="AD916" s="3" t="s">
        <v>45</v>
      </c>
      <c r="AE916" s="3" t="s">
        <v>45</v>
      </c>
      <c r="AF916" s="3" t="s">
        <v>45</v>
      </c>
      <c r="AG916" s="3" t="s">
        <v>45</v>
      </c>
      <c r="AH916" s="3" t="s">
        <v>57</v>
      </c>
      <c r="AI916" s="5" t="s">
        <v>8523</v>
      </c>
      <c r="AJ916" s="3" t="s">
        <v>45</v>
      </c>
      <c r="AK916" s="3" t="s">
        <v>45</v>
      </c>
      <c r="AL916" s="3" t="s">
        <v>45</v>
      </c>
      <c r="AM916" s="3" t="s">
        <v>45</v>
      </c>
      <c r="AN916" s="3" t="s">
        <v>45</v>
      </c>
      <c r="AO916" s="3" t="s">
        <v>45</v>
      </c>
      <c r="AP916" s="3" t="s">
        <v>45</v>
      </c>
      <c r="AQ916" s="4" t="s">
        <v>736</v>
      </c>
      <c r="AR916" s="4" t="s">
        <v>736</v>
      </c>
    </row>
    <row r="917">
      <c r="A917" s="3" t="s">
        <v>8524</v>
      </c>
      <c r="B917" s="3" t="s">
        <v>8525</v>
      </c>
      <c r="C917" s="3" t="s">
        <v>8526</v>
      </c>
      <c r="D917" s="3" t="s">
        <v>8268</v>
      </c>
      <c r="E917" s="4" t="s">
        <v>8527</v>
      </c>
      <c r="F917" s="3" t="s">
        <v>8528</v>
      </c>
      <c r="G917" s="4" t="s">
        <v>8529</v>
      </c>
      <c r="H917" s="4" t="s">
        <v>8530</v>
      </c>
      <c r="I917" s="3" t="s">
        <v>408</v>
      </c>
      <c r="J917" s="3" t="s">
        <v>50</v>
      </c>
      <c r="K917" s="3" t="s">
        <v>45</v>
      </c>
      <c r="L917" s="3" t="s">
        <v>3965</v>
      </c>
      <c r="M917" s="3" t="s">
        <v>45</v>
      </c>
      <c r="N917" s="4" t="s">
        <v>8531</v>
      </c>
      <c r="O917" s="3" t="s">
        <v>88</v>
      </c>
      <c r="P917" s="3" t="s">
        <v>220</v>
      </c>
      <c r="Q917" s="3" t="s">
        <v>45</v>
      </c>
      <c r="R917" s="3" t="s">
        <v>45</v>
      </c>
      <c r="S917" s="3" t="s">
        <v>45</v>
      </c>
      <c r="T917" s="3" t="s">
        <v>45</v>
      </c>
      <c r="U917" s="3" t="s">
        <v>45</v>
      </c>
      <c r="V917" s="3" t="s">
        <v>45</v>
      </c>
      <c r="W917" s="4" t="s">
        <v>8532</v>
      </c>
      <c r="X917" s="3" t="s">
        <v>45</v>
      </c>
      <c r="Y917" s="3" t="s">
        <v>45</v>
      </c>
      <c r="Z917" s="3" t="s">
        <v>74</v>
      </c>
      <c r="AA917" s="3" t="s">
        <v>45</v>
      </c>
      <c r="AB917" s="3" t="s">
        <v>45</v>
      </c>
      <c r="AC917" s="3" t="s">
        <v>45</v>
      </c>
      <c r="AD917" s="3" t="s">
        <v>45</v>
      </c>
      <c r="AE917" s="3" t="s">
        <v>45</v>
      </c>
      <c r="AF917" s="3" t="s">
        <v>45</v>
      </c>
      <c r="AG917" s="3" t="s">
        <v>45</v>
      </c>
      <c r="AH917" s="3" t="s">
        <v>57</v>
      </c>
      <c r="AI917" s="5" t="s">
        <v>8533</v>
      </c>
      <c r="AJ917" s="5" t="s">
        <v>8534</v>
      </c>
      <c r="AK917" s="3" t="s">
        <v>45</v>
      </c>
      <c r="AL917" s="3" t="s">
        <v>45</v>
      </c>
      <c r="AM917" s="3" t="s">
        <v>45</v>
      </c>
      <c r="AN917" s="3" t="s">
        <v>45</v>
      </c>
      <c r="AO917" s="3" t="s">
        <v>45</v>
      </c>
      <c r="AP917" s="3" t="s">
        <v>45</v>
      </c>
      <c r="AQ917" s="4" t="s">
        <v>3382</v>
      </c>
      <c r="AR917" s="4" t="s">
        <v>3382</v>
      </c>
    </row>
    <row r="918">
      <c r="A918" s="3" t="s">
        <v>8535</v>
      </c>
      <c r="B918" s="3" t="s">
        <v>8536</v>
      </c>
      <c r="C918" s="3" t="s">
        <v>8537</v>
      </c>
      <c r="D918" s="3" t="s">
        <v>8268</v>
      </c>
      <c r="E918" s="4" t="s">
        <v>8538</v>
      </c>
      <c r="F918" s="3" t="s">
        <v>8539</v>
      </c>
      <c r="G918" s="4" t="s">
        <v>8540</v>
      </c>
      <c r="H918" s="4" t="s">
        <v>8541</v>
      </c>
      <c r="I918" s="3" t="s">
        <v>408</v>
      </c>
      <c r="J918" s="3" t="s">
        <v>126</v>
      </c>
      <c r="K918" s="3" t="s">
        <v>45</v>
      </c>
      <c r="L918" s="3" t="s">
        <v>45</v>
      </c>
      <c r="M918" s="3" t="s">
        <v>45</v>
      </c>
      <c r="N918" s="3" t="s">
        <v>8542</v>
      </c>
      <c r="O918" s="3" t="s">
        <v>70</v>
      </c>
      <c r="P918" s="3" t="s">
        <v>220</v>
      </c>
      <c r="Q918" s="3" t="s">
        <v>45</v>
      </c>
      <c r="R918" s="3" t="s">
        <v>45</v>
      </c>
      <c r="S918" s="4" t="s">
        <v>8543</v>
      </c>
      <c r="T918" s="3" t="s">
        <v>45</v>
      </c>
      <c r="U918" s="3" t="s">
        <v>45</v>
      </c>
      <c r="V918" s="3" t="s">
        <v>45</v>
      </c>
      <c r="W918" s="4" t="s">
        <v>8544</v>
      </c>
      <c r="X918" s="3" t="s">
        <v>45</v>
      </c>
      <c r="Y918" s="3" t="s">
        <v>45</v>
      </c>
      <c r="Z918" s="3" t="s">
        <v>74</v>
      </c>
      <c r="AA918" s="3" t="s">
        <v>45</v>
      </c>
      <c r="AB918" s="3" t="s">
        <v>45</v>
      </c>
      <c r="AC918" s="3" t="s">
        <v>45</v>
      </c>
      <c r="AD918" s="3" t="s">
        <v>45</v>
      </c>
      <c r="AE918" s="3" t="s">
        <v>45</v>
      </c>
      <c r="AF918" s="3" t="s">
        <v>45</v>
      </c>
      <c r="AG918" s="3" t="s">
        <v>8545</v>
      </c>
      <c r="AH918" s="3" t="s">
        <v>57</v>
      </c>
      <c r="AI918" s="5" t="s">
        <v>8546</v>
      </c>
      <c r="AJ918" s="5" t="s">
        <v>8547</v>
      </c>
      <c r="AK918" s="5" t="s">
        <v>8548</v>
      </c>
      <c r="AL918" s="5" t="s">
        <v>8549</v>
      </c>
      <c r="AM918" s="5" t="s">
        <v>8550</v>
      </c>
      <c r="AN918" s="5" t="s">
        <v>8551</v>
      </c>
      <c r="AO918" s="5" t="s">
        <v>3884</v>
      </c>
      <c r="AP918" s="5" t="s">
        <v>8552</v>
      </c>
      <c r="AQ918" s="4" t="s">
        <v>3552</v>
      </c>
      <c r="AR918" s="4" t="s">
        <v>413</v>
      </c>
    </row>
    <row r="919">
      <c r="A919" s="3" t="s">
        <v>8553</v>
      </c>
      <c r="B919" s="3" t="s">
        <v>8554</v>
      </c>
      <c r="C919" s="3" t="s">
        <v>8555</v>
      </c>
      <c r="D919" s="3" t="s">
        <v>8268</v>
      </c>
      <c r="E919" s="4" t="s">
        <v>8556</v>
      </c>
      <c r="F919" s="3" t="s">
        <v>8555</v>
      </c>
      <c r="G919" s="4" t="s">
        <v>8557</v>
      </c>
      <c r="H919" s="4" t="s">
        <v>8558</v>
      </c>
      <c r="I919" s="3" t="s">
        <v>49</v>
      </c>
      <c r="J919" s="3" t="s">
        <v>50</v>
      </c>
      <c r="K919" s="3" t="s">
        <v>743</v>
      </c>
      <c r="L919" s="3" t="s">
        <v>45</v>
      </c>
      <c r="M919" s="3" t="s">
        <v>45</v>
      </c>
      <c r="N919" s="3" t="s">
        <v>45</v>
      </c>
      <c r="O919" s="3" t="s">
        <v>74</v>
      </c>
      <c r="P919" s="3" t="s">
        <v>45</v>
      </c>
      <c r="Q919" s="3" t="s">
        <v>45</v>
      </c>
      <c r="R919" s="3" t="s">
        <v>45</v>
      </c>
      <c r="S919" s="3" t="s">
        <v>45</v>
      </c>
      <c r="T919" s="3" t="s">
        <v>45</v>
      </c>
      <c r="U919" s="3" t="s">
        <v>45</v>
      </c>
      <c r="V919" s="3" t="s">
        <v>45</v>
      </c>
      <c r="W919" s="4" t="s">
        <v>8559</v>
      </c>
      <c r="X919" s="3" t="s">
        <v>45</v>
      </c>
      <c r="Y919" s="3" t="s">
        <v>45</v>
      </c>
      <c r="Z919" s="3" t="s">
        <v>74</v>
      </c>
      <c r="AA919" s="3" t="s">
        <v>45</v>
      </c>
      <c r="AB919" s="3" t="s">
        <v>45</v>
      </c>
      <c r="AC919" s="3" t="s">
        <v>45</v>
      </c>
      <c r="AD919" s="3" t="s">
        <v>45</v>
      </c>
      <c r="AE919" s="3" t="s">
        <v>45</v>
      </c>
      <c r="AF919" s="3" t="s">
        <v>45</v>
      </c>
      <c r="AG919" s="3" t="s">
        <v>45</v>
      </c>
      <c r="AH919" s="3" t="s">
        <v>57</v>
      </c>
      <c r="AI919" s="5" t="s">
        <v>5130</v>
      </c>
      <c r="AJ919" s="3" t="s">
        <v>45</v>
      </c>
      <c r="AK919" s="3" t="s">
        <v>45</v>
      </c>
      <c r="AL919" s="3" t="s">
        <v>45</v>
      </c>
      <c r="AM919" s="3" t="s">
        <v>45</v>
      </c>
      <c r="AN919" s="3" t="s">
        <v>45</v>
      </c>
      <c r="AO919" s="3" t="s">
        <v>45</v>
      </c>
      <c r="AP919" s="3" t="s">
        <v>45</v>
      </c>
      <c r="AQ919" s="4" t="s">
        <v>324</v>
      </c>
      <c r="AR919" s="4" t="s">
        <v>324</v>
      </c>
    </row>
    <row r="920">
      <c r="A920" s="3" t="s">
        <v>8560</v>
      </c>
      <c r="B920" s="3" t="s">
        <v>8561</v>
      </c>
      <c r="C920" s="3" t="s">
        <v>2884</v>
      </c>
      <c r="D920" s="3" t="s">
        <v>8268</v>
      </c>
      <c r="E920" s="4" t="s">
        <v>8562</v>
      </c>
      <c r="F920" s="3" t="s">
        <v>2884</v>
      </c>
      <c r="G920" s="4" t="s">
        <v>8563</v>
      </c>
      <c r="H920" s="4" t="s">
        <v>8564</v>
      </c>
      <c r="I920" s="3" t="s">
        <v>85</v>
      </c>
      <c r="J920" s="3" t="s">
        <v>126</v>
      </c>
      <c r="K920" s="3" t="s">
        <v>45</v>
      </c>
      <c r="L920" s="3" t="s">
        <v>45</v>
      </c>
      <c r="M920" s="3" t="s">
        <v>45</v>
      </c>
      <c r="N920" s="3" t="s">
        <v>45</v>
      </c>
      <c r="O920" s="3" t="s">
        <v>74</v>
      </c>
      <c r="P920" s="3" t="s">
        <v>45</v>
      </c>
      <c r="Q920" s="3" t="s">
        <v>45</v>
      </c>
      <c r="R920" s="3" t="s">
        <v>45</v>
      </c>
      <c r="S920" s="3" t="s">
        <v>45</v>
      </c>
      <c r="T920" s="3" t="s">
        <v>45</v>
      </c>
      <c r="U920" s="3" t="s">
        <v>45</v>
      </c>
      <c r="V920" s="3" t="s">
        <v>45</v>
      </c>
      <c r="W920" s="3" t="s">
        <v>45</v>
      </c>
      <c r="X920" s="3" t="s">
        <v>45</v>
      </c>
      <c r="Y920" s="3" t="s">
        <v>45</v>
      </c>
      <c r="Z920" s="3" t="s">
        <v>74</v>
      </c>
      <c r="AA920" s="3" t="s">
        <v>45</v>
      </c>
      <c r="AB920" s="3" t="s">
        <v>45</v>
      </c>
      <c r="AC920" s="3" t="s">
        <v>45</v>
      </c>
      <c r="AD920" s="3" t="s">
        <v>45</v>
      </c>
      <c r="AE920" s="3" t="s">
        <v>45</v>
      </c>
      <c r="AF920" s="3" t="s">
        <v>45</v>
      </c>
      <c r="AG920" s="3" t="s">
        <v>45</v>
      </c>
      <c r="AH920" s="3" t="s">
        <v>57</v>
      </c>
      <c r="AI920" s="3" t="s">
        <v>45</v>
      </c>
      <c r="AJ920" s="3" t="s">
        <v>45</v>
      </c>
      <c r="AK920" s="3" t="s">
        <v>45</v>
      </c>
      <c r="AL920" s="3" t="s">
        <v>45</v>
      </c>
      <c r="AM920" s="3" t="s">
        <v>45</v>
      </c>
      <c r="AN920" s="3" t="s">
        <v>45</v>
      </c>
      <c r="AO920" s="3" t="s">
        <v>45</v>
      </c>
      <c r="AP920" s="3" t="s">
        <v>45</v>
      </c>
      <c r="AQ920" s="4" t="s">
        <v>8335</v>
      </c>
      <c r="AR920" s="4" t="s">
        <v>8335</v>
      </c>
    </row>
    <row r="921">
      <c r="A921" s="3" t="s">
        <v>8565</v>
      </c>
      <c r="B921" s="3" t="s">
        <v>8566</v>
      </c>
      <c r="C921" s="3" t="s">
        <v>2884</v>
      </c>
      <c r="D921" s="3" t="s">
        <v>8268</v>
      </c>
      <c r="E921" s="4" t="s">
        <v>8567</v>
      </c>
      <c r="F921" s="3" t="s">
        <v>2884</v>
      </c>
      <c r="G921" s="4" t="s">
        <v>8568</v>
      </c>
      <c r="H921" s="4" t="s">
        <v>8569</v>
      </c>
      <c r="I921" s="3" t="s">
        <v>85</v>
      </c>
      <c r="J921" s="3" t="s">
        <v>126</v>
      </c>
      <c r="K921" s="3" t="s">
        <v>45</v>
      </c>
      <c r="L921" s="3" t="s">
        <v>45</v>
      </c>
      <c r="M921" s="3" t="s">
        <v>45</v>
      </c>
      <c r="N921" s="3" t="s">
        <v>45</v>
      </c>
      <c r="O921" s="3" t="s">
        <v>74</v>
      </c>
      <c r="P921" s="3" t="s">
        <v>45</v>
      </c>
      <c r="Q921" s="3" t="s">
        <v>45</v>
      </c>
      <c r="R921" s="3" t="s">
        <v>45</v>
      </c>
      <c r="S921" s="3" t="s">
        <v>45</v>
      </c>
      <c r="T921" s="3" t="s">
        <v>45</v>
      </c>
      <c r="U921" s="3" t="s">
        <v>45</v>
      </c>
      <c r="V921" s="3" t="s">
        <v>45</v>
      </c>
      <c r="W921" s="3" t="s">
        <v>45</v>
      </c>
      <c r="X921" s="3" t="s">
        <v>45</v>
      </c>
      <c r="Y921" s="3" t="s">
        <v>45</v>
      </c>
      <c r="Z921" s="3" t="s">
        <v>74</v>
      </c>
      <c r="AA921" s="3" t="s">
        <v>45</v>
      </c>
      <c r="AB921" s="3" t="s">
        <v>45</v>
      </c>
      <c r="AC921" s="3" t="s">
        <v>45</v>
      </c>
      <c r="AD921" s="3" t="s">
        <v>45</v>
      </c>
      <c r="AE921" s="3" t="s">
        <v>45</v>
      </c>
      <c r="AF921" s="3" t="s">
        <v>45</v>
      </c>
      <c r="AG921" s="3" t="s">
        <v>45</v>
      </c>
      <c r="AH921" s="3" t="s">
        <v>57</v>
      </c>
      <c r="AI921" s="3" t="s">
        <v>45</v>
      </c>
      <c r="AJ921" s="3" t="s">
        <v>45</v>
      </c>
      <c r="AK921" s="3" t="s">
        <v>45</v>
      </c>
      <c r="AL921" s="3" t="s">
        <v>45</v>
      </c>
      <c r="AM921" s="3" t="s">
        <v>45</v>
      </c>
      <c r="AN921" s="3" t="s">
        <v>45</v>
      </c>
      <c r="AO921" s="3" t="s">
        <v>45</v>
      </c>
      <c r="AP921" s="3" t="s">
        <v>45</v>
      </c>
      <c r="AQ921" s="4" t="s">
        <v>8335</v>
      </c>
      <c r="AR921" s="4" t="s">
        <v>8335</v>
      </c>
    </row>
    <row r="922">
      <c r="A922" s="3" t="s">
        <v>8570</v>
      </c>
      <c r="B922" s="3" t="s">
        <v>8571</v>
      </c>
      <c r="C922" s="3" t="s">
        <v>2884</v>
      </c>
      <c r="D922" s="3" t="s">
        <v>8268</v>
      </c>
      <c r="E922" s="4" t="s">
        <v>8572</v>
      </c>
      <c r="F922" s="3" t="s">
        <v>2884</v>
      </c>
      <c r="G922" s="4" t="s">
        <v>8573</v>
      </c>
      <c r="H922" s="4" t="s">
        <v>8574</v>
      </c>
      <c r="I922" s="3" t="s">
        <v>85</v>
      </c>
      <c r="J922" s="3" t="s">
        <v>126</v>
      </c>
      <c r="K922" s="3" t="s">
        <v>45</v>
      </c>
      <c r="L922" s="3" t="s">
        <v>45</v>
      </c>
      <c r="M922" s="3" t="s">
        <v>45</v>
      </c>
      <c r="N922" s="4" t="s">
        <v>472</v>
      </c>
      <c r="O922" s="3" t="s">
        <v>390</v>
      </c>
      <c r="P922" s="3" t="s">
        <v>45</v>
      </c>
      <c r="Q922" s="3" t="s">
        <v>45</v>
      </c>
      <c r="R922" s="3" t="s">
        <v>45</v>
      </c>
      <c r="S922" s="3" t="s">
        <v>45</v>
      </c>
      <c r="T922" s="3" t="s">
        <v>45</v>
      </c>
      <c r="U922" s="3" t="s">
        <v>45</v>
      </c>
      <c r="V922" s="4" t="s">
        <v>8575</v>
      </c>
      <c r="W922" s="3" t="s">
        <v>45</v>
      </c>
      <c r="X922" s="3" t="s">
        <v>45</v>
      </c>
      <c r="Y922" s="3" t="s">
        <v>45</v>
      </c>
      <c r="Z922" s="3" t="s">
        <v>74</v>
      </c>
      <c r="AA922" s="3" t="s">
        <v>45</v>
      </c>
      <c r="AB922" s="3" t="s">
        <v>45</v>
      </c>
      <c r="AC922" s="3" t="s">
        <v>45</v>
      </c>
      <c r="AD922" s="3" t="s">
        <v>45</v>
      </c>
      <c r="AE922" s="3" t="s">
        <v>45</v>
      </c>
      <c r="AF922" s="3" t="s">
        <v>45</v>
      </c>
      <c r="AG922" s="3" t="s">
        <v>45</v>
      </c>
      <c r="AH922" s="3" t="s">
        <v>57</v>
      </c>
      <c r="AI922" s="5" t="s">
        <v>614</v>
      </c>
      <c r="AJ922" s="3" t="s">
        <v>45</v>
      </c>
      <c r="AK922" s="3" t="s">
        <v>45</v>
      </c>
      <c r="AL922" s="3" t="s">
        <v>45</v>
      </c>
      <c r="AM922" s="3" t="s">
        <v>45</v>
      </c>
      <c r="AN922" s="3" t="s">
        <v>45</v>
      </c>
      <c r="AO922" s="3" t="s">
        <v>45</v>
      </c>
      <c r="AP922" s="3" t="s">
        <v>45</v>
      </c>
      <c r="AQ922" s="4" t="s">
        <v>393</v>
      </c>
      <c r="AR922" s="4" t="s">
        <v>393</v>
      </c>
    </row>
    <row r="923">
      <c r="A923" s="3" t="s">
        <v>8576</v>
      </c>
      <c r="B923" s="3" t="s">
        <v>8577</v>
      </c>
      <c r="C923" s="3" t="s">
        <v>2884</v>
      </c>
      <c r="D923" s="3" t="s">
        <v>8268</v>
      </c>
      <c r="E923" s="4" t="s">
        <v>8578</v>
      </c>
      <c r="F923" s="3" t="s">
        <v>2884</v>
      </c>
      <c r="G923" s="4" t="s">
        <v>8579</v>
      </c>
      <c r="H923" s="4" t="s">
        <v>8580</v>
      </c>
      <c r="I923" s="3" t="s">
        <v>49</v>
      </c>
      <c r="J923" s="3" t="s">
        <v>126</v>
      </c>
      <c r="K923" s="3" t="s">
        <v>45</v>
      </c>
      <c r="L923" s="3" t="s">
        <v>855</v>
      </c>
      <c r="M923" s="3" t="s">
        <v>45</v>
      </c>
      <c r="N923" s="3" t="s">
        <v>45</v>
      </c>
      <c r="O923" s="3" t="s">
        <v>88</v>
      </c>
      <c r="P923" s="3" t="s">
        <v>45</v>
      </c>
      <c r="Q923" s="3" t="s">
        <v>45</v>
      </c>
      <c r="R923" s="3" t="s">
        <v>45</v>
      </c>
      <c r="S923" s="3" t="s">
        <v>45</v>
      </c>
      <c r="T923" s="3" t="s">
        <v>45</v>
      </c>
      <c r="U923" s="3" t="s">
        <v>45</v>
      </c>
      <c r="V923" s="4" t="s">
        <v>1227</v>
      </c>
      <c r="W923" s="3" t="s">
        <v>45</v>
      </c>
      <c r="X923" s="3" t="s">
        <v>8581</v>
      </c>
      <c r="Y923" s="3" t="s">
        <v>2107</v>
      </c>
      <c r="Z923" s="3" t="s">
        <v>74</v>
      </c>
      <c r="AA923" s="3" t="s">
        <v>45</v>
      </c>
      <c r="AB923" s="3" t="s">
        <v>45</v>
      </c>
      <c r="AC923" s="3" t="s">
        <v>45</v>
      </c>
      <c r="AD923" s="3" t="s">
        <v>45</v>
      </c>
      <c r="AE923" s="3" t="s">
        <v>45</v>
      </c>
      <c r="AF923" s="3" t="s">
        <v>45</v>
      </c>
      <c r="AG923" s="3" t="s">
        <v>45</v>
      </c>
      <c r="AH923" s="3" t="s">
        <v>57</v>
      </c>
      <c r="AI923" s="5" t="s">
        <v>8582</v>
      </c>
      <c r="AJ923" s="3" t="s">
        <v>45</v>
      </c>
      <c r="AK923" s="3" t="s">
        <v>45</v>
      </c>
      <c r="AL923" s="3" t="s">
        <v>45</v>
      </c>
      <c r="AM923" s="3" t="s">
        <v>45</v>
      </c>
      <c r="AN923" s="3" t="s">
        <v>45</v>
      </c>
      <c r="AO923" s="3" t="s">
        <v>45</v>
      </c>
      <c r="AP923" s="3" t="s">
        <v>45</v>
      </c>
      <c r="AQ923" s="4" t="s">
        <v>282</v>
      </c>
      <c r="AR923" s="4" t="s">
        <v>282</v>
      </c>
    </row>
    <row r="924">
      <c r="A924" s="3" t="s">
        <v>8583</v>
      </c>
      <c r="B924" s="3" t="s">
        <v>8584</v>
      </c>
      <c r="C924" s="3" t="s">
        <v>2884</v>
      </c>
      <c r="D924" s="3" t="s">
        <v>8268</v>
      </c>
      <c r="E924" s="4" t="s">
        <v>8585</v>
      </c>
      <c r="F924" s="3" t="s">
        <v>2884</v>
      </c>
      <c r="G924" s="4" t="s">
        <v>8586</v>
      </c>
      <c r="H924" s="4" t="s">
        <v>8587</v>
      </c>
      <c r="I924" s="3" t="s">
        <v>85</v>
      </c>
      <c r="J924" s="3" t="s">
        <v>126</v>
      </c>
      <c r="K924" s="3" t="s">
        <v>45</v>
      </c>
      <c r="L924" s="3" t="s">
        <v>45</v>
      </c>
      <c r="M924" s="3" t="s">
        <v>45</v>
      </c>
      <c r="N924" s="3" t="s">
        <v>45</v>
      </c>
      <c r="O924" s="3" t="s">
        <v>74</v>
      </c>
      <c r="P924" s="3" t="s">
        <v>45</v>
      </c>
      <c r="Q924" s="3" t="s">
        <v>45</v>
      </c>
      <c r="R924" s="3" t="s">
        <v>45</v>
      </c>
      <c r="S924" s="3" t="s">
        <v>45</v>
      </c>
      <c r="T924" s="3" t="s">
        <v>45</v>
      </c>
      <c r="U924" s="3" t="s">
        <v>45</v>
      </c>
      <c r="V924" s="3" t="s">
        <v>45</v>
      </c>
      <c r="W924" s="3" t="s">
        <v>45</v>
      </c>
      <c r="X924" s="3" t="s">
        <v>45</v>
      </c>
      <c r="Y924" s="3" t="s">
        <v>45</v>
      </c>
      <c r="Z924" s="3" t="s">
        <v>74</v>
      </c>
      <c r="AA924" s="3" t="s">
        <v>45</v>
      </c>
      <c r="AB924" s="3" t="s">
        <v>45</v>
      </c>
      <c r="AC924" s="3" t="s">
        <v>45</v>
      </c>
      <c r="AD924" s="3" t="s">
        <v>45</v>
      </c>
      <c r="AE924" s="3" t="s">
        <v>45</v>
      </c>
      <c r="AF924" s="3" t="s">
        <v>45</v>
      </c>
      <c r="AG924" s="3" t="s">
        <v>45</v>
      </c>
      <c r="AH924" s="3" t="s">
        <v>57</v>
      </c>
      <c r="AI924" s="3" t="s">
        <v>45</v>
      </c>
      <c r="AJ924" s="3" t="s">
        <v>45</v>
      </c>
      <c r="AK924" s="3" t="s">
        <v>45</v>
      </c>
      <c r="AL924" s="3" t="s">
        <v>45</v>
      </c>
      <c r="AM924" s="3" t="s">
        <v>45</v>
      </c>
      <c r="AN924" s="3" t="s">
        <v>45</v>
      </c>
      <c r="AO924" s="3" t="s">
        <v>45</v>
      </c>
      <c r="AP924" s="3" t="s">
        <v>45</v>
      </c>
      <c r="AQ924" s="4" t="s">
        <v>8335</v>
      </c>
      <c r="AR924" s="4" t="s">
        <v>8335</v>
      </c>
    </row>
    <row r="925">
      <c r="A925" s="3" t="s">
        <v>8588</v>
      </c>
      <c r="B925" s="3" t="s">
        <v>8589</v>
      </c>
      <c r="C925" s="3" t="s">
        <v>2884</v>
      </c>
      <c r="D925" s="3" t="s">
        <v>8268</v>
      </c>
      <c r="E925" s="4" t="s">
        <v>8590</v>
      </c>
      <c r="F925" s="3" t="s">
        <v>8330</v>
      </c>
      <c r="G925" s="4" t="s">
        <v>8591</v>
      </c>
      <c r="H925" s="4" t="s">
        <v>8592</v>
      </c>
      <c r="I925" s="3" t="s">
        <v>85</v>
      </c>
      <c r="J925" s="3" t="s">
        <v>126</v>
      </c>
      <c r="K925" s="3" t="s">
        <v>45</v>
      </c>
      <c r="L925" s="3" t="s">
        <v>45</v>
      </c>
      <c r="M925" s="3" t="s">
        <v>45</v>
      </c>
      <c r="N925" s="4" t="s">
        <v>8593</v>
      </c>
      <c r="O925" s="3" t="s">
        <v>53</v>
      </c>
      <c r="P925" s="3" t="s">
        <v>45</v>
      </c>
      <c r="Q925" s="3" t="s">
        <v>45</v>
      </c>
      <c r="R925" s="3" t="s">
        <v>45</v>
      </c>
      <c r="S925" s="3" t="s">
        <v>45</v>
      </c>
      <c r="T925" s="3" t="s">
        <v>45</v>
      </c>
      <c r="U925" s="3" t="s">
        <v>45</v>
      </c>
      <c r="V925" s="4" t="s">
        <v>8594</v>
      </c>
      <c r="W925" s="3" t="s">
        <v>45</v>
      </c>
      <c r="X925" s="3" t="s">
        <v>45</v>
      </c>
      <c r="Y925" s="3" t="s">
        <v>45</v>
      </c>
      <c r="Z925" s="3" t="s">
        <v>74</v>
      </c>
      <c r="AA925" s="3" t="s">
        <v>45</v>
      </c>
      <c r="AB925" s="3" t="s">
        <v>45</v>
      </c>
      <c r="AC925" s="3" t="s">
        <v>45</v>
      </c>
      <c r="AD925" s="3" t="s">
        <v>45</v>
      </c>
      <c r="AE925" s="3" t="s">
        <v>45</v>
      </c>
      <c r="AF925" s="3" t="s">
        <v>45</v>
      </c>
      <c r="AG925" s="3" t="s">
        <v>45</v>
      </c>
      <c r="AH925" s="3" t="s">
        <v>57</v>
      </c>
      <c r="AI925" s="3" t="s">
        <v>45</v>
      </c>
      <c r="AJ925" s="3" t="s">
        <v>45</v>
      </c>
      <c r="AK925" s="3" t="s">
        <v>45</v>
      </c>
      <c r="AL925" s="3" t="s">
        <v>45</v>
      </c>
      <c r="AM925" s="3" t="s">
        <v>45</v>
      </c>
      <c r="AN925" s="3" t="s">
        <v>45</v>
      </c>
      <c r="AO925" s="3" t="s">
        <v>45</v>
      </c>
      <c r="AP925" s="3" t="s">
        <v>45</v>
      </c>
      <c r="AQ925" s="4" t="s">
        <v>8335</v>
      </c>
      <c r="AR925" s="4" t="s">
        <v>8335</v>
      </c>
    </row>
    <row r="926">
      <c r="A926" s="3" t="s">
        <v>8595</v>
      </c>
      <c r="B926" s="3" t="s">
        <v>8596</v>
      </c>
      <c r="C926" s="3" t="s">
        <v>2884</v>
      </c>
      <c r="D926" s="3" t="s">
        <v>8268</v>
      </c>
      <c r="E926" s="4" t="s">
        <v>8597</v>
      </c>
      <c r="F926" s="3" t="s">
        <v>2884</v>
      </c>
      <c r="G926" s="4" t="s">
        <v>8598</v>
      </c>
      <c r="H926" s="4" t="s">
        <v>8599</v>
      </c>
      <c r="I926" s="3" t="s">
        <v>85</v>
      </c>
      <c r="J926" s="3" t="s">
        <v>126</v>
      </c>
      <c r="K926" s="3" t="s">
        <v>45</v>
      </c>
      <c r="L926" s="3" t="s">
        <v>45</v>
      </c>
      <c r="M926" s="3" t="s">
        <v>45</v>
      </c>
      <c r="N926" s="3" t="s">
        <v>45</v>
      </c>
      <c r="O926" s="3" t="s">
        <v>74</v>
      </c>
      <c r="P926" s="3" t="s">
        <v>45</v>
      </c>
      <c r="Q926" s="3" t="s">
        <v>45</v>
      </c>
      <c r="R926" s="3" t="s">
        <v>45</v>
      </c>
      <c r="S926" s="3" t="s">
        <v>45</v>
      </c>
      <c r="T926" s="3" t="s">
        <v>45</v>
      </c>
      <c r="U926" s="3" t="s">
        <v>45</v>
      </c>
      <c r="V926" s="3" t="s">
        <v>45</v>
      </c>
      <c r="W926" s="3" t="s">
        <v>45</v>
      </c>
      <c r="X926" s="3" t="s">
        <v>45</v>
      </c>
      <c r="Y926" s="3" t="s">
        <v>45</v>
      </c>
      <c r="Z926" s="3" t="s">
        <v>74</v>
      </c>
      <c r="AA926" s="3" t="s">
        <v>45</v>
      </c>
      <c r="AB926" s="3" t="s">
        <v>45</v>
      </c>
      <c r="AC926" s="3" t="s">
        <v>45</v>
      </c>
      <c r="AD926" s="3" t="s">
        <v>45</v>
      </c>
      <c r="AE926" s="3" t="s">
        <v>45</v>
      </c>
      <c r="AF926" s="3" t="s">
        <v>45</v>
      </c>
      <c r="AG926" s="3" t="s">
        <v>8333</v>
      </c>
      <c r="AH926" s="3" t="s">
        <v>57</v>
      </c>
      <c r="AI926" s="5" t="s">
        <v>8334</v>
      </c>
      <c r="AJ926" s="3" t="s">
        <v>45</v>
      </c>
      <c r="AK926" s="3" t="s">
        <v>45</v>
      </c>
      <c r="AL926" s="3" t="s">
        <v>45</v>
      </c>
      <c r="AM926" s="3" t="s">
        <v>45</v>
      </c>
      <c r="AN926" s="3" t="s">
        <v>45</v>
      </c>
      <c r="AO926" s="3" t="s">
        <v>45</v>
      </c>
      <c r="AP926" s="3" t="s">
        <v>45</v>
      </c>
      <c r="AQ926" s="4" t="s">
        <v>8335</v>
      </c>
      <c r="AR926" s="4" t="s">
        <v>8335</v>
      </c>
    </row>
    <row r="927">
      <c r="A927" s="3" t="s">
        <v>8600</v>
      </c>
      <c r="B927" s="3" t="s">
        <v>8601</v>
      </c>
      <c r="C927" s="3" t="s">
        <v>2884</v>
      </c>
      <c r="D927" s="3" t="s">
        <v>8268</v>
      </c>
      <c r="E927" s="4" t="s">
        <v>8567</v>
      </c>
      <c r="F927" s="3" t="s">
        <v>2884</v>
      </c>
      <c r="G927" s="4" t="s">
        <v>8602</v>
      </c>
      <c r="H927" s="4" t="s">
        <v>8603</v>
      </c>
      <c r="I927" s="3" t="s">
        <v>49</v>
      </c>
      <c r="J927" s="3" t="s">
        <v>50</v>
      </c>
      <c r="K927" s="3" t="s">
        <v>45</v>
      </c>
      <c r="L927" s="3" t="s">
        <v>8604</v>
      </c>
      <c r="M927" s="3" t="s">
        <v>45</v>
      </c>
      <c r="N927" s="3" t="s">
        <v>8605</v>
      </c>
      <c r="O927" s="3" t="s">
        <v>88</v>
      </c>
      <c r="P927" s="3" t="s">
        <v>45</v>
      </c>
      <c r="Q927" s="3" t="s">
        <v>45</v>
      </c>
      <c r="R927" s="3" t="s">
        <v>45</v>
      </c>
      <c r="S927" s="3" t="s">
        <v>45</v>
      </c>
      <c r="T927" s="3" t="s">
        <v>45</v>
      </c>
      <c r="U927" s="3" t="s">
        <v>45</v>
      </c>
      <c r="V927" s="3" t="s">
        <v>45</v>
      </c>
      <c r="W927" s="4" t="s">
        <v>861</v>
      </c>
      <c r="X927" s="3" t="s">
        <v>45</v>
      </c>
      <c r="Y927" s="4" t="s">
        <v>317</v>
      </c>
      <c r="Z927" s="3" t="s">
        <v>74</v>
      </c>
      <c r="AA927" s="3" t="s">
        <v>45</v>
      </c>
      <c r="AB927" s="3" t="s">
        <v>45</v>
      </c>
      <c r="AC927" s="3" t="s">
        <v>45</v>
      </c>
      <c r="AD927" s="3" t="s">
        <v>45</v>
      </c>
      <c r="AE927" s="3" t="s">
        <v>45</v>
      </c>
      <c r="AF927" s="3" t="s">
        <v>45</v>
      </c>
      <c r="AG927" s="3" t="s">
        <v>45</v>
      </c>
      <c r="AH927" s="3" t="s">
        <v>57</v>
      </c>
      <c r="AI927" s="5" t="s">
        <v>8606</v>
      </c>
      <c r="AJ927" s="3" t="s">
        <v>45</v>
      </c>
      <c r="AK927" s="3" t="s">
        <v>45</v>
      </c>
      <c r="AL927" s="3" t="s">
        <v>45</v>
      </c>
      <c r="AM927" s="3" t="s">
        <v>45</v>
      </c>
      <c r="AN927" s="3" t="s">
        <v>45</v>
      </c>
      <c r="AO927" s="3" t="s">
        <v>45</v>
      </c>
      <c r="AP927" s="3" t="s">
        <v>45</v>
      </c>
      <c r="AQ927" s="4" t="s">
        <v>864</v>
      </c>
      <c r="AR927" s="4" t="s">
        <v>864</v>
      </c>
    </row>
    <row r="928">
      <c r="A928" s="3" t="s">
        <v>8607</v>
      </c>
      <c r="B928" s="3" t="s">
        <v>8608</v>
      </c>
      <c r="C928" s="3" t="s">
        <v>2884</v>
      </c>
      <c r="D928" s="3" t="s">
        <v>8268</v>
      </c>
      <c r="E928" s="4" t="s">
        <v>8572</v>
      </c>
      <c r="F928" s="3" t="s">
        <v>2884</v>
      </c>
      <c r="G928" s="4" t="s">
        <v>8609</v>
      </c>
      <c r="H928" s="4" t="s">
        <v>8610</v>
      </c>
      <c r="I928" s="3" t="s">
        <v>85</v>
      </c>
      <c r="J928" s="3" t="s">
        <v>126</v>
      </c>
      <c r="K928" s="3" t="s">
        <v>45</v>
      </c>
      <c r="L928" s="3" t="s">
        <v>45</v>
      </c>
      <c r="M928" s="3" t="s">
        <v>45</v>
      </c>
      <c r="N928" s="3" t="s">
        <v>45</v>
      </c>
      <c r="O928" s="3" t="s">
        <v>74</v>
      </c>
      <c r="P928" s="3" t="s">
        <v>45</v>
      </c>
      <c r="Q928" s="3" t="s">
        <v>45</v>
      </c>
      <c r="R928" s="3" t="s">
        <v>45</v>
      </c>
      <c r="S928" s="3" t="s">
        <v>45</v>
      </c>
      <c r="T928" s="3" t="s">
        <v>45</v>
      </c>
      <c r="U928" s="3" t="s">
        <v>45</v>
      </c>
      <c r="V928" s="3" t="s">
        <v>45</v>
      </c>
      <c r="W928" s="3" t="s">
        <v>45</v>
      </c>
      <c r="X928" s="3" t="s">
        <v>45</v>
      </c>
      <c r="Y928" s="3" t="s">
        <v>45</v>
      </c>
      <c r="Z928" s="3" t="s">
        <v>74</v>
      </c>
      <c r="AA928" s="3" t="s">
        <v>45</v>
      </c>
      <c r="AB928" s="3" t="s">
        <v>45</v>
      </c>
      <c r="AC928" s="3" t="s">
        <v>45</v>
      </c>
      <c r="AD928" s="3" t="s">
        <v>45</v>
      </c>
      <c r="AE928" s="3" t="s">
        <v>45</v>
      </c>
      <c r="AF928" s="3" t="s">
        <v>45</v>
      </c>
      <c r="AG928" s="3" t="s">
        <v>45</v>
      </c>
      <c r="AH928" s="3" t="s">
        <v>57</v>
      </c>
      <c r="AI928" s="3" t="s">
        <v>45</v>
      </c>
      <c r="AJ928" s="3" t="s">
        <v>45</v>
      </c>
      <c r="AK928" s="3" t="s">
        <v>45</v>
      </c>
      <c r="AL928" s="3" t="s">
        <v>45</v>
      </c>
      <c r="AM928" s="3" t="s">
        <v>45</v>
      </c>
      <c r="AN928" s="3" t="s">
        <v>45</v>
      </c>
      <c r="AO928" s="3" t="s">
        <v>45</v>
      </c>
      <c r="AP928" s="3" t="s">
        <v>45</v>
      </c>
      <c r="AQ928" s="4" t="s">
        <v>8335</v>
      </c>
      <c r="AR928" s="4" t="s">
        <v>8335</v>
      </c>
    </row>
    <row r="929">
      <c r="A929" s="3" t="s">
        <v>8611</v>
      </c>
      <c r="B929" s="3" t="s">
        <v>8612</v>
      </c>
      <c r="C929" s="3" t="s">
        <v>8613</v>
      </c>
      <c r="D929" s="3" t="s">
        <v>8268</v>
      </c>
      <c r="E929" s="4" t="s">
        <v>8614</v>
      </c>
      <c r="F929" s="3" t="s">
        <v>8613</v>
      </c>
      <c r="G929" s="4" t="s">
        <v>8615</v>
      </c>
      <c r="H929" s="4" t="s">
        <v>8616</v>
      </c>
      <c r="I929" s="3" t="s">
        <v>85</v>
      </c>
      <c r="J929" s="3" t="s">
        <v>126</v>
      </c>
      <c r="K929" s="3" t="s">
        <v>45</v>
      </c>
      <c r="L929" s="3" t="s">
        <v>45</v>
      </c>
      <c r="M929" s="3" t="s">
        <v>45</v>
      </c>
      <c r="N929" s="4" t="s">
        <v>3521</v>
      </c>
      <c r="O929" s="3" t="s">
        <v>88</v>
      </c>
      <c r="P929" s="3" t="s">
        <v>45</v>
      </c>
      <c r="Q929" s="3" t="s">
        <v>45</v>
      </c>
      <c r="R929" s="3" t="s">
        <v>45</v>
      </c>
      <c r="S929" s="3" t="s">
        <v>45</v>
      </c>
      <c r="T929" s="3" t="s">
        <v>45</v>
      </c>
      <c r="U929" s="3" t="s">
        <v>45</v>
      </c>
      <c r="V929" s="4" t="s">
        <v>8617</v>
      </c>
      <c r="W929" s="4" t="s">
        <v>8618</v>
      </c>
      <c r="X929" s="3" t="s">
        <v>45</v>
      </c>
      <c r="Y929" s="3" t="s">
        <v>45</v>
      </c>
      <c r="Z929" s="3" t="s">
        <v>74</v>
      </c>
      <c r="AA929" s="3" t="s">
        <v>45</v>
      </c>
      <c r="AB929" s="3" t="s">
        <v>45</v>
      </c>
      <c r="AC929" s="3" t="s">
        <v>45</v>
      </c>
      <c r="AD929" s="3" t="s">
        <v>45</v>
      </c>
      <c r="AE929" s="3" t="s">
        <v>45</v>
      </c>
      <c r="AF929" s="3" t="s">
        <v>45</v>
      </c>
      <c r="AG929" s="3" t="s">
        <v>8619</v>
      </c>
      <c r="AH929" s="3" t="s">
        <v>57</v>
      </c>
      <c r="AI929" s="5" t="s">
        <v>8486</v>
      </c>
      <c r="AJ929" s="5" t="s">
        <v>8620</v>
      </c>
      <c r="AK929" s="5" t="s">
        <v>8621</v>
      </c>
      <c r="AL929" s="3" t="s">
        <v>45</v>
      </c>
      <c r="AM929" s="3" t="s">
        <v>45</v>
      </c>
      <c r="AN929" s="3" t="s">
        <v>45</v>
      </c>
      <c r="AO929" s="3" t="s">
        <v>45</v>
      </c>
      <c r="AP929" s="3" t="s">
        <v>45</v>
      </c>
      <c r="AQ929" s="4" t="s">
        <v>8335</v>
      </c>
      <c r="AR929" s="4" t="s">
        <v>8335</v>
      </c>
    </row>
    <row r="930">
      <c r="A930" s="3" t="s">
        <v>8622</v>
      </c>
      <c r="B930" s="3" t="s">
        <v>8623</v>
      </c>
      <c r="C930" s="3" t="s">
        <v>8613</v>
      </c>
      <c r="D930" s="3" t="s">
        <v>8268</v>
      </c>
      <c r="E930" s="4" t="s">
        <v>8614</v>
      </c>
      <c r="F930" s="3" t="s">
        <v>8613</v>
      </c>
      <c r="G930" s="4" t="s">
        <v>8624</v>
      </c>
      <c r="H930" s="4" t="s">
        <v>8625</v>
      </c>
      <c r="I930" s="3" t="s">
        <v>49</v>
      </c>
      <c r="J930" s="3" t="s">
        <v>126</v>
      </c>
      <c r="K930" s="3" t="s">
        <v>45</v>
      </c>
      <c r="L930" s="3" t="s">
        <v>8622</v>
      </c>
      <c r="M930" s="3" t="s">
        <v>45</v>
      </c>
      <c r="N930" s="4" t="s">
        <v>2982</v>
      </c>
      <c r="O930" s="3" t="s">
        <v>390</v>
      </c>
      <c r="P930" s="3" t="s">
        <v>220</v>
      </c>
      <c r="Q930" s="3" t="s">
        <v>45</v>
      </c>
      <c r="R930" s="3" t="s">
        <v>45</v>
      </c>
      <c r="S930" s="4" t="s">
        <v>1610</v>
      </c>
      <c r="T930" s="3" t="s">
        <v>45</v>
      </c>
      <c r="U930" s="3" t="s">
        <v>221</v>
      </c>
      <c r="V930" s="3" t="s">
        <v>45</v>
      </c>
      <c r="W930" s="4" t="s">
        <v>104</v>
      </c>
      <c r="X930" s="3" t="s">
        <v>45</v>
      </c>
      <c r="Y930" s="3" t="s">
        <v>45</v>
      </c>
      <c r="Z930" s="3" t="s">
        <v>74</v>
      </c>
      <c r="AA930" s="3" t="s">
        <v>45</v>
      </c>
      <c r="AB930" s="3" t="s">
        <v>45</v>
      </c>
      <c r="AC930" s="3" t="s">
        <v>45</v>
      </c>
      <c r="AD930" s="3" t="s">
        <v>45</v>
      </c>
      <c r="AE930" s="3" t="s">
        <v>45</v>
      </c>
      <c r="AF930" s="3" t="s">
        <v>45</v>
      </c>
      <c r="AG930" s="3" t="s">
        <v>8626</v>
      </c>
      <c r="AH930" s="3" t="s">
        <v>57</v>
      </c>
      <c r="AI930" s="5" t="s">
        <v>8627</v>
      </c>
      <c r="AJ930" s="5" t="s">
        <v>8628</v>
      </c>
      <c r="AK930" s="3" t="s">
        <v>45</v>
      </c>
      <c r="AL930" s="3" t="s">
        <v>45</v>
      </c>
      <c r="AM930" s="3" t="s">
        <v>45</v>
      </c>
      <c r="AN930" s="3" t="s">
        <v>45</v>
      </c>
      <c r="AO930" s="3" t="s">
        <v>45</v>
      </c>
      <c r="AP930" s="3" t="s">
        <v>45</v>
      </c>
      <c r="AQ930" s="4" t="s">
        <v>1729</v>
      </c>
      <c r="AR930" s="4" t="s">
        <v>413</v>
      </c>
    </row>
    <row r="931">
      <c r="A931" s="3" t="s">
        <v>8629</v>
      </c>
      <c r="B931" s="3" t="s">
        <v>45</v>
      </c>
      <c r="C931" s="3" t="s">
        <v>8630</v>
      </c>
      <c r="D931" s="3" t="s">
        <v>8268</v>
      </c>
      <c r="E931" s="3" t="s">
        <v>45</v>
      </c>
      <c r="F931" s="3" t="s">
        <v>8631</v>
      </c>
      <c r="G931" s="4" t="s">
        <v>8632</v>
      </c>
      <c r="H931" s="4" t="s">
        <v>8633</v>
      </c>
      <c r="I931" s="3" t="s">
        <v>49</v>
      </c>
      <c r="J931" s="3" t="s">
        <v>99</v>
      </c>
      <c r="K931" s="3" t="s">
        <v>45</v>
      </c>
      <c r="L931" s="3" t="s">
        <v>45</v>
      </c>
      <c r="M931" s="3" t="s">
        <v>45</v>
      </c>
      <c r="N931" s="3" t="s">
        <v>8634</v>
      </c>
      <c r="O931" s="3" t="s">
        <v>70</v>
      </c>
      <c r="P931" s="3" t="s">
        <v>45</v>
      </c>
      <c r="Q931" s="3" t="s">
        <v>45</v>
      </c>
      <c r="R931" s="3" t="s">
        <v>45</v>
      </c>
      <c r="S931" s="3" t="s">
        <v>45</v>
      </c>
      <c r="T931" s="3" t="s">
        <v>45</v>
      </c>
      <c r="U931" s="3" t="s">
        <v>45</v>
      </c>
      <c r="V931" s="3" t="s">
        <v>45</v>
      </c>
      <c r="W931" s="4" t="s">
        <v>4047</v>
      </c>
      <c r="X931" s="3" t="s">
        <v>45</v>
      </c>
      <c r="Y931" s="3" t="s">
        <v>45</v>
      </c>
      <c r="Z931" s="3" t="s">
        <v>74</v>
      </c>
      <c r="AA931" s="3" t="s">
        <v>45</v>
      </c>
      <c r="AB931" s="3" t="s">
        <v>45</v>
      </c>
      <c r="AC931" s="3" t="s">
        <v>45</v>
      </c>
      <c r="AD931" s="3" t="s">
        <v>45</v>
      </c>
      <c r="AE931" s="3" t="s">
        <v>45</v>
      </c>
      <c r="AF931" s="3" t="s">
        <v>45</v>
      </c>
      <c r="AG931" s="3" t="s">
        <v>45</v>
      </c>
      <c r="AH931" s="3" t="s">
        <v>57</v>
      </c>
      <c r="AI931" s="5" t="s">
        <v>8635</v>
      </c>
      <c r="AJ931" s="3" t="s">
        <v>45</v>
      </c>
      <c r="AK931" s="3" t="s">
        <v>45</v>
      </c>
      <c r="AL931" s="3" t="s">
        <v>45</v>
      </c>
      <c r="AM931" s="3" t="s">
        <v>45</v>
      </c>
      <c r="AN931" s="3" t="s">
        <v>45</v>
      </c>
      <c r="AO931" s="3" t="s">
        <v>45</v>
      </c>
      <c r="AP931" s="3" t="s">
        <v>45</v>
      </c>
      <c r="AQ931" s="4" t="s">
        <v>2353</v>
      </c>
      <c r="AR931" s="4" t="s">
        <v>2353</v>
      </c>
    </row>
    <row r="932">
      <c r="A932" s="3" t="s">
        <v>8636</v>
      </c>
      <c r="B932" s="3" t="s">
        <v>8637</v>
      </c>
      <c r="C932" s="3" t="s">
        <v>8638</v>
      </c>
      <c r="D932" s="3" t="s">
        <v>8268</v>
      </c>
      <c r="E932" s="4" t="s">
        <v>8639</v>
      </c>
      <c r="F932" s="3" t="s">
        <v>8640</v>
      </c>
      <c r="G932" s="4" t="s">
        <v>8641</v>
      </c>
      <c r="H932" s="4" t="s">
        <v>8642</v>
      </c>
      <c r="I932" s="3" t="s">
        <v>49</v>
      </c>
      <c r="J932" s="3" t="s">
        <v>126</v>
      </c>
      <c r="K932" s="3" t="s">
        <v>45</v>
      </c>
      <c r="L932" s="3" t="s">
        <v>45</v>
      </c>
      <c r="M932" s="3" t="s">
        <v>45</v>
      </c>
      <c r="N932" s="3" t="s">
        <v>45</v>
      </c>
      <c r="O932" s="3" t="s">
        <v>74</v>
      </c>
      <c r="P932" s="3" t="s">
        <v>45</v>
      </c>
      <c r="Q932" s="3" t="s">
        <v>45</v>
      </c>
      <c r="R932" s="3" t="s">
        <v>45</v>
      </c>
      <c r="S932" s="3" t="s">
        <v>45</v>
      </c>
      <c r="T932" s="3" t="s">
        <v>45</v>
      </c>
      <c r="U932" s="3" t="s">
        <v>45</v>
      </c>
      <c r="V932" s="3" t="s">
        <v>45</v>
      </c>
      <c r="W932" s="3" t="s">
        <v>45</v>
      </c>
      <c r="X932" s="3" t="s">
        <v>45</v>
      </c>
      <c r="Y932" s="3" t="s">
        <v>45</v>
      </c>
      <c r="Z932" s="3" t="s">
        <v>74</v>
      </c>
      <c r="AA932" s="3" t="s">
        <v>45</v>
      </c>
      <c r="AB932" s="3" t="s">
        <v>45</v>
      </c>
      <c r="AC932" s="3" t="s">
        <v>45</v>
      </c>
      <c r="AD932" s="3" t="s">
        <v>45</v>
      </c>
      <c r="AE932" s="3" t="s">
        <v>45</v>
      </c>
      <c r="AF932" s="3" t="s">
        <v>45</v>
      </c>
      <c r="AG932" s="3" t="s">
        <v>45</v>
      </c>
      <c r="AH932" s="3" t="s">
        <v>57</v>
      </c>
      <c r="AI932" s="5" t="s">
        <v>8643</v>
      </c>
      <c r="AJ932" s="3" t="s">
        <v>45</v>
      </c>
      <c r="AK932" s="3" t="s">
        <v>45</v>
      </c>
      <c r="AL932" s="3" t="s">
        <v>45</v>
      </c>
      <c r="AM932" s="3" t="s">
        <v>45</v>
      </c>
      <c r="AN932" s="3" t="s">
        <v>45</v>
      </c>
      <c r="AO932" s="3" t="s">
        <v>45</v>
      </c>
      <c r="AP932" s="3" t="s">
        <v>45</v>
      </c>
      <c r="AQ932" s="4" t="s">
        <v>2649</v>
      </c>
      <c r="AR932" s="4" t="s">
        <v>2649</v>
      </c>
    </row>
    <row r="933">
      <c r="A933" s="3" t="s">
        <v>8644</v>
      </c>
      <c r="B933" s="3" t="s">
        <v>8645</v>
      </c>
      <c r="C933" s="3" t="s">
        <v>1029</v>
      </c>
      <c r="D933" s="3" t="s">
        <v>8268</v>
      </c>
      <c r="E933" s="4" t="s">
        <v>8646</v>
      </c>
      <c r="F933" s="3" t="s">
        <v>1029</v>
      </c>
      <c r="G933" s="4" t="s">
        <v>8647</v>
      </c>
      <c r="H933" s="4" t="s">
        <v>8648</v>
      </c>
      <c r="I933" s="3" t="s">
        <v>49</v>
      </c>
      <c r="J933" s="3" t="s">
        <v>126</v>
      </c>
      <c r="K933" s="3" t="s">
        <v>743</v>
      </c>
      <c r="L933" s="3" t="s">
        <v>8649</v>
      </c>
      <c r="M933" s="3" t="s">
        <v>45</v>
      </c>
      <c r="N933" s="4" t="s">
        <v>1196</v>
      </c>
      <c r="O933" s="3" t="s">
        <v>70</v>
      </c>
      <c r="P933" s="3" t="s">
        <v>45</v>
      </c>
      <c r="Q933" s="3" t="s">
        <v>45</v>
      </c>
      <c r="R933" s="4" t="s">
        <v>8650</v>
      </c>
      <c r="S933" s="3" t="s">
        <v>8651</v>
      </c>
      <c r="T933" s="3" t="s">
        <v>45</v>
      </c>
      <c r="U933" s="3" t="s">
        <v>45</v>
      </c>
      <c r="V933" s="4" t="s">
        <v>8652</v>
      </c>
      <c r="W933" s="4" t="s">
        <v>2222</v>
      </c>
      <c r="X933" s="3" t="s">
        <v>360</v>
      </c>
      <c r="Y933" s="4" t="s">
        <v>2073</v>
      </c>
      <c r="Z933" s="3" t="s">
        <v>74</v>
      </c>
      <c r="AA933" s="3" t="s">
        <v>45</v>
      </c>
      <c r="AB933" s="3" t="s">
        <v>45</v>
      </c>
      <c r="AC933" s="3" t="s">
        <v>45</v>
      </c>
      <c r="AD933" s="3" t="s">
        <v>45</v>
      </c>
      <c r="AE933" s="3" t="s">
        <v>45</v>
      </c>
      <c r="AF933" s="3" t="s">
        <v>45</v>
      </c>
      <c r="AG933" s="3" t="s">
        <v>8653</v>
      </c>
      <c r="AH933" s="3" t="s">
        <v>57</v>
      </c>
      <c r="AI933" s="5" t="s">
        <v>8654</v>
      </c>
      <c r="AJ933" s="3" t="s">
        <v>45</v>
      </c>
      <c r="AK933" s="3" t="s">
        <v>45</v>
      </c>
      <c r="AL933" s="3" t="s">
        <v>45</v>
      </c>
      <c r="AM933" s="3" t="s">
        <v>45</v>
      </c>
      <c r="AN933" s="3" t="s">
        <v>45</v>
      </c>
      <c r="AO933" s="3" t="s">
        <v>45</v>
      </c>
      <c r="AP933" s="3" t="s">
        <v>45</v>
      </c>
      <c r="AQ933" s="4" t="s">
        <v>2252</v>
      </c>
      <c r="AR933" s="4" t="s">
        <v>2065</v>
      </c>
    </row>
    <row r="934">
      <c r="A934" s="3" t="s">
        <v>3213</v>
      </c>
      <c r="B934" s="3" t="s">
        <v>8655</v>
      </c>
      <c r="C934" s="3" t="s">
        <v>6490</v>
      </c>
      <c r="D934" s="3" t="s">
        <v>8268</v>
      </c>
      <c r="E934" s="4" t="s">
        <v>8656</v>
      </c>
      <c r="F934" s="3" t="s">
        <v>8657</v>
      </c>
      <c r="G934" s="4" t="s">
        <v>8658</v>
      </c>
      <c r="H934" s="4" t="s">
        <v>8659</v>
      </c>
      <c r="I934" s="3" t="s">
        <v>218</v>
      </c>
      <c r="J934" s="3" t="s">
        <v>50</v>
      </c>
      <c r="K934" s="3" t="s">
        <v>45</v>
      </c>
      <c r="L934" s="3" t="s">
        <v>3213</v>
      </c>
      <c r="M934" s="3" t="s">
        <v>45</v>
      </c>
      <c r="N934" s="4" t="s">
        <v>3757</v>
      </c>
      <c r="O934" s="3" t="s">
        <v>88</v>
      </c>
      <c r="P934" s="3" t="s">
        <v>220</v>
      </c>
      <c r="Q934" s="3" t="s">
        <v>45</v>
      </c>
      <c r="R934" s="3" t="s">
        <v>45</v>
      </c>
      <c r="S934" s="3" t="s">
        <v>45</v>
      </c>
      <c r="T934" s="3" t="s">
        <v>45</v>
      </c>
      <c r="U934" s="3" t="s">
        <v>45</v>
      </c>
      <c r="V934" s="3" t="s">
        <v>45</v>
      </c>
      <c r="W934" s="4" t="s">
        <v>6857</v>
      </c>
      <c r="X934" s="3" t="s">
        <v>45</v>
      </c>
      <c r="Y934" s="3" t="s">
        <v>45</v>
      </c>
      <c r="Z934" s="3" t="s">
        <v>74</v>
      </c>
      <c r="AA934" s="3" t="s">
        <v>45</v>
      </c>
      <c r="AB934" s="3" t="s">
        <v>45</v>
      </c>
      <c r="AC934" s="3" t="s">
        <v>45</v>
      </c>
      <c r="AD934" s="3" t="s">
        <v>45</v>
      </c>
      <c r="AE934" s="3" t="s">
        <v>45</v>
      </c>
      <c r="AF934" s="3" t="s">
        <v>45</v>
      </c>
      <c r="AG934" s="3" t="s">
        <v>45</v>
      </c>
      <c r="AH934" s="3" t="s">
        <v>57</v>
      </c>
      <c r="AI934" s="5" t="s">
        <v>8660</v>
      </c>
      <c r="AJ934" s="5" t="s">
        <v>8661</v>
      </c>
      <c r="AK934" s="3" t="s">
        <v>45</v>
      </c>
      <c r="AL934" s="3" t="s">
        <v>45</v>
      </c>
      <c r="AM934" s="3" t="s">
        <v>45</v>
      </c>
      <c r="AN934" s="3" t="s">
        <v>45</v>
      </c>
      <c r="AO934" s="3" t="s">
        <v>45</v>
      </c>
      <c r="AP934" s="3" t="s">
        <v>45</v>
      </c>
      <c r="AQ934" s="4" t="s">
        <v>162</v>
      </c>
      <c r="AR934" s="4" t="s">
        <v>3183</v>
      </c>
    </row>
    <row r="935">
      <c r="A935" s="3" t="s">
        <v>8662</v>
      </c>
      <c r="B935" s="3" t="s">
        <v>8663</v>
      </c>
      <c r="C935" s="3" t="s">
        <v>8664</v>
      </c>
      <c r="D935" s="3" t="s">
        <v>8268</v>
      </c>
      <c r="E935" s="3" t="s">
        <v>45</v>
      </c>
      <c r="F935" s="3" t="s">
        <v>8665</v>
      </c>
      <c r="G935" s="4" t="s">
        <v>8666</v>
      </c>
      <c r="H935" s="4" t="s">
        <v>8667</v>
      </c>
      <c r="I935" s="3" t="s">
        <v>49</v>
      </c>
      <c r="J935" s="3" t="s">
        <v>50</v>
      </c>
      <c r="K935" s="3" t="s">
        <v>45</v>
      </c>
      <c r="L935" s="3" t="s">
        <v>45</v>
      </c>
      <c r="M935" s="3" t="s">
        <v>45</v>
      </c>
      <c r="N935" s="3" t="s">
        <v>45</v>
      </c>
      <c r="O935" s="3" t="s">
        <v>74</v>
      </c>
      <c r="P935" s="3" t="s">
        <v>45</v>
      </c>
      <c r="Q935" s="3" t="s">
        <v>45</v>
      </c>
      <c r="R935" s="3" t="s">
        <v>45</v>
      </c>
      <c r="S935" s="3" t="s">
        <v>45</v>
      </c>
      <c r="T935" s="3" t="s">
        <v>45</v>
      </c>
      <c r="U935" s="3" t="s">
        <v>45</v>
      </c>
      <c r="V935" s="3" t="s">
        <v>45</v>
      </c>
      <c r="W935" s="4" t="s">
        <v>8668</v>
      </c>
      <c r="X935" s="3" t="s">
        <v>45</v>
      </c>
      <c r="Y935" s="3" t="s">
        <v>45</v>
      </c>
      <c r="Z935" s="3" t="s">
        <v>74</v>
      </c>
      <c r="AA935" s="3" t="s">
        <v>45</v>
      </c>
      <c r="AB935" s="3" t="s">
        <v>45</v>
      </c>
      <c r="AC935" s="3" t="s">
        <v>45</v>
      </c>
      <c r="AD935" s="3" t="s">
        <v>45</v>
      </c>
      <c r="AE935" s="3" t="s">
        <v>45</v>
      </c>
      <c r="AF935" s="3" t="s">
        <v>45</v>
      </c>
      <c r="AG935" s="3" t="s">
        <v>45</v>
      </c>
      <c r="AH935" s="3" t="s">
        <v>57</v>
      </c>
      <c r="AI935" s="5" t="s">
        <v>8669</v>
      </c>
      <c r="AJ935" s="3" t="s">
        <v>45</v>
      </c>
      <c r="AK935" s="3" t="s">
        <v>45</v>
      </c>
      <c r="AL935" s="3" t="s">
        <v>45</v>
      </c>
      <c r="AM935" s="3" t="s">
        <v>45</v>
      </c>
      <c r="AN935" s="3" t="s">
        <v>45</v>
      </c>
      <c r="AO935" s="3" t="s">
        <v>45</v>
      </c>
      <c r="AP935" s="3" t="s">
        <v>45</v>
      </c>
      <c r="AQ935" s="4" t="s">
        <v>1188</v>
      </c>
      <c r="AR935" s="4" t="s">
        <v>1188</v>
      </c>
    </row>
    <row r="936">
      <c r="A936" s="3" t="s">
        <v>8670</v>
      </c>
      <c r="B936" s="3" t="s">
        <v>8671</v>
      </c>
      <c r="C936" s="3" t="s">
        <v>8672</v>
      </c>
      <c r="D936" s="3" t="s">
        <v>8268</v>
      </c>
      <c r="E936" s="4" t="s">
        <v>8673</v>
      </c>
      <c r="F936" s="3" t="s">
        <v>1029</v>
      </c>
      <c r="G936" s="4" t="s">
        <v>8674</v>
      </c>
      <c r="H936" s="4" t="s">
        <v>8675</v>
      </c>
      <c r="I936" s="3" t="s">
        <v>49</v>
      </c>
      <c r="J936" s="3" t="s">
        <v>50</v>
      </c>
      <c r="K936" s="3" t="s">
        <v>743</v>
      </c>
      <c r="L936" s="3" t="s">
        <v>45</v>
      </c>
      <c r="M936" s="3" t="s">
        <v>45</v>
      </c>
      <c r="N936" s="3" t="s">
        <v>45</v>
      </c>
      <c r="O936" s="3" t="s">
        <v>74</v>
      </c>
      <c r="P936" s="3" t="s">
        <v>45</v>
      </c>
      <c r="Q936" s="3" t="s">
        <v>45</v>
      </c>
      <c r="R936" s="3" t="s">
        <v>45</v>
      </c>
      <c r="S936" s="3" t="s">
        <v>45</v>
      </c>
      <c r="T936" s="3" t="s">
        <v>45</v>
      </c>
      <c r="U936" s="3" t="s">
        <v>45</v>
      </c>
      <c r="V936" s="3" t="s">
        <v>45</v>
      </c>
      <c r="W936" s="4" t="s">
        <v>8676</v>
      </c>
      <c r="X936" s="3" t="s">
        <v>45</v>
      </c>
      <c r="Y936" s="3" t="s">
        <v>45</v>
      </c>
      <c r="Z936" s="3" t="s">
        <v>74</v>
      </c>
      <c r="AA936" s="3" t="s">
        <v>45</v>
      </c>
      <c r="AB936" s="3" t="s">
        <v>45</v>
      </c>
      <c r="AC936" s="3" t="s">
        <v>45</v>
      </c>
      <c r="AD936" s="3" t="s">
        <v>45</v>
      </c>
      <c r="AE936" s="3" t="s">
        <v>45</v>
      </c>
      <c r="AF936" s="3" t="s">
        <v>45</v>
      </c>
      <c r="AG936" s="3" t="s">
        <v>45</v>
      </c>
      <c r="AH936" s="3" t="s">
        <v>57</v>
      </c>
      <c r="AI936" s="5" t="s">
        <v>5130</v>
      </c>
      <c r="AJ936" s="3" t="s">
        <v>45</v>
      </c>
      <c r="AK936" s="3" t="s">
        <v>45</v>
      </c>
      <c r="AL936" s="3" t="s">
        <v>45</v>
      </c>
      <c r="AM936" s="3" t="s">
        <v>45</v>
      </c>
      <c r="AN936" s="3" t="s">
        <v>45</v>
      </c>
      <c r="AO936" s="3" t="s">
        <v>45</v>
      </c>
      <c r="AP936" s="3" t="s">
        <v>45</v>
      </c>
      <c r="AQ936" s="4" t="s">
        <v>324</v>
      </c>
      <c r="AR936" s="4" t="s">
        <v>324</v>
      </c>
    </row>
    <row r="937">
      <c r="A937" s="3" t="s">
        <v>8677</v>
      </c>
      <c r="B937" s="3" t="s">
        <v>8678</v>
      </c>
      <c r="C937" s="3" t="s">
        <v>8679</v>
      </c>
      <c r="D937" s="3" t="s">
        <v>8268</v>
      </c>
      <c r="E937" s="4" t="s">
        <v>8680</v>
      </c>
      <c r="F937" s="3" t="s">
        <v>8681</v>
      </c>
      <c r="G937" s="4" t="s">
        <v>8682</v>
      </c>
      <c r="H937" s="4" t="s">
        <v>8683</v>
      </c>
      <c r="I937" s="3" t="s">
        <v>49</v>
      </c>
      <c r="J937" s="3" t="s">
        <v>50</v>
      </c>
      <c r="K937" s="3" t="s">
        <v>743</v>
      </c>
      <c r="L937" s="3" t="s">
        <v>8684</v>
      </c>
      <c r="M937" s="3" t="s">
        <v>45</v>
      </c>
      <c r="N937" s="4" t="s">
        <v>1094</v>
      </c>
      <c r="O937" s="3" t="s">
        <v>70</v>
      </c>
      <c r="P937" s="3" t="s">
        <v>45</v>
      </c>
      <c r="Q937" s="3" t="s">
        <v>45</v>
      </c>
      <c r="R937" s="3" t="s">
        <v>45</v>
      </c>
      <c r="S937" s="3" t="s">
        <v>45</v>
      </c>
      <c r="T937" s="3" t="s">
        <v>45</v>
      </c>
      <c r="U937" s="3" t="s">
        <v>45</v>
      </c>
      <c r="V937" s="3" t="s">
        <v>45</v>
      </c>
      <c r="W937" s="4" t="s">
        <v>8685</v>
      </c>
      <c r="X937" s="3" t="s">
        <v>45</v>
      </c>
      <c r="Y937" s="3" t="s">
        <v>45</v>
      </c>
      <c r="Z937" s="3" t="s">
        <v>74</v>
      </c>
      <c r="AA937" s="3" t="s">
        <v>45</v>
      </c>
      <c r="AB937" s="3" t="s">
        <v>45</v>
      </c>
      <c r="AC937" s="3" t="s">
        <v>45</v>
      </c>
      <c r="AD937" s="3" t="s">
        <v>45</v>
      </c>
      <c r="AE937" s="3" t="s">
        <v>45</v>
      </c>
      <c r="AF937" s="3" t="s">
        <v>45</v>
      </c>
      <c r="AG937" s="3" t="s">
        <v>71</v>
      </c>
      <c r="AH937" s="3" t="s">
        <v>57</v>
      </c>
      <c r="AI937" s="5" t="s">
        <v>8686</v>
      </c>
      <c r="AJ937" s="5" t="s">
        <v>8687</v>
      </c>
      <c r="AK937" s="5" t="s">
        <v>8688</v>
      </c>
      <c r="AL937" s="3" t="s">
        <v>45</v>
      </c>
      <c r="AM937" s="3" t="s">
        <v>45</v>
      </c>
      <c r="AN937" s="3" t="s">
        <v>45</v>
      </c>
      <c r="AO937" s="3" t="s">
        <v>45</v>
      </c>
      <c r="AP937" s="3" t="s">
        <v>45</v>
      </c>
      <c r="AQ937" s="4" t="s">
        <v>636</v>
      </c>
      <c r="AR937" s="4" t="s">
        <v>636</v>
      </c>
    </row>
    <row r="938">
      <c r="A938" s="3" t="s">
        <v>8689</v>
      </c>
      <c r="B938" s="3" t="s">
        <v>8690</v>
      </c>
      <c r="C938" s="3" t="s">
        <v>8691</v>
      </c>
      <c r="D938" s="3" t="s">
        <v>8268</v>
      </c>
      <c r="E938" s="4" t="s">
        <v>8692</v>
      </c>
      <c r="F938" s="3" t="s">
        <v>8693</v>
      </c>
      <c r="G938" s="4" t="s">
        <v>8694</v>
      </c>
      <c r="H938" s="4" t="s">
        <v>8695</v>
      </c>
      <c r="I938" s="3" t="s">
        <v>49</v>
      </c>
      <c r="J938" s="3" t="s">
        <v>50</v>
      </c>
      <c r="K938" s="3" t="s">
        <v>45</v>
      </c>
      <c r="L938" s="3" t="s">
        <v>45</v>
      </c>
      <c r="M938" s="3" t="s">
        <v>45</v>
      </c>
      <c r="N938" s="3" t="s">
        <v>45</v>
      </c>
      <c r="O938" s="3" t="s">
        <v>88</v>
      </c>
      <c r="P938" s="3" t="s">
        <v>45</v>
      </c>
      <c r="Q938" s="3" t="s">
        <v>45</v>
      </c>
      <c r="R938" s="3" t="s">
        <v>45</v>
      </c>
      <c r="S938" s="3" t="s">
        <v>45</v>
      </c>
      <c r="T938" s="3" t="s">
        <v>45</v>
      </c>
      <c r="U938" s="3" t="s">
        <v>45</v>
      </c>
      <c r="V938" s="3" t="s">
        <v>45</v>
      </c>
      <c r="W938" s="4" t="s">
        <v>8696</v>
      </c>
      <c r="X938" s="3" t="s">
        <v>360</v>
      </c>
      <c r="Y938" s="3" t="s">
        <v>45</v>
      </c>
      <c r="Z938" s="3" t="s">
        <v>74</v>
      </c>
      <c r="AA938" s="3" t="s">
        <v>45</v>
      </c>
      <c r="AB938" s="3" t="s">
        <v>45</v>
      </c>
      <c r="AC938" s="3" t="s">
        <v>45</v>
      </c>
      <c r="AD938" s="3" t="s">
        <v>45</v>
      </c>
      <c r="AE938" s="3" t="s">
        <v>45</v>
      </c>
      <c r="AF938" s="3" t="s">
        <v>45</v>
      </c>
      <c r="AG938" s="3" t="s">
        <v>8697</v>
      </c>
      <c r="AH938" s="3" t="s">
        <v>57</v>
      </c>
      <c r="AI938" s="5" t="s">
        <v>8698</v>
      </c>
      <c r="AJ938" s="5" t="s">
        <v>8699</v>
      </c>
      <c r="AK938" s="3" t="s">
        <v>45</v>
      </c>
      <c r="AL938" s="3" t="s">
        <v>45</v>
      </c>
      <c r="AM938" s="3" t="s">
        <v>45</v>
      </c>
      <c r="AN938" s="3" t="s">
        <v>45</v>
      </c>
      <c r="AO938" s="3" t="s">
        <v>45</v>
      </c>
      <c r="AP938" s="3" t="s">
        <v>45</v>
      </c>
      <c r="AQ938" s="4" t="s">
        <v>4812</v>
      </c>
      <c r="AR938" s="4" t="s">
        <v>8131</v>
      </c>
    </row>
    <row r="939">
      <c r="A939" s="3" t="s">
        <v>8560</v>
      </c>
      <c r="B939" s="3" t="s">
        <v>8700</v>
      </c>
      <c r="C939" s="3" t="s">
        <v>8691</v>
      </c>
      <c r="D939" s="3" t="s">
        <v>8268</v>
      </c>
      <c r="E939" s="4" t="s">
        <v>8701</v>
      </c>
      <c r="F939" s="3" t="s">
        <v>8693</v>
      </c>
      <c r="G939" s="4" t="s">
        <v>8702</v>
      </c>
      <c r="H939" s="4" t="s">
        <v>8703</v>
      </c>
      <c r="I939" s="3" t="s">
        <v>85</v>
      </c>
      <c r="J939" s="3" t="s">
        <v>126</v>
      </c>
      <c r="K939" s="3" t="s">
        <v>45</v>
      </c>
      <c r="L939" s="3" t="s">
        <v>45</v>
      </c>
      <c r="M939" s="3" t="s">
        <v>45</v>
      </c>
      <c r="N939" s="3" t="s">
        <v>45</v>
      </c>
      <c r="O939" s="3" t="s">
        <v>74</v>
      </c>
      <c r="P939" s="3" t="s">
        <v>45</v>
      </c>
      <c r="Q939" s="3" t="s">
        <v>45</v>
      </c>
      <c r="R939" s="3" t="s">
        <v>45</v>
      </c>
      <c r="S939" s="3" t="s">
        <v>45</v>
      </c>
      <c r="T939" s="3" t="s">
        <v>45</v>
      </c>
      <c r="U939" s="3" t="s">
        <v>45</v>
      </c>
      <c r="V939" s="3" t="s">
        <v>45</v>
      </c>
      <c r="W939" s="3" t="s">
        <v>45</v>
      </c>
      <c r="X939" s="3" t="s">
        <v>45</v>
      </c>
      <c r="Y939" s="3" t="s">
        <v>45</v>
      </c>
      <c r="Z939" s="3" t="s">
        <v>74</v>
      </c>
      <c r="AA939" s="3" t="s">
        <v>45</v>
      </c>
      <c r="AB939" s="3" t="s">
        <v>45</v>
      </c>
      <c r="AC939" s="3" t="s">
        <v>45</v>
      </c>
      <c r="AD939" s="3" t="s">
        <v>45</v>
      </c>
      <c r="AE939" s="3" t="s">
        <v>45</v>
      </c>
      <c r="AF939" s="3" t="s">
        <v>45</v>
      </c>
      <c r="AG939" s="3" t="s">
        <v>45</v>
      </c>
      <c r="AH939" s="3" t="s">
        <v>57</v>
      </c>
      <c r="AI939" s="3" t="s">
        <v>45</v>
      </c>
      <c r="AJ939" s="3" t="s">
        <v>45</v>
      </c>
      <c r="AK939" s="3" t="s">
        <v>45</v>
      </c>
      <c r="AL939" s="3" t="s">
        <v>45</v>
      </c>
      <c r="AM939" s="3" t="s">
        <v>45</v>
      </c>
      <c r="AN939" s="3" t="s">
        <v>45</v>
      </c>
      <c r="AO939" s="3" t="s">
        <v>45</v>
      </c>
      <c r="AP939" s="3" t="s">
        <v>45</v>
      </c>
      <c r="AQ939" s="4" t="s">
        <v>8335</v>
      </c>
      <c r="AR939" s="4" t="s">
        <v>8335</v>
      </c>
    </row>
    <row r="940">
      <c r="A940" s="3" t="s">
        <v>8704</v>
      </c>
      <c r="B940" s="3" t="s">
        <v>8705</v>
      </c>
      <c r="C940" s="3" t="s">
        <v>8691</v>
      </c>
      <c r="D940" s="3" t="s">
        <v>8268</v>
      </c>
      <c r="E940" s="4" t="s">
        <v>8706</v>
      </c>
      <c r="F940" s="3" t="s">
        <v>8693</v>
      </c>
      <c r="G940" s="4" t="s">
        <v>8707</v>
      </c>
      <c r="H940" s="4" t="s">
        <v>8708</v>
      </c>
      <c r="I940" s="3" t="s">
        <v>218</v>
      </c>
      <c r="J940" s="3" t="s">
        <v>126</v>
      </c>
      <c r="K940" s="3" t="s">
        <v>45</v>
      </c>
      <c r="L940" s="3" t="s">
        <v>8709</v>
      </c>
      <c r="M940" s="3" t="s">
        <v>45</v>
      </c>
      <c r="N940" s="3" t="s">
        <v>8710</v>
      </c>
      <c r="O940" s="3" t="s">
        <v>722</v>
      </c>
      <c r="P940" s="3" t="s">
        <v>45</v>
      </c>
      <c r="Q940" s="3" t="s">
        <v>45</v>
      </c>
      <c r="R940" s="3" t="s">
        <v>45</v>
      </c>
      <c r="S940" s="3" t="s">
        <v>45</v>
      </c>
      <c r="T940" s="3" t="s">
        <v>45</v>
      </c>
      <c r="U940" s="3" t="s">
        <v>45</v>
      </c>
      <c r="V940" s="4" t="s">
        <v>2081</v>
      </c>
      <c r="W940" s="3" t="s">
        <v>45</v>
      </c>
      <c r="X940" s="3" t="s">
        <v>45</v>
      </c>
      <c r="Y940" s="4" t="s">
        <v>727</v>
      </c>
      <c r="Z940" s="3" t="s">
        <v>55</v>
      </c>
      <c r="AA940" s="3" t="s">
        <v>45</v>
      </c>
      <c r="AB940" s="3" t="s">
        <v>45</v>
      </c>
      <c r="AC940" s="3" t="s">
        <v>45</v>
      </c>
      <c r="AD940" s="3" t="s">
        <v>45</v>
      </c>
      <c r="AE940" s="3" t="s">
        <v>45</v>
      </c>
      <c r="AF940" s="5" t="s">
        <v>8711</v>
      </c>
      <c r="AG940" s="3" t="s">
        <v>8712</v>
      </c>
      <c r="AH940" s="3" t="s">
        <v>57</v>
      </c>
      <c r="AI940" s="5" t="s">
        <v>8713</v>
      </c>
      <c r="AJ940" s="3" t="s">
        <v>45</v>
      </c>
      <c r="AK940" s="3" t="s">
        <v>45</v>
      </c>
      <c r="AL940" s="3" t="s">
        <v>45</v>
      </c>
      <c r="AM940" s="3" t="s">
        <v>45</v>
      </c>
      <c r="AN940" s="3" t="s">
        <v>45</v>
      </c>
      <c r="AO940" s="3" t="s">
        <v>45</v>
      </c>
      <c r="AP940" s="3" t="s">
        <v>45</v>
      </c>
      <c r="AQ940" s="4" t="s">
        <v>6070</v>
      </c>
      <c r="AR940" s="4" t="s">
        <v>394</v>
      </c>
    </row>
    <row r="941">
      <c r="A941" s="3" t="s">
        <v>8714</v>
      </c>
      <c r="B941" s="3" t="s">
        <v>8715</v>
      </c>
      <c r="C941" s="3" t="s">
        <v>8691</v>
      </c>
      <c r="D941" s="3" t="s">
        <v>8268</v>
      </c>
      <c r="E941" s="4" t="s">
        <v>8716</v>
      </c>
      <c r="F941" s="3" t="s">
        <v>8693</v>
      </c>
      <c r="G941" s="4" t="s">
        <v>8717</v>
      </c>
      <c r="H941" s="4" t="s">
        <v>8718</v>
      </c>
      <c r="I941" s="3" t="s">
        <v>49</v>
      </c>
      <c r="J941" s="3" t="s">
        <v>126</v>
      </c>
      <c r="K941" s="3" t="s">
        <v>45</v>
      </c>
      <c r="L941" s="3" t="s">
        <v>470</v>
      </c>
      <c r="M941" s="3" t="s">
        <v>45</v>
      </c>
      <c r="N941" s="3" t="s">
        <v>45</v>
      </c>
      <c r="O941" s="3" t="s">
        <v>74</v>
      </c>
      <c r="P941" s="3" t="s">
        <v>45</v>
      </c>
      <c r="Q941" s="3" t="s">
        <v>45</v>
      </c>
      <c r="R941" s="3" t="s">
        <v>45</v>
      </c>
      <c r="S941" s="3" t="s">
        <v>45</v>
      </c>
      <c r="T941" s="3" t="s">
        <v>45</v>
      </c>
      <c r="U941" s="3" t="s">
        <v>45</v>
      </c>
      <c r="V941" s="4" t="s">
        <v>8719</v>
      </c>
      <c r="W941" s="4" t="s">
        <v>3015</v>
      </c>
      <c r="X941" s="3" t="s">
        <v>511</v>
      </c>
      <c r="Y941" s="4" t="s">
        <v>317</v>
      </c>
      <c r="Z941" s="3" t="s">
        <v>74</v>
      </c>
      <c r="AA941" s="3" t="s">
        <v>45</v>
      </c>
      <c r="AB941" s="3" t="s">
        <v>45</v>
      </c>
      <c r="AC941" s="3" t="s">
        <v>45</v>
      </c>
      <c r="AD941" s="3" t="s">
        <v>45</v>
      </c>
      <c r="AE941" s="3" t="s">
        <v>45</v>
      </c>
      <c r="AF941" s="3" t="s">
        <v>45</v>
      </c>
      <c r="AG941" s="3" t="s">
        <v>45</v>
      </c>
      <c r="AH941" s="3" t="s">
        <v>57</v>
      </c>
      <c r="AI941" s="5" t="s">
        <v>8720</v>
      </c>
      <c r="AJ941" s="3" t="s">
        <v>45</v>
      </c>
      <c r="AK941" s="3" t="s">
        <v>45</v>
      </c>
      <c r="AL941" s="3" t="s">
        <v>45</v>
      </c>
      <c r="AM941" s="3" t="s">
        <v>45</v>
      </c>
      <c r="AN941" s="3" t="s">
        <v>45</v>
      </c>
      <c r="AO941" s="3" t="s">
        <v>45</v>
      </c>
      <c r="AP941" s="3" t="s">
        <v>45</v>
      </c>
      <c r="AQ941" s="4" t="s">
        <v>413</v>
      </c>
      <c r="AR941" s="4" t="s">
        <v>413</v>
      </c>
    </row>
    <row r="942">
      <c r="A942" s="3" t="s">
        <v>8721</v>
      </c>
      <c r="B942" s="3" t="s">
        <v>8722</v>
      </c>
      <c r="C942" s="3" t="s">
        <v>8691</v>
      </c>
      <c r="D942" s="3" t="s">
        <v>8268</v>
      </c>
      <c r="E942" s="4" t="s">
        <v>8716</v>
      </c>
      <c r="F942" s="3" t="s">
        <v>8693</v>
      </c>
      <c r="G942" s="4" t="s">
        <v>8723</v>
      </c>
      <c r="H942" s="4" t="s">
        <v>8724</v>
      </c>
      <c r="I942" s="3" t="s">
        <v>49</v>
      </c>
      <c r="J942" s="3" t="s">
        <v>126</v>
      </c>
      <c r="K942" s="3" t="s">
        <v>45</v>
      </c>
      <c r="L942" s="3" t="s">
        <v>45</v>
      </c>
      <c r="M942" s="3" t="s">
        <v>45</v>
      </c>
      <c r="N942" s="3" t="s">
        <v>45</v>
      </c>
      <c r="O942" s="3" t="s">
        <v>74</v>
      </c>
      <c r="P942" s="3" t="s">
        <v>45</v>
      </c>
      <c r="Q942" s="3" t="s">
        <v>45</v>
      </c>
      <c r="R942" s="3" t="s">
        <v>45</v>
      </c>
      <c r="S942" s="3" t="s">
        <v>45</v>
      </c>
      <c r="T942" s="3" t="s">
        <v>45</v>
      </c>
      <c r="U942" s="3" t="s">
        <v>45</v>
      </c>
      <c r="V942" s="3" t="s">
        <v>45</v>
      </c>
      <c r="W942" s="4" t="s">
        <v>3015</v>
      </c>
      <c r="X942" s="3" t="s">
        <v>45</v>
      </c>
      <c r="Y942" s="3" t="s">
        <v>45</v>
      </c>
      <c r="Z942" s="3" t="s">
        <v>74</v>
      </c>
      <c r="AA942" s="3" t="s">
        <v>45</v>
      </c>
      <c r="AB942" s="3" t="s">
        <v>45</v>
      </c>
      <c r="AC942" s="3" t="s">
        <v>45</v>
      </c>
      <c r="AD942" s="3" t="s">
        <v>45</v>
      </c>
      <c r="AE942" s="3" t="s">
        <v>45</v>
      </c>
      <c r="AF942" s="3" t="s">
        <v>45</v>
      </c>
      <c r="AG942" s="3" t="s">
        <v>8725</v>
      </c>
      <c r="AH942" s="3" t="s">
        <v>57</v>
      </c>
      <c r="AI942" s="5" t="s">
        <v>8726</v>
      </c>
      <c r="AJ942" s="3" t="s">
        <v>45</v>
      </c>
      <c r="AK942" s="3" t="s">
        <v>45</v>
      </c>
      <c r="AL942" s="3" t="s">
        <v>45</v>
      </c>
      <c r="AM942" s="3" t="s">
        <v>45</v>
      </c>
      <c r="AN942" s="3" t="s">
        <v>45</v>
      </c>
      <c r="AO942" s="3" t="s">
        <v>45</v>
      </c>
      <c r="AP942" s="3" t="s">
        <v>45</v>
      </c>
      <c r="AQ942" s="4" t="s">
        <v>380</v>
      </c>
      <c r="AR942" s="4" t="s">
        <v>380</v>
      </c>
    </row>
    <row r="943">
      <c r="A943" s="3" t="s">
        <v>8727</v>
      </c>
      <c r="B943" s="3" t="s">
        <v>8728</v>
      </c>
      <c r="C943" s="3" t="s">
        <v>8691</v>
      </c>
      <c r="D943" s="3" t="s">
        <v>8268</v>
      </c>
      <c r="E943" s="4" t="s">
        <v>8729</v>
      </c>
      <c r="F943" s="3" t="s">
        <v>8693</v>
      </c>
      <c r="G943" s="4" t="s">
        <v>8730</v>
      </c>
      <c r="H943" s="4" t="s">
        <v>8731</v>
      </c>
      <c r="I943" s="3" t="s">
        <v>85</v>
      </c>
      <c r="J943" s="3" t="s">
        <v>126</v>
      </c>
      <c r="K943" s="3" t="s">
        <v>45</v>
      </c>
      <c r="L943" s="3" t="s">
        <v>210</v>
      </c>
      <c r="M943" s="3" t="s">
        <v>45</v>
      </c>
      <c r="N943" s="3" t="s">
        <v>45</v>
      </c>
      <c r="O943" s="3" t="s">
        <v>74</v>
      </c>
      <c r="P943" s="3" t="s">
        <v>45</v>
      </c>
      <c r="Q943" s="3" t="s">
        <v>45</v>
      </c>
      <c r="R943" s="3" t="s">
        <v>45</v>
      </c>
      <c r="S943" s="3" t="s">
        <v>45</v>
      </c>
      <c r="T943" s="3" t="s">
        <v>45</v>
      </c>
      <c r="U943" s="3" t="s">
        <v>45</v>
      </c>
      <c r="V943" s="4" t="s">
        <v>2565</v>
      </c>
      <c r="W943" s="4" t="s">
        <v>5712</v>
      </c>
      <c r="X943" s="3" t="s">
        <v>45</v>
      </c>
      <c r="Y943" s="3" t="s">
        <v>45</v>
      </c>
      <c r="Z943" s="3" t="s">
        <v>74</v>
      </c>
      <c r="AA943" s="3" t="s">
        <v>45</v>
      </c>
      <c r="AB943" s="3" t="s">
        <v>45</v>
      </c>
      <c r="AC943" s="3" t="s">
        <v>45</v>
      </c>
      <c r="AD943" s="3" t="s">
        <v>45</v>
      </c>
      <c r="AE943" s="3" t="s">
        <v>45</v>
      </c>
      <c r="AF943" s="3" t="s">
        <v>45</v>
      </c>
      <c r="AG943" s="3" t="s">
        <v>45</v>
      </c>
      <c r="AH943" s="3" t="s">
        <v>57</v>
      </c>
      <c r="AI943" s="5" t="s">
        <v>8732</v>
      </c>
      <c r="AJ943" s="3" t="s">
        <v>45</v>
      </c>
      <c r="AK943" s="3" t="s">
        <v>45</v>
      </c>
      <c r="AL943" s="3" t="s">
        <v>45</v>
      </c>
      <c r="AM943" s="3" t="s">
        <v>45</v>
      </c>
      <c r="AN943" s="3" t="s">
        <v>45</v>
      </c>
      <c r="AO943" s="3" t="s">
        <v>45</v>
      </c>
      <c r="AP943" s="3" t="s">
        <v>45</v>
      </c>
      <c r="AQ943" s="4" t="s">
        <v>8335</v>
      </c>
      <c r="AR943" s="4" t="s">
        <v>8335</v>
      </c>
    </row>
    <row r="944">
      <c r="A944" s="3" t="s">
        <v>8733</v>
      </c>
      <c r="B944" s="3" t="s">
        <v>8734</v>
      </c>
      <c r="C944" s="3" t="s">
        <v>8691</v>
      </c>
      <c r="D944" s="3" t="s">
        <v>8268</v>
      </c>
      <c r="E944" s="4" t="s">
        <v>8729</v>
      </c>
      <c r="F944" s="3" t="s">
        <v>8693</v>
      </c>
      <c r="G944" s="4" t="s">
        <v>8735</v>
      </c>
      <c r="H944" s="4" t="s">
        <v>8736</v>
      </c>
      <c r="I944" s="3" t="s">
        <v>408</v>
      </c>
      <c r="J944" s="3" t="s">
        <v>126</v>
      </c>
      <c r="K944" s="3" t="s">
        <v>45</v>
      </c>
      <c r="L944" s="3" t="s">
        <v>45</v>
      </c>
      <c r="M944" s="3" t="s">
        <v>45</v>
      </c>
      <c r="N944" s="3" t="s">
        <v>45</v>
      </c>
      <c r="O944" s="3" t="s">
        <v>74</v>
      </c>
      <c r="P944" s="3" t="s">
        <v>45</v>
      </c>
      <c r="Q944" s="3" t="s">
        <v>45</v>
      </c>
      <c r="R944" s="3" t="s">
        <v>45</v>
      </c>
      <c r="S944" s="3" t="s">
        <v>45</v>
      </c>
      <c r="T944" s="3" t="s">
        <v>45</v>
      </c>
      <c r="U944" s="3" t="s">
        <v>45</v>
      </c>
      <c r="V944" s="3" t="s">
        <v>45</v>
      </c>
      <c r="W944" s="3" t="s">
        <v>45</v>
      </c>
      <c r="X944" s="3" t="s">
        <v>45</v>
      </c>
      <c r="Y944" s="3" t="s">
        <v>45</v>
      </c>
      <c r="Z944" s="3" t="s">
        <v>74</v>
      </c>
      <c r="AA944" s="3" t="s">
        <v>45</v>
      </c>
      <c r="AB944" s="3" t="s">
        <v>45</v>
      </c>
      <c r="AC944" s="3" t="s">
        <v>45</v>
      </c>
      <c r="AD944" s="3" t="s">
        <v>45</v>
      </c>
      <c r="AE944" s="3" t="s">
        <v>45</v>
      </c>
      <c r="AF944" s="3" t="s">
        <v>45</v>
      </c>
      <c r="AG944" s="3" t="s">
        <v>8737</v>
      </c>
      <c r="AH944" s="3" t="s">
        <v>57</v>
      </c>
      <c r="AI944" s="5" t="s">
        <v>8738</v>
      </c>
      <c r="AJ944" s="3" t="s">
        <v>45</v>
      </c>
      <c r="AK944" s="3" t="s">
        <v>45</v>
      </c>
      <c r="AL944" s="3" t="s">
        <v>45</v>
      </c>
      <c r="AM944" s="3" t="s">
        <v>45</v>
      </c>
      <c r="AN944" s="3" t="s">
        <v>45</v>
      </c>
      <c r="AO944" s="3" t="s">
        <v>45</v>
      </c>
      <c r="AP944" s="3" t="s">
        <v>45</v>
      </c>
      <c r="AQ944" s="4" t="s">
        <v>8335</v>
      </c>
      <c r="AR944" s="4" t="s">
        <v>78</v>
      </c>
    </row>
    <row r="945">
      <c r="A945" s="3" t="s">
        <v>8739</v>
      </c>
      <c r="B945" s="3" t="s">
        <v>8740</v>
      </c>
      <c r="C945" s="3" t="s">
        <v>8741</v>
      </c>
      <c r="D945" s="3" t="s">
        <v>8268</v>
      </c>
      <c r="E945" s="4" t="s">
        <v>8742</v>
      </c>
      <c r="F945" s="3" t="s">
        <v>2884</v>
      </c>
      <c r="G945" s="4" t="s">
        <v>8743</v>
      </c>
      <c r="H945" s="4" t="s">
        <v>8744</v>
      </c>
      <c r="I945" s="3" t="s">
        <v>85</v>
      </c>
      <c r="J945" s="3" t="s">
        <v>126</v>
      </c>
      <c r="K945" s="3" t="s">
        <v>45</v>
      </c>
      <c r="L945" s="3" t="s">
        <v>45</v>
      </c>
      <c r="M945" s="3" t="s">
        <v>45</v>
      </c>
      <c r="N945" s="3" t="s">
        <v>45</v>
      </c>
      <c r="O945" s="3" t="s">
        <v>74</v>
      </c>
      <c r="P945" s="3" t="s">
        <v>45</v>
      </c>
      <c r="Q945" s="3" t="s">
        <v>45</v>
      </c>
      <c r="R945" s="3" t="s">
        <v>45</v>
      </c>
      <c r="S945" s="3" t="s">
        <v>45</v>
      </c>
      <c r="T945" s="3" t="s">
        <v>45</v>
      </c>
      <c r="U945" s="3" t="s">
        <v>45</v>
      </c>
      <c r="V945" s="3" t="s">
        <v>45</v>
      </c>
      <c r="W945" s="3" t="s">
        <v>45</v>
      </c>
      <c r="X945" s="3" t="s">
        <v>45</v>
      </c>
      <c r="Y945" s="3" t="s">
        <v>45</v>
      </c>
      <c r="Z945" s="3" t="s">
        <v>74</v>
      </c>
      <c r="AA945" s="3" t="s">
        <v>45</v>
      </c>
      <c r="AB945" s="3" t="s">
        <v>45</v>
      </c>
      <c r="AC945" s="3" t="s">
        <v>45</v>
      </c>
      <c r="AD945" s="3" t="s">
        <v>45</v>
      </c>
      <c r="AE945" s="3" t="s">
        <v>45</v>
      </c>
      <c r="AF945" s="3" t="s">
        <v>45</v>
      </c>
      <c r="AG945" s="3" t="s">
        <v>45</v>
      </c>
      <c r="AH945" s="3" t="s">
        <v>57</v>
      </c>
      <c r="AI945" s="3" t="s">
        <v>45</v>
      </c>
      <c r="AJ945" s="3" t="s">
        <v>45</v>
      </c>
      <c r="AK945" s="3" t="s">
        <v>45</v>
      </c>
      <c r="AL945" s="3" t="s">
        <v>45</v>
      </c>
      <c r="AM945" s="3" t="s">
        <v>45</v>
      </c>
      <c r="AN945" s="3" t="s">
        <v>45</v>
      </c>
      <c r="AO945" s="3" t="s">
        <v>45</v>
      </c>
      <c r="AP945" s="3" t="s">
        <v>45</v>
      </c>
      <c r="AQ945" s="4" t="s">
        <v>8335</v>
      </c>
      <c r="AR945" s="4" t="s">
        <v>8335</v>
      </c>
    </row>
    <row r="946">
      <c r="A946" s="3" t="s">
        <v>8745</v>
      </c>
      <c r="B946" s="3" t="s">
        <v>8746</v>
      </c>
      <c r="C946" s="3" t="s">
        <v>8747</v>
      </c>
      <c r="D946" s="3" t="s">
        <v>8268</v>
      </c>
      <c r="E946" s="4" t="s">
        <v>8748</v>
      </c>
      <c r="F946" s="3" t="s">
        <v>8749</v>
      </c>
      <c r="G946" s="4" t="s">
        <v>8750</v>
      </c>
      <c r="H946" s="4" t="s">
        <v>8751</v>
      </c>
      <c r="I946" s="3" t="s">
        <v>218</v>
      </c>
      <c r="J946" s="3" t="s">
        <v>126</v>
      </c>
      <c r="K946" s="3" t="s">
        <v>45</v>
      </c>
      <c r="L946" s="3" t="s">
        <v>8752</v>
      </c>
      <c r="M946" s="3" t="s">
        <v>45</v>
      </c>
      <c r="N946" s="4" t="s">
        <v>6286</v>
      </c>
      <c r="O946" s="3" t="s">
        <v>390</v>
      </c>
      <c r="P946" s="3" t="s">
        <v>45</v>
      </c>
      <c r="Q946" s="3" t="s">
        <v>45</v>
      </c>
      <c r="R946" s="3" t="s">
        <v>45</v>
      </c>
      <c r="S946" s="3" t="s">
        <v>45</v>
      </c>
      <c r="T946" s="3" t="s">
        <v>45</v>
      </c>
      <c r="U946" s="3" t="s">
        <v>45</v>
      </c>
      <c r="V946" s="4" t="s">
        <v>544</v>
      </c>
      <c r="W946" s="4" t="s">
        <v>2982</v>
      </c>
      <c r="X946" s="3" t="s">
        <v>8753</v>
      </c>
      <c r="Y946" s="4" t="s">
        <v>317</v>
      </c>
      <c r="Z946" s="3" t="s">
        <v>74</v>
      </c>
      <c r="AA946" s="3" t="s">
        <v>45</v>
      </c>
      <c r="AB946" s="3" t="s">
        <v>45</v>
      </c>
      <c r="AC946" s="3" t="s">
        <v>45</v>
      </c>
      <c r="AD946" s="3" t="s">
        <v>45</v>
      </c>
      <c r="AE946" s="3" t="s">
        <v>45</v>
      </c>
      <c r="AF946" s="3" t="s">
        <v>45</v>
      </c>
      <c r="AG946" s="3" t="s">
        <v>45</v>
      </c>
      <c r="AH946" s="3" t="s">
        <v>57</v>
      </c>
      <c r="AI946" s="5" t="s">
        <v>8754</v>
      </c>
      <c r="AJ946" s="5" t="s">
        <v>8755</v>
      </c>
      <c r="AK946" s="3" t="s">
        <v>45</v>
      </c>
      <c r="AL946" s="3" t="s">
        <v>45</v>
      </c>
      <c r="AM946" s="3" t="s">
        <v>45</v>
      </c>
      <c r="AN946" s="3" t="s">
        <v>45</v>
      </c>
      <c r="AO946" s="3" t="s">
        <v>45</v>
      </c>
      <c r="AP946" s="3" t="s">
        <v>45</v>
      </c>
      <c r="AQ946" s="4" t="s">
        <v>3713</v>
      </c>
      <c r="AR946" s="4" t="s">
        <v>3713</v>
      </c>
    </row>
    <row r="947">
      <c r="A947" s="3" t="s">
        <v>8756</v>
      </c>
      <c r="B947" s="3" t="s">
        <v>8757</v>
      </c>
      <c r="C947" s="3" t="s">
        <v>8747</v>
      </c>
      <c r="D947" s="3" t="s">
        <v>8268</v>
      </c>
      <c r="E947" s="4" t="s">
        <v>8748</v>
      </c>
      <c r="F947" s="3" t="s">
        <v>8749</v>
      </c>
      <c r="G947" s="4" t="s">
        <v>8758</v>
      </c>
      <c r="H947" s="4" t="s">
        <v>8759</v>
      </c>
      <c r="I947" s="3" t="s">
        <v>85</v>
      </c>
      <c r="J947" s="3" t="s">
        <v>126</v>
      </c>
      <c r="K947" s="3" t="s">
        <v>45</v>
      </c>
      <c r="L947" s="3" t="s">
        <v>45</v>
      </c>
      <c r="M947" s="3" t="s">
        <v>45</v>
      </c>
      <c r="N947" s="3" t="s">
        <v>45</v>
      </c>
      <c r="O947" s="3" t="s">
        <v>74</v>
      </c>
      <c r="P947" s="3" t="s">
        <v>45</v>
      </c>
      <c r="Q947" s="3" t="s">
        <v>45</v>
      </c>
      <c r="R947" s="3" t="s">
        <v>45</v>
      </c>
      <c r="S947" s="3" t="s">
        <v>45</v>
      </c>
      <c r="T947" s="3" t="s">
        <v>45</v>
      </c>
      <c r="U947" s="3" t="s">
        <v>45</v>
      </c>
      <c r="V947" s="3" t="s">
        <v>45</v>
      </c>
      <c r="W947" s="3" t="s">
        <v>45</v>
      </c>
      <c r="X947" s="3" t="s">
        <v>45</v>
      </c>
      <c r="Y947" s="3" t="s">
        <v>45</v>
      </c>
      <c r="Z947" s="3" t="s">
        <v>74</v>
      </c>
      <c r="AA947" s="3" t="s">
        <v>45</v>
      </c>
      <c r="AB947" s="3" t="s">
        <v>45</v>
      </c>
      <c r="AC947" s="3" t="s">
        <v>45</v>
      </c>
      <c r="AD947" s="3" t="s">
        <v>45</v>
      </c>
      <c r="AE947" s="3" t="s">
        <v>45</v>
      </c>
      <c r="AF947" s="3" t="s">
        <v>45</v>
      </c>
      <c r="AG947" s="3" t="s">
        <v>8333</v>
      </c>
      <c r="AH947" s="3" t="s">
        <v>57</v>
      </c>
      <c r="AI947" s="5" t="s">
        <v>8334</v>
      </c>
      <c r="AJ947" s="3" t="s">
        <v>45</v>
      </c>
      <c r="AK947" s="3" t="s">
        <v>45</v>
      </c>
      <c r="AL947" s="3" t="s">
        <v>45</v>
      </c>
      <c r="AM947" s="3" t="s">
        <v>45</v>
      </c>
      <c r="AN947" s="3" t="s">
        <v>45</v>
      </c>
      <c r="AO947" s="3" t="s">
        <v>45</v>
      </c>
      <c r="AP947" s="3" t="s">
        <v>45</v>
      </c>
      <c r="AQ947" s="4" t="s">
        <v>8335</v>
      </c>
      <c r="AR947" s="4" t="s">
        <v>8335</v>
      </c>
    </row>
    <row r="948">
      <c r="A948" s="3" t="s">
        <v>8760</v>
      </c>
      <c r="B948" s="3" t="s">
        <v>45</v>
      </c>
      <c r="C948" s="3" t="s">
        <v>8761</v>
      </c>
      <c r="D948" s="3" t="s">
        <v>8268</v>
      </c>
      <c r="E948" s="3" t="s">
        <v>45</v>
      </c>
      <c r="F948" s="3" t="s">
        <v>8762</v>
      </c>
      <c r="G948" s="4" t="s">
        <v>8763</v>
      </c>
      <c r="H948" s="4" t="s">
        <v>8764</v>
      </c>
      <c r="I948" s="3" t="s">
        <v>49</v>
      </c>
      <c r="J948" s="3" t="s">
        <v>99</v>
      </c>
      <c r="K948" s="3" t="s">
        <v>45</v>
      </c>
      <c r="L948" s="3" t="s">
        <v>8765</v>
      </c>
      <c r="M948" s="3" t="s">
        <v>45</v>
      </c>
      <c r="N948" s="4" t="s">
        <v>90</v>
      </c>
      <c r="O948" s="3" t="s">
        <v>88</v>
      </c>
      <c r="P948" s="3" t="s">
        <v>45</v>
      </c>
      <c r="Q948" s="3" t="s">
        <v>45</v>
      </c>
      <c r="R948" s="3" t="s">
        <v>45</v>
      </c>
      <c r="S948" s="3" t="s">
        <v>45</v>
      </c>
      <c r="T948" s="3" t="s">
        <v>45</v>
      </c>
      <c r="U948" s="3" t="s">
        <v>45</v>
      </c>
      <c r="V948" s="3" t="s">
        <v>45</v>
      </c>
      <c r="W948" s="3" t="s">
        <v>45</v>
      </c>
      <c r="X948" s="3" t="s">
        <v>45</v>
      </c>
      <c r="Y948" s="3" t="s">
        <v>45</v>
      </c>
      <c r="Z948" s="3" t="s">
        <v>74</v>
      </c>
      <c r="AA948" s="3" t="s">
        <v>45</v>
      </c>
      <c r="AB948" s="3" t="s">
        <v>45</v>
      </c>
      <c r="AC948" s="3" t="s">
        <v>45</v>
      </c>
      <c r="AD948" s="3" t="s">
        <v>45</v>
      </c>
      <c r="AE948" s="3" t="s">
        <v>45</v>
      </c>
      <c r="AF948" s="3" t="s">
        <v>45</v>
      </c>
      <c r="AG948" s="3" t="s">
        <v>45</v>
      </c>
      <c r="AH948" s="3" t="s">
        <v>57</v>
      </c>
      <c r="AI948" s="5" t="s">
        <v>8766</v>
      </c>
      <c r="AJ948" s="3" t="s">
        <v>45</v>
      </c>
      <c r="AK948" s="3" t="s">
        <v>45</v>
      </c>
      <c r="AL948" s="3" t="s">
        <v>45</v>
      </c>
      <c r="AM948" s="3" t="s">
        <v>45</v>
      </c>
      <c r="AN948" s="3" t="s">
        <v>45</v>
      </c>
      <c r="AO948" s="3" t="s">
        <v>45</v>
      </c>
      <c r="AP948" s="3" t="s">
        <v>45</v>
      </c>
      <c r="AQ948" s="4" t="s">
        <v>1589</v>
      </c>
      <c r="AR948" s="4" t="s">
        <v>1589</v>
      </c>
    </row>
    <row r="949">
      <c r="A949" s="3" t="s">
        <v>8767</v>
      </c>
      <c r="B949" s="3" t="s">
        <v>8768</v>
      </c>
      <c r="C949" s="3" t="s">
        <v>8769</v>
      </c>
      <c r="D949" s="3" t="s">
        <v>8268</v>
      </c>
      <c r="E949" s="4" t="s">
        <v>8770</v>
      </c>
      <c r="F949" s="3" t="s">
        <v>8771</v>
      </c>
      <c r="G949" s="4" t="s">
        <v>8772</v>
      </c>
      <c r="H949" s="4" t="s">
        <v>8773</v>
      </c>
      <c r="I949" s="3" t="s">
        <v>49</v>
      </c>
      <c r="J949" s="3" t="s">
        <v>50</v>
      </c>
      <c r="K949" s="3" t="s">
        <v>45</v>
      </c>
      <c r="L949" s="3" t="s">
        <v>8064</v>
      </c>
      <c r="M949" s="3" t="s">
        <v>45</v>
      </c>
      <c r="N949" s="3" t="s">
        <v>45</v>
      </c>
      <c r="O949" s="3" t="s">
        <v>88</v>
      </c>
      <c r="P949" s="3" t="s">
        <v>45</v>
      </c>
      <c r="Q949" s="3" t="s">
        <v>45</v>
      </c>
      <c r="R949" s="3" t="s">
        <v>45</v>
      </c>
      <c r="S949" s="4" t="s">
        <v>247</v>
      </c>
      <c r="T949" s="3" t="s">
        <v>45</v>
      </c>
      <c r="U949" s="3" t="s">
        <v>45</v>
      </c>
      <c r="V949" s="3" t="s">
        <v>45</v>
      </c>
      <c r="W949" s="4" t="s">
        <v>8774</v>
      </c>
      <c r="X949" s="3" t="s">
        <v>45</v>
      </c>
      <c r="Y949" s="3" t="s">
        <v>45</v>
      </c>
      <c r="Z949" s="3" t="s">
        <v>45</v>
      </c>
      <c r="AA949" s="3" t="s">
        <v>45</v>
      </c>
      <c r="AB949" s="3" t="s">
        <v>45</v>
      </c>
      <c r="AC949" s="3" t="s">
        <v>45</v>
      </c>
      <c r="AD949" s="3" t="s">
        <v>45</v>
      </c>
      <c r="AE949" s="3" t="s">
        <v>45</v>
      </c>
      <c r="AF949" s="3" t="s">
        <v>45</v>
      </c>
      <c r="AG949" s="3" t="s">
        <v>45</v>
      </c>
      <c r="AH949" s="3" t="s">
        <v>57</v>
      </c>
      <c r="AI949" s="5" t="s">
        <v>8775</v>
      </c>
      <c r="AJ949" s="3" t="s">
        <v>45</v>
      </c>
      <c r="AK949" s="3" t="s">
        <v>45</v>
      </c>
      <c r="AL949" s="3" t="s">
        <v>45</v>
      </c>
      <c r="AM949" s="3" t="s">
        <v>45</v>
      </c>
      <c r="AN949" s="3" t="s">
        <v>45</v>
      </c>
      <c r="AO949" s="3" t="s">
        <v>45</v>
      </c>
      <c r="AP949" s="3" t="s">
        <v>45</v>
      </c>
      <c r="AQ949" s="4" t="s">
        <v>1210</v>
      </c>
      <c r="AR949" s="4" t="s">
        <v>1210</v>
      </c>
    </row>
    <row r="950">
      <c r="A950" s="3" t="s">
        <v>8776</v>
      </c>
      <c r="B950" s="3" t="s">
        <v>8777</v>
      </c>
      <c r="C950" s="3" t="s">
        <v>8778</v>
      </c>
      <c r="D950" s="3" t="s">
        <v>8268</v>
      </c>
      <c r="E950" s="4" t="s">
        <v>8779</v>
      </c>
      <c r="F950" s="3" t="s">
        <v>8780</v>
      </c>
      <c r="G950" s="4" t="s">
        <v>8781</v>
      </c>
      <c r="H950" s="4" t="s">
        <v>8782</v>
      </c>
      <c r="I950" s="3" t="s">
        <v>85</v>
      </c>
      <c r="J950" s="3" t="s">
        <v>126</v>
      </c>
      <c r="K950" s="3" t="s">
        <v>45</v>
      </c>
      <c r="L950" s="3" t="s">
        <v>8783</v>
      </c>
      <c r="M950" s="3" t="s">
        <v>45</v>
      </c>
      <c r="N950" s="3" t="s">
        <v>45</v>
      </c>
      <c r="O950" s="3" t="s">
        <v>88</v>
      </c>
      <c r="P950" s="3" t="s">
        <v>45</v>
      </c>
      <c r="Q950" s="3" t="s">
        <v>45</v>
      </c>
      <c r="R950" s="3" t="s">
        <v>45</v>
      </c>
      <c r="S950" s="3" t="s">
        <v>45</v>
      </c>
      <c r="T950" s="3" t="s">
        <v>89</v>
      </c>
      <c r="U950" s="3" t="s">
        <v>45</v>
      </c>
      <c r="V950" s="3" t="s">
        <v>45</v>
      </c>
      <c r="W950" s="3" t="s">
        <v>45</v>
      </c>
      <c r="X950" s="3" t="s">
        <v>45</v>
      </c>
      <c r="Y950" s="3" t="s">
        <v>45</v>
      </c>
      <c r="Z950" s="3" t="s">
        <v>55</v>
      </c>
      <c r="AA950" s="3" t="s">
        <v>8784</v>
      </c>
      <c r="AB950" s="3" t="s">
        <v>45</v>
      </c>
      <c r="AC950" s="3" t="s">
        <v>45</v>
      </c>
      <c r="AD950" s="5" t="s">
        <v>8785</v>
      </c>
      <c r="AE950" s="3" t="s">
        <v>45</v>
      </c>
      <c r="AF950" s="3" t="s">
        <v>45</v>
      </c>
      <c r="AG950" s="3" t="s">
        <v>45</v>
      </c>
      <c r="AH950" s="3" t="s">
        <v>57</v>
      </c>
      <c r="AI950" s="5" t="s">
        <v>8786</v>
      </c>
      <c r="AJ950" s="3" t="s">
        <v>45</v>
      </c>
      <c r="AK950" s="3" t="s">
        <v>45</v>
      </c>
      <c r="AL950" s="3" t="s">
        <v>45</v>
      </c>
      <c r="AM950" s="3" t="s">
        <v>45</v>
      </c>
      <c r="AN950" s="3" t="s">
        <v>45</v>
      </c>
      <c r="AO950" s="3" t="s">
        <v>45</v>
      </c>
      <c r="AP950" s="3" t="s">
        <v>45</v>
      </c>
      <c r="AQ950" s="4" t="s">
        <v>7427</v>
      </c>
      <c r="AR950" s="4" t="s">
        <v>8131</v>
      </c>
    </row>
    <row r="951">
      <c r="A951" s="3" t="s">
        <v>8787</v>
      </c>
      <c r="B951" s="3" t="s">
        <v>8788</v>
      </c>
      <c r="C951" s="3" t="s">
        <v>8789</v>
      </c>
      <c r="D951" s="3" t="s">
        <v>8268</v>
      </c>
      <c r="E951" s="4" t="s">
        <v>8790</v>
      </c>
      <c r="F951" s="3" t="s">
        <v>8791</v>
      </c>
      <c r="G951" s="4" t="s">
        <v>8792</v>
      </c>
      <c r="H951" s="4" t="s">
        <v>8793</v>
      </c>
      <c r="I951" s="3" t="s">
        <v>49</v>
      </c>
      <c r="J951" s="3" t="s">
        <v>50</v>
      </c>
      <c r="K951" s="3" t="s">
        <v>45</v>
      </c>
      <c r="L951" s="3" t="s">
        <v>45</v>
      </c>
      <c r="M951" s="3" t="s">
        <v>45</v>
      </c>
      <c r="N951" s="4" t="s">
        <v>8794</v>
      </c>
      <c r="O951" s="3" t="s">
        <v>70</v>
      </c>
      <c r="P951" s="3" t="s">
        <v>45</v>
      </c>
      <c r="Q951" s="3" t="s">
        <v>45</v>
      </c>
      <c r="R951" s="3" t="s">
        <v>45</v>
      </c>
      <c r="S951" s="4" t="s">
        <v>789</v>
      </c>
      <c r="T951" s="3" t="s">
        <v>45</v>
      </c>
      <c r="U951" s="3" t="s">
        <v>45</v>
      </c>
      <c r="V951" s="3" t="s">
        <v>45</v>
      </c>
      <c r="W951" s="4" t="s">
        <v>8795</v>
      </c>
      <c r="X951" s="3" t="s">
        <v>45</v>
      </c>
      <c r="Y951" s="3" t="s">
        <v>45</v>
      </c>
      <c r="Z951" s="3" t="s">
        <v>55</v>
      </c>
      <c r="AA951" s="3" t="s">
        <v>8796</v>
      </c>
      <c r="AB951" s="3" t="s">
        <v>45</v>
      </c>
      <c r="AC951" s="3" t="s">
        <v>55</v>
      </c>
      <c r="AD951" s="3" t="s">
        <v>45</v>
      </c>
      <c r="AE951" s="3" t="s">
        <v>45</v>
      </c>
      <c r="AF951" s="3" t="s">
        <v>45</v>
      </c>
      <c r="AG951" s="3" t="s">
        <v>8797</v>
      </c>
      <c r="AH951" s="3" t="s">
        <v>57</v>
      </c>
      <c r="AI951" s="5" t="s">
        <v>8798</v>
      </c>
      <c r="AJ951" s="5" t="s">
        <v>8799</v>
      </c>
      <c r="AK951" s="5" t="s">
        <v>8800</v>
      </c>
      <c r="AL951" s="3" t="s">
        <v>45</v>
      </c>
      <c r="AM951" s="3" t="s">
        <v>45</v>
      </c>
      <c r="AN951" s="3" t="s">
        <v>45</v>
      </c>
      <c r="AO951" s="3" t="s">
        <v>45</v>
      </c>
      <c r="AP951" s="3" t="s">
        <v>45</v>
      </c>
      <c r="AQ951" s="4" t="s">
        <v>1729</v>
      </c>
      <c r="AR951" s="4" t="s">
        <v>1250</v>
      </c>
    </row>
    <row r="952">
      <c r="A952" s="3" t="s">
        <v>8801</v>
      </c>
      <c r="B952" s="3" t="s">
        <v>8802</v>
      </c>
      <c r="C952" s="3" t="s">
        <v>8803</v>
      </c>
      <c r="D952" s="3" t="s">
        <v>8268</v>
      </c>
      <c r="E952" s="4" t="s">
        <v>8804</v>
      </c>
      <c r="F952" s="3" t="s">
        <v>8803</v>
      </c>
      <c r="G952" s="4" t="s">
        <v>8805</v>
      </c>
      <c r="H952" s="4" t="s">
        <v>8806</v>
      </c>
      <c r="I952" s="3" t="s">
        <v>49</v>
      </c>
      <c r="J952" s="3" t="s">
        <v>126</v>
      </c>
      <c r="K952" s="3" t="s">
        <v>45</v>
      </c>
      <c r="L952" s="3" t="s">
        <v>176</v>
      </c>
      <c r="M952" s="3" t="s">
        <v>45</v>
      </c>
      <c r="N952" s="3" t="s">
        <v>45</v>
      </c>
      <c r="O952" s="3" t="s">
        <v>74</v>
      </c>
      <c r="P952" s="3" t="s">
        <v>45</v>
      </c>
      <c r="Q952" s="3" t="s">
        <v>45</v>
      </c>
      <c r="R952" s="3" t="s">
        <v>45</v>
      </c>
      <c r="S952" s="4" t="s">
        <v>233</v>
      </c>
      <c r="T952" s="3" t="s">
        <v>45</v>
      </c>
      <c r="U952" s="3" t="s">
        <v>45</v>
      </c>
      <c r="V952" s="4" t="s">
        <v>8807</v>
      </c>
      <c r="W952" s="3" t="s">
        <v>45</v>
      </c>
      <c r="X952" s="3" t="s">
        <v>223</v>
      </c>
      <c r="Y952" s="4" t="s">
        <v>727</v>
      </c>
      <c r="Z952" s="3" t="s">
        <v>45</v>
      </c>
      <c r="AA952" s="3" t="s">
        <v>45</v>
      </c>
      <c r="AB952" s="3" t="s">
        <v>45</v>
      </c>
      <c r="AC952" s="3" t="s">
        <v>45</v>
      </c>
      <c r="AD952" s="3" t="s">
        <v>45</v>
      </c>
      <c r="AE952" s="3" t="s">
        <v>45</v>
      </c>
      <c r="AF952" s="3" t="s">
        <v>45</v>
      </c>
      <c r="AG952" s="3" t="s">
        <v>45</v>
      </c>
      <c r="AH952" s="3" t="s">
        <v>57</v>
      </c>
      <c r="AI952" s="5" t="s">
        <v>8808</v>
      </c>
      <c r="AJ952" s="3" t="s">
        <v>45</v>
      </c>
      <c r="AK952" s="3" t="s">
        <v>45</v>
      </c>
      <c r="AL952" s="3" t="s">
        <v>45</v>
      </c>
      <c r="AM952" s="3" t="s">
        <v>45</v>
      </c>
      <c r="AN952" s="3" t="s">
        <v>45</v>
      </c>
      <c r="AO952" s="3" t="s">
        <v>45</v>
      </c>
      <c r="AP952" s="3" t="s">
        <v>45</v>
      </c>
      <c r="AQ952" s="4" t="s">
        <v>1016</v>
      </c>
      <c r="AR952" s="4" t="s">
        <v>1016</v>
      </c>
    </row>
    <row r="953">
      <c r="A953" s="3" t="s">
        <v>8809</v>
      </c>
      <c r="B953" s="3" t="s">
        <v>8810</v>
      </c>
      <c r="C953" s="3" t="s">
        <v>8811</v>
      </c>
      <c r="D953" s="3" t="s">
        <v>8268</v>
      </c>
      <c r="E953" s="3" t="s">
        <v>45</v>
      </c>
      <c r="F953" s="3" t="s">
        <v>8812</v>
      </c>
      <c r="G953" s="4" t="s">
        <v>8813</v>
      </c>
      <c r="H953" s="4" t="s">
        <v>8814</v>
      </c>
      <c r="I953" s="3" t="s">
        <v>49</v>
      </c>
      <c r="J953" s="3" t="s">
        <v>50</v>
      </c>
      <c r="K953" s="3" t="s">
        <v>45</v>
      </c>
      <c r="L953" s="3" t="s">
        <v>8815</v>
      </c>
      <c r="M953" s="3" t="s">
        <v>45</v>
      </c>
      <c r="N953" s="4" t="s">
        <v>8816</v>
      </c>
      <c r="O953" s="3" t="s">
        <v>70</v>
      </c>
      <c r="P953" s="3" t="s">
        <v>45</v>
      </c>
      <c r="Q953" s="3" t="s">
        <v>45</v>
      </c>
      <c r="R953" s="3" t="s">
        <v>45</v>
      </c>
      <c r="S953" s="3" t="s">
        <v>45</v>
      </c>
      <c r="T953" s="3" t="s">
        <v>45</v>
      </c>
      <c r="U953" s="3" t="s">
        <v>45</v>
      </c>
      <c r="V953" s="3" t="s">
        <v>45</v>
      </c>
      <c r="W953" s="4" t="s">
        <v>4277</v>
      </c>
      <c r="X953" s="3" t="s">
        <v>45</v>
      </c>
      <c r="Y953" s="3" t="s">
        <v>45</v>
      </c>
      <c r="Z953" s="3" t="s">
        <v>55</v>
      </c>
      <c r="AA953" s="3" t="s">
        <v>45</v>
      </c>
      <c r="AB953" s="3" t="s">
        <v>109</v>
      </c>
      <c r="AC953" s="3" t="s">
        <v>45</v>
      </c>
      <c r="AD953" s="3" t="s">
        <v>45</v>
      </c>
      <c r="AE953" s="3" t="s">
        <v>45</v>
      </c>
      <c r="AF953" s="3" t="s">
        <v>45</v>
      </c>
      <c r="AG953" s="3" t="s">
        <v>8817</v>
      </c>
      <c r="AH953" s="3" t="s">
        <v>57</v>
      </c>
      <c r="AI953" s="5" t="s">
        <v>8818</v>
      </c>
      <c r="AJ953" s="5" t="s">
        <v>8819</v>
      </c>
      <c r="AK953" s="3" t="s">
        <v>45</v>
      </c>
      <c r="AL953" s="3" t="s">
        <v>45</v>
      </c>
      <c r="AM953" s="3" t="s">
        <v>45</v>
      </c>
      <c r="AN953" s="3" t="s">
        <v>45</v>
      </c>
      <c r="AO953" s="3" t="s">
        <v>45</v>
      </c>
      <c r="AP953" s="3" t="s">
        <v>45</v>
      </c>
      <c r="AQ953" s="4" t="s">
        <v>695</v>
      </c>
      <c r="AR953" s="4" t="s">
        <v>695</v>
      </c>
    </row>
    <row r="954">
      <c r="A954" s="3" t="s">
        <v>8820</v>
      </c>
      <c r="B954" s="3" t="s">
        <v>8821</v>
      </c>
      <c r="C954" s="3" t="s">
        <v>6925</v>
      </c>
      <c r="D954" s="3" t="s">
        <v>8268</v>
      </c>
      <c r="E954" s="4" t="s">
        <v>8822</v>
      </c>
      <c r="F954" s="3" t="s">
        <v>8812</v>
      </c>
      <c r="G954" s="4" t="s">
        <v>8823</v>
      </c>
      <c r="H954" s="4" t="s">
        <v>8824</v>
      </c>
      <c r="I954" s="3" t="s">
        <v>49</v>
      </c>
      <c r="J954" s="3" t="s">
        <v>50</v>
      </c>
      <c r="K954" s="3" t="s">
        <v>45</v>
      </c>
      <c r="L954" s="3" t="s">
        <v>45</v>
      </c>
      <c r="M954" s="3" t="s">
        <v>45</v>
      </c>
      <c r="N954" s="3" t="s">
        <v>45</v>
      </c>
      <c r="O954" s="3" t="s">
        <v>74</v>
      </c>
      <c r="P954" s="3" t="s">
        <v>45</v>
      </c>
      <c r="Q954" s="3" t="s">
        <v>45</v>
      </c>
      <c r="R954" s="3" t="s">
        <v>45</v>
      </c>
      <c r="S954" s="3" t="s">
        <v>45</v>
      </c>
      <c r="T954" s="3" t="s">
        <v>45</v>
      </c>
      <c r="U954" s="3" t="s">
        <v>45</v>
      </c>
      <c r="V954" s="3" t="s">
        <v>45</v>
      </c>
      <c r="W954" s="4" t="s">
        <v>156</v>
      </c>
      <c r="X954" s="3" t="s">
        <v>45</v>
      </c>
      <c r="Y954" s="3" t="s">
        <v>45</v>
      </c>
      <c r="Z954" s="3" t="s">
        <v>55</v>
      </c>
      <c r="AA954" s="3" t="s">
        <v>45</v>
      </c>
      <c r="AB954" s="3" t="s">
        <v>45</v>
      </c>
      <c r="AC954" s="3" t="s">
        <v>45</v>
      </c>
      <c r="AD954" s="3" t="s">
        <v>45</v>
      </c>
      <c r="AE954" s="3" t="s">
        <v>45</v>
      </c>
      <c r="AF954" s="3" t="s">
        <v>45</v>
      </c>
      <c r="AG954" s="3" t="s">
        <v>45</v>
      </c>
      <c r="AH954" s="3" t="s">
        <v>57</v>
      </c>
      <c r="AI954" s="5" t="s">
        <v>8825</v>
      </c>
      <c r="AJ954" s="5" t="s">
        <v>8826</v>
      </c>
      <c r="AK954" s="3" t="s">
        <v>45</v>
      </c>
      <c r="AL954" s="3" t="s">
        <v>45</v>
      </c>
      <c r="AM954" s="3" t="s">
        <v>45</v>
      </c>
      <c r="AN954" s="3" t="s">
        <v>45</v>
      </c>
      <c r="AO954" s="3" t="s">
        <v>45</v>
      </c>
      <c r="AP954" s="3" t="s">
        <v>45</v>
      </c>
      <c r="AQ954" s="4" t="s">
        <v>3382</v>
      </c>
      <c r="AR954" s="4" t="s">
        <v>3382</v>
      </c>
    </row>
    <row r="955">
      <c r="A955" s="3" t="s">
        <v>8827</v>
      </c>
      <c r="B955" s="3" t="s">
        <v>8828</v>
      </c>
      <c r="C955" s="3" t="s">
        <v>2714</v>
      </c>
      <c r="D955" s="3" t="s">
        <v>8268</v>
      </c>
      <c r="E955" s="4" t="s">
        <v>8829</v>
      </c>
      <c r="F955" s="3" t="s">
        <v>8830</v>
      </c>
      <c r="G955" s="4" t="s">
        <v>8831</v>
      </c>
      <c r="H955" s="4" t="s">
        <v>8832</v>
      </c>
      <c r="I955" s="3" t="s">
        <v>85</v>
      </c>
      <c r="J955" s="3" t="s">
        <v>126</v>
      </c>
      <c r="K955" s="3" t="s">
        <v>45</v>
      </c>
      <c r="L955" s="3" t="s">
        <v>45</v>
      </c>
      <c r="M955" s="3" t="s">
        <v>45</v>
      </c>
      <c r="N955" s="3" t="s">
        <v>45</v>
      </c>
      <c r="O955" s="3" t="s">
        <v>74</v>
      </c>
      <c r="P955" s="3" t="s">
        <v>45</v>
      </c>
      <c r="Q955" s="3" t="s">
        <v>45</v>
      </c>
      <c r="R955" s="3" t="s">
        <v>45</v>
      </c>
      <c r="S955" s="3" t="s">
        <v>45</v>
      </c>
      <c r="T955" s="3" t="s">
        <v>45</v>
      </c>
      <c r="U955" s="3" t="s">
        <v>45</v>
      </c>
      <c r="V955" s="3" t="s">
        <v>45</v>
      </c>
      <c r="W955" s="3" t="s">
        <v>45</v>
      </c>
      <c r="X955" s="3" t="s">
        <v>45</v>
      </c>
      <c r="Y955" s="3" t="s">
        <v>45</v>
      </c>
      <c r="Z955" s="3" t="s">
        <v>74</v>
      </c>
      <c r="AA955" s="3" t="s">
        <v>45</v>
      </c>
      <c r="AB955" s="3" t="s">
        <v>45</v>
      </c>
      <c r="AC955" s="3" t="s">
        <v>45</v>
      </c>
      <c r="AD955" s="3" t="s">
        <v>45</v>
      </c>
      <c r="AE955" s="3" t="s">
        <v>45</v>
      </c>
      <c r="AF955" s="3" t="s">
        <v>45</v>
      </c>
      <c r="AG955" s="3" t="s">
        <v>45</v>
      </c>
      <c r="AH955" s="3" t="s">
        <v>57</v>
      </c>
      <c r="AI955" s="5" t="s">
        <v>8486</v>
      </c>
      <c r="AJ955" s="3" t="s">
        <v>45</v>
      </c>
      <c r="AK955" s="3" t="s">
        <v>45</v>
      </c>
      <c r="AL955" s="3" t="s">
        <v>45</v>
      </c>
      <c r="AM955" s="3" t="s">
        <v>45</v>
      </c>
      <c r="AN955" s="3" t="s">
        <v>45</v>
      </c>
      <c r="AO955" s="3" t="s">
        <v>45</v>
      </c>
      <c r="AP955" s="3" t="s">
        <v>45</v>
      </c>
      <c r="AQ955" s="4" t="s">
        <v>8335</v>
      </c>
      <c r="AR955" s="4" t="s">
        <v>8335</v>
      </c>
    </row>
    <row r="956">
      <c r="A956" s="3" t="s">
        <v>8833</v>
      </c>
      <c r="B956" s="3" t="s">
        <v>8834</v>
      </c>
      <c r="C956" s="3" t="s">
        <v>2714</v>
      </c>
      <c r="D956" s="3" t="s">
        <v>8268</v>
      </c>
      <c r="E956" s="4" t="s">
        <v>8835</v>
      </c>
      <c r="F956" s="3" t="s">
        <v>8830</v>
      </c>
      <c r="G956" s="4" t="s">
        <v>8836</v>
      </c>
      <c r="H956" s="4" t="s">
        <v>8837</v>
      </c>
      <c r="I956" s="3" t="s">
        <v>408</v>
      </c>
      <c r="J956" s="3" t="s">
        <v>126</v>
      </c>
      <c r="K956" s="3" t="s">
        <v>45</v>
      </c>
      <c r="L956" s="3" t="s">
        <v>45</v>
      </c>
      <c r="M956" s="3" t="s">
        <v>45</v>
      </c>
      <c r="N956" s="3" t="s">
        <v>8838</v>
      </c>
      <c r="O956" s="3" t="s">
        <v>88</v>
      </c>
      <c r="P956" s="3" t="s">
        <v>45</v>
      </c>
      <c r="Q956" s="3" t="s">
        <v>45</v>
      </c>
      <c r="R956" s="3" t="s">
        <v>45</v>
      </c>
      <c r="S956" s="3" t="s">
        <v>45</v>
      </c>
      <c r="T956" s="3" t="s">
        <v>45</v>
      </c>
      <c r="U956" s="3" t="s">
        <v>45</v>
      </c>
      <c r="V956" s="4" t="s">
        <v>1762</v>
      </c>
      <c r="W956" s="3" t="s">
        <v>45</v>
      </c>
      <c r="X956" s="3" t="s">
        <v>45</v>
      </c>
      <c r="Y956" s="3" t="s">
        <v>45</v>
      </c>
      <c r="Z956" s="3" t="s">
        <v>74</v>
      </c>
      <c r="AA956" s="3" t="s">
        <v>45</v>
      </c>
      <c r="AB956" s="3" t="s">
        <v>45</v>
      </c>
      <c r="AC956" s="3" t="s">
        <v>45</v>
      </c>
      <c r="AD956" s="3" t="s">
        <v>45</v>
      </c>
      <c r="AE956" s="3" t="s">
        <v>45</v>
      </c>
      <c r="AF956" s="3" t="s">
        <v>45</v>
      </c>
      <c r="AG956" s="3" t="s">
        <v>45</v>
      </c>
      <c r="AH956" s="3" t="s">
        <v>57</v>
      </c>
      <c r="AI956" s="5" t="s">
        <v>8486</v>
      </c>
      <c r="AJ956" s="5" t="s">
        <v>8839</v>
      </c>
      <c r="AK956" s="3" t="s">
        <v>45</v>
      </c>
      <c r="AL956" s="3" t="s">
        <v>45</v>
      </c>
      <c r="AM956" s="3" t="s">
        <v>45</v>
      </c>
      <c r="AN956" s="3" t="s">
        <v>45</v>
      </c>
      <c r="AO956" s="3" t="s">
        <v>45</v>
      </c>
      <c r="AP956" s="3" t="s">
        <v>45</v>
      </c>
      <c r="AQ956" s="4" t="s">
        <v>8335</v>
      </c>
      <c r="AR956" s="4" t="s">
        <v>1113</v>
      </c>
    </row>
    <row r="957">
      <c r="A957" s="3" t="s">
        <v>8840</v>
      </c>
      <c r="B957" s="3" t="s">
        <v>8841</v>
      </c>
      <c r="C957" s="3" t="s">
        <v>8842</v>
      </c>
      <c r="D957" s="3" t="s">
        <v>8268</v>
      </c>
      <c r="E957" s="4" t="s">
        <v>8843</v>
      </c>
      <c r="F957" s="3" t="s">
        <v>8830</v>
      </c>
      <c r="G957" s="4" t="s">
        <v>8844</v>
      </c>
      <c r="H957" s="4" t="s">
        <v>8845</v>
      </c>
      <c r="I957" s="3" t="s">
        <v>85</v>
      </c>
      <c r="J957" s="3" t="s">
        <v>126</v>
      </c>
      <c r="K957" s="3" t="s">
        <v>45</v>
      </c>
      <c r="L957" s="3" t="s">
        <v>45</v>
      </c>
      <c r="M957" s="3" t="s">
        <v>45</v>
      </c>
      <c r="N957" s="3" t="s">
        <v>45</v>
      </c>
      <c r="O957" s="3" t="s">
        <v>74</v>
      </c>
      <c r="P957" s="3" t="s">
        <v>45</v>
      </c>
      <c r="Q957" s="3" t="s">
        <v>45</v>
      </c>
      <c r="R957" s="3" t="s">
        <v>45</v>
      </c>
      <c r="S957" s="3" t="s">
        <v>45</v>
      </c>
      <c r="T957" s="3" t="s">
        <v>45</v>
      </c>
      <c r="U957" s="3" t="s">
        <v>45</v>
      </c>
      <c r="V957" s="3" t="s">
        <v>45</v>
      </c>
      <c r="W957" s="3" t="s">
        <v>45</v>
      </c>
      <c r="X957" s="3" t="s">
        <v>45</v>
      </c>
      <c r="Y957" s="3" t="s">
        <v>45</v>
      </c>
      <c r="Z957" s="3" t="s">
        <v>74</v>
      </c>
      <c r="AA957" s="3" t="s">
        <v>45</v>
      </c>
      <c r="AB957" s="3" t="s">
        <v>45</v>
      </c>
      <c r="AC957" s="3" t="s">
        <v>45</v>
      </c>
      <c r="AD957" s="3" t="s">
        <v>45</v>
      </c>
      <c r="AE957" s="3" t="s">
        <v>45</v>
      </c>
      <c r="AF957" s="3" t="s">
        <v>45</v>
      </c>
      <c r="AG957" s="3" t="s">
        <v>8333</v>
      </c>
      <c r="AH957" s="3" t="s">
        <v>57</v>
      </c>
      <c r="AI957" s="5" t="s">
        <v>8334</v>
      </c>
      <c r="AJ957" s="3" t="s">
        <v>45</v>
      </c>
      <c r="AK957" s="3" t="s">
        <v>45</v>
      </c>
      <c r="AL957" s="3" t="s">
        <v>45</v>
      </c>
      <c r="AM957" s="3" t="s">
        <v>45</v>
      </c>
      <c r="AN957" s="3" t="s">
        <v>45</v>
      </c>
      <c r="AO957" s="3" t="s">
        <v>45</v>
      </c>
      <c r="AP957" s="3" t="s">
        <v>45</v>
      </c>
      <c r="AQ957" s="4" t="s">
        <v>8335</v>
      </c>
      <c r="AR957" s="4" t="s">
        <v>8335</v>
      </c>
    </row>
    <row r="958">
      <c r="A958" s="3" t="s">
        <v>8846</v>
      </c>
      <c r="B958" s="3" t="s">
        <v>8847</v>
      </c>
      <c r="C958" s="3" t="s">
        <v>8848</v>
      </c>
      <c r="D958" s="3" t="s">
        <v>8268</v>
      </c>
      <c r="E958" s="4" t="s">
        <v>8849</v>
      </c>
      <c r="F958" s="3" t="s">
        <v>8812</v>
      </c>
      <c r="G958" s="4" t="s">
        <v>8850</v>
      </c>
      <c r="H958" s="4" t="s">
        <v>8851</v>
      </c>
      <c r="I958" s="3" t="s">
        <v>49</v>
      </c>
      <c r="J958" s="3" t="s">
        <v>126</v>
      </c>
      <c r="K958" s="3" t="s">
        <v>45</v>
      </c>
      <c r="L958" s="3" t="s">
        <v>45</v>
      </c>
      <c r="M958" s="3" t="s">
        <v>45</v>
      </c>
      <c r="N958" s="4" t="s">
        <v>2222</v>
      </c>
      <c r="O958" s="3" t="s">
        <v>70</v>
      </c>
      <c r="P958" s="3" t="s">
        <v>45</v>
      </c>
      <c r="Q958" s="3" t="s">
        <v>45</v>
      </c>
      <c r="R958" s="3" t="s">
        <v>45</v>
      </c>
      <c r="S958" s="4" t="s">
        <v>233</v>
      </c>
      <c r="T958" s="3" t="s">
        <v>45</v>
      </c>
      <c r="U958" s="3" t="s">
        <v>45</v>
      </c>
      <c r="V958" s="4" t="s">
        <v>8852</v>
      </c>
      <c r="W958" s="4" t="s">
        <v>8853</v>
      </c>
      <c r="X958" s="3" t="s">
        <v>8264</v>
      </c>
      <c r="Y958" s="4" t="s">
        <v>317</v>
      </c>
      <c r="Z958" s="3" t="s">
        <v>74</v>
      </c>
      <c r="AA958" s="3" t="s">
        <v>45</v>
      </c>
      <c r="AB958" s="3" t="s">
        <v>45</v>
      </c>
      <c r="AC958" s="3" t="s">
        <v>45</v>
      </c>
      <c r="AD958" s="3" t="s">
        <v>45</v>
      </c>
      <c r="AE958" s="3" t="s">
        <v>45</v>
      </c>
      <c r="AF958" s="3" t="s">
        <v>45</v>
      </c>
      <c r="AG958" s="3" t="s">
        <v>45</v>
      </c>
      <c r="AH958" s="3" t="s">
        <v>57</v>
      </c>
      <c r="AI958" s="5" t="s">
        <v>8854</v>
      </c>
      <c r="AJ958" s="5" t="s">
        <v>8855</v>
      </c>
      <c r="AK958" s="5" t="s">
        <v>8856</v>
      </c>
      <c r="AL958" s="3" t="s">
        <v>45</v>
      </c>
      <c r="AM958" s="3" t="s">
        <v>45</v>
      </c>
      <c r="AN958" s="3" t="s">
        <v>45</v>
      </c>
      <c r="AO958" s="3" t="s">
        <v>45</v>
      </c>
      <c r="AP958" s="3" t="s">
        <v>45</v>
      </c>
      <c r="AQ958" s="4" t="s">
        <v>1728</v>
      </c>
      <c r="AR958" s="4" t="s">
        <v>1016</v>
      </c>
    </row>
    <row r="959">
      <c r="A959" s="3" t="s">
        <v>1261</v>
      </c>
      <c r="B959" s="3" t="s">
        <v>8857</v>
      </c>
      <c r="C959" s="3" t="s">
        <v>8858</v>
      </c>
      <c r="D959" s="3" t="s">
        <v>8268</v>
      </c>
      <c r="E959" s="4" t="s">
        <v>8859</v>
      </c>
      <c r="F959" s="3" t="s">
        <v>8749</v>
      </c>
      <c r="G959" s="4" t="s">
        <v>8860</v>
      </c>
      <c r="H959" s="4" t="s">
        <v>8861</v>
      </c>
      <c r="I959" s="3" t="s">
        <v>49</v>
      </c>
      <c r="J959" s="3" t="s">
        <v>50</v>
      </c>
      <c r="K959" s="3" t="s">
        <v>45</v>
      </c>
      <c r="L959" s="3" t="s">
        <v>45</v>
      </c>
      <c r="M959" s="3" t="s">
        <v>45</v>
      </c>
      <c r="N959" s="3" t="s">
        <v>45</v>
      </c>
      <c r="O959" s="3" t="s">
        <v>88</v>
      </c>
      <c r="P959" s="3" t="s">
        <v>45</v>
      </c>
      <c r="Q959" s="3" t="s">
        <v>45</v>
      </c>
      <c r="R959" s="3" t="s">
        <v>45</v>
      </c>
      <c r="S959" s="4" t="s">
        <v>1872</v>
      </c>
      <c r="T959" s="3" t="s">
        <v>45</v>
      </c>
      <c r="U959" s="3" t="s">
        <v>221</v>
      </c>
      <c r="V959" s="3" t="s">
        <v>45</v>
      </c>
      <c r="W959" s="4" t="s">
        <v>102</v>
      </c>
      <c r="X959" s="3" t="s">
        <v>45</v>
      </c>
      <c r="Y959" s="4" t="s">
        <v>957</v>
      </c>
      <c r="Z959" s="3" t="s">
        <v>74</v>
      </c>
      <c r="AA959" s="3" t="s">
        <v>45</v>
      </c>
      <c r="AB959" s="3" t="s">
        <v>45</v>
      </c>
      <c r="AC959" s="3" t="s">
        <v>45</v>
      </c>
      <c r="AD959" s="3" t="s">
        <v>45</v>
      </c>
      <c r="AE959" s="3" t="s">
        <v>45</v>
      </c>
      <c r="AF959" s="3" t="s">
        <v>45</v>
      </c>
      <c r="AG959" s="3" t="s">
        <v>8862</v>
      </c>
      <c r="AH959" s="3" t="s">
        <v>57</v>
      </c>
      <c r="AI959" s="5" t="s">
        <v>8863</v>
      </c>
      <c r="AJ959" s="3" t="s">
        <v>45</v>
      </c>
      <c r="AK959" s="3" t="s">
        <v>45</v>
      </c>
      <c r="AL959" s="3" t="s">
        <v>45</v>
      </c>
      <c r="AM959" s="3" t="s">
        <v>45</v>
      </c>
      <c r="AN959" s="3" t="s">
        <v>45</v>
      </c>
      <c r="AO959" s="3" t="s">
        <v>45</v>
      </c>
      <c r="AP959" s="3" t="s">
        <v>45</v>
      </c>
      <c r="AQ959" s="4" t="s">
        <v>2870</v>
      </c>
      <c r="AR959" s="4" t="s">
        <v>2870</v>
      </c>
    </row>
    <row r="960">
      <c r="A960" s="3" t="s">
        <v>8864</v>
      </c>
      <c r="B960" s="3" t="s">
        <v>8865</v>
      </c>
      <c r="C960" s="3" t="s">
        <v>8858</v>
      </c>
      <c r="D960" s="3" t="s">
        <v>8268</v>
      </c>
      <c r="E960" s="4" t="s">
        <v>8859</v>
      </c>
      <c r="F960" s="3" t="s">
        <v>8749</v>
      </c>
      <c r="G960" s="4" t="s">
        <v>8866</v>
      </c>
      <c r="H960" s="4" t="s">
        <v>8867</v>
      </c>
      <c r="I960" s="3" t="s">
        <v>436</v>
      </c>
      <c r="J960" s="3" t="s">
        <v>126</v>
      </c>
      <c r="K960" s="3" t="s">
        <v>45</v>
      </c>
      <c r="L960" s="3" t="s">
        <v>45</v>
      </c>
      <c r="M960" s="3" t="s">
        <v>45</v>
      </c>
      <c r="N960" s="4" t="s">
        <v>54</v>
      </c>
      <c r="O960" s="3" t="s">
        <v>722</v>
      </c>
      <c r="P960" s="3" t="s">
        <v>45</v>
      </c>
      <c r="Q960" s="3" t="s">
        <v>45</v>
      </c>
      <c r="R960" s="3" t="s">
        <v>45</v>
      </c>
      <c r="S960" s="3" t="s">
        <v>45</v>
      </c>
      <c r="T960" s="3" t="s">
        <v>45</v>
      </c>
      <c r="U960" s="3" t="s">
        <v>45</v>
      </c>
      <c r="V960" s="4" t="s">
        <v>747</v>
      </c>
      <c r="W960" s="4" t="s">
        <v>861</v>
      </c>
      <c r="X960" s="3" t="s">
        <v>45</v>
      </c>
      <c r="Y960" s="3" t="s">
        <v>45</v>
      </c>
      <c r="Z960" s="3" t="s">
        <v>55</v>
      </c>
      <c r="AA960" s="3" t="s">
        <v>45</v>
      </c>
      <c r="AB960" s="3" t="s">
        <v>45</v>
      </c>
      <c r="AC960" s="3" t="s">
        <v>45</v>
      </c>
      <c r="AD960" s="3" t="s">
        <v>8868</v>
      </c>
      <c r="AE960" s="3" t="s">
        <v>45</v>
      </c>
      <c r="AF960" s="3" t="s">
        <v>45</v>
      </c>
      <c r="AG960" s="3" t="s">
        <v>45</v>
      </c>
      <c r="AH960" s="3" t="s">
        <v>57</v>
      </c>
      <c r="AI960" s="5" t="s">
        <v>8869</v>
      </c>
      <c r="AJ960" s="5" t="s">
        <v>8870</v>
      </c>
      <c r="AK960" s="5" t="s">
        <v>8871</v>
      </c>
      <c r="AL960" s="3" t="s">
        <v>45</v>
      </c>
      <c r="AM960" s="3" t="s">
        <v>45</v>
      </c>
      <c r="AN960" s="3" t="s">
        <v>45</v>
      </c>
      <c r="AO960" s="3" t="s">
        <v>45</v>
      </c>
      <c r="AP960" s="3" t="s">
        <v>45</v>
      </c>
      <c r="AQ960" s="4" t="s">
        <v>474</v>
      </c>
      <c r="AR960" s="4" t="s">
        <v>2459</v>
      </c>
    </row>
    <row r="961">
      <c r="A961" s="3" t="s">
        <v>8872</v>
      </c>
      <c r="B961" s="3" t="s">
        <v>8873</v>
      </c>
      <c r="C961" s="3" t="s">
        <v>8858</v>
      </c>
      <c r="D961" s="3" t="s">
        <v>8268</v>
      </c>
      <c r="E961" s="4" t="s">
        <v>8859</v>
      </c>
      <c r="F961" s="3" t="s">
        <v>8749</v>
      </c>
      <c r="G961" s="4" t="s">
        <v>8874</v>
      </c>
      <c r="H961" s="4" t="s">
        <v>8875</v>
      </c>
      <c r="I961" s="3" t="s">
        <v>49</v>
      </c>
      <c r="J961" s="3" t="s">
        <v>126</v>
      </c>
      <c r="K961" s="3" t="s">
        <v>45</v>
      </c>
      <c r="L961" s="3" t="s">
        <v>899</v>
      </c>
      <c r="M961" s="3" t="s">
        <v>45</v>
      </c>
      <c r="N961" s="3" t="s">
        <v>45</v>
      </c>
      <c r="O961" s="3" t="s">
        <v>74</v>
      </c>
      <c r="P961" s="3" t="s">
        <v>45</v>
      </c>
      <c r="Q961" s="3" t="s">
        <v>45</v>
      </c>
      <c r="R961" s="3" t="s">
        <v>45</v>
      </c>
      <c r="S961" s="3" t="s">
        <v>45</v>
      </c>
      <c r="T961" s="3" t="s">
        <v>45</v>
      </c>
      <c r="U961" s="3" t="s">
        <v>45</v>
      </c>
      <c r="V961" s="4" t="s">
        <v>680</v>
      </c>
      <c r="W961" s="3" t="s">
        <v>45</v>
      </c>
      <c r="X961" s="3" t="s">
        <v>45</v>
      </c>
      <c r="Y961" s="3" t="s">
        <v>45</v>
      </c>
      <c r="Z961" s="3" t="s">
        <v>74</v>
      </c>
      <c r="AA961" s="3" t="s">
        <v>45</v>
      </c>
      <c r="AB961" s="3" t="s">
        <v>45</v>
      </c>
      <c r="AC961" s="3" t="s">
        <v>45</v>
      </c>
      <c r="AD961" s="3" t="s">
        <v>45</v>
      </c>
      <c r="AE961" s="3" t="s">
        <v>45</v>
      </c>
      <c r="AF961" s="3" t="s">
        <v>45</v>
      </c>
      <c r="AG961" s="3" t="s">
        <v>45</v>
      </c>
      <c r="AH961" s="3" t="s">
        <v>57</v>
      </c>
      <c r="AI961" s="5" t="s">
        <v>906</v>
      </c>
      <c r="AJ961" s="3" t="s">
        <v>45</v>
      </c>
      <c r="AK961" s="3" t="s">
        <v>45</v>
      </c>
      <c r="AL961" s="3" t="s">
        <v>45</v>
      </c>
      <c r="AM961" s="3" t="s">
        <v>45</v>
      </c>
      <c r="AN961" s="3" t="s">
        <v>45</v>
      </c>
      <c r="AO961" s="3" t="s">
        <v>45</v>
      </c>
      <c r="AP961" s="3" t="s">
        <v>45</v>
      </c>
      <c r="AQ961" s="4" t="s">
        <v>907</v>
      </c>
      <c r="AR961" s="4" t="s">
        <v>907</v>
      </c>
    </row>
    <row r="962">
      <c r="A962" s="3" t="s">
        <v>8876</v>
      </c>
      <c r="B962" s="3" t="s">
        <v>8877</v>
      </c>
      <c r="C962" s="3" t="s">
        <v>8858</v>
      </c>
      <c r="D962" s="3" t="s">
        <v>8268</v>
      </c>
      <c r="E962" s="4" t="s">
        <v>8859</v>
      </c>
      <c r="F962" s="3" t="s">
        <v>8749</v>
      </c>
      <c r="G962" s="4" t="s">
        <v>8878</v>
      </c>
      <c r="H962" s="4" t="s">
        <v>8879</v>
      </c>
      <c r="I962" s="3" t="s">
        <v>218</v>
      </c>
      <c r="J962" s="3" t="s">
        <v>126</v>
      </c>
      <c r="K962" s="3" t="s">
        <v>45</v>
      </c>
      <c r="L962" s="3" t="s">
        <v>45</v>
      </c>
      <c r="M962" s="3" t="s">
        <v>45</v>
      </c>
      <c r="N962" s="3" t="s">
        <v>45</v>
      </c>
      <c r="O962" s="3" t="s">
        <v>88</v>
      </c>
      <c r="P962" s="3" t="s">
        <v>45</v>
      </c>
      <c r="Q962" s="3" t="s">
        <v>45</v>
      </c>
      <c r="R962" s="3" t="s">
        <v>45</v>
      </c>
      <c r="S962" s="3" t="s">
        <v>45</v>
      </c>
      <c r="T962" s="3" t="s">
        <v>45</v>
      </c>
      <c r="U962" s="3" t="s">
        <v>45</v>
      </c>
      <c r="V962" s="3" t="s">
        <v>45</v>
      </c>
      <c r="W962" s="4" t="s">
        <v>668</v>
      </c>
      <c r="X962" s="3" t="s">
        <v>8880</v>
      </c>
      <c r="Y962" s="3" t="s">
        <v>45</v>
      </c>
      <c r="Z962" s="3" t="s">
        <v>55</v>
      </c>
      <c r="AA962" s="3" t="s">
        <v>45</v>
      </c>
      <c r="AB962" s="3" t="s">
        <v>45</v>
      </c>
      <c r="AC962" s="3" t="s">
        <v>45</v>
      </c>
      <c r="AD962" s="3" t="s">
        <v>45</v>
      </c>
      <c r="AE962" s="3" t="s">
        <v>45</v>
      </c>
      <c r="AF962" s="5" t="s">
        <v>8881</v>
      </c>
      <c r="AG962" s="3" t="s">
        <v>45</v>
      </c>
      <c r="AH962" s="3" t="s">
        <v>57</v>
      </c>
      <c r="AI962" s="5" t="s">
        <v>8882</v>
      </c>
      <c r="AJ962" s="5" t="s">
        <v>8883</v>
      </c>
      <c r="AK962" s="3" t="s">
        <v>45</v>
      </c>
      <c r="AL962" s="3" t="s">
        <v>45</v>
      </c>
      <c r="AM962" s="3" t="s">
        <v>45</v>
      </c>
      <c r="AN962" s="3" t="s">
        <v>45</v>
      </c>
      <c r="AO962" s="3" t="s">
        <v>45</v>
      </c>
      <c r="AP962" s="3" t="s">
        <v>45</v>
      </c>
      <c r="AQ962" s="4" t="s">
        <v>8884</v>
      </c>
      <c r="AR962" s="4" t="s">
        <v>8131</v>
      </c>
    </row>
    <row r="963">
      <c r="A963" s="3" t="s">
        <v>8885</v>
      </c>
      <c r="B963" s="3" t="s">
        <v>8886</v>
      </c>
      <c r="C963" s="3" t="s">
        <v>8887</v>
      </c>
      <c r="D963" s="3" t="s">
        <v>8268</v>
      </c>
      <c r="E963" s="4" t="s">
        <v>8888</v>
      </c>
      <c r="F963" s="3" t="s">
        <v>2884</v>
      </c>
      <c r="G963" s="4" t="s">
        <v>8889</v>
      </c>
      <c r="H963" s="4" t="s">
        <v>8890</v>
      </c>
      <c r="I963" s="3" t="s">
        <v>85</v>
      </c>
      <c r="J963" s="3" t="s">
        <v>126</v>
      </c>
      <c r="K963" s="3" t="s">
        <v>45</v>
      </c>
      <c r="L963" s="3" t="s">
        <v>45</v>
      </c>
      <c r="M963" s="3" t="s">
        <v>45</v>
      </c>
      <c r="N963" s="4" t="s">
        <v>3085</v>
      </c>
      <c r="O963" s="3" t="s">
        <v>390</v>
      </c>
      <c r="P963" s="3" t="s">
        <v>45</v>
      </c>
      <c r="Q963" s="3" t="s">
        <v>45</v>
      </c>
      <c r="R963" s="3" t="s">
        <v>45</v>
      </c>
      <c r="S963" s="3" t="s">
        <v>45</v>
      </c>
      <c r="T963" s="3" t="s">
        <v>45</v>
      </c>
      <c r="U963" s="3" t="s">
        <v>45</v>
      </c>
      <c r="V963" s="4" t="s">
        <v>8891</v>
      </c>
      <c r="W963" s="4" t="s">
        <v>956</v>
      </c>
      <c r="X963" s="3" t="s">
        <v>45</v>
      </c>
      <c r="Y963" s="3" t="s">
        <v>45</v>
      </c>
      <c r="Z963" s="3" t="s">
        <v>74</v>
      </c>
      <c r="AA963" s="3" t="s">
        <v>45</v>
      </c>
      <c r="AB963" s="3" t="s">
        <v>45</v>
      </c>
      <c r="AC963" s="3" t="s">
        <v>45</v>
      </c>
      <c r="AD963" s="3" t="s">
        <v>45</v>
      </c>
      <c r="AE963" s="3" t="s">
        <v>45</v>
      </c>
      <c r="AF963" s="3" t="s">
        <v>45</v>
      </c>
      <c r="AG963" s="3" t="s">
        <v>45</v>
      </c>
      <c r="AH963" s="3" t="s">
        <v>57</v>
      </c>
      <c r="AI963" s="5" t="s">
        <v>8726</v>
      </c>
      <c r="AJ963" s="3" t="s">
        <v>45</v>
      </c>
      <c r="AK963" s="3" t="s">
        <v>45</v>
      </c>
      <c r="AL963" s="3" t="s">
        <v>45</v>
      </c>
      <c r="AM963" s="3" t="s">
        <v>45</v>
      </c>
      <c r="AN963" s="3" t="s">
        <v>45</v>
      </c>
      <c r="AO963" s="3" t="s">
        <v>45</v>
      </c>
      <c r="AP963" s="3" t="s">
        <v>45</v>
      </c>
      <c r="AQ963" s="4" t="s">
        <v>380</v>
      </c>
      <c r="AR963" s="4" t="s">
        <v>380</v>
      </c>
    </row>
    <row r="964">
      <c r="A964" s="3" t="s">
        <v>8892</v>
      </c>
      <c r="B964" s="3" t="s">
        <v>8893</v>
      </c>
      <c r="C964" s="3" t="s">
        <v>8887</v>
      </c>
      <c r="D964" s="3" t="s">
        <v>8268</v>
      </c>
      <c r="E964" s="4" t="s">
        <v>8894</v>
      </c>
      <c r="F964" s="3" t="s">
        <v>2884</v>
      </c>
      <c r="G964" s="4" t="s">
        <v>8895</v>
      </c>
      <c r="H964" s="4" t="s">
        <v>8896</v>
      </c>
      <c r="I964" s="3" t="s">
        <v>85</v>
      </c>
      <c r="J964" s="3" t="s">
        <v>126</v>
      </c>
      <c r="K964" s="3" t="s">
        <v>45</v>
      </c>
      <c r="L964" s="3" t="s">
        <v>45</v>
      </c>
      <c r="M964" s="3" t="s">
        <v>45</v>
      </c>
      <c r="N964" s="4" t="s">
        <v>2657</v>
      </c>
      <c r="O964" s="3" t="s">
        <v>88</v>
      </c>
      <c r="P964" s="3" t="s">
        <v>45</v>
      </c>
      <c r="Q964" s="3" t="s">
        <v>45</v>
      </c>
      <c r="R964" s="3" t="s">
        <v>45</v>
      </c>
      <c r="S964" s="3" t="s">
        <v>45</v>
      </c>
      <c r="T964" s="3" t="s">
        <v>45</v>
      </c>
      <c r="U964" s="3" t="s">
        <v>45</v>
      </c>
      <c r="V964" s="3" t="s">
        <v>45</v>
      </c>
      <c r="W964" s="3" t="s">
        <v>45</v>
      </c>
      <c r="X964" s="3" t="s">
        <v>45</v>
      </c>
      <c r="Y964" s="3" t="s">
        <v>45</v>
      </c>
      <c r="Z964" s="3" t="s">
        <v>74</v>
      </c>
      <c r="AA964" s="3" t="s">
        <v>45</v>
      </c>
      <c r="AB964" s="3" t="s">
        <v>45</v>
      </c>
      <c r="AC964" s="3" t="s">
        <v>45</v>
      </c>
      <c r="AD964" s="3" t="s">
        <v>45</v>
      </c>
      <c r="AE964" s="3" t="s">
        <v>45</v>
      </c>
      <c r="AF964" s="3" t="s">
        <v>45</v>
      </c>
      <c r="AG964" s="3" t="s">
        <v>45</v>
      </c>
      <c r="AH964" s="3" t="s">
        <v>57</v>
      </c>
      <c r="AI964" s="5" t="s">
        <v>8897</v>
      </c>
      <c r="AJ964" s="3" t="s">
        <v>45</v>
      </c>
      <c r="AK964" s="3" t="s">
        <v>45</v>
      </c>
      <c r="AL964" s="3" t="s">
        <v>45</v>
      </c>
      <c r="AM964" s="3" t="s">
        <v>45</v>
      </c>
      <c r="AN964" s="3" t="s">
        <v>45</v>
      </c>
      <c r="AO964" s="3" t="s">
        <v>45</v>
      </c>
      <c r="AP964" s="3" t="s">
        <v>45</v>
      </c>
      <c r="AQ964" s="4" t="s">
        <v>8335</v>
      </c>
      <c r="AR964" s="4" t="s">
        <v>474</v>
      </c>
    </row>
    <row r="965">
      <c r="A965" s="3" t="s">
        <v>8898</v>
      </c>
      <c r="B965" s="3" t="s">
        <v>8899</v>
      </c>
      <c r="C965" s="3" t="s">
        <v>8900</v>
      </c>
      <c r="D965" s="3" t="s">
        <v>8268</v>
      </c>
      <c r="E965" s="4" t="s">
        <v>8901</v>
      </c>
      <c r="F965" s="3" t="s">
        <v>8749</v>
      </c>
      <c r="G965" s="4" t="s">
        <v>8902</v>
      </c>
      <c r="H965" s="4" t="s">
        <v>8903</v>
      </c>
      <c r="I965" s="3" t="s">
        <v>49</v>
      </c>
      <c r="J965" s="3" t="s">
        <v>126</v>
      </c>
      <c r="K965" s="3" t="s">
        <v>45</v>
      </c>
      <c r="L965" s="3" t="s">
        <v>8904</v>
      </c>
      <c r="M965" s="3" t="s">
        <v>45</v>
      </c>
      <c r="N965" s="4" t="s">
        <v>419</v>
      </c>
      <c r="O965" s="3" t="s">
        <v>88</v>
      </c>
      <c r="P965" s="3" t="s">
        <v>45</v>
      </c>
      <c r="Q965" s="3" t="s">
        <v>45</v>
      </c>
      <c r="R965" s="3" t="s">
        <v>45</v>
      </c>
      <c r="S965" s="3" t="s">
        <v>45</v>
      </c>
      <c r="T965" s="3" t="s">
        <v>45</v>
      </c>
      <c r="U965" s="3" t="s">
        <v>45</v>
      </c>
      <c r="V965" s="3" t="s">
        <v>45</v>
      </c>
      <c r="W965" s="4" t="s">
        <v>8905</v>
      </c>
      <c r="X965" s="3" t="s">
        <v>8906</v>
      </c>
      <c r="Y965" s="3" t="s">
        <v>45</v>
      </c>
      <c r="Z965" s="3" t="s">
        <v>55</v>
      </c>
      <c r="AA965" s="5" t="s">
        <v>8907</v>
      </c>
      <c r="AB965" s="3" t="s">
        <v>45</v>
      </c>
      <c r="AC965" s="3" t="s">
        <v>45</v>
      </c>
      <c r="AD965" s="3" t="s">
        <v>45</v>
      </c>
      <c r="AE965" s="3" t="s">
        <v>45</v>
      </c>
      <c r="AF965" s="5" t="s">
        <v>8908</v>
      </c>
      <c r="AG965" s="3" t="s">
        <v>45</v>
      </c>
      <c r="AH965" s="3" t="s">
        <v>57</v>
      </c>
      <c r="AI965" s="5" t="s">
        <v>8909</v>
      </c>
      <c r="AJ965" s="5" t="s">
        <v>8910</v>
      </c>
      <c r="AK965" s="5" t="s">
        <v>8911</v>
      </c>
      <c r="AL965" s="3" t="s">
        <v>45</v>
      </c>
      <c r="AM965" s="3" t="s">
        <v>45</v>
      </c>
      <c r="AN965" s="3" t="s">
        <v>45</v>
      </c>
      <c r="AO965" s="3" t="s">
        <v>45</v>
      </c>
      <c r="AP965" s="3" t="s">
        <v>45</v>
      </c>
      <c r="AQ965" s="4" t="s">
        <v>3252</v>
      </c>
      <c r="AR965" s="4" t="s">
        <v>8131</v>
      </c>
    </row>
    <row r="966">
      <c r="A966" s="3" t="s">
        <v>8912</v>
      </c>
      <c r="B966" s="3" t="s">
        <v>8913</v>
      </c>
      <c r="C966" s="3" t="s">
        <v>8914</v>
      </c>
      <c r="D966" s="3" t="s">
        <v>8268</v>
      </c>
      <c r="E966" s="4" t="s">
        <v>8915</v>
      </c>
      <c r="F966" s="3" t="s">
        <v>8830</v>
      </c>
      <c r="G966" s="4" t="s">
        <v>8916</v>
      </c>
      <c r="H966" s="4" t="s">
        <v>8917</v>
      </c>
      <c r="I966" s="3" t="s">
        <v>85</v>
      </c>
      <c r="J966" s="3" t="s">
        <v>126</v>
      </c>
      <c r="K966" s="3" t="s">
        <v>743</v>
      </c>
      <c r="L966" s="3" t="s">
        <v>8918</v>
      </c>
      <c r="M966" s="3" t="s">
        <v>45</v>
      </c>
      <c r="N966" s="4" t="s">
        <v>2600</v>
      </c>
      <c r="O966" s="3" t="s">
        <v>390</v>
      </c>
      <c r="P966" s="3" t="s">
        <v>45</v>
      </c>
      <c r="Q966" s="3" t="s">
        <v>45</v>
      </c>
      <c r="R966" s="3" t="s">
        <v>45</v>
      </c>
      <c r="S966" s="3" t="s">
        <v>45</v>
      </c>
      <c r="T966" s="3" t="s">
        <v>89</v>
      </c>
      <c r="U966" s="3" t="s">
        <v>221</v>
      </c>
      <c r="V966" s="4" t="s">
        <v>8919</v>
      </c>
      <c r="W966" s="3" t="s">
        <v>45</v>
      </c>
      <c r="X966" s="3" t="s">
        <v>45</v>
      </c>
      <c r="Y966" s="3" t="s">
        <v>45</v>
      </c>
      <c r="Z966" s="3" t="s">
        <v>74</v>
      </c>
      <c r="AA966" s="3" t="s">
        <v>45</v>
      </c>
      <c r="AB966" s="3" t="s">
        <v>45</v>
      </c>
      <c r="AC966" s="3" t="s">
        <v>45</v>
      </c>
      <c r="AD966" s="3" t="s">
        <v>45</v>
      </c>
      <c r="AE966" s="3" t="s">
        <v>45</v>
      </c>
      <c r="AF966" s="3" t="s">
        <v>45</v>
      </c>
      <c r="AG966" s="3" t="s">
        <v>45</v>
      </c>
      <c r="AH966" s="3" t="s">
        <v>57</v>
      </c>
      <c r="AI966" s="5" t="s">
        <v>8920</v>
      </c>
      <c r="AJ966" s="5" t="s">
        <v>8921</v>
      </c>
      <c r="AK966" s="3" t="s">
        <v>45</v>
      </c>
      <c r="AL966" s="3" t="s">
        <v>45</v>
      </c>
      <c r="AM966" s="3" t="s">
        <v>45</v>
      </c>
      <c r="AN966" s="3" t="s">
        <v>45</v>
      </c>
      <c r="AO966" s="3" t="s">
        <v>45</v>
      </c>
      <c r="AP966" s="3" t="s">
        <v>45</v>
      </c>
      <c r="AQ966" s="4" t="s">
        <v>2052</v>
      </c>
      <c r="AR966" s="4" t="s">
        <v>2052</v>
      </c>
    </row>
    <row r="967">
      <c r="A967" s="3" t="s">
        <v>8922</v>
      </c>
      <c r="B967" s="3" t="s">
        <v>8923</v>
      </c>
      <c r="C967" s="3" t="s">
        <v>8924</v>
      </c>
      <c r="D967" s="3" t="s">
        <v>8268</v>
      </c>
      <c r="E967" s="4" t="s">
        <v>8925</v>
      </c>
      <c r="F967" s="3" t="s">
        <v>8926</v>
      </c>
      <c r="G967" s="4" t="s">
        <v>8927</v>
      </c>
      <c r="H967" s="4" t="s">
        <v>8928</v>
      </c>
      <c r="I967" s="3" t="s">
        <v>245</v>
      </c>
      <c r="J967" s="3" t="s">
        <v>126</v>
      </c>
      <c r="K967" s="3" t="s">
        <v>45</v>
      </c>
      <c r="L967" s="3" t="s">
        <v>45</v>
      </c>
      <c r="M967" s="3" t="s">
        <v>45</v>
      </c>
      <c r="N967" s="3" t="s">
        <v>45</v>
      </c>
      <c r="O967" s="3" t="s">
        <v>74</v>
      </c>
      <c r="P967" s="3" t="s">
        <v>45</v>
      </c>
      <c r="Q967" s="3" t="s">
        <v>45</v>
      </c>
      <c r="R967" s="3" t="s">
        <v>45</v>
      </c>
      <c r="S967" s="3" t="s">
        <v>45</v>
      </c>
      <c r="T967" s="3" t="s">
        <v>45</v>
      </c>
      <c r="U967" s="3" t="s">
        <v>45</v>
      </c>
      <c r="V967" s="3" t="s">
        <v>45</v>
      </c>
      <c r="W967" s="4" t="s">
        <v>835</v>
      </c>
      <c r="X967" s="3" t="s">
        <v>1652</v>
      </c>
      <c r="Y967" s="3" t="s">
        <v>45</v>
      </c>
      <c r="Z967" s="3" t="s">
        <v>55</v>
      </c>
      <c r="AA967" s="3" t="s">
        <v>45</v>
      </c>
      <c r="AB967" s="3" t="s">
        <v>45</v>
      </c>
      <c r="AC967" s="3" t="s">
        <v>45</v>
      </c>
      <c r="AD967" s="3" t="s">
        <v>45</v>
      </c>
      <c r="AE967" s="3" t="s">
        <v>45</v>
      </c>
      <c r="AF967" s="3" t="s">
        <v>45</v>
      </c>
      <c r="AG967" s="3" t="s">
        <v>45</v>
      </c>
      <c r="AH967" s="3" t="s">
        <v>57</v>
      </c>
      <c r="AI967" s="5" t="s">
        <v>8929</v>
      </c>
      <c r="AJ967" s="5" t="s">
        <v>8930</v>
      </c>
      <c r="AK967" s="5" t="s">
        <v>8931</v>
      </c>
      <c r="AL967" s="5" t="s">
        <v>8932</v>
      </c>
      <c r="AM967" s="3" t="s">
        <v>45</v>
      </c>
      <c r="AN967" s="3" t="s">
        <v>45</v>
      </c>
      <c r="AO967" s="3" t="s">
        <v>45</v>
      </c>
      <c r="AP967" s="3" t="s">
        <v>45</v>
      </c>
      <c r="AQ967" s="4" t="s">
        <v>7203</v>
      </c>
      <c r="AR967" s="4" t="s">
        <v>1589</v>
      </c>
    </row>
    <row r="968">
      <c r="A968" s="3" t="s">
        <v>8933</v>
      </c>
      <c r="B968" s="3" t="s">
        <v>8934</v>
      </c>
      <c r="C968" s="3" t="s">
        <v>8935</v>
      </c>
      <c r="D968" s="3" t="s">
        <v>8268</v>
      </c>
      <c r="E968" s="4" t="s">
        <v>8936</v>
      </c>
      <c r="F968" s="3" t="s">
        <v>8937</v>
      </c>
      <c r="G968" s="4" t="s">
        <v>8938</v>
      </c>
      <c r="H968" s="4" t="s">
        <v>8939</v>
      </c>
      <c r="I968" s="3" t="s">
        <v>218</v>
      </c>
      <c r="J968" s="3" t="s">
        <v>99</v>
      </c>
      <c r="K968" s="3" t="s">
        <v>45</v>
      </c>
      <c r="L968" s="3" t="s">
        <v>8940</v>
      </c>
      <c r="M968" s="3" t="s">
        <v>45</v>
      </c>
      <c r="N968" s="4" t="s">
        <v>1196</v>
      </c>
      <c r="O968" s="3" t="s">
        <v>70</v>
      </c>
      <c r="P968" s="3" t="s">
        <v>45</v>
      </c>
      <c r="Q968" s="3" t="s">
        <v>45</v>
      </c>
      <c r="R968" s="3" t="s">
        <v>45</v>
      </c>
      <c r="S968" s="4" t="s">
        <v>275</v>
      </c>
      <c r="T968" s="3" t="s">
        <v>45</v>
      </c>
      <c r="U968" s="3" t="s">
        <v>45</v>
      </c>
      <c r="V968" s="3" t="s">
        <v>45</v>
      </c>
      <c r="W968" s="4" t="s">
        <v>8941</v>
      </c>
      <c r="X968" s="3" t="s">
        <v>360</v>
      </c>
      <c r="Y968" s="4" t="s">
        <v>957</v>
      </c>
      <c r="Z968" s="3" t="s">
        <v>55</v>
      </c>
      <c r="AA968" s="5" t="s">
        <v>8942</v>
      </c>
      <c r="AB968" s="3" t="s">
        <v>45</v>
      </c>
      <c r="AC968" s="3" t="s">
        <v>45</v>
      </c>
      <c r="AD968" s="3" t="s">
        <v>45</v>
      </c>
      <c r="AE968" s="3" t="s">
        <v>45</v>
      </c>
      <c r="AF968" s="5" t="s">
        <v>8943</v>
      </c>
      <c r="AG968" s="3" t="s">
        <v>45</v>
      </c>
      <c r="AH968" s="3" t="s">
        <v>57</v>
      </c>
      <c r="AI968" s="5" t="s">
        <v>8944</v>
      </c>
      <c r="AJ968" s="5" t="s">
        <v>8945</v>
      </c>
      <c r="AK968" s="3" t="s">
        <v>45</v>
      </c>
      <c r="AL968" s="3" t="s">
        <v>45</v>
      </c>
      <c r="AM968" s="3" t="s">
        <v>45</v>
      </c>
      <c r="AN968" s="3" t="s">
        <v>45</v>
      </c>
      <c r="AO968" s="3" t="s">
        <v>45</v>
      </c>
      <c r="AP968" s="3" t="s">
        <v>45</v>
      </c>
      <c r="AQ968" s="4" t="s">
        <v>1249</v>
      </c>
      <c r="AR968" s="4" t="s">
        <v>8131</v>
      </c>
    </row>
    <row r="969">
      <c r="A969" s="3" t="s">
        <v>8946</v>
      </c>
      <c r="B969" s="3" t="s">
        <v>1706</v>
      </c>
      <c r="C969" s="3" t="s">
        <v>5435</v>
      </c>
      <c r="D969" s="3" t="s">
        <v>8268</v>
      </c>
      <c r="E969" s="4" t="s">
        <v>8947</v>
      </c>
      <c r="F969" s="3" t="s">
        <v>2884</v>
      </c>
      <c r="G969" s="4" t="s">
        <v>8948</v>
      </c>
      <c r="H969" s="4" t="s">
        <v>8949</v>
      </c>
      <c r="I969" s="3" t="s">
        <v>49</v>
      </c>
      <c r="J969" s="3" t="s">
        <v>99</v>
      </c>
      <c r="K969" s="3" t="s">
        <v>45</v>
      </c>
      <c r="L969" s="3" t="s">
        <v>45</v>
      </c>
      <c r="M969" s="3" t="s">
        <v>45</v>
      </c>
      <c r="N969" s="4" t="s">
        <v>3343</v>
      </c>
      <c r="O969" s="3" t="s">
        <v>88</v>
      </c>
      <c r="P969" s="3" t="s">
        <v>45</v>
      </c>
      <c r="Q969" s="3" t="s">
        <v>45</v>
      </c>
      <c r="R969" s="3" t="s">
        <v>45</v>
      </c>
      <c r="S969" s="3" t="s">
        <v>45</v>
      </c>
      <c r="T969" s="3" t="s">
        <v>45</v>
      </c>
      <c r="U969" s="3" t="s">
        <v>45</v>
      </c>
      <c r="V969" s="3" t="s">
        <v>45</v>
      </c>
      <c r="W969" s="4" t="s">
        <v>8950</v>
      </c>
      <c r="X969" s="3" t="s">
        <v>45</v>
      </c>
      <c r="Y969" s="3" t="s">
        <v>45</v>
      </c>
      <c r="Z969" s="3" t="s">
        <v>74</v>
      </c>
      <c r="AA969" s="3" t="s">
        <v>45</v>
      </c>
      <c r="AB969" s="3" t="s">
        <v>45</v>
      </c>
      <c r="AC969" s="3" t="s">
        <v>45</v>
      </c>
      <c r="AD969" s="3" t="s">
        <v>45</v>
      </c>
      <c r="AE969" s="3" t="s">
        <v>45</v>
      </c>
      <c r="AF969" s="3" t="s">
        <v>45</v>
      </c>
      <c r="AG969" s="3" t="s">
        <v>45</v>
      </c>
      <c r="AH969" s="3" t="s">
        <v>57</v>
      </c>
      <c r="AI969" s="5" t="s">
        <v>8951</v>
      </c>
      <c r="AJ969" s="3" t="s">
        <v>45</v>
      </c>
      <c r="AK969" s="3" t="s">
        <v>45</v>
      </c>
      <c r="AL969" s="3" t="s">
        <v>45</v>
      </c>
      <c r="AM969" s="3" t="s">
        <v>45</v>
      </c>
      <c r="AN969" s="3" t="s">
        <v>45</v>
      </c>
      <c r="AO969" s="3" t="s">
        <v>45</v>
      </c>
      <c r="AP969" s="3" t="s">
        <v>45</v>
      </c>
      <c r="AQ969" s="4" t="s">
        <v>4152</v>
      </c>
      <c r="AR969" s="4" t="s">
        <v>4152</v>
      </c>
    </row>
    <row r="970">
      <c r="A970" s="3" t="s">
        <v>8952</v>
      </c>
      <c r="B970" s="3" t="s">
        <v>8953</v>
      </c>
      <c r="C970" s="3" t="s">
        <v>5435</v>
      </c>
      <c r="D970" s="3" t="s">
        <v>8268</v>
      </c>
      <c r="E970" s="4" t="s">
        <v>8947</v>
      </c>
      <c r="F970" s="3" t="s">
        <v>45</v>
      </c>
      <c r="G970" s="4" t="s">
        <v>8954</v>
      </c>
      <c r="H970" s="4" t="s">
        <v>8955</v>
      </c>
      <c r="I970" s="3" t="s">
        <v>85</v>
      </c>
      <c r="J970" s="3" t="s">
        <v>50</v>
      </c>
      <c r="K970" s="3" t="s">
        <v>45</v>
      </c>
      <c r="L970" s="3" t="s">
        <v>45</v>
      </c>
      <c r="M970" s="3" t="s">
        <v>45</v>
      </c>
      <c r="N970" s="4" t="s">
        <v>156</v>
      </c>
      <c r="O970" s="3" t="s">
        <v>88</v>
      </c>
      <c r="P970" s="3" t="s">
        <v>45</v>
      </c>
      <c r="Q970" s="3" t="s">
        <v>45</v>
      </c>
      <c r="R970" s="3" t="s">
        <v>45</v>
      </c>
      <c r="S970" s="3" t="s">
        <v>45</v>
      </c>
      <c r="T970" s="3" t="s">
        <v>45</v>
      </c>
      <c r="U970" s="3" t="s">
        <v>45</v>
      </c>
      <c r="V970" s="3" t="s">
        <v>45</v>
      </c>
      <c r="W970" s="3" t="s">
        <v>45</v>
      </c>
      <c r="X970" s="3" t="s">
        <v>45</v>
      </c>
      <c r="Y970" s="3" t="s">
        <v>45</v>
      </c>
      <c r="Z970" s="3" t="s">
        <v>74</v>
      </c>
      <c r="AA970" s="3" t="s">
        <v>45</v>
      </c>
      <c r="AB970" s="3" t="s">
        <v>45</v>
      </c>
      <c r="AC970" s="3" t="s">
        <v>45</v>
      </c>
      <c r="AD970" s="3" t="s">
        <v>45</v>
      </c>
      <c r="AE970" s="3" t="s">
        <v>45</v>
      </c>
      <c r="AF970" s="3" t="s">
        <v>45</v>
      </c>
      <c r="AG970" s="3" t="s">
        <v>45</v>
      </c>
      <c r="AH970" s="3" t="s">
        <v>57</v>
      </c>
      <c r="AI970" s="5" t="s">
        <v>8486</v>
      </c>
      <c r="AJ970" s="5" t="s">
        <v>8956</v>
      </c>
      <c r="AK970" s="3" t="s">
        <v>45</v>
      </c>
      <c r="AL970" s="3" t="s">
        <v>45</v>
      </c>
      <c r="AM970" s="3" t="s">
        <v>45</v>
      </c>
      <c r="AN970" s="3" t="s">
        <v>45</v>
      </c>
      <c r="AO970" s="3" t="s">
        <v>45</v>
      </c>
      <c r="AP970" s="3" t="s">
        <v>45</v>
      </c>
      <c r="AQ970" s="4" t="s">
        <v>8335</v>
      </c>
      <c r="AR970" s="4" t="s">
        <v>8335</v>
      </c>
    </row>
    <row r="971">
      <c r="A971" s="3" t="s">
        <v>8957</v>
      </c>
      <c r="B971" s="3" t="s">
        <v>8958</v>
      </c>
      <c r="C971" s="3" t="s">
        <v>5435</v>
      </c>
      <c r="D971" s="3" t="s">
        <v>8268</v>
      </c>
      <c r="E971" s="4" t="s">
        <v>8947</v>
      </c>
      <c r="F971" s="3" t="s">
        <v>2884</v>
      </c>
      <c r="G971" s="4" t="s">
        <v>8959</v>
      </c>
      <c r="H971" s="4" t="s">
        <v>8960</v>
      </c>
      <c r="I971" s="3" t="s">
        <v>49</v>
      </c>
      <c r="J971" s="3" t="s">
        <v>126</v>
      </c>
      <c r="K971" s="3" t="s">
        <v>45</v>
      </c>
      <c r="L971" s="3" t="s">
        <v>45</v>
      </c>
      <c r="M971" s="3" t="s">
        <v>45</v>
      </c>
      <c r="N971" s="3" t="s">
        <v>45</v>
      </c>
      <c r="O971" s="3" t="s">
        <v>74</v>
      </c>
      <c r="P971" s="3" t="s">
        <v>45</v>
      </c>
      <c r="Q971" s="3" t="s">
        <v>45</v>
      </c>
      <c r="R971" s="3" t="s">
        <v>45</v>
      </c>
      <c r="S971" s="3" t="s">
        <v>45</v>
      </c>
      <c r="T971" s="3" t="s">
        <v>45</v>
      </c>
      <c r="U971" s="3" t="s">
        <v>45</v>
      </c>
      <c r="V971" s="4" t="s">
        <v>8961</v>
      </c>
      <c r="W971" s="4" t="s">
        <v>8696</v>
      </c>
      <c r="X971" s="3" t="s">
        <v>45</v>
      </c>
      <c r="Y971" s="3" t="s">
        <v>45</v>
      </c>
      <c r="Z971" s="3" t="s">
        <v>74</v>
      </c>
      <c r="AA971" s="3" t="s">
        <v>45</v>
      </c>
      <c r="AB971" s="3" t="s">
        <v>45</v>
      </c>
      <c r="AC971" s="3" t="s">
        <v>45</v>
      </c>
      <c r="AD971" s="3" t="s">
        <v>45</v>
      </c>
      <c r="AE971" s="3" t="s">
        <v>45</v>
      </c>
      <c r="AF971" s="3" t="s">
        <v>45</v>
      </c>
      <c r="AG971" s="3" t="s">
        <v>45</v>
      </c>
      <c r="AH971" s="3" t="s">
        <v>57</v>
      </c>
      <c r="AI971" s="5" t="s">
        <v>8962</v>
      </c>
      <c r="AJ971" s="3" t="s">
        <v>45</v>
      </c>
      <c r="AK971" s="3" t="s">
        <v>45</v>
      </c>
      <c r="AL971" s="3" t="s">
        <v>45</v>
      </c>
      <c r="AM971" s="3" t="s">
        <v>45</v>
      </c>
      <c r="AN971" s="3" t="s">
        <v>45</v>
      </c>
      <c r="AO971" s="3" t="s">
        <v>45</v>
      </c>
      <c r="AP971" s="3" t="s">
        <v>45</v>
      </c>
      <c r="AQ971" s="4" t="s">
        <v>4152</v>
      </c>
      <c r="AR971" s="4" t="s">
        <v>4152</v>
      </c>
    </row>
    <row r="972">
      <c r="A972" s="3" t="s">
        <v>8963</v>
      </c>
      <c r="B972" s="3" t="s">
        <v>8964</v>
      </c>
      <c r="C972" s="3" t="s">
        <v>5435</v>
      </c>
      <c r="D972" s="3" t="s">
        <v>8268</v>
      </c>
      <c r="E972" s="4" t="s">
        <v>8947</v>
      </c>
      <c r="F972" s="3" t="s">
        <v>2884</v>
      </c>
      <c r="G972" s="4" t="s">
        <v>8965</v>
      </c>
      <c r="H972" s="4" t="s">
        <v>8966</v>
      </c>
      <c r="I972" s="3" t="s">
        <v>49</v>
      </c>
      <c r="J972" s="3" t="s">
        <v>126</v>
      </c>
      <c r="K972" s="3" t="s">
        <v>45</v>
      </c>
      <c r="L972" s="3" t="s">
        <v>45</v>
      </c>
      <c r="M972" s="3" t="s">
        <v>45</v>
      </c>
      <c r="N972" s="4" t="s">
        <v>8967</v>
      </c>
      <c r="O972" s="3" t="s">
        <v>88</v>
      </c>
      <c r="P972" s="3" t="s">
        <v>45</v>
      </c>
      <c r="Q972" s="3" t="s">
        <v>45</v>
      </c>
      <c r="R972" s="3" t="s">
        <v>45</v>
      </c>
      <c r="S972" s="3" t="s">
        <v>45</v>
      </c>
      <c r="T972" s="3" t="s">
        <v>45</v>
      </c>
      <c r="U972" s="3" t="s">
        <v>45</v>
      </c>
      <c r="V972" s="4" t="s">
        <v>1152</v>
      </c>
      <c r="W972" s="4" t="s">
        <v>4946</v>
      </c>
      <c r="X972" s="3" t="s">
        <v>45</v>
      </c>
      <c r="Y972" s="3" t="s">
        <v>45</v>
      </c>
      <c r="Z972" s="3" t="s">
        <v>74</v>
      </c>
      <c r="AA972" s="3" t="s">
        <v>45</v>
      </c>
      <c r="AB972" s="3" t="s">
        <v>45</v>
      </c>
      <c r="AC972" s="3" t="s">
        <v>45</v>
      </c>
      <c r="AD972" s="3" t="s">
        <v>45</v>
      </c>
      <c r="AE972" s="3" t="s">
        <v>45</v>
      </c>
      <c r="AF972" s="3" t="s">
        <v>45</v>
      </c>
      <c r="AG972" s="3" t="s">
        <v>45</v>
      </c>
      <c r="AH972" s="3" t="s">
        <v>57</v>
      </c>
      <c r="AI972" s="5" t="s">
        <v>8962</v>
      </c>
      <c r="AJ972" s="3" t="s">
        <v>45</v>
      </c>
      <c r="AK972" s="3" t="s">
        <v>45</v>
      </c>
      <c r="AL972" s="3" t="s">
        <v>45</v>
      </c>
      <c r="AM972" s="3" t="s">
        <v>45</v>
      </c>
      <c r="AN972" s="3" t="s">
        <v>45</v>
      </c>
      <c r="AO972" s="3" t="s">
        <v>45</v>
      </c>
      <c r="AP972" s="3" t="s">
        <v>45</v>
      </c>
      <c r="AQ972" s="4" t="s">
        <v>4152</v>
      </c>
      <c r="AR972" s="4" t="s">
        <v>4152</v>
      </c>
    </row>
    <row r="973">
      <c r="A973" s="3" t="s">
        <v>8968</v>
      </c>
      <c r="B973" s="3" t="s">
        <v>8969</v>
      </c>
      <c r="C973" s="3" t="s">
        <v>5435</v>
      </c>
      <c r="D973" s="3" t="s">
        <v>8268</v>
      </c>
      <c r="E973" s="4" t="s">
        <v>8947</v>
      </c>
      <c r="F973" s="3" t="s">
        <v>2884</v>
      </c>
      <c r="G973" s="4" t="s">
        <v>8970</v>
      </c>
      <c r="H973" s="4" t="s">
        <v>8971</v>
      </c>
      <c r="I973" s="3" t="s">
        <v>408</v>
      </c>
      <c r="J973" s="3" t="s">
        <v>126</v>
      </c>
      <c r="K973" s="3" t="s">
        <v>45</v>
      </c>
      <c r="L973" s="3" t="s">
        <v>45</v>
      </c>
      <c r="M973" s="3" t="s">
        <v>45</v>
      </c>
      <c r="N973" s="3" t="s">
        <v>45</v>
      </c>
      <c r="O973" s="3" t="s">
        <v>74</v>
      </c>
      <c r="P973" s="3" t="s">
        <v>45</v>
      </c>
      <c r="Q973" s="3" t="s">
        <v>45</v>
      </c>
      <c r="R973" s="3" t="s">
        <v>45</v>
      </c>
      <c r="S973" s="3" t="s">
        <v>45</v>
      </c>
      <c r="T973" s="3" t="s">
        <v>45</v>
      </c>
      <c r="U973" s="3" t="s">
        <v>45</v>
      </c>
      <c r="V973" s="4" t="s">
        <v>8972</v>
      </c>
      <c r="W973" s="3" t="s">
        <v>45</v>
      </c>
      <c r="X973" s="3" t="s">
        <v>45</v>
      </c>
      <c r="Y973" s="4" t="s">
        <v>317</v>
      </c>
      <c r="Z973" s="3" t="s">
        <v>74</v>
      </c>
      <c r="AA973" s="3" t="s">
        <v>45</v>
      </c>
      <c r="AB973" s="3" t="s">
        <v>45</v>
      </c>
      <c r="AC973" s="3" t="s">
        <v>45</v>
      </c>
      <c r="AD973" s="3" t="s">
        <v>45</v>
      </c>
      <c r="AE973" s="3" t="s">
        <v>45</v>
      </c>
      <c r="AF973" s="3" t="s">
        <v>45</v>
      </c>
      <c r="AG973" s="3" t="s">
        <v>45</v>
      </c>
      <c r="AH973" s="3" t="s">
        <v>57</v>
      </c>
      <c r="AI973" s="5" t="s">
        <v>8897</v>
      </c>
      <c r="AJ973" s="3" t="s">
        <v>45</v>
      </c>
      <c r="AK973" s="3" t="s">
        <v>45</v>
      </c>
      <c r="AL973" s="3" t="s">
        <v>45</v>
      </c>
      <c r="AM973" s="3" t="s">
        <v>45</v>
      </c>
      <c r="AN973" s="3" t="s">
        <v>45</v>
      </c>
      <c r="AO973" s="3" t="s">
        <v>45</v>
      </c>
      <c r="AP973" s="3" t="s">
        <v>45</v>
      </c>
      <c r="AQ973" s="4" t="s">
        <v>474</v>
      </c>
      <c r="AR973" s="4" t="s">
        <v>474</v>
      </c>
    </row>
    <row r="974">
      <c r="A974" s="3" t="s">
        <v>3637</v>
      </c>
      <c r="B974" s="3" t="s">
        <v>8973</v>
      </c>
      <c r="C974" s="3" t="s">
        <v>8974</v>
      </c>
      <c r="D974" s="3" t="s">
        <v>8268</v>
      </c>
      <c r="E974" s="4" t="s">
        <v>8975</v>
      </c>
      <c r="F974" s="3" t="s">
        <v>8613</v>
      </c>
      <c r="G974" s="4" t="s">
        <v>8976</v>
      </c>
      <c r="H974" s="4" t="s">
        <v>8977</v>
      </c>
      <c r="I974" s="3" t="s">
        <v>85</v>
      </c>
      <c r="J974" s="3" t="s">
        <v>126</v>
      </c>
      <c r="K974" s="3" t="s">
        <v>45</v>
      </c>
      <c r="L974" s="3" t="s">
        <v>45</v>
      </c>
      <c r="M974" s="3" t="s">
        <v>45</v>
      </c>
      <c r="N974" s="3" t="s">
        <v>45</v>
      </c>
      <c r="O974" s="3" t="s">
        <v>74</v>
      </c>
      <c r="P974" s="3" t="s">
        <v>45</v>
      </c>
      <c r="Q974" s="3" t="s">
        <v>45</v>
      </c>
      <c r="R974" s="3" t="s">
        <v>45</v>
      </c>
      <c r="S974" s="3" t="s">
        <v>45</v>
      </c>
      <c r="T974" s="3" t="s">
        <v>45</v>
      </c>
      <c r="U974" s="3" t="s">
        <v>45</v>
      </c>
      <c r="V974" s="3" t="s">
        <v>45</v>
      </c>
      <c r="W974" s="3" t="s">
        <v>45</v>
      </c>
      <c r="X974" s="3" t="s">
        <v>45</v>
      </c>
      <c r="Y974" s="3" t="s">
        <v>45</v>
      </c>
      <c r="Z974" s="3" t="s">
        <v>74</v>
      </c>
      <c r="AA974" s="3" t="s">
        <v>45</v>
      </c>
      <c r="AB974" s="3" t="s">
        <v>45</v>
      </c>
      <c r="AC974" s="3" t="s">
        <v>45</v>
      </c>
      <c r="AD974" s="3" t="s">
        <v>45</v>
      </c>
      <c r="AE974" s="3" t="s">
        <v>45</v>
      </c>
      <c r="AF974" s="3" t="s">
        <v>45</v>
      </c>
      <c r="AG974" s="3" t="s">
        <v>45</v>
      </c>
      <c r="AH974" s="3" t="s">
        <v>57</v>
      </c>
      <c r="AI974" s="3" t="s">
        <v>45</v>
      </c>
      <c r="AJ974" s="3" t="s">
        <v>45</v>
      </c>
      <c r="AK974" s="3" t="s">
        <v>45</v>
      </c>
      <c r="AL974" s="3" t="s">
        <v>45</v>
      </c>
      <c r="AM974" s="3" t="s">
        <v>45</v>
      </c>
      <c r="AN974" s="3" t="s">
        <v>45</v>
      </c>
      <c r="AO974" s="3" t="s">
        <v>45</v>
      </c>
      <c r="AP974" s="3" t="s">
        <v>45</v>
      </c>
      <c r="AQ974" s="4" t="s">
        <v>8335</v>
      </c>
      <c r="AR974" s="4" t="s">
        <v>8335</v>
      </c>
    </row>
    <row r="975">
      <c r="A975" s="3" t="s">
        <v>8978</v>
      </c>
      <c r="B975" s="3" t="s">
        <v>8979</v>
      </c>
      <c r="C975" s="3" t="s">
        <v>4746</v>
      </c>
      <c r="D975" s="3" t="s">
        <v>8268</v>
      </c>
      <c r="E975" s="4" t="s">
        <v>8980</v>
      </c>
      <c r="F975" s="3" t="s">
        <v>4746</v>
      </c>
      <c r="G975" s="4" t="s">
        <v>8981</v>
      </c>
      <c r="H975" s="4" t="s">
        <v>8982</v>
      </c>
      <c r="I975" s="3" t="s">
        <v>49</v>
      </c>
      <c r="J975" s="3" t="s">
        <v>50</v>
      </c>
      <c r="K975" s="3" t="s">
        <v>45</v>
      </c>
      <c r="L975" s="3" t="s">
        <v>45</v>
      </c>
      <c r="M975" s="3" t="s">
        <v>45</v>
      </c>
      <c r="N975" s="4" t="s">
        <v>499</v>
      </c>
      <c r="O975" s="3" t="s">
        <v>70</v>
      </c>
      <c r="P975" s="3" t="s">
        <v>8983</v>
      </c>
      <c r="Q975" s="3" t="s">
        <v>45</v>
      </c>
      <c r="R975" s="3" t="s">
        <v>45</v>
      </c>
      <c r="S975" s="3" t="s">
        <v>45</v>
      </c>
      <c r="T975" s="3" t="s">
        <v>45</v>
      </c>
      <c r="U975" s="3" t="s">
        <v>45</v>
      </c>
      <c r="V975" s="4" t="s">
        <v>8984</v>
      </c>
      <c r="W975" s="4" t="s">
        <v>8985</v>
      </c>
      <c r="X975" s="3" t="s">
        <v>45</v>
      </c>
      <c r="Y975" s="3" t="s">
        <v>45</v>
      </c>
      <c r="Z975" s="3" t="s">
        <v>74</v>
      </c>
      <c r="AA975" s="3" t="s">
        <v>45</v>
      </c>
      <c r="AB975" s="3" t="s">
        <v>45</v>
      </c>
      <c r="AC975" s="3" t="s">
        <v>45</v>
      </c>
      <c r="AD975" s="3" t="s">
        <v>45</v>
      </c>
      <c r="AE975" s="3" t="s">
        <v>45</v>
      </c>
      <c r="AF975" s="3" t="s">
        <v>45</v>
      </c>
      <c r="AG975" s="3" t="s">
        <v>45</v>
      </c>
      <c r="AH975" s="3" t="s">
        <v>57</v>
      </c>
      <c r="AI975" s="5" t="s">
        <v>8986</v>
      </c>
      <c r="AJ975" s="3" t="s">
        <v>45</v>
      </c>
      <c r="AK975" s="3" t="s">
        <v>45</v>
      </c>
      <c r="AL975" s="3" t="s">
        <v>45</v>
      </c>
      <c r="AM975" s="3" t="s">
        <v>45</v>
      </c>
      <c r="AN975" s="3" t="s">
        <v>45</v>
      </c>
      <c r="AO975" s="3" t="s">
        <v>45</v>
      </c>
      <c r="AP975" s="3" t="s">
        <v>45</v>
      </c>
      <c r="AQ975" s="4" t="s">
        <v>3183</v>
      </c>
      <c r="AR975" s="4" t="s">
        <v>3183</v>
      </c>
    </row>
    <row r="976">
      <c r="A976" s="3" t="s">
        <v>570</v>
      </c>
      <c r="B976" s="3" t="s">
        <v>8987</v>
      </c>
      <c r="C976" s="3" t="s">
        <v>8988</v>
      </c>
      <c r="D976" s="3" t="s">
        <v>8268</v>
      </c>
      <c r="E976" s="4" t="s">
        <v>8989</v>
      </c>
      <c r="F976" s="3" t="s">
        <v>5170</v>
      </c>
      <c r="G976" s="4" t="s">
        <v>8990</v>
      </c>
      <c r="H976" s="4" t="s">
        <v>8991</v>
      </c>
      <c r="I976" s="3" t="s">
        <v>49</v>
      </c>
      <c r="J976" s="3" t="s">
        <v>126</v>
      </c>
      <c r="K976" s="3" t="s">
        <v>45</v>
      </c>
      <c r="L976" s="3" t="s">
        <v>45</v>
      </c>
      <c r="M976" s="3" t="s">
        <v>45</v>
      </c>
      <c r="N976" s="3" t="s">
        <v>8992</v>
      </c>
      <c r="O976" s="3" t="s">
        <v>70</v>
      </c>
      <c r="P976" s="3" t="s">
        <v>45</v>
      </c>
      <c r="Q976" s="3" t="s">
        <v>45</v>
      </c>
      <c r="R976" s="3" t="s">
        <v>45</v>
      </c>
      <c r="S976" s="3" t="s">
        <v>45</v>
      </c>
      <c r="T976" s="3" t="s">
        <v>45</v>
      </c>
      <c r="U976" s="3" t="s">
        <v>45</v>
      </c>
      <c r="V976" s="3" t="s">
        <v>45</v>
      </c>
      <c r="W976" s="4" t="s">
        <v>69</v>
      </c>
      <c r="X976" s="3" t="s">
        <v>45</v>
      </c>
      <c r="Y976" s="4" t="s">
        <v>73</v>
      </c>
      <c r="Z976" s="3" t="s">
        <v>74</v>
      </c>
      <c r="AA976" s="3" t="s">
        <v>45</v>
      </c>
      <c r="AB976" s="3" t="s">
        <v>45</v>
      </c>
      <c r="AC976" s="3" t="s">
        <v>45</v>
      </c>
      <c r="AD976" s="3" t="s">
        <v>45</v>
      </c>
      <c r="AE976" s="3" t="s">
        <v>45</v>
      </c>
      <c r="AF976" s="3" t="s">
        <v>45</v>
      </c>
      <c r="AG976" s="3" t="s">
        <v>45</v>
      </c>
      <c r="AH976" s="3" t="s">
        <v>57</v>
      </c>
      <c r="AI976" s="3" t="s">
        <v>8993</v>
      </c>
      <c r="AJ976" s="5" t="s">
        <v>8994</v>
      </c>
      <c r="AK976" s="5" t="s">
        <v>8995</v>
      </c>
      <c r="AL976" s="3" t="s">
        <v>45</v>
      </c>
      <c r="AM976" s="3" t="s">
        <v>45</v>
      </c>
      <c r="AN976" s="3" t="s">
        <v>45</v>
      </c>
      <c r="AO976" s="3" t="s">
        <v>45</v>
      </c>
      <c r="AP976" s="3" t="s">
        <v>45</v>
      </c>
      <c r="AQ976" s="4" t="s">
        <v>8996</v>
      </c>
      <c r="AR976" s="4" t="s">
        <v>6070</v>
      </c>
    </row>
    <row r="977">
      <c r="A977" s="3" t="s">
        <v>8997</v>
      </c>
      <c r="B977" s="3" t="s">
        <v>8998</v>
      </c>
      <c r="C977" s="3" t="s">
        <v>8999</v>
      </c>
      <c r="D977" s="3" t="s">
        <v>8268</v>
      </c>
      <c r="E977" s="4" t="s">
        <v>9000</v>
      </c>
      <c r="F977" s="3" t="s">
        <v>8999</v>
      </c>
      <c r="G977" s="4" t="s">
        <v>9001</v>
      </c>
      <c r="H977" s="4" t="s">
        <v>9002</v>
      </c>
      <c r="I977" s="3" t="s">
        <v>49</v>
      </c>
      <c r="J977" s="3" t="s">
        <v>50</v>
      </c>
      <c r="K977" s="3" t="s">
        <v>45</v>
      </c>
      <c r="L977" s="3" t="s">
        <v>45</v>
      </c>
      <c r="M977" s="3" t="s">
        <v>45</v>
      </c>
      <c r="N977" s="3" t="s">
        <v>45</v>
      </c>
      <c r="O977" s="3" t="s">
        <v>74</v>
      </c>
      <c r="P977" s="3" t="s">
        <v>3025</v>
      </c>
      <c r="Q977" s="3" t="s">
        <v>45</v>
      </c>
      <c r="R977" s="3" t="s">
        <v>45</v>
      </c>
      <c r="S977" s="3" t="s">
        <v>45</v>
      </c>
      <c r="T977" s="3" t="s">
        <v>45</v>
      </c>
      <c r="U977" s="3" t="s">
        <v>45</v>
      </c>
      <c r="V977" s="3" t="s">
        <v>45</v>
      </c>
      <c r="W977" s="4" t="s">
        <v>2418</v>
      </c>
      <c r="X977" s="3" t="s">
        <v>45</v>
      </c>
      <c r="Y977" s="3" t="s">
        <v>45</v>
      </c>
      <c r="Z977" s="3" t="s">
        <v>74</v>
      </c>
      <c r="AA977" s="3" t="s">
        <v>45</v>
      </c>
      <c r="AB977" s="3" t="s">
        <v>45</v>
      </c>
      <c r="AC977" s="3" t="s">
        <v>45</v>
      </c>
      <c r="AD977" s="3" t="s">
        <v>45</v>
      </c>
      <c r="AE977" s="3" t="s">
        <v>45</v>
      </c>
      <c r="AF977" s="3" t="s">
        <v>45</v>
      </c>
      <c r="AG977" s="3" t="s">
        <v>9003</v>
      </c>
      <c r="AH977" s="3" t="s">
        <v>57</v>
      </c>
      <c r="AI977" s="3" t="s">
        <v>45</v>
      </c>
      <c r="AJ977" s="3" t="s">
        <v>45</v>
      </c>
      <c r="AK977" s="3" t="s">
        <v>45</v>
      </c>
      <c r="AL977" s="3" t="s">
        <v>45</v>
      </c>
      <c r="AM977" s="3" t="s">
        <v>45</v>
      </c>
      <c r="AN977" s="3" t="s">
        <v>45</v>
      </c>
      <c r="AO977" s="3" t="s">
        <v>45</v>
      </c>
      <c r="AP977" s="3" t="s">
        <v>45</v>
      </c>
      <c r="AQ977" s="4" t="s">
        <v>671</v>
      </c>
      <c r="AR977" s="4" t="s">
        <v>671</v>
      </c>
    </row>
    <row r="978">
      <c r="A978" s="3" t="s">
        <v>9004</v>
      </c>
      <c r="B978" s="3" t="s">
        <v>9005</v>
      </c>
      <c r="C978" s="3" t="s">
        <v>9006</v>
      </c>
      <c r="D978" s="3" t="s">
        <v>8268</v>
      </c>
      <c r="E978" s="4" t="s">
        <v>9007</v>
      </c>
      <c r="F978" s="3" t="s">
        <v>8803</v>
      </c>
      <c r="G978" s="4" t="s">
        <v>9008</v>
      </c>
      <c r="H978" s="4" t="s">
        <v>9009</v>
      </c>
      <c r="I978" s="3" t="s">
        <v>49</v>
      </c>
      <c r="J978" s="3" t="s">
        <v>50</v>
      </c>
      <c r="K978" s="3" t="s">
        <v>45</v>
      </c>
      <c r="L978" s="3" t="s">
        <v>45</v>
      </c>
      <c r="M978" s="3" t="s">
        <v>45</v>
      </c>
      <c r="N978" s="3" t="s">
        <v>45</v>
      </c>
      <c r="O978" s="3" t="s">
        <v>74</v>
      </c>
      <c r="P978" s="3" t="s">
        <v>45</v>
      </c>
      <c r="Q978" s="3" t="s">
        <v>45</v>
      </c>
      <c r="R978" s="3" t="s">
        <v>45</v>
      </c>
      <c r="S978" s="3" t="s">
        <v>45</v>
      </c>
      <c r="T978" s="3" t="s">
        <v>45</v>
      </c>
      <c r="U978" s="3" t="s">
        <v>45</v>
      </c>
      <c r="V978" s="4" t="s">
        <v>9010</v>
      </c>
      <c r="W978" s="3" t="s">
        <v>45</v>
      </c>
      <c r="X978" s="3" t="s">
        <v>45</v>
      </c>
      <c r="Y978" s="3" t="s">
        <v>45</v>
      </c>
      <c r="Z978" s="3" t="s">
        <v>74</v>
      </c>
      <c r="AA978" s="3" t="s">
        <v>45</v>
      </c>
      <c r="AB978" s="3" t="s">
        <v>45</v>
      </c>
      <c r="AC978" s="3" t="s">
        <v>45</v>
      </c>
      <c r="AD978" s="3" t="s">
        <v>45</v>
      </c>
      <c r="AE978" s="3" t="s">
        <v>45</v>
      </c>
      <c r="AF978" s="3" t="s">
        <v>45</v>
      </c>
      <c r="AG978" s="3" t="s">
        <v>45</v>
      </c>
      <c r="AH978" s="3" t="s">
        <v>57</v>
      </c>
      <c r="AI978" s="5" t="s">
        <v>9011</v>
      </c>
      <c r="AJ978" s="3" t="s">
        <v>45</v>
      </c>
      <c r="AK978" s="3" t="s">
        <v>45</v>
      </c>
      <c r="AL978" s="3" t="s">
        <v>45</v>
      </c>
      <c r="AM978" s="3" t="s">
        <v>45</v>
      </c>
      <c r="AN978" s="3" t="s">
        <v>45</v>
      </c>
      <c r="AO978" s="3" t="s">
        <v>45</v>
      </c>
      <c r="AP978" s="3" t="s">
        <v>45</v>
      </c>
      <c r="AQ978" s="4" t="s">
        <v>1188</v>
      </c>
      <c r="AR978" s="4" t="s">
        <v>1188</v>
      </c>
    </row>
    <row r="979">
      <c r="A979" s="3" t="s">
        <v>3694</v>
      </c>
      <c r="B979" s="3" t="s">
        <v>9012</v>
      </c>
      <c r="C979" s="3" t="s">
        <v>9013</v>
      </c>
      <c r="D979" s="3" t="s">
        <v>8268</v>
      </c>
      <c r="E979" s="4" t="s">
        <v>9014</v>
      </c>
      <c r="F979" s="3" t="s">
        <v>9015</v>
      </c>
      <c r="G979" s="4" t="s">
        <v>9016</v>
      </c>
      <c r="H979" s="4" t="s">
        <v>9017</v>
      </c>
      <c r="I979" s="3" t="s">
        <v>49</v>
      </c>
      <c r="J979" s="3" t="s">
        <v>50</v>
      </c>
      <c r="K979" s="3" t="s">
        <v>45</v>
      </c>
      <c r="L979" s="3" t="s">
        <v>45</v>
      </c>
      <c r="M979" s="3" t="s">
        <v>45</v>
      </c>
      <c r="N979" s="4" t="s">
        <v>2982</v>
      </c>
      <c r="O979" s="3" t="s">
        <v>390</v>
      </c>
      <c r="P979" s="3" t="s">
        <v>45</v>
      </c>
      <c r="Q979" s="3" t="s">
        <v>45</v>
      </c>
      <c r="R979" s="3" t="s">
        <v>45</v>
      </c>
      <c r="S979" s="3" t="s">
        <v>45</v>
      </c>
      <c r="T979" s="3" t="s">
        <v>45</v>
      </c>
      <c r="U979" s="3" t="s">
        <v>221</v>
      </c>
      <c r="V979" s="3" t="s">
        <v>45</v>
      </c>
      <c r="W979" s="4" t="s">
        <v>861</v>
      </c>
      <c r="X979" s="3" t="s">
        <v>45</v>
      </c>
      <c r="Y979" s="4" t="s">
        <v>317</v>
      </c>
      <c r="Z979" s="3" t="s">
        <v>45</v>
      </c>
      <c r="AA979" s="3" t="s">
        <v>45</v>
      </c>
      <c r="AB979" s="3" t="s">
        <v>45</v>
      </c>
      <c r="AC979" s="3" t="s">
        <v>45</v>
      </c>
      <c r="AD979" s="3" t="s">
        <v>45</v>
      </c>
      <c r="AE979" s="3" t="s">
        <v>45</v>
      </c>
      <c r="AF979" s="3" t="s">
        <v>45</v>
      </c>
      <c r="AG979" s="3" t="s">
        <v>45</v>
      </c>
      <c r="AH979" s="3" t="s">
        <v>57</v>
      </c>
      <c r="AI979" s="5" t="s">
        <v>9018</v>
      </c>
      <c r="AJ979" s="3" t="s">
        <v>45</v>
      </c>
      <c r="AK979" s="3" t="s">
        <v>45</v>
      </c>
      <c r="AL979" s="3" t="s">
        <v>45</v>
      </c>
      <c r="AM979" s="3" t="s">
        <v>45</v>
      </c>
      <c r="AN979" s="3" t="s">
        <v>45</v>
      </c>
      <c r="AO979" s="3" t="s">
        <v>45</v>
      </c>
      <c r="AP979" s="3" t="s">
        <v>45</v>
      </c>
      <c r="AQ979" s="4" t="s">
        <v>898</v>
      </c>
      <c r="AR979" s="4" t="s">
        <v>898</v>
      </c>
    </row>
    <row r="980">
      <c r="A980" s="3" t="s">
        <v>9019</v>
      </c>
      <c r="B980" s="3" t="s">
        <v>9020</v>
      </c>
      <c r="C980" s="3" t="s">
        <v>9013</v>
      </c>
      <c r="D980" s="3" t="s">
        <v>8268</v>
      </c>
      <c r="E980" s="4" t="s">
        <v>9014</v>
      </c>
      <c r="F980" s="3" t="s">
        <v>9015</v>
      </c>
      <c r="G980" s="4" t="s">
        <v>9021</v>
      </c>
      <c r="H980" s="4" t="s">
        <v>9022</v>
      </c>
      <c r="I980" s="3" t="s">
        <v>49</v>
      </c>
      <c r="J980" s="3" t="s">
        <v>126</v>
      </c>
      <c r="K980" s="3" t="s">
        <v>45</v>
      </c>
      <c r="L980" s="3" t="s">
        <v>45</v>
      </c>
      <c r="M980" s="3" t="s">
        <v>45</v>
      </c>
      <c r="N980" s="4" t="s">
        <v>9023</v>
      </c>
      <c r="O980" s="3" t="s">
        <v>70</v>
      </c>
      <c r="P980" s="3" t="s">
        <v>45</v>
      </c>
      <c r="Q980" s="3" t="s">
        <v>45</v>
      </c>
      <c r="R980" s="3" t="s">
        <v>45</v>
      </c>
      <c r="S980" s="3" t="s">
        <v>45</v>
      </c>
      <c r="T980" s="3" t="s">
        <v>45</v>
      </c>
      <c r="U980" s="3" t="s">
        <v>45</v>
      </c>
      <c r="V980" s="3" t="s">
        <v>45</v>
      </c>
      <c r="W980" s="4" t="s">
        <v>9024</v>
      </c>
      <c r="X980" s="3" t="s">
        <v>45</v>
      </c>
      <c r="Y980" s="4" t="s">
        <v>727</v>
      </c>
      <c r="Z980" s="3" t="s">
        <v>74</v>
      </c>
      <c r="AA980" s="3" t="s">
        <v>45</v>
      </c>
      <c r="AB980" s="3" t="s">
        <v>45</v>
      </c>
      <c r="AC980" s="3" t="s">
        <v>45</v>
      </c>
      <c r="AD980" s="3" t="s">
        <v>45</v>
      </c>
      <c r="AE980" s="3" t="s">
        <v>45</v>
      </c>
      <c r="AF980" s="3" t="s">
        <v>45</v>
      </c>
      <c r="AG980" s="3" t="s">
        <v>9025</v>
      </c>
      <c r="AH980" s="3" t="s">
        <v>57</v>
      </c>
      <c r="AI980" s="5" t="s">
        <v>9026</v>
      </c>
      <c r="AJ980" s="5" t="s">
        <v>9027</v>
      </c>
      <c r="AK980" s="3" t="s">
        <v>45</v>
      </c>
      <c r="AL980" s="3" t="s">
        <v>45</v>
      </c>
      <c r="AM980" s="3" t="s">
        <v>45</v>
      </c>
      <c r="AN980" s="3" t="s">
        <v>45</v>
      </c>
      <c r="AO980" s="3" t="s">
        <v>45</v>
      </c>
      <c r="AP980" s="3" t="s">
        <v>45</v>
      </c>
      <c r="AQ980" s="4" t="s">
        <v>1729</v>
      </c>
      <c r="AR980" s="4" t="s">
        <v>1729</v>
      </c>
    </row>
    <row r="981">
      <c r="A981" s="3" t="s">
        <v>9028</v>
      </c>
      <c r="B981" s="3" t="s">
        <v>9029</v>
      </c>
      <c r="C981" s="3" t="s">
        <v>9030</v>
      </c>
      <c r="D981" s="3" t="s">
        <v>8268</v>
      </c>
      <c r="E981" s="4" t="s">
        <v>9031</v>
      </c>
      <c r="F981" s="3" t="s">
        <v>8456</v>
      </c>
      <c r="G981" s="4" t="s">
        <v>9032</v>
      </c>
      <c r="H981" s="4" t="s">
        <v>9033</v>
      </c>
      <c r="I981" s="3" t="s">
        <v>49</v>
      </c>
      <c r="J981" s="3" t="s">
        <v>126</v>
      </c>
      <c r="K981" s="3" t="s">
        <v>45</v>
      </c>
      <c r="L981" s="3" t="s">
        <v>9034</v>
      </c>
      <c r="M981" s="3" t="s">
        <v>45</v>
      </c>
      <c r="N981" s="4" t="s">
        <v>156</v>
      </c>
      <c r="O981" s="3" t="s">
        <v>88</v>
      </c>
      <c r="P981" s="3" t="s">
        <v>45</v>
      </c>
      <c r="Q981" s="3" t="s">
        <v>45</v>
      </c>
      <c r="R981" s="3" t="s">
        <v>45</v>
      </c>
      <c r="S981" s="3" t="s">
        <v>45</v>
      </c>
      <c r="T981" s="3" t="s">
        <v>45</v>
      </c>
      <c r="U981" s="3" t="s">
        <v>45</v>
      </c>
      <c r="V981" s="3" t="s">
        <v>45</v>
      </c>
      <c r="W981" s="4" t="s">
        <v>4860</v>
      </c>
      <c r="X981" s="3" t="s">
        <v>45</v>
      </c>
      <c r="Y981" s="4" t="s">
        <v>9035</v>
      </c>
      <c r="Z981" s="3" t="s">
        <v>74</v>
      </c>
      <c r="AA981" s="3" t="s">
        <v>45</v>
      </c>
      <c r="AB981" s="3" t="s">
        <v>45</v>
      </c>
      <c r="AC981" s="3" t="s">
        <v>45</v>
      </c>
      <c r="AD981" s="3" t="s">
        <v>45</v>
      </c>
      <c r="AE981" s="3" t="s">
        <v>45</v>
      </c>
      <c r="AF981" s="3" t="s">
        <v>45</v>
      </c>
      <c r="AG981" s="3" t="s">
        <v>45</v>
      </c>
      <c r="AH981" s="3" t="s">
        <v>57</v>
      </c>
      <c r="AI981" s="5" t="s">
        <v>9036</v>
      </c>
      <c r="AJ981" s="5" t="s">
        <v>9037</v>
      </c>
      <c r="AK981" s="3" t="s">
        <v>45</v>
      </c>
      <c r="AL981" s="3" t="s">
        <v>45</v>
      </c>
      <c r="AM981" s="3" t="s">
        <v>45</v>
      </c>
      <c r="AN981" s="3" t="s">
        <v>45</v>
      </c>
      <c r="AO981" s="3" t="s">
        <v>45</v>
      </c>
      <c r="AP981" s="3" t="s">
        <v>45</v>
      </c>
      <c r="AQ981" s="4" t="s">
        <v>379</v>
      </c>
      <c r="AR981" s="4" t="s">
        <v>379</v>
      </c>
    </row>
    <row r="982">
      <c r="A982" s="3" t="s">
        <v>9038</v>
      </c>
      <c r="B982" s="3" t="s">
        <v>9039</v>
      </c>
      <c r="C982" s="3" t="s">
        <v>3299</v>
      </c>
      <c r="D982" s="3" t="s">
        <v>8268</v>
      </c>
      <c r="E982" s="4" t="s">
        <v>9040</v>
      </c>
      <c r="F982" s="3" t="s">
        <v>9041</v>
      </c>
      <c r="G982" s="4" t="s">
        <v>9042</v>
      </c>
      <c r="H982" s="4" t="s">
        <v>9043</v>
      </c>
      <c r="I982" s="3" t="s">
        <v>49</v>
      </c>
      <c r="J982" s="3" t="s">
        <v>126</v>
      </c>
      <c r="K982" s="3" t="s">
        <v>45</v>
      </c>
      <c r="L982" s="3" t="s">
        <v>45</v>
      </c>
      <c r="M982" s="3" t="s">
        <v>45</v>
      </c>
      <c r="N982" s="4" t="s">
        <v>709</v>
      </c>
      <c r="O982" s="3" t="s">
        <v>722</v>
      </c>
      <c r="P982" s="3" t="s">
        <v>45</v>
      </c>
      <c r="Q982" s="3" t="s">
        <v>45</v>
      </c>
      <c r="R982" s="3" t="s">
        <v>45</v>
      </c>
      <c r="S982" s="3" t="s">
        <v>45</v>
      </c>
      <c r="T982" s="3" t="s">
        <v>105</v>
      </c>
      <c r="U982" s="3" t="s">
        <v>221</v>
      </c>
      <c r="V982" s="4" t="s">
        <v>1258</v>
      </c>
      <c r="W982" s="4" t="s">
        <v>9044</v>
      </c>
      <c r="X982" s="3" t="s">
        <v>45</v>
      </c>
      <c r="Y982" s="4" t="s">
        <v>317</v>
      </c>
      <c r="Z982" s="3" t="s">
        <v>74</v>
      </c>
      <c r="AA982" s="3" t="s">
        <v>45</v>
      </c>
      <c r="AB982" s="3" t="s">
        <v>45</v>
      </c>
      <c r="AC982" s="3" t="s">
        <v>45</v>
      </c>
      <c r="AD982" s="3" t="s">
        <v>45</v>
      </c>
      <c r="AE982" s="3" t="s">
        <v>45</v>
      </c>
      <c r="AF982" s="3" t="s">
        <v>45</v>
      </c>
      <c r="AG982" s="3" t="s">
        <v>45</v>
      </c>
      <c r="AH982" s="3" t="s">
        <v>57</v>
      </c>
      <c r="AI982" s="5" t="s">
        <v>9045</v>
      </c>
      <c r="AJ982" s="3" t="s">
        <v>45</v>
      </c>
      <c r="AK982" s="3" t="s">
        <v>45</v>
      </c>
      <c r="AL982" s="3" t="s">
        <v>45</v>
      </c>
      <c r="AM982" s="3" t="s">
        <v>45</v>
      </c>
      <c r="AN982" s="3" t="s">
        <v>45</v>
      </c>
      <c r="AO982" s="3" t="s">
        <v>45</v>
      </c>
      <c r="AP982" s="3" t="s">
        <v>45</v>
      </c>
      <c r="AQ982" s="4" t="s">
        <v>413</v>
      </c>
      <c r="AR982" s="4" t="s">
        <v>413</v>
      </c>
    </row>
    <row r="983">
      <c r="A983" s="3" t="s">
        <v>9046</v>
      </c>
      <c r="B983" s="3" t="s">
        <v>9047</v>
      </c>
      <c r="C983" s="3" t="s">
        <v>9048</v>
      </c>
      <c r="D983" s="3" t="s">
        <v>8268</v>
      </c>
      <c r="E983" s="4" t="s">
        <v>9049</v>
      </c>
      <c r="F983" s="3" t="s">
        <v>9050</v>
      </c>
      <c r="G983" s="4" t="s">
        <v>9051</v>
      </c>
      <c r="H983" s="4" t="s">
        <v>9052</v>
      </c>
      <c r="I983" s="3" t="s">
        <v>49</v>
      </c>
      <c r="J983" s="3" t="s">
        <v>50</v>
      </c>
      <c r="K983" s="3" t="s">
        <v>45</v>
      </c>
      <c r="L983" s="3" t="s">
        <v>9053</v>
      </c>
      <c r="M983" s="3" t="s">
        <v>45</v>
      </c>
      <c r="N983" s="4" t="s">
        <v>622</v>
      </c>
      <c r="O983" s="3" t="s">
        <v>70</v>
      </c>
      <c r="P983" s="3" t="s">
        <v>45</v>
      </c>
      <c r="Q983" s="3" t="s">
        <v>45</v>
      </c>
      <c r="R983" s="3" t="s">
        <v>45</v>
      </c>
      <c r="S983" s="3" t="s">
        <v>45</v>
      </c>
      <c r="T983" s="3" t="s">
        <v>45</v>
      </c>
      <c r="U983" s="3" t="s">
        <v>45</v>
      </c>
      <c r="V983" s="3" t="s">
        <v>45</v>
      </c>
      <c r="W983" s="4" t="s">
        <v>1296</v>
      </c>
      <c r="X983" s="3" t="s">
        <v>45</v>
      </c>
      <c r="Y983" s="3" t="s">
        <v>45</v>
      </c>
      <c r="Z983" s="3" t="s">
        <v>45</v>
      </c>
      <c r="AA983" s="3" t="s">
        <v>45</v>
      </c>
      <c r="AB983" s="3" t="s">
        <v>45</v>
      </c>
      <c r="AC983" s="3" t="s">
        <v>45</v>
      </c>
      <c r="AD983" s="3" t="s">
        <v>45</v>
      </c>
      <c r="AE983" s="3" t="s">
        <v>45</v>
      </c>
      <c r="AF983" s="3" t="s">
        <v>45</v>
      </c>
      <c r="AG983" s="3" t="s">
        <v>45</v>
      </c>
      <c r="AH983" s="3" t="s">
        <v>57</v>
      </c>
      <c r="AI983" s="5" t="s">
        <v>9054</v>
      </c>
      <c r="AJ983" s="5" t="s">
        <v>9055</v>
      </c>
      <c r="AK983" s="3" t="s">
        <v>45</v>
      </c>
      <c r="AL983" s="3" t="s">
        <v>45</v>
      </c>
      <c r="AM983" s="3" t="s">
        <v>45</v>
      </c>
      <c r="AN983" s="3" t="s">
        <v>45</v>
      </c>
      <c r="AO983" s="3" t="s">
        <v>45</v>
      </c>
      <c r="AP983" s="3" t="s">
        <v>45</v>
      </c>
      <c r="AQ983" s="4" t="s">
        <v>3636</v>
      </c>
      <c r="AR983" s="4" t="s">
        <v>3636</v>
      </c>
    </row>
    <row r="984">
      <c r="A984" s="3" t="s">
        <v>9056</v>
      </c>
      <c r="B984" s="3" t="s">
        <v>45</v>
      </c>
      <c r="C984" s="3" t="s">
        <v>9057</v>
      </c>
      <c r="D984" s="3" t="s">
        <v>8268</v>
      </c>
      <c r="E984" s="3" t="s">
        <v>45</v>
      </c>
      <c r="F984" s="3" t="s">
        <v>9058</v>
      </c>
      <c r="G984" s="4" t="s">
        <v>9059</v>
      </c>
      <c r="H984" s="4" t="s">
        <v>9060</v>
      </c>
      <c r="I984" s="3" t="s">
        <v>49</v>
      </c>
      <c r="J984" s="3" t="s">
        <v>99</v>
      </c>
      <c r="K984" s="3" t="s">
        <v>45</v>
      </c>
      <c r="L984" s="3" t="s">
        <v>45</v>
      </c>
      <c r="M984" s="3" t="s">
        <v>45</v>
      </c>
      <c r="N984" s="4" t="s">
        <v>2982</v>
      </c>
      <c r="O984" s="3" t="s">
        <v>390</v>
      </c>
      <c r="P984" s="3" t="s">
        <v>45</v>
      </c>
      <c r="Q984" s="3" t="s">
        <v>45</v>
      </c>
      <c r="R984" s="3" t="s">
        <v>45</v>
      </c>
      <c r="S984" s="3" t="s">
        <v>45</v>
      </c>
      <c r="T984" s="3" t="s">
        <v>45</v>
      </c>
      <c r="U984" s="3" t="s">
        <v>45</v>
      </c>
      <c r="V984" s="3" t="s">
        <v>45</v>
      </c>
      <c r="W984" s="3" t="s">
        <v>45</v>
      </c>
      <c r="X984" s="3" t="s">
        <v>45</v>
      </c>
      <c r="Y984" s="3" t="s">
        <v>45</v>
      </c>
      <c r="Z984" s="3" t="s">
        <v>74</v>
      </c>
      <c r="AA984" s="3" t="s">
        <v>45</v>
      </c>
      <c r="AB984" s="3" t="s">
        <v>45</v>
      </c>
      <c r="AC984" s="3" t="s">
        <v>45</v>
      </c>
      <c r="AD984" s="3" t="s">
        <v>45</v>
      </c>
      <c r="AE984" s="3" t="s">
        <v>45</v>
      </c>
      <c r="AF984" s="3" t="s">
        <v>45</v>
      </c>
      <c r="AG984" s="3" t="s">
        <v>45</v>
      </c>
      <c r="AH984" s="3" t="s">
        <v>57</v>
      </c>
      <c r="AI984" s="5" t="s">
        <v>9061</v>
      </c>
      <c r="AJ984" s="5" t="s">
        <v>9062</v>
      </c>
      <c r="AK984" s="3" t="s">
        <v>45</v>
      </c>
      <c r="AL984" s="3" t="s">
        <v>45</v>
      </c>
      <c r="AM984" s="3" t="s">
        <v>45</v>
      </c>
      <c r="AN984" s="3" t="s">
        <v>45</v>
      </c>
      <c r="AO984" s="3" t="s">
        <v>45</v>
      </c>
      <c r="AP984" s="3" t="s">
        <v>45</v>
      </c>
      <c r="AQ984" s="4" t="s">
        <v>6513</v>
      </c>
      <c r="AR984" s="4" t="s">
        <v>6513</v>
      </c>
    </row>
    <row r="985">
      <c r="A985" s="3" t="s">
        <v>9063</v>
      </c>
      <c r="B985" s="3" t="s">
        <v>9064</v>
      </c>
      <c r="C985" s="3" t="s">
        <v>9065</v>
      </c>
      <c r="D985" s="3" t="s">
        <v>8268</v>
      </c>
      <c r="E985" s="4" t="s">
        <v>9066</v>
      </c>
      <c r="F985" s="3" t="s">
        <v>5170</v>
      </c>
      <c r="G985" s="4" t="s">
        <v>9067</v>
      </c>
      <c r="H985" s="4" t="s">
        <v>9068</v>
      </c>
      <c r="I985" s="3" t="s">
        <v>49</v>
      </c>
      <c r="J985" s="3" t="s">
        <v>126</v>
      </c>
      <c r="K985" s="3" t="s">
        <v>45</v>
      </c>
      <c r="L985" s="3" t="s">
        <v>470</v>
      </c>
      <c r="M985" s="3" t="s">
        <v>45</v>
      </c>
      <c r="N985" s="3" t="s">
        <v>45</v>
      </c>
      <c r="O985" s="3" t="s">
        <v>74</v>
      </c>
      <c r="P985" s="3" t="s">
        <v>45</v>
      </c>
      <c r="Q985" s="3" t="s">
        <v>45</v>
      </c>
      <c r="R985" s="3" t="s">
        <v>45</v>
      </c>
      <c r="S985" s="3" t="s">
        <v>45</v>
      </c>
      <c r="T985" s="3" t="s">
        <v>45</v>
      </c>
      <c r="U985" s="3" t="s">
        <v>45</v>
      </c>
      <c r="V985" s="4" t="s">
        <v>9069</v>
      </c>
      <c r="W985" s="3" t="s">
        <v>45</v>
      </c>
      <c r="X985" s="3" t="s">
        <v>9070</v>
      </c>
      <c r="Y985" s="4" t="s">
        <v>73</v>
      </c>
      <c r="Z985" s="3" t="s">
        <v>74</v>
      </c>
      <c r="AA985" s="3" t="s">
        <v>45</v>
      </c>
      <c r="AB985" s="3" t="s">
        <v>45</v>
      </c>
      <c r="AC985" s="3" t="s">
        <v>45</v>
      </c>
      <c r="AD985" s="3" t="s">
        <v>45</v>
      </c>
      <c r="AE985" s="3" t="s">
        <v>45</v>
      </c>
      <c r="AF985" s="3" t="s">
        <v>45</v>
      </c>
      <c r="AG985" s="3" t="s">
        <v>45</v>
      </c>
      <c r="AH985" s="3" t="s">
        <v>57</v>
      </c>
      <c r="AI985" s="5" t="s">
        <v>9071</v>
      </c>
      <c r="AJ985" s="3" t="s">
        <v>45</v>
      </c>
      <c r="AK985" s="3" t="s">
        <v>45</v>
      </c>
      <c r="AL985" s="3" t="s">
        <v>45</v>
      </c>
      <c r="AM985" s="3" t="s">
        <v>45</v>
      </c>
      <c r="AN985" s="3" t="s">
        <v>45</v>
      </c>
      <c r="AO985" s="3" t="s">
        <v>45</v>
      </c>
      <c r="AP985" s="3" t="s">
        <v>45</v>
      </c>
      <c r="AQ985" s="4" t="s">
        <v>7078</v>
      </c>
      <c r="AR985" s="4" t="s">
        <v>7078</v>
      </c>
    </row>
    <row r="986">
      <c r="A986" s="3" t="s">
        <v>9072</v>
      </c>
      <c r="B986" s="3" t="s">
        <v>9073</v>
      </c>
      <c r="C986" s="3" t="s">
        <v>9065</v>
      </c>
      <c r="D986" s="3" t="s">
        <v>8268</v>
      </c>
      <c r="E986" s="4" t="s">
        <v>9074</v>
      </c>
      <c r="F986" s="3" t="s">
        <v>5170</v>
      </c>
      <c r="G986" s="4" t="s">
        <v>9075</v>
      </c>
      <c r="H986" s="4" t="s">
        <v>9076</v>
      </c>
      <c r="I986" s="3" t="s">
        <v>49</v>
      </c>
      <c r="J986" s="3" t="s">
        <v>126</v>
      </c>
      <c r="K986" s="3" t="s">
        <v>45</v>
      </c>
      <c r="L986" s="3" t="s">
        <v>9077</v>
      </c>
      <c r="M986" s="3" t="s">
        <v>45</v>
      </c>
      <c r="N986" s="3" t="s">
        <v>45</v>
      </c>
      <c r="O986" s="3" t="s">
        <v>74</v>
      </c>
      <c r="P986" s="3" t="s">
        <v>45</v>
      </c>
      <c r="Q986" s="3" t="s">
        <v>45</v>
      </c>
      <c r="R986" s="3" t="s">
        <v>45</v>
      </c>
      <c r="S986" s="3" t="s">
        <v>45</v>
      </c>
      <c r="T986" s="3" t="s">
        <v>45</v>
      </c>
      <c r="U986" s="3" t="s">
        <v>45</v>
      </c>
      <c r="V986" s="4" t="s">
        <v>6191</v>
      </c>
      <c r="W986" s="3" t="s">
        <v>45</v>
      </c>
      <c r="X986" s="3" t="s">
        <v>8264</v>
      </c>
      <c r="Y986" s="4" t="s">
        <v>317</v>
      </c>
      <c r="Z986" s="3" t="s">
        <v>74</v>
      </c>
      <c r="AA986" s="3" t="s">
        <v>45</v>
      </c>
      <c r="AB986" s="3" t="s">
        <v>45</v>
      </c>
      <c r="AC986" s="3" t="s">
        <v>45</v>
      </c>
      <c r="AD986" s="3" t="s">
        <v>45</v>
      </c>
      <c r="AE986" s="3" t="s">
        <v>45</v>
      </c>
      <c r="AF986" s="3" t="s">
        <v>45</v>
      </c>
      <c r="AG986" s="3" t="s">
        <v>45</v>
      </c>
      <c r="AH986" s="3" t="s">
        <v>57</v>
      </c>
      <c r="AI986" s="5" t="s">
        <v>9078</v>
      </c>
      <c r="AJ986" s="3" t="s">
        <v>45</v>
      </c>
      <c r="AK986" s="3" t="s">
        <v>45</v>
      </c>
      <c r="AL986" s="3" t="s">
        <v>45</v>
      </c>
      <c r="AM986" s="3" t="s">
        <v>45</v>
      </c>
      <c r="AN986" s="3" t="s">
        <v>45</v>
      </c>
      <c r="AO986" s="3" t="s">
        <v>45</v>
      </c>
      <c r="AP986" s="3" t="s">
        <v>45</v>
      </c>
      <c r="AQ986" s="4" t="s">
        <v>7078</v>
      </c>
      <c r="AR986" s="4" t="s">
        <v>7078</v>
      </c>
    </row>
    <row r="987">
      <c r="A987" s="3" t="s">
        <v>9079</v>
      </c>
      <c r="B987" s="3" t="s">
        <v>9080</v>
      </c>
      <c r="C987" s="3" t="s">
        <v>9081</v>
      </c>
      <c r="D987" s="3" t="s">
        <v>8268</v>
      </c>
      <c r="E987" s="4" t="s">
        <v>9082</v>
      </c>
      <c r="F987" s="3" t="s">
        <v>9083</v>
      </c>
      <c r="G987" s="4" t="s">
        <v>9084</v>
      </c>
      <c r="H987" s="4" t="s">
        <v>9085</v>
      </c>
      <c r="I987" s="3" t="s">
        <v>85</v>
      </c>
      <c r="J987" s="3" t="s">
        <v>126</v>
      </c>
      <c r="K987" s="3" t="s">
        <v>45</v>
      </c>
      <c r="L987" s="3" t="s">
        <v>45</v>
      </c>
      <c r="M987" s="3" t="s">
        <v>45</v>
      </c>
      <c r="N987" s="3" t="s">
        <v>9086</v>
      </c>
      <c r="O987" s="3" t="s">
        <v>53</v>
      </c>
      <c r="P987" s="3" t="s">
        <v>45</v>
      </c>
      <c r="Q987" s="3" t="s">
        <v>45</v>
      </c>
      <c r="R987" s="3" t="s">
        <v>45</v>
      </c>
      <c r="S987" s="3" t="s">
        <v>45</v>
      </c>
      <c r="T987" s="3" t="s">
        <v>45</v>
      </c>
      <c r="U987" s="3" t="s">
        <v>45</v>
      </c>
      <c r="V987" s="4" t="s">
        <v>904</v>
      </c>
      <c r="W987" s="3" t="s">
        <v>45</v>
      </c>
      <c r="X987" s="3" t="s">
        <v>45</v>
      </c>
      <c r="Y987" s="3" t="s">
        <v>45</v>
      </c>
      <c r="Z987" s="3" t="s">
        <v>74</v>
      </c>
      <c r="AA987" s="3" t="s">
        <v>45</v>
      </c>
      <c r="AB987" s="3" t="s">
        <v>45</v>
      </c>
      <c r="AC987" s="3" t="s">
        <v>45</v>
      </c>
      <c r="AD987" s="3" t="s">
        <v>45</v>
      </c>
      <c r="AE987" s="3" t="s">
        <v>45</v>
      </c>
      <c r="AF987" s="3" t="s">
        <v>45</v>
      </c>
      <c r="AG987" s="3" t="s">
        <v>9087</v>
      </c>
      <c r="AH987" s="3" t="s">
        <v>57</v>
      </c>
      <c r="AI987" s="5" t="s">
        <v>9088</v>
      </c>
      <c r="AJ987" s="3" t="s">
        <v>45</v>
      </c>
      <c r="AK987" s="3" t="s">
        <v>45</v>
      </c>
      <c r="AL987" s="3" t="s">
        <v>45</v>
      </c>
      <c r="AM987" s="3" t="s">
        <v>45</v>
      </c>
      <c r="AN987" s="3" t="s">
        <v>45</v>
      </c>
      <c r="AO987" s="3" t="s">
        <v>45</v>
      </c>
      <c r="AP987" s="3" t="s">
        <v>45</v>
      </c>
      <c r="AQ987" s="4" t="s">
        <v>651</v>
      </c>
      <c r="AR987" s="4" t="s">
        <v>651</v>
      </c>
    </row>
    <row r="988">
      <c r="A988" s="3" t="s">
        <v>9089</v>
      </c>
      <c r="B988" s="3" t="s">
        <v>9090</v>
      </c>
      <c r="C988" s="3" t="s">
        <v>9091</v>
      </c>
      <c r="D988" s="3" t="s">
        <v>8268</v>
      </c>
      <c r="E988" s="4" t="s">
        <v>9092</v>
      </c>
      <c r="F988" s="3" t="s">
        <v>9093</v>
      </c>
      <c r="G988" s="4" t="s">
        <v>9094</v>
      </c>
      <c r="H988" s="4" t="s">
        <v>9095</v>
      </c>
      <c r="I988" s="3" t="s">
        <v>49</v>
      </c>
      <c r="J988" s="3" t="s">
        <v>50</v>
      </c>
      <c r="K988" s="3" t="s">
        <v>45</v>
      </c>
      <c r="L988" s="3" t="s">
        <v>45</v>
      </c>
      <c r="M988" s="3" t="s">
        <v>45</v>
      </c>
      <c r="N988" s="3" t="s">
        <v>45</v>
      </c>
      <c r="O988" s="3" t="s">
        <v>74</v>
      </c>
      <c r="P988" s="3" t="s">
        <v>45</v>
      </c>
      <c r="Q988" s="3" t="s">
        <v>45</v>
      </c>
      <c r="R988" s="3" t="s">
        <v>45</v>
      </c>
      <c r="S988" s="4" t="s">
        <v>1610</v>
      </c>
      <c r="T988" s="3" t="s">
        <v>45</v>
      </c>
      <c r="U988" s="3" t="s">
        <v>221</v>
      </c>
      <c r="V988" s="3" t="s">
        <v>45</v>
      </c>
      <c r="W988" s="4" t="s">
        <v>102</v>
      </c>
      <c r="X988" s="3" t="s">
        <v>8264</v>
      </c>
      <c r="Y988" s="3" t="s">
        <v>45</v>
      </c>
      <c r="Z988" s="3" t="s">
        <v>74</v>
      </c>
      <c r="AA988" s="3" t="s">
        <v>45</v>
      </c>
      <c r="AB988" s="3" t="s">
        <v>45</v>
      </c>
      <c r="AC988" s="3" t="s">
        <v>45</v>
      </c>
      <c r="AD988" s="3" t="s">
        <v>45</v>
      </c>
      <c r="AE988" s="3" t="s">
        <v>45</v>
      </c>
      <c r="AF988" s="3" t="s">
        <v>45</v>
      </c>
      <c r="AG988" s="3" t="s">
        <v>45</v>
      </c>
      <c r="AH988" s="3" t="s">
        <v>57</v>
      </c>
      <c r="AI988" s="5" t="s">
        <v>9096</v>
      </c>
      <c r="AJ988" s="3" t="s">
        <v>45</v>
      </c>
      <c r="AK988" s="3" t="s">
        <v>45</v>
      </c>
      <c r="AL988" s="3" t="s">
        <v>45</v>
      </c>
      <c r="AM988" s="3" t="s">
        <v>45</v>
      </c>
      <c r="AN988" s="3" t="s">
        <v>45</v>
      </c>
      <c r="AO988" s="3" t="s">
        <v>45</v>
      </c>
      <c r="AP988" s="3" t="s">
        <v>45</v>
      </c>
      <c r="AQ988" s="4" t="s">
        <v>60</v>
      </c>
      <c r="AR988" s="4" t="s">
        <v>60</v>
      </c>
    </row>
    <row r="989">
      <c r="A989" s="3" t="s">
        <v>9097</v>
      </c>
      <c r="B989" s="3" t="s">
        <v>9098</v>
      </c>
      <c r="C989" s="3" t="s">
        <v>9099</v>
      </c>
      <c r="D989" s="3" t="s">
        <v>8268</v>
      </c>
      <c r="E989" s="4" t="s">
        <v>9100</v>
      </c>
      <c r="F989" s="3" t="s">
        <v>8330</v>
      </c>
      <c r="G989" s="4" t="s">
        <v>9101</v>
      </c>
      <c r="H989" s="4" t="s">
        <v>9102</v>
      </c>
      <c r="I989" s="3" t="s">
        <v>85</v>
      </c>
      <c r="J989" s="3" t="s">
        <v>126</v>
      </c>
      <c r="K989" s="3" t="s">
        <v>45</v>
      </c>
      <c r="L989" s="3" t="s">
        <v>45</v>
      </c>
      <c r="M989" s="3" t="s">
        <v>45</v>
      </c>
      <c r="N989" s="3" t="s">
        <v>45</v>
      </c>
      <c r="O989" s="3" t="s">
        <v>74</v>
      </c>
      <c r="P989" s="3" t="s">
        <v>45</v>
      </c>
      <c r="Q989" s="3" t="s">
        <v>45</v>
      </c>
      <c r="R989" s="3" t="s">
        <v>45</v>
      </c>
      <c r="S989" s="3" t="s">
        <v>45</v>
      </c>
      <c r="T989" s="3" t="s">
        <v>45</v>
      </c>
      <c r="U989" s="3" t="s">
        <v>45</v>
      </c>
      <c r="V989" s="3" t="s">
        <v>45</v>
      </c>
      <c r="W989" s="3" t="s">
        <v>45</v>
      </c>
      <c r="X989" s="3" t="s">
        <v>45</v>
      </c>
      <c r="Y989" s="3" t="s">
        <v>45</v>
      </c>
      <c r="Z989" s="3" t="s">
        <v>74</v>
      </c>
      <c r="AA989" s="3" t="s">
        <v>45</v>
      </c>
      <c r="AB989" s="3" t="s">
        <v>45</v>
      </c>
      <c r="AC989" s="3" t="s">
        <v>45</v>
      </c>
      <c r="AD989" s="3" t="s">
        <v>45</v>
      </c>
      <c r="AE989" s="3" t="s">
        <v>45</v>
      </c>
      <c r="AF989" s="3" t="s">
        <v>45</v>
      </c>
      <c r="AG989" s="3" t="s">
        <v>8333</v>
      </c>
      <c r="AH989" s="3" t="s">
        <v>57</v>
      </c>
      <c r="AI989" s="5" t="s">
        <v>8334</v>
      </c>
      <c r="AJ989" s="3" t="s">
        <v>45</v>
      </c>
      <c r="AK989" s="3" t="s">
        <v>45</v>
      </c>
      <c r="AL989" s="3" t="s">
        <v>45</v>
      </c>
      <c r="AM989" s="3" t="s">
        <v>45</v>
      </c>
      <c r="AN989" s="3" t="s">
        <v>45</v>
      </c>
      <c r="AO989" s="3" t="s">
        <v>45</v>
      </c>
      <c r="AP989" s="3" t="s">
        <v>45</v>
      </c>
      <c r="AQ989" s="4" t="s">
        <v>8335</v>
      </c>
      <c r="AR989" s="4" t="s">
        <v>8335</v>
      </c>
    </row>
    <row r="990">
      <c r="A990" s="3" t="s">
        <v>9103</v>
      </c>
      <c r="B990" s="3" t="s">
        <v>9104</v>
      </c>
      <c r="C990" s="3" t="s">
        <v>9105</v>
      </c>
      <c r="D990" s="3" t="s">
        <v>8268</v>
      </c>
      <c r="E990" s="4" t="s">
        <v>9106</v>
      </c>
      <c r="F990" s="3" t="s">
        <v>8456</v>
      </c>
      <c r="G990" s="4" t="s">
        <v>9107</v>
      </c>
      <c r="H990" s="4" t="s">
        <v>9108</v>
      </c>
      <c r="I990" s="3" t="s">
        <v>49</v>
      </c>
      <c r="J990" s="3" t="s">
        <v>50</v>
      </c>
      <c r="K990" s="3" t="s">
        <v>45</v>
      </c>
      <c r="L990" s="3" t="s">
        <v>409</v>
      </c>
      <c r="M990" s="3" t="s">
        <v>45</v>
      </c>
      <c r="N990" s="3" t="s">
        <v>45</v>
      </c>
      <c r="O990" s="3" t="s">
        <v>74</v>
      </c>
      <c r="P990" s="3" t="s">
        <v>45</v>
      </c>
      <c r="Q990" s="3" t="s">
        <v>45</v>
      </c>
      <c r="R990" s="3" t="s">
        <v>45</v>
      </c>
      <c r="S990" s="4" t="s">
        <v>233</v>
      </c>
      <c r="T990" s="3" t="s">
        <v>45</v>
      </c>
      <c r="U990" s="3" t="s">
        <v>45</v>
      </c>
      <c r="V990" s="4" t="s">
        <v>9109</v>
      </c>
      <c r="W990" s="3" t="s">
        <v>45</v>
      </c>
      <c r="X990" s="3" t="s">
        <v>3650</v>
      </c>
      <c r="Y990" s="4" t="s">
        <v>2073</v>
      </c>
      <c r="Z990" s="3" t="s">
        <v>74</v>
      </c>
      <c r="AA990" s="3" t="s">
        <v>45</v>
      </c>
      <c r="AB990" s="3" t="s">
        <v>45</v>
      </c>
      <c r="AC990" s="3" t="s">
        <v>45</v>
      </c>
      <c r="AD990" s="3" t="s">
        <v>45</v>
      </c>
      <c r="AE990" s="3" t="s">
        <v>45</v>
      </c>
      <c r="AF990" s="3" t="s">
        <v>45</v>
      </c>
      <c r="AG990" s="3" t="s">
        <v>45</v>
      </c>
      <c r="AH990" s="3" t="s">
        <v>57</v>
      </c>
      <c r="AI990" s="5" t="s">
        <v>9110</v>
      </c>
      <c r="AJ990" s="3" t="s">
        <v>45</v>
      </c>
      <c r="AK990" s="3" t="s">
        <v>45</v>
      </c>
      <c r="AL990" s="3" t="s">
        <v>45</v>
      </c>
      <c r="AM990" s="3" t="s">
        <v>45</v>
      </c>
      <c r="AN990" s="3" t="s">
        <v>45</v>
      </c>
      <c r="AO990" s="3" t="s">
        <v>45</v>
      </c>
      <c r="AP990" s="3" t="s">
        <v>45</v>
      </c>
      <c r="AQ990" s="4" t="s">
        <v>2459</v>
      </c>
      <c r="AR990" s="4" t="s">
        <v>2459</v>
      </c>
    </row>
    <row r="991">
      <c r="A991" s="3" t="s">
        <v>9111</v>
      </c>
      <c r="B991" s="3" t="s">
        <v>9112</v>
      </c>
      <c r="C991" s="3" t="s">
        <v>1263</v>
      </c>
      <c r="D991" s="3" t="s">
        <v>8268</v>
      </c>
      <c r="E991" s="4" t="s">
        <v>9113</v>
      </c>
      <c r="F991" s="3" t="s">
        <v>9114</v>
      </c>
      <c r="G991" s="4" t="s">
        <v>9115</v>
      </c>
      <c r="H991" s="4" t="s">
        <v>9116</v>
      </c>
      <c r="I991" s="3" t="s">
        <v>49</v>
      </c>
      <c r="J991" s="3" t="s">
        <v>50</v>
      </c>
      <c r="K991" s="3" t="s">
        <v>45</v>
      </c>
      <c r="L991" s="3" t="s">
        <v>176</v>
      </c>
      <c r="M991" s="3" t="s">
        <v>45</v>
      </c>
      <c r="N991" s="3" t="s">
        <v>45</v>
      </c>
      <c r="O991" s="3" t="s">
        <v>74</v>
      </c>
      <c r="P991" s="3" t="s">
        <v>45</v>
      </c>
      <c r="Q991" s="3" t="s">
        <v>45</v>
      </c>
      <c r="R991" s="3" t="s">
        <v>45</v>
      </c>
      <c r="S991" s="3" t="s">
        <v>45</v>
      </c>
      <c r="T991" s="3" t="s">
        <v>45</v>
      </c>
      <c r="U991" s="3" t="s">
        <v>45</v>
      </c>
      <c r="V991" s="4" t="s">
        <v>9117</v>
      </c>
      <c r="W991" s="3" t="s">
        <v>45</v>
      </c>
      <c r="X991" s="3" t="s">
        <v>8264</v>
      </c>
      <c r="Y991" s="4" t="s">
        <v>317</v>
      </c>
      <c r="Z991" s="3" t="s">
        <v>74</v>
      </c>
      <c r="AA991" s="3" t="s">
        <v>45</v>
      </c>
      <c r="AB991" s="3" t="s">
        <v>45</v>
      </c>
      <c r="AC991" s="3" t="s">
        <v>45</v>
      </c>
      <c r="AD991" s="3" t="s">
        <v>45</v>
      </c>
      <c r="AE991" s="3" t="s">
        <v>45</v>
      </c>
      <c r="AF991" s="3" t="s">
        <v>45</v>
      </c>
      <c r="AG991" s="3" t="s">
        <v>45</v>
      </c>
      <c r="AH991" s="3" t="s">
        <v>57</v>
      </c>
      <c r="AI991" s="5" t="s">
        <v>9118</v>
      </c>
      <c r="AJ991" s="5" t="s">
        <v>9119</v>
      </c>
      <c r="AK991" s="5" t="s">
        <v>9120</v>
      </c>
      <c r="AL991" s="3" t="s">
        <v>45</v>
      </c>
      <c r="AM991" s="3" t="s">
        <v>45</v>
      </c>
      <c r="AN991" s="3" t="s">
        <v>45</v>
      </c>
      <c r="AO991" s="3" t="s">
        <v>45</v>
      </c>
      <c r="AP991" s="3" t="s">
        <v>45</v>
      </c>
      <c r="AQ991" s="4" t="s">
        <v>1113</v>
      </c>
      <c r="AR991" s="4" t="s">
        <v>1113</v>
      </c>
    </row>
    <row r="992">
      <c r="A992" s="3" t="s">
        <v>9121</v>
      </c>
      <c r="B992" s="3" t="s">
        <v>9122</v>
      </c>
      <c r="C992" s="3" t="s">
        <v>9123</v>
      </c>
      <c r="D992" s="3" t="s">
        <v>8268</v>
      </c>
      <c r="E992" s="3" t="s">
        <v>45</v>
      </c>
      <c r="F992" s="3" t="s">
        <v>7508</v>
      </c>
      <c r="G992" s="4" t="s">
        <v>9124</v>
      </c>
      <c r="H992" s="4" t="s">
        <v>9125</v>
      </c>
      <c r="I992" s="3" t="s">
        <v>49</v>
      </c>
      <c r="J992" s="3" t="s">
        <v>99</v>
      </c>
      <c r="K992" s="3" t="s">
        <v>45</v>
      </c>
      <c r="L992" s="3" t="s">
        <v>45</v>
      </c>
      <c r="M992" s="3" t="s">
        <v>45</v>
      </c>
      <c r="N992" s="3" t="s">
        <v>45</v>
      </c>
      <c r="O992" s="3" t="s">
        <v>74</v>
      </c>
      <c r="P992" s="3" t="s">
        <v>45</v>
      </c>
      <c r="Q992" s="3" t="s">
        <v>45</v>
      </c>
      <c r="R992" s="3" t="s">
        <v>45</v>
      </c>
      <c r="S992" s="3" t="s">
        <v>45</v>
      </c>
      <c r="T992" s="3" t="s">
        <v>45</v>
      </c>
      <c r="U992" s="3" t="s">
        <v>45</v>
      </c>
      <c r="V992" s="3" t="s">
        <v>45</v>
      </c>
      <c r="W992" s="4" t="s">
        <v>3074</v>
      </c>
      <c r="X992" s="3" t="s">
        <v>45</v>
      </c>
      <c r="Y992" s="3" t="s">
        <v>45</v>
      </c>
      <c r="Z992" s="3" t="s">
        <v>74</v>
      </c>
      <c r="AA992" s="3" t="s">
        <v>45</v>
      </c>
      <c r="AB992" s="3" t="s">
        <v>45</v>
      </c>
      <c r="AC992" s="3" t="s">
        <v>45</v>
      </c>
      <c r="AD992" s="3" t="s">
        <v>45</v>
      </c>
      <c r="AE992" s="3" t="s">
        <v>45</v>
      </c>
      <c r="AF992" s="3" t="s">
        <v>45</v>
      </c>
      <c r="AG992" s="3" t="s">
        <v>9126</v>
      </c>
      <c r="AH992" s="3" t="s">
        <v>57</v>
      </c>
      <c r="AI992" s="5" t="s">
        <v>9127</v>
      </c>
      <c r="AJ992" s="3" t="s">
        <v>45</v>
      </c>
      <c r="AK992" s="3" t="s">
        <v>45</v>
      </c>
      <c r="AL992" s="3" t="s">
        <v>45</v>
      </c>
      <c r="AM992" s="3" t="s">
        <v>45</v>
      </c>
      <c r="AN992" s="3" t="s">
        <v>45</v>
      </c>
      <c r="AO992" s="3" t="s">
        <v>45</v>
      </c>
      <c r="AP992" s="3" t="s">
        <v>45</v>
      </c>
      <c r="AQ992" s="4" t="s">
        <v>147</v>
      </c>
      <c r="AR992" s="4" t="s">
        <v>147</v>
      </c>
    </row>
    <row r="993">
      <c r="A993" s="3" t="s">
        <v>9128</v>
      </c>
      <c r="B993" s="3" t="s">
        <v>9129</v>
      </c>
      <c r="C993" s="3" t="s">
        <v>9130</v>
      </c>
      <c r="D993" s="3" t="s">
        <v>8268</v>
      </c>
      <c r="E993" s="4" t="s">
        <v>9131</v>
      </c>
      <c r="F993" s="3" t="s">
        <v>8665</v>
      </c>
      <c r="G993" s="4" t="s">
        <v>9132</v>
      </c>
      <c r="H993" s="4" t="s">
        <v>9133</v>
      </c>
      <c r="I993" s="3" t="s">
        <v>218</v>
      </c>
      <c r="J993" s="3" t="s">
        <v>126</v>
      </c>
      <c r="K993" s="3" t="s">
        <v>45</v>
      </c>
      <c r="L993" s="3" t="s">
        <v>3078</v>
      </c>
      <c r="M993" s="3" t="s">
        <v>45</v>
      </c>
      <c r="N993" s="4" t="s">
        <v>3084</v>
      </c>
      <c r="O993" s="3" t="s">
        <v>70</v>
      </c>
      <c r="P993" s="3" t="s">
        <v>45</v>
      </c>
      <c r="Q993" s="3" t="s">
        <v>45</v>
      </c>
      <c r="R993" s="3" t="s">
        <v>45</v>
      </c>
      <c r="S993" s="4" t="s">
        <v>259</v>
      </c>
      <c r="T993" s="3" t="s">
        <v>45</v>
      </c>
      <c r="U993" s="3" t="s">
        <v>45</v>
      </c>
      <c r="V993" s="4" t="s">
        <v>9134</v>
      </c>
      <c r="W993" s="4" t="s">
        <v>3900</v>
      </c>
      <c r="X993" s="3" t="s">
        <v>9135</v>
      </c>
      <c r="Y993" s="4" t="s">
        <v>317</v>
      </c>
      <c r="Z993" s="3" t="s">
        <v>74</v>
      </c>
      <c r="AA993" s="3" t="s">
        <v>45</v>
      </c>
      <c r="AB993" s="3" t="s">
        <v>45</v>
      </c>
      <c r="AC993" s="3" t="s">
        <v>45</v>
      </c>
      <c r="AD993" s="3" t="s">
        <v>45</v>
      </c>
      <c r="AE993" s="3" t="s">
        <v>45</v>
      </c>
      <c r="AF993" s="3" t="s">
        <v>45</v>
      </c>
      <c r="AG993" s="3" t="s">
        <v>45</v>
      </c>
      <c r="AH993" s="3" t="s">
        <v>840</v>
      </c>
      <c r="AI993" s="5" t="s">
        <v>9136</v>
      </c>
      <c r="AJ993" s="5" t="s">
        <v>9137</v>
      </c>
      <c r="AK993" s="3" t="s">
        <v>45</v>
      </c>
      <c r="AL993" s="3" t="s">
        <v>45</v>
      </c>
      <c r="AM993" s="3" t="s">
        <v>45</v>
      </c>
      <c r="AN993" s="3" t="s">
        <v>45</v>
      </c>
      <c r="AO993" s="3" t="s">
        <v>45</v>
      </c>
      <c r="AP993" s="3" t="s">
        <v>45</v>
      </c>
      <c r="AQ993" s="4" t="s">
        <v>9138</v>
      </c>
      <c r="AR993" s="4" t="s">
        <v>9138</v>
      </c>
    </row>
    <row r="994">
      <c r="A994" s="3" t="s">
        <v>9139</v>
      </c>
      <c r="B994" s="3" t="s">
        <v>9140</v>
      </c>
      <c r="C994" s="3" t="s">
        <v>9130</v>
      </c>
      <c r="D994" s="3" t="s">
        <v>8268</v>
      </c>
      <c r="E994" s="4" t="s">
        <v>9131</v>
      </c>
      <c r="F994" s="3" t="s">
        <v>8665</v>
      </c>
      <c r="G994" s="4" t="s">
        <v>9141</v>
      </c>
      <c r="H994" s="4" t="s">
        <v>9142</v>
      </c>
      <c r="I994" s="3" t="s">
        <v>218</v>
      </c>
      <c r="J994" s="3" t="s">
        <v>126</v>
      </c>
      <c r="K994" s="3" t="s">
        <v>45</v>
      </c>
      <c r="L994" s="3" t="s">
        <v>45</v>
      </c>
      <c r="M994" s="3" t="s">
        <v>45</v>
      </c>
      <c r="N994" s="3" t="s">
        <v>45</v>
      </c>
      <c r="O994" s="3" t="s">
        <v>74</v>
      </c>
      <c r="P994" s="3" t="s">
        <v>45</v>
      </c>
      <c r="Q994" s="3" t="s">
        <v>45</v>
      </c>
      <c r="R994" s="3" t="s">
        <v>45</v>
      </c>
      <c r="S994" s="3" t="s">
        <v>45</v>
      </c>
      <c r="T994" s="3" t="s">
        <v>45</v>
      </c>
      <c r="U994" s="3" t="s">
        <v>45</v>
      </c>
      <c r="V994" s="4" t="s">
        <v>558</v>
      </c>
      <c r="W994" s="3" t="s">
        <v>45</v>
      </c>
      <c r="X994" s="3" t="s">
        <v>9143</v>
      </c>
      <c r="Y994" s="4" t="s">
        <v>317</v>
      </c>
      <c r="Z994" s="3" t="s">
        <v>74</v>
      </c>
      <c r="AA994" s="3" t="s">
        <v>45</v>
      </c>
      <c r="AB994" s="3" t="s">
        <v>45</v>
      </c>
      <c r="AC994" s="3" t="s">
        <v>45</v>
      </c>
      <c r="AD994" s="3" t="s">
        <v>45</v>
      </c>
      <c r="AE994" s="3" t="s">
        <v>45</v>
      </c>
      <c r="AF994" s="3" t="s">
        <v>45</v>
      </c>
      <c r="AG994" s="3" t="s">
        <v>45</v>
      </c>
      <c r="AH994" s="3" t="s">
        <v>7025</v>
      </c>
      <c r="AI994" s="5" t="s">
        <v>9144</v>
      </c>
      <c r="AJ994" s="5" t="s">
        <v>9145</v>
      </c>
      <c r="AK994" s="5" t="s">
        <v>9146</v>
      </c>
      <c r="AL994" s="3" t="s">
        <v>45</v>
      </c>
      <c r="AM994" s="3" t="s">
        <v>45</v>
      </c>
      <c r="AN994" s="3" t="s">
        <v>45</v>
      </c>
      <c r="AO994" s="3" t="s">
        <v>45</v>
      </c>
      <c r="AP994" s="3" t="s">
        <v>45</v>
      </c>
      <c r="AQ994" s="4" t="s">
        <v>162</v>
      </c>
      <c r="AR994" s="4" t="s">
        <v>2649</v>
      </c>
    </row>
    <row r="995">
      <c r="A995" s="3" t="s">
        <v>9147</v>
      </c>
      <c r="B995" s="3" t="s">
        <v>9148</v>
      </c>
      <c r="C995" s="3" t="s">
        <v>9130</v>
      </c>
      <c r="D995" s="3" t="s">
        <v>8268</v>
      </c>
      <c r="E995" s="4" t="s">
        <v>9131</v>
      </c>
      <c r="F995" s="3" t="s">
        <v>8665</v>
      </c>
      <c r="G995" s="4" t="s">
        <v>9149</v>
      </c>
      <c r="H995" s="4" t="s">
        <v>9150</v>
      </c>
      <c r="I995" s="3" t="s">
        <v>49</v>
      </c>
      <c r="J995" s="3" t="s">
        <v>126</v>
      </c>
      <c r="K995" s="3" t="s">
        <v>45</v>
      </c>
      <c r="L995" s="3" t="s">
        <v>176</v>
      </c>
      <c r="M995" s="3" t="s">
        <v>45</v>
      </c>
      <c r="N995" s="3" t="s">
        <v>45</v>
      </c>
      <c r="O995" s="3" t="s">
        <v>74</v>
      </c>
      <c r="P995" s="3" t="s">
        <v>45</v>
      </c>
      <c r="Q995" s="3" t="s">
        <v>45</v>
      </c>
      <c r="R995" s="3" t="s">
        <v>45</v>
      </c>
      <c r="S995" s="3" t="s">
        <v>45</v>
      </c>
      <c r="T995" s="3" t="s">
        <v>45</v>
      </c>
      <c r="U995" s="3" t="s">
        <v>45</v>
      </c>
      <c r="V995" s="3" t="s">
        <v>45</v>
      </c>
      <c r="W995" s="3" t="s">
        <v>45</v>
      </c>
      <c r="X995" s="3" t="s">
        <v>45</v>
      </c>
      <c r="Y995" s="3" t="s">
        <v>45</v>
      </c>
      <c r="Z995" s="3" t="s">
        <v>74</v>
      </c>
      <c r="AA995" s="3" t="s">
        <v>45</v>
      </c>
      <c r="AB995" s="3" t="s">
        <v>45</v>
      </c>
      <c r="AC995" s="3" t="s">
        <v>45</v>
      </c>
      <c r="AD995" s="3" t="s">
        <v>45</v>
      </c>
      <c r="AE995" s="3" t="s">
        <v>45</v>
      </c>
      <c r="AF995" s="3" t="s">
        <v>45</v>
      </c>
      <c r="AG995" s="3" t="s">
        <v>45</v>
      </c>
      <c r="AH995" s="3" t="s">
        <v>57</v>
      </c>
      <c r="AI995" s="5" t="s">
        <v>9151</v>
      </c>
      <c r="AJ995" s="3" t="s">
        <v>45</v>
      </c>
      <c r="AK995" s="3" t="s">
        <v>45</v>
      </c>
      <c r="AL995" s="3" t="s">
        <v>45</v>
      </c>
      <c r="AM995" s="3" t="s">
        <v>45</v>
      </c>
      <c r="AN995" s="3" t="s">
        <v>45</v>
      </c>
      <c r="AO995" s="3" t="s">
        <v>45</v>
      </c>
      <c r="AP995" s="3" t="s">
        <v>45</v>
      </c>
      <c r="AQ995" s="4" t="s">
        <v>1325</v>
      </c>
      <c r="AR995" s="4" t="s">
        <v>1325</v>
      </c>
    </row>
    <row r="996">
      <c r="A996" s="3" t="s">
        <v>9152</v>
      </c>
      <c r="B996" s="3" t="s">
        <v>45</v>
      </c>
      <c r="C996" s="3" t="s">
        <v>9153</v>
      </c>
      <c r="D996" s="3" t="s">
        <v>8268</v>
      </c>
      <c r="E996" s="3" t="s">
        <v>45</v>
      </c>
      <c r="F996" s="3" t="s">
        <v>8446</v>
      </c>
      <c r="G996" s="4" t="s">
        <v>9154</v>
      </c>
      <c r="H996" s="4" t="s">
        <v>9155</v>
      </c>
      <c r="I996" s="3" t="s">
        <v>49</v>
      </c>
      <c r="J996" s="3" t="s">
        <v>50</v>
      </c>
      <c r="K996" s="3" t="s">
        <v>45</v>
      </c>
      <c r="L996" s="3" t="s">
        <v>176</v>
      </c>
      <c r="M996" s="3" t="s">
        <v>45</v>
      </c>
      <c r="N996" s="3" t="s">
        <v>45</v>
      </c>
      <c r="O996" s="3" t="s">
        <v>74</v>
      </c>
      <c r="P996" s="3" t="s">
        <v>45</v>
      </c>
      <c r="Q996" s="3" t="s">
        <v>45</v>
      </c>
      <c r="R996" s="3" t="s">
        <v>45</v>
      </c>
      <c r="S996" s="3" t="s">
        <v>45</v>
      </c>
      <c r="T996" s="3" t="s">
        <v>45</v>
      </c>
      <c r="U996" s="3" t="s">
        <v>45</v>
      </c>
      <c r="V996" s="3" t="s">
        <v>45</v>
      </c>
      <c r="W996" s="3" t="s">
        <v>45</v>
      </c>
      <c r="X996" s="3" t="s">
        <v>5016</v>
      </c>
      <c r="Y996" s="3" t="s">
        <v>45</v>
      </c>
      <c r="Z996" s="3" t="s">
        <v>74</v>
      </c>
      <c r="AA996" s="3" t="s">
        <v>45</v>
      </c>
      <c r="AB996" s="3" t="s">
        <v>45</v>
      </c>
      <c r="AC996" s="3" t="s">
        <v>45</v>
      </c>
      <c r="AD996" s="3" t="s">
        <v>45</v>
      </c>
      <c r="AE996" s="3" t="s">
        <v>45</v>
      </c>
      <c r="AF996" s="3" t="s">
        <v>45</v>
      </c>
      <c r="AG996" s="3" t="s">
        <v>9156</v>
      </c>
      <c r="AH996" s="3" t="s">
        <v>57</v>
      </c>
      <c r="AI996" s="5" t="s">
        <v>9157</v>
      </c>
      <c r="AJ996" s="5" t="s">
        <v>9158</v>
      </c>
      <c r="AK996" s="3" t="s">
        <v>45</v>
      </c>
      <c r="AL996" s="3" t="s">
        <v>45</v>
      </c>
      <c r="AM996" s="3" t="s">
        <v>45</v>
      </c>
      <c r="AN996" s="3" t="s">
        <v>45</v>
      </c>
      <c r="AO996" s="3" t="s">
        <v>45</v>
      </c>
      <c r="AP996" s="3" t="s">
        <v>45</v>
      </c>
      <c r="AQ996" s="3" t="s">
        <v>45</v>
      </c>
      <c r="AR996" s="3" t="s">
        <v>45</v>
      </c>
    </row>
    <row r="997">
      <c r="A997" s="3" t="s">
        <v>1077</v>
      </c>
      <c r="B997" s="3" t="s">
        <v>45</v>
      </c>
      <c r="C997" s="3" t="s">
        <v>9159</v>
      </c>
      <c r="D997" s="3" t="s">
        <v>8268</v>
      </c>
      <c r="E997" s="4" t="s">
        <v>9160</v>
      </c>
      <c r="F997" s="3" t="s">
        <v>8373</v>
      </c>
      <c r="G997" s="4" t="s">
        <v>9161</v>
      </c>
      <c r="H997" s="4" t="s">
        <v>9162</v>
      </c>
      <c r="I997" s="3" t="s">
        <v>49</v>
      </c>
      <c r="J997" s="3" t="s">
        <v>99</v>
      </c>
      <c r="K997" s="3" t="s">
        <v>45</v>
      </c>
      <c r="L997" s="3" t="s">
        <v>45</v>
      </c>
      <c r="M997" s="3" t="s">
        <v>45</v>
      </c>
      <c r="N997" s="4" t="s">
        <v>102</v>
      </c>
      <c r="O997" s="3" t="s">
        <v>88</v>
      </c>
      <c r="P997" s="3" t="s">
        <v>45</v>
      </c>
      <c r="Q997" s="3" t="s">
        <v>45</v>
      </c>
      <c r="R997" s="3" t="s">
        <v>45</v>
      </c>
      <c r="S997" s="3" t="s">
        <v>45</v>
      </c>
      <c r="T997" s="3" t="s">
        <v>45</v>
      </c>
      <c r="U997" s="3" t="s">
        <v>45</v>
      </c>
      <c r="V997" s="3" t="s">
        <v>45</v>
      </c>
      <c r="W997" s="4" t="s">
        <v>9163</v>
      </c>
      <c r="X997" s="3" t="s">
        <v>45</v>
      </c>
      <c r="Y997" s="3" t="s">
        <v>45</v>
      </c>
      <c r="Z997" s="3" t="s">
        <v>74</v>
      </c>
      <c r="AA997" s="3" t="s">
        <v>45</v>
      </c>
      <c r="AB997" s="3" t="s">
        <v>45</v>
      </c>
      <c r="AC997" s="3" t="s">
        <v>45</v>
      </c>
      <c r="AD997" s="3" t="s">
        <v>45</v>
      </c>
      <c r="AE997" s="3" t="s">
        <v>45</v>
      </c>
      <c r="AF997" s="3" t="s">
        <v>45</v>
      </c>
      <c r="AG997" s="3" t="s">
        <v>45</v>
      </c>
      <c r="AH997" s="3" t="s">
        <v>57</v>
      </c>
      <c r="AI997" s="5" t="s">
        <v>1084</v>
      </c>
      <c r="AJ997" s="3" t="s">
        <v>45</v>
      </c>
      <c r="AK997" s="3" t="s">
        <v>45</v>
      </c>
      <c r="AL997" s="3" t="s">
        <v>45</v>
      </c>
      <c r="AM997" s="3" t="s">
        <v>45</v>
      </c>
      <c r="AN997" s="3" t="s">
        <v>45</v>
      </c>
      <c r="AO997" s="3" t="s">
        <v>45</v>
      </c>
      <c r="AP997" s="3" t="s">
        <v>45</v>
      </c>
      <c r="AQ997" s="4" t="s">
        <v>1085</v>
      </c>
      <c r="AR997" s="4" t="s">
        <v>1085</v>
      </c>
    </row>
    <row r="998">
      <c r="A998" s="3" t="s">
        <v>9164</v>
      </c>
      <c r="B998" s="3" t="s">
        <v>45</v>
      </c>
      <c r="C998" s="3" t="s">
        <v>9165</v>
      </c>
      <c r="D998" s="3" t="s">
        <v>8268</v>
      </c>
      <c r="E998" s="3" t="s">
        <v>45</v>
      </c>
      <c r="F998" s="3" t="s">
        <v>8528</v>
      </c>
      <c r="G998" s="4" t="s">
        <v>9166</v>
      </c>
      <c r="H998" s="4" t="s">
        <v>9167</v>
      </c>
      <c r="I998" s="3" t="s">
        <v>218</v>
      </c>
      <c r="J998" s="3" t="s">
        <v>99</v>
      </c>
      <c r="K998" s="3" t="s">
        <v>45</v>
      </c>
      <c r="L998" s="3" t="s">
        <v>45</v>
      </c>
      <c r="M998" s="3" t="s">
        <v>45</v>
      </c>
      <c r="N998" s="4" t="s">
        <v>1962</v>
      </c>
      <c r="O998" s="3" t="s">
        <v>88</v>
      </c>
      <c r="P998" s="3" t="s">
        <v>45</v>
      </c>
      <c r="Q998" s="3" t="s">
        <v>45</v>
      </c>
      <c r="R998" s="3" t="s">
        <v>45</v>
      </c>
      <c r="S998" s="3" t="s">
        <v>45</v>
      </c>
      <c r="T998" s="3" t="s">
        <v>45</v>
      </c>
      <c r="U998" s="3" t="s">
        <v>45</v>
      </c>
      <c r="V998" s="3" t="s">
        <v>45</v>
      </c>
      <c r="W998" s="3" t="s">
        <v>45</v>
      </c>
      <c r="X998" s="3" t="s">
        <v>45</v>
      </c>
      <c r="Y998" s="3" t="s">
        <v>45</v>
      </c>
      <c r="Z998" s="3" t="s">
        <v>74</v>
      </c>
      <c r="AA998" s="3" t="s">
        <v>45</v>
      </c>
      <c r="AB998" s="3" t="s">
        <v>45</v>
      </c>
      <c r="AC998" s="3" t="s">
        <v>45</v>
      </c>
      <c r="AD998" s="3" t="s">
        <v>45</v>
      </c>
      <c r="AE998" s="3" t="s">
        <v>45</v>
      </c>
      <c r="AF998" s="3" t="s">
        <v>45</v>
      </c>
      <c r="AG998" s="3" t="s">
        <v>45</v>
      </c>
      <c r="AH998" s="3" t="s">
        <v>57</v>
      </c>
      <c r="AI998" s="5" t="s">
        <v>3873</v>
      </c>
      <c r="AJ998" s="3" t="s">
        <v>45</v>
      </c>
      <c r="AK998" s="3" t="s">
        <v>45</v>
      </c>
      <c r="AL998" s="3" t="s">
        <v>45</v>
      </c>
      <c r="AM998" s="3" t="s">
        <v>45</v>
      </c>
      <c r="AN998" s="3" t="s">
        <v>45</v>
      </c>
      <c r="AO998" s="3" t="s">
        <v>45</v>
      </c>
      <c r="AP998" s="3" t="s">
        <v>45</v>
      </c>
      <c r="AQ998" s="4" t="s">
        <v>3655</v>
      </c>
      <c r="AR998" s="4" t="s">
        <v>3655</v>
      </c>
    </row>
    <row r="999">
      <c r="A999" s="3" t="s">
        <v>9168</v>
      </c>
      <c r="B999" s="3" t="s">
        <v>45</v>
      </c>
      <c r="C999" s="3" t="s">
        <v>9169</v>
      </c>
      <c r="D999" s="3" t="s">
        <v>8268</v>
      </c>
      <c r="E999" s="4" t="s">
        <v>8481</v>
      </c>
      <c r="F999" s="3" t="s">
        <v>8480</v>
      </c>
      <c r="G999" s="4" t="s">
        <v>9170</v>
      </c>
      <c r="H999" s="4" t="s">
        <v>9171</v>
      </c>
      <c r="I999" s="3" t="s">
        <v>218</v>
      </c>
      <c r="J999" s="3" t="s">
        <v>50</v>
      </c>
      <c r="K999" s="3" t="s">
        <v>45</v>
      </c>
      <c r="L999" s="3" t="s">
        <v>45</v>
      </c>
      <c r="M999" s="3" t="s">
        <v>45</v>
      </c>
      <c r="N999" s="4" t="s">
        <v>90</v>
      </c>
      <c r="O999" s="3" t="s">
        <v>88</v>
      </c>
      <c r="P999" s="3" t="s">
        <v>45</v>
      </c>
      <c r="Q999" s="3" t="s">
        <v>45</v>
      </c>
      <c r="R999" s="3" t="s">
        <v>45</v>
      </c>
      <c r="S999" s="3" t="s">
        <v>45</v>
      </c>
      <c r="T999" s="3" t="s">
        <v>45</v>
      </c>
      <c r="U999" s="3" t="s">
        <v>45</v>
      </c>
      <c r="V999" s="3" t="s">
        <v>45</v>
      </c>
      <c r="W999" s="3" t="s">
        <v>45</v>
      </c>
      <c r="X999" s="3" t="s">
        <v>45</v>
      </c>
      <c r="Y999" s="3" t="s">
        <v>45</v>
      </c>
      <c r="Z999" s="3" t="s">
        <v>74</v>
      </c>
      <c r="AA999" s="3" t="s">
        <v>45</v>
      </c>
      <c r="AB999" s="3" t="s">
        <v>45</v>
      </c>
      <c r="AC999" s="3" t="s">
        <v>45</v>
      </c>
      <c r="AD999" s="3" t="s">
        <v>45</v>
      </c>
      <c r="AE999" s="3" t="s">
        <v>45</v>
      </c>
      <c r="AF999" s="3" t="s">
        <v>45</v>
      </c>
      <c r="AG999" s="3" t="s">
        <v>45</v>
      </c>
      <c r="AH999" s="3" t="s">
        <v>57</v>
      </c>
      <c r="AI999" s="5" t="s">
        <v>3873</v>
      </c>
      <c r="AJ999" s="3" t="s">
        <v>45</v>
      </c>
      <c r="AK999" s="3" t="s">
        <v>45</v>
      </c>
      <c r="AL999" s="3" t="s">
        <v>45</v>
      </c>
      <c r="AM999" s="3" t="s">
        <v>45</v>
      </c>
      <c r="AN999" s="3" t="s">
        <v>45</v>
      </c>
      <c r="AO999" s="3" t="s">
        <v>45</v>
      </c>
      <c r="AP999" s="3" t="s">
        <v>45</v>
      </c>
      <c r="AQ999" s="4" t="s">
        <v>3655</v>
      </c>
      <c r="AR999" s="4" t="s">
        <v>3655</v>
      </c>
    </row>
    <row r="1000">
      <c r="A1000" s="3" t="s">
        <v>9172</v>
      </c>
      <c r="B1000" s="3" t="s">
        <v>45</v>
      </c>
      <c r="C1000" s="3" t="s">
        <v>9173</v>
      </c>
      <c r="D1000" s="3" t="s">
        <v>8268</v>
      </c>
      <c r="E1000" s="3" t="s">
        <v>45</v>
      </c>
      <c r="F1000" s="3" t="s">
        <v>9174</v>
      </c>
      <c r="G1000" s="4" t="s">
        <v>9175</v>
      </c>
      <c r="H1000" s="4" t="s">
        <v>9176</v>
      </c>
      <c r="I1000" s="3" t="s">
        <v>218</v>
      </c>
      <c r="J1000" s="3" t="s">
        <v>99</v>
      </c>
      <c r="K1000" s="3" t="s">
        <v>45</v>
      </c>
      <c r="L1000" s="3" t="s">
        <v>45</v>
      </c>
      <c r="M1000" s="3" t="s">
        <v>45</v>
      </c>
      <c r="N1000" s="4" t="s">
        <v>87</v>
      </c>
      <c r="O1000" s="3" t="s">
        <v>88</v>
      </c>
      <c r="P1000" s="3" t="s">
        <v>45</v>
      </c>
      <c r="Q1000" s="3" t="s">
        <v>45</v>
      </c>
      <c r="R1000" s="3" t="s">
        <v>45</v>
      </c>
      <c r="S1000" s="3" t="s">
        <v>45</v>
      </c>
      <c r="T1000" s="3" t="s">
        <v>45</v>
      </c>
      <c r="U1000" s="3" t="s">
        <v>45</v>
      </c>
      <c r="V1000" s="3" t="s">
        <v>45</v>
      </c>
      <c r="W1000" s="3" t="s">
        <v>45</v>
      </c>
      <c r="X1000" s="3" t="s">
        <v>45</v>
      </c>
      <c r="Y1000" s="3" t="s">
        <v>45</v>
      </c>
      <c r="Z1000" s="3" t="s">
        <v>74</v>
      </c>
      <c r="AA1000" s="3" t="s">
        <v>45</v>
      </c>
      <c r="AB1000" s="3" t="s">
        <v>45</v>
      </c>
      <c r="AC1000" s="3" t="s">
        <v>45</v>
      </c>
      <c r="AD1000" s="3" t="s">
        <v>45</v>
      </c>
      <c r="AE1000" s="3" t="s">
        <v>45</v>
      </c>
      <c r="AF1000" s="3" t="s">
        <v>45</v>
      </c>
      <c r="AG1000" s="3" t="s">
        <v>45</v>
      </c>
      <c r="AH1000" s="3" t="s">
        <v>57</v>
      </c>
      <c r="AI1000" s="5" t="s">
        <v>9177</v>
      </c>
      <c r="AJ1000" s="3" t="s">
        <v>45</v>
      </c>
      <c r="AK1000" s="3" t="s">
        <v>45</v>
      </c>
      <c r="AL1000" s="3" t="s">
        <v>45</v>
      </c>
      <c r="AM1000" s="3" t="s">
        <v>45</v>
      </c>
      <c r="AN1000" s="3" t="s">
        <v>45</v>
      </c>
      <c r="AO1000" s="3" t="s">
        <v>45</v>
      </c>
      <c r="AP1000" s="3" t="s">
        <v>45</v>
      </c>
      <c r="AQ1000" s="4" t="s">
        <v>3655</v>
      </c>
      <c r="AR1000" s="4" t="s">
        <v>3655</v>
      </c>
    </row>
    <row r="1001">
      <c r="A1001" s="3" t="s">
        <v>9178</v>
      </c>
      <c r="B1001" s="3" t="s">
        <v>45</v>
      </c>
      <c r="C1001" s="3" t="s">
        <v>9179</v>
      </c>
      <c r="D1001" s="3" t="s">
        <v>8268</v>
      </c>
      <c r="E1001" s="4" t="s">
        <v>9180</v>
      </c>
      <c r="F1001" s="3" t="s">
        <v>8791</v>
      </c>
      <c r="G1001" s="4" t="s">
        <v>9181</v>
      </c>
      <c r="H1001" s="4" t="s">
        <v>9182</v>
      </c>
      <c r="I1001" s="3" t="s">
        <v>218</v>
      </c>
      <c r="J1001" s="3" t="s">
        <v>99</v>
      </c>
      <c r="K1001" s="3" t="s">
        <v>45</v>
      </c>
      <c r="L1001" s="3" t="s">
        <v>45</v>
      </c>
      <c r="M1001" s="3" t="s">
        <v>45</v>
      </c>
      <c r="N1001" s="4" t="s">
        <v>90</v>
      </c>
      <c r="O1001" s="3" t="s">
        <v>88</v>
      </c>
      <c r="P1001" s="3" t="s">
        <v>45</v>
      </c>
      <c r="Q1001" s="3" t="s">
        <v>45</v>
      </c>
      <c r="R1001" s="3" t="s">
        <v>45</v>
      </c>
      <c r="S1001" s="3" t="s">
        <v>45</v>
      </c>
      <c r="T1001" s="3" t="s">
        <v>45</v>
      </c>
      <c r="U1001" s="3" t="s">
        <v>45</v>
      </c>
      <c r="V1001" s="3" t="s">
        <v>45</v>
      </c>
      <c r="W1001" s="3" t="s">
        <v>45</v>
      </c>
      <c r="X1001" s="3" t="s">
        <v>45</v>
      </c>
      <c r="Y1001" s="3" t="s">
        <v>45</v>
      </c>
      <c r="Z1001" s="3" t="s">
        <v>74</v>
      </c>
      <c r="AA1001" s="3" t="s">
        <v>45</v>
      </c>
      <c r="AB1001" s="3" t="s">
        <v>45</v>
      </c>
      <c r="AC1001" s="3" t="s">
        <v>45</v>
      </c>
      <c r="AD1001" s="3" t="s">
        <v>45</v>
      </c>
      <c r="AE1001" s="3" t="s">
        <v>45</v>
      </c>
      <c r="AF1001" s="3" t="s">
        <v>45</v>
      </c>
      <c r="AG1001" s="3" t="s">
        <v>45</v>
      </c>
      <c r="AH1001" s="3" t="s">
        <v>57</v>
      </c>
      <c r="AI1001" s="5" t="s">
        <v>3873</v>
      </c>
      <c r="AJ1001" s="3" t="s">
        <v>45</v>
      </c>
      <c r="AK1001" s="3" t="s">
        <v>45</v>
      </c>
      <c r="AL1001" s="3" t="s">
        <v>45</v>
      </c>
      <c r="AM1001" s="3" t="s">
        <v>45</v>
      </c>
      <c r="AN1001" s="3" t="s">
        <v>45</v>
      </c>
      <c r="AO1001" s="3" t="s">
        <v>45</v>
      </c>
      <c r="AP1001" s="3" t="s">
        <v>45</v>
      </c>
      <c r="AQ1001" s="4" t="s">
        <v>3655</v>
      </c>
      <c r="AR1001" s="4" t="s">
        <v>3655</v>
      </c>
    </row>
    <row r="1002">
      <c r="A1002" s="3" t="s">
        <v>9183</v>
      </c>
      <c r="B1002" s="3" t="s">
        <v>45</v>
      </c>
      <c r="C1002" s="3" t="s">
        <v>9184</v>
      </c>
      <c r="D1002" s="3" t="s">
        <v>8268</v>
      </c>
      <c r="E1002" s="4" t="s">
        <v>9185</v>
      </c>
      <c r="F1002" s="3" t="s">
        <v>8791</v>
      </c>
      <c r="G1002" s="4" t="s">
        <v>9186</v>
      </c>
      <c r="H1002" s="4" t="s">
        <v>9187</v>
      </c>
      <c r="I1002" s="3" t="s">
        <v>218</v>
      </c>
      <c r="J1002" s="3" t="s">
        <v>99</v>
      </c>
      <c r="K1002" s="3" t="s">
        <v>45</v>
      </c>
      <c r="L1002" s="3" t="s">
        <v>45</v>
      </c>
      <c r="M1002" s="3" t="s">
        <v>45</v>
      </c>
      <c r="N1002" s="4" t="s">
        <v>493</v>
      </c>
      <c r="O1002" s="3" t="s">
        <v>88</v>
      </c>
      <c r="P1002" s="3" t="s">
        <v>45</v>
      </c>
      <c r="Q1002" s="3" t="s">
        <v>45</v>
      </c>
      <c r="R1002" s="3" t="s">
        <v>45</v>
      </c>
      <c r="S1002" s="3" t="s">
        <v>45</v>
      </c>
      <c r="T1002" s="3" t="s">
        <v>45</v>
      </c>
      <c r="U1002" s="3" t="s">
        <v>45</v>
      </c>
      <c r="V1002" s="3" t="s">
        <v>45</v>
      </c>
      <c r="W1002" s="3" t="s">
        <v>45</v>
      </c>
      <c r="X1002" s="3" t="s">
        <v>45</v>
      </c>
      <c r="Y1002" s="3" t="s">
        <v>45</v>
      </c>
      <c r="Z1002" s="3" t="s">
        <v>74</v>
      </c>
      <c r="AA1002" s="3" t="s">
        <v>45</v>
      </c>
      <c r="AB1002" s="3" t="s">
        <v>45</v>
      </c>
      <c r="AC1002" s="3" t="s">
        <v>45</v>
      </c>
      <c r="AD1002" s="3" t="s">
        <v>45</v>
      </c>
      <c r="AE1002" s="3" t="s">
        <v>45</v>
      </c>
      <c r="AF1002" s="3" t="s">
        <v>45</v>
      </c>
      <c r="AG1002" s="3" t="s">
        <v>45</v>
      </c>
      <c r="AH1002" s="3" t="s">
        <v>57</v>
      </c>
      <c r="AI1002" s="5" t="s">
        <v>3873</v>
      </c>
      <c r="AJ1002" s="3" t="s">
        <v>45</v>
      </c>
      <c r="AK1002" s="3" t="s">
        <v>45</v>
      </c>
      <c r="AL1002" s="3" t="s">
        <v>45</v>
      </c>
      <c r="AM1002" s="3" t="s">
        <v>45</v>
      </c>
      <c r="AN1002" s="3" t="s">
        <v>45</v>
      </c>
      <c r="AO1002" s="3" t="s">
        <v>45</v>
      </c>
      <c r="AP1002" s="3" t="s">
        <v>45</v>
      </c>
      <c r="AQ1002" s="4" t="s">
        <v>3655</v>
      </c>
      <c r="AR1002" s="4" t="s">
        <v>3655</v>
      </c>
    </row>
    <row r="1003">
      <c r="A1003" s="3" t="s">
        <v>9188</v>
      </c>
      <c r="B1003" s="3" t="s">
        <v>9189</v>
      </c>
      <c r="C1003" s="3" t="s">
        <v>9190</v>
      </c>
      <c r="D1003" s="3" t="s">
        <v>8268</v>
      </c>
      <c r="E1003" s="4" t="s">
        <v>9191</v>
      </c>
      <c r="F1003" s="3" t="s">
        <v>9192</v>
      </c>
      <c r="G1003" s="4" t="s">
        <v>9193</v>
      </c>
      <c r="H1003" s="4" t="s">
        <v>9194</v>
      </c>
      <c r="I1003" s="3" t="s">
        <v>49</v>
      </c>
      <c r="J1003" s="3" t="s">
        <v>126</v>
      </c>
      <c r="K1003" s="3" t="s">
        <v>45</v>
      </c>
      <c r="L1003" s="3" t="s">
        <v>45</v>
      </c>
      <c r="M1003" s="3" t="s">
        <v>45</v>
      </c>
      <c r="N1003" s="4" t="s">
        <v>128</v>
      </c>
      <c r="O1003" s="3" t="s">
        <v>70</v>
      </c>
      <c r="P1003" s="3" t="s">
        <v>45</v>
      </c>
      <c r="Q1003" s="3" t="s">
        <v>45</v>
      </c>
      <c r="R1003" s="3" t="s">
        <v>45</v>
      </c>
      <c r="S1003" s="3" t="s">
        <v>45</v>
      </c>
      <c r="T1003" s="3" t="s">
        <v>45</v>
      </c>
      <c r="U1003" s="3" t="s">
        <v>45</v>
      </c>
      <c r="V1003" s="3" t="s">
        <v>45</v>
      </c>
      <c r="W1003" s="4" t="s">
        <v>2665</v>
      </c>
      <c r="X1003" s="3" t="s">
        <v>45</v>
      </c>
      <c r="Y1003" s="3" t="s">
        <v>45</v>
      </c>
      <c r="Z1003" s="3" t="s">
        <v>74</v>
      </c>
      <c r="AA1003" s="3" t="s">
        <v>45</v>
      </c>
      <c r="AB1003" s="3" t="s">
        <v>45</v>
      </c>
      <c r="AC1003" s="3" t="s">
        <v>45</v>
      </c>
      <c r="AD1003" s="3" t="s">
        <v>45</v>
      </c>
      <c r="AE1003" s="3" t="s">
        <v>45</v>
      </c>
      <c r="AF1003" s="3" t="s">
        <v>45</v>
      </c>
      <c r="AG1003" s="3" t="s">
        <v>45</v>
      </c>
      <c r="AH1003" s="3" t="s">
        <v>57</v>
      </c>
      <c r="AI1003" s="5" t="s">
        <v>9195</v>
      </c>
      <c r="AJ1003" s="5" t="s">
        <v>9196</v>
      </c>
      <c r="AK1003" s="5" t="s">
        <v>9197</v>
      </c>
      <c r="AL1003" s="3" t="s">
        <v>45</v>
      </c>
      <c r="AM1003" s="3" t="s">
        <v>45</v>
      </c>
      <c r="AN1003" s="3" t="s">
        <v>45</v>
      </c>
      <c r="AO1003" s="3" t="s">
        <v>45</v>
      </c>
      <c r="AP1003" s="3" t="s">
        <v>45</v>
      </c>
      <c r="AQ1003" s="4" t="s">
        <v>2787</v>
      </c>
      <c r="AR1003" s="4" t="s">
        <v>2787</v>
      </c>
    </row>
    <row r="1004">
      <c r="A1004" s="3" t="s">
        <v>9198</v>
      </c>
      <c r="B1004" s="3" t="s">
        <v>9199</v>
      </c>
      <c r="C1004" s="3" t="s">
        <v>9200</v>
      </c>
      <c r="D1004" s="3" t="s">
        <v>8268</v>
      </c>
      <c r="E1004" s="4" t="s">
        <v>9201</v>
      </c>
      <c r="F1004" s="3" t="s">
        <v>2125</v>
      </c>
      <c r="G1004" s="4" t="s">
        <v>9202</v>
      </c>
      <c r="H1004" s="4" t="s">
        <v>9203</v>
      </c>
      <c r="I1004" s="3" t="s">
        <v>49</v>
      </c>
      <c r="J1004" s="3" t="s">
        <v>50</v>
      </c>
      <c r="K1004" s="3" t="s">
        <v>45</v>
      </c>
      <c r="L1004" s="3" t="s">
        <v>45</v>
      </c>
      <c r="M1004" s="3" t="s">
        <v>45</v>
      </c>
      <c r="N1004" s="3" t="s">
        <v>45</v>
      </c>
      <c r="O1004" s="3" t="s">
        <v>74</v>
      </c>
      <c r="P1004" s="3" t="s">
        <v>45</v>
      </c>
      <c r="Q1004" s="3" t="s">
        <v>45</v>
      </c>
      <c r="R1004" s="3" t="s">
        <v>45</v>
      </c>
      <c r="S1004" s="3" t="s">
        <v>45</v>
      </c>
      <c r="T1004" s="3" t="s">
        <v>45</v>
      </c>
      <c r="U1004" s="3" t="s">
        <v>45</v>
      </c>
      <c r="V1004" s="3" t="s">
        <v>45</v>
      </c>
      <c r="W1004" s="4" t="s">
        <v>4277</v>
      </c>
      <c r="X1004" s="3" t="s">
        <v>45</v>
      </c>
      <c r="Y1004" s="3" t="s">
        <v>45</v>
      </c>
      <c r="Z1004" s="3" t="s">
        <v>74</v>
      </c>
      <c r="AA1004" s="3" t="s">
        <v>45</v>
      </c>
      <c r="AB1004" s="3" t="s">
        <v>45</v>
      </c>
      <c r="AC1004" s="3" t="s">
        <v>45</v>
      </c>
      <c r="AD1004" s="3" t="s">
        <v>45</v>
      </c>
      <c r="AE1004" s="3" t="s">
        <v>45</v>
      </c>
      <c r="AF1004" s="3" t="s">
        <v>45</v>
      </c>
      <c r="AG1004" s="3" t="s">
        <v>9204</v>
      </c>
      <c r="AH1004" s="3" t="s">
        <v>57</v>
      </c>
      <c r="AI1004" s="5" t="s">
        <v>9205</v>
      </c>
      <c r="AJ1004" s="3" t="s">
        <v>45</v>
      </c>
      <c r="AK1004" s="3" t="s">
        <v>45</v>
      </c>
      <c r="AL1004" s="3" t="s">
        <v>45</v>
      </c>
      <c r="AM1004" s="3" t="s">
        <v>45</v>
      </c>
      <c r="AN1004" s="3" t="s">
        <v>45</v>
      </c>
      <c r="AO1004" s="3" t="s">
        <v>45</v>
      </c>
      <c r="AP1004" s="3" t="s">
        <v>45</v>
      </c>
      <c r="AQ1004" s="4" t="s">
        <v>3847</v>
      </c>
      <c r="AR1004" s="4" t="s">
        <v>3847</v>
      </c>
    </row>
    <row r="1005">
      <c r="A1005" s="3" t="s">
        <v>9206</v>
      </c>
      <c r="B1005" s="3" t="s">
        <v>9207</v>
      </c>
      <c r="C1005" s="3" t="s">
        <v>9208</v>
      </c>
      <c r="D1005" s="3" t="s">
        <v>8268</v>
      </c>
      <c r="E1005" s="4" t="s">
        <v>9209</v>
      </c>
      <c r="F1005" s="3" t="s">
        <v>1709</v>
      </c>
      <c r="G1005" s="4" t="s">
        <v>9210</v>
      </c>
      <c r="H1005" s="4" t="s">
        <v>9211</v>
      </c>
      <c r="I1005" s="3" t="s">
        <v>218</v>
      </c>
      <c r="J1005" s="3" t="s">
        <v>50</v>
      </c>
      <c r="K1005" s="3" t="s">
        <v>45</v>
      </c>
      <c r="L1005" s="3" t="s">
        <v>45</v>
      </c>
      <c r="M1005" s="3" t="s">
        <v>45</v>
      </c>
      <c r="N1005" s="4" t="s">
        <v>1072</v>
      </c>
      <c r="O1005" s="3" t="s">
        <v>722</v>
      </c>
      <c r="P1005" s="3" t="s">
        <v>45</v>
      </c>
      <c r="Q1005" s="3" t="s">
        <v>45</v>
      </c>
      <c r="R1005" s="3" t="s">
        <v>45</v>
      </c>
      <c r="S1005" s="3" t="s">
        <v>45</v>
      </c>
      <c r="T1005" s="3" t="s">
        <v>45</v>
      </c>
      <c r="U1005" s="3" t="s">
        <v>45</v>
      </c>
      <c r="V1005" s="3" t="s">
        <v>45</v>
      </c>
      <c r="W1005" s="3" t="s">
        <v>45</v>
      </c>
      <c r="X1005" s="3" t="s">
        <v>45</v>
      </c>
      <c r="Y1005" s="3" t="s">
        <v>45</v>
      </c>
      <c r="Z1005" s="3" t="s">
        <v>74</v>
      </c>
      <c r="AA1005" s="3" t="s">
        <v>45</v>
      </c>
      <c r="AB1005" s="3" t="s">
        <v>45</v>
      </c>
      <c r="AC1005" s="3" t="s">
        <v>45</v>
      </c>
      <c r="AD1005" s="3" t="s">
        <v>45</v>
      </c>
      <c r="AE1005" s="3" t="s">
        <v>45</v>
      </c>
      <c r="AF1005" s="3" t="s">
        <v>45</v>
      </c>
      <c r="AG1005" s="3" t="s">
        <v>45</v>
      </c>
      <c r="AH1005" s="3" t="s">
        <v>57</v>
      </c>
      <c r="AI1005" s="5" t="s">
        <v>9212</v>
      </c>
      <c r="AJ1005" s="5" t="s">
        <v>3873</v>
      </c>
      <c r="AK1005" s="3" t="s">
        <v>45</v>
      </c>
      <c r="AL1005" s="3" t="s">
        <v>45</v>
      </c>
      <c r="AM1005" s="3" t="s">
        <v>45</v>
      </c>
      <c r="AN1005" s="3" t="s">
        <v>45</v>
      </c>
      <c r="AO1005" s="3" t="s">
        <v>45</v>
      </c>
      <c r="AP1005" s="3" t="s">
        <v>45</v>
      </c>
      <c r="AQ1005" s="4" t="s">
        <v>3655</v>
      </c>
      <c r="AR1005" s="4" t="s">
        <v>3655</v>
      </c>
    </row>
    <row r="1006">
      <c r="A1006" s="3" t="s">
        <v>1913</v>
      </c>
      <c r="B1006" s="3" t="s">
        <v>9213</v>
      </c>
      <c r="C1006" s="3" t="s">
        <v>8681</v>
      </c>
      <c r="D1006" s="3" t="s">
        <v>8268</v>
      </c>
      <c r="E1006" s="4" t="s">
        <v>9214</v>
      </c>
      <c r="F1006" s="3" t="s">
        <v>8409</v>
      </c>
      <c r="G1006" s="4" t="s">
        <v>9215</v>
      </c>
      <c r="H1006" s="4" t="s">
        <v>9216</v>
      </c>
      <c r="I1006" s="3" t="s">
        <v>49</v>
      </c>
      <c r="J1006" s="3" t="s">
        <v>126</v>
      </c>
      <c r="K1006" s="3" t="s">
        <v>100</v>
      </c>
      <c r="L1006" s="3" t="s">
        <v>1913</v>
      </c>
      <c r="M1006" s="3" t="s">
        <v>45</v>
      </c>
      <c r="N1006" s="4" t="s">
        <v>156</v>
      </c>
      <c r="O1006" s="3" t="s">
        <v>70</v>
      </c>
      <c r="P1006" s="3" t="s">
        <v>45</v>
      </c>
      <c r="Q1006" s="3" t="s">
        <v>55</v>
      </c>
      <c r="R1006" s="3" t="s">
        <v>45</v>
      </c>
      <c r="S1006" s="3" t="s">
        <v>9217</v>
      </c>
      <c r="T1006" s="3" t="s">
        <v>45</v>
      </c>
      <c r="U1006" s="3" t="s">
        <v>45</v>
      </c>
      <c r="V1006" s="3" t="s">
        <v>45</v>
      </c>
      <c r="W1006" s="4" t="s">
        <v>419</v>
      </c>
      <c r="X1006" s="3" t="s">
        <v>45</v>
      </c>
      <c r="Y1006" s="3" t="s">
        <v>45</v>
      </c>
      <c r="Z1006" s="3" t="s">
        <v>74</v>
      </c>
      <c r="AA1006" s="3" t="s">
        <v>45</v>
      </c>
      <c r="AB1006" s="3" t="s">
        <v>45</v>
      </c>
      <c r="AC1006" s="3" t="s">
        <v>45</v>
      </c>
      <c r="AD1006" s="3" t="s">
        <v>45</v>
      </c>
      <c r="AE1006" s="3" t="s">
        <v>45</v>
      </c>
      <c r="AF1006" s="3" t="s">
        <v>45</v>
      </c>
      <c r="AG1006" s="3" t="s">
        <v>9218</v>
      </c>
      <c r="AH1006" s="3" t="s">
        <v>57</v>
      </c>
      <c r="AI1006" s="5" t="s">
        <v>9219</v>
      </c>
      <c r="AJ1006" s="3" t="s">
        <v>45</v>
      </c>
      <c r="AK1006" s="3" t="s">
        <v>45</v>
      </c>
      <c r="AL1006" s="3" t="s">
        <v>45</v>
      </c>
      <c r="AM1006" s="3" t="s">
        <v>45</v>
      </c>
      <c r="AN1006" s="3" t="s">
        <v>45</v>
      </c>
      <c r="AO1006" s="3" t="s">
        <v>45</v>
      </c>
      <c r="AP1006" s="3" t="s">
        <v>45</v>
      </c>
      <c r="AQ1006" s="4" t="s">
        <v>1589</v>
      </c>
      <c r="AR1006" s="4" t="s">
        <v>1589</v>
      </c>
    </row>
    <row r="1007">
      <c r="A1007" s="3" t="s">
        <v>9220</v>
      </c>
      <c r="B1007" s="3" t="s">
        <v>45</v>
      </c>
      <c r="C1007" s="3" t="s">
        <v>9221</v>
      </c>
      <c r="D1007" s="3" t="s">
        <v>8268</v>
      </c>
      <c r="E1007" s="3" t="s">
        <v>45</v>
      </c>
      <c r="F1007" s="3" t="s">
        <v>8681</v>
      </c>
      <c r="G1007" s="4" t="s">
        <v>9222</v>
      </c>
      <c r="H1007" s="4" t="s">
        <v>9223</v>
      </c>
      <c r="I1007" s="3" t="s">
        <v>49</v>
      </c>
      <c r="J1007" s="3" t="s">
        <v>50</v>
      </c>
      <c r="K1007" s="3" t="s">
        <v>45</v>
      </c>
      <c r="L1007" s="3" t="s">
        <v>45</v>
      </c>
      <c r="M1007" s="3" t="s">
        <v>45</v>
      </c>
      <c r="N1007" s="4" t="s">
        <v>7465</v>
      </c>
      <c r="O1007" s="3" t="s">
        <v>70</v>
      </c>
      <c r="P1007" s="3" t="s">
        <v>45</v>
      </c>
      <c r="Q1007" s="3" t="s">
        <v>45</v>
      </c>
      <c r="R1007" s="3" t="s">
        <v>45</v>
      </c>
      <c r="S1007" s="3" t="s">
        <v>45</v>
      </c>
      <c r="T1007" s="3" t="s">
        <v>45</v>
      </c>
      <c r="U1007" s="3" t="s">
        <v>45</v>
      </c>
      <c r="V1007" s="3" t="s">
        <v>45</v>
      </c>
      <c r="W1007" s="4" t="s">
        <v>9224</v>
      </c>
      <c r="X1007" s="3" t="s">
        <v>45</v>
      </c>
      <c r="Y1007" s="3" t="s">
        <v>45</v>
      </c>
      <c r="Z1007" s="3" t="s">
        <v>74</v>
      </c>
      <c r="AA1007" s="3" t="s">
        <v>45</v>
      </c>
      <c r="AB1007" s="3" t="s">
        <v>45</v>
      </c>
      <c r="AC1007" s="3" t="s">
        <v>45</v>
      </c>
      <c r="AD1007" s="3" t="s">
        <v>45</v>
      </c>
      <c r="AE1007" s="3" t="s">
        <v>45</v>
      </c>
      <c r="AF1007" s="3" t="s">
        <v>45</v>
      </c>
      <c r="AG1007" s="3" t="s">
        <v>9225</v>
      </c>
      <c r="AH1007" s="3" t="s">
        <v>57</v>
      </c>
      <c r="AI1007" s="5" t="s">
        <v>9226</v>
      </c>
      <c r="AJ1007" s="5" t="s">
        <v>9227</v>
      </c>
      <c r="AK1007" s="5" t="s">
        <v>9228</v>
      </c>
      <c r="AL1007" s="3" t="s">
        <v>45</v>
      </c>
      <c r="AM1007" s="3" t="s">
        <v>45</v>
      </c>
      <c r="AN1007" s="3" t="s">
        <v>45</v>
      </c>
      <c r="AO1007" s="3" t="s">
        <v>45</v>
      </c>
      <c r="AP1007" s="3" t="s">
        <v>45</v>
      </c>
      <c r="AQ1007" s="4" t="s">
        <v>168</v>
      </c>
      <c r="AR1007" s="4" t="s">
        <v>162</v>
      </c>
    </row>
    <row r="1008">
      <c r="A1008" s="3" t="s">
        <v>9229</v>
      </c>
      <c r="B1008" s="3" t="s">
        <v>9230</v>
      </c>
      <c r="C1008" s="3" t="s">
        <v>9231</v>
      </c>
      <c r="D1008" s="3" t="s">
        <v>8268</v>
      </c>
      <c r="E1008" s="4" t="s">
        <v>9232</v>
      </c>
      <c r="F1008" s="3" t="s">
        <v>8373</v>
      </c>
      <c r="G1008" s="4" t="s">
        <v>9233</v>
      </c>
      <c r="H1008" s="4" t="s">
        <v>9234</v>
      </c>
      <c r="I1008" s="3" t="s">
        <v>218</v>
      </c>
      <c r="J1008" s="3" t="s">
        <v>126</v>
      </c>
      <c r="K1008" s="3" t="s">
        <v>45</v>
      </c>
      <c r="L1008" s="3" t="s">
        <v>45</v>
      </c>
      <c r="M1008" s="3" t="s">
        <v>45</v>
      </c>
      <c r="N1008" s="3" t="s">
        <v>45</v>
      </c>
      <c r="O1008" s="3" t="s">
        <v>74</v>
      </c>
      <c r="P1008" s="3" t="s">
        <v>45</v>
      </c>
      <c r="Q1008" s="3" t="s">
        <v>45</v>
      </c>
      <c r="R1008" s="3" t="s">
        <v>45</v>
      </c>
      <c r="S1008" s="3" t="s">
        <v>45</v>
      </c>
      <c r="T1008" s="3" t="s">
        <v>45</v>
      </c>
      <c r="U1008" s="3" t="s">
        <v>45</v>
      </c>
      <c r="V1008" s="3" t="s">
        <v>45</v>
      </c>
      <c r="W1008" s="3" t="s">
        <v>45</v>
      </c>
      <c r="X1008" s="3" t="s">
        <v>9235</v>
      </c>
      <c r="Y1008" s="3" t="s">
        <v>45</v>
      </c>
      <c r="Z1008" s="3" t="s">
        <v>74</v>
      </c>
      <c r="AA1008" s="3" t="s">
        <v>45</v>
      </c>
      <c r="AB1008" s="3" t="s">
        <v>45</v>
      </c>
      <c r="AC1008" s="3" t="s">
        <v>45</v>
      </c>
      <c r="AD1008" s="3" t="s">
        <v>45</v>
      </c>
      <c r="AE1008" s="3" t="s">
        <v>45</v>
      </c>
      <c r="AF1008" s="3" t="s">
        <v>45</v>
      </c>
      <c r="AG1008" s="3" t="s">
        <v>45</v>
      </c>
      <c r="AH1008" s="3" t="s">
        <v>57</v>
      </c>
      <c r="AI1008" s="5" t="s">
        <v>9236</v>
      </c>
      <c r="AJ1008" s="5" t="s">
        <v>9237</v>
      </c>
      <c r="AK1008" s="3" t="s">
        <v>45</v>
      </c>
      <c r="AL1008" s="3" t="s">
        <v>45</v>
      </c>
      <c r="AM1008" s="3" t="s">
        <v>45</v>
      </c>
      <c r="AN1008" s="3" t="s">
        <v>45</v>
      </c>
      <c r="AO1008" s="3" t="s">
        <v>45</v>
      </c>
      <c r="AP1008" s="3" t="s">
        <v>45</v>
      </c>
      <c r="AQ1008" s="4" t="s">
        <v>8884</v>
      </c>
      <c r="AR1008" s="4" t="s">
        <v>8884</v>
      </c>
    </row>
    <row r="1009">
      <c r="A1009" s="3" t="s">
        <v>9238</v>
      </c>
      <c r="B1009" s="3" t="s">
        <v>9239</v>
      </c>
      <c r="C1009" s="3" t="s">
        <v>9240</v>
      </c>
      <c r="D1009" s="3" t="s">
        <v>8268</v>
      </c>
      <c r="E1009" s="4" t="s">
        <v>9241</v>
      </c>
      <c r="F1009" s="3" t="s">
        <v>9242</v>
      </c>
      <c r="G1009" s="4" t="s">
        <v>9243</v>
      </c>
      <c r="H1009" s="4" t="s">
        <v>9244</v>
      </c>
      <c r="I1009" s="3" t="s">
        <v>49</v>
      </c>
      <c r="J1009" s="3" t="s">
        <v>126</v>
      </c>
      <c r="K1009" s="3" t="s">
        <v>45</v>
      </c>
      <c r="L1009" s="3" t="s">
        <v>3208</v>
      </c>
      <c r="M1009" s="3" t="s">
        <v>45</v>
      </c>
      <c r="N1009" s="3" t="s">
        <v>45</v>
      </c>
      <c r="O1009" s="3" t="s">
        <v>74</v>
      </c>
      <c r="P1009" s="3" t="s">
        <v>45</v>
      </c>
      <c r="Q1009" s="3" t="s">
        <v>45</v>
      </c>
      <c r="R1009" s="3" t="s">
        <v>45</v>
      </c>
      <c r="S1009" s="4" t="s">
        <v>275</v>
      </c>
      <c r="T1009" s="3" t="s">
        <v>45</v>
      </c>
      <c r="U1009" s="3" t="s">
        <v>45</v>
      </c>
      <c r="V1009" s="4" t="s">
        <v>9245</v>
      </c>
      <c r="W1009" s="4" t="s">
        <v>9246</v>
      </c>
      <c r="X1009" s="3" t="s">
        <v>45</v>
      </c>
      <c r="Y1009" s="3" t="s">
        <v>45</v>
      </c>
      <c r="Z1009" s="3" t="s">
        <v>74</v>
      </c>
      <c r="AA1009" s="3" t="s">
        <v>45</v>
      </c>
      <c r="AB1009" s="3" t="s">
        <v>45</v>
      </c>
      <c r="AC1009" s="3" t="s">
        <v>45</v>
      </c>
      <c r="AD1009" s="3" t="s">
        <v>45</v>
      </c>
      <c r="AE1009" s="3" t="s">
        <v>45</v>
      </c>
      <c r="AF1009" s="3" t="s">
        <v>45</v>
      </c>
      <c r="AG1009" s="3" t="s">
        <v>45</v>
      </c>
      <c r="AH1009" s="3" t="s">
        <v>57</v>
      </c>
      <c r="AI1009" s="5" t="s">
        <v>9247</v>
      </c>
      <c r="AJ1009" s="3" t="s">
        <v>45</v>
      </c>
      <c r="AK1009" s="3" t="s">
        <v>45</v>
      </c>
      <c r="AL1009" s="3" t="s">
        <v>45</v>
      </c>
      <c r="AM1009" s="3" t="s">
        <v>45</v>
      </c>
      <c r="AN1009" s="3" t="s">
        <v>45</v>
      </c>
      <c r="AO1009" s="3" t="s">
        <v>45</v>
      </c>
      <c r="AP1009" s="3" t="s">
        <v>45</v>
      </c>
      <c r="AQ1009" s="4" t="s">
        <v>7078</v>
      </c>
      <c r="AR1009" s="4" t="s">
        <v>7078</v>
      </c>
    </row>
    <row r="1010">
      <c r="A1010" s="3" t="s">
        <v>9248</v>
      </c>
      <c r="B1010" s="3" t="s">
        <v>9249</v>
      </c>
      <c r="C1010" s="3" t="s">
        <v>9250</v>
      </c>
      <c r="D1010" s="3" t="s">
        <v>8268</v>
      </c>
      <c r="E1010" s="4" t="s">
        <v>9251</v>
      </c>
      <c r="F1010" s="3" t="s">
        <v>8330</v>
      </c>
      <c r="G1010" s="4" t="s">
        <v>9252</v>
      </c>
      <c r="H1010" s="4" t="s">
        <v>9253</v>
      </c>
      <c r="I1010" s="3" t="s">
        <v>49</v>
      </c>
      <c r="J1010" s="3" t="s">
        <v>126</v>
      </c>
      <c r="K1010" s="3" t="s">
        <v>45</v>
      </c>
      <c r="L1010" s="3" t="s">
        <v>45</v>
      </c>
      <c r="M1010" s="3" t="s">
        <v>45</v>
      </c>
      <c r="N1010" s="3" t="s">
        <v>9254</v>
      </c>
      <c r="O1010" s="3" t="s">
        <v>390</v>
      </c>
      <c r="P1010" s="3" t="s">
        <v>45</v>
      </c>
      <c r="Q1010" s="3" t="s">
        <v>45</v>
      </c>
      <c r="R1010" s="3" t="s">
        <v>45</v>
      </c>
      <c r="S1010" s="3" t="s">
        <v>45</v>
      </c>
      <c r="T1010" s="3" t="s">
        <v>45</v>
      </c>
      <c r="U1010" s="3" t="s">
        <v>45</v>
      </c>
      <c r="V1010" s="4" t="s">
        <v>9255</v>
      </c>
      <c r="W1010" s="4" t="s">
        <v>6561</v>
      </c>
      <c r="X1010" s="3" t="s">
        <v>45</v>
      </c>
      <c r="Y1010" s="3" t="s">
        <v>45</v>
      </c>
      <c r="Z1010" s="3" t="s">
        <v>74</v>
      </c>
      <c r="AA1010" s="3" t="s">
        <v>45</v>
      </c>
      <c r="AB1010" s="3" t="s">
        <v>45</v>
      </c>
      <c r="AC1010" s="3" t="s">
        <v>45</v>
      </c>
      <c r="AD1010" s="3" t="s">
        <v>45</v>
      </c>
      <c r="AE1010" s="3" t="s">
        <v>45</v>
      </c>
      <c r="AF1010" s="3" t="s">
        <v>45</v>
      </c>
      <c r="AG1010" s="3" t="s">
        <v>45</v>
      </c>
      <c r="AH1010" s="3" t="s">
        <v>57</v>
      </c>
      <c r="AI1010" s="5" t="s">
        <v>9256</v>
      </c>
      <c r="AJ1010" s="3" t="s">
        <v>45</v>
      </c>
      <c r="AK1010" s="3" t="s">
        <v>45</v>
      </c>
      <c r="AL1010" s="3" t="s">
        <v>45</v>
      </c>
      <c r="AM1010" s="3" t="s">
        <v>45</v>
      </c>
      <c r="AN1010" s="3" t="s">
        <v>45</v>
      </c>
      <c r="AO1010" s="3" t="s">
        <v>45</v>
      </c>
      <c r="AP1010" s="3" t="s">
        <v>45</v>
      </c>
      <c r="AQ1010" s="4" t="s">
        <v>661</v>
      </c>
      <c r="AR1010" s="4" t="s">
        <v>661</v>
      </c>
    </row>
    <row r="1011">
      <c r="A1011" s="3" t="s">
        <v>9257</v>
      </c>
      <c r="B1011" s="3" t="s">
        <v>9258</v>
      </c>
      <c r="C1011" s="3" t="s">
        <v>9250</v>
      </c>
      <c r="D1011" s="3" t="s">
        <v>8268</v>
      </c>
      <c r="E1011" s="4" t="s">
        <v>9259</v>
      </c>
      <c r="F1011" s="3" t="s">
        <v>8330</v>
      </c>
      <c r="G1011" s="4" t="s">
        <v>9260</v>
      </c>
      <c r="H1011" s="4" t="s">
        <v>9261</v>
      </c>
      <c r="I1011" s="3" t="s">
        <v>85</v>
      </c>
      <c r="J1011" s="3" t="s">
        <v>126</v>
      </c>
      <c r="K1011" s="3" t="s">
        <v>45</v>
      </c>
      <c r="L1011" s="3" t="s">
        <v>45</v>
      </c>
      <c r="M1011" s="3" t="s">
        <v>45</v>
      </c>
      <c r="N1011" s="4" t="s">
        <v>2608</v>
      </c>
      <c r="O1011" s="3" t="s">
        <v>390</v>
      </c>
      <c r="P1011" s="3" t="s">
        <v>45</v>
      </c>
      <c r="Q1011" s="3" t="s">
        <v>45</v>
      </c>
      <c r="R1011" s="3" t="s">
        <v>45</v>
      </c>
      <c r="S1011" s="3" t="s">
        <v>45</v>
      </c>
      <c r="T1011" s="3" t="s">
        <v>45</v>
      </c>
      <c r="U1011" s="3" t="s">
        <v>45</v>
      </c>
      <c r="V1011" s="4" t="s">
        <v>9262</v>
      </c>
      <c r="W1011" s="4" t="s">
        <v>3085</v>
      </c>
      <c r="X1011" s="3" t="s">
        <v>45</v>
      </c>
      <c r="Y1011" s="3" t="s">
        <v>45</v>
      </c>
      <c r="Z1011" s="3" t="s">
        <v>74</v>
      </c>
      <c r="AA1011" s="3" t="s">
        <v>45</v>
      </c>
      <c r="AB1011" s="3" t="s">
        <v>45</v>
      </c>
      <c r="AC1011" s="3" t="s">
        <v>45</v>
      </c>
      <c r="AD1011" s="3" t="s">
        <v>45</v>
      </c>
      <c r="AE1011" s="3" t="s">
        <v>45</v>
      </c>
      <c r="AF1011" s="3" t="s">
        <v>45</v>
      </c>
      <c r="AG1011" s="3" t="s">
        <v>45</v>
      </c>
      <c r="AH1011" s="3" t="s">
        <v>57</v>
      </c>
      <c r="AI1011" s="5" t="s">
        <v>8486</v>
      </c>
      <c r="AJ1011" s="3" t="s">
        <v>45</v>
      </c>
      <c r="AK1011" s="3" t="s">
        <v>45</v>
      </c>
      <c r="AL1011" s="3" t="s">
        <v>45</v>
      </c>
      <c r="AM1011" s="3" t="s">
        <v>45</v>
      </c>
      <c r="AN1011" s="3" t="s">
        <v>45</v>
      </c>
      <c r="AO1011" s="3" t="s">
        <v>45</v>
      </c>
      <c r="AP1011" s="3" t="s">
        <v>45</v>
      </c>
      <c r="AQ1011" s="4" t="s">
        <v>8335</v>
      </c>
      <c r="AR1011" s="4" t="s">
        <v>8335</v>
      </c>
    </row>
    <row r="1012">
      <c r="A1012" s="3" t="s">
        <v>9263</v>
      </c>
      <c r="B1012" s="3" t="s">
        <v>9264</v>
      </c>
      <c r="C1012" s="3" t="s">
        <v>9250</v>
      </c>
      <c r="D1012" s="3" t="s">
        <v>8268</v>
      </c>
      <c r="E1012" s="4" t="s">
        <v>9265</v>
      </c>
      <c r="F1012" s="3" t="s">
        <v>8330</v>
      </c>
      <c r="G1012" s="4" t="s">
        <v>9266</v>
      </c>
      <c r="H1012" s="4" t="s">
        <v>9267</v>
      </c>
      <c r="I1012" s="3" t="s">
        <v>85</v>
      </c>
      <c r="J1012" s="3" t="s">
        <v>126</v>
      </c>
      <c r="K1012" s="3" t="s">
        <v>45</v>
      </c>
      <c r="L1012" s="3" t="s">
        <v>45</v>
      </c>
      <c r="M1012" s="3" t="s">
        <v>45</v>
      </c>
      <c r="N1012" s="3" t="s">
        <v>45</v>
      </c>
      <c r="O1012" s="3" t="s">
        <v>74</v>
      </c>
      <c r="P1012" s="3" t="s">
        <v>45</v>
      </c>
      <c r="Q1012" s="3" t="s">
        <v>45</v>
      </c>
      <c r="R1012" s="3" t="s">
        <v>45</v>
      </c>
      <c r="S1012" s="3" t="s">
        <v>45</v>
      </c>
      <c r="T1012" s="3" t="s">
        <v>45</v>
      </c>
      <c r="U1012" s="3" t="s">
        <v>45</v>
      </c>
      <c r="V1012" s="3" t="s">
        <v>45</v>
      </c>
      <c r="W1012" s="3" t="s">
        <v>45</v>
      </c>
      <c r="X1012" s="3" t="s">
        <v>45</v>
      </c>
      <c r="Y1012" s="3" t="s">
        <v>45</v>
      </c>
      <c r="Z1012" s="3" t="s">
        <v>74</v>
      </c>
      <c r="AA1012" s="3" t="s">
        <v>45</v>
      </c>
      <c r="AB1012" s="3" t="s">
        <v>45</v>
      </c>
      <c r="AC1012" s="3" t="s">
        <v>45</v>
      </c>
      <c r="AD1012" s="3" t="s">
        <v>45</v>
      </c>
      <c r="AE1012" s="3" t="s">
        <v>45</v>
      </c>
      <c r="AF1012" s="3" t="s">
        <v>45</v>
      </c>
      <c r="AG1012" s="3" t="s">
        <v>45</v>
      </c>
      <c r="AH1012" s="3" t="s">
        <v>57</v>
      </c>
      <c r="AI1012" s="3" t="s">
        <v>45</v>
      </c>
      <c r="AJ1012" s="3" t="s">
        <v>45</v>
      </c>
      <c r="AK1012" s="3" t="s">
        <v>45</v>
      </c>
      <c r="AL1012" s="3" t="s">
        <v>45</v>
      </c>
      <c r="AM1012" s="3" t="s">
        <v>45</v>
      </c>
      <c r="AN1012" s="3" t="s">
        <v>45</v>
      </c>
      <c r="AO1012" s="3" t="s">
        <v>45</v>
      </c>
      <c r="AP1012" s="3" t="s">
        <v>45</v>
      </c>
      <c r="AQ1012" s="4" t="s">
        <v>8335</v>
      </c>
      <c r="AR1012" s="4" t="s">
        <v>8335</v>
      </c>
    </row>
    <row r="1013">
      <c r="A1013" s="3" t="s">
        <v>9268</v>
      </c>
      <c r="B1013" s="3" t="s">
        <v>9269</v>
      </c>
      <c r="C1013" s="3" t="s">
        <v>9250</v>
      </c>
      <c r="D1013" s="3" t="s">
        <v>8268</v>
      </c>
      <c r="E1013" s="4" t="s">
        <v>9251</v>
      </c>
      <c r="F1013" s="3" t="s">
        <v>8330</v>
      </c>
      <c r="G1013" s="4" t="s">
        <v>9270</v>
      </c>
      <c r="H1013" s="4" t="s">
        <v>9271</v>
      </c>
      <c r="I1013" s="3" t="s">
        <v>85</v>
      </c>
      <c r="J1013" s="3" t="s">
        <v>126</v>
      </c>
      <c r="K1013" s="3" t="s">
        <v>45</v>
      </c>
      <c r="L1013" s="3" t="s">
        <v>45</v>
      </c>
      <c r="M1013" s="3" t="s">
        <v>45</v>
      </c>
      <c r="N1013" s="3" t="s">
        <v>45</v>
      </c>
      <c r="O1013" s="3" t="s">
        <v>74</v>
      </c>
      <c r="P1013" s="3" t="s">
        <v>45</v>
      </c>
      <c r="Q1013" s="3" t="s">
        <v>45</v>
      </c>
      <c r="R1013" s="3" t="s">
        <v>45</v>
      </c>
      <c r="S1013" s="3" t="s">
        <v>45</v>
      </c>
      <c r="T1013" s="3" t="s">
        <v>45</v>
      </c>
      <c r="U1013" s="3" t="s">
        <v>45</v>
      </c>
      <c r="V1013" s="4" t="s">
        <v>9272</v>
      </c>
      <c r="W1013" s="3" t="s">
        <v>45</v>
      </c>
      <c r="X1013" s="3" t="s">
        <v>9273</v>
      </c>
      <c r="Y1013" s="3" t="s">
        <v>45</v>
      </c>
      <c r="Z1013" s="3" t="s">
        <v>74</v>
      </c>
      <c r="AA1013" s="3" t="s">
        <v>45</v>
      </c>
      <c r="AB1013" s="3" t="s">
        <v>45</v>
      </c>
      <c r="AC1013" s="3" t="s">
        <v>45</v>
      </c>
      <c r="AD1013" s="3" t="s">
        <v>45</v>
      </c>
      <c r="AE1013" s="3" t="s">
        <v>45</v>
      </c>
      <c r="AF1013" s="3" t="s">
        <v>45</v>
      </c>
      <c r="AG1013" s="3" t="s">
        <v>45</v>
      </c>
      <c r="AH1013" s="3" t="s">
        <v>57</v>
      </c>
      <c r="AI1013" s="5" t="s">
        <v>9274</v>
      </c>
      <c r="AJ1013" s="5" t="s">
        <v>9275</v>
      </c>
      <c r="AK1013" s="5" t="s">
        <v>9276</v>
      </c>
      <c r="AL1013" s="3" t="s">
        <v>45</v>
      </c>
      <c r="AM1013" s="3" t="s">
        <v>45</v>
      </c>
      <c r="AN1013" s="3" t="s">
        <v>45</v>
      </c>
      <c r="AO1013" s="3" t="s">
        <v>45</v>
      </c>
      <c r="AP1013" s="3" t="s">
        <v>45</v>
      </c>
      <c r="AQ1013" s="4" t="s">
        <v>2787</v>
      </c>
      <c r="AR1013" s="4" t="s">
        <v>2787</v>
      </c>
    </row>
    <row r="1014">
      <c r="A1014" s="3" t="s">
        <v>9277</v>
      </c>
      <c r="B1014" s="3" t="s">
        <v>9278</v>
      </c>
      <c r="C1014" s="3" t="s">
        <v>9250</v>
      </c>
      <c r="D1014" s="3" t="s">
        <v>8268</v>
      </c>
      <c r="E1014" s="4" t="s">
        <v>9265</v>
      </c>
      <c r="F1014" s="3" t="s">
        <v>8330</v>
      </c>
      <c r="G1014" s="4" t="s">
        <v>9279</v>
      </c>
      <c r="H1014" s="4" t="s">
        <v>9280</v>
      </c>
      <c r="I1014" s="3" t="s">
        <v>85</v>
      </c>
      <c r="J1014" s="3" t="s">
        <v>126</v>
      </c>
      <c r="K1014" s="3" t="s">
        <v>45</v>
      </c>
      <c r="L1014" s="3" t="s">
        <v>45</v>
      </c>
      <c r="M1014" s="3" t="s">
        <v>45</v>
      </c>
      <c r="N1014" s="3" t="s">
        <v>45</v>
      </c>
      <c r="O1014" s="3" t="s">
        <v>74</v>
      </c>
      <c r="P1014" s="3" t="s">
        <v>45</v>
      </c>
      <c r="Q1014" s="3" t="s">
        <v>45</v>
      </c>
      <c r="R1014" s="3" t="s">
        <v>45</v>
      </c>
      <c r="S1014" s="3" t="s">
        <v>45</v>
      </c>
      <c r="T1014" s="3" t="s">
        <v>45</v>
      </c>
      <c r="U1014" s="3" t="s">
        <v>45</v>
      </c>
      <c r="V1014" s="4" t="s">
        <v>9281</v>
      </c>
      <c r="W1014" s="3" t="s">
        <v>45</v>
      </c>
      <c r="X1014" s="3" t="s">
        <v>45</v>
      </c>
      <c r="Y1014" s="3" t="s">
        <v>45</v>
      </c>
      <c r="Z1014" s="3" t="s">
        <v>74</v>
      </c>
      <c r="AA1014" s="3" t="s">
        <v>45</v>
      </c>
      <c r="AB1014" s="3" t="s">
        <v>45</v>
      </c>
      <c r="AC1014" s="3" t="s">
        <v>45</v>
      </c>
      <c r="AD1014" s="3" t="s">
        <v>45</v>
      </c>
      <c r="AE1014" s="3" t="s">
        <v>45</v>
      </c>
      <c r="AF1014" s="3" t="s">
        <v>45</v>
      </c>
      <c r="AG1014" s="3" t="s">
        <v>45</v>
      </c>
      <c r="AH1014" s="3" t="s">
        <v>57</v>
      </c>
      <c r="AI1014" s="3" t="s">
        <v>45</v>
      </c>
      <c r="AJ1014" s="3" t="s">
        <v>45</v>
      </c>
      <c r="AK1014" s="3" t="s">
        <v>45</v>
      </c>
      <c r="AL1014" s="3" t="s">
        <v>45</v>
      </c>
      <c r="AM1014" s="3" t="s">
        <v>45</v>
      </c>
      <c r="AN1014" s="3" t="s">
        <v>45</v>
      </c>
      <c r="AO1014" s="3" t="s">
        <v>45</v>
      </c>
      <c r="AP1014" s="3" t="s">
        <v>45</v>
      </c>
      <c r="AQ1014" s="4" t="s">
        <v>8335</v>
      </c>
      <c r="AR1014" s="4" t="s">
        <v>8335</v>
      </c>
    </row>
    <row r="1015">
      <c r="A1015" s="3" t="s">
        <v>9282</v>
      </c>
      <c r="B1015" s="3" t="s">
        <v>9283</v>
      </c>
      <c r="C1015" s="3" t="s">
        <v>9250</v>
      </c>
      <c r="D1015" s="3" t="s">
        <v>8268</v>
      </c>
      <c r="E1015" s="4" t="s">
        <v>9284</v>
      </c>
      <c r="F1015" s="3" t="s">
        <v>8330</v>
      </c>
      <c r="G1015" s="4" t="s">
        <v>9285</v>
      </c>
      <c r="H1015" s="4" t="s">
        <v>9286</v>
      </c>
      <c r="I1015" s="3" t="s">
        <v>85</v>
      </c>
      <c r="J1015" s="3" t="s">
        <v>126</v>
      </c>
      <c r="K1015" s="3" t="s">
        <v>45</v>
      </c>
      <c r="L1015" s="3" t="s">
        <v>45</v>
      </c>
      <c r="M1015" s="3" t="s">
        <v>45</v>
      </c>
      <c r="N1015" s="4" t="s">
        <v>472</v>
      </c>
      <c r="O1015" s="3" t="s">
        <v>390</v>
      </c>
      <c r="P1015" s="3" t="s">
        <v>45</v>
      </c>
      <c r="Q1015" s="3" t="s">
        <v>45</v>
      </c>
      <c r="R1015" s="3" t="s">
        <v>45</v>
      </c>
      <c r="S1015" s="3" t="s">
        <v>45</v>
      </c>
      <c r="T1015" s="3" t="s">
        <v>45</v>
      </c>
      <c r="U1015" s="3" t="s">
        <v>45</v>
      </c>
      <c r="V1015" s="4" t="s">
        <v>9287</v>
      </c>
      <c r="W1015" s="3" t="s">
        <v>45</v>
      </c>
      <c r="X1015" s="3" t="s">
        <v>45</v>
      </c>
      <c r="Y1015" s="3" t="s">
        <v>45</v>
      </c>
      <c r="Z1015" s="3" t="s">
        <v>74</v>
      </c>
      <c r="AA1015" s="3" t="s">
        <v>45</v>
      </c>
      <c r="AB1015" s="3" t="s">
        <v>45</v>
      </c>
      <c r="AC1015" s="3" t="s">
        <v>45</v>
      </c>
      <c r="AD1015" s="3" t="s">
        <v>45</v>
      </c>
      <c r="AE1015" s="3" t="s">
        <v>45</v>
      </c>
      <c r="AF1015" s="3" t="s">
        <v>45</v>
      </c>
      <c r="AG1015" s="3" t="s">
        <v>45</v>
      </c>
      <c r="AH1015" s="3" t="s">
        <v>57</v>
      </c>
      <c r="AI1015" s="3" t="s">
        <v>45</v>
      </c>
      <c r="AJ1015" s="3" t="s">
        <v>45</v>
      </c>
      <c r="AK1015" s="3" t="s">
        <v>45</v>
      </c>
      <c r="AL1015" s="3" t="s">
        <v>45</v>
      </c>
      <c r="AM1015" s="3" t="s">
        <v>45</v>
      </c>
      <c r="AN1015" s="3" t="s">
        <v>45</v>
      </c>
      <c r="AO1015" s="3" t="s">
        <v>45</v>
      </c>
      <c r="AP1015" s="3" t="s">
        <v>45</v>
      </c>
      <c r="AQ1015" s="4" t="s">
        <v>8335</v>
      </c>
      <c r="AR1015" s="4" t="s">
        <v>8335</v>
      </c>
    </row>
    <row r="1016">
      <c r="A1016" s="3" t="s">
        <v>9288</v>
      </c>
      <c r="B1016" s="3" t="s">
        <v>9289</v>
      </c>
      <c r="C1016" s="3" t="s">
        <v>9250</v>
      </c>
      <c r="D1016" s="3" t="s">
        <v>8268</v>
      </c>
      <c r="E1016" s="4" t="s">
        <v>9259</v>
      </c>
      <c r="F1016" s="3" t="s">
        <v>8330</v>
      </c>
      <c r="G1016" s="4" t="s">
        <v>9290</v>
      </c>
      <c r="H1016" s="4" t="s">
        <v>9291</v>
      </c>
      <c r="I1016" s="3" t="s">
        <v>85</v>
      </c>
      <c r="J1016" s="3" t="s">
        <v>126</v>
      </c>
      <c r="K1016" s="3" t="s">
        <v>45</v>
      </c>
      <c r="L1016" s="3" t="s">
        <v>45</v>
      </c>
      <c r="M1016" s="3" t="s">
        <v>45</v>
      </c>
      <c r="N1016" s="4" t="s">
        <v>90</v>
      </c>
      <c r="O1016" s="3" t="s">
        <v>88</v>
      </c>
      <c r="P1016" s="3" t="s">
        <v>45</v>
      </c>
      <c r="Q1016" s="3" t="s">
        <v>45</v>
      </c>
      <c r="R1016" s="3" t="s">
        <v>45</v>
      </c>
      <c r="S1016" s="3" t="s">
        <v>45</v>
      </c>
      <c r="T1016" s="3" t="s">
        <v>45</v>
      </c>
      <c r="U1016" s="3" t="s">
        <v>45</v>
      </c>
      <c r="V1016" s="3" t="s">
        <v>45</v>
      </c>
      <c r="W1016" s="3" t="s">
        <v>45</v>
      </c>
      <c r="X1016" s="3" t="s">
        <v>45</v>
      </c>
      <c r="Y1016" s="3" t="s">
        <v>45</v>
      </c>
      <c r="Z1016" s="3" t="s">
        <v>74</v>
      </c>
      <c r="AA1016" s="3" t="s">
        <v>45</v>
      </c>
      <c r="AB1016" s="3" t="s">
        <v>45</v>
      </c>
      <c r="AC1016" s="3" t="s">
        <v>45</v>
      </c>
      <c r="AD1016" s="3" t="s">
        <v>45</v>
      </c>
      <c r="AE1016" s="3" t="s">
        <v>45</v>
      </c>
      <c r="AF1016" s="3" t="s">
        <v>45</v>
      </c>
      <c r="AG1016" s="3" t="s">
        <v>45</v>
      </c>
      <c r="AH1016" s="3" t="s">
        <v>57</v>
      </c>
      <c r="AI1016" s="3" t="s">
        <v>45</v>
      </c>
      <c r="AJ1016" s="3" t="s">
        <v>45</v>
      </c>
      <c r="AK1016" s="3" t="s">
        <v>45</v>
      </c>
      <c r="AL1016" s="3" t="s">
        <v>45</v>
      </c>
      <c r="AM1016" s="3" t="s">
        <v>45</v>
      </c>
      <c r="AN1016" s="3" t="s">
        <v>45</v>
      </c>
      <c r="AO1016" s="3" t="s">
        <v>45</v>
      </c>
      <c r="AP1016" s="3" t="s">
        <v>45</v>
      </c>
      <c r="AQ1016" s="4" t="s">
        <v>8335</v>
      </c>
      <c r="AR1016" s="4" t="s">
        <v>8335</v>
      </c>
    </row>
    <row r="1017">
      <c r="A1017" s="3" t="s">
        <v>9292</v>
      </c>
      <c r="B1017" s="3" t="s">
        <v>9293</v>
      </c>
      <c r="C1017" s="3" t="s">
        <v>9294</v>
      </c>
      <c r="D1017" s="3" t="s">
        <v>8268</v>
      </c>
      <c r="E1017" s="4" t="s">
        <v>9295</v>
      </c>
      <c r="F1017" s="3" t="s">
        <v>9296</v>
      </c>
      <c r="G1017" s="4" t="s">
        <v>9297</v>
      </c>
      <c r="H1017" s="4" t="s">
        <v>9298</v>
      </c>
      <c r="I1017" s="3" t="s">
        <v>85</v>
      </c>
      <c r="J1017" s="3" t="s">
        <v>50</v>
      </c>
      <c r="K1017" s="3" t="s">
        <v>45</v>
      </c>
      <c r="L1017" s="3" t="s">
        <v>45</v>
      </c>
      <c r="M1017" s="3" t="s">
        <v>45</v>
      </c>
      <c r="N1017" s="4" t="s">
        <v>156</v>
      </c>
      <c r="O1017" s="3" t="s">
        <v>88</v>
      </c>
      <c r="P1017" s="3" t="s">
        <v>45</v>
      </c>
      <c r="Q1017" s="3" t="s">
        <v>45</v>
      </c>
      <c r="R1017" s="3" t="s">
        <v>45</v>
      </c>
      <c r="S1017" s="3" t="s">
        <v>45</v>
      </c>
      <c r="T1017" s="3" t="s">
        <v>45</v>
      </c>
      <c r="U1017" s="3" t="s">
        <v>45</v>
      </c>
      <c r="V1017" s="3" t="s">
        <v>45</v>
      </c>
      <c r="W1017" s="3" t="s">
        <v>45</v>
      </c>
      <c r="X1017" s="3" t="s">
        <v>45</v>
      </c>
      <c r="Y1017" s="3" t="s">
        <v>45</v>
      </c>
      <c r="Z1017" s="3" t="s">
        <v>74</v>
      </c>
      <c r="AA1017" s="3" t="s">
        <v>45</v>
      </c>
      <c r="AB1017" s="3" t="s">
        <v>45</v>
      </c>
      <c r="AC1017" s="3" t="s">
        <v>45</v>
      </c>
      <c r="AD1017" s="3" t="s">
        <v>45</v>
      </c>
      <c r="AE1017" s="3" t="s">
        <v>45</v>
      </c>
      <c r="AF1017" s="3" t="s">
        <v>45</v>
      </c>
      <c r="AG1017" s="3" t="s">
        <v>9299</v>
      </c>
      <c r="AH1017" s="3" t="s">
        <v>57</v>
      </c>
      <c r="AI1017" s="5" t="s">
        <v>9300</v>
      </c>
      <c r="AJ1017" s="3" t="s">
        <v>45</v>
      </c>
      <c r="AK1017" s="3" t="s">
        <v>45</v>
      </c>
      <c r="AL1017" s="3" t="s">
        <v>45</v>
      </c>
      <c r="AM1017" s="3" t="s">
        <v>45</v>
      </c>
      <c r="AN1017" s="3" t="s">
        <v>45</v>
      </c>
      <c r="AO1017" s="3" t="s">
        <v>45</v>
      </c>
      <c r="AP1017" s="3" t="s">
        <v>45</v>
      </c>
      <c r="AQ1017" s="4" t="s">
        <v>8335</v>
      </c>
      <c r="AR1017" s="4" t="s">
        <v>8335</v>
      </c>
    </row>
    <row r="1018">
      <c r="A1018" s="3" t="s">
        <v>1913</v>
      </c>
      <c r="B1018" s="3" t="s">
        <v>9301</v>
      </c>
      <c r="C1018" s="3" t="s">
        <v>9302</v>
      </c>
      <c r="D1018" s="3" t="s">
        <v>8268</v>
      </c>
      <c r="E1018" s="4" t="s">
        <v>9303</v>
      </c>
      <c r="F1018" s="3" t="s">
        <v>9304</v>
      </c>
      <c r="G1018" s="4" t="s">
        <v>9305</v>
      </c>
      <c r="H1018" s="4" t="s">
        <v>9306</v>
      </c>
      <c r="I1018" s="3" t="s">
        <v>49</v>
      </c>
      <c r="J1018" s="3" t="s">
        <v>50</v>
      </c>
      <c r="K1018" s="3" t="s">
        <v>45</v>
      </c>
      <c r="L1018" s="3" t="s">
        <v>45</v>
      </c>
      <c r="M1018" s="3" t="s">
        <v>45</v>
      </c>
      <c r="N1018" s="4" t="s">
        <v>2566</v>
      </c>
      <c r="O1018" s="3" t="s">
        <v>88</v>
      </c>
      <c r="P1018" s="3" t="s">
        <v>45</v>
      </c>
      <c r="Q1018" s="3" t="s">
        <v>45</v>
      </c>
      <c r="R1018" s="3" t="s">
        <v>45</v>
      </c>
      <c r="S1018" s="3" t="s">
        <v>45</v>
      </c>
      <c r="T1018" s="3" t="s">
        <v>45</v>
      </c>
      <c r="U1018" s="3" t="s">
        <v>45</v>
      </c>
      <c r="V1018" s="3" t="s">
        <v>45</v>
      </c>
      <c r="W1018" s="4" t="s">
        <v>9307</v>
      </c>
      <c r="X1018" s="3" t="s">
        <v>45</v>
      </c>
      <c r="Y1018" s="4" t="s">
        <v>317</v>
      </c>
      <c r="Z1018" s="3" t="s">
        <v>74</v>
      </c>
      <c r="AA1018" s="3" t="s">
        <v>45</v>
      </c>
      <c r="AB1018" s="3" t="s">
        <v>45</v>
      </c>
      <c r="AC1018" s="3" t="s">
        <v>45</v>
      </c>
      <c r="AD1018" s="3" t="s">
        <v>45</v>
      </c>
      <c r="AE1018" s="3" t="s">
        <v>45</v>
      </c>
      <c r="AF1018" s="3" t="s">
        <v>45</v>
      </c>
      <c r="AG1018" s="3" t="s">
        <v>45</v>
      </c>
      <c r="AH1018" s="3" t="s">
        <v>57</v>
      </c>
      <c r="AI1018" s="5" t="s">
        <v>9308</v>
      </c>
      <c r="AJ1018" s="3" t="s">
        <v>45</v>
      </c>
      <c r="AK1018" s="3" t="s">
        <v>45</v>
      </c>
      <c r="AL1018" s="3" t="s">
        <v>45</v>
      </c>
      <c r="AM1018" s="3" t="s">
        <v>45</v>
      </c>
      <c r="AN1018" s="3" t="s">
        <v>45</v>
      </c>
      <c r="AO1018" s="3" t="s">
        <v>45</v>
      </c>
      <c r="AP1018" s="3" t="s">
        <v>45</v>
      </c>
      <c r="AQ1018" s="4" t="s">
        <v>2649</v>
      </c>
      <c r="AR1018" s="4" t="s">
        <v>2649</v>
      </c>
    </row>
    <row r="1019">
      <c r="A1019" s="3" t="s">
        <v>9309</v>
      </c>
      <c r="B1019" s="3" t="s">
        <v>9310</v>
      </c>
      <c r="C1019" s="3" t="s">
        <v>9311</v>
      </c>
      <c r="D1019" s="3" t="s">
        <v>8268</v>
      </c>
      <c r="E1019" s="4" t="s">
        <v>9312</v>
      </c>
      <c r="F1019" s="3" t="s">
        <v>8665</v>
      </c>
      <c r="G1019" s="4" t="s">
        <v>9313</v>
      </c>
      <c r="H1019" s="4" t="s">
        <v>9314</v>
      </c>
      <c r="I1019" s="3" t="s">
        <v>49</v>
      </c>
      <c r="J1019" s="3" t="s">
        <v>50</v>
      </c>
      <c r="K1019" s="3" t="s">
        <v>45</v>
      </c>
      <c r="L1019" s="3" t="s">
        <v>45</v>
      </c>
      <c r="M1019" s="3" t="s">
        <v>45</v>
      </c>
      <c r="N1019" s="4" t="s">
        <v>3805</v>
      </c>
      <c r="O1019" s="3" t="s">
        <v>88</v>
      </c>
      <c r="P1019" s="3" t="s">
        <v>45</v>
      </c>
      <c r="Q1019" s="3" t="s">
        <v>45</v>
      </c>
      <c r="R1019" s="3" t="s">
        <v>45</v>
      </c>
      <c r="S1019" s="3" t="s">
        <v>45</v>
      </c>
      <c r="T1019" s="3" t="s">
        <v>45</v>
      </c>
      <c r="U1019" s="3" t="s">
        <v>45</v>
      </c>
      <c r="V1019" s="4" t="s">
        <v>747</v>
      </c>
      <c r="W1019" s="3" t="s">
        <v>45</v>
      </c>
      <c r="X1019" s="3" t="s">
        <v>9315</v>
      </c>
      <c r="Y1019" s="3" t="s">
        <v>45</v>
      </c>
      <c r="Z1019" s="3" t="s">
        <v>74</v>
      </c>
      <c r="AA1019" s="3" t="s">
        <v>45</v>
      </c>
      <c r="AB1019" s="3" t="s">
        <v>45</v>
      </c>
      <c r="AC1019" s="3" t="s">
        <v>45</v>
      </c>
      <c r="AD1019" s="3" t="s">
        <v>45</v>
      </c>
      <c r="AE1019" s="3" t="s">
        <v>45</v>
      </c>
      <c r="AF1019" s="3" t="s">
        <v>45</v>
      </c>
      <c r="AG1019" s="3" t="s">
        <v>45</v>
      </c>
      <c r="AH1019" s="3" t="s">
        <v>57</v>
      </c>
      <c r="AI1019" s="5" t="s">
        <v>9316</v>
      </c>
      <c r="AJ1019" s="3" t="s">
        <v>45</v>
      </c>
      <c r="AK1019" s="3" t="s">
        <v>45</v>
      </c>
      <c r="AL1019" s="3" t="s">
        <v>45</v>
      </c>
      <c r="AM1019" s="3" t="s">
        <v>45</v>
      </c>
      <c r="AN1019" s="3" t="s">
        <v>45</v>
      </c>
      <c r="AO1019" s="3" t="s">
        <v>45</v>
      </c>
      <c r="AP1019" s="3" t="s">
        <v>45</v>
      </c>
      <c r="AQ1019" s="4" t="s">
        <v>1188</v>
      </c>
      <c r="AR1019" s="4" t="s">
        <v>1188</v>
      </c>
    </row>
    <row r="1020">
      <c r="A1020" s="3" t="s">
        <v>169</v>
      </c>
      <c r="B1020" s="3" t="s">
        <v>9317</v>
      </c>
      <c r="C1020" s="3" t="s">
        <v>9311</v>
      </c>
      <c r="D1020" s="3" t="s">
        <v>8268</v>
      </c>
      <c r="E1020" s="4" t="s">
        <v>9312</v>
      </c>
      <c r="F1020" s="3" t="s">
        <v>8665</v>
      </c>
      <c r="G1020" s="4" t="s">
        <v>9318</v>
      </c>
      <c r="H1020" s="4" t="s">
        <v>9319</v>
      </c>
      <c r="I1020" s="3" t="s">
        <v>49</v>
      </c>
      <c r="J1020" s="3" t="s">
        <v>126</v>
      </c>
      <c r="K1020" s="3" t="s">
        <v>45</v>
      </c>
      <c r="L1020" s="3" t="s">
        <v>176</v>
      </c>
      <c r="M1020" s="3" t="s">
        <v>45</v>
      </c>
      <c r="N1020" s="3" t="s">
        <v>45</v>
      </c>
      <c r="O1020" s="3" t="s">
        <v>74</v>
      </c>
      <c r="P1020" s="3" t="s">
        <v>45</v>
      </c>
      <c r="Q1020" s="3" t="s">
        <v>45</v>
      </c>
      <c r="R1020" s="3" t="s">
        <v>45</v>
      </c>
      <c r="S1020" s="3" t="s">
        <v>45</v>
      </c>
      <c r="T1020" s="3" t="s">
        <v>45</v>
      </c>
      <c r="U1020" s="3" t="s">
        <v>45</v>
      </c>
      <c r="V1020" s="3" t="s">
        <v>45</v>
      </c>
      <c r="W1020" s="3" t="s">
        <v>45</v>
      </c>
      <c r="X1020" s="3" t="s">
        <v>179</v>
      </c>
      <c r="Y1020" s="3" t="s">
        <v>45</v>
      </c>
      <c r="Z1020" s="3" t="s">
        <v>74</v>
      </c>
      <c r="AA1020" s="3" t="s">
        <v>45</v>
      </c>
      <c r="AB1020" s="3" t="s">
        <v>45</v>
      </c>
      <c r="AC1020" s="3" t="s">
        <v>45</v>
      </c>
      <c r="AD1020" s="3" t="s">
        <v>45</v>
      </c>
      <c r="AE1020" s="3" t="s">
        <v>45</v>
      </c>
      <c r="AF1020" s="3" t="s">
        <v>45</v>
      </c>
      <c r="AG1020" s="3" t="s">
        <v>45</v>
      </c>
      <c r="AH1020" s="3" t="s">
        <v>57</v>
      </c>
      <c r="AI1020" s="5" t="s">
        <v>9320</v>
      </c>
      <c r="AJ1020" s="3" t="s">
        <v>45</v>
      </c>
      <c r="AK1020" s="3" t="s">
        <v>45</v>
      </c>
      <c r="AL1020" s="3" t="s">
        <v>45</v>
      </c>
      <c r="AM1020" s="3" t="s">
        <v>45</v>
      </c>
      <c r="AN1020" s="3" t="s">
        <v>45</v>
      </c>
      <c r="AO1020" s="3" t="s">
        <v>45</v>
      </c>
      <c r="AP1020" s="3" t="s">
        <v>45</v>
      </c>
      <c r="AQ1020" s="4" t="s">
        <v>1325</v>
      </c>
      <c r="AR1020" s="4" t="s">
        <v>1325</v>
      </c>
    </row>
    <row r="1021">
      <c r="A1021" s="3" t="s">
        <v>9321</v>
      </c>
      <c r="B1021" s="3" t="s">
        <v>9322</v>
      </c>
      <c r="C1021" s="3" t="s">
        <v>9311</v>
      </c>
      <c r="D1021" s="3" t="s">
        <v>8268</v>
      </c>
      <c r="E1021" s="4" t="s">
        <v>9312</v>
      </c>
      <c r="F1021" s="3" t="s">
        <v>8665</v>
      </c>
      <c r="G1021" s="4" t="s">
        <v>9323</v>
      </c>
      <c r="H1021" s="4" t="s">
        <v>9324</v>
      </c>
      <c r="I1021" s="3" t="s">
        <v>85</v>
      </c>
      <c r="J1021" s="3" t="s">
        <v>126</v>
      </c>
      <c r="K1021" s="3" t="s">
        <v>45</v>
      </c>
      <c r="L1021" s="3" t="s">
        <v>176</v>
      </c>
      <c r="M1021" s="3" t="s">
        <v>45</v>
      </c>
      <c r="N1021" s="3" t="s">
        <v>45</v>
      </c>
      <c r="O1021" s="3" t="s">
        <v>74</v>
      </c>
      <c r="P1021" s="3" t="s">
        <v>45</v>
      </c>
      <c r="Q1021" s="3" t="s">
        <v>45</v>
      </c>
      <c r="R1021" s="3" t="s">
        <v>45</v>
      </c>
      <c r="S1021" s="3" t="s">
        <v>45</v>
      </c>
      <c r="T1021" s="3" t="s">
        <v>45</v>
      </c>
      <c r="U1021" s="3" t="s">
        <v>45</v>
      </c>
      <c r="V1021" s="4" t="s">
        <v>9255</v>
      </c>
      <c r="W1021" s="4" t="s">
        <v>2832</v>
      </c>
      <c r="X1021" s="3" t="s">
        <v>45</v>
      </c>
      <c r="Y1021" s="3" t="s">
        <v>45</v>
      </c>
      <c r="Z1021" s="3" t="s">
        <v>74</v>
      </c>
      <c r="AA1021" s="3" t="s">
        <v>45</v>
      </c>
      <c r="AB1021" s="3" t="s">
        <v>45</v>
      </c>
      <c r="AC1021" s="3" t="s">
        <v>45</v>
      </c>
      <c r="AD1021" s="3" t="s">
        <v>45</v>
      </c>
      <c r="AE1021" s="3" t="s">
        <v>45</v>
      </c>
      <c r="AF1021" s="3" t="s">
        <v>45</v>
      </c>
      <c r="AG1021" s="3" t="s">
        <v>45</v>
      </c>
      <c r="AH1021" s="3" t="s">
        <v>57</v>
      </c>
      <c r="AI1021" s="5" t="s">
        <v>8486</v>
      </c>
      <c r="AJ1021" s="5" t="s">
        <v>9325</v>
      </c>
      <c r="AK1021" s="3" t="s">
        <v>45</v>
      </c>
      <c r="AL1021" s="3" t="s">
        <v>45</v>
      </c>
      <c r="AM1021" s="3" t="s">
        <v>45</v>
      </c>
      <c r="AN1021" s="3" t="s">
        <v>45</v>
      </c>
      <c r="AO1021" s="3" t="s">
        <v>45</v>
      </c>
      <c r="AP1021" s="3" t="s">
        <v>45</v>
      </c>
      <c r="AQ1021" s="4" t="s">
        <v>799</v>
      </c>
      <c r="AR1021" s="4" t="s">
        <v>799</v>
      </c>
    </row>
    <row r="1022">
      <c r="A1022" s="3" t="s">
        <v>9326</v>
      </c>
      <c r="B1022" s="3" t="s">
        <v>9327</v>
      </c>
      <c r="C1022" s="3" t="s">
        <v>9311</v>
      </c>
      <c r="D1022" s="3" t="s">
        <v>8268</v>
      </c>
      <c r="E1022" s="4" t="s">
        <v>9312</v>
      </c>
      <c r="F1022" s="3" t="s">
        <v>8665</v>
      </c>
      <c r="G1022" s="4" t="s">
        <v>9328</v>
      </c>
      <c r="H1022" s="4" t="s">
        <v>9329</v>
      </c>
      <c r="I1022" s="3" t="s">
        <v>218</v>
      </c>
      <c r="J1022" s="3" t="s">
        <v>126</v>
      </c>
      <c r="K1022" s="3" t="s">
        <v>45</v>
      </c>
      <c r="L1022" s="3" t="s">
        <v>45</v>
      </c>
      <c r="M1022" s="3" t="s">
        <v>45</v>
      </c>
      <c r="N1022" s="4" t="s">
        <v>2501</v>
      </c>
      <c r="O1022" s="3" t="s">
        <v>88</v>
      </c>
      <c r="P1022" s="3" t="s">
        <v>45</v>
      </c>
      <c r="Q1022" s="3" t="s">
        <v>45</v>
      </c>
      <c r="R1022" s="3" t="s">
        <v>45</v>
      </c>
      <c r="S1022" s="3" t="s">
        <v>45</v>
      </c>
      <c r="T1022" s="3" t="s">
        <v>45</v>
      </c>
      <c r="U1022" s="3" t="s">
        <v>45</v>
      </c>
      <c r="V1022" s="4" t="s">
        <v>9330</v>
      </c>
      <c r="W1022" s="4" t="s">
        <v>9331</v>
      </c>
      <c r="X1022" s="3" t="s">
        <v>45</v>
      </c>
      <c r="Y1022" s="3" t="s">
        <v>45</v>
      </c>
      <c r="Z1022" s="3" t="s">
        <v>74</v>
      </c>
      <c r="AA1022" s="3" t="s">
        <v>45</v>
      </c>
      <c r="AB1022" s="3" t="s">
        <v>45</v>
      </c>
      <c r="AC1022" s="3" t="s">
        <v>45</v>
      </c>
      <c r="AD1022" s="3" t="s">
        <v>45</v>
      </c>
      <c r="AE1022" s="3" t="s">
        <v>45</v>
      </c>
      <c r="AF1022" s="3" t="s">
        <v>45</v>
      </c>
      <c r="AG1022" s="3" t="s">
        <v>45</v>
      </c>
      <c r="AH1022" s="3" t="s">
        <v>57</v>
      </c>
      <c r="AI1022" s="5" t="s">
        <v>9332</v>
      </c>
      <c r="AJ1022" s="5" t="s">
        <v>9333</v>
      </c>
      <c r="AK1022" s="3" t="s">
        <v>45</v>
      </c>
      <c r="AL1022" s="3" t="s">
        <v>45</v>
      </c>
      <c r="AM1022" s="3" t="s">
        <v>45</v>
      </c>
      <c r="AN1022" s="3" t="s">
        <v>45</v>
      </c>
      <c r="AO1022" s="3" t="s">
        <v>45</v>
      </c>
      <c r="AP1022" s="3" t="s">
        <v>45</v>
      </c>
      <c r="AQ1022" s="4" t="s">
        <v>1325</v>
      </c>
      <c r="AR1022" s="4" t="s">
        <v>1325</v>
      </c>
    </row>
    <row r="1023">
      <c r="A1023" s="3" t="s">
        <v>9334</v>
      </c>
      <c r="B1023" s="3" t="s">
        <v>9335</v>
      </c>
      <c r="C1023" s="3" t="s">
        <v>9336</v>
      </c>
      <c r="D1023" s="3" t="s">
        <v>8268</v>
      </c>
      <c r="E1023" s="4" t="s">
        <v>9337</v>
      </c>
      <c r="F1023" s="3" t="s">
        <v>2884</v>
      </c>
      <c r="G1023" s="4" t="s">
        <v>9338</v>
      </c>
      <c r="H1023" s="4" t="s">
        <v>9339</v>
      </c>
      <c r="I1023" s="3" t="s">
        <v>49</v>
      </c>
      <c r="J1023" s="3" t="s">
        <v>126</v>
      </c>
      <c r="K1023" s="3" t="s">
        <v>45</v>
      </c>
      <c r="L1023" s="3" t="s">
        <v>45</v>
      </c>
      <c r="M1023" s="3" t="s">
        <v>45</v>
      </c>
      <c r="N1023" s="4" t="s">
        <v>90</v>
      </c>
      <c r="O1023" s="3" t="s">
        <v>88</v>
      </c>
      <c r="P1023" s="3" t="s">
        <v>45</v>
      </c>
      <c r="Q1023" s="3" t="s">
        <v>45</v>
      </c>
      <c r="R1023" s="3" t="s">
        <v>45</v>
      </c>
      <c r="S1023" s="3" t="s">
        <v>45</v>
      </c>
      <c r="T1023" s="3" t="s">
        <v>45</v>
      </c>
      <c r="U1023" s="3" t="s">
        <v>45</v>
      </c>
      <c r="V1023" s="3" t="s">
        <v>45</v>
      </c>
      <c r="W1023" s="4" t="s">
        <v>1610</v>
      </c>
      <c r="X1023" s="3" t="s">
        <v>45</v>
      </c>
      <c r="Y1023" s="3" t="s">
        <v>45</v>
      </c>
      <c r="Z1023" s="3" t="s">
        <v>74</v>
      </c>
      <c r="AA1023" s="3" t="s">
        <v>45</v>
      </c>
      <c r="AB1023" s="3" t="s">
        <v>45</v>
      </c>
      <c r="AC1023" s="3" t="s">
        <v>45</v>
      </c>
      <c r="AD1023" s="3" t="s">
        <v>45</v>
      </c>
      <c r="AE1023" s="3" t="s">
        <v>45</v>
      </c>
      <c r="AF1023" s="3" t="s">
        <v>45</v>
      </c>
      <c r="AG1023" s="3" t="s">
        <v>45</v>
      </c>
      <c r="AH1023" s="3" t="s">
        <v>57</v>
      </c>
      <c r="AI1023" s="3" t="s">
        <v>45</v>
      </c>
      <c r="AJ1023" s="3" t="s">
        <v>45</v>
      </c>
      <c r="AK1023" s="3" t="s">
        <v>45</v>
      </c>
      <c r="AL1023" s="3" t="s">
        <v>45</v>
      </c>
      <c r="AM1023" s="3" t="s">
        <v>45</v>
      </c>
      <c r="AN1023" s="3" t="s">
        <v>45</v>
      </c>
      <c r="AO1023" s="3" t="s">
        <v>45</v>
      </c>
      <c r="AP1023" s="3" t="s">
        <v>45</v>
      </c>
      <c r="AQ1023" s="4" t="s">
        <v>8335</v>
      </c>
      <c r="AR1023" s="4" t="s">
        <v>8335</v>
      </c>
    </row>
    <row r="1024">
      <c r="A1024" s="3" t="s">
        <v>9340</v>
      </c>
      <c r="B1024" s="3" t="s">
        <v>9341</v>
      </c>
      <c r="C1024" s="3" t="s">
        <v>9336</v>
      </c>
      <c r="D1024" s="3" t="s">
        <v>8268</v>
      </c>
      <c r="E1024" s="4" t="s">
        <v>9337</v>
      </c>
      <c r="F1024" s="3" t="s">
        <v>2884</v>
      </c>
      <c r="G1024" s="4" t="s">
        <v>9342</v>
      </c>
      <c r="H1024" s="4" t="s">
        <v>9343</v>
      </c>
      <c r="I1024" s="3" t="s">
        <v>85</v>
      </c>
      <c r="J1024" s="3" t="s">
        <v>126</v>
      </c>
      <c r="K1024" s="3" t="s">
        <v>45</v>
      </c>
      <c r="L1024" s="3" t="s">
        <v>45</v>
      </c>
      <c r="M1024" s="3" t="s">
        <v>45</v>
      </c>
      <c r="N1024" s="4" t="s">
        <v>9344</v>
      </c>
      <c r="O1024" s="3" t="s">
        <v>53</v>
      </c>
      <c r="P1024" s="3" t="s">
        <v>45</v>
      </c>
      <c r="Q1024" s="3" t="s">
        <v>45</v>
      </c>
      <c r="R1024" s="3" t="s">
        <v>45</v>
      </c>
      <c r="S1024" s="3" t="s">
        <v>45</v>
      </c>
      <c r="T1024" s="3" t="s">
        <v>45</v>
      </c>
      <c r="U1024" s="3" t="s">
        <v>45</v>
      </c>
      <c r="V1024" s="4" t="s">
        <v>9345</v>
      </c>
      <c r="W1024" s="3" t="s">
        <v>45</v>
      </c>
      <c r="X1024" s="3" t="s">
        <v>45</v>
      </c>
      <c r="Y1024" s="3" t="s">
        <v>45</v>
      </c>
      <c r="Z1024" s="3" t="s">
        <v>74</v>
      </c>
      <c r="AA1024" s="3" t="s">
        <v>45</v>
      </c>
      <c r="AB1024" s="3" t="s">
        <v>45</v>
      </c>
      <c r="AC1024" s="3" t="s">
        <v>45</v>
      </c>
      <c r="AD1024" s="3" t="s">
        <v>45</v>
      </c>
      <c r="AE1024" s="3" t="s">
        <v>45</v>
      </c>
      <c r="AF1024" s="3" t="s">
        <v>45</v>
      </c>
      <c r="AG1024" s="3" t="s">
        <v>45</v>
      </c>
      <c r="AH1024" s="3" t="s">
        <v>57</v>
      </c>
      <c r="AI1024" s="3" t="s">
        <v>45</v>
      </c>
      <c r="AJ1024" s="3" t="s">
        <v>45</v>
      </c>
      <c r="AK1024" s="3" t="s">
        <v>45</v>
      </c>
      <c r="AL1024" s="3" t="s">
        <v>45</v>
      </c>
      <c r="AM1024" s="3" t="s">
        <v>45</v>
      </c>
      <c r="AN1024" s="3" t="s">
        <v>45</v>
      </c>
      <c r="AO1024" s="3" t="s">
        <v>45</v>
      </c>
      <c r="AP1024" s="3" t="s">
        <v>45</v>
      </c>
      <c r="AQ1024" s="4" t="s">
        <v>8335</v>
      </c>
      <c r="AR1024" s="4" t="s">
        <v>8335</v>
      </c>
    </row>
    <row r="1025">
      <c r="A1025" s="3" t="s">
        <v>9346</v>
      </c>
      <c r="B1025" s="3" t="s">
        <v>9347</v>
      </c>
      <c r="C1025" s="3" t="s">
        <v>9336</v>
      </c>
      <c r="D1025" s="3" t="s">
        <v>8268</v>
      </c>
      <c r="E1025" s="4" t="s">
        <v>9337</v>
      </c>
      <c r="F1025" s="3" t="s">
        <v>2884</v>
      </c>
      <c r="G1025" s="4" t="s">
        <v>9348</v>
      </c>
      <c r="H1025" s="4" t="s">
        <v>9349</v>
      </c>
      <c r="I1025" s="3" t="s">
        <v>85</v>
      </c>
      <c r="J1025" s="3" t="s">
        <v>126</v>
      </c>
      <c r="K1025" s="3" t="s">
        <v>45</v>
      </c>
      <c r="L1025" s="3" t="s">
        <v>45</v>
      </c>
      <c r="M1025" s="3" t="s">
        <v>45</v>
      </c>
      <c r="N1025" s="4" t="s">
        <v>9350</v>
      </c>
      <c r="O1025" s="3" t="s">
        <v>53</v>
      </c>
      <c r="P1025" s="3" t="s">
        <v>45</v>
      </c>
      <c r="Q1025" s="3" t="s">
        <v>45</v>
      </c>
      <c r="R1025" s="3" t="s">
        <v>45</v>
      </c>
      <c r="S1025" s="3" t="s">
        <v>45</v>
      </c>
      <c r="T1025" s="3" t="s">
        <v>45</v>
      </c>
      <c r="U1025" s="3" t="s">
        <v>45</v>
      </c>
      <c r="V1025" s="4" t="s">
        <v>9351</v>
      </c>
      <c r="W1025" s="3" t="s">
        <v>45</v>
      </c>
      <c r="X1025" s="3" t="s">
        <v>45</v>
      </c>
      <c r="Y1025" s="3" t="s">
        <v>45</v>
      </c>
      <c r="Z1025" s="3" t="s">
        <v>74</v>
      </c>
      <c r="AA1025" s="3" t="s">
        <v>45</v>
      </c>
      <c r="AB1025" s="3" t="s">
        <v>45</v>
      </c>
      <c r="AC1025" s="3" t="s">
        <v>45</v>
      </c>
      <c r="AD1025" s="3" t="s">
        <v>45</v>
      </c>
      <c r="AE1025" s="3" t="s">
        <v>45</v>
      </c>
      <c r="AF1025" s="3" t="s">
        <v>45</v>
      </c>
      <c r="AG1025" s="3" t="s">
        <v>45</v>
      </c>
      <c r="AH1025" s="3" t="s">
        <v>57</v>
      </c>
      <c r="AI1025" s="3" t="s">
        <v>45</v>
      </c>
      <c r="AJ1025" s="3" t="s">
        <v>45</v>
      </c>
      <c r="AK1025" s="3" t="s">
        <v>45</v>
      </c>
      <c r="AL1025" s="3" t="s">
        <v>45</v>
      </c>
      <c r="AM1025" s="3" t="s">
        <v>45</v>
      </c>
      <c r="AN1025" s="3" t="s">
        <v>45</v>
      </c>
      <c r="AO1025" s="3" t="s">
        <v>45</v>
      </c>
      <c r="AP1025" s="3" t="s">
        <v>45</v>
      </c>
      <c r="AQ1025" s="4" t="s">
        <v>8335</v>
      </c>
      <c r="AR1025" s="4" t="s">
        <v>8335</v>
      </c>
    </row>
    <row r="1026">
      <c r="A1026" s="3" t="s">
        <v>9352</v>
      </c>
      <c r="B1026" s="3" t="s">
        <v>9353</v>
      </c>
      <c r="C1026" s="3" t="s">
        <v>9336</v>
      </c>
      <c r="D1026" s="3" t="s">
        <v>8268</v>
      </c>
      <c r="E1026" s="4" t="s">
        <v>9337</v>
      </c>
      <c r="F1026" s="3" t="s">
        <v>2884</v>
      </c>
      <c r="G1026" s="4" t="s">
        <v>9354</v>
      </c>
      <c r="H1026" s="4" t="s">
        <v>9355</v>
      </c>
      <c r="I1026" s="3" t="s">
        <v>85</v>
      </c>
      <c r="J1026" s="3" t="s">
        <v>126</v>
      </c>
      <c r="K1026" s="3" t="s">
        <v>45</v>
      </c>
      <c r="L1026" s="3" t="s">
        <v>45</v>
      </c>
      <c r="M1026" s="3" t="s">
        <v>45</v>
      </c>
      <c r="N1026" s="4" t="s">
        <v>9356</v>
      </c>
      <c r="O1026" s="3" t="s">
        <v>53</v>
      </c>
      <c r="P1026" s="3" t="s">
        <v>45</v>
      </c>
      <c r="Q1026" s="3" t="s">
        <v>45</v>
      </c>
      <c r="R1026" s="3" t="s">
        <v>45</v>
      </c>
      <c r="S1026" s="3" t="s">
        <v>45</v>
      </c>
      <c r="T1026" s="3" t="s">
        <v>45</v>
      </c>
      <c r="U1026" s="3" t="s">
        <v>45</v>
      </c>
      <c r="V1026" s="4" t="s">
        <v>7680</v>
      </c>
      <c r="W1026" s="3" t="s">
        <v>45</v>
      </c>
      <c r="X1026" s="3" t="s">
        <v>45</v>
      </c>
      <c r="Y1026" s="3" t="s">
        <v>45</v>
      </c>
      <c r="Z1026" s="3" t="s">
        <v>74</v>
      </c>
      <c r="AA1026" s="3" t="s">
        <v>45</v>
      </c>
      <c r="AB1026" s="3" t="s">
        <v>45</v>
      </c>
      <c r="AC1026" s="3" t="s">
        <v>45</v>
      </c>
      <c r="AD1026" s="3" t="s">
        <v>45</v>
      </c>
      <c r="AE1026" s="3" t="s">
        <v>45</v>
      </c>
      <c r="AF1026" s="3" t="s">
        <v>45</v>
      </c>
      <c r="AG1026" s="3" t="s">
        <v>45</v>
      </c>
      <c r="AH1026" s="3" t="s">
        <v>57</v>
      </c>
      <c r="AI1026" s="3" t="s">
        <v>45</v>
      </c>
      <c r="AJ1026" s="3" t="s">
        <v>45</v>
      </c>
      <c r="AK1026" s="3" t="s">
        <v>45</v>
      </c>
      <c r="AL1026" s="3" t="s">
        <v>45</v>
      </c>
      <c r="AM1026" s="3" t="s">
        <v>45</v>
      </c>
      <c r="AN1026" s="3" t="s">
        <v>45</v>
      </c>
      <c r="AO1026" s="3" t="s">
        <v>45</v>
      </c>
      <c r="AP1026" s="3" t="s">
        <v>45</v>
      </c>
      <c r="AQ1026" s="4" t="s">
        <v>8335</v>
      </c>
      <c r="AR1026" s="4" t="s">
        <v>8335</v>
      </c>
    </row>
    <row r="1027">
      <c r="A1027" s="3" t="s">
        <v>9357</v>
      </c>
      <c r="B1027" s="3" t="s">
        <v>9358</v>
      </c>
      <c r="C1027" s="3" t="s">
        <v>9336</v>
      </c>
      <c r="D1027" s="3" t="s">
        <v>8268</v>
      </c>
      <c r="E1027" s="4" t="s">
        <v>9359</v>
      </c>
      <c r="F1027" s="3" t="s">
        <v>2884</v>
      </c>
      <c r="G1027" s="4" t="s">
        <v>9360</v>
      </c>
      <c r="H1027" s="4" t="s">
        <v>9361</v>
      </c>
      <c r="I1027" s="3" t="s">
        <v>85</v>
      </c>
      <c r="J1027" s="3" t="s">
        <v>126</v>
      </c>
      <c r="K1027" s="3" t="s">
        <v>45</v>
      </c>
      <c r="L1027" s="3" t="s">
        <v>45</v>
      </c>
      <c r="M1027" s="3" t="s">
        <v>45</v>
      </c>
      <c r="N1027" s="4" t="s">
        <v>3085</v>
      </c>
      <c r="O1027" s="3" t="s">
        <v>390</v>
      </c>
      <c r="P1027" s="3" t="s">
        <v>45</v>
      </c>
      <c r="Q1027" s="3" t="s">
        <v>45</v>
      </c>
      <c r="R1027" s="3" t="s">
        <v>45</v>
      </c>
      <c r="S1027" s="3" t="s">
        <v>45</v>
      </c>
      <c r="T1027" s="3" t="s">
        <v>45</v>
      </c>
      <c r="U1027" s="3" t="s">
        <v>45</v>
      </c>
      <c r="V1027" s="4" t="s">
        <v>5594</v>
      </c>
      <c r="W1027" s="3" t="s">
        <v>45</v>
      </c>
      <c r="X1027" s="3" t="s">
        <v>45</v>
      </c>
      <c r="Y1027" s="3" t="s">
        <v>45</v>
      </c>
      <c r="Z1027" s="3" t="s">
        <v>74</v>
      </c>
      <c r="AA1027" s="3" t="s">
        <v>45</v>
      </c>
      <c r="AB1027" s="3" t="s">
        <v>45</v>
      </c>
      <c r="AC1027" s="3" t="s">
        <v>45</v>
      </c>
      <c r="AD1027" s="3" t="s">
        <v>45</v>
      </c>
      <c r="AE1027" s="3" t="s">
        <v>45</v>
      </c>
      <c r="AF1027" s="3" t="s">
        <v>45</v>
      </c>
      <c r="AG1027" s="3" t="s">
        <v>45</v>
      </c>
      <c r="AH1027" s="3" t="s">
        <v>57</v>
      </c>
      <c r="AI1027" s="5" t="s">
        <v>614</v>
      </c>
      <c r="AJ1027" s="3" t="s">
        <v>45</v>
      </c>
      <c r="AK1027" s="3" t="s">
        <v>45</v>
      </c>
      <c r="AL1027" s="3" t="s">
        <v>45</v>
      </c>
      <c r="AM1027" s="3" t="s">
        <v>45</v>
      </c>
      <c r="AN1027" s="3" t="s">
        <v>45</v>
      </c>
      <c r="AO1027" s="3" t="s">
        <v>45</v>
      </c>
      <c r="AP1027" s="3" t="s">
        <v>45</v>
      </c>
      <c r="AQ1027" s="4" t="s">
        <v>393</v>
      </c>
      <c r="AR1027" s="4" t="s">
        <v>393</v>
      </c>
    </row>
    <row r="1028">
      <c r="A1028" s="3" t="s">
        <v>9362</v>
      </c>
      <c r="B1028" s="3" t="s">
        <v>9363</v>
      </c>
      <c r="C1028" s="3" t="s">
        <v>9364</v>
      </c>
      <c r="D1028" s="3" t="s">
        <v>8268</v>
      </c>
      <c r="E1028" s="4" t="s">
        <v>9365</v>
      </c>
      <c r="F1028" s="3" t="s">
        <v>9366</v>
      </c>
      <c r="G1028" s="4" t="s">
        <v>9367</v>
      </c>
      <c r="H1028" s="4" t="s">
        <v>9368</v>
      </c>
      <c r="I1028" s="3" t="s">
        <v>49</v>
      </c>
      <c r="J1028" s="3" t="s">
        <v>50</v>
      </c>
      <c r="K1028" s="3" t="s">
        <v>743</v>
      </c>
      <c r="L1028" s="3" t="s">
        <v>9369</v>
      </c>
      <c r="M1028" s="3" t="s">
        <v>45</v>
      </c>
      <c r="N1028" s="4" t="s">
        <v>102</v>
      </c>
      <c r="O1028" s="3" t="s">
        <v>88</v>
      </c>
      <c r="P1028" s="3" t="s">
        <v>3618</v>
      </c>
      <c r="Q1028" s="3" t="s">
        <v>45</v>
      </c>
      <c r="R1028" s="3" t="s">
        <v>45</v>
      </c>
      <c r="S1028" s="3" t="s">
        <v>45</v>
      </c>
      <c r="T1028" s="3" t="s">
        <v>45</v>
      </c>
      <c r="U1028" s="3" t="s">
        <v>45</v>
      </c>
      <c r="V1028" s="3" t="s">
        <v>45</v>
      </c>
      <c r="W1028" s="3" t="s">
        <v>45</v>
      </c>
      <c r="X1028" s="3" t="s">
        <v>45</v>
      </c>
      <c r="Y1028" s="4" t="s">
        <v>73</v>
      </c>
      <c r="Z1028" s="3" t="s">
        <v>74</v>
      </c>
      <c r="AA1028" s="3" t="s">
        <v>45</v>
      </c>
      <c r="AB1028" s="3" t="s">
        <v>45</v>
      </c>
      <c r="AC1028" s="3" t="s">
        <v>45</v>
      </c>
      <c r="AD1028" s="3" t="s">
        <v>45</v>
      </c>
      <c r="AE1028" s="3" t="s">
        <v>45</v>
      </c>
      <c r="AF1028" s="3" t="s">
        <v>45</v>
      </c>
      <c r="AG1028" s="3" t="s">
        <v>45</v>
      </c>
      <c r="AH1028" s="3" t="s">
        <v>57</v>
      </c>
      <c r="AI1028" s="5" t="s">
        <v>9370</v>
      </c>
      <c r="AJ1028" s="3" t="s">
        <v>45</v>
      </c>
      <c r="AK1028" s="3" t="s">
        <v>45</v>
      </c>
      <c r="AL1028" s="3" t="s">
        <v>45</v>
      </c>
      <c r="AM1028" s="3" t="s">
        <v>45</v>
      </c>
      <c r="AN1028" s="3" t="s">
        <v>45</v>
      </c>
      <c r="AO1028" s="3" t="s">
        <v>45</v>
      </c>
      <c r="AP1028" s="3" t="s">
        <v>45</v>
      </c>
      <c r="AQ1028" s="4" t="s">
        <v>3183</v>
      </c>
      <c r="AR1028" s="4" t="s">
        <v>3183</v>
      </c>
    </row>
    <row r="1029">
      <c r="A1029" s="3" t="s">
        <v>9371</v>
      </c>
      <c r="B1029" s="3" t="s">
        <v>9372</v>
      </c>
      <c r="C1029" s="3" t="s">
        <v>9373</v>
      </c>
      <c r="D1029" s="3" t="s">
        <v>8268</v>
      </c>
      <c r="E1029" s="4" t="s">
        <v>9374</v>
      </c>
      <c r="F1029" s="3" t="s">
        <v>8613</v>
      </c>
      <c r="G1029" s="4" t="s">
        <v>9375</v>
      </c>
      <c r="H1029" s="4" t="s">
        <v>9376</v>
      </c>
      <c r="I1029" s="3" t="s">
        <v>85</v>
      </c>
      <c r="J1029" s="3" t="s">
        <v>126</v>
      </c>
      <c r="K1029" s="3" t="s">
        <v>45</v>
      </c>
      <c r="L1029" s="3" t="s">
        <v>45</v>
      </c>
      <c r="M1029" s="3" t="s">
        <v>45</v>
      </c>
      <c r="N1029" s="3" t="s">
        <v>45</v>
      </c>
      <c r="O1029" s="3" t="s">
        <v>74</v>
      </c>
      <c r="P1029" s="3" t="s">
        <v>45</v>
      </c>
      <c r="Q1029" s="3" t="s">
        <v>45</v>
      </c>
      <c r="R1029" s="3" t="s">
        <v>45</v>
      </c>
      <c r="S1029" s="3" t="s">
        <v>45</v>
      </c>
      <c r="T1029" s="3" t="s">
        <v>45</v>
      </c>
      <c r="U1029" s="3" t="s">
        <v>45</v>
      </c>
      <c r="V1029" s="3" t="s">
        <v>45</v>
      </c>
      <c r="W1029" s="3" t="s">
        <v>45</v>
      </c>
      <c r="X1029" s="3" t="s">
        <v>45</v>
      </c>
      <c r="Y1029" s="3" t="s">
        <v>45</v>
      </c>
      <c r="Z1029" s="3" t="s">
        <v>74</v>
      </c>
      <c r="AA1029" s="3" t="s">
        <v>45</v>
      </c>
      <c r="AB1029" s="3" t="s">
        <v>45</v>
      </c>
      <c r="AC1029" s="3" t="s">
        <v>45</v>
      </c>
      <c r="AD1029" s="3" t="s">
        <v>45</v>
      </c>
      <c r="AE1029" s="3" t="s">
        <v>45</v>
      </c>
      <c r="AF1029" s="3" t="s">
        <v>45</v>
      </c>
      <c r="AG1029" s="3" t="s">
        <v>8333</v>
      </c>
      <c r="AH1029" s="3" t="s">
        <v>57</v>
      </c>
      <c r="AI1029" s="5" t="s">
        <v>8334</v>
      </c>
      <c r="AJ1029" s="3" t="s">
        <v>45</v>
      </c>
      <c r="AK1029" s="3" t="s">
        <v>45</v>
      </c>
      <c r="AL1029" s="3" t="s">
        <v>45</v>
      </c>
      <c r="AM1029" s="3" t="s">
        <v>45</v>
      </c>
      <c r="AN1029" s="3" t="s">
        <v>45</v>
      </c>
      <c r="AO1029" s="3" t="s">
        <v>45</v>
      </c>
      <c r="AP1029" s="3" t="s">
        <v>45</v>
      </c>
      <c r="AQ1029" s="4" t="s">
        <v>8335</v>
      </c>
      <c r="AR1029" s="4" t="s">
        <v>8335</v>
      </c>
    </row>
    <row r="1030">
      <c r="A1030" s="3" t="s">
        <v>9377</v>
      </c>
      <c r="B1030" s="3" t="s">
        <v>9378</v>
      </c>
      <c r="C1030" s="3" t="s">
        <v>9379</v>
      </c>
      <c r="D1030" s="3" t="s">
        <v>8268</v>
      </c>
      <c r="E1030" s="4" t="s">
        <v>9380</v>
      </c>
      <c r="F1030" s="3" t="s">
        <v>8528</v>
      </c>
      <c r="G1030" s="4" t="s">
        <v>9381</v>
      </c>
      <c r="H1030" s="4" t="s">
        <v>9382</v>
      </c>
      <c r="I1030" s="3" t="s">
        <v>49</v>
      </c>
      <c r="J1030" s="3" t="s">
        <v>50</v>
      </c>
      <c r="K1030" s="3" t="s">
        <v>9383</v>
      </c>
      <c r="L1030" s="3" t="s">
        <v>3103</v>
      </c>
      <c r="M1030" s="3" t="s">
        <v>45</v>
      </c>
      <c r="N1030" s="4" t="s">
        <v>9384</v>
      </c>
      <c r="O1030" s="3" t="s">
        <v>88</v>
      </c>
      <c r="P1030" s="3" t="s">
        <v>45</v>
      </c>
      <c r="Q1030" s="3" t="s">
        <v>45</v>
      </c>
      <c r="R1030" s="3" t="s">
        <v>45</v>
      </c>
      <c r="S1030" s="3" t="s">
        <v>45</v>
      </c>
      <c r="T1030" s="3" t="s">
        <v>45</v>
      </c>
      <c r="U1030" s="3" t="s">
        <v>45</v>
      </c>
      <c r="V1030" s="3" t="s">
        <v>45</v>
      </c>
      <c r="W1030" s="3" t="s">
        <v>45</v>
      </c>
      <c r="X1030" s="3" t="s">
        <v>9385</v>
      </c>
      <c r="Y1030" s="3" t="s">
        <v>45</v>
      </c>
      <c r="Z1030" s="3" t="s">
        <v>74</v>
      </c>
      <c r="AA1030" s="3" t="s">
        <v>45</v>
      </c>
      <c r="AB1030" s="3" t="s">
        <v>45</v>
      </c>
      <c r="AC1030" s="3" t="s">
        <v>45</v>
      </c>
      <c r="AD1030" s="3" t="s">
        <v>45</v>
      </c>
      <c r="AE1030" s="3" t="s">
        <v>45</v>
      </c>
      <c r="AF1030" s="3" t="s">
        <v>45</v>
      </c>
      <c r="AG1030" s="3" t="s">
        <v>45</v>
      </c>
      <c r="AH1030" s="3" t="s">
        <v>57</v>
      </c>
      <c r="AI1030" s="5" t="s">
        <v>8534</v>
      </c>
      <c r="AJ1030" s="3" t="s">
        <v>45</v>
      </c>
      <c r="AK1030" s="3" t="s">
        <v>45</v>
      </c>
      <c r="AL1030" s="3" t="s">
        <v>45</v>
      </c>
      <c r="AM1030" s="3" t="s">
        <v>45</v>
      </c>
      <c r="AN1030" s="3" t="s">
        <v>45</v>
      </c>
      <c r="AO1030" s="3" t="s">
        <v>45</v>
      </c>
      <c r="AP1030" s="3" t="s">
        <v>45</v>
      </c>
      <c r="AQ1030" s="4" t="s">
        <v>6299</v>
      </c>
      <c r="AR1030" s="4" t="s">
        <v>6299</v>
      </c>
    </row>
    <row r="1031">
      <c r="A1031" s="3" t="s">
        <v>9386</v>
      </c>
      <c r="B1031" s="3" t="s">
        <v>9387</v>
      </c>
      <c r="C1031" s="3" t="s">
        <v>1849</v>
      </c>
      <c r="D1031" s="3" t="s">
        <v>8268</v>
      </c>
      <c r="E1031" s="4" t="s">
        <v>9388</v>
      </c>
      <c r="F1031" s="3" t="s">
        <v>8446</v>
      </c>
      <c r="G1031" s="4" t="s">
        <v>9389</v>
      </c>
      <c r="H1031" s="4" t="s">
        <v>9390</v>
      </c>
      <c r="I1031" s="3" t="s">
        <v>408</v>
      </c>
      <c r="J1031" s="3" t="s">
        <v>126</v>
      </c>
      <c r="K1031" s="3" t="s">
        <v>45</v>
      </c>
      <c r="L1031" s="3" t="s">
        <v>3881</v>
      </c>
      <c r="M1031" s="3" t="s">
        <v>45</v>
      </c>
      <c r="N1031" s="3" t="s">
        <v>9391</v>
      </c>
      <c r="O1031" s="3" t="s">
        <v>88</v>
      </c>
      <c r="P1031" s="3" t="s">
        <v>45</v>
      </c>
      <c r="Q1031" s="3" t="s">
        <v>45</v>
      </c>
      <c r="R1031" s="3" t="s">
        <v>45</v>
      </c>
      <c r="S1031" s="3" t="s">
        <v>45</v>
      </c>
      <c r="T1031" s="3" t="s">
        <v>45</v>
      </c>
      <c r="U1031" s="3" t="s">
        <v>45</v>
      </c>
      <c r="V1031" s="3" t="s">
        <v>45</v>
      </c>
      <c r="W1031" s="3" t="s">
        <v>45</v>
      </c>
      <c r="X1031" s="3" t="s">
        <v>9392</v>
      </c>
      <c r="Y1031" s="4" t="s">
        <v>727</v>
      </c>
      <c r="Z1031" s="3" t="s">
        <v>74</v>
      </c>
      <c r="AA1031" s="3" t="s">
        <v>45</v>
      </c>
      <c r="AB1031" s="3" t="s">
        <v>45</v>
      </c>
      <c r="AC1031" s="3" t="s">
        <v>45</v>
      </c>
      <c r="AD1031" s="3" t="s">
        <v>45</v>
      </c>
      <c r="AE1031" s="3" t="s">
        <v>45</v>
      </c>
      <c r="AF1031" s="3" t="s">
        <v>45</v>
      </c>
      <c r="AG1031" s="3" t="s">
        <v>9393</v>
      </c>
      <c r="AH1031" s="3" t="s">
        <v>57</v>
      </c>
      <c r="AI1031" s="3" t="s">
        <v>45</v>
      </c>
      <c r="AJ1031" s="3" t="s">
        <v>45</v>
      </c>
      <c r="AK1031" s="3" t="s">
        <v>45</v>
      </c>
      <c r="AL1031" s="3" t="s">
        <v>45</v>
      </c>
      <c r="AM1031" s="3" t="s">
        <v>45</v>
      </c>
      <c r="AN1031" s="3" t="s">
        <v>45</v>
      </c>
      <c r="AO1031" s="3" t="s">
        <v>45</v>
      </c>
      <c r="AP1031" s="3" t="s">
        <v>45</v>
      </c>
      <c r="AQ1031" s="4" t="s">
        <v>671</v>
      </c>
      <c r="AR1031" s="4" t="s">
        <v>671</v>
      </c>
    </row>
    <row r="1032">
      <c r="A1032" s="3" t="s">
        <v>3295</v>
      </c>
      <c r="B1032" s="3" t="s">
        <v>9394</v>
      </c>
      <c r="C1032" s="3" t="s">
        <v>9395</v>
      </c>
      <c r="D1032" s="3" t="s">
        <v>8268</v>
      </c>
      <c r="E1032" s="4" t="s">
        <v>9396</v>
      </c>
      <c r="F1032" s="3" t="s">
        <v>8749</v>
      </c>
      <c r="G1032" s="4" t="s">
        <v>9397</v>
      </c>
      <c r="H1032" s="4" t="s">
        <v>9398</v>
      </c>
      <c r="I1032" s="3" t="s">
        <v>85</v>
      </c>
      <c r="J1032" s="3" t="s">
        <v>126</v>
      </c>
      <c r="K1032" s="3" t="s">
        <v>45</v>
      </c>
      <c r="L1032" s="3" t="s">
        <v>45</v>
      </c>
      <c r="M1032" s="3" t="s">
        <v>45</v>
      </c>
      <c r="N1032" s="3" t="s">
        <v>45</v>
      </c>
      <c r="O1032" s="3" t="s">
        <v>74</v>
      </c>
      <c r="P1032" s="3" t="s">
        <v>45</v>
      </c>
      <c r="Q1032" s="3" t="s">
        <v>45</v>
      </c>
      <c r="R1032" s="3" t="s">
        <v>45</v>
      </c>
      <c r="S1032" s="3" t="s">
        <v>45</v>
      </c>
      <c r="T1032" s="3" t="s">
        <v>45</v>
      </c>
      <c r="U1032" s="3" t="s">
        <v>45</v>
      </c>
      <c r="V1032" s="3" t="s">
        <v>45</v>
      </c>
      <c r="W1032" s="3" t="s">
        <v>45</v>
      </c>
      <c r="X1032" s="3" t="s">
        <v>45</v>
      </c>
      <c r="Y1032" s="3" t="s">
        <v>45</v>
      </c>
      <c r="Z1032" s="3" t="s">
        <v>74</v>
      </c>
      <c r="AA1032" s="3" t="s">
        <v>45</v>
      </c>
      <c r="AB1032" s="3" t="s">
        <v>45</v>
      </c>
      <c r="AC1032" s="3" t="s">
        <v>45</v>
      </c>
      <c r="AD1032" s="3" t="s">
        <v>45</v>
      </c>
      <c r="AE1032" s="3" t="s">
        <v>45</v>
      </c>
      <c r="AF1032" s="3" t="s">
        <v>45</v>
      </c>
      <c r="AG1032" s="3" t="s">
        <v>45</v>
      </c>
      <c r="AH1032" s="3" t="s">
        <v>57</v>
      </c>
      <c r="AI1032" s="3" t="s">
        <v>45</v>
      </c>
      <c r="AJ1032" s="3" t="s">
        <v>45</v>
      </c>
      <c r="AK1032" s="3" t="s">
        <v>45</v>
      </c>
      <c r="AL1032" s="3" t="s">
        <v>45</v>
      </c>
      <c r="AM1032" s="3" t="s">
        <v>45</v>
      </c>
      <c r="AN1032" s="3" t="s">
        <v>45</v>
      </c>
      <c r="AO1032" s="3" t="s">
        <v>45</v>
      </c>
      <c r="AP1032" s="3" t="s">
        <v>45</v>
      </c>
      <c r="AQ1032" s="4" t="s">
        <v>8335</v>
      </c>
      <c r="AR1032" s="4" t="s">
        <v>8335</v>
      </c>
    </row>
    <row r="1033">
      <c r="A1033" s="3" t="s">
        <v>9399</v>
      </c>
      <c r="B1033" s="3" t="s">
        <v>9400</v>
      </c>
      <c r="C1033" s="3" t="s">
        <v>9395</v>
      </c>
      <c r="D1033" s="3" t="s">
        <v>8268</v>
      </c>
      <c r="E1033" s="4" t="s">
        <v>9401</v>
      </c>
      <c r="F1033" s="3" t="s">
        <v>8749</v>
      </c>
      <c r="G1033" s="4" t="s">
        <v>9402</v>
      </c>
      <c r="H1033" s="4" t="s">
        <v>9403</v>
      </c>
      <c r="I1033" s="3" t="s">
        <v>218</v>
      </c>
      <c r="J1033" s="3" t="s">
        <v>126</v>
      </c>
      <c r="K1033" s="3" t="s">
        <v>45</v>
      </c>
      <c r="L1033" s="3" t="s">
        <v>9404</v>
      </c>
      <c r="M1033" s="3" t="s">
        <v>45</v>
      </c>
      <c r="N1033" s="4" t="s">
        <v>861</v>
      </c>
      <c r="O1033" s="3" t="s">
        <v>390</v>
      </c>
      <c r="P1033" s="3" t="s">
        <v>45</v>
      </c>
      <c r="Q1033" s="3" t="s">
        <v>45</v>
      </c>
      <c r="R1033" s="3" t="s">
        <v>45</v>
      </c>
      <c r="S1033" s="3" t="s">
        <v>45</v>
      </c>
      <c r="T1033" s="3" t="s">
        <v>45</v>
      </c>
      <c r="U1033" s="3" t="s">
        <v>221</v>
      </c>
      <c r="V1033" s="4" t="s">
        <v>862</v>
      </c>
      <c r="W1033" s="4" t="s">
        <v>2608</v>
      </c>
      <c r="X1033" s="3" t="s">
        <v>45</v>
      </c>
      <c r="Y1033" s="3" t="s">
        <v>45</v>
      </c>
      <c r="Z1033" s="3" t="s">
        <v>55</v>
      </c>
      <c r="AA1033" s="3" t="s">
        <v>45</v>
      </c>
      <c r="AB1033" s="3" t="s">
        <v>45</v>
      </c>
      <c r="AC1033" s="3" t="s">
        <v>45</v>
      </c>
      <c r="AD1033" s="5" t="s">
        <v>9405</v>
      </c>
      <c r="AE1033" s="3" t="s">
        <v>45</v>
      </c>
      <c r="AF1033" s="3" t="s">
        <v>45</v>
      </c>
      <c r="AG1033" s="3" t="s">
        <v>9406</v>
      </c>
      <c r="AH1033" s="3" t="s">
        <v>840</v>
      </c>
      <c r="AI1033" s="5" t="s">
        <v>9407</v>
      </c>
      <c r="AJ1033" s="5" t="s">
        <v>9408</v>
      </c>
      <c r="AK1033" s="3" t="s">
        <v>45</v>
      </c>
      <c r="AL1033" s="3" t="s">
        <v>45</v>
      </c>
      <c r="AM1033" s="3" t="s">
        <v>45</v>
      </c>
      <c r="AN1033" s="3" t="s">
        <v>45</v>
      </c>
      <c r="AO1033" s="3" t="s">
        <v>45</v>
      </c>
      <c r="AP1033" s="3" t="s">
        <v>45</v>
      </c>
      <c r="AQ1033" s="4" t="s">
        <v>3153</v>
      </c>
      <c r="AR1033" s="4" t="s">
        <v>3797</v>
      </c>
    </row>
    <row r="1034">
      <c r="A1034" s="3" t="s">
        <v>9409</v>
      </c>
      <c r="B1034" s="3" t="s">
        <v>9410</v>
      </c>
      <c r="C1034" s="3" t="s">
        <v>9411</v>
      </c>
      <c r="D1034" s="3" t="s">
        <v>8268</v>
      </c>
      <c r="E1034" s="4" t="s">
        <v>9412</v>
      </c>
      <c r="F1034" s="3" t="s">
        <v>9413</v>
      </c>
      <c r="G1034" s="4" t="s">
        <v>9414</v>
      </c>
      <c r="H1034" s="4" t="s">
        <v>9415</v>
      </c>
      <c r="I1034" s="3" t="s">
        <v>49</v>
      </c>
      <c r="J1034" s="3" t="s">
        <v>126</v>
      </c>
      <c r="K1034" s="3" t="s">
        <v>45</v>
      </c>
      <c r="L1034" s="3" t="s">
        <v>45</v>
      </c>
      <c r="M1034" s="3" t="s">
        <v>45</v>
      </c>
      <c r="N1034" s="3" t="s">
        <v>45</v>
      </c>
      <c r="O1034" s="3" t="s">
        <v>88</v>
      </c>
      <c r="P1034" s="3" t="s">
        <v>220</v>
      </c>
      <c r="Q1034" s="3" t="s">
        <v>45</v>
      </c>
      <c r="R1034" s="3" t="s">
        <v>45</v>
      </c>
      <c r="S1034" s="4" t="s">
        <v>275</v>
      </c>
      <c r="T1034" s="3" t="s">
        <v>45</v>
      </c>
      <c r="U1034" s="3" t="s">
        <v>45</v>
      </c>
      <c r="V1034" s="4" t="s">
        <v>9416</v>
      </c>
      <c r="W1034" s="4" t="s">
        <v>2501</v>
      </c>
      <c r="X1034" s="3" t="s">
        <v>45</v>
      </c>
      <c r="Y1034" s="3" t="s">
        <v>45</v>
      </c>
      <c r="Z1034" s="3" t="s">
        <v>74</v>
      </c>
      <c r="AA1034" s="3" t="s">
        <v>45</v>
      </c>
      <c r="AB1034" s="3" t="s">
        <v>45</v>
      </c>
      <c r="AC1034" s="3" t="s">
        <v>45</v>
      </c>
      <c r="AD1034" s="3" t="s">
        <v>45</v>
      </c>
      <c r="AE1034" s="3" t="s">
        <v>45</v>
      </c>
      <c r="AF1034" s="3" t="s">
        <v>45</v>
      </c>
      <c r="AG1034" s="3" t="s">
        <v>45</v>
      </c>
      <c r="AH1034" s="3" t="s">
        <v>57</v>
      </c>
      <c r="AI1034" s="5" t="s">
        <v>9417</v>
      </c>
      <c r="AJ1034" s="3" t="s">
        <v>45</v>
      </c>
      <c r="AK1034" s="3" t="s">
        <v>45</v>
      </c>
      <c r="AL1034" s="3" t="s">
        <v>45</v>
      </c>
      <c r="AM1034" s="3" t="s">
        <v>45</v>
      </c>
      <c r="AN1034" s="3" t="s">
        <v>45</v>
      </c>
      <c r="AO1034" s="3" t="s">
        <v>45</v>
      </c>
      <c r="AP1034" s="3" t="s">
        <v>45</v>
      </c>
      <c r="AQ1034" s="4" t="s">
        <v>3574</v>
      </c>
      <c r="AR1034" s="4" t="s">
        <v>3574</v>
      </c>
    </row>
    <row r="1035">
      <c r="A1035" s="3" t="s">
        <v>9418</v>
      </c>
      <c r="B1035" s="3" t="s">
        <v>9419</v>
      </c>
      <c r="C1035" s="3" t="s">
        <v>9420</v>
      </c>
      <c r="D1035" s="3" t="s">
        <v>8268</v>
      </c>
      <c r="E1035" s="4" t="s">
        <v>9421</v>
      </c>
      <c r="F1035" s="3" t="s">
        <v>8640</v>
      </c>
      <c r="G1035" s="4" t="s">
        <v>9422</v>
      </c>
      <c r="H1035" s="4" t="s">
        <v>9423</v>
      </c>
      <c r="I1035" s="3" t="s">
        <v>49</v>
      </c>
      <c r="J1035" s="3" t="s">
        <v>126</v>
      </c>
      <c r="K1035" s="3" t="s">
        <v>45</v>
      </c>
      <c r="L1035" s="3" t="s">
        <v>45</v>
      </c>
      <c r="M1035" s="3" t="s">
        <v>45</v>
      </c>
      <c r="N1035" s="3" t="s">
        <v>45</v>
      </c>
      <c r="O1035" s="3" t="s">
        <v>74</v>
      </c>
      <c r="P1035" s="3" t="s">
        <v>45</v>
      </c>
      <c r="Q1035" s="3" t="s">
        <v>45</v>
      </c>
      <c r="R1035" s="3" t="s">
        <v>45</v>
      </c>
      <c r="S1035" s="3" t="s">
        <v>45</v>
      </c>
      <c r="T1035" s="3" t="s">
        <v>45</v>
      </c>
      <c r="U1035" s="3" t="s">
        <v>45</v>
      </c>
      <c r="V1035" s="4" t="s">
        <v>9424</v>
      </c>
      <c r="W1035" s="3" t="s">
        <v>45</v>
      </c>
      <c r="X1035" s="3" t="s">
        <v>45</v>
      </c>
      <c r="Y1035" s="4" t="s">
        <v>317</v>
      </c>
      <c r="Z1035" s="3" t="s">
        <v>74</v>
      </c>
      <c r="AA1035" s="3" t="s">
        <v>45</v>
      </c>
      <c r="AB1035" s="3" t="s">
        <v>45</v>
      </c>
      <c r="AC1035" s="3" t="s">
        <v>45</v>
      </c>
      <c r="AD1035" s="3" t="s">
        <v>45</v>
      </c>
      <c r="AE1035" s="3" t="s">
        <v>45</v>
      </c>
      <c r="AF1035" s="3" t="s">
        <v>45</v>
      </c>
      <c r="AG1035" s="3" t="s">
        <v>45</v>
      </c>
      <c r="AH1035" s="3" t="s">
        <v>57</v>
      </c>
      <c r="AI1035" s="5" t="s">
        <v>8643</v>
      </c>
      <c r="AJ1035" s="3" t="s">
        <v>45</v>
      </c>
      <c r="AK1035" s="3" t="s">
        <v>45</v>
      </c>
      <c r="AL1035" s="3" t="s">
        <v>45</v>
      </c>
      <c r="AM1035" s="3" t="s">
        <v>45</v>
      </c>
      <c r="AN1035" s="3" t="s">
        <v>45</v>
      </c>
      <c r="AO1035" s="3" t="s">
        <v>45</v>
      </c>
      <c r="AP1035" s="3" t="s">
        <v>45</v>
      </c>
      <c r="AQ1035" s="4" t="s">
        <v>2649</v>
      </c>
      <c r="AR1035" s="4" t="s">
        <v>2649</v>
      </c>
    </row>
    <row r="1036">
      <c r="A1036" s="3" t="s">
        <v>9425</v>
      </c>
      <c r="B1036" s="3" t="s">
        <v>9426</v>
      </c>
      <c r="C1036" s="3" t="s">
        <v>9420</v>
      </c>
      <c r="D1036" s="3" t="s">
        <v>8268</v>
      </c>
      <c r="E1036" s="4" t="s">
        <v>9427</v>
      </c>
      <c r="F1036" s="3" t="s">
        <v>8640</v>
      </c>
      <c r="G1036" s="4" t="s">
        <v>9428</v>
      </c>
      <c r="H1036" s="4" t="s">
        <v>9429</v>
      </c>
      <c r="I1036" s="3" t="s">
        <v>218</v>
      </c>
      <c r="J1036" s="3" t="s">
        <v>126</v>
      </c>
      <c r="K1036" s="3" t="s">
        <v>45</v>
      </c>
      <c r="L1036" s="3" t="s">
        <v>45</v>
      </c>
      <c r="M1036" s="3" t="s">
        <v>45</v>
      </c>
      <c r="N1036" s="3" t="s">
        <v>45</v>
      </c>
      <c r="O1036" s="3" t="s">
        <v>74</v>
      </c>
      <c r="P1036" s="3" t="s">
        <v>45</v>
      </c>
      <c r="Q1036" s="3" t="s">
        <v>45</v>
      </c>
      <c r="R1036" s="3" t="s">
        <v>45</v>
      </c>
      <c r="S1036" s="3" t="s">
        <v>45</v>
      </c>
      <c r="T1036" s="3" t="s">
        <v>45</v>
      </c>
      <c r="U1036" s="3" t="s">
        <v>45</v>
      </c>
      <c r="V1036" s="4" t="s">
        <v>9430</v>
      </c>
      <c r="W1036" s="3" t="s">
        <v>45</v>
      </c>
      <c r="X1036" s="3" t="s">
        <v>9431</v>
      </c>
      <c r="Y1036" s="3" t="s">
        <v>45</v>
      </c>
      <c r="Z1036" s="3" t="s">
        <v>74</v>
      </c>
      <c r="AA1036" s="3" t="s">
        <v>45</v>
      </c>
      <c r="AB1036" s="3" t="s">
        <v>45</v>
      </c>
      <c r="AC1036" s="3" t="s">
        <v>45</v>
      </c>
      <c r="AD1036" s="3" t="s">
        <v>45</v>
      </c>
      <c r="AE1036" s="3" t="s">
        <v>45</v>
      </c>
      <c r="AF1036" s="3" t="s">
        <v>45</v>
      </c>
      <c r="AG1036" s="3" t="s">
        <v>45</v>
      </c>
      <c r="AH1036" s="3" t="s">
        <v>57</v>
      </c>
      <c r="AI1036" s="5" t="s">
        <v>9432</v>
      </c>
      <c r="AJ1036" s="3" t="s">
        <v>45</v>
      </c>
      <c r="AK1036" s="3" t="s">
        <v>45</v>
      </c>
      <c r="AL1036" s="3" t="s">
        <v>45</v>
      </c>
      <c r="AM1036" s="3" t="s">
        <v>45</v>
      </c>
      <c r="AN1036" s="3" t="s">
        <v>45</v>
      </c>
      <c r="AO1036" s="3" t="s">
        <v>45</v>
      </c>
      <c r="AP1036" s="3" t="s">
        <v>45</v>
      </c>
      <c r="AQ1036" s="4" t="s">
        <v>4634</v>
      </c>
      <c r="AR1036" s="4" t="s">
        <v>4634</v>
      </c>
    </row>
    <row r="1037">
      <c r="A1037" s="3" t="s">
        <v>9433</v>
      </c>
      <c r="B1037" s="3" t="s">
        <v>9434</v>
      </c>
      <c r="C1037" s="3" t="s">
        <v>9420</v>
      </c>
      <c r="D1037" s="3" t="s">
        <v>8268</v>
      </c>
      <c r="E1037" s="4" t="s">
        <v>9421</v>
      </c>
      <c r="F1037" s="3" t="s">
        <v>8640</v>
      </c>
      <c r="G1037" s="4" t="s">
        <v>9435</v>
      </c>
      <c r="H1037" s="4" t="s">
        <v>9436</v>
      </c>
      <c r="I1037" s="3" t="s">
        <v>218</v>
      </c>
      <c r="J1037" s="3" t="s">
        <v>126</v>
      </c>
      <c r="K1037" s="3" t="s">
        <v>45</v>
      </c>
      <c r="L1037" s="3" t="s">
        <v>45</v>
      </c>
      <c r="M1037" s="3" t="s">
        <v>45</v>
      </c>
      <c r="N1037" s="3" t="s">
        <v>45</v>
      </c>
      <c r="O1037" s="3" t="s">
        <v>74</v>
      </c>
      <c r="P1037" s="3" t="s">
        <v>45</v>
      </c>
      <c r="Q1037" s="3" t="s">
        <v>45</v>
      </c>
      <c r="R1037" s="3" t="s">
        <v>45</v>
      </c>
      <c r="S1037" s="3" t="s">
        <v>45</v>
      </c>
      <c r="T1037" s="3" t="s">
        <v>45</v>
      </c>
      <c r="U1037" s="3" t="s">
        <v>45</v>
      </c>
      <c r="V1037" s="4" t="s">
        <v>9430</v>
      </c>
      <c r="W1037" s="3" t="s">
        <v>45</v>
      </c>
      <c r="X1037" s="3" t="s">
        <v>9437</v>
      </c>
      <c r="Y1037" s="3" t="s">
        <v>45</v>
      </c>
      <c r="Z1037" s="3" t="s">
        <v>74</v>
      </c>
      <c r="AA1037" s="3" t="s">
        <v>45</v>
      </c>
      <c r="AB1037" s="3" t="s">
        <v>45</v>
      </c>
      <c r="AC1037" s="3" t="s">
        <v>45</v>
      </c>
      <c r="AD1037" s="3" t="s">
        <v>45</v>
      </c>
      <c r="AE1037" s="3" t="s">
        <v>45</v>
      </c>
      <c r="AF1037" s="3" t="s">
        <v>45</v>
      </c>
      <c r="AG1037" s="3" t="s">
        <v>45</v>
      </c>
      <c r="AH1037" s="3" t="s">
        <v>57</v>
      </c>
      <c r="AI1037" s="5" t="s">
        <v>9438</v>
      </c>
      <c r="AJ1037" s="5" t="s">
        <v>9432</v>
      </c>
      <c r="AK1037" s="3" t="s">
        <v>45</v>
      </c>
      <c r="AL1037" s="3" t="s">
        <v>45</v>
      </c>
      <c r="AM1037" s="3" t="s">
        <v>45</v>
      </c>
      <c r="AN1037" s="3" t="s">
        <v>45</v>
      </c>
      <c r="AO1037" s="3" t="s">
        <v>45</v>
      </c>
      <c r="AP1037" s="3" t="s">
        <v>45</v>
      </c>
      <c r="AQ1037" s="4" t="s">
        <v>4634</v>
      </c>
      <c r="AR1037" s="4" t="s">
        <v>4634</v>
      </c>
    </row>
    <row r="1038">
      <c r="A1038" s="3" t="s">
        <v>9439</v>
      </c>
      <c r="B1038" s="3" t="s">
        <v>9440</v>
      </c>
      <c r="C1038" s="3" t="s">
        <v>9420</v>
      </c>
      <c r="D1038" s="3" t="s">
        <v>8268</v>
      </c>
      <c r="E1038" s="4" t="s">
        <v>9441</v>
      </c>
      <c r="F1038" s="3" t="s">
        <v>8640</v>
      </c>
      <c r="G1038" s="4" t="s">
        <v>9442</v>
      </c>
      <c r="H1038" s="4" t="s">
        <v>9443</v>
      </c>
      <c r="I1038" s="3" t="s">
        <v>218</v>
      </c>
      <c r="J1038" s="3" t="s">
        <v>50</v>
      </c>
      <c r="K1038" s="3" t="s">
        <v>45</v>
      </c>
      <c r="L1038" s="3" t="s">
        <v>45</v>
      </c>
      <c r="M1038" s="3" t="s">
        <v>45</v>
      </c>
      <c r="N1038" s="3" t="s">
        <v>45</v>
      </c>
      <c r="O1038" s="3" t="s">
        <v>74</v>
      </c>
      <c r="P1038" s="3" t="s">
        <v>45</v>
      </c>
      <c r="Q1038" s="3" t="s">
        <v>45</v>
      </c>
      <c r="R1038" s="3" t="s">
        <v>45</v>
      </c>
      <c r="S1038" s="3" t="s">
        <v>45</v>
      </c>
      <c r="T1038" s="3" t="s">
        <v>45</v>
      </c>
      <c r="U1038" s="3" t="s">
        <v>45</v>
      </c>
      <c r="V1038" s="4" t="s">
        <v>9430</v>
      </c>
      <c r="W1038" s="3" t="s">
        <v>45</v>
      </c>
      <c r="X1038" s="3" t="s">
        <v>9444</v>
      </c>
      <c r="Y1038" s="3" t="s">
        <v>45</v>
      </c>
      <c r="Z1038" s="3" t="s">
        <v>74</v>
      </c>
      <c r="AA1038" s="3" t="s">
        <v>45</v>
      </c>
      <c r="AB1038" s="3" t="s">
        <v>45</v>
      </c>
      <c r="AC1038" s="3" t="s">
        <v>45</v>
      </c>
      <c r="AD1038" s="3" t="s">
        <v>45</v>
      </c>
      <c r="AE1038" s="3" t="s">
        <v>45</v>
      </c>
      <c r="AF1038" s="3" t="s">
        <v>45</v>
      </c>
      <c r="AG1038" s="3" t="s">
        <v>45</v>
      </c>
      <c r="AH1038" s="3" t="s">
        <v>57</v>
      </c>
      <c r="AI1038" s="5" t="s">
        <v>9432</v>
      </c>
      <c r="AJ1038" s="3" t="s">
        <v>45</v>
      </c>
      <c r="AK1038" s="3" t="s">
        <v>45</v>
      </c>
      <c r="AL1038" s="3" t="s">
        <v>45</v>
      </c>
      <c r="AM1038" s="3" t="s">
        <v>45</v>
      </c>
      <c r="AN1038" s="3" t="s">
        <v>45</v>
      </c>
      <c r="AO1038" s="3" t="s">
        <v>45</v>
      </c>
      <c r="AP1038" s="3" t="s">
        <v>45</v>
      </c>
      <c r="AQ1038" s="4" t="s">
        <v>4634</v>
      </c>
      <c r="AR1038" s="4" t="s">
        <v>4634</v>
      </c>
    </row>
    <row r="1039">
      <c r="A1039" s="3" t="s">
        <v>9445</v>
      </c>
      <c r="B1039" s="3" t="s">
        <v>9446</v>
      </c>
      <c r="C1039" s="3" t="s">
        <v>9420</v>
      </c>
      <c r="D1039" s="3" t="s">
        <v>8268</v>
      </c>
      <c r="E1039" s="4" t="s">
        <v>9421</v>
      </c>
      <c r="F1039" s="3" t="s">
        <v>8640</v>
      </c>
      <c r="G1039" s="4" t="s">
        <v>9447</v>
      </c>
      <c r="H1039" s="4" t="s">
        <v>9448</v>
      </c>
      <c r="I1039" s="3" t="s">
        <v>85</v>
      </c>
      <c r="J1039" s="3" t="s">
        <v>126</v>
      </c>
      <c r="K1039" s="3" t="s">
        <v>45</v>
      </c>
      <c r="L1039" s="3" t="s">
        <v>45</v>
      </c>
      <c r="M1039" s="3" t="s">
        <v>45</v>
      </c>
      <c r="N1039" s="3" t="s">
        <v>45</v>
      </c>
      <c r="O1039" s="3" t="s">
        <v>74</v>
      </c>
      <c r="P1039" s="3" t="s">
        <v>45</v>
      </c>
      <c r="Q1039" s="3" t="s">
        <v>45</v>
      </c>
      <c r="R1039" s="3" t="s">
        <v>45</v>
      </c>
      <c r="S1039" s="3" t="s">
        <v>45</v>
      </c>
      <c r="T1039" s="3" t="s">
        <v>45</v>
      </c>
      <c r="U1039" s="3" t="s">
        <v>45</v>
      </c>
      <c r="V1039" s="3" t="s">
        <v>45</v>
      </c>
      <c r="W1039" s="3" t="s">
        <v>45</v>
      </c>
      <c r="X1039" s="3" t="s">
        <v>45</v>
      </c>
      <c r="Y1039" s="3" t="s">
        <v>45</v>
      </c>
      <c r="Z1039" s="3" t="s">
        <v>74</v>
      </c>
      <c r="AA1039" s="3" t="s">
        <v>45</v>
      </c>
      <c r="AB1039" s="3" t="s">
        <v>45</v>
      </c>
      <c r="AC1039" s="3" t="s">
        <v>45</v>
      </c>
      <c r="AD1039" s="3" t="s">
        <v>45</v>
      </c>
      <c r="AE1039" s="3" t="s">
        <v>45</v>
      </c>
      <c r="AF1039" s="3" t="s">
        <v>45</v>
      </c>
      <c r="AG1039" s="3" t="s">
        <v>8333</v>
      </c>
      <c r="AH1039" s="3" t="s">
        <v>57</v>
      </c>
      <c r="AI1039" s="3" t="s">
        <v>45</v>
      </c>
      <c r="AJ1039" s="3" t="s">
        <v>45</v>
      </c>
      <c r="AK1039" s="3" t="s">
        <v>45</v>
      </c>
      <c r="AL1039" s="3" t="s">
        <v>45</v>
      </c>
      <c r="AM1039" s="3" t="s">
        <v>45</v>
      </c>
      <c r="AN1039" s="3" t="s">
        <v>45</v>
      </c>
      <c r="AO1039" s="3" t="s">
        <v>45</v>
      </c>
      <c r="AP1039" s="3" t="s">
        <v>45</v>
      </c>
      <c r="AQ1039" s="4" t="s">
        <v>1085</v>
      </c>
      <c r="AR1039" s="4" t="s">
        <v>1085</v>
      </c>
    </row>
    <row r="1040">
      <c r="A1040" s="3" t="s">
        <v>9449</v>
      </c>
      <c r="B1040" s="3" t="s">
        <v>9450</v>
      </c>
      <c r="C1040" s="3" t="s">
        <v>9420</v>
      </c>
      <c r="D1040" s="3" t="s">
        <v>8268</v>
      </c>
      <c r="E1040" s="4" t="s">
        <v>9441</v>
      </c>
      <c r="F1040" s="3" t="s">
        <v>8640</v>
      </c>
      <c r="G1040" s="4" t="s">
        <v>9451</v>
      </c>
      <c r="H1040" s="4" t="s">
        <v>9452</v>
      </c>
      <c r="I1040" s="3" t="s">
        <v>85</v>
      </c>
      <c r="J1040" s="3" t="s">
        <v>126</v>
      </c>
      <c r="K1040" s="3" t="s">
        <v>45</v>
      </c>
      <c r="L1040" s="3" t="s">
        <v>45</v>
      </c>
      <c r="M1040" s="3" t="s">
        <v>45</v>
      </c>
      <c r="N1040" s="3" t="s">
        <v>45</v>
      </c>
      <c r="O1040" s="3" t="s">
        <v>74</v>
      </c>
      <c r="P1040" s="3" t="s">
        <v>45</v>
      </c>
      <c r="Q1040" s="3" t="s">
        <v>45</v>
      </c>
      <c r="R1040" s="3" t="s">
        <v>45</v>
      </c>
      <c r="S1040" s="3" t="s">
        <v>45</v>
      </c>
      <c r="T1040" s="3" t="s">
        <v>45</v>
      </c>
      <c r="U1040" s="3" t="s">
        <v>45</v>
      </c>
      <c r="V1040" s="3" t="s">
        <v>45</v>
      </c>
      <c r="W1040" s="3" t="s">
        <v>45</v>
      </c>
      <c r="X1040" s="3" t="s">
        <v>45</v>
      </c>
      <c r="Y1040" s="3" t="s">
        <v>45</v>
      </c>
      <c r="Z1040" s="3" t="s">
        <v>74</v>
      </c>
      <c r="AA1040" s="3" t="s">
        <v>45</v>
      </c>
      <c r="AB1040" s="3" t="s">
        <v>45</v>
      </c>
      <c r="AC1040" s="3" t="s">
        <v>45</v>
      </c>
      <c r="AD1040" s="3" t="s">
        <v>45</v>
      </c>
      <c r="AE1040" s="3" t="s">
        <v>45</v>
      </c>
      <c r="AF1040" s="3" t="s">
        <v>45</v>
      </c>
      <c r="AG1040" s="3" t="s">
        <v>8368</v>
      </c>
      <c r="AH1040" s="3" t="s">
        <v>57</v>
      </c>
      <c r="AI1040" s="5" t="s">
        <v>8334</v>
      </c>
      <c r="AJ1040" s="3" t="s">
        <v>45</v>
      </c>
      <c r="AK1040" s="3" t="s">
        <v>45</v>
      </c>
      <c r="AL1040" s="3" t="s">
        <v>45</v>
      </c>
      <c r="AM1040" s="3" t="s">
        <v>45</v>
      </c>
      <c r="AN1040" s="3" t="s">
        <v>45</v>
      </c>
      <c r="AO1040" s="3" t="s">
        <v>45</v>
      </c>
      <c r="AP1040" s="3" t="s">
        <v>45</v>
      </c>
      <c r="AQ1040" s="4" t="s">
        <v>8335</v>
      </c>
      <c r="AR1040" s="4" t="s">
        <v>8335</v>
      </c>
    </row>
    <row r="1041">
      <c r="A1041" s="3" t="s">
        <v>3119</v>
      </c>
      <c r="B1041" s="3" t="s">
        <v>9453</v>
      </c>
      <c r="C1041" s="3" t="s">
        <v>9420</v>
      </c>
      <c r="D1041" s="3" t="s">
        <v>8268</v>
      </c>
      <c r="E1041" s="4" t="s">
        <v>9421</v>
      </c>
      <c r="F1041" s="3" t="s">
        <v>8640</v>
      </c>
      <c r="G1041" s="4" t="s">
        <v>9454</v>
      </c>
      <c r="H1041" s="4" t="s">
        <v>9455</v>
      </c>
      <c r="I1041" s="3" t="s">
        <v>85</v>
      </c>
      <c r="J1041" s="3" t="s">
        <v>126</v>
      </c>
      <c r="K1041" s="3" t="s">
        <v>45</v>
      </c>
      <c r="L1041" s="3" t="s">
        <v>45</v>
      </c>
      <c r="M1041" s="3" t="s">
        <v>45</v>
      </c>
      <c r="N1041" s="3" t="s">
        <v>45</v>
      </c>
      <c r="O1041" s="3" t="s">
        <v>74</v>
      </c>
      <c r="P1041" s="3" t="s">
        <v>45</v>
      </c>
      <c r="Q1041" s="3" t="s">
        <v>45</v>
      </c>
      <c r="R1041" s="3" t="s">
        <v>45</v>
      </c>
      <c r="S1041" s="3" t="s">
        <v>45</v>
      </c>
      <c r="T1041" s="3" t="s">
        <v>45</v>
      </c>
      <c r="U1041" s="3" t="s">
        <v>45</v>
      </c>
      <c r="V1041" s="3" t="s">
        <v>45</v>
      </c>
      <c r="W1041" s="3" t="s">
        <v>45</v>
      </c>
      <c r="X1041" s="3" t="s">
        <v>45</v>
      </c>
      <c r="Y1041" s="3" t="s">
        <v>45</v>
      </c>
      <c r="Z1041" s="3" t="s">
        <v>74</v>
      </c>
      <c r="AA1041" s="3" t="s">
        <v>45</v>
      </c>
      <c r="AB1041" s="3" t="s">
        <v>45</v>
      </c>
      <c r="AC1041" s="3" t="s">
        <v>45</v>
      </c>
      <c r="AD1041" s="3" t="s">
        <v>45</v>
      </c>
      <c r="AE1041" s="3" t="s">
        <v>45</v>
      </c>
      <c r="AF1041" s="3" t="s">
        <v>45</v>
      </c>
      <c r="AG1041" s="3" t="s">
        <v>45</v>
      </c>
      <c r="AH1041" s="3" t="s">
        <v>57</v>
      </c>
      <c r="AI1041" s="3" t="s">
        <v>45</v>
      </c>
      <c r="AJ1041" s="3" t="s">
        <v>45</v>
      </c>
      <c r="AK1041" s="3" t="s">
        <v>45</v>
      </c>
      <c r="AL1041" s="3" t="s">
        <v>45</v>
      </c>
      <c r="AM1041" s="3" t="s">
        <v>45</v>
      </c>
      <c r="AN1041" s="3" t="s">
        <v>45</v>
      </c>
      <c r="AO1041" s="3" t="s">
        <v>45</v>
      </c>
      <c r="AP1041" s="3" t="s">
        <v>45</v>
      </c>
      <c r="AQ1041" s="4" t="s">
        <v>8335</v>
      </c>
      <c r="AR1041" s="4" t="s">
        <v>8335</v>
      </c>
    </row>
    <row r="1042">
      <c r="A1042" s="3" t="s">
        <v>381</v>
      </c>
      <c r="B1042" s="3" t="s">
        <v>9456</v>
      </c>
      <c r="C1042" s="3" t="s">
        <v>9420</v>
      </c>
      <c r="D1042" s="3" t="s">
        <v>8268</v>
      </c>
      <c r="E1042" s="4" t="s">
        <v>9457</v>
      </c>
      <c r="F1042" s="3" t="s">
        <v>8640</v>
      </c>
      <c r="G1042" s="4" t="s">
        <v>9458</v>
      </c>
      <c r="H1042" s="4" t="s">
        <v>9459</v>
      </c>
      <c r="I1042" s="3" t="s">
        <v>85</v>
      </c>
      <c r="J1042" s="3" t="s">
        <v>126</v>
      </c>
      <c r="K1042" s="3" t="s">
        <v>45</v>
      </c>
      <c r="L1042" s="3" t="s">
        <v>45</v>
      </c>
      <c r="M1042" s="3" t="s">
        <v>45</v>
      </c>
      <c r="N1042" s="3" t="s">
        <v>45</v>
      </c>
      <c r="O1042" s="3" t="s">
        <v>74</v>
      </c>
      <c r="P1042" s="3" t="s">
        <v>45</v>
      </c>
      <c r="Q1042" s="3" t="s">
        <v>45</v>
      </c>
      <c r="R1042" s="3" t="s">
        <v>45</v>
      </c>
      <c r="S1042" s="3" t="s">
        <v>45</v>
      </c>
      <c r="T1042" s="3" t="s">
        <v>45</v>
      </c>
      <c r="U1042" s="3" t="s">
        <v>45</v>
      </c>
      <c r="V1042" s="3" t="s">
        <v>45</v>
      </c>
      <c r="W1042" s="3" t="s">
        <v>45</v>
      </c>
      <c r="X1042" s="3" t="s">
        <v>45</v>
      </c>
      <c r="Y1042" s="3" t="s">
        <v>45</v>
      </c>
      <c r="Z1042" s="3" t="s">
        <v>74</v>
      </c>
      <c r="AA1042" s="3" t="s">
        <v>45</v>
      </c>
      <c r="AB1042" s="3" t="s">
        <v>45</v>
      </c>
      <c r="AC1042" s="3" t="s">
        <v>45</v>
      </c>
      <c r="AD1042" s="3" t="s">
        <v>45</v>
      </c>
      <c r="AE1042" s="3" t="s">
        <v>45</v>
      </c>
      <c r="AF1042" s="3" t="s">
        <v>45</v>
      </c>
      <c r="AG1042" s="3" t="s">
        <v>45</v>
      </c>
      <c r="AH1042" s="3" t="s">
        <v>57</v>
      </c>
      <c r="AI1042" s="3" t="s">
        <v>45</v>
      </c>
      <c r="AJ1042" s="3" t="s">
        <v>45</v>
      </c>
      <c r="AK1042" s="3" t="s">
        <v>45</v>
      </c>
      <c r="AL1042" s="3" t="s">
        <v>45</v>
      </c>
      <c r="AM1042" s="3" t="s">
        <v>45</v>
      </c>
      <c r="AN1042" s="3" t="s">
        <v>45</v>
      </c>
      <c r="AO1042" s="3" t="s">
        <v>45</v>
      </c>
      <c r="AP1042" s="3" t="s">
        <v>45</v>
      </c>
      <c r="AQ1042" s="4" t="s">
        <v>8335</v>
      </c>
      <c r="AR1042" s="4" t="s">
        <v>8335</v>
      </c>
    </row>
    <row r="1043">
      <c r="A1043" s="3" t="s">
        <v>9460</v>
      </c>
      <c r="B1043" s="3" t="s">
        <v>9461</v>
      </c>
      <c r="C1043" s="3" t="s">
        <v>9420</v>
      </c>
      <c r="D1043" s="3" t="s">
        <v>8268</v>
      </c>
      <c r="E1043" s="4" t="s">
        <v>9421</v>
      </c>
      <c r="F1043" s="3" t="s">
        <v>8640</v>
      </c>
      <c r="G1043" s="4" t="s">
        <v>9462</v>
      </c>
      <c r="H1043" s="4" t="s">
        <v>9463</v>
      </c>
      <c r="I1043" s="3" t="s">
        <v>85</v>
      </c>
      <c r="J1043" s="3" t="s">
        <v>126</v>
      </c>
      <c r="K1043" s="3" t="s">
        <v>45</v>
      </c>
      <c r="L1043" s="3" t="s">
        <v>45</v>
      </c>
      <c r="M1043" s="3" t="s">
        <v>45</v>
      </c>
      <c r="N1043" s="3" t="s">
        <v>45</v>
      </c>
      <c r="O1043" s="3" t="s">
        <v>74</v>
      </c>
      <c r="P1043" s="3" t="s">
        <v>45</v>
      </c>
      <c r="Q1043" s="3" t="s">
        <v>45</v>
      </c>
      <c r="R1043" s="3" t="s">
        <v>45</v>
      </c>
      <c r="S1043" s="3" t="s">
        <v>45</v>
      </c>
      <c r="T1043" s="3" t="s">
        <v>45</v>
      </c>
      <c r="U1043" s="3" t="s">
        <v>45</v>
      </c>
      <c r="V1043" s="3" t="s">
        <v>45</v>
      </c>
      <c r="W1043" s="3" t="s">
        <v>45</v>
      </c>
      <c r="X1043" s="3" t="s">
        <v>45</v>
      </c>
      <c r="Y1043" s="3" t="s">
        <v>45</v>
      </c>
      <c r="Z1043" s="3" t="s">
        <v>74</v>
      </c>
      <c r="AA1043" s="3" t="s">
        <v>45</v>
      </c>
      <c r="AB1043" s="3" t="s">
        <v>45</v>
      </c>
      <c r="AC1043" s="3" t="s">
        <v>45</v>
      </c>
      <c r="AD1043" s="3" t="s">
        <v>45</v>
      </c>
      <c r="AE1043" s="3" t="s">
        <v>45</v>
      </c>
      <c r="AF1043" s="3" t="s">
        <v>45</v>
      </c>
      <c r="AG1043" s="3" t="s">
        <v>8333</v>
      </c>
      <c r="AH1043" s="3" t="s">
        <v>57</v>
      </c>
      <c r="AI1043" s="5" t="s">
        <v>8334</v>
      </c>
      <c r="AJ1043" s="3" t="s">
        <v>45</v>
      </c>
      <c r="AK1043" s="3" t="s">
        <v>45</v>
      </c>
      <c r="AL1043" s="3" t="s">
        <v>45</v>
      </c>
      <c r="AM1043" s="3" t="s">
        <v>45</v>
      </c>
      <c r="AN1043" s="3" t="s">
        <v>45</v>
      </c>
      <c r="AO1043" s="3" t="s">
        <v>45</v>
      </c>
      <c r="AP1043" s="3" t="s">
        <v>45</v>
      </c>
      <c r="AQ1043" s="4" t="s">
        <v>8335</v>
      </c>
      <c r="AR1043" s="4" t="s">
        <v>8335</v>
      </c>
    </row>
    <row r="1044">
      <c r="A1044" s="3" t="s">
        <v>404</v>
      </c>
      <c r="B1044" s="3" t="s">
        <v>9464</v>
      </c>
      <c r="C1044" s="3" t="s">
        <v>9420</v>
      </c>
      <c r="D1044" s="3" t="s">
        <v>8268</v>
      </c>
      <c r="E1044" s="4" t="s">
        <v>9106</v>
      </c>
      <c r="F1044" s="3" t="s">
        <v>8640</v>
      </c>
      <c r="G1044" s="4" t="s">
        <v>9465</v>
      </c>
      <c r="H1044" s="4" t="s">
        <v>9466</v>
      </c>
      <c r="I1044" s="3" t="s">
        <v>49</v>
      </c>
      <c r="J1044" s="3" t="s">
        <v>50</v>
      </c>
      <c r="K1044" s="3" t="s">
        <v>45</v>
      </c>
      <c r="L1044" s="3" t="s">
        <v>409</v>
      </c>
      <c r="M1044" s="3" t="s">
        <v>45</v>
      </c>
      <c r="N1044" s="3" t="s">
        <v>45</v>
      </c>
      <c r="O1044" s="3" t="s">
        <v>74</v>
      </c>
      <c r="P1044" s="3" t="s">
        <v>45</v>
      </c>
      <c r="Q1044" s="3" t="s">
        <v>45</v>
      </c>
      <c r="R1044" s="3" t="s">
        <v>45</v>
      </c>
      <c r="S1044" s="4" t="s">
        <v>233</v>
      </c>
      <c r="T1044" s="3" t="s">
        <v>45</v>
      </c>
      <c r="U1044" s="3" t="s">
        <v>45</v>
      </c>
      <c r="V1044" s="4" t="s">
        <v>9467</v>
      </c>
      <c r="W1044" s="4" t="s">
        <v>6214</v>
      </c>
      <c r="X1044" s="3" t="s">
        <v>45</v>
      </c>
      <c r="Y1044" s="3" t="s">
        <v>45</v>
      </c>
      <c r="Z1044" s="3" t="s">
        <v>74</v>
      </c>
      <c r="AA1044" s="3" t="s">
        <v>45</v>
      </c>
      <c r="AB1044" s="3" t="s">
        <v>45</v>
      </c>
      <c r="AC1044" s="3" t="s">
        <v>45</v>
      </c>
      <c r="AD1044" s="3" t="s">
        <v>45</v>
      </c>
      <c r="AE1044" s="3" t="s">
        <v>45</v>
      </c>
      <c r="AF1044" s="3" t="s">
        <v>45</v>
      </c>
      <c r="AG1044" s="3" t="s">
        <v>45</v>
      </c>
      <c r="AH1044" s="3" t="s">
        <v>57</v>
      </c>
      <c r="AI1044" s="5" t="s">
        <v>9468</v>
      </c>
      <c r="AJ1044" s="3" t="s">
        <v>45</v>
      </c>
      <c r="AK1044" s="3" t="s">
        <v>45</v>
      </c>
      <c r="AL1044" s="3" t="s">
        <v>45</v>
      </c>
      <c r="AM1044" s="3" t="s">
        <v>45</v>
      </c>
      <c r="AN1044" s="3" t="s">
        <v>45</v>
      </c>
      <c r="AO1044" s="3" t="s">
        <v>45</v>
      </c>
      <c r="AP1044" s="3" t="s">
        <v>45</v>
      </c>
      <c r="AQ1044" s="4" t="s">
        <v>3233</v>
      </c>
      <c r="AR1044" s="4" t="s">
        <v>3233</v>
      </c>
    </row>
    <row r="1045">
      <c r="A1045" s="3" t="s">
        <v>9469</v>
      </c>
      <c r="B1045" s="3" t="s">
        <v>9470</v>
      </c>
      <c r="C1045" s="3" t="s">
        <v>9420</v>
      </c>
      <c r="D1045" s="3" t="s">
        <v>8268</v>
      </c>
      <c r="E1045" s="4" t="s">
        <v>9421</v>
      </c>
      <c r="F1045" s="3" t="s">
        <v>8640</v>
      </c>
      <c r="G1045" s="4" t="s">
        <v>9471</v>
      </c>
      <c r="H1045" s="4" t="s">
        <v>9472</v>
      </c>
      <c r="I1045" s="3" t="s">
        <v>49</v>
      </c>
      <c r="J1045" s="3" t="s">
        <v>126</v>
      </c>
      <c r="K1045" s="3" t="s">
        <v>45</v>
      </c>
      <c r="L1045" s="3" t="s">
        <v>409</v>
      </c>
      <c r="M1045" s="3" t="s">
        <v>45</v>
      </c>
      <c r="N1045" s="3" t="s">
        <v>45</v>
      </c>
      <c r="O1045" s="3" t="s">
        <v>74</v>
      </c>
      <c r="P1045" s="3" t="s">
        <v>45</v>
      </c>
      <c r="Q1045" s="3" t="s">
        <v>45</v>
      </c>
      <c r="R1045" s="3" t="s">
        <v>45</v>
      </c>
      <c r="S1045" s="3" t="s">
        <v>45</v>
      </c>
      <c r="T1045" s="3" t="s">
        <v>45</v>
      </c>
      <c r="U1045" s="3" t="s">
        <v>45</v>
      </c>
      <c r="V1045" s="4" t="s">
        <v>2700</v>
      </c>
      <c r="W1045" s="3" t="s">
        <v>45</v>
      </c>
      <c r="X1045" s="3" t="s">
        <v>9473</v>
      </c>
      <c r="Y1045" s="3" t="s">
        <v>45</v>
      </c>
      <c r="Z1045" s="3" t="s">
        <v>74</v>
      </c>
      <c r="AA1045" s="3" t="s">
        <v>45</v>
      </c>
      <c r="AB1045" s="3" t="s">
        <v>45</v>
      </c>
      <c r="AC1045" s="3" t="s">
        <v>45</v>
      </c>
      <c r="AD1045" s="3" t="s">
        <v>45</v>
      </c>
      <c r="AE1045" s="3" t="s">
        <v>45</v>
      </c>
      <c r="AF1045" s="3" t="s">
        <v>45</v>
      </c>
      <c r="AG1045" s="3" t="s">
        <v>45</v>
      </c>
      <c r="AH1045" s="3" t="s">
        <v>57</v>
      </c>
      <c r="AI1045" s="5" t="s">
        <v>9474</v>
      </c>
      <c r="AJ1045" s="3" t="s">
        <v>45</v>
      </c>
      <c r="AK1045" s="3" t="s">
        <v>45</v>
      </c>
      <c r="AL1045" s="3" t="s">
        <v>45</v>
      </c>
      <c r="AM1045" s="3" t="s">
        <v>45</v>
      </c>
      <c r="AN1045" s="3" t="s">
        <v>45</v>
      </c>
      <c r="AO1045" s="3" t="s">
        <v>45</v>
      </c>
      <c r="AP1045" s="3" t="s">
        <v>45</v>
      </c>
      <c r="AQ1045" s="4" t="s">
        <v>4634</v>
      </c>
      <c r="AR1045" s="4" t="s">
        <v>4634</v>
      </c>
    </row>
    <row r="1046">
      <c r="A1046" s="3" t="s">
        <v>9475</v>
      </c>
      <c r="B1046" s="3" t="s">
        <v>9476</v>
      </c>
      <c r="C1046" s="3" t="s">
        <v>9420</v>
      </c>
      <c r="D1046" s="3" t="s">
        <v>8268</v>
      </c>
      <c r="E1046" s="4" t="s">
        <v>9421</v>
      </c>
      <c r="F1046" s="3" t="s">
        <v>8640</v>
      </c>
      <c r="G1046" s="4" t="s">
        <v>9477</v>
      </c>
      <c r="H1046" s="4" t="s">
        <v>9478</v>
      </c>
      <c r="I1046" s="3" t="s">
        <v>49</v>
      </c>
      <c r="J1046" s="3" t="s">
        <v>126</v>
      </c>
      <c r="K1046" s="3" t="s">
        <v>45</v>
      </c>
      <c r="L1046" s="3" t="s">
        <v>409</v>
      </c>
      <c r="M1046" s="3" t="s">
        <v>45</v>
      </c>
      <c r="N1046" s="3" t="s">
        <v>45</v>
      </c>
      <c r="O1046" s="3" t="s">
        <v>74</v>
      </c>
      <c r="P1046" s="3" t="s">
        <v>45</v>
      </c>
      <c r="Q1046" s="3" t="s">
        <v>45</v>
      </c>
      <c r="R1046" s="3" t="s">
        <v>45</v>
      </c>
      <c r="S1046" s="3" t="s">
        <v>45</v>
      </c>
      <c r="T1046" s="3" t="s">
        <v>45</v>
      </c>
      <c r="U1046" s="3" t="s">
        <v>45</v>
      </c>
      <c r="V1046" s="4" t="s">
        <v>2817</v>
      </c>
      <c r="W1046" s="3" t="s">
        <v>45</v>
      </c>
      <c r="X1046" s="3" t="s">
        <v>9479</v>
      </c>
      <c r="Y1046" s="3" t="s">
        <v>45</v>
      </c>
      <c r="Z1046" s="3" t="s">
        <v>74</v>
      </c>
      <c r="AA1046" s="3" t="s">
        <v>45</v>
      </c>
      <c r="AB1046" s="3" t="s">
        <v>45</v>
      </c>
      <c r="AC1046" s="3" t="s">
        <v>45</v>
      </c>
      <c r="AD1046" s="3" t="s">
        <v>45</v>
      </c>
      <c r="AE1046" s="3" t="s">
        <v>45</v>
      </c>
      <c r="AF1046" s="3" t="s">
        <v>45</v>
      </c>
      <c r="AG1046" s="3" t="s">
        <v>45</v>
      </c>
      <c r="AH1046" s="3" t="s">
        <v>57</v>
      </c>
      <c r="AI1046" s="5" t="s">
        <v>9480</v>
      </c>
      <c r="AJ1046" s="3" t="s">
        <v>45</v>
      </c>
      <c r="AK1046" s="3" t="s">
        <v>45</v>
      </c>
      <c r="AL1046" s="3" t="s">
        <v>45</v>
      </c>
      <c r="AM1046" s="3" t="s">
        <v>45</v>
      </c>
      <c r="AN1046" s="3" t="s">
        <v>45</v>
      </c>
      <c r="AO1046" s="3" t="s">
        <v>45</v>
      </c>
      <c r="AP1046" s="3" t="s">
        <v>45</v>
      </c>
      <c r="AQ1046" s="4" t="s">
        <v>4634</v>
      </c>
      <c r="AR1046" s="4" t="s">
        <v>4634</v>
      </c>
    </row>
    <row r="1047">
      <c r="A1047" s="3" t="s">
        <v>9481</v>
      </c>
      <c r="B1047" s="3" t="s">
        <v>9482</v>
      </c>
      <c r="C1047" s="3" t="s">
        <v>9420</v>
      </c>
      <c r="D1047" s="3" t="s">
        <v>8268</v>
      </c>
      <c r="E1047" s="4" t="s">
        <v>9441</v>
      </c>
      <c r="F1047" s="3" t="s">
        <v>8640</v>
      </c>
      <c r="G1047" s="4" t="s">
        <v>9483</v>
      </c>
      <c r="H1047" s="4" t="s">
        <v>9484</v>
      </c>
      <c r="I1047" s="3" t="s">
        <v>85</v>
      </c>
      <c r="J1047" s="3" t="s">
        <v>126</v>
      </c>
      <c r="K1047" s="3" t="s">
        <v>45</v>
      </c>
      <c r="L1047" s="3" t="s">
        <v>409</v>
      </c>
      <c r="M1047" s="3" t="s">
        <v>45</v>
      </c>
      <c r="N1047" s="3" t="s">
        <v>45</v>
      </c>
      <c r="O1047" s="3" t="s">
        <v>74</v>
      </c>
      <c r="P1047" s="3" t="s">
        <v>45</v>
      </c>
      <c r="Q1047" s="3" t="s">
        <v>45</v>
      </c>
      <c r="R1047" s="3" t="s">
        <v>45</v>
      </c>
      <c r="S1047" s="3" t="s">
        <v>45</v>
      </c>
      <c r="T1047" s="3" t="s">
        <v>45</v>
      </c>
      <c r="U1047" s="3" t="s">
        <v>45</v>
      </c>
      <c r="V1047" s="4" t="s">
        <v>106</v>
      </c>
      <c r="W1047" s="3" t="s">
        <v>45</v>
      </c>
      <c r="X1047" s="3" t="s">
        <v>9479</v>
      </c>
      <c r="Y1047" s="3" t="s">
        <v>45</v>
      </c>
      <c r="Z1047" s="3" t="s">
        <v>74</v>
      </c>
      <c r="AA1047" s="3" t="s">
        <v>45</v>
      </c>
      <c r="AB1047" s="3" t="s">
        <v>45</v>
      </c>
      <c r="AC1047" s="3" t="s">
        <v>45</v>
      </c>
      <c r="AD1047" s="3" t="s">
        <v>45</v>
      </c>
      <c r="AE1047" s="3" t="s">
        <v>45</v>
      </c>
      <c r="AF1047" s="3" t="s">
        <v>45</v>
      </c>
      <c r="AG1047" s="3" t="s">
        <v>45</v>
      </c>
      <c r="AH1047" s="3" t="s">
        <v>57</v>
      </c>
      <c r="AI1047" s="5" t="s">
        <v>9474</v>
      </c>
      <c r="AJ1047" s="5" t="s">
        <v>9474</v>
      </c>
      <c r="AK1047" s="5" t="s">
        <v>9485</v>
      </c>
      <c r="AL1047" s="3" t="s">
        <v>45</v>
      </c>
      <c r="AM1047" s="3" t="s">
        <v>45</v>
      </c>
      <c r="AN1047" s="3" t="s">
        <v>45</v>
      </c>
      <c r="AO1047" s="3" t="s">
        <v>45</v>
      </c>
      <c r="AP1047" s="3" t="s">
        <v>45</v>
      </c>
      <c r="AQ1047" s="4" t="s">
        <v>4634</v>
      </c>
      <c r="AR1047" s="4" t="s">
        <v>1300</v>
      </c>
    </row>
    <row r="1048">
      <c r="A1048" s="3" t="s">
        <v>9486</v>
      </c>
      <c r="B1048" s="3" t="s">
        <v>9487</v>
      </c>
      <c r="C1048" s="3" t="s">
        <v>9420</v>
      </c>
      <c r="D1048" s="3" t="s">
        <v>8268</v>
      </c>
      <c r="E1048" s="4" t="s">
        <v>9421</v>
      </c>
      <c r="F1048" s="3" t="s">
        <v>8640</v>
      </c>
      <c r="G1048" s="4" t="s">
        <v>9488</v>
      </c>
      <c r="H1048" s="4" t="s">
        <v>9489</v>
      </c>
      <c r="I1048" s="3" t="s">
        <v>85</v>
      </c>
      <c r="J1048" s="3" t="s">
        <v>126</v>
      </c>
      <c r="K1048" s="3" t="s">
        <v>45</v>
      </c>
      <c r="L1048" s="3" t="s">
        <v>409</v>
      </c>
      <c r="M1048" s="3" t="s">
        <v>45</v>
      </c>
      <c r="N1048" s="3" t="s">
        <v>45</v>
      </c>
      <c r="O1048" s="3" t="s">
        <v>74</v>
      </c>
      <c r="P1048" s="3" t="s">
        <v>45</v>
      </c>
      <c r="Q1048" s="3" t="s">
        <v>45</v>
      </c>
      <c r="R1048" s="3" t="s">
        <v>45</v>
      </c>
      <c r="S1048" s="3" t="s">
        <v>45</v>
      </c>
      <c r="T1048" s="3" t="s">
        <v>45</v>
      </c>
      <c r="U1048" s="3" t="s">
        <v>45</v>
      </c>
      <c r="V1048" s="3" t="s">
        <v>45</v>
      </c>
      <c r="W1048" s="3" t="s">
        <v>45</v>
      </c>
      <c r="X1048" s="3" t="s">
        <v>45</v>
      </c>
      <c r="Y1048" s="3" t="s">
        <v>45</v>
      </c>
      <c r="Z1048" s="3" t="s">
        <v>74</v>
      </c>
      <c r="AA1048" s="3" t="s">
        <v>45</v>
      </c>
      <c r="AB1048" s="3" t="s">
        <v>45</v>
      </c>
      <c r="AC1048" s="3" t="s">
        <v>45</v>
      </c>
      <c r="AD1048" s="3" t="s">
        <v>45</v>
      </c>
      <c r="AE1048" s="3" t="s">
        <v>45</v>
      </c>
      <c r="AF1048" s="3" t="s">
        <v>45</v>
      </c>
      <c r="AG1048" s="3" t="s">
        <v>8333</v>
      </c>
      <c r="AH1048" s="3" t="s">
        <v>57</v>
      </c>
      <c r="AI1048" s="5" t="s">
        <v>8334</v>
      </c>
      <c r="AJ1048" s="3" t="s">
        <v>45</v>
      </c>
      <c r="AK1048" s="3" t="s">
        <v>45</v>
      </c>
      <c r="AL1048" s="3" t="s">
        <v>45</v>
      </c>
      <c r="AM1048" s="3" t="s">
        <v>45</v>
      </c>
      <c r="AN1048" s="3" t="s">
        <v>45</v>
      </c>
      <c r="AO1048" s="3" t="s">
        <v>45</v>
      </c>
      <c r="AP1048" s="3" t="s">
        <v>45</v>
      </c>
      <c r="AQ1048" s="4" t="s">
        <v>8335</v>
      </c>
      <c r="AR1048" s="4" t="s">
        <v>8335</v>
      </c>
    </row>
    <row r="1049">
      <c r="A1049" s="3" t="s">
        <v>9486</v>
      </c>
      <c r="B1049" s="3" t="s">
        <v>45</v>
      </c>
      <c r="C1049" s="3" t="s">
        <v>9420</v>
      </c>
      <c r="D1049" s="3" t="s">
        <v>8268</v>
      </c>
      <c r="E1049" s="4" t="s">
        <v>9421</v>
      </c>
      <c r="F1049" s="3" t="s">
        <v>8640</v>
      </c>
      <c r="G1049" s="4" t="s">
        <v>9488</v>
      </c>
      <c r="H1049" s="4" t="s">
        <v>9489</v>
      </c>
      <c r="I1049" s="3" t="s">
        <v>85</v>
      </c>
      <c r="J1049" s="3" t="s">
        <v>126</v>
      </c>
      <c r="K1049" s="3" t="s">
        <v>45</v>
      </c>
      <c r="L1049" s="3" t="s">
        <v>409</v>
      </c>
      <c r="M1049" s="3" t="s">
        <v>45</v>
      </c>
      <c r="N1049" s="3" t="s">
        <v>45</v>
      </c>
      <c r="O1049" s="3" t="s">
        <v>74</v>
      </c>
      <c r="P1049" s="3" t="s">
        <v>45</v>
      </c>
      <c r="Q1049" s="3" t="s">
        <v>45</v>
      </c>
      <c r="R1049" s="3" t="s">
        <v>45</v>
      </c>
      <c r="S1049" s="3" t="s">
        <v>45</v>
      </c>
      <c r="T1049" s="3" t="s">
        <v>45</v>
      </c>
      <c r="U1049" s="3" t="s">
        <v>45</v>
      </c>
      <c r="V1049" s="3" t="s">
        <v>45</v>
      </c>
      <c r="W1049" s="3" t="s">
        <v>45</v>
      </c>
      <c r="X1049" s="3" t="s">
        <v>45</v>
      </c>
      <c r="Y1049" s="3" t="s">
        <v>45</v>
      </c>
      <c r="Z1049" s="3" t="s">
        <v>74</v>
      </c>
      <c r="AA1049" s="3" t="s">
        <v>45</v>
      </c>
      <c r="AB1049" s="3" t="s">
        <v>45</v>
      </c>
      <c r="AC1049" s="3" t="s">
        <v>45</v>
      </c>
      <c r="AD1049" s="3" t="s">
        <v>45</v>
      </c>
      <c r="AE1049" s="3" t="s">
        <v>45</v>
      </c>
      <c r="AF1049" s="3" t="s">
        <v>45</v>
      </c>
      <c r="AG1049" s="3" t="s">
        <v>8368</v>
      </c>
      <c r="AH1049" s="3" t="s">
        <v>57</v>
      </c>
      <c r="AI1049" s="5" t="s">
        <v>8334</v>
      </c>
      <c r="AJ1049" s="3" t="s">
        <v>45</v>
      </c>
      <c r="AK1049" s="3" t="s">
        <v>45</v>
      </c>
      <c r="AL1049" s="3" t="s">
        <v>45</v>
      </c>
      <c r="AM1049" s="3" t="s">
        <v>45</v>
      </c>
      <c r="AN1049" s="3" t="s">
        <v>45</v>
      </c>
      <c r="AO1049" s="3" t="s">
        <v>45</v>
      </c>
      <c r="AP1049" s="3" t="s">
        <v>45</v>
      </c>
      <c r="AQ1049" s="4" t="s">
        <v>8335</v>
      </c>
      <c r="AR1049" s="4" t="s">
        <v>8335</v>
      </c>
    </row>
    <row r="1050">
      <c r="A1050" s="3" t="s">
        <v>9490</v>
      </c>
      <c r="B1050" s="3" t="s">
        <v>9491</v>
      </c>
      <c r="C1050" s="3" t="s">
        <v>9420</v>
      </c>
      <c r="D1050" s="3" t="s">
        <v>8268</v>
      </c>
      <c r="E1050" s="4" t="s">
        <v>9421</v>
      </c>
      <c r="F1050" s="3" t="s">
        <v>8640</v>
      </c>
      <c r="G1050" s="4" t="s">
        <v>9492</v>
      </c>
      <c r="H1050" s="4" t="s">
        <v>9493</v>
      </c>
      <c r="I1050" s="3" t="s">
        <v>218</v>
      </c>
      <c r="J1050" s="3" t="s">
        <v>126</v>
      </c>
      <c r="K1050" s="3" t="s">
        <v>45</v>
      </c>
      <c r="L1050" s="3" t="s">
        <v>45</v>
      </c>
      <c r="M1050" s="3" t="s">
        <v>45</v>
      </c>
      <c r="N1050" s="3" t="s">
        <v>45</v>
      </c>
      <c r="O1050" s="3" t="s">
        <v>74</v>
      </c>
      <c r="P1050" s="3" t="s">
        <v>45</v>
      </c>
      <c r="Q1050" s="3" t="s">
        <v>45</v>
      </c>
      <c r="R1050" s="3" t="s">
        <v>45</v>
      </c>
      <c r="S1050" s="3" t="s">
        <v>45</v>
      </c>
      <c r="T1050" s="3" t="s">
        <v>45</v>
      </c>
      <c r="U1050" s="3" t="s">
        <v>45</v>
      </c>
      <c r="V1050" s="3" t="s">
        <v>45</v>
      </c>
      <c r="W1050" s="3" t="s">
        <v>45</v>
      </c>
      <c r="X1050" s="3" t="s">
        <v>45</v>
      </c>
      <c r="Y1050" s="3" t="s">
        <v>45</v>
      </c>
      <c r="Z1050" s="3" t="s">
        <v>74</v>
      </c>
      <c r="AA1050" s="3" t="s">
        <v>45</v>
      </c>
      <c r="AB1050" s="3" t="s">
        <v>45</v>
      </c>
      <c r="AC1050" s="3" t="s">
        <v>45</v>
      </c>
      <c r="AD1050" s="3" t="s">
        <v>45</v>
      </c>
      <c r="AE1050" s="3" t="s">
        <v>45</v>
      </c>
      <c r="AF1050" s="3" t="s">
        <v>45</v>
      </c>
      <c r="AG1050" s="3" t="s">
        <v>45</v>
      </c>
      <c r="AH1050" s="3" t="s">
        <v>57</v>
      </c>
      <c r="AI1050" s="3" t="s">
        <v>45</v>
      </c>
      <c r="AJ1050" s="3" t="s">
        <v>45</v>
      </c>
      <c r="AK1050" s="3" t="s">
        <v>45</v>
      </c>
      <c r="AL1050" s="3" t="s">
        <v>45</v>
      </c>
      <c r="AM1050" s="3" t="s">
        <v>45</v>
      </c>
      <c r="AN1050" s="3" t="s">
        <v>45</v>
      </c>
      <c r="AO1050" s="3" t="s">
        <v>45</v>
      </c>
      <c r="AP1050" s="3" t="s">
        <v>45</v>
      </c>
      <c r="AQ1050" s="4" t="s">
        <v>8335</v>
      </c>
      <c r="AR1050" s="4" t="s">
        <v>8335</v>
      </c>
    </row>
    <row r="1051">
      <c r="A1051" s="3" t="s">
        <v>9494</v>
      </c>
      <c r="B1051" s="3" t="s">
        <v>9495</v>
      </c>
      <c r="C1051" s="3" t="s">
        <v>9420</v>
      </c>
      <c r="D1051" s="3" t="s">
        <v>8268</v>
      </c>
      <c r="E1051" s="4" t="s">
        <v>9421</v>
      </c>
      <c r="F1051" s="3" t="s">
        <v>8640</v>
      </c>
      <c r="G1051" s="4" t="s">
        <v>9496</v>
      </c>
      <c r="H1051" s="4" t="s">
        <v>9497</v>
      </c>
      <c r="I1051" s="3" t="s">
        <v>85</v>
      </c>
      <c r="J1051" s="3" t="s">
        <v>126</v>
      </c>
      <c r="K1051" s="3" t="s">
        <v>45</v>
      </c>
      <c r="L1051" s="3" t="s">
        <v>45</v>
      </c>
      <c r="M1051" s="3" t="s">
        <v>45</v>
      </c>
      <c r="N1051" s="3" t="s">
        <v>45</v>
      </c>
      <c r="O1051" s="3" t="s">
        <v>74</v>
      </c>
      <c r="P1051" s="3" t="s">
        <v>45</v>
      </c>
      <c r="Q1051" s="3" t="s">
        <v>45</v>
      </c>
      <c r="R1051" s="3" t="s">
        <v>45</v>
      </c>
      <c r="S1051" s="3" t="s">
        <v>45</v>
      </c>
      <c r="T1051" s="3" t="s">
        <v>45</v>
      </c>
      <c r="U1051" s="3" t="s">
        <v>45</v>
      </c>
      <c r="V1051" s="3" t="s">
        <v>45</v>
      </c>
      <c r="W1051" s="3" t="s">
        <v>45</v>
      </c>
      <c r="X1051" s="3" t="s">
        <v>45</v>
      </c>
      <c r="Y1051" s="3" t="s">
        <v>45</v>
      </c>
      <c r="Z1051" s="3" t="s">
        <v>74</v>
      </c>
      <c r="AA1051" s="3" t="s">
        <v>45</v>
      </c>
      <c r="AB1051" s="3" t="s">
        <v>45</v>
      </c>
      <c r="AC1051" s="3" t="s">
        <v>45</v>
      </c>
      <c r="AD1051" s="3" t="s">
        <v>45</v>
      </c>
      <c r="AE1051" s="3" t="s">
        <v>45</v>
      </c>
      <c r="AF1051" s="3" t="s">
        <v>45</v>
      </c>
      <c r="AG1051" s="3" t="s">
        <v>45</v>
      </c>
      <c r="AH1051" s="3" t="s">
        <v>57</v>
      </c>
      <c r="AI1051" s="3" t="s">
        <v>45</v>
      </c>
      <c r="AJ1051" s="3" t="s">
        <v>45</v>
      </c>
      <c r="AK1051" s="3" t="s">
        <v>45</v>
      </c>
      <c r="AL1051" s="3" t="s">
        <v>45</v>
      </c>
      <c r="AM1051" s="3" t="s">
        <v>45</v>
      </c>
      <c r="AN1051" s="3" t="s">
        <v>45</v>
      </c>
      <c r="AO1051" s="3" t="s">
        <v>45</v>
      </c>
      <c r="AP1051" s="3" t="s">
        <v>45</v>
      </c>
      <c r="AQ1051" s="4" t="s">
        <v>8335</v>
      </c>
      <c r="AR1051" s="4" t="s">
        <v>8335</v>
      </c>
    </row>
    <row r="1052">
      <c r="A1052" s="3" t="s">
        <v>9498</v>
      </c>
      <c r="B1052" s="3" t="s">
        <v>9499</v>
      </c>
      <c r="C1052" s="3" t="s">
        <v>9420</v>
      </c>
      <c r="D1052" s="3" t="s">
        <v>8268</v>
      </c>
      <c r="E1052" s="4" t="s">
        <v>9106</v>
      </c>
      <c r="F1052" s="3" t="s">
        <v>8456</v>
      </c>
      <c r="G1052" s="4" t="s">
        <v>9500</v>
      </c>
      <c r="H1052" s="4" t="s">
        <v>9501</v>
      </c>
      <c r="I1052" s="3" t="s">
        <v>49</v>
      </c>
      <c r="J1052" s="3" t="s">
        <v>126</v>
      </c>
      <c r="K1052" s="3" t="s">
        <v>45</v>
      </c>
      <c r="L1052" s="3" t="s">
        <v>409</v>
      </c>
      <c r="M1052" s="3" t="s">
        <v>45</v>
      </c>
      <c r="N1052" s="3" t="s">
        <v>45</v>
      </c>
      <c r="O1052" s="3" t="s">
        <v>74</v>
      </c>
      <c r="P1052" s="3" t="s">
        <v>45</v>
      </c>
      <c r="Q1052" s="3" t="s">
        <v>45</v>
      </c>
      <c r="R1052" s="3" t="s">
        <v>45</v>
      </c>
      <c r="S1052" s="3" t="s">
        <v>45</v>
      </c>
      <c r="T1052" s="3" t="s">
        <v>45</v>
      </c>
      <c r="U1052" s="3" t="s">
        <v>45</v>
      </c>
      <c r="V1052" s="3" t="s">
        <v>45</v>
      </c>
      <c r="W1052" s="4" t="s">
        <v>9502</v>
      </c>
      <c r="X1052" s="3" t="s">
        <v>45</v>
      </c>
      <c r="Y1052" s="3" t="s">
        <v>45</v>
      </c>
      <c r="Z1052" s="3" t="s">
        <v>74</v>
      </c>
      <c r="AA1052" s="3" t="s">
        <v>45</v>
      </c>
      <c r="AB1052" s="3" t="s">
        <v>45</v>
      </c>
      <c r="AC1052" s="3" t="s">
        <v>45</v>
      </c>
      <c r="AD1052" s="3" t="s">
        <v>45</v>
      </c>
      <c r="AE1052" s="3" t="s">
        <v>45</v>
      </c>
      <c r="AF1052" s="3" t="s">
        <v>45</v>
      </c>
      <c r="AG1052" s="3" t="s">
        <v>45</v>
      </c>
      <c r="AH1052" s="3" t="s">
        <v>57</v>
      </c>
      <c r="AI1052" s="5" t="s">
        <v>8460</v>
      </c>
      <c r="AJ1052" s="3" t="s">
        <v>45</v>
      </c>
      <c r="AK1052" s="3" t="s">
        <v>45</v>
      </c>
      <c r="AL1052" s="3" t="s">
        <v>45</v>
      </c>
      <c r="AM1052" s="3" t="s">
        <v>45</v>
      </c>
      <c r="AN1052" s="3" t="s">
        <v>45</v>
      </c>
      <c r="AO1052" s="3" t="s">
        <v>45</v>
      </c>
      <c r="AP1052" s="3" t="s">
        <v>45</v>
      </c>
      <c r="AQ1052" s="4" t="s">
        <v>8335</v>
      </c>
      <c r="AR1052" s="4" t="s">
        <v>8335</v>
      </c>
    </row>
    <row r="1053">
      <c r="A1053" s="3" t="s">
        <v>414</v>
      </c>
      <c r="B1053" s="3" t="s">
        <v>9503</v>
      </c>
      <c r="C1053" s="3" t="s">
        <v>9420</v>
      </c>
      <c r="D1053" s="3" t="s">
        <v>8268</v>
      </c>
      <c r="E1053" s="4" t="s">
        <v>9421</v>
      </c>
      <c r="F1053" s="3" t="s">
        <v>8640</v>
      </c>
      <c r="G1053" s="4" t="s">
        <v>9504</v>
      </c>
      <c r="H1053" s="4" t="s">
        <v>9505</v>
      </c>
      <c r="I1053" s="3" t="s">
        <v>85</v>
      </c>
      <c r="J1053" s="3" t="s">
        <v>126</v>
      </c>
      <c r="K1053" s="3" t="s">
        <v>45</v>
      </c>
      <c r="L1053" s="3" t="s">
        <v>45</v>
      </c>
      <c r="M1053" s="3" t="s">
        <v>45</v>
      </c>
      <c r="N1053" s="3" t="s">
        <v>45</v>
      </c>
      <c r="O1053" s="3" t="s">
        <v>74</v>
      </c>
      <c r="P1053" s="3" t="s">
        <v>45</v>
      </c>
      <c r="Q1053" s="3" t="s">
        <v>45</v>
      </c>
      <c r="R1053" s="3" t="s">
        <v>45</v>
      </c>
      <c r="S1053" s="3" t="s">
        <v>45</v>
      </c>
      <c r="T1053" s="3" t="s">
        <v>45</v>
      </c>
      <c r="U1053" s="3" t="s">
        <v>45</v>
      </c>
      <c r="V1053" s="3" t="s">
        <v>45</v>
      </c>
      <c r="W1053" s="3" t="s">
        <v>45</v>
      </c>
      <c r="X1053" s="3" t="s">
        <v>45</v>
      </c>
      <c r="Y1053" s="3" t="s">
        <v>45</v>
      </c>
      <c r="Z1053" s="3" t="s">
        <v>74</v>
      </c>
      <c r="AA1053" s="3" t="s">
        <v>45</v>
      </c>
      <c r="AB1053" s="3" t="s">
        <v>45</v>
      </c>
      <c r="AC1053" s="3" t="s">
        <v>45</v>
      </c>
      <c r="AD1053" s="3" t="s">
        <v>45</v>
      </c>
      <c r="AE1053" s="3" t="s">
        <v>45</v>
      </c>
      <c r="AF1053" s="3" t="s">
        <v>45</v>
      </c>
      <c r="AG1053" s="3" t="s">
        <v>45</v>
      </c>
      <c r="AH1053" s="3" t="s">
        <v>57</v>
      </c>
      <c r="AI1053" s="3" t="s">
        <v>45</v>
      </c>
      <c r="AJ1053" s="3" t="s">
        <v>45</v>
      </c>
      <c r="AK1053" s="3" t="s">
        <v>45</v>
      </c>
      <c r="AL1053" s="3" t="s">
        <v>45</v>
      </c>
      <c r="AM1053" s="3" t="s">
        <v>45</v>
      </c>
      <c r="AN1053" s="3" t="s">
        <v>45</v>
      </c>
      <c r="AO1053" s="3" t="s">
        <v>45</v>
      </c>
      <c r="AP1053" s="3" t="s">
        <v>45</v>
      </c>
      <c r="AQ1053" s="4" t="s">
        <v>8335</v>
      </c>
      <c r="AR1053" s="4" t="s">
        <v>8335</v>
      </c>
    </row>
    <row r="1054">
      <c r="A1054" s="3" t="s">
        <v>9506</v>
      </c>
      <c r="B1054" s="3" t="s">
        <v>9507</v>
      </c>
      <c r="C1054" s="3" t="s">
        <v>9420</v>
      </c>
      <c r="D1054" s="3" t="s">
        <v>8268</v>
      </c>
      <c r="E1054" s="4" t="s">
        <v>9441</v>
      </c>
      <c r="F1054" s="3" t="s">
        <v>8640</v>
      </c>
      <c r="G1054" s="4" t="s">
        <v>9508</v>
      </c>
      <c r="H1054" s="4" t="s">
        <v>9509</v>
      </c>
      <c r="I1054" s="3" t="s">
        <v>49</v>
      </c>
      <c r="J1054" s="3" t="s">
        <v>126</v>
      </c>
      <c r="K1054" s="3" t="s">
        <v>45</v>
      </c>
      <c r="L1054" s="3" t="s">
        <v>45</v>
      </c>
      <c r="M1054" s="3" t="s">
        <v>45</v>
      </c>
      <c r="N1054" s="4" t="s">
        <v>389</v>
      </c>
      <c r="O1054" s="3" t="s">
        <v>390</v>
      </c>
      <c r="P1054" s="3" t="s">
        <v>45</v>
      </c>
      <c r="Q1054" s="3" t="s">
        <v>45</v>
      </c>
      <c r="R1054" s="3" t="s">
        <v>45</v>
      </c>
      <c r="S1054" s="3" t="s">
        <v>45</v>
      </c>
      <c r="T1054" s="3" t="s">
        <v>45</v>
      </c>
      <c r="U1054" s="3" t="s">
        <v>45</v>
      </c>
      <c r="V1054" s="4" t="s">
        <v>9510</v>
      </c>
      <c r="W1054" s="4" t="s">
        <v>9511</v>
      </c>
      <c r="X1054" s="3" t="s">
        <v>9512</v>
      </c>
      <c r="Y1054" s="4" t="s">
        <v>727</v>
      </c>
      <c r="Z1054" s="3" t="s">
        <v>74</v>
      </c>
      <c r="AA1054" s="3" t="s">
        <v>45</v>
      </c>
      <c r="AB1054" s="3" t="s">
        <v>45</v>
      </c>
      <c r="AC1054" s="3" t="s">
        <v>45</v>
      </c>
      <c r="AD1054" s="3" t="s">
        <v>45</v>
      </c>
      <c r="AE1054" s="3" t="s">
        <v>45</v>
      </c>
      <c r="AF1054" s="3" t="s">
        <v>45</v>
      </c>
      <c r="AG1054" s="3" t="s">
        <v>45</v>
      </c>
      <c r="AH1054" s="3" t="s">
        <v>57</v>
      </c>
      <c r="AI1054" s="5" t="s">
        <v>9513</v>
      </c>
      <c r="AJ1054" s="5" t="s">
        <v>9474</v>
      </c>
      <c r="AK1054" s="3" t="s">
        <v>45</v>
      </c>
      <c r="AL1054" s="3" t="s">
        <v>45</v>
      </c>
      <c r="AM1054" s="3" t="s">
        <v>45</v>
      </c>
      <c r="AN1054" s="3" t="s">
        <v>45</v>
      </c>
      <c r="AO1054" s="3" t="s">
        <v>45</v>
      </c>
      <c r="AP1054" s="3" t="s">
        <v>45</v>
      </c>
      <c r="AQ1054" s="4" t="s">
        <v>4634</v>
      </c>
      <c r="AR1054" s="4" t="s">
        <v>4634</v>
      </c>
    </row>
    <row r="1055">
      <c r="A1055" s="3" t="s">
        <v>9514</v>
      </c>
      <c r="B1055" s="3" t="s">
        <v>9515</v>
      </c>
      <c r="C1055" s="3" t="s">
        <v>9420</v>
      </c>
      <c r="D1055" s="3" t="s">
        <v>8268</v>
      </c>
      <c r="E1055" s="4" t="s">
        <v>9441</v>
      </c>
      <c r="F1055" s="3" t="s">
        <v>8456</v>
      </c>
      <c r="G1055" s="4" t="s">
        <v>9516</v>
      </c>
      <c r="H1055" s="4" t="s">
        <v>9517</v>
      </c>
      <c r="I1055" s="3" t="s">
        <v>49</v>
      </c>
      <c r="J1055" s="3" t="s">
        <v>126</v>
      </c>
      <c r="K1055" s="3" t="s">
        <v>45</v>
      </c>
      <c r="L1055" s="3" t="s">
        <v>45</v>
      </c>
      <c r="M1055" s="3" t="s">
        <v>45</v>
      </c>
      <c r="N1055" s="4" t="s">
        <v>2665</v>
      </c>
      <c r="O1055" s="3" t="s">
        <v>722</v>
      </c>
      <c r="P1055" s="3" t="s">
        <v>45</v>
      </c>
      <c r="Q1055" s="3" t="s">
        <v>45</v>
      </c>
      <c r="R1055" s="3" t="s">
        <v>45</v>
      </c>
      <c r="S1055" s="3" t="s">
        <v>45</v>
      </c>
      <c r="T1055" s="3" t="s">
        <v>45</v>
      </c>
      <c r="U1055" s="3" t="s">
        <v>45</v>
      </c>
      <c r="V1055" s="4" t="s">
        <v>9518</v>
      </c>
      <c r="W1055" s="3" t="s">
        <v>45</v>
      </c>
      <c r="X1055" s="3" t="s">
        <v>45</v>
      </c>
      <c r="Y1055" s="4" t="s">
        <v>317</v>
      </c>
      <c r="Z1055" s="3" t="s">
        <v>74</v>
      </c>
      <c r="AA1055" s="3" t="s">
        <v>45</v>
      </c>
      <c r="AB1055" s="3" t="s">
        <v>45</v>
      </c>
      <c r="AC1055" s="3" t="s">
        <v>45</v>
      </c>
      <c r="AD1055" s="3" t="s">
        <v>45</v>
      </c>
      <c r="AE1055" s="3" t="s">
        <v>45</v>
      </c>
      <c r="AF1055" s="3" t="s">
        <v>45</v>
      </c>
      <c r="AG1055" s="3" t="s">
        <v>45</v>
      </c>
      <c r="AH1055" s="3" t="s">
        <v>57</v>
      </c>
      <c r="AI1055" s="5" t="s">
        <v>9519</v>
      </c>
      <c r="AJ1055" s="3" t="s">
        <v>45</v>
      </c>
      <c r="AK1055" s="3" t="s">
        <v>45</v>
      </c>
      <c r="AL1055" s="3" t="s">
        <v>45</v>
      </c>
      <c r="AM1055" s="3" t="s">
        <v>45</v>
      </c>
      <c r="AN1055" s="3" t="s">
        <v>45</v>
      </c>
      <c r="AO1055" s="3" t="s">
        <v>45</v>
      </c>
      <c r="AP1055" s="3" t="s">
        <v>45</v>
      </c>
      <c r="AQ1055" s="4" t="s">
        <v>3233</v>
      </c>
      <c r="AR1055" s="4" t="s">
        <v>3233</v>
      </c>
    </row>
    <row r="1056">
      <c r="A1056" s="3" t="s">
        <v>9520</v>
      </c>
      <c r="B1056" s="3" t="s">
        <v>9521</v>
      </c>
      <c r="C1056" s="3" t="s">
        <v>9420</v>
      </c>
      <c r="D1056" s="3" t="s">
        <v>8268</v>
      </c>
      <c r="E1056" s="4" t="s">
        <v>9421</v>
      </c>
      <c r="F1056" s="3" t="s">
        <v>8640</v>
      </c>
      <c r="G1056" s="4" t="s">
        <v>9522</v>
      </c>
      <c r="H1056" s="4" t="s">
        <v>9523</v>
      </c>
      <c r="I1056" s="3" t="s">
        <v>49</v>
      </c>
      <c r="J1056" s="3" t="s">
        <v>126</v>
      </c>
      <c r="K1056" s="3" t="s">
        <v>45</v>
      </c>
      <c r="L1056" s="3" t="s">
        <v>45</v>
      </c>
      <c r="M1056" s="3" t="s">
        <v>45</v>
      </c>
      <c r="N1056" s="3" t="s">
        <v>45</v>
      </c>
      <c r="O1056" s="3" t="s">
        <v>74</v>
      </c>
      <c r="P1056" s="3" t="s">
        <v>45</v>
      </c>
      <c r="Q1056" s="3" t="s">
        <v>45</v>
      </c>
      <c r="R1056" s="3" t="s">
        <v>45</v>
      </c>
      <c r="S1056" s="3" t="s">
        <v>45</v>
      </c>
      <c r="T1056" s="3" t="s">
        <v>45</v>
      </c>
      <c r="U1056" s="3" t="s">
        <v>45</v>
      </c>
      <c r="V1056" s="4" t="s">
        <v>9524</v>
      </c>
      <c r="W1056" s="4" t="s">
        <v>2373</v>
      </c>
      <c r="X1056" s="3" t="s">
        <v>9525</v>
      </c>
      <c r="Y1056" s="4" t="s">
        <v>6127</v>
      </c>
      <c r="Z1056" s="3" t="s">
        <v>74</v>
      </c>
      <c r="AA1056" s="3" t="s">
        <v>45</v>
      </c>
      <c r="AB1056" s="3" t="s">
        <v>45</v>
      </c>
      <c r="AC1056" s="3" t="s">
        <v>45</v>
      </c>
      <c r="AD1056" s="3" t="s">
        <v>45</v>
      </c>
      <c r="AE1056" s="3" t="s">
        <v>45</v>
      </c>
      <c r="AF1056" s="3" t="s">
        <v>45</v>
      </c>
      <c r="AG1056" s="3" t="s">
        <v>45</v>
      </c>
      <c r="AH1056" s="3" t="s">
        <v>57</v>
      </c>
      <c r="AI1056" s="5" t="s">
        <v>9474</v>
      </c>
      <c r="AJ1056" s="3" t="s">
        <v>45</v>
      </c>
      <c r="AK1056" s="3" t="s">
        <v>45</v>
      </c>
      <c r="AL1056" s="3" t="s">
        <v>45</v>
      </c>
      <c r="AM1056" s="3" t="s">
        <v>45</v>
      </c>
      <c r="AN1056" s="3" t="s">
        <v>45</v>
      </c>
      <c r="AO1056" s="3" t="s">
        <v>45</v>
      </c>
      <c r="AP1056" s="3" t="s">
        <v>45</v>
      </c>
      <c r="AQ1056" s="4" t="s">
        <v>4634</v>
      </c>
      <c r="AR1056" s="4" t="s">
        <v>1300</v>
      </c>
    </row>
    <row r="1057">
      <c r="A1057" s="3" t="s">
        <v>9526</v>
      </c>
      <c r="B1057" s="3" t="s">
        <v>9527</v>
      </c>
      <c r="C1057" s="3" t="s">
        <v>9420</v>
      </c>
      <c r="D1057" s="3" t="s">
        <v>8268</v>
      </c>
      <c r="E1057" s="4" t="s">
        <v>9421</v>
      </c>
      <c r="F1057" s="3" t="s">
        <v>8640</v>
      </c>
      <c r="G1057" s="4" t="s">
        <v>9528</v>
      </c>
      <c r="H1057" s="4" t="s">
        <v>9529</v>
      </c>
      <c r="I1057" s="3" t="s">
        <v>49</v>
      </c>
      <c r="J1057" s="3" t="s">
        <v>126</v>
      </c>
      <c r="K1057" s="3" t="s">
        <v>45</v>
      </c>
      <c r="L1057" s="3" t="s">
        <v>45</v>
      </c>
      <c r="M1057" s="3" t="s">
        <v>45</v>
      </c>
      <c r="N1057" s="3" t="s">
        <v>45</v>
      </c>
      <c r="O1057" s="3" t="s">
        <v>74</v>
      </c>
      <c r="P1057" s="3" t="s">
        <v>45</v>
      </c>
      <c r="Q1057" s="3" t="s">
        <v>45</v>
      </c>
      <c r="R1057" s="3" t="s">
        <v>45</v>
      </c>
      <c r="S1057" s="3" t="s">
        <v>45</v>
      </c>
      <c r="T1057" s="3" t="s">
        <v>45</v>
      </c>
      <c r="U1057" s="3" t="s">
        <v>45</v>
      </c>
      <c r="V1057" s="4" t="s">
        <v>9530</v>
      </c>
      <c r="W1057" s="3" t="s">
        <v>45</v>
      </c>
      <c r="X1057" s="3" t="s">
        <v>9531</v>
      </c>
      <c r="Y1057" s="4" t="s">
        <v>317</v>
      </c>
      <c r="Z1057" s="3" t="s">
        <v>74</v>
      </c>
      <c r="AA1057" s="3" t="s">
        <v>45</v>
      </c>
      <c r="AB1057" s="3" t="s">
        <v>45</v>
      </c>
      <c r="AC1057" s="3" t="s">
        <v>45</v>
      </c>
      <c r="AD1057" s="3" t="s">
        <v>45</v>
      </c>
      <c r="AE1057" s="3" t="s">
        <v>45</v>
      </c>
      <c r="AF1057" s="3" t="s">
        <v>45</v>
      </c>
      <c r="AG1057" s="3" t="s">
        <v>45</v>
      </c>
      <c r="AH1057" s="3" t="s">
        <v>57</v>
      </c>
      <c r="AI1057" s="5" t="s">
        <v>9485</v>
      </c>
      <c r="AJ1057" s="5" t="s">
        <v>9485</v>
      </c>
      <c r="AK1057" s="3" t="s">
        <v>45</v>
      </c>
      <c r="AL1057" s="3" t="s">
        <v>45</v>
      </c>
      <c r="AM1057" s="3" t="s">
        <v>45</v>
      </c>
      <c r="AN1057" s="3" t="s">
        <v>45</v>
      </c>
      <c r="AO1057" s="3" t="s">
        <v>45</v>
      </c>
      <c r="AP1057" s="3" t="s">
        <v>45</v>
      </c>
      <c r="AQ1057" s="4" t="s">
        <v>1300</v>
      </c>
      <c r="AR1057" s="4" t="s">
        <v>1300</v>
      </c>
    </row>
    <row r="1058">
      <c r="A1058" s="3" t="s">
        <v>9532</v>
      </c>
      <c r="B1058" s="3" t="s">
        <v>9533</v>
      </c>
      <c r="C1058" s="3" t="s">
        <v>9534</v>
      </c>
      <c r="D1058" s="3" t="s">
        <v>8268</v>
      </c>
      <c r="E1058" s="4" t="s">
        <v>9535</v>
      </c>
      <c r="F1058" s="3" t="s">
        <v>9536</v>
      </c>
      <c r="G1058" s="4" t="s">
        <v>9537</v>
      </c>
      <c r="H1058" s="4" t="s">
        <v>9538</v>
      </c>
      <c r="I1058" s="3" t="s">
        <v>49</v>
      </c>
      <c r="J1058" s="3" t="s">
        <v>126</v>
      </c>
      <c r="K1058" s="3" t="s">
        <v>45</v>
      </c>
      <c r="L1058" s="3" t="s">
        <v>9539</v>
      </c>
      <c r="M1058" s="3" t="s">
        <v>45</v>
      </c>
      <c r="N1058" s="3" t="s">
        <v>45</v>
      </c>
      <c r="O1058" s="3" t="s">
        <v>88</v>
      </c>
      <c r="P1058" s="3" t="s">
        <v>45</v>
      </c>
      <c r="Q1058" s="3" t="s">
        <v>45</v>
      </c>
      <c r="R1058" s="3" t="s">
        <v>45</v>
      </c>
      <c r="S1058" s="4" t="s">
        <v>9540</v>
      </c>
      <c r="T1058" s="3" t="s">
        <v>45</v>
      </c>
      <c r="U1058" s="3" t="s">
        <v>45</v>
      </c>
      <c r="V1058" s="4" t="s">
        <v>260</v>
      </c>
      <c r="W1058" s="4" t="s">
        <v>9541</v>
      </c>
      <c r="X1058" s="3" t="s">
        <v>9542</v>
      </c>
      <c r="Y1058" s="3" t="s">
        <v>45</v>
      </c>
      <c r="Z1058" s="3" t="s">
        <v>74</v>
      </c>
      <c r="AA1058" s="3" t="s">
        <v>45</v>
      </c>
      <c r="AB1058" s="3" t="s">
        <v>45</v>
      </c>
      <c r="AC1058" s="3" t="s">
        <v>45</v>
      </c>
      <c r="AD1058" s="3" t="s">
        <v>45</v>
      </c>
      <c r="AE1058" s="3" t="s">
        <v>45</v>
      </c>
      <c r="AF1058" s="3" t="s">
        <v>45</v>
      </c>
      <c r="AG1058" s="3" t="s">
        <v>45</v>
      </c>
      <c r="AH1058" s="3" t="s">
        <v>57</v>
      </c>
      <c r="AI1058" s="5" t="s">
        <v>9543</v>
      </c>
      <c r="AJ1058" s="3" t="s">
        <v>45</v>
      </c>
      <c r="AK1058" s="3" t="s">
        <v>45</v>
      </c>
      <c r="AL1058" s="3" t="s">
        <v>45</v>
      </c>
      <c r="AM1058" s="3" t="s">
        <v>45</v>
      </c>
      <c r="AN1058" s="3" t="s">
        <v>45</v>
      </c>
      <c r="AO1058" s="3" t="s">
        <v>45</v>
      </c>
      <c r="AP1058" s="3" t="s">
        <v>45</v>
      </c>
      <c r="AQ1058" s="4" t="s">
        <v>3382</v>
      </c>
      <c r="AR1058" s="4" t="s">
        <v>3382</v>
      </c>
    </row>
    <row r="1059">
      <c r="A1059" s="3" t="s">
        <v>9544</v>
      </c>
      <c r="B1059" s="3" t="s">
        <v>9545</v>
      </c>
      <c r="C1059" s="3" t="s">
        <v>9534</v>
      </c>
      <c r="D1059" s="3" t="s">
        <v>8268</v>
      </c>
      <c r="E1059" s="4" t="s">
        <v>9535</v>
      </c>
      <c r="F1059" s="3" t="s">
        <v>9536</v>
      </c>
      <c r="G1059" s="4" t="s">
        <v>9546</v>
      </c>
      <c r="H1059" s="4" t="s">
        <v>9547</v>
      </c>
      <c r="I1059" s="3" t="s">
        <v>245</v>
      </c>
      <c r="J1059" s="3" t="s">
        <v>126</v>
      </c>
      <c r="K1059" s="3" t="s">
        <v>45</v>
      </c>
      <c r="L1059" s="3" t="s">
        <v>45</v>
      </c>
      <c r="M1059" s="3" t="s">
        <v>45</v>
      </c>
      <c r="N1059" s="3" t="s">
        <v>45</v>
      </c>
      <c r="O1059" s="3" t="s">
        <v>74</v>
      </c>
      <c r="P1059" s="3" t="s">
        <v>45</v>
      </c>
      <c r="Q1059" s="3" t="s">
        <v>45</v>
      </c>
      <c r="R1059" s="3" t="s">
        <v>45</v>
      </c>
      <c r="S1059" s="3" t="s">
        <v>45</v>
      </c>
      <c r="T1059" s="3" t="s">
        <v>45</v>
      </c>
      <c r="U1059" s="3" t="s">
        <v>45</v>
      </c>
      <c r="V1059" s="3" t="s">
        <v>45</v>
      </c>
      <c r="W1059" s="4" t="s">
        <v>535</v>
      </c>
      <c r="X1059" s="3" t="s">
        <v>45</v>
      </c>
      <c r="Y1059" s="3" t="s">
        <v>45</v>
      </c>
      <c r="Z1059" s="3" t="s">
        <v>74</v>
      </c>
      <c r="AA1059" s="3" t="s">
        <v>45</v>
      </c>
      <c r="AB1059" s="3" t="s">
        <v>45</v>
      </c>
      <c r="AC1059" s="3" t="s">
        <v>45</v>
      </c>
      <c r="AD1059" s="3" t="s">
        <v>45</v>
      </c>
      <c r="AE1059" s="3" t="s">
        <v>45</v>
      </c>
      <c r="AF1059" s="3" t="s">
        <v>45</v>
      </c>
      <c r="AG1059" s="3" t="s">
        <v>45</v>
      </c>
      <c r="AH1059" s="3" t="s">
        <v>57</v>
      </c>
      <c r="AI1059" s="5" t="s">
        <v>9548</v>
      </c>
      <c r="AJ1059" s="5" t="s">
        <v>9549</v>
      </c>
      <c r="AK1059" s="3" t="s">
        <v>45</v>
      </c>
      <c r="AL1059" s="3" t="s">
        <v>45</v>
      </c>
      <c r="AM1059" s="3" t="s">
        <v>45</v>
      </c>
      <c r="AN1059" s="3" t="s">
        <v>45</v>
      </c>
      <c r="AO1059" s="3" t="s">
        <v>45</v>
      </c>
      <c r="AP1059" s="3" t="s">
        <v>45</v>
      </c>
      <c r="AQ1059" s="4" t="s">
        <v>4709</v>
      </c>
      <c r="AR1059" s="4" t="s">
        <v>4709</v>
      </c>
    </row>
    <row r="1060">
      <c r="A1060" s="3" t="s">
        <v>9550</v>
      </c>
      <c r="B1060" s="3" t="s">
        <v>9551</v>
      </c>
      <c r="C1060" s="3" t="s">
        <v>9552</v>
      </c>
      <c r="D1060" s="3" t="s">
        <v>8268</v>
      </c>
      <c r="E1060" s="4" t="s">
        <v>9553</v>
      </c>
      <c r="F1060" s="3" t="s">
        <v>9174</v>
      </c>
      <c r="G1060" s="4" t="s">
        <v>9554</v>
      </c>
      <c r="H1060" s="4" t="s">
        <v>9555</v>
      </c>
      <c r="I1060" s="3" t="s">
        <v>218</v>
      </c>
      <c r="J1060" s="3" t="s">
        <v>50</v>
      </c>
      <c r="K1060" s="3" t="s">
        <v>45</v>
      </c>
      <c r="L1060" s="3" t="s">
        <v>45</v>
      </c>
      <c r="M1060" s="3" t="s">
        <v>45</v>
      </c>
      <c r="N1060" s="4" t="s">
        <v>2832</v>
      </c>
      <c r="O1060" s="3" t="s">
        <v>88</v>
      </c>
      <c r="P1060" s="3" t="s">
        <v>45</v>
      </c>
      <c r="Q1060" s="3" t="s">
        <v>45</v>
      </c>
      <c r="R1060" s="3" t="s">
        <v>45</v>
      </c>
      <c r="S1060" s="3" t="s">
        <v>45</v>
      </c>
      <c r="T1060" s="3" t="s">
        <v>45</v>
      </c>
      <c r="U1060" s="3" t="s">
        <v>45</v>
      </c>
      <c r="V1060" s="3" t="s">
        <v>45</v>
      </c>
      <c r="W1060" s="4" t="s">
        <v>709</v>
      </c>
      <c r="X1060" s="3" t="s">
        <v>45</v>
      </c>
      <c r="Y1060" s="3" t="s">
        <v>45</v>
      </c>
      <c r="Z1060" s="3" t="s">
        <v>74</v>
      </c>
      <c r="AA1060" s="3" t="s">
        <v>45</v>
      </c>
      <c r="AB1060" s="3" t="s">
        <v>45</v>
      </c>
      <c r="AC1060" s="3" t="s">
        <v>45</v>
      </c>
      <c r="AD1060" s="3" t="s">
        <v>45</v>
      </c>
      <c r="AE1060" s="3" t="s">
        <v>45</v>
      </c>
      <c r="AF1060" s="3" t="s">
        <v>45</v>
      </c>
      <c r="AG1060" s="3" t="s">
        <v>45</v>
      </c>
      <c r="AH1060" s="3" t="s">
        <v>57</v>
      </c>
      <c r="AI1060" s="5" t="s">
        <v>3873</v>
      </c>
      <c r="AJ1060" s="5" t="s">
        <v>9556</v>
      </c>
      <c r="AK1060" s="3" t="s">
        <v>45</v>
      </c>
      <c r="AL1060" s="3" t="s">
        <v>45</v>
      </c>
      <c r="AM1060" s="3" t="s">
        <v>45</v>
      </c>
      <c r="AN1060" s="3" t="s">
        <v>45</v>
      </c>
      <c r="AO1060" s="3" t="s">
        <v>45</v>
      </c>
      <c r="AP1060" s="3" t="s">
        <v>45</v>
      </c>
      <c r="AQ1060" s="4" t="s">
        <v>3655</v>
      </c>
      <c r="AR1060" s="4" t="s">
        <v>671</v>
      </c>
    </row>
    <row r="1061">
      <c r="A1061" s="3" t="s">
        <v>9557</v>
      </c>
      <c r="B1061" s="3" t="s">
        <v>9558</v>
      </c>
      <c r="C1061" s="3" t="s">
        <v>9559</v>
      </c>
      <c r="D1061" s="3" t="s">
        <v>8268</v>
      </c>
      <c r="E1061" s="4" t="s">
        <v>9560</v>
      </c>
      <c r="F1061" s="3" t="s">
        <v>9561</v>
      </c>
      <c r="G1061" s="4" t="s">
        <v>9562</v>
      </c>
      <c r="H1061" s="4" t="s">
        <v>9563</v>
      </c>
      <c r="I1061" s="3" t="s">
        <v>85</v>
      </c>
      <c r="J1061" s="3" t="s">
        <v>126</v>
      </c>
      <c r="K1061" s="3" t="s">
        <v>45</v>
      </c>
      <c r="L1061" s="3" t="s">
        <v>45</v>
      </c>
      <c r="M1061" s="3" t="s">
        <v>45</v>
      </c>
      <c r="N1061" s="4" t="s">
        <v>709</v>
      </c>
      <c r="O1061" s="3" t="s">
        <v>390</v>
      </c>
      <c r="P1061" s="3" t="s">
        <v>45</v>
      </c>
      <c r="Q1061" s="3" t="s">
        <v>45</v>
      </c>
      <c r="R1061" s="3" t="s">
        <v>45</v>
      </c>
      <c r="S1061" s="3" t="s">
        <v>45</v>
      </c>
      <c r="T1061" s="3" t="s">
        <v>45</v>
      </c>
      <c r="U1061" s="3" t="s">
        <v>45</v>
      </c>
      <c r="V1061" s="3" t="s">
        <v>45</v>
      </c>
      <c r="W1061" s="3" t="s">
        <v>45</v>
      </c>
      <c r="X1061" s="3" t="s">
        <v>45</v>
      </c>
      <c r="Y1061" s="3" t="s">
        <v>45</v>
      </c>
      <c r="Z1061" s="3" t="s">
        <v>74</v>
      </c>
      <c r="AA1061" s="3" t="s">
        <v>45</v>
      </c>
      <c r="AB1061" s="3" t="s">
        <v>45</v>
      </c>
      <c r="AC1061" s="3" t="s">
        <v>45</v>
      </c>
      <c r="AD1061" s="3" t="s">
        <v>45</v>
      </c>
      <c r="AE1061" s="3" t="s">
        <v>45</v>
      </c>
      <c r="AF1061" s="3" t="s">
        <v>45</v>
      </c>
      <c r="AG1061" s="3" t="s">
        <v>45</v>
      </c>
      <c r="AH1061" s="3" t="s">
        <v>57</v>
      </c>
      <c r="AI1061" s="5" t="s">
        <v>3873</v>
      </c>
      <c r="AJ1061" s="3" t="s">
        <v>45</v>
      </c>
      <c r="AK1061" s="3" t="s">
        <v>45</v>
      </c>
      <c r="AL1061" s="3" t="s">
        <v>45</v>
      </c>
      <c r="AM1061" s="3" t="s">
        <v>45</v>
      </c>
      <c r="AN1061" s="3" t="s">
        <v>45</v>
      </c>
      <c r="AO1061" s="3" t="s">
        <v>45</v>
      </c>
      <c r="AP1061" s="3" t="s">
        <v>45</v>
      </c>
      <c r="AQ1061" s="4" t="s">
        <v>3655</v>
      </c>
      <c r="AR1061" s="4" t="s">
        <v>339</v>
      </c>
    </row>
    <row r="1062">
      <c r="A1062" s="3" t="s">
        <v>9564</v>
      </c>
      <c r="B1062" s="3" t="s">
        <v>9565</v>
      </c>
      <c r="C1062" s="3" t="s">
        <v>9559</v>
      </c>
      <c r="D1062" s="3" t="s">
        <v>8268</v>
      </c>
      <c r="E1062" s="4" t="s">
        <v>9566</v>
      </c>
      <c r="F1062" s="3" t="s">
        <v>9561</v>
      </c>
      <c r="G1062" s="4" t="s">
        <v>9567</v>
      </c>
      <c r="H1062" s="4" t="s">
        <v>9568</v>
      </c>
      <c r="I1062" s="3" t="s">
        <v>218</v>
      </c>
      <c r="J1062" s="3" t="s">
        <v>126</v>
      </c>
      <c r="K1062" s="3" t="s">
        <v>45</v>
      </c>
      <c r="L1062" s="3" t="s">
        <v>45</v>
      </c>
      <c r="M1062" s="3" t="s">
        <v>45</v>
      </c>
      <c r="N1062" s="4" t="s">
        <v>879</v>
      </c>
      <c r="O1062" s="3" t="s">
        <v>390</v>
      </c>
      <c r="P1062" s="3" t="s">
        <v>45</v>
      </c>
      <c r="Q1062" s="3" t="s">
        <v>45</v>
      </c>
      <c r="R1062" s="3" t="s">
        <v>45</v>
      </c>
      <c r="S1062" s="3" t="s">
        <v>45</v>
      </c>
      <c r="T1062" s="3" t="s">
        <v>45</v>
      </c>
      <c r="U1062" s="3" t="s">
        <v>45</v>
      </c>
      <c r="V1062" s="3" t="s">
        <v>45</v>
      </c>
      <c r="W1062" s="3" t="s">
        <v>45</v>
      </c>
      <c r="X1062" s="3" t="s">
        <v>45</v>
      </c>
      <c r="Y1062" s="3" t="s">
        <v>45</v>
      </c>
      <c r="Z1062" s="3" t="s">
        <v>74</v>
      </c>
      <c r="AA1062" s="3" t="s">
        <v>45</v>
      </c>
      <c r="AB1062" s="3" t="s">
        <v>45</v>
      </c>
      <c r="AC1062" s="3" t="s">
        <v>45</v>
      </c>
      <c r="AD1062" s="3" t="s">
        <v>45</v>
      </c>
      <c r="AE1062" s="3" t="s">
        <v>45</v>
      </c>
      <c r="AF1062" s="3" t="s">
        <v>45</v>
      </c>
      <c r="AG1062" s="3" t="s">
        <v>45</v>
      </c>
      <c r="AH1062" s="3" t="s">
        <v>57</v>
      </c>
      <c r="AI1062" s="5" t="s">
        <v>3873</v>
      </c>
      <c r="AJ1062" s="3" t="s">
        <v>45</v>
      </c>
      <c r="AK1062" s="3" t="s">
        <v>45</v>
      </c>
      <c r="AL1062" s="3" t="s">
        <v>45</v>
      </c>
      <c r="AM1062" s="3" t="s">
        <v>45</v>
      </c>
      <c r="AN1062" s="3" t="s">
        <v>45</v>
      </c>
      <c r="AO1062" s="3" t="s">
        <v>45</v>
      </c>
      <c r="AP1062" s="3" t="s">
        <v>45</v>
      </c>
      <c r="AQ1062" s="4" t="s">
        <v>3655</v>
      </c>
      <c r="AR1062" s="4" t="s">
        <v>339</v>
      </c>
    </row>
    <row r="1063">
      <c r="A1063" s="3" t="s">
        <v>4220</v>
      </c>
      <c r="B1063" s="3" t="s">
        <v>9569</v>
      </c>
      <c r="C1063" s="3" t="s">
        <v>5694</v>
      </c>
      <c r="D1063" s="3" t="s">
        <v>8268</v>
      </c>
      <c r="E1063" s="4" t="s">
        <v>9570</v>
      </c>
      <c r="F1063" s="3" t="s">
        <v>1029</v>
      </c>
      <c r="G1063" s="4" t="s">
        <v>9571</v>
      </c>
      <c r="H1063" s="4" t="s">
        <v>9572</v>
      </c>
      <c r="I1063" s="3" t="s">
        <v>49</v>
      </c>
      <c r="J1063" s="3" t="s">
        <v>126</v>
      </c>
      <c r="K1063" s="3" t="s">
        <v>45</v>
      </c>
      <c r="L1063" s="3" t="s">
        <v>45</v>
      </c>
      <c r="M1063" s="3" t="s">
        <v>45</v>
      </c>
      <c r="N1063" s="4" t="s">
        <v>582</v>
      </c>
      <c r="O1063" s="3" t="s">
        <v>53</v>
      </c>
      <c r="P1063" s="3" t="s">
        <v>45</v>
      </c>
      <c r="Q1063" s="3" t="s">
        <v>45</v>
      </c>
      <c r="R1063" s="3" t="s">
        <v>45</v>
      </c>
      <c r="S1063" s="3" t="s">
        <v>45</v>
      </c>
      <c r="T1063" s="3" t="s">
        <v>45</v>
      </c>
      <c r="U1063" s="3" t="s">
        <v>45</v>
      </c>
      <c r="V1063" s="4" t="s">
        <v>9573</v>
      </c>
      <c r="W1063" s="3" t="s">
        <v>45</v>
      </c>
      <c r="X1063" s="3" t="s">
        <v>9574</v>
      </c>
      <c r="Y1063" s="3" t="s">
        <v>45</v>
      </c>
      <c r="Z1063" s="3" t="s">
        <v>74</v>
      </c>
      <c r="AA1063" s="3" t="s">
        <v>45</v>
      </c>
      <c r="AB1063" s="3" t="s">
        <v>45</v>
      </c>
      <c r="AC1063" s="3" t="s">
        <v>45</v>
      </c>
      <c r="AD1063" s="3" t="s">
        <v>45</v>
      </c>
      <c r="AE1063" s="3" t="s">
        <v>45</v>
      </c>
      <c r="AF1063" s="3" t="s">
        <v>45</v>
      </c>
      <c r="AG1063" s="3" t="s">
        <v>45</v>
      </c>
      <c r="AH1063" s="3" t="s">
        <v>57</v>
      </c>
      <c r="AI1063" s="5" t="s">
        <v>9575</v>
      </c>
      <c r="AJ1063" s="3" t="s">
        <v>45</v>
      </c>
      <c r="AK1063" s="3" t="s">
        <v>45</v>
      </c>
      <c r="AL1063" s="3" t="s">
        <v>45</v>
      </c>
      <c r="AM1063" s="3" t="s">
        <v>45</v>
      </c>
      <c r="AN1063" s="3" t="s">
        <v>45</v>
      </c>
      <c r="AO1063" s="3" t="s">
        <v>45</v>
      </c>
      <c r="AP1063" s="3" t="s">
        <v>45</v>
      </c>
      <c r="AQ1063" s="4" t="s">
        <v>1270</v>
      </c>
      <c r="AR1063" s="4" t="s">
        <v>1270</v>
      </c>
    </row>
    <row r="1064">
      <c r="A1064" s="3" t="s">
        <v>9576</v>
      </c>
      <c r="B1064" s="3" t="s">
        <v>9577</v>
      </c>
      <c r="C1064" s="3" t="s">
        <v>9578</v>
      </c>
      <c r="D1064" s="3" t="s">
        <v>8268</v>
      </c>
      <c r="E1064" s="4" t="s">
        <v>9579</v>
      </c>
      <c r="F1064" s="3" t="s">
        <v>9580</v>
      </c>
      <c r="G1064" s="4" t="s">
        <v>9581</v>
      </c>
      <c r="H1064" s="4" t="s">
        <v>9582</v>
      </c>
      <c r="I1064" s="3" t="s">
        <v>85</v>
      </c>
      <c r="J1064" s="3" t="s">
        <v>126</v>
      </c>
      <c r="K1064" s="3" t="s">
        <v>45</v>
      </c>
      <c r="L1064" s="3" t="s">
        <v>45</v>
      </c>
      <c r="M1064" s="3" t="s">
        <v>45</v>
      </c>
      <c r="N1064" s="3" t="s">
        <v>45</v>
      </c>
      <c r="O1064" s="3" t="s">
        <v>74</v>
      </c>
      <c r="P1064" s="3" t="s">
        <v>45</v>
      </c>
      <c r="Q1064" s="3" t="s">
        <v>45</v>
      </c>
      <c r="R1064" s="3" t="s">
        <v>45</v>
      </c>
      <c r="S1064" s="3" t="s">
        <v>45</v>
      </c>
      <c r="T1064" s="3" t="s">
        <v>45</v>
      </c>
      <c r="U1064" s="3" t="s">
        <v>45</v>
      </c>
      <c r="V1064" s="4" t="s">
        <v>9583</v>
      </c>
      <c r="W1064" s="3" t="s">
        <v>45</v>
      </c>
      <c r="X1064" s="3" t="s">
        <v>45</v>
      </c>
      <c r="Y1064" s="3" t="s">
        <v>45</v>
      </c>
      <c r="Z1064" s="3" t="s">
        <v>74</v>
      </c>
      <c r="AA1064" s="3" t="s">
        <v>45</v>
      </c>
      <c r="AB1064" s="3" t="s">
        <v>45</v>
      </c>
      <c r="AC1064" s="3" t="s">
        <v>45</v>
      </c>
      <c r="AD1064" s="3" t="s">
        <v>45</v>
      </c>
      <c r="AE1064" s="3" t="s">
        <v>45</v>
      </c>
      <c r="AF1064" s="3" t="s">
        <v>45</v>
      </c>
      <c r="AG1064" s="3" t="s">
        <v>45</v>
      </c>
      <c r="AH1064" s="3" t="s">
        <v>57</v>
      </c>
      <c r="AI1064" s="5" t="s">
        <v>294</v>
      </c>
      <c r="AJ1064" s="3" t="s">
        <v>45</v>
      </c>
      <c r="AK1064" s="3" t="s">
        <v>45</v>
      </c>
      <c r="AL1064" s="3" t="s">
        <v>45</v>
      </c>
      <c r="AM1064" s="3" t="s">
        <v>45</v>
      </c>
      <c r="AN1064" s="3" t="s">
        <v>45</v>
      </c>
      <c r="AO1064" s="3" t="s">
        <v>45</v>
      </c>
      <c r="AP1064" s="3" t="s">
        <v>45</v>
      </c>
      <c r="AQ1064" s="4" t="s">
        <v>295</v>
      </c>
      <c r="AR1064" s="4" t="s">
        <v>295</v>
      </c>
    </row>
    <row r="1065">
      <c r="A1065" s="3" t="s">
        <v>9584</v>
      </c>
      <c r="B1065" s="3" t="s">
        <v>45</v>
      </c>
      <c r="C1065" s="3" t="s">
        <v>9585</v>
      </c>
      <c r="D1065" s="3" t="s">
        <v>8268</v>
      </c>
      <c r="E1065" s="4" t="s">
        <v>9586</v>
      </c>
      <c r="F1065" s="3" t="s">
        <v>9587</v>
      </c>
      <c r="G1065" s="4" t="s">
        <v>9588</v>
      </c>
      <c r="H1065" s="4" t="s">
        <v>9589</v>
      </c>
      <c r="I1065" s="3" t="s">
        <v>49</v>
      </c>
      <c r="J1065" s="3" t="s">
        <v>126</v>
      </c>
      <c r="K1065" s="3" t="s">
        <v>45</v>
      </c>
      <c r="L1065" s="3" t="s">
        <v>45</v>
      </c>
      <c r="M1065" s="3" t="s">
        <v>45</v>
      </c>
      <c r="N1065" s="4" t="s">
        <v>69</v>
      </c>
      <c r="O1065" s="3" t="s">
        <v>70</v>
      </c>
      <c r="P1065" s="3" t="s">
        <v>45</v>
      </c>
      <c r="Q1065" s="3" t="s">
        <v>45</v>
      </c>
      <c r="R1065" s="3" t="s">
        <v>45</v>
      </c>
      <c r="S1065" s="4" t="s">
        <v>2608</v>
      </c>
      <c r="T1065" s="3" t="s">
        <v>45</v>
      </c>
      <c r="U1065" s="3" t="s">
        <v>45</v>
      </c>
      <c r="V1065" s="3" t="s">
        <v>45</v>
      </c>
      <c r="W1065" s="4" t="s">
        <v>9590</v>
      </c>
      <c r="X1065" s="3" t="s">
        <v>45</v>
      </c>
      <c r="Y1065" s="3" t="s">
        <v>45</v>
      </c>
      <c r="Z1065" s="3" t="s">
        <v>74</v>
      </c>
      <c r="AA1065" s="3" t="s">
        <v>45</v>
      </c>
      <c r="AB1065" s="3" t="s">
        <v>45</v>
      </c>
      <c r="AC1065" s="3" t="s">
        <v>45</v>
      </c>
      <c r="AD1065" s="3" t="s">
        <v>45</v>
      </c>
      <c r="AE1065" s="3" t="s">
        <v>45</v>
      </c>
      <c r="AF1065" s="3" t="s">
        <v>45</v>
      </c>
      <c r="AG1065" s="3" t="s">
        <v>9591</v>
      </c>
      <c r="AH1065" s="3" t="s">
        <v>57</v>
      </c>
      <c r="AI1065" s="5" t="s">
        <v>9592</v>
      </c>
      <c r="AJ1065" s="5" t="s">
        <v>9593</v>
      </c>
      <c r="AK1065" s="3" t="s">
        <v>45</v>
      </c>
      <c r="AL1065" s="3" t="s">
        <v>45</v>
      </c>
      <c r="AM1065" s="3" t="s">
        <v>45</v>
      </c>
      <c r="AN1065" s="3" t="s">
        <v>45</v>
      </c>
      <c r="AO1065" s="3" t="s">
        <v>45</v>
      </c>
      <c r="AP1065" s="3" t="s">
        <v>45</v>
      </c>
      <c r="AQ1065" s="4" t="s">
        <v>3233</v>
      </c>
      <c r="AR1065" s="4" t="s">
        <v>3233</v>
      </c>
    </row>
    <row r="1066">
      <c r="A1066" s="3" t="s">
        <v>9594</v>
      </c>
      <c r="B1066" s="3" t="s">
        <v>9595</v>
      </c>
      <c r="C1066" s="3" t="s">
        <v>9596</v>
      </c>
      <c r="D1066" s="3" t="s">
        <v>8268</v>
      </c>
      <c r="E1066" s="3" t="s">
        <v>45</v>
      </c>
      <c r="F1066" s="3" t="s">
        <v>9597</v>
      </c>
      <c r="G1066" s="4" t="s">
        <v>9598</v>
      </c>
      <c r="H1066" s="4" t="s">
        <v>9599</v>
      </c>
      <c r="I1066" s="3" t="s">
        <v>49</v>
      </c>
      <c r="J1066" s="3" t="s">
        <v>50</v>
      </c>
      <c r="K1066" s="3" t="s">
        <v>45</v>
      </c>
      <c r="L1066" s="3" t="s">
        <v>8484</v>
      </c>
      <c r="M1066" s="3" t="s">
        <v>45</v>
      </c>
      <c r="N1066" s="4" t="s">
        <v>1094</v>
      </c>
      <c r="O1066" s="3" t="s">
        <v>70</v>
      </c>
      <c r="P1066" s="3" t="s">
        <v>45</v>
      </c>
      <c r="Q1066" s="3" t="s">
        <v>45</v>
      </c>
      <c r="R1066" s="3" t="s">
        <v>45</v>
      </c>
      <c r="S1066" s="3" t="s">
        <v>45</v>
      </c>
      <c r="T1066" s="3" t="s">
        <v>45</v>
      </c>
      <c r="U1066" s="3" t="s">
        <v>45</v>
      </c>
      <c r="V1066" s="3" t="s">
        <v>45</v>
      </c>
      <c r="W1066" s="4" t="s">
        <v>102</v>
      </c>
      <c r="X1066" s="3" t="s">
        <v>45</v>
      </c>
      <c r="Y1066" s="4" t="s">
        <v>73</v>
      </c>
      <c r="Z1066" s="3" t="s">
        <v>74</v>
      </c>
      <c r="AA1066" s="3" t="s">
        <v>45</v>
      </c>
      <c r="AB1066" s="3" t="s">
        <v>45</v>
      </c>
      <c r="AC1066" s="3" t="s">
        <v>45</v>
      </c>
      <c r="AD1066" s="3" t="s">
        <v>45</v>
      </c>
      <c r="AE1066" s="3" t="s">
        <v>45</v>
      </c>
      <c r="AF1066" s="3" t="s">
        <v>45</v>
      </c>
      <c r="AG1066" s="3" t="s">
        <v>9600</v>
      </c>
      <c r="AH1066" s="3" t="s">
        <v>57</v>
      </c>
      <c r="AI1066" s="5" t="s">
        <v>8487</v>
      </c>
      <c r="AJ1066" s="3" t="s">
        <v>45</v>
      </c>
      <c r="AK1066" s="3" t="s">
        <v>45</v>
      </c>
      <c r="AL1066" s="3" t="s">
        <v>45</v>
      </c>
      <c r="AM1066" s="3" t="s">
        <v>45</v>
      </c>
      <c r="AN1066" s="3" t="s">
        <v>45</v>
      </c>
      <c r="AO1066" s="3" t="s">
        <v>45</v>
      </c>
      <c r="AP1066" s="3" t="s">
        <v>45</v>
      </c>
      <c r="AQ1066" s="4" t="s">
        <v>1059</v>
      </c>
      <c r="AR1066" s="4" t="s">
        <v>1059</v>
      </c>
    </row>
    <row r="1067">
      <c r="A1067" s="3" t="s">
        <v>9601</v>
      </c>
      <c r="B1067" s="3" t="s">
        <v>9602</v>
      </c>
      <c r="C1067" s="3" t="s">
        <v>8300</v>
      </c>
      <c r="D1067" s="3" t="s">
        <v>8268</v>
      </c>
      <c r="E1067" s="4" t="s">
        <v>9603</v>
      </c>
      <c r="F1067" s="3" t="s">
        <v>8749</v>
      </c>
      <c r="G1067" s="4" t="s">
        <v>9604</v>
      </c>
      <c r="H1067" s="4" t="s">
        <v>9605</v>
      </c>
      <c r="I1067" s="3" t="s">
        <v>218</v>
      </c>
      <c r="J1067" s="3" t="s">
        <v>126</v>
      </c>
      <c r="K1067" s="3" t="s">
        <v>45</v>
      </c>
      <c r="L1067" s="3" t="s">
        <v>8752</v>
      </c>
      <c r="M1067" s="3" t="s">
        <v>45</v>
      </c>
      <c r="N1067" s="4" t="s">
        <v>2608</v>
      </c>
      <c r="O1067" s="3" t="s">
        <v>722</v>
      </c>
      <c r="P1067" s="3" t="s">
        <v>45</v>
      </c>
      <c r="Q1067" s="3" t="s">
        <v>45</v>
      </c>
      <c r="R1067" s="3" t="s">
        <v>45</v>
      </c>
      <c r="S1067" s="3" t="s">
        <v>45</v>
      </c>
      <c r="T1067" s="3" t="s">
        <v>45</v>
      </c>
      <c r="U1067" s="3" t="s">
        <v>45</v>
      </c>
      <c r="V1067" s="4" t="s">
        <v>9606</v>
      </c>
      <c r="W1067" s="4" t="s">
        <v>9607</v>
      </c>
      <c r="X1067" s="3" t="s">
        <v>45</v>
      </c>
      <c r="Y1067" s="3" t="s">
        <v>45</v>
      </c>
      <c r="Z1067" s="3" t="s">
        <v>55</v>
      </c>
      <c r="AA1067" s="3" t="s">
        <v>45</v>
      </c>
      <c r="AB1067" s="3" t="s">
        <v>45</v>
      </c>
      <c r="AC1067" s="3" t="s">
        <v>45</v>
      </c>
      <c r="AD1067" s="3" t="s">
        <v>45</v>
      </c>
      <c r="AE1067" s="3" t="s">
        <v>45</v>
      </c>
      <c r="AF1067" s="3" t="s">
        <v>45</v>
      </c>
      <c r="AG1067" s="3" t="s">
        <v>45</v>
      </c>
      <c r="AH1067" s="3" t="s">
        <v>57</v>
      </c>
      <c r="AI1067" s="5" t="s">
        <v>9608</v>
      </c>
      <c r="AJ1067" s="5" t="s">
        <v>8754</v>
      </c>
      <c r="AK1067" s="5" t="s">
        <v>9609</v>
      </c>
      <c r="AL1067" s="5" t="s">
        <v>9610</v>
      </c>
      <c r="AM1067" s="3" t="s">
        <v>45</v>
      </c>
      <c r="AN1067" s="3" t="s">
        <v>45</v>
      </c>
      <c r="AO1067" s="3" t="s">
        <v>45</v>
      </c>
      <c r="AP1067" s="3" t="s">
        <v>45</v>
      </c>
      <c r="AQ1067" s="4" t="s">
        <v>3713</v>
      </c>
      <c r="AR1067" s="4" t="s">
        <v>1250</v>
      </c>
    </row>
    <row r="1068">
      <c r="A1068" s="3" t="s">
        <v>9611</v>
      </c>
      <c r="B1068" s="3" t="s">
        <v>9612</v>
      </c>
      <c r="C1068" s="3" t="s">
        <v>8300</v>
      </c>
      <c r="D1068" s="3" t="s">
        <v>8268</v>
      </c>
      <c r="E1068" s="4" t="s">
        <v>9603</v>
      </c>
      <c r="F1068" s="3" t="s">
        <v>8749</v>
      </c>
      <c r="G1068" s="4" t="s">
        <v>9613</v>
      </c>
      <c r="H1068" s="4" t="s">
        <v>9614</v>
      </c>
      <c r="I1068" s="3" t="s">
        <v>218</v>
      </c>
      <c r="J1068" s="3" t="s">
        <v>126</v>
      </c>
      <c r="K1068" s="3" t="s">
        <v>45</v>
      </c>
      <c r="L1068" s="3" t="s">
        <v>9615</v>
      </c>
      <c r="M1068" s="3" t="s">
        <v>45</v>
      </c>
      <c r="N1068" s="4" t="s">
        <v>178</v>
      </c>
      <c r="O1068" s="3" t="s">
        <v>88</v>
      </c>
      <c r="P1068" s="3" t="s">
        <v>45</v>
      </c>
      <c r="Q1068" s="3" t="s">
        <v>45</v>
      </c>
      <c r="R1068" s="3" t="s">
        <v>45</v>
      </c>
      <c r="S1068" s="4" t="s">
        <v>275</v>
      </c>
      <c r="T1068" s="3" t="s">
        <v>45</v>
      </c>
      <c r="U1068" s="3" t="s">
        <v>45</v>
      </c>
      <c r="V1068" s="3" t="s">
        <v>45</v>
      </c>
      <c r="W1068" s="4" t="s">
        <v>9616</v>
      </c>
      <c r="X1068" s="3" t="s">
        <v>45</v>
      </c>
      <c r="Y1068" s="3" t="s">
        <v>45</v>
      </c>
      <c r="Z1068" s="3" t="s">
        <v>74</v>
      </c>
      <c r="AA1068" s="3" t="s">
        <v>45</v>
      </c>
      <c r="AB1068" s="3" t="s">
        <v>45</v>
      </c>
      <c r="AC1068" s="3" t="s">
        <v>45</v>
      </c>
      <c r="AD1068" s="3" t="s">
        <v>45</v>
      </c>
      <c r="AE1068" s="3" t="s">
        <v>45</v>
      </c>
      <c r="AF1068" s="3" t="s">
        <v>45</v>
      </c>
      <c r="AG1068" s="3" t="s">
        <v>9617</v>
      </c>
      <c r="AH1068" s="3" t="s">
        <v>57</v>
      </c>
      <c r="AI1068" s="5" t="s">
        <v>9608</v>
      </c>
      <c r="AJ1068" s="5" t="s">
        <v>9618</v>
      </c>
      <c r="AK1068" s="3" t="s">
        <v>45</v>
      </c>
      <c r="AL1068" s="3" t="s">
        <v>45</v>
      </c>
      <c r="AM1068" s="3" t="s">
        <v>45</v>
      </c>
      <c r="AN1068" s="3" t="s">
        <v>45</v>
      </c>
      <c r="AO1068" s="3" t="s">
        <v>45</v>
      </c>
      <c r="AP1068" s="3" t="s">
        <v>45</v>
      </c>
      <c r="AQ1068" s="4" t="s">
        <v>3713</v>
      </c>
      <c r="AR1068" s="4" t="s">
        <v>1250</v>
      </c>
    </row>
    <row r="1069">
      <c r="A1069" s="3" t="s">
        <v>205</v>
      </c>
      <c r="B1069" s="3" t="s">
        <v>9619</v>
      </c>
      <c r="C1069" s="3" t="s">
        <v>2616</v>
      </c>
      <c r="D1069" s="3" t="s">
        <v>8268</v>
      </c>
      <c r="E1069" s="4" t="s">
        <v>9620</v>
      </c>
      <c r="F1069" s="3" t="s">
        <v>8926</v>
      </c>
      <c r="G1069" s="4" t="s">
        <v>9621</v>
      </c>
      <c r="H1069" s="4" t="s">
        <v>9622</v>
      </c>
      <c r="I1069" s="3" t="s">
        <v>218</v>
      </c>
      <c r="J1069" s="3" t="s">
        <v>126</v>
      </c>
      <c r="K1069" s="3" t="s">
        <v>45</v>
      </c>
      <c r="L1069" s="3" t="s">
        <v>210</v>
      </c>
      <c r="M1069" s="3" t="s">
        <v>45</v>
      </c>
      <c r="N1069" s="4" t="s">
        <v>9623</v>
      </c>
      <c r="O1069" s="3" t="s">
        <v>88</v>
      </c>
      <c r="P1069" s="3" t="s">
        <v>45</v>
      </c>
      <c r="Q1069" s="3" t="s">
        <v>45</v>
      </c>
      <c r="R1069" s="3" t="s">
        <v>45</v>
      </c>
      <c r="S1069" s="3" t="s">
        <v>45</v>
      </c>
      <c r="T1069" s="3" t="s">
        <v>45</v>
      </c>
      <c r="U1069" s="3" t="s">
        <v>45</v>
      </c>
      <c r="V1069" s="4" t="s">
        <v>2105</v>
      </c>
      <c r="W1069" s="4" t="s">
        <v>9624</v>
      </c>
      <c r="X1069" s="3" t="s">
        <v>223</v>
      </c>
      <c r="Y1069" s="3" t="s">
        <v>45</v>
      </c>
      <c r="Z1069" s="3" t="s">
        <v>74</v>
      </c>
      <c r="AA1069" s="3" t="s">
        <v>45</v>
      </c>
      <c r="AB1069" s="3" t="s">
        <v>45</v>
      </c>
      <c r="AC1069" s="3" t="s">
        <v>45</v>
      </c>
      <c r="AD1069" s="3" t="s">
        <v>45</v>
      </c>
      <c r="AE1069" s="3" t="s">
        <v>45</v>
      </c>
      <c r="AF1069" s="3" t="s">
        <v>45</v>
      </c>
      <c r="AG1069" s="3" t="s">
        <v>45</v>
      </c>
      <c r="AH1069" s="3" t="s">
        <v>57</v>
      </c>
      <c r="AI1069" s="5" t="s">
        <v>362</v>
      </c>
      <c r="AJ1069" s="5" t="s">
        <v>9625</v>
      </c>
      <c r="AK1069" s="5" t="s">
        <v>9626</v>
      </c>
      <c r="AL1069" s="3" t="s">
        <v>45</v>
      </c>
      <c r="AM1069" s="3" t="s">
        <v>45</v>
      </c>
      <c r="AN1069" s="3" t="s">
        <v>45</v>
      </c>
      <c r="AO1069" s="3" t="s">
        <v>45</v>
      </c>
      <c r="AP1069" s="3" t="s">
        <v>45</v>
      </c>
      <c r="AQ1069" s="4" t="s">
        <v>465</v>
      </c>
      <c r="AR1069" s="4" t="s">
        <v>465</v>
      </c>
    </row>
    <row r="1070">
      <c r="A1070" s="3" t="s">
        <v>9627</v>
      </c>
      <c r="B1070" s="3" t="s">
        <v>9628</v>
      </c>
      <c r="C1070" s="3" t="s">
        <v>2616</v>
      </c>
      <c r="D1070" s="3" t="s">
        <v>8268</v>
      </c>
      <c r="E1070" s="4" t="s">
        <v>9629</v>
      </c>
      <c r="F1070" s="3" t="s">
        <v>8926</v>
      </c>
      <c r="G1070" s="4" t="s">
        <v>9630</v>
      </c>
      <c r="H1070" s="4" t="s">
        <v>9631</v>
      </c>
      <c r="I1070" s="3" t="s">
        <v>218</v>
      </c>
      <c r="J1070" s="3" t="s">
        <v>126</v>
      </c>
      <c r="K1070" s="3" t="s">
        <v>45</v>
      </c>
      <c r="L1070" s="3" t="s">
        <v>45</v>
      </c>
      <c r="M1070" s="3" t="s">
        <v>45</v>
      </c>
      <c r="N1070" s="3" t="s">
        <v>45</v>
      </c>
      <c r="O1070" s="3" t="s">
        <v>74</v>
      </c>
      <c r="P1070" s="3" t="s">
        <v>45</v>
      </c>
      <c r="Q1070" s="3" t="s">
        <v>45</v>
      </c>
      <c r="R1070" s="3" t="s">
        <v>45</v>
      </c>
      <c r="S1070" s="3" t="s">
        <v>45</v>
      </c>
      <c r="T1070" s="3" t="s">
        <v>45</v>
      </c>
      <c r="U1070" s="3" t="s">
        <v>45</v>
      </c>
      <c r="V1070" s="3" t="s">
        <v>45</v>
      </c>
      <c r="W1070" s="3" t="s">
        <v>45</v>
      </c>
      <c r="X1070" s="3" t="s">
        <v>45</v>
      </c>
      <c r="Y1070" s="3" t="s">
        <v>45</v>
      </c>
      <c r="Z1070" s="3" t="s">
        <v>74</v>
      </c>
      <c r="AA1070" s="3" t="s">
        <v>45</v>
      </c>
      <c r="AB1070" s="3" t="s">
        <v>45</v>
      </c>
      <c r="AC1070" s="3" t="s">
        <v>45</v>
      </c>
      <c r="AD1070" s="3" t="s">
        <v>45</v>
      </c>
      <c r="AE1070" s="3" t="s">
        <v>45</v>
      </c>
      <c r="AF1070" s="3" t="s">
        <v>45</v>
      </c>
      <c r="AG1070" s="3" t="s">
        <v>45</v>
      </c>
      <c r="AH1070" s="3" t="s">
        <v>57</v>
      </c>
      <c r="AI1070" s="5" t="s">
        <v>9632</v>
      </c>
      <c r="AJ1070" s="5" t="s">
        <v>9633</v>
      </c>
      <c r="AK1070" s="3" t="s">
        <v>45</v>
      </c>
      <c r="AL1070" s="3" t="s">
        <v>45</v>
      </c>
      <c r="AM1070" s="3" t="s">
        <v>45</v>
      </c>
      <c r="AN1070" s="3" t="s">
        <v>45</v>
      </c>
      <c r="AO1070" s="3" t="s">
        <v>45</v>
      </c>
      <c r="AP1070" s="3" t="s">
        <v>45</v>
      </c>
      <c r="AQ1070" s="4" t="s">
        <v>8335</v>
      </c>
      <c r="AR1070" s="4" t="s">
        <v>8335</v>
      </c>
    </row>
    <row r="1071">
      <c r="A1071" s="3" t="s">
        <v>9634</v>
      </c>
      <c r="B1071" s="3" t="s">
        <v>9635</v>
      </c>
      <c r="C1071" s="3" t="s">
        <v>2616</v>
      </c>
      <c r="D1071" s="3" t="s">
        <v>8268</v>
      </c>
      <c r="E1071" s="4" t="s">
        <v>9636</v>
      </c>
      <c r="F1071" s="3" t="s">
        <v>8926</v>
      </c>
      <c r="G1071" s="4" t="s">
        <v>9637</v>
      </c>
      <c r="H1071" s="4" t="s">
        <v>9638</v>
      </c>
      <c r="I1071" s="3" t="s">
        <v>218</v>
      </c>
      <c r="J1071" s="3" t="s">
        <v>126</v>
      </c>
      <c r="K1071" s="3" t="s">
        <v>45</v>
      </c>
      <c r="L1071" s="3" t="s">
        <v>45</v>
      </c>
      <c r="M1071" s="3" t="s">
        <v>45</v>
      </c>
      <c r="N1071" s="4" t="s">
        <v>156</v>
      </c>
      <c r="O1071" s="3" t="s">
        <v>88</v>
      </c>
      <c r="P1071" s="3" t="s">
        <v>45</v>
      </c>
      <c r="Q1071" s="3" t="s">
        <v>45</v>
      </c>
      <c r="R1071" s="3" t="s">
        <v>45</v>
      </c>
      <c r="S1071" s="3" t="s">
        <v>45</v>
      </c>
      <c r="T1071" s="3" t="s">
        <v>45</v>
      </c>
      <c r="U1071" s="3" t="s">
        <v>45</v>
      </c>
      <c r="V1071" s="3" t="s">
        <v>45</v>
      </c>
      <c r="W1071" s="4" t="s">
        <v>667</v>
      </c>
      <c r="X1071" s="3" t="s">
        <v>2091</v>
      </c>
      <c r="Y1071" s="3" t="s">
        <v>45</v>
      </c>
      <c r="Z1071" s="3" t="s">
        <v>55</v>
      </c>
      <c r="AA1071" s="3" t="s">
        <v>45</v>
      </c>
      <c r="AB1071" s="3" t="s">
        <v>45</v>
      </c>
      <c r="AC1071" s="3" t="s">
        <v>45</v>
      </c>
      <c r="AD1071" s="3" t="s">
        <v>45</v>
      </c>
      <c r="AE1071" s="3" t="s">
        <v>45</v>
      </c>
      <c r="AF1071" s="3" t="s">
        <v>45</v>
      </c>
      <c r="AG1071" s="3" t="s">
        <v>9639</v>
      </c>
      <c r="AH1071" s="3" t="s">
        <v>57</v>
      </c>
      <c r="AI1071" s="5" t="s">
        <v>9640</v>
      </c>
      <c r="AJ1071" s="5" t="s">
        <v>9641</v>
      </c>
      <c r="AK1071" s="5" t="s">
        <v>9642</v>
      </c>
      <c r="AL1071" s="5" t="s">
        <v>9643</v>
      </c>
      <c r="AM1071" s="5" t="s">
        <v>9644</v>
      </c>
      <c r="AN1071" s="3" t="s">
        <v>45</v>
      </c>
      <c r="AO1071" s="3" t="s">
        <v>45</v>
      </c>
      <c r="AP1071" s="3" t="s">
        <v>45</v>
      </c>
      <c r="AQ1071" s="4" t="s">
        <v>2987</v>
      </c>
      <c r="AR1071" s="4" t="s">
        <v>413</v>
      </c>
    </row>
    <row r="1072">
      <c r="A1072" s="3" t="s">
        <v>9634</v>
      </c>
      <c r="B1072" s="3" t="s">
        <v>9645</v>
      </c>
      <c r="C1072" s="3" t="s">
        <v>2616</v>
      </c>
      <c r="D1072" s="3" t="s">
        <v>8268</v>
      </c>
      <c r="E1072" s="4" t="s">
        <v>9636</v>
      </c>
      <c r="F1072" s="3" t="s">
        <v>8926</v>
      </c>
      <c r="G1072" s="4" t="s">
        <v>9646</v>
      </c>
      <c r="H1072" s="4" t="s">
        <v>9647</v>
      </c>
      <c r="I1072" s="3" t="s">
        <v>218</v>
      </c>
      <c r="J1072" s="3" t="s">
        <v>126</v>
      </c>
      <c r="K1072" s="3" t="s">
        <v>45</v>
      </c>
      <c r="L1072" s="3" t="s">
        <v>45</v>
      </c>
      <c r="M1072" s="3" t="s">
        <v>45</v>
      </c>
      <c r="N1072" s="4" t="s">
        <v>156</v>
      </c>
      <c r="O1072" s="3" t="s">
        <v>88</v>
      </c>
      <c r="P1072" s="3" t="s">
        <v>45</v>
      </c>
      <c r="Q1072" s="3" t="s">
        <v>45</v>
      </c>
      <c r="R1072" s="3" t="s">
        <v>45</v>
      </c>
      <c r="S1072" s="3" t="s">
        <v>45</v>
      </c>
      <c r="T1072" s="3" t="s">
        <v>45</v>
      </c>
      <c r="U1072" s="3" t="s">
        <v>45</v>
      </c>
      <c r="V1072" s="3" t="s">
        <v>45</v>
      </c>
      <c r="W1072" s="3" t="s">
        <v>45</v>
      </c>
      <c r="X1072" s="3" t="s">
        <v>3650</v>
      </c>
      <c r="Y1072" s="3" t="s">
        <v>45</v>
      </c>
      <c r="Z1072" s="3" t="s">
        <v>74</v>
      </c>
      <c r="AA1072" s="3" t="s">
        <v>45</v>
      </c>
      <c r="AB1072" s="3" t="s">
        <v>45</v>
      </c>
      <c r="AC1072" s="3" t="s">
        <v>45</v>
      </c>
      <c r="AD1072" s="3" t="s">
        <v>45</v>
      </c>
      <c r="AE1072" s="3" t="s">
        <v>45</v>
      </c>
      <c r="AF1072" s="3" t="s">
        <v>45</v>
      </c>
      <c r="AG1072" s="3" t="s">
        <v>45</v>
      </c>
      <c r="AH1072" s="3" t="s">
        <v>57</v>
      </c>
      <c r="AI1072" s="5" t="s">
        <v>9641</v>
      </c>
      <c r="AJ1072" s="5" t="s">
        <v>9648</v>
      </c>
      <c r="AK1072" s="3" t="s">
        <v>45</v>
      </c>
      <c r="AL1072" s="3" t="s">
        <v>45</v>
      </c>
      <c r="AM1072" s="3" t="s">
        <v>45</v>
      </c>
      <c r="AN1072" s="3" t="s">
        <v>45</v>
      </c>
      <c r="AO1072" s="3" t="s">
        <v>45</v>
      </c>
      <c r="AP1072" s="3" t="s">
        <v>45</v>
      </c>
      <c r="AQ1072" s="4" t="s">
        <v>3233</v>
      </c>
      <c r="AR1072" s="4" t="s">
        <v>3233</v>
      </c>
    </row>
    <row r="1073">
      <c r="A1073" s="3" t="s">
        <v>9649</v>
      </c>
      <c r="B1073" s="3" t="s">
        <v>9650</v>
      </c>
      <c r="C1073" s="3" t="s">
        <v>9651</v>
      </c>
      <c r="D1073" s="3" t="s">
        <v>8268</v>
      </c>
      <c r="E1073" s="4" t="s">
        <v>9652</v>
      </c>
      <c r="F1073" s="3" t="s">
        <v>9653</v>
      </c>
      <c r="G1073" s="4" t="s">
        <v>9654</v>
      </c>
      <c r="H1073" s="4" t="s">
        <v>9655</v>
      </c>
      <c r="I1073" s="3" t="s">
        <v>85</v>
      </c>
      <c r="J1073" s="3" t="s">
        <v>126</v>
      </c>
      <c r="K1073" s="3" t="s">
        <v>45</v>
      </c>
      <c r="L1073" s="3" t="s">
        <v>45</v>
      </c>
      <c r="M1073" s="3" t="s">
        <v>45</v>
      </c>
      <c r="N1073" s="3" t="s">
        <v>45</v>
      </c>
      <c r="O1073" s="3" t="s">
        <v>74</v>
      </c>
      <c r="P1073" s="3" t="s">
        <v>45</v>
      </c>
      <c r="Q1073" s="3" t="s">
        <v>45</v>
      </c>
      <c r="R1073" s="3" t="s">
        <v>45</v>
      </c>
      <c r="S1073" s="3" t="s">
        <v>45</v>
      </c>
      <c r="T1073" s="3" t="s">
        <v>45</v>
      </c>
      <c r="U1073" s="3" t="s">
        <v>45</v>
      </c>
      <c r="V1073" s="4" t="s">
        <v>9656</v>
      </c>
      <c r="W1073" s="3" t="s">
        <v>45</v>
      </c>
      <c r="X1073" s="3" t="s">
        <v>45</v>
      </c>
      <c r="Y1073" s="3" t="s">
        <v>45</v>
      </c>
      <c r="Z1073" s="3" t="s">
        <v>74</v>
      </c>
      <c r="AA1073" s="3" t="s">
        <v>45</v>
      </c>
      <c r="AB1073" s="3" t="s">
        <v>45</v>
      </c>
      <c r="AC1073" s="3" t="s">
        <v>45</v>
      </c>
      <c r="AD1073" s="3" t="s">
        <v>45</v>
      </c>
      <c r="AE1073" s="3" t="s">
        <v>45</v>
      </c>
      <c r="AF1073" s="3" t="s">
        <v>45</v>
      </c>
      <c r="AG1073" s="3" t="s">
        <v>45</v>
      </c>
      <c r="AH1073" s="3" t="s">
        <v>57</v>
      </c>
      <c r="AI1073" s="5" t="s">
        <v>294</v>
      </c>
      <c r="AJ1073" s="3" t="s">
        <v>45</v>
      </c>
      <c r="AK1073" s="3" t="s">
        <v>45</v>
      </c>
      <c r="AL1073" s="3" t="s">
        <v>45</v>
      </c>
      <c r="AM1073" s="3" t="s">
        <v>45</v>
      </c>
      <c r="AN1073" s="3" t="s">
        <v>45</v>
      </c>
      <c r="AO1073" s="3" t="s">
        <v>45</v>
      </c>
      <c r="AP1073" s="3" t="s">
        <v>45</v>
      </c>
      <c r="AQ1073" s="4" t="s">
        <v>295</v>
      </c>
      <c r="AR1073" s="4" t="s">
        <v>295</v>
      </c>
    </row>
    <row r="1074">
      <c r="A1074" s="3" t="s">
        <v>9657</v>
      </c>
      <c r="B1074" s="3" t="s">
        <v>45</v>
      </c>
      <c r="C1074" s="3" t="s">
        <v>9658</v>
      </c>
      <c r="D1074" s="3" t="s">
        <v>8268</v>
      </c>
      <c r="E1074" s="3" t="s">
        <v>45</v>
      </c>
      <c r="F1074" s="3" t="s">
        <v>8344</v>
      </c>
      <c r="G1074" s="4" t="s">
        <v>9659</v>
      </c>
      <c r="H1074" s="4" t="s">
        <v>9660</v>
      </c>
      <c r="I1074" s="3" t="s">
        <v>49</v>
      </c>
      <c r="J1074" s="3" t="s">
        <v>99</v>
      </c>
      <c r="K1074" s="3" t="s">
        <v>45</v>
      </c>
      <c r="L1074" s="3" t="s">
        <v>45</v>
      </c>
      <c r="M1074" s="3" t="s">
        <v>45</v>
      </c>
      <c r="N1074" s="3" t="s">
        <v>45</v>
      </c>
      <c r="O1074" s="3" t="s">
        <v>74</v>
      </c>
      <c r="P1074" s="3" t="s">
        <v>45</v>
      </c>
      <c r="Q1074" s="3" t="s">
        <v>45</v>
      </c>
      <c r="R1074" s="3" t="s">
        <v>45</v>
      </c>
      <c r="S1074" s="3" t="s">
        <v>45</v>
      </c>
      <c r="T1074" s="3" t="s">
        <v>45</v>
      </c>
      <c r="U1074" s="3" t="s">
        <v>45</v>
      </c>
      <c r="V1074" s="3" t="s">
        <v>45</v>
      </c>
      <c r="W1074" s="4" t="s">
        <v>5039</v>
      </c>
      <c r="X1074" s="3" t="s">
        <v>45</v>
      </c>
      <c r="Y1074" s="3" t="s">
        <v>45</v>
      </c>
      <c r="Z1074" s="3" t="s">
        <v>74</v>
      </c>
      <c r="AA1074" s="3" t="s">
        <v>45</v>
      </c>
      <c r="AB1074" s="3" t="s">
        <v>45</v>
      </c>
      <c r="AC1074" s="3" t="s">
        <v>45</v>
      </c>
      <c r="AD1074" s="3" t="s">
        <v>45</v>
      </c>
      <c r="AE1074" s="3" t="s">
        <v>45</v>
      </c>
      <c r="AF1074" s="3" t="s">
        <v>45</v>
      </c>
      <c r="AG1074" s="3" t="s">
        <v>45</v>
      </c>
      <c r="AH1074" s="3" t="s">
        <v>57</v>
      </c>
      <c r="AI1074" s="5" t="s">
        <v>9661</v>
      </c>
      <c r="AJ1074" s="3" t="s">
        <v>45</v>
      </c>
      <c r="AK1074" s="3" t="s">
        <v>45</v>
      </c>
      <c r="AL1074" s="3" t="s">
        <v>45</v>
      </c>
      <c r="AM1074" s="3" t="s">
        <v>45</v>
      </c>
      <c r="AN1074" s="3" t="s">
        <v>45</v>
      </c>
      <c r="AO1074" s="3" t="s">
        <v>45</v>
      </c>
      <c r="AP1074" s="3" t="s">
        <v>45</v>
      </c>
      <c r="AQ1074" s="4" t="s">
        <v>3847</v>
      </c>
      <c r="AR1074" s="4" t="s">
        <v>3847</v>
      </c>
    </row>
    <row r="1075">
      <c r="A1075" s="3" t="s">
        <v>9662</v>
      </c>
      <c r="B1075" s="3" t="s">
        <v>9663</v>
      </c>
      <c r="C1075" s="3" t="s">
        <v>9664</v>
      </c>
      <c r="D1075" s="3" t="s">
        <v>8268</v>
      </c>
      <c r="E1075" s="4" t="s">
        <v>9665</v>
      </c>
      <c r="F1075" s="3" t="s">
        <v>8780</v>
      </c>
      <c r="G1075" s="4" t="s">
        <v>9666</v>
      </c>
      <c r="H1075" s="4" t="s">
        <v>9667</v>
      </c>
      <c r="I1075" s="3" t="s">
        <v>218</v>
      </c>
      <c r="J1075" s="3" t="s">
        <v>50</v>
      </c>
      <c r="K1075" s="3" t="s">
        <v>45</v>
      </c>
      <c r="L1075" s="3" t="s">
        <v>9668</v>
      </c>
      <c r="M1075" s="3" t="s">
        <v>45</v>
      </c>
      <c r="N1075" s="4" t="s">
        <v>2222</v>
      </c>
      <c r="O1075" s="3" t="s">
        <v>70</v>
      </c>
      <c r="P1075" s="3" t="s">
        <v>45</v>
      </c>
      <c r="Q1075" s="3" t="s">
        <v>45</v>
      </c>
      <c r="R1075" s="3" t="s">
        <v>45</v>
      </c>
      <c r="S1075" s="4" t="s">
        <v>2608</v>
      </c>
      <c r="T1075" s="3" t="s">
        <v>45</v>
      </c>
      <c r="U1075" s="3" t="s">
        <v>45</v>
      </c>
      <c r="V1075" s="4" t="s">
        <v>9669</v>
      </c>
      <c r="W1075" s="4" t="s">
        <v>1094</v>
      </c>
      <c r="X1075" s="3" t="s">
        <v>45</v>
      </c>
      <c r="Y1075" s="3" t="s">
        <v>45</v>
      </c>
      <c r="Z1075" s="3" t="s">
        <v>55</v>
      </c>
      <c r="AA1075" s="3" t="s">
        <v>45</v>
      </c>
      <c r="AB1075" s="3" t="s">
        <v>45</v>
      </c>
      <c r="AC1075" s="3" t="s">
        <v>45</v>
      </c>
      <c r="AD1075" s="3" t="s">
        <v>45</v>
      </c>
      <c r="AE1075" s="3" t="s">
        <v>45</v>
      </c>
      <c r="AF1075" s="3" t="s">
        <v>45</v>
      </c>
      <c r="AG1075" s="3" t="s">
        <v>45</v>
      </c>
      <c r="AH1075" s="3" t="s">
        <v>57</v>
      </c>
      <c r="AI1075" s="5" t="s">
        <v>9670</v>
      </c>
      <c r="AJ1075" s="5" t="s">
        <v>9671</v>
      </c>
      <c r="AK1075" s="5" t="s">
        <v>9672</v>
      </c>
      <c r="AL1075" s="5" t="s">
        <v>9673</v>
      </c>
      <c r="AM1075" s="3" t="s">
        <v>45</v>
      </c>
      <c r="AN1075" s="3" t="s">
        <v>45</v>
      </c>
      <c r="AO1075" s="3" t="s">
        <v>45</v>
      </c>
      <c r="AP1075" s="3" t="s">
        <v>45</v>
      </c>
      <c r="AQ1075" s="4" t="s">
        <v>309</v>
      </c>
      <c r="AR1075" s="4" t="s">
        <v>309</v>
      </c>
    </row>
    <row r="1076">
      <c r="A1076" s="3" t="s">
        <v>9674</v>
      </c>
      <c r="B1076" s="3" t="s">
        <v>9675</v>
      </c>
      <c r="C1076" s="3" t="s">
        <v>9676</v>
      </c>
      <c r="D1076" s="3" t="s">
        <v>8268</v>
      </c>
      <c r="E1076" s="4" t="s">
        <v>9677</v>
      </c>
      <c r="F1076" s="3" t="s">
        <v>9678</v>
      </c>
      <c r="G1076" s="4" t="s">
        <v>9679</v>
      </c>
      <c r="H1076" s="4" t="s">
        <v>9680</v>
      </c>
      <c r="I1076" s="3" t="s">
        <v>436</v>
      </c>
      <c r="J1076" s="3" t="s">
        <v>126</v>
      </c>
      <c r="K1076" s="3" t="s">
        <v>45</v>
      </c>
      <c r="L1076" s="3" t="s">
        <v>9681</v>
      </c>
      <c r="M1076" s="3" t="s">
        <v>45</v>
      </c>
      <c r="N1076" s="4" t="s">
        <v>472</v>
      </c>
      <c r="O1076" s="3" t="s">
        <v>390</v>
      </c>
      <c r="P1076" s="3" t="s">
        <v>45</v>
      </c>
      <c r="Q1076" s="3" t="s">
        <v>45</v>
      </c>
      <c r="R1076" s="3" t="s">
        <v>45</v>
      </c>
      <c r="S1076" s="3" t="s">
        <v>45</v>
      </c>
      <c r="T1076" s="3" t="s">
        <v>45</v>
      </c>
      <c r="U1076" s="3" t="s">
        <v>221</v>
      </c>
      <c r="V1076" s="4" t="s">
        <v>9682</v>
      </c>
      <c r="W1076" s="4" t="s">
        <v>233</v>
      </c>
      <c r="X1076" s="3" t="s">
        <v>45</v>
      </c>
      <c r="Y1076" s="3" t="s">
        <v>45</v>
      </c>
      <c r="Z1076" s="3" t="s">
        <v>55</v>
      </c>
      <c r="AA1076" s="3" t="s">
        <v>45</v>
      </c>
      <c r="AB1076" s="3" t="s">
        <v>109</v>
      </c>
      <c r="AC1076" s="3" t="s">
        <v>45</v>
      </c>
      <c r="AD1076" s="3" t="s">
        <v>45</v>
      </c>
      <c r="AE1076" s="3" t="s">
        <v>45</v>
      </c>
      <c r="AF1076" s="3" t="s">
        <v>45</v>
      </c>
      <c r="AG1076" s="3" t="s">
        <v>9683</v>
      </c>
      <c r="AH1076" s="3" t="s">
        <v>57</v>
      </c>
      <c r="AI1076" s="5" t="s">
        <v>9684</v>
      </c>
      <c r="AJ1076" s="3" t="s">
        <v>45</v>
      </c>
      <c r="AK1076" s="3" t="s">
        <v>45</v>
      </c>
      <c r="AL1076" s="3" t="s">
        <v>45</v>
      </c>
      <c r="AM1076" s="3" t="s">
        <v>45</v>
      </c>
      <c r="AN1076" s="3" t="s">
        <v>45</v>
      </c>
      <c r="AO1076" s="3" t="s">
        <v>45</v>
      </c>
      <c r="AP1076" s="3" t="s">
        <v>45</v>
      </c>
      <c r="AQ1076" s="4" t="s">
        <v>3636</v>
      </c>
      <c r="AR1076" s="4" t="s">
        <v>3636</v>
      </c>
    </row>
    <row r="1077">
      <c r="A1077" s="3" t="s">
        <v>3078</v>
      </c>
      <c r="B1077" s="3" t="s">
        <v>9685</v>
      </c>
      <c r="C1077" s="3" t="s">
        <v>9686</v>
      </c>
      <c r="D1077" s="3" t="s">
        <v>8268</v>
      </c>
      <c r="E1077" s="4" t="s">
        <v>9687</v>
      </c>
      <c r="F1077" s="3" t="s">
        <v>5170</v>
      </c>
      <c r="G1077" s="4" t="s">
        <v>9688</v>
      </c>
      <c r="H1077" s="4" t="s">
        <v>9689</v>
      </c>
      <c r="I1077" s="3" t="s">
        <v>49</v>
      </c>
      <c r="J1077" s="3" t="s">
        <v>50</v>
      </c>
      <c r="K1077" s="3" t="s">
        <v>45</v>
      </c>
      <c r="L1077" s="3" t="s">
        <v>45</v>
      </c>
      <c r="M1077" s="3" t="s">
        <v>45</v>
      </c>
      <c r="N1077" s="3" t="s">
        <v>45</v>
      </c>
      <c r="O1077" s="3" t="s">
        <v>88</v>
      </c>
      <c r="P1077" s="3" t="s">
        <v>45</v>
      </c>
      <c r="Q1077" s="3" t="s">
        <v>45</v>
      </c>
      <c r="R1077" s="3" t="s">
        <v>45</v>
      </c>
      <c r="S1077" s="3" t="s">
        <v>45</v>
      </c>
      <c r="T1077" s="3" t="s">
        <v>45</v>
      </c>
      <c r="U1077" s="3" t="s">
        <v>45</v>
      </c>
      <c r="V1077" s="3" t="s">
        <v>45</v>
      </c>
      <c r="W1077" s="4" t="s">
        <v>102</v>
      </c>
      <c r="X1077" s="3" t="s">
        <v>45</v>
      </c>
      <c r="Y1077" s="3" t="s">
        <v>45</v>
      </c>
      <c r="Z1077" s="3" t="s">
        <v>74</v>
      </c>
      <c r="AA1077" s="3" t="s">
        <v>45</v>
      </c>
      <c r="AB1077" s="3" t="s">
        <v>45</v>
      </c>
      <c r="AC1077" s="3" t="s">
        <v>45</v>
      </c>
      <c r="AD1077" s="3" t="s">
        <v>45</v>
      </c>
      <c r="AE1077" s="3" t="s">
        <v>45</v>
      </c>
      <c r="AF1077" s="3" t="s">
        <v>45</v>
      </c>
      <c r="AG1077" s="3" t="s">
        <v>9690</v>
      </c>
      <c r="AH1077" s="3" t="s">
        <v>57</v>
      </c>
      <c r="AI1077" s="5" t="s">
        <v>9691</v>
      </c>
      <c r="AJ1077" s="5" t="s">
        <v>9692</v>
      </c>
      <c r="AK1077" s="3" t="s">
        <v>45</v>
      </c>
      <c r="AL1077" s="3" t="s">
        <v>45</v>
      </c>
      <c r="AM1077" s="3" t="s">
        <v>45</v>
      </c>
      <c r="AN1077" s="3" t="s">
        <v>45</v>
      </c>
      <c r="AO1077" s="3" t="s">
        <v>45</v>
      </c>
      <c r="AP1077" s="3" t="s">
        <v>45</v>
      </c>
      <c r="AQ1077" s="4" t="s">
        <v>3382</v>
      </c>
      <c r="AR1077" s="4" t="s">
        <v>3382</v>
      </c>
    </row>
    <row r="1078">
      <c r="A1078" s="3" t="s">
        <v>9693</v>
      </c>
      <c r="B1078" s="3" t="s">
        <v>9694</v>
      </c>
      <c r="C1078" s="3" t="s">
        <v>9695</v>
      </c>
      <c r="D1078" s="3" t="s">
        <v>8268</v>
      </c>
      <c r="E1078" s="4" t="s">
        <v>9696</v>
      </c>
      <c r="F1078" s="3" t="s">
        <v>8640</v>
      </c>
      <c r="G1078" s="4" t="s">
        <v>9697</v>
      </c>
      <c r="H1078" s="4" t="s">
        <v>9698</v>
      </c>
      <c r="I1078" s="3" t="s">
        <v>49</v>
      </c>
      <c r="J1078" s="3" t="s">
        <v>50</v>
      </c>
      <c r="K1078" s="3" t="s">
        <v>45</v>
      </c>
      <c r="L1078" s="3" t="s">
        <v>9699</v>
      </c>
      <c r="M1078" s="3" t="s">
        <v>45</v>
      </c>
      <c r="N1078" s="3" t="s">
        <v>45</v>
      </c>
      <c r="O1078" s="3" t="s">
        <v>74</v>
      </c>
      <c r="P1078" s="3" t="s">
        <v>45</v>
      </c>
      <c r="Q1078" s="3" t="s">
        <v>45</v>
      </c>
      <c r="R1078" s="3" t="s">
        <v>45</v>
      </c>
      <c r="S1078" s="3" t="s">
        <v>45</v>
      </c>
      <c r="T1078" s="3" t="s">
        <v>45</v>
      </c>
      <c r="U1078" s="3" t="s">
        <v>45</v>
      </c>
      <c r="V1078" s="3" t="s">
        <v>45</v>
      </c>
      <c r="W1078" s="4" t="s">
        <v>9700</v>
      </c>
      <c r="X1078" s="3" t="s">
        <v>45</v>
      </c>
      <c r="Y1078" s="3" t="s">
        <v>45</v>
      </c>
      <c r="Z1078" s="3" t="s">
        <v>74</v>
      </c>
      <c r="AA1078" s="3" t="s">
        <v>45</v>
      </c>
      <c r="AB1078" s="3" t="s">
        <v>45</v>
      </c>
      <c r="AC1078" s="3" t="s">
        <v>45</v>
      </c>
      <c r="AD1078" s="3" t="s">
        <v>45</v>
      </c>
      <c r="AE1078" s="3" t="s">
        <v>45</v>
      </c>
      <c r="AF1078" s="3" t="s">
        <v>45</v>
      </c>
      <c r="AG1078" s="3" t="s">
        <v>45</v>
      </c>
      <c r="AH1078" s="3" t="s">
        <v>57</v>
      </c>
      <c r="AI1078" s="5" t="s">
        <v>9701</v>
      </c>
      <c r="AJ1078" s="3" t="s">
        <v>45</v>
      </c>
      <c r="AK1078" s="3" t="s">
        <v>45</v>
      </c>
      <c r="AL1078" s="3" t="s">
        <v>45</v>
      </c>
      <c r="AM1078" s="3" t="s">
        <v>45</v>
      </c>
      <c r="AN1078" s="3" t="s">
        <v>45</v>
      </c>
      <c r="AO1078" s="3" t="s">
        <v>45</v>
      </c>
      <c r="AP1078" s="3" t="s">
        <v>45</v>
      </c>
      <c r="AQ1078" s="4" t="s">
        <v>1729</v>
      </c>
      <c r="AR1078" s="4" t="s">
        <v>1729</v>
      </c>
    </row>
    <row r="1079">
      <c r="A1079" s="3" t="s">
        <v>9702</v>
      </c>
      <c r="B1079" s="3" t="s">
        <v>9703</v>
      </c>
      <c r="C1079" s="3" t="s">
        <v>9704</v>
      </c>
      <c r="D1079" s="3" t="s">
        <v>8268</v>
      </c>
      <c r="E1079" s="4" t="s">
        <v>9705</v>
      </c>
      <c r="F1079" s="3" t="s">
        <v>8665</v>
      </c>
      <c r="G1079" s="4" t="s">
        <v>9706</v>
      </c>
      <c r="H1079" s="4" t="s">
        <v>9707</v>
      </c>
      <c r="I1079" s="3" t="s">
        <v>49</v>
      </c>
      <c r="J1079" s="3" t="s">
        <v>126</v>
      </c>
      <c r="K1079" s="3" t="s">
        <v>45</v>
      </c>
      <c r="L1079" s="3" t="s">
        <v>45</v>
      </c>
      <c r="M1079" s="3" t="s">
        <v>45</v>
      </c>
      <c r="N1079" s="3" t="s">
        <v>45</v>
      </c>
      <c r="O1079" s="3" t="s">
        <v>74</v>
      </c>
      <c r="P1079" s="3" t="s">
        <v>45</v>
      </c>
      <c r="Q1079" s="3" t="s">
        <v>45</v>
      </c>
      <c r="R1079" s="3" t="s">
        <v>45</v>
      </c>
      <c r="S1079" s="3" t="s">
        <v>45</v>
      </c>
      <c r="T1079" s="3" t="s">
        <v>45</v>
      </c>
      <c r="U1079" s="3" t="s">
        <v>45</v>
      </c>
      <c r="V1079" s="3" t="s">
        <v>45</v>
      </c>
      <c r="W1079" s="3" t="s">
        <v>45</v>
      </c>
      <c r="X1079" s="3" t="s">
        <v>45</v>
      </c>
      <c r="Y1079" s="3" t="s">
        <v>45</v>
      </c>
      <c r="Z1079" s="3" t="s">
        <v>74</v>
      </c>
      <c r="AA1079" s="3" t="s">
        <v>45</v>
      </c>
      <c r="AB1079" s="3" t="s">
        <v>45</v>
      </c>
      <c r="AC1079" s="3" t="s">
        <v>45</v>
      </c>
      <c r="AD1079" s="3" t="s">
        <v>45</v>
      </c>
      <c r="AE1079" s="3" t="s">
        <v>45</v>
      </c>
      <c r="AF1079" s="3" t="s">
        <v>45</v>
      </c>
      <c r="AG1079" s="3" t="s">
        <v>45</v>
      </c>
      <c r="AH1079" s="3" t="s">
        <v>57</v>
      </c>
      <c r="AI1079" s="5" t="s">
        <v>9708</v>
      </c>
      <c r="AJ1079" s="3" t="s">
        <v>45</v>
      </c>
      <c r="AK1079" s="3" t="s">
        <v>45</v>
      </c>
      <c r="AL1079" s="3" t="s">
        <v>45</v>
      </c>
      <c r="AM1079" s="3" t="s">
        <v>45</v>
      </c>
      <c r="AN1079" s="3" t="s">
        <v>45</v>
      </c>
      <c r="AO1079" s="3" t="s">
        <v>45</v>
      </c>
      <c r="AP1079" s="3" t="s">
        <v>45</v>
      </c>
      <c r="AQ1079" s="4" t="s">
        <v>1325</v>
      </c>
      <c r="AR1079" s="4" t="s">
        <v>1325</v>
      </c>
    </row>
    <row r="1080">
      <c r="A1080" s="3" t="s">
        <v>9709</v>
      </c>
      <c r="B1080" s="3" t="s">
        <v>9703</v>
      </c>
      <c r="C1080" s="3" t="s">
        <v>9704</v>
      </c>
      <c r="D1080" s="3" t="s">
        <v>8268</v>
      </c>
      <c r="E1080" s="4" t="s">
        <v>9705</v>
      </c>
      <c r="F1080" s="3" t="s">
        <v>8665</v>
      </c>
      <c r="G1080" s="4" t="s">
        <v>9710</v>
      </c>
      <c r="H1080" s="4" t="s">
        <v>9711</v>
      </c>
      <c r="I1080" s="3" t="s">
        <v>49</v>
      </c>
      <c r="J1080" s="3" t="s">
        <v>126</v>
      </c>
      <c r="K1080" s="3" t="s">
        <v>45</v>
      </c>
      <c r="L1080" s="3" t="s">
        <v>45</v>
      </c>
      <c r="M1080" s="3" t="s">
        <v>45</v>
      </c>
      <c r="N1080" s="3" t="s">
        <v>45</v>
      </c>
      <c r="O1080" s="3" t="s">
        <v>74</v>
      </c>
      <c r="P1080" s="3" t="s">
        <v>45</v>
      </c>
      <c r="Q1080" s="3" t="s">
        <v>45</v>
      </c>
      <c r="R1080" s="3" t="s">
        <v>45</v>
      </c>
      <c r="S1080" s="3" t="s">
        <v>45</v>
      </c>
      <c r="T1080" s="3" t="s">
        <v>45</v>
      </c>
      <c r="U1080" s="3" t="s">
        <v>45</v>
      </c>
      <c r="V1080" s="3" t="s">
        <v>45</v>
      </c>
      <c r="W1080" s="3" t="s">
        <v>45</v>
      </c>
      <c r="X1080" s="3" t="s">
        <v>45</v>
      </c>
      <c r="Y1080" s="3" t="s">
        <v>45</v>
      </c>
      <c r="Z1080" s="3" t="s">
        <v>74</v>
      </c>
      <c r="AA1080" s="3" t="s">
        <v>45</v>
      </c>
      <c r="AB1080" s="3" t="s">
        <v>45</v>
      </c>
      <c r="AC1080" s="3" t="s">
        <v>45</v>
      </c>
      <c r="AD1080" s="3" t="s">
        <v>45</v>
      </c>
      <c r="AE1080" s="3" t="s">
        <v>45</v>
      </c>
      <c r="AF1080" s="3" t="s">
        <v>45</v>
      </c>
      <c r="AG1080" s="3" t="s">
        <v>45</v>
      </c>
      <c r="AH1080" s="3" t="s">
        <v>57</v>
      </c>
      <c r="AI1080" s="5" t="s">
        <v>9708</v>
      </c>
      <c r="AJ1080" s="3" t="s">
        <v>45</v>
      </c>
      <c r="AK1080" s="3" t="s">
        <v>45</v>
      </c>
      <c r="AL1080" s="3" t="s">
        <v>45</v>
      </c>
      <c r="AM1080" s="3" t="s">
        <v>45</v>
      </c>
      <c r="AN1080" s="3" t="s">
        <v>45</v>
      </c>
      <c r="AO1080" s="3" t="s">
        <v>45</v>
      </c>
      <c r="AP1080" s="3" t="s">
        <v>45</v>
      </c>
      <c r="AQ1080" s="4" t="s">
        <v>1325</v>
      </c>
      <c r="AR1080" s="4" t="s">
        <v>1325</v>
      </c>
    </row>
    <row r="1081">
      <c r="A1081" s="3" t="s">
        <v>9712</v>
      </c>
      <c r="B1081" s="3" t="s">
        <v>9703</v>
      </c>
      <c r="C1081" s="3" t="s">
        <v>9704</v>
      </c>
      <c r="D1081" s="3" t="s">
        <v>8268</v>
      </c>
      <c r="E1081" s="4" t="s">
        <v>9705</v>
      </c>
      <c r="F1081" s="3" t="s">
        <v>8665</v>
      </c>
      <c r="G1081" s="4" t="s">
        <v>9713</v>
      </c>
      <c r="H1081" s="4" t="s">
        <v>9714</v>
      </c>
      <c r="I1081" s="3" t="s">
        <v>49</v>
      </c>
      <c r="J1081" s="3" t="s">
        <v>126</v>
      </c>
      <c r="K1081" s="3" t="s">
        <v>45</v>
      </c>
      <c r="L1081" s="3" t="s">
        <v>45</v>
      </c>
      <c r="M1081" s="3" t="s">
        <v>45</v>
      </c>
      <c r="N1081" s="3" t="s">
        <v>45</v>
      </c>
      <c r="O1081" s="3" t="s">
        <v>74</v>
      </c>
      <c r="P1081" s="3" t="s">
        <v>45</v>
      </c>
      <c r="Q1081" s="3" t="s">
        <v>45</v>
      </c>
      <c r="R1081" s="3" t="s">
        <v>45</v>
      </c>
      <c r="S1081" s="3" t="s">
        <v>45</v>
      </c>
      <c r="T1081" s="3" t="s">
        <v>45</v>
      </c>
      <c r="U1081" s="3" t="s">
        <v>45</v>
      </c>
      <c r="V1081" s="3" t="s">
        <v>45</v>
      </c>
      <c r="W1081" s="3" t="s">
        <v>45</v>
      </c>
      <c r="X1081" s="3" t="s">
        <v>45</v>
      </c>
      <c r="Y1081" s="3" t="s">
        <v>45</v>
      </c>
      <c r="Z1081" s="3" t="s">
        <v>74</v>
      </c>
      <c r="AA1081" s="3" t="s">
        <v>45</v>
      </c>
      <c r="AB1081" s="3" t="s">
        <v>45</v>
      </c>
      <c r="AC1081" s="3" t="s">
        <v>45</v>
      </c>
      <c r="AD1081" s="3" t="s">
        <v>45</v>
      </c>
      <c r="AE1081" s="3" t="s">
        <v>45</v>
      </c>
      <c r="AF1081" s="3" t="s">
        <v>45</v>
      </c>
      <c r="AG1081" s="3" t="s">
        <v>45</v>
      </c>
      <c r="AH1081" s="3" t="s">
        <v>57</v>
      </c>
      <c r="AI1081" s="5" t="s">
        <v>9708</v>
      </c>
      <c r="AJ1081" s="3" t="s">
        <v>45</v>
      </c>
      <c r="AK1081" s="3" t="s">
        <v>45</v>
      </c>
      <c r="AL1081" s="3" t="s">
        <v>45</v>
      </c>
      <c r="AM1081" s="3" t="s">
        <v>45</v>
      </c>
      <c r="AN1081" s="3" t="s">
        <v>45</v>
      </c>
      <c r="AO1081" s="3" t="s">
        <v>45</v>
      </c>
      <c r="AP1081" s="3" t="s">
        <v>45</v>
      </c>
      <c r="AQ1081" s="4" t="s">
        <v>1325</v>
      </c>
      <c r="AR1081" s="4" t="s">
        <v>1325</v>
      </c>
    </row>
    <row r="1082">
      <c r="A1082" s="3" t="s">
        <v>9715</v>
      </c>
      <c r="B1082" s="3" t="s">
        <v>9703</v>
      </c>
      <c r="C1082" s="3" t="s">
        <v>9704</v>
      </c>
      <c r="D1082" s="3" t="s">
        <v>8268</v>
      </c>
      <c r="E1082" s="4" t="s">
        <v>9705</v>
      </c>
      <c r="F1082" s="3" t="s">
        <v>8665</v>
      </c>
      <c r="G1082" s="4" t="s">
        <v>9713</v>
      </c>
      <c r="H1082" s="4" t="s">
        <v>9714</v>
      </c>
      <c r="I1082" s="3" t="s">
        <v>49</v>
      </c>
      <c r="J1082" s="3" t="s">
        <v>126</v>
      </c>
      <c r="K1082" s="3" t="s">
        <v>45</v>
      </c>
      <c r="L1082" s="3" t="s">
        <v>45</v>
      </c>
      <c r="M1082" s="3" t="s">
        <v>45</v>
      </c>
      <c r="N1082" s="3" t="s">
        <v>45</v>
      </c>
      <c r="O1082" s="3" t="s">
        <v>74</v>
      </c>
      <c r="P1082" s="3" t="s">
        <v>45</v>
      </c>
      <c r="Q1082" s="3" t="s">
        <v>45</v>
      </c>
      <c r="R1082" s="3" t="s">
        <v>45</v>
      </c>
      <c r="S1082" s="3" t="s">
        <v>45</v>
      </c>
      <c r="T1082" s="3" t="s">
        <v>45</v>
      </c>
      <c r="U1082" s="3" t="s">
        <v>45</v>
      </c>
      <c r="V1082" s="3" t="s">
        <v>45</v>
      </c>
      <c r="W1082" s="3" t="s">
        <v>45</v>
      </c>
      <c r="X1082" s="3" t="s">
        <v>45</v>
      </c>
      <c r="Y1082" s="3" t="s">
        <v>45</v>
      </c>
      <c r="Z1082" s="3" t="s">
        <v>74</v>
      </c>
      <c r="AA1082" s="3" t="s">
        <v>45</v>
      </c>
      <c r="AB1082" s="3" t="s">
        <v>45</v>
      </c>
      <c r="AC1082" s="3" t="s">
        <v>45</v>
      </c>
      <c r="AD1082" s="3" t="s">
        <v>45</v>
      </c>
      <c r="AE1082" s="3" t="s">
        <v>45</v>
      </c>
      <c r="AF1082" s="3" t="s">
        <v>45</v>
      </c>
      <c r="AG1082" s="3" t="s">
        <v>45</v>
      </c>
      <c r="AH1082" s="3" t="s">
        <v>57</v>
      </c>
      <c r="AI1082" s="5" t="s">
        <v>9708</v>
      </c>
      <c r="AJ1082" s="3" t="s">
        <v>45</v>
      </c>
      <c r="AK1082" s="3" t="s">
        <v>45</v>
      </c>
      <c r="AL1082" s="3" t="s">
        <v>45</v>
      </c>
      <c r="AM1082" s="3" t="s">
        <v>45</v>
      </c>
      <c r="AN1082" s="3" t="s">
        <v>45</v>
      </c>
      <c r="AO1082" s="3" t="s">
        <v>45</v>
      </c>
      <c r="AP1082" s="3" t="s">
        <v>45</v>
      </c>
      <c r="AQ1082" s="4" t="s">
        <v>1325</v>
      </c>
      <c r="AR1082" s="4" t="s">
        <v>1325</v>
      </c>
    </row>
    <row r="1083">
      <c r="A1083" s="3" t="s">
        <v>9716</v>
      </c>
      <c r="B1083" s="3" t="s">
        <v>9703</v>
      </c>
      <c r="C1083" s="3" t="s">
        <v>9704</v>
      </c>
      <c r="D1083" s="3" t="s">
        <v>8268</v>
      </c>
      <c r="E1083" s="4" t="s">
        <v>9705</v>
      </c>
      <c r="F1083" s="3" t="s">
        <v>8665</v>
      </c>
      <c r="G1083" s="4" t="s">
        <v>9717</v>
      </c>
      <c r="H1083" s="4" t="s">
        <v>9718</v>
      </c>
      <c r="I1083" s="3" t="s">
        <v>49</v>
      </c>
      <c r="J1083" s="3" t="s">
        <v>126</v>
      </c>
      <c r="K1083" s="3" t="s">
        <v>45</v>
      </c>
      <c r="L1083" s="3" t="s">
        <v>45</v>
      </c>
      <c r="M1083" s="3" t="s">
        <v>45</v>
      </c>
      <c r="N1083" s="3" t="s">
        <v>45</v>
      </c>
      <c r="O1083" s="3" t="s">
        <v>74</v>
      </c>
      <c r="P1083" s="3" t="s">
        <v>45</v>
      </c>
      <c r="Q1083" s="3" t="s">
        <v>45</v>
      </c>
      <c r="R1083" s="3" t="s">
        <v>45</v>
      </c>
      <c r="S1083" s="3" t="s">
        <v>45</v>
      </c>
      <c r="T1083" s="3" t="s">
        <v>45</v>
      </c>
      <c r="U1083" s="3" t="s">
        <v>45</v>
      </c>
      <c r="V1083" s="3" t="s">
        <v>45</v>
      </c>
      <c r="W1083" s="3" t="s">
        <v>45</v>
      </c>
      <c r="X1083" s="3" t="s">
        <v>45</v>
      </c>
      <c r="Y1083" s="3" t="s">
        <v>45</v>
      </c>
      <c r="Z1083" s="3" t="s">
        <v>74</v>
      </c>
      <c r="AA1083" s="3" t="s">
        <v>45</v>
      </c>
      <c r="AB1083" s="3" t="s">
        <v>45</v>
      </c>
      <c r="AC1083" s="3" t="s">
        <v>45</v>
      </c>
      <c r="AD1083" s="3" t="s">
        <v>45</v>
      </c>
      <c r="AE1083" s="3" t="s">
        <v>45</v>
      </c>
      <c r="AF1083" s="3" t="s">
        <v>45</v>
      </c>
      <c r="AG1083" s="3" t="s">
        <v>45</v>
      </c>
      <c r="AH1083" s="3" t="s">
        <v>57</v>
      </c>
      <c r="AI1083" s="5" t="s">
        <v>9708</v>
      </c>
      <c r="AJ1083" s="3" t="s">
        <v>45</v>
      </c>
      <c r="AK1083" s="3" t="s">
        <v>45</v>
      </c>
      <c r="AL1083" s="3" t="s">
        <v>45</v>
      </c>
      <c r="AM1083" s="3" t="s">
        <v>45</v>
      </c>
      <c r="AN1083" s="3" t="s">
        <v>45</v>
      </c>
      <c r="AO1083" s="3" t="s">
        <v>45</v>
      </c>
      <c r="AP1083" s="3" t="s">
        <v>45</v>
      </c>
      <c r="AQ1083" s="4" t="s">
        <v>1325</v>
      </c>
      <c r="AR1083" s="4" t="s">
        <v>1325</v>
      </c>
    </row>
    <row r="1084">
      <c r="A1084" s="3" t="s">
        <v>9719</v>
      </c>
      <c r="B1084" s="3" t="s">
        <v>9703</v>
      </c>
      <c r="C1084" s="3" t="s">
        <v>9704</v>
      </c>
      <c r="D1084" s="3" t="s">
        <v>8268</v>
      </c>
      <c r="E1084" s="4" t="s">
        <v>9705</v>
      </c>
      <c r="F1084" s="3" t="s">
        <v>271</v>
      </c>
      <c r="G1084" s="4" t="s">
        <v>9720</v>
      </c>
      <c r="H1084" s="4" t="s">
        <v>9721</v>
      </c>
      <c r="I1084" s="3" t="s">
        <v>49</v>
      </c>
      <c r="J1084" s="3" t="s">
        <v>126</v>
      </c>
      <c r="K1084" s="3" t="s">
        <v>45</v>
      </c>
      <c r="L1084" s="3" t="s">
        <v>45</v>
      </c>
      <c r="M1084" s="3" t="s">
        <v>45</v>
      </c>
      <c r="N1084" s="3" t="s">
        <v>45</v>
      </c>
      <c r="O1084" s="3" t="s">
        <v>74</v>
      </c>
      <c r="P1084" s="3" t="s">
        <v>45</v>
      </c>
      <c r="Q1084" s="3" t="s">
        <v>45</v>
      </c>
      <c r="R1084" s="3" t="s">
        <v>45</v>
      </c>
      <c r="S1084" s="3" t="s">
        <v>45</v>
      </c>
      <c r="T1084" s="3" t="s">
        <v>45</v>
      </c>
      <c r="U1084" s="3" t="s">
        <v>45</v>
      </c>
      <c r="V1084" s="3" t="s">
        <v>45</v>
      </c>
      <c r="W1084" s="3" t="s">
        <v>45</v>
      </c>
      <c r="X1084" s="3" t="s">
        <v>45</v>
      </c>
      <c r="Y1084" s="3" t="s">
        <v>45</v>
      </c>
      <c r="Z1084" s="3" t="s">
        <v>74</v>
      </c>
      <c r="AA1084" s="3" t="s">
        <v>45</v>
      </c>
      <c r="AB1084" s="3" t="s">
        <v>45</v>
      </c>
      <c r="AC1084" s="3" t="s">
        <v>45</v>
      </c>
      <c r="AD1084" s="3" t="s">
        <v>45</v>
      </c>
      <c r="AE1084" s="3" t="s">
        <v>45</v>
      </c>
      <c r="AF1084" s="3" t="s">
        <v>45</v>
      </c>
      <c r="AG1084" s="3" t="s">
        <v>45</v>
      </c>
      <c r="AH1084" s="3" t="s">
        <v>57</v>
      </c>
      <c r="AI1084" s="5" t="s">
        <v>9708</v>
      </c>
      <c r="AJ1084" s="3" t="s">
        <v>45</v>
      </c>
      <c r="AK1084" s="3" t="s">
        <v>45</v>
      </c>
      <c r="AL1084" s="3" t="s">
        <v>45</v>
      </c>
      <c r="AM1084" s="3" t="s">
        <v>45</v>
      </c>
      <c r="AN1084" s="3" t="s">
        <v>45</v>
      </c>
      <c r="AO1084" s="3" t="s">
        <v>45</v>
      </c>
      <c r="AP1084" s="3" t="s">
        <v>45</v>
      </c>
      <c r="AQ1084" s="4" t="s">
        <v>1325</v>
      </c>
      <c r="AR1084" s="4" t="s">
        <v>1325</v>
      </c>
    </row>
    <row r="1085">
      <c r="A1085" s="3" t="s">
        <v>9722</v>
      </c>
      <c r="B1085" s="3" t="s">
        <v>9723</v>
      </c>
      <c r="C1085" s="3" t="s">
        <v>9704</v>
      </c>
      <c r="D1085" s="3" t="s">
        <v>8268</v>
      </c>
      <c r="E1085" s="4" t="s">
        <v>9705</v>
      </c>
      <c r="F1085" s="3" t="s">
        <v>8665</v>
      </c>
      <c r="G1085" s="4" t="s">
        <v>9724</v>
      </c>
      <c r="H1085" s="4" t="s">
        <v>9725</v>
      </c>
      <c r="I1085" s="3" t="s">
        <v>49</v>
      </c>
      <c r="J1085" s="3" t="s">
        <v>126</v>
      </c>
      <c r="K1085" s="3" t="s">
        <v>45</v>
      </c>
      <c r="L1085" s="3" t="s">
        <v>45</v>
      </c>
      <c r="M1085" s="3" t="s">
        <v>45</v>
      </c>
      <c r="N1085" s="3" t="s">
        <v>45</v>
      </c>
      <c r="O1085" s="3" t="s">
        <v>74</v>
      </c>
      <c r="P1085" s="3" t="s">
        <v>45</v>
      </c>
      <c r="Q1085" s="3" t="s">
        <v>45</v>
      </c>
      <c r="R1085" s="3" t="s">
        <v>45</v>
      </c>
      <c r="S1085" s="3" t="s">
        <v>45</v>
      </c>
      <c r="T1085" s="3" t="s">
        <v>45</v>
      </c>
      <c r="U1085" s="3" t="s">
        <v>45</v>
      </c>
      <c r="V1085" s="3" t="s">
        <v>45</v>
      </c>
      <c r="W1085" s="4" t="s">
        <v>9726</v>
      </c>
      <c r="X1085" s="3" t="s">
        <v>45</v>
      </c>
      <c r="Y1085" s="3" t="s">
        <v>45</v>
      </c>
      <c r="Z1085" s="3" t="s">
        <v>74</v>
      </c>
      <c r="AA1085" s="3" t="s">
        <v>45</v>
      </c>
      <c r="AB1085" s="3" t="s">
        <v>45</v>
      </c>
      <c r="AC1085" s="3" t="s">
        <v>45</v>
      </c>
      <c r="AD1085" s="3" t="s">
        <v>45</v>
      </c>
      <c r="AE1085" s="3" t="s">
        <v>45</v>
      </c>
      <c r="AF1085" s="3" t="s">
        <v>45</v>
      </c>
      <c r="AG1085" s="3" t="s">
        <v>45</v>
      </c>
      <c r="AH1085" s="3" t="s">
        <v>57</v>
      </c>
      <c r="AI1085" s="5" t="s">
        <v>9727</v>
      </c>
      <c r="AJ1085" s="3" t="s">
        <v>45</v>
      </c>
      <c r="AK1085" s="3" t="s">
        <v>45</v>
      </c>
      <c r="AL1085" s="3" t="s">
        <v>45</v>
      </c>
      <c r="AM1085" s="3" t="s">
        <v>45</v>
      </c>
      <c r="AN1085" s="3" t="s">
        <v>45</v>
      </c>
      <c r="AO1085" s="3" t="s">
        <v>45</v>
      </c>
      <c r="AP1085" s="3" t="s">
        <v>45</v>
      </c>
      <c r="AQ1085" s="4" t="s">
        <v>1325</v>
      </c>
      <c r="AR1085" s="4" t="s">
        <v>1325</v>
      </c>
    </row>
    <row r="1086">
      <c r="A1086" s="3" t="s">
        <v>9728</v>
      </c>
      <c r="B1086" s="3" t="s">
        <v>45</v>
      </c>
      <c r="C1086" s="3" t="s">
        <v>994</v>
      </c>
      <c r="D1086" s="3" t="s">
        <v>8268</v>
      </c>
      <c r="E1086" s="4" t="s">
        <v>9729</v>
      </c>
      <c r="F1086" s="3" t="s">
        <v>9730</v>
      </c>
      <c r="G1086" s="4" t="s">
        <v>9731</v>
      </c>
      <c r="H1086" s="4" t="s">
        <v>9732</v>
      </c>
      <c r="I1086" s="3" t="s">
        <v>85</v>
      </c>
      <c r="J1086" s="3" t="s">
        <v>126</v>
      </c>
      <c r="K1086" s="3" t="s">
        <v>45</v>
      </c>
      <c r="L1086" s="3" t="s">
        <v>45</v>
      </c>
      <c r="M1086" s="3" t="s">
        <v>45</v>
      </c>
      <c r="N1086" s="3" t="s">
        <v>9733</v>
      </c>
      <c r="O1086" s="3" t="s">
        <v>88</v>
      </c>
      <c r="P1086" s="3" t="s">
        <v>45</v>
      </c>
      <c r="Q1086" s="3" t="s">
        <v>45</v>
      </c>
      <c r="R1086" s="3" t="s">
        <v>45</v>
      </c>
      <c r="S1086" s="3" t="s">
        <v>45</v>
      </c>
      <c r="T1086" s="3" t="s">
        <v>45</v>
      </c>
      <c r="U1086" s="3" t="s">
        <v>45</v>
      </c>
      <c r="V1086" s="3" t="s">
        <v>45</v>
      </c>
      <c r="W1086" s="3" t="s">
        <v>45</v>
      </c>
      <c r="X1086" s="3" t="s">
        <v>45</v>
      </c>
      <c r="Y1086" s="3" t="s">
        <v>45</v>
      </c>
      <c r="Z1086" s="3" t="s">
        <v>74</v>
      </c>
      <c r="AA1086" s="3" t="s">
        <v>45</v>
      </c>
      <c r="AB1086" s="3" t="s">
        <v>45</v>
      </c>
      <c r="AC1086" s="3" t="s">
        <v>45</v>
      </c>
      <c r="AD1086" s="3" t="s">
        <v>45</v>
      </c>
      <c r="AE1086" s="3" t="s">
        <v>45</v>
      </c>
      <c r="AF1086" s="3" t="s">
        <v>45</v>
      </c>
      <c r="AG1086" s="3" t="s">
        <v>45</v>
      </c>
      <c r="AH1086" s="3" t="s">
        <v>57</v>
      </c>
      <c r="AI1086" s="5" t="s">
        <v>9734</v>
      </c>
      <c r="AJ1086" s="3" t="s">
        <v>45</v>
      </c>
      <c r="AK1086" s="3" t="s">
        <v>45</v>
      </c>
      <c r="AL1086" s="3" t="s">
        <v>45</v>
      </c>
      <c r="AM1086" s="3" t="s">
        <v>45</v>
      </c>
      <c r="AN1086" s="3" t="s">
        <v>45</v>
      </c>
      <c r="AO1086" s="3" t="s">
        <v>45</v>
      </c>
      <c r="AP1086" s="3" t="s">
        <v>45</v>
      </c>
      <c r="AQ1086" s="4" t="s">
        <v>1134</v>
      </c>
      <c r="AR1086" s="4" t="s">
        <v>1134</v>
      </c>
    </row>
    <row r="1087">
      <c r="A1087" s="3" t="s">
        <v>9735</v>
      </c>
      <c r="B1087" s="3" t="s">
        <v>9736</v>
      </c>
      <c r="C1087" s="3" t="s">
        <v>9737</v>
      </c>
      <c r="D1087" s="3" t="s">
        <v>8268</v>
      </c>
      <c r="E1087" s="4" t="s">
        <v>9738</v>
      </c>
      <c r="F1087" s="3" t="s">
        <v>9737</v>
      </c>
      <c r="G1087" s="4" t="s">
        <v>9739</v>
      </c>
      <c r="H1087" s="4" t="s">
        <v>9740</v>
      </c>
      <c r="I1087" s="3" t="s">
        <v>49</v>
      </c>
      <c r="J1087" s="3" t="s">
        <v>50</v>
      </c>
      <c r="K1087" s="3" t="s">
        <v>45</v>
      </c>
      <c r="L1087" s="3" t="s">
        <v>4918</v>
      </c>
      <c r="M1087" s="3" t="s">
        <v>45</v>
      </c>
      <c r="N1087" s="4" t="s">
        <v>622</v>
      </c>
      <c r="O1087" s="3" t="s">
        <v>70</v>
      </c>
      <c r="P1087" s="3" t="s">
        <v>2926</v>
      </c>
      <c r="Q1087" s="3" t="s">
        <v>45</v>
      </c>
      <c r="R1087" s="3" t="s">
        <v>45</v>
      </c>
      <c r="S1087" s="3" t="s">
        <v>45</v>
      </c>
      <c r="T1087" s="3" t="s">
        <v>45</v>
      </c>
      <c r="U1087" s="3" t="s">
        <v>45</v>
      </c>
      <c r="V1087" s="3" t="s">
        <v>45</v>
      </c>
      <c r="W1087" s="4" t="s">
        <v>131</v>
      </c>
      <c r="X1087" s="3" t="s">
        <v>45</v>
      </c>
      <c r="Y1087" s="4" t="s">
        <v>73</v>
      </c>
      <c r="Z1087" s="3" t="s">
        <v>74</v>
      </c>
      <c r="AA1087" s="3" t="s">
        <v>45</v>
      </c>
      <c r="AB1087" s="3" t="s">
        <v>45</v>
      </c>
      <c r="AC1087" s="3" t="s">
        <v>45</v>
      </c>
      <c r="AD1087" s="3" t="s">
        <v>45</v>
      </c>
      <c r="AE1087" s="3" t="s">
        <v>45</v>
      </c>
      <c r="AF1087" s="3" t="s">
        <v>45</v>
      </c>
      <c r="AG1087" s="3" t="s">
        <v>45</v>
      </c>
      <c r="AH1087" s="3" t="s">
        <v>840</v>
      </c>
      <c r="AI1087" s="5" t="s">
        <v>9741</v>
      </c>
      <c r="AJ1087" s="5" t="s">
        <v>9742</v>
      </c>
      <c r="AK1087" s="3" t="s">
        <v>45</v>
      </c>
      <c r="AL1087" s="3" t="s">
        <v>45</v>
      </c>
      <c r="AM1087" s="3" t="s">
        <v>45</v>
      </c>
      <c r="AN1087" s="3" t="s">
        <v>45</v>
      </c>
      <c r="AO1087" s="3" t="s">
        <v>45</v>
      </c>
      <c r="AP1087" s="3" t="s">
        <v>45</v>
      </c>
      <c r="AQ1087" s="4" t="s">
        <v>1728</v>
      </c>
      <c r="AR1087" s="4" t="s">
        <v>1728</v>
      </c>
    </row>
    <row r="1088">
      <c r="A1088" s="3" t="s">
        <v>9743</v>
      </c>
      <c r="B1088" s="3" t="s">
        <v>9744</v>
      </c>
      <c r="C1088" s="3" t="s">
        <v>9745</v>
      </c>
      <c r="D1088" s="3" t="s">
        <v>8268</v>
      </c>
      <c r="E1088" s="4" t="s">
        <v>9746</v>
      </c>
      <c r="F1088" s="3" t="s">
        <v>9747</v>
      </c>
      <c r="G1088" s="4" t="s">
        <v>9748</v>
      </c>
      <c r="H1088" s="4" t="s">
        <v>9749</v>
      </c>
      <c r="I1088" s="3" t="s">
        <v>218</v>
      </c>
      <c r="J1088" s="3" t="s">
        <v>50</v>
      </c>
      <c r="K1088" s="3" t="s">
        <v>45</v>
      </c>
      <c r="L1088" s="3" t="s">
        <v>3213</v>
      </c>
      <c r="M1088" s="3" t="s">
        <v>45</v>
      </c>
      <c r="N1088" s="4" t="s">
        <v>3595</v>
      </c>
      <c r="O1088" s="3" t="s">
        <v>88</v>
      </c>
      <c r="P1088" s="3" t="s">
        <v>45</v>
      </c>
      <c r="Q1088" s="3" t="s">
        <v>45</v>
      </c>
      <c r="R1088" s="3" t="s">
        <v>45</v>
      </c>
      <c r="S1088" s="3" t="s">
        <v>45</v>
      </c>
      <c r="T1088" s="3" t="s">
        <v>45</v>
      </c>
      <c r="U1088" s="3" t="s">
        <v>45</v>
      </c>
      <c r="V1088" s="4" t="s">
        <v>2937</v>
      </c>
      <c r="W1088" s="3" t="s">
        <v>45</v>
      </c>
      <c r="X1088" s="3" t="s">
        <v>45</v>
      </c>
      <c r="Y1088" s="4" t="s">
        <v>727</v>
      </c>
      <c r="Z1088" s="3" t="s">
        <v>74</v>
      </c>
      <c r="AA1088" s="3" t="s">
        <v>45</v>
      </c>
      <c r="AB1088" s="3" t="s">
        <v>45</v>
      </c>
      <c r="AC1088" s="3" t="s">
        <v>45</v>
      </c>
      <c r="AD1088" s="3" t="s">
        <v>45</v>
      </c>
      <c r="AE1088" s="3" t="s">
        <v>45</v>
      </c>
      <c r="AF1088" s="3" t="s">
        <v>45</v>
      </c>
      <c r="AG1088" s="3" t="s">
        <v>45</v>
      </c>
      <c r="AH1088" s="3" t="s">
        <v>57</v>
      </c>
      <c r="AI1088" s="5" t="s">
        <v>8660</v>
      </c>
      <c r="AJ1088" s="5" t="s">
        <v>9750</v>
      </c>
      <c r="AK1088" s="5" t="s">
        <v>9751</v>
      </c>
      <c r="AL1088" s="3" t="s">
        <v>45</v>
      </c>
      <c r="AM1088" s="3" t="s">
        <v>45</v>
      </c>
      <c r="AN1088" s="3" t="s">
        <v>45</v>
      </c>
      <c r="AO1088" s="3" t="s">
        <v>45</v>
      </c>
      <c r="AP1088" s="3" t="s">
        <v>45</v>
      </c>
      <c r="AQ1088" s="4" t="s">
        <v>162</v>
      </c>
      <c r="AR1088" s="4" t="s">
        <v>2649</v>
      </c>
    </row>
    <row r="1089">
      <c r="A1089" s="3" t="s">
        <v>9752</v>
      </c>
      <c r="B1089" s="3" t="s">
        <v>9744</v>
      </c>
      <c r="C1089" s="3" t="s">
        <v>9745</v>
      </c>
      <c r="D1089" s="3" t="s">
        <v>8268</v>
      </c>
      <c r="E1089" s="4" t="s">
        <v>9746</v>
      </c>
      <c r="F1089" s="3" t="s">
        <v>9747</v>
      </c>
      <c r="G1089" s="4" t="s">
        <v>9753</v>
      </c>
      <c r="H1089" s="4" t="s">
        <v>9754</v>
      </c>
      <c r="I1089" s="3" t="s">
        <v>49</v>
      </c>
      <c r="J1089" s="3" t="s">
        <v>50</v>
      </c>
      <c r="K1089" s="3" t="s">
        <v>45</v>
      </c>
      <c r="L1089" s="3" t="s">
        <v>45</v>
      </c>
      <c r="M1089" s="3" t="s">
        <v>45</v>
      </c>
      <c r="N1089" s="4" t="s">
        <v>2171</v>
      </c>
      <c r="O1089" s="3" t="s">
        <v>88</v>
      </c>
      <c r="P1089" s="3" t="s">
        <v>45</v>
      </c>
      <c r="Q1089" s="3" t="s">
        <v>45</v>
      </c>
      <c r="R1089" s="3" t="s">
        <v>45</v>
      </c>
      <c r="S1089" s="3" t="s">
        <v>45</v>
      </c>
      <c r="T1089" s="3" t="s">
        <v>45</v>
      </c>
      <c r="U1089" s="3" t="s">
        <v>45</v>
      </c>
      <c r="V1089" s="3" t="s">
        <v>45</v>
      </c>
      <c r="W1089" s="3" t="s">
        <v>45</v>
      </c>
      <c r="X1089" s="3" t="s">
        <v>2091</v>
      </c>
      <c r="Y1089" s="3" t="s">
        <v>45</v>
      </c>
      <c r="Z1089" s="3" t="s">
        <v>74</v>
      </c>
      <c r="AA1089" s="3" t="s">
        <v>45</v>
      </c>
      <c r="AB1089" s="3" t="s">
        <v>45</v>
      </c>
      <c r="AC1089" s="3" t="s">
        <v>45</v>
      </c>
      <c r="AD1089" s="3" t="s">
        <v>45</v>
      </c>
      <c r="AE1089" s="3" t="s">
        <v>45</v>
      </c>
      <c r="AF1089" s="3" t="s">
        <v>45</v>
      </c>
      <c r="AG1089" s="3" t="s">
        <v>45</v>
      </c>
      <c r="AH1089" s="3" t="s">
        <v>57</v>
      </c>
      <c r="AI1089" s="5" t="s">
        <v>9755</v>
      </c>
      <c r="AJ1089" s="5" t="s">
        <v>9756</v>
      </c>
      <c r="AK1089" s="3" t="s">
        <v>45</v>
      </c>
      <c r="AL1089" s="3" t="s">
        <v>45</v>
      </c>
      <c r="AM1089" s="3" t="s">
        <v>45</v>
      </c>
      <c r="AN1089" s="3" t="s">
        <v>45</v>
      </c>
      <c r="AO1089" s="3" t="s">
        <v>45</v>
      </c>
      <c r="AP1089" s="3" t="s">
        <v>45</v>
      </c>
      <c r="AQ1089" s="4" t="s">
        <v>603</v>
      </c>
      <c r="AR1089" s="4" t="s">
        <v>603</v>
      </c>
    </row>
    <row r="1090">
      <c r="A1090" s="3" t="s">
        <v>9757</v>
      </c>
      <c r="B1090" s="3" t="s">
        <v>9758</v>
      </c>
      <c r="C1090" s="3" t="s">
        <v>9759</v>
      </c>
      <c r="D1090" s="3" t="s">
        <v>8268</v>
      </c>
      <c r="E1090" s="4" t="s">
        <v>9760</v>
      </c>
      <c r="F1090" s="3" t="s">
        <v>214</v>
      </c>
      <c r="G1090" s="4" t="s">
        <v>9761</v>
      </c>
      <c r="H1090" s="4" t="s">
        <v>9762</v>
      </c>
      <c r="I1090" s="3" t="s">
        <v>49</v>
      </c>
      <c r="J1090" s="3" t="s">
        <v>126</v>
      </c>
      <c r="K1090" s="3" t="s">
        <v>45</v>
      </c>
      <c r="L1090" s="3" t="s">
        <v>45</v>
      </c>
      <c r="M1090" s="3" t="s">
        <v>45</v>
      </c>
      <c r="N1090" s="3" t="s">
        <v>45</v>
      </c>
      <c r="O1090" s="3" t="s">
        <v>74</v>
      </c>
      <c r="P1090" s="3" t="s">
        <v>45</v>
      </c>
      <c r="Q1090" s="3" t="s">
        <v>45</v>
      </c>
      <c r="R1090" s="3" t="s">
        <v>45</v>
      </c>
      <c r="S1090" s="3" t="s">
        <v>45</v>
      </c>
      <c r="T1090" s="3" t="s">
        <v>45</v>
      </c>
      <c r="U1090" s="3" t="s">
        <v>45</v>
      </c>
      <c r="V1090" s="4" t="s">
        <v>9763</v>
      </c>
      <c r="W1090" s="3" t="s">
        <v>45</v>
      </c>
      <c r="X1090" s="3" t="s">
        <v>5115</v>
      </c>
      <c r="Y1090" s="3" t="s">
        <v>45</v>
      </c>
      <c r="Z1090" s="3" t="s">
        <v>74</v>
      </c>
      <c r="AA1090" s="3" t="s">
        <v>45</v>
      </c>
      <c r="AB1090" s="3" t="s">
        <v>45</v>
      </c>
      <c r="AC1090" s="3" t="s">
        <v>45</v>
      </c>
      <c r="AD1090" s="3" t="s">
        <v>45</v>
      </c>
      <c r="AE1090" s="3" t="s">
        <v>45</v>
      </c>
      <c r="AF1090" s="3" t="s">
        <v>45</v>
      </c>
      <c r="AG1090" s="3" t="s">
        <v>45</v>
      </c>
      <c r="AH1090" s="3" t="s">
        <v>57</v>
      </c>
      <c r="AI1090" s="5" t="s">
        <v>5513</v>
      </c>
      <c r="AJ1090" s="5" t="s">
        <v>9764</v>
      </c>
      <c r="AK1090" s="3" t="s">
        <v>45</v>
      </c>
      <c r="AL1090" s="3" t="s">
        <v>45</v>
      </c>
      <c r="AM1090" s="3" t="s">
        <v>45</v>
      </c>
      <c r="AN1090" s="3" t="s">
        <v>45</v>
      </c>
      <c r="AO1090" s="3" t="s">
        <v>45</v>
      </c>
      <c r="AP1090" s="3" t="s">
        <v>45</v>
      </c>
      <c r="AQ1090" s="4" t="s">
        <v>1270</v>
      </c>
      <c r="AR1090" s="4" t="s">
        <v>1270</v>
      </c>
    </row>
    <row r="1091">
      <c r="A1091" s="3" t="s">
        <v>9765</v>
      </c>
      <c r="B1091" s="3" t="s">
        <v>9766</v>
      </c>
      <c r="C1091" s="3" t="s">
        <v>9767</v>
      </c>
      <c r="D1091" s="3" t="s">
        <v>8268</v>
      </c>
      <c r="E1091" s="4" t="s">
        <v>9768</v>
      </c>
      <c r="F1091" s="3" t="s">
        <v>9769</v>
      </c>
      <c r="G1091" s="4" t="s">
        <v>9770</v>
      </c>
      <c r="H1091" s="4" t="s">
        <v>9771</v>
      </c>
      <c r="I1091" s="3" t="s">
        <v>218</v>
      </c>
      <c r="J1091" s="3" t="s">
        <v>126</v>
      </c>
      <c r="K1091" s="3" t="s">
        <v>45</v>
      </c>
      <c r="L1091" s="3" t="s">
        <v>9772</v>
      </c>
      <c r="M1091" s="3" t="s">
        <v>45</v>
      </c>
      <c r="N1091" s="4" t="s">
        <v>156</v>
      </c>
      <c r="O1091" s="3" t="s">
        <v>88</v>
      </c>
      <c r="P1091" s="3" t="s">
        <v>45</v>
      </c>
      <c r="Q1091" s="3" t="s">
        <v>45</v>
      </c>
      <c r="R1091" s="3" t="s">
        <v>45</v>
      </c>
      <c r="S1091" s="3" t="s">
        <v>45</v>
      </c>
      <c r="T1091" s="3" t="s">
        <v>45</v>
      </c>
      <c r="U1091" s="3" t="s">
        <v>221</v>
      </c>
      <c r="V1091" s="4" t="s">
        <v>9773</v>
      </c>
      <c r="W1091" s="3" t="s">
        <v>45</v>
      </c>
      <c r="X1091" s="3" t="s">
        <v>9774</v>
      </c>
      <c r="Y1091" s="4" t="s">
        <v>727</v>
      </c>
      <c r="Z1091" s="3" t="s">
        <v>74</v>
      </c>
      <c r="AA1091" s="3" t="s">
        <v>45</v>
      </c>
      <c r="AB1091" s="3" t="s">
        <v>45</v>
      </c>
      <c r="AC1091" s="3" t="s">
        <v>45</v>
      </c>
      <c r="AD1091" s="3" t="s">
        <v>45</v>
      </c>
      <c r="AE1091" s="3" t="s">
        <v>45</v>
      </c>
      <c r="AF1091" s="3" t="s">
        <v>45</v>
      </c>
      <c r="AG1091" s="3" t="s">
        <v>9775</v>
      </c>
      <c r="AH1091" s="3" t="s">
        <v>840</v>
      </c>
      <c r="AI1091" s="5" t="s">
        <v>9776</v>
      </c>
      <c r="AJ1091" s="5" t="s">
        <v>9777</v>
      </c>
      <c r="AK1091" s="5" t="s">
        <v>9778</v>
      </c>
      <c r="AL1091" s="5" t="s">
        <v>9779</v>
      </c>
      <c r="AM1091" s="3" t="s">
        <v>45</v>
      </c>
      <c r="AN1091" s="3" t="s">
        <v>45</v>
      </c>
      <c r="AO1091" s="3" t="s">
        <v>45</v>
      </c>
      <c r="AP1091" s="3" t="s">
        <v>45</v>
      </c>
      <c r="AQ1091" s="4" t="s">
        <v>9780</v>
      </c>
      <c r="AR1091" s="4" t="s">
        <v>9780</v>
      </c>
    </row>
    <row r="1092">
      <c r="A1092" s="3" t="s">
        <v>9781</v>
      </c>
      <c r="B1092" s="3" t="s">
        <v>9782</v>
      </c>
      <c r="C1092" s="3" t="s">
        <v>9783</v>
      </c>
      <c r="D1092" s="3" t="s">
        <v>9784</v>
      </c>
      <c r="E1092" s="4" t="s">
        <v>9785</v>
      </c>
      <c r="F1092" s="3" t="s">
        <v>9304</v>
      </c>
      <c r="G1092" s="4" t="s">
        <v>9786</v>
      </c>
      <c r="H1092" s="4" t="s">
        <v>9787</v>
      </c>
      <c r="I1092" s="3" t="s">
        <v>49</v>
      </c>
      <c r="J1092" s="3" t="s">
        <v>126</v>
      </c>
      <c r="K1092" s="3" t="s">
        <v>45</v>
      </c>
      <c r="L1092" s="3" t="s">
        <v>45</v>
      </c>
      <c r="M1092" s="3" t="s">
        <v>45</v>
      </c>
      <c r="N1092" s="3" t="s">
        <v>45</v>
      </c>
      <c r="O1092" s="3" t="s">
        <v>74</v>
      </c>
      <c r="P1092" s="3" t="s">
        <v>45</v>
      </c>
      <c r="Q1092" s="3" t="s">
        <v>45</v>
      </c>
      <c r="R1092" s="3" t="s">
        <v>45</v>
      </c>
      <c r="S1092" s="3" t="s">
        <v>45</v>
      </c>
      <c r="T1092" s="3" t="s">
        <v>45</v>
      </c>
      <c r="U1092" s="3" t="s">
        <v>45</v>
      </c>
      <c r="V1092" s="4" t="s">
        <v>1258</v>
      </c>
      <c r="W1092" s="3" t="s">
        <v>45</v>
      </c>
      <c r="X1092" s="3" t="s">
        <v>9788</v>
      </c>
      <c r="Y1092" s="4" t="s">
        <v>317</v>
      </c>
      <c r="Z1092" s="3" t="s">
        <v>45</v>
      </c>
      <c r="AA1092" s="3" t="s">
        <v>45</v>
      </c>
      <c r="AB1092" s="3" t="s">
        <v>45</v>
      </c>
      <c r="AC1092" s="3" t="s">
        <v>45</v>
      </c>
      <c r="AD1092" s="3" t="s">
        <v>45</v>
      </c>
      <c r="AE1092" s="3" t="s">
        <v>45</v>
      </c>
      <c r="AF1092" s="3" t="s">
        <v>45</v>
      </c>
      <c r="AG1092" s="3" t="s">
        <v>45</v>
      </c>
      <c r="AH1092" s="3" t="s">
        <v>57</v>
      </c>
      <c r="AI1092" s="5" t="s">
        <v>9789</v>
      </c>
      <c r="AJ1092" s="3" t="s">
        <v>45</v>
      </c>
      <c r="AK1092" s="3" t="s">
        <v>45</v>
      </c>
      <c r="AL1092" s="3" t="s">
        <v>45</v>
      </c>
      <c r="AM1092" s="3" t="s">
        <v>45</v>
      </c>
      <c r="AN1092" s="3" t="s">
        <v>45</v>
      </c>
      <c r="AO1092" s="3" t="s">
        <v>45</v>
      </c>
      <c r="AP1092" s="3" t="s">
        <v>45</v>
      </c>
      <c r="AQ1092" s="4" t="s">
        <v>3636</v>
      </c>
      <c r="AR1092" s="4" t="s">
        <v>3636</v>
      </c>
    </row>
    <row r="1093">
      <c r="A1093" s="3" t="s">
        <v>9790</v>
      </c>
      <c r="B1093" s="3" t="s">
        <v>9791</v>
      </c>
      <c r="C1093" s="3" t="s">
        <v>9792</v>
      </c>
      <c r="D1093" s="3" t="s">
        <v>9793</v>
      </c>
      <c r="E1093" s="4" t="s">
        <v>9794</v>
      </c>
      <c r="F1093" s="3" t="s">
        <v>9795</v>
      </c>
      <c r="G1093" s="4" t="s">
        <v>9796</v>
      </c>
      <c r="H1093" s="4" t="s">
        <v>9797</v>
      </c>
      <c r="I1093" s="3" t="s">
        <v>218</v>
      </c>
      <c r="J1093" s="3" t="s">
        <v>50</v>
      </c>
      <c r="K1093" s="3" t="s">
        <v>45</v>
      </c>
      <c r="L1093" s="3" t="s">
        <v>45</v>
      </c>
      <c r="M1093" s="3" t="s">
        <v>45</v>
      </c>
      <c r="N1093" s="4" t="s">
        <v>622</v>
      </c>
      <c r="O1093" s="3" t="s">
        <v>70</v>
      </c>
      <c r="P1093" s="3" t="s">
        <v>71</v>
      </c>
      <c r="Q1093" s="3" t="s">
        <v>55</v>
      </c>
      <c r="R1093" s="3" t="s">
        <v>45</v>
      </c>
      <c r="S1093" s="3" t="s">
        <v>45</v>
      </c>
      <c r="T1093" s="3" t="s">
        <v>45</v>
      </c>
      <c r="U1093" s="3" t="s">
        <v>45</v>
      </c>
      <c r="V1093" s="4" t="s">
        <v>9798</v>
      </c>
      <c r="W1093" s="4" t="s">
        <v>6646</v>
      </c>
      <c r="X1093" s="3" t="s">
        <v>45</v>
      </c>
      <c r="Y1093" s="3" t="s">
        <v>45</v>
      </c>
      <c r="Z1093" s="3" t="s">
        <v>55</v>
      </c>
      <c r="AA1093" s="3" t="s">
        <v>45</v>
      </c>
      <c r="AB1093" s="3" t="s">
        <v>45</v>
      </c>
      <c r="AC1093" s="3" t="s">
        <v>45</v>
      </c>
      <c r="AD1093" s="3" t="s">
        <v>45</v>
      </c>
      <c r="AE1093" s="3" t="s">
        <v>45</v>
      </c>
      <c r="AF1093" s="3" t="s">
        <v>45</v>
      </c>
      <c r="AG1093" s="3" t="s">
        <v>45</v>
      </c>
      <c r="AH1093" s="3" t="s">
        <v>57</v>
      </c>
      <c r="AI1093" s="5" t="s">
        <v>9799</v>
      </c>
      <c r="AJ1093" s="5" t="s">
        <v>9800</v>
      </c>
      <c r="AK1093" s="3" t="s">
        <v>45</v>
      </c>
      <c r="AL1093" s="3" t="s">
        <v>45</v>
      </c>
      <c r="AM1093" s="3" t="s">
        <v>45</v>
      </c>
      <c r="AN1093" s="3" t="s">
        <v>45</v>
      </c>
      <c r="AO1093" s="3" t="s">
        <v>45</v>
      </c>
      <c r="AP1093" s="3" t="s">
        <v>45</v>
      </c>
      <c r="AQ1093" s="4" t="s">
        <v>474</v>
      </c>
      <c r="AR1093" s="4" t="s">
        <v>413</v>
      </c>
    </row>
    <row r="1094">
      <c r="A1094" s="3" t="s">
        <v>9801</v>
      </c>
      <c r="B1094" s="3" t="s">
        <v>9802</v>
      </c>
      <c r="C1094" s="3" t="s">
        <v>7249</v>
      </c>
      <c r="D1094" s="3" t="s">
        <v>9793</v>
      </c>
      <c r="E1094" s="4" t="s">
        <v>9803</v>
      </c>
      <c r="F1094" s="3" t="s">
        <v>9804</v>
      </c>
      <c r="G1094" s="4" t="s">
        <v>9805</v>
      </c>
      <c r="H1094" s="4" t="s">
        <v>9806</v>
      </c>
      <c r="I1094" s="3" t="s">
        <v>49</v>
      </c>
      <c r="J1094" s="3" t="s">
        <v>50</v>
      </c>
      <c r="K1094" s="3" t="s">
        <v>45</v>
      </c>
      <c r="L1094" s="3" t="s">
        <v>45</v>
      </c>
      <c r="M1094" s="3" t="s">
        <v>45</v>
      </c>
      <c r="N1094" s="4" t="s">
        <v>709</v>
      </c>
      <c r="O1094" s="3" t="s">
        <v>390</v>
      </c>
      <c r="P1094" s="3" t="s">
        <v>45</v>
      </c>
      <c r="Q1094" s="3" t="s">
        <v>45</v>
      </c>
      <c r="R1094" s="3" t="s">
        <v>45</v>
      </c>
      <c r="S1094" s="3" t="s">
        <v>45</v>
      </c>
      <c r="T1094" s="3" t="s">
        <v>45</v>
      </c>
      <c r="U1094" s="3" t="s">
        <v>45</v>
      </c>
      <c r="V1094" s="3" t="s">
        <v>45</v>
      </c>
      <c r="W1094" s="4" t="s">
        <v>1153</v>
      </c>
      <c r="X1094" s="3" t="s">
        <v>45</v>
      </c>
      <c r="Y1094" s="3" t="s">
        <v>45</v>
      </c>
      <c r="Z1094" s="3" t="s">
        <v>74</v>
      </c>
      <c r="AA1094" s="3" t="s">
        <v>45</v>
      </c>
      <c r="AB1094" s="3" t="s">
        <v>45</v>
      </c>
      <c r="AC1094" s="3" t="s">
        <v>45</v>
      </c>
      <c r="AD1094" s="3" t="s">
        <v>45</v>
      </c>
      <c r="AE1094" s="3" t="s">
        <v>45</v>
      </c>
      <c r="AF1094" s="3" t="s">
        <v>45</v>
      </c>
      <c r="AG1094" s="3" t="s">
        <v>9807</v>
      </c>
      <c r="AH1094" s="3" t="s">
        <v>57</v>
      </c>
      <c r="AI1094" s="5" t="s">
        <v>9808</v>
      </c>
      <c r="AJ1094" s="3" t="s">
        <v>45</v>
      </c>
      <c r="AK1094" s="3" t="s">
        <v>45</v>
      </c>
      <c r="AL1094" s="3" t="s">
        <v>45</v>
      </c>
      <c r="AM1094" s="3" t="s">
        <v>45</v>
      </c>
      <c r="AN1094" s="3" t="s">
        <v>45</v>
      </c>
      <c r="AO1094" s="3" t="s">
        <v>45</v>
      </c>
      <c r="AP1094" s="3" t="s">
        <v>45</v>
      </c>
      <c r="AQ1094" s="4" t="s">
        <v>2353</v>
      </c>
      <c r="AR1094" s="4" t="s">
        <v>2353</v>
      </c>
    </row>
    <row r="1095">
      <c r="A1095" s="3" t="s">
        <v>9809</v>
      </c>
      <c r="B1095" s="3" t="s">
        <v>9810</v>
      </c>
      <c r="C1095" s="3" t="s">
        <v>7249</v>
      </c>
      <c r="D1095" s="3" t="s">
        <v>9793</v>
      </c>
      <c r="E1095" s="4" t="s">
        <v>9803</v>
      </c>
      <c r="F1095" s="3" t="s">
        <v>9804</v>
      </c>
      <c r="G1095" s="4" t="s">
        <v>9811</v>
      </c>
      <c r="H1095" s="4" t="s">
        <v>9812</v>
      </c>
      <c r="I1095" s="3" t="s">
        <v>49</v>
      </c>
      <c r="J1095" s="3" t="s">
        <v>126</v>
      </c>
      <c r="K1095" s="3" t="s">
        <v>45</v>
      </c>
      <c r="L1095" s="3" t="s">
        <v>9813</v>
      </c>
      <c r="M1095" s="3" t="s">
        <v>45</v>
      </c>
      <c r="N1095" s="3" t="s">
        <v>9814</v>
      </c>
      <c r="O1095" s="3" t="s">
        <v>70</v>
      </c>
      <c r="P1095" s="3" t="s">
        <v>45</v>
      </c>
      <c r="Q1095" s="3" t="s">
        <v>45</v>
      </c>
      <c r="R1095" s="3" t="s">
        <v>45</v>
      </c>
      <c r="S1095" s="3" t="s">
        <v>45</v>
      </c>
      <c r="T1095" s="3" t="s">
        <v>45</v>
      </c>
      <c r="U1095" s="3" t="s">
        <v>45</v>
      </c>
      <c r="V1095" s="4" t="s">
        <v>9815</v>
      </c>
      <c r="W1095" s="4" t="s">
        <v>128</v>
      </c>
      <c r="X1095" s="3" t="s">
        <v>45</v>
      </c>
      <c r="Y1095" s="3" t="s">
        <v>45</v>
      </c>
      <c r="Z1095" s="3" t="s">
        <v>74</v>
      </c>
      <c r="AA1095" s="3" t="s">
        <v>45</v>
      </c>
      <c r="AB1095" s="3" t="s">
        <v>45</v>
      </c>
      <c r="AC1095" s="3" t="s">
        <v>45</v>
      </c>
      <c r="AD1095" s="3" t="s">
        <v>45</v>
      </c>
      <c r="AE1095" s="3" t="s">
        <v>45</v>
      </c>
      <c r="AF1095" s="3" t="s">
        <v>45</v>
      </c>
      <c r="AG1095" s="3" t="s">
        <v>9816</v>
      </c>
      <c r="AH1095" s="3" t="s">
        <v>57</v>
      </c>
      <c r="AI1095" s="5" t="s">
        <v>9817</v>
      </c>
      <c r="AJ1095" s="5" t="s">
        <v>9818</v>
      </c>
      <c r="AK1095" s="5" t="s">
        <v>9819</v>
      </c>
      <c r="AL1095" s="3" t="s">
        <v>45</v>
      </c>
      <c r="AM1095" s="3" t="s">
        <v>45</v>
      </c>
      <c r="AN1095" s="3" t="s">
        <v>45</v>
      </c>
      <c r="AO1095" s="3" t="s">
        <v>45</v>
      </c>
      <c r="AP1095" s="3" t="s">
        <v>45</v>
      </c>
      <c r="AQ1095" s="4" t="s">
        <v>9820</v>
      </c>
      <c r="AR1095" s="4" t="s">
        <v>2065</v>
      </c>
    </row>
    <row r="1096">
      <c r="A1096" s="3" t="s">
        <v>9821</v>
      </c>
      <c r="B1096" s="3" t="s">
        <v>9822</v>
      </c>
      <c r="C1096" s="3" t="s">
        <v>7249</v>
      </c>
      <c r="D1096" s="3" t="s">
        <v>9793</v>
      </c>
      <c r="E1096" s="4" t="s">
        <v>9803</v>
      </c>
      <c r="F1096" s="3" t="s">
        <v>9804</v>
      </c>
      <c r="G1096" s="4" t="s">
        <v>9823</v>
      </c>
      <c r="H1096" s="4" t="s">
        <v>9824</v>
      </c>
      <c r="I1096" s="3" t="s">
        <v>49</v>
      </c>
      <c r="J1096" s="3" t="s">
        <v>126</v>
      </c>
      <c r="K1096" s="3" t="s">
        <v>45</v>
      </c>
      <c r="L1096" s="3" t="s">
        <v>45</v>
      </c>
      <c r="M1096" s="3" t="s">
        <v>45</v>
      </c>
      <c r="N1096" s="3" t="s">
        <v>45</v>
      </c>
      <c r="O1096" s="3" t="s">
        <v>74</v>
      </c>
      <c r="P1096" s="3" t="s">
        <v>45</v>
      </c>
      <c r="Q1096" s="3" t="s">
        <v>45</v>
      </c>
      <c r="R1096" s="3" t="s">
        <v>45</v>
      </c>
      <c r="S1096" s="3" t="s">
        <v>45</v>
      </c>
      <c r="T1096" s="3" t="s">
        <v>45</v>
      </c>
      <c r="U1096" s="3" t="s">
        <v>45</v>
      </c>
      <c r="V1096" s="3" t="s">
        <v>45</v>
      </c>
      <c r="W1096" s="4" t="s">
        <v>9825</v>
      </c>
      <c r="X1096" s="3" t="s">
        <v>45</v>
      </c>
      <c r="Y1096" s="3" t="s">
        <v>45</v>
      </c>
      <c r="Z1096" s="3" t="s">
        <v>74</v>
      </c>
      <c r="AA1096" s="3" t="s">
        <v>45</v>
      </c>
      <c r="AB1096" s="3" t="s">
        <v>45</v>
      </c>
      <c r="AC1096" s="3" t="s">
        <v>45</v>
      </c>
      <c r="AD1096" s="3" t="s">
        <v>45</v>
      </c>
      <c r="AE1096" s="3" t="s">
        <v>45</v>
      </c>
      <c r="AF1096" s="3" t="s">
        <v>45</v>
      </c>
      <c r="AG1096" s="4" t="s">
        <v>727</v>
      </c>
      <c r="AH1096" s="3" t="s">
        <v>57</v>
      </c>
      <c r="AI1096" s="5" t="s">
        <v>9826</v>
      </c>
      <c r="AJ1096" s="3" t="s">
        <v>45</v>
      </c>
      <c r="AK1096" s="3" t="s">
        <v>45</v>
      </c>
      <c r="AL1096" s="3" t="s">
        <v>45</v>
      </c>
      <c r="AM1096" s="3" t="s">
        <v>45</v>
      </c>
      <c r="AN1096" s="3" t="s">
        <v>45</v>
      </c>
      <c r="AO1096" s="3" t="s">
        <v>45</v>
      </c>
      <c r="AP1096" s="3" t="s">
        <v>45</v>
      </c>
      <c r="AQ1096" s="4" t="s">
        <v>807</v>
      </c>
      <c r="AR1096" s="4" t="s">
        <v>807</v>
      </c>
    </row>
    <row r="1097">
      <c r="A1097" s="3" t="s">
        <v>9827</v>
      </c>
      <c r="B1097" s="3" t="s">
        <v>9828</v>
      </c>
      <c r="C1097" s="3" t="s">
        <v>9829</v>
      </c>
      <c r="D1097" s="3" t="s">
        <v>9793</v>
      </c>
      <c r="E1097" s="4" t="s">
        <v>9830</v>
      </c>
      <c r="F1097" s="3" t="s">
        <v>9831</v>
      </c>
      <c r="G1097" s="4" t="s">
        <v>9832</v>
      </c>
      <c r="H1097" s="4" t="s">
        <v>9833</v>
      </c>
      <c r="I1097" s="3" t="s">
        <v>49</v>
      </c>
      <c r="J1097" s="3" t="s">
        <v>50</v>
      </c>
      <c r="K1097" s="3" t="s">
        <v>743</v>
      </c>
      <c r="L1097" s="3" t="s">
        <v>45</v>
      </c>
      <c r="M1097" s="3" t="s">
        <v>45</v>
      </c>
      <c r="N1097" s="3" t="s">
        <v>45</v>
      </c>
      <c r="O1097" s="3" t="s">
        <v>74</v>
      </c>
      <c r="P1097" s="3" t="s">
        <v>45</v>
      </c>
      <c r="Q1097" s="3" t="s">
        <v>45</v>
      </c>
      <c r="R1097" s="3" t="s">
        <v>45</v>
      </c>
      <c r="S1097" s="3" t="s">
        <v>45</v>
      </c>
      <c r="T1097" s="3" t="s">
        <v>45</v>
      </c>
      <c r="U1097" s="3" t="s">
        <v>45</v>
      </c>
      <c r="V1097" s="3" t="s">
        <v>45</v>
      </c>
      <c r="W1097" s="4" t="s">
        <v>9834</v>
      </c>
      <c r="X1097" s="3" t="s">
        <v>45</v>
      </c>
      <c r="Y1097" s="3" t="s">
        <v>45</v>
      </c>
      <c r="Z1097" s="3" t="s">
        <v>74</v>
      </c>
      <c r="AA1097" s="3" t="s">
        <v>45</v>
      </c>
      <c r="AB1097" s="3" t="s">
        <v>45</v>
      </c>
      <c r="AC1097" s="3" t="s">
        <v>45</v>
      </c>
      <c r="AD1097" s="3" t="s">
        <v>45</v>
      </c>
      <c r="AE1097" s="3" t="s">
        <v>45</v>
      </c>
      <c r="AF1097" s="3" t="s">
        <v>45</v>
      </c>
      <c r="AG1097" s="3" t="s">
        <v>9835</v>
      </c>
      <c r="AH1097" s="3" t="s">
        <v>57</v>
      </c>
      <c r="AI1097" s="3" t="s">
        <v>45</v>
      </c>
      <c r="AJ1097" s="3" t="s">
        <v>45</v>
      </c>
      <c r="AK1097" s="3" t="s">
        <v>45</v>
      </c>
      <c r="AL1097" s="3" t="s">
        <v>45</v>
      </c>
      <c r="AM1097" s="3" t="s">
        <v>45</v>
      </c>
      <c r="AN1097" s="3" t="s">
        <v>45</v>
      </c>
      <c r="AO1097" s="3" t="s">
        <v>45</v>
      </c>
      <c r="AP1097" s="3" t="s">
        <v>45</v>
      </c>
      <c r="AQ1097" s="4" t="s">
        <v>324</v>
      </c>
      <c r="AR1097" s="4" t="s">
        <v>324</v>
      </c>
    </row>
    <row r="1098">
      <c r="A1098" s="3" t="s">
        <v>9836</v>
      </c>
      <c r="B1098" s="3" t="s">
        <v>9837</v>
      </c>
      <c r="C1098" s="3" t="s">
        <v>9838</v>
      </c>
      <c r="D1098" s="3" t="s">
        <v>9793</v>
      </c>
      <c r="E1098" s="4" t="s">
        <v>9803</v>
      </c>
      <c r="F1098" s="3" t="s">
        <v>9804</v>
      </c>
      <c r="G1098" s="4" t="s">
        <v>9839</v>
      </c>
      <c r="H1098" s="4" t="s">
        <v>9840</v>
      </c>
      <c r="I1098" s="3" t="s">
        <v>49</v>
      </c>
      <c r="J1098" s="3" t="s">
        <v>99</v>
      </c>
      <c r="K1098" s="3" t="s">
        <v>45</v>
      </c>
      <c r="L1098" s="3" t="s">
        <v>9841</v>
      </c>
      <c r="M1098" s="3" t="s">
        <v>45</v>
      </c>
      <c r="N1098" s="3" t="s">
        <v>9842</v>
      </c>
      <c r="O1098" s="3" t="s">
        <v>70</v>
      </c>
      <c r="P1098" s="3" t="s">
        <v>71</v>
      </c>
      <c r="Q1098" s="3" t="s">
        <v>45</v>
      </c>
      <c r="R1098" s="3" t="s">
        <v>45</v>
      </c>
      <c r="S1098" s="3" t="s">
        <v>45</v>
      </c>
      <c r="T1098" s="3" t="s">
        <v>105</v>
      </c>
      <c r="U1098" s="3" t="s">
        <v>45</v>
      </c>
      <c r="V1098" s="3" t="s">
        <v>45</v>
      </c>
      <c r="W1098" s="4" t="s">
        <v>9825</v>
      </c>
      <c r="X1098" s="3" t="s">
        <v>9843</v>
      </c>
      <c r="Y1098" s="3" t="s">
        <v>45</v>
      </c>
      <c r="Z1098" s="3" t="s">
        <v>55</v>
      </c>
      <c r="AA1098" s="5" t="s">
        <v>9844</v>
      </c>
      <c r="AB1098" s="3" t="s">
        <v>56</v>
      </c>
      <c r="AC1098" s="3" t="s">
        <v>45</v>
      </c>
      <c r="AD1098" s="3" t="s">
        <v>45</v>
      </c>
      <c r="AE1098" s="3" t="s">
        <v>45</v>
      </c>
      <c r="AF1098" s="5" t="s">
        <v>9845</v>
      </c>
      <c r="AG1098" s="3" t="s">
        <v>45</v>
      </c>
      <c r="AH1098" s="3" t="s">
        <v>57</v>
      </c>
      <c r="AI1098" s="5" t="s">
        <v>9846</v>
      </c>
      <c r="AJ1098" s="5" t="s">
        <v>9847</v>
      </c>
      <c r="AK1098" s="5" t="s">
        <v>9848</v>
      </c>
      <c r="AL1098" s="3" t="s">
        <v>45</v>
      </c>
      <c r="AM1098" s="3" t="s">
        <v>45</v>
      </c>
      <c r="AN1098" s="3" t="s">
        <v>45</v>
      </c>
      <c r="AO1098" s="3" t="s">
        <v>45</v>
      </c>
      <c r="AP1098" s="3" t="s">
        <v>45</v>
      </c>
      <c r="AQ1098" s="4" t="s">
        <v>1398</v>
      </c>
      <c r="AR1098" s="4" t="s">
        <v>1398</v>
      </c>
    </row>
    <row r="1099">
      <c r="A1099" s="3" t="s">
        <v>9849</v>
      </c>
      <c r="B1099" s="3" t="s">
        <v>9850</v>
      </c>
      <c r="C1099" s="3" t="s">
        <v>9851</v>
      </c>
      <c r="D1099" s="3" t="s">
        <v>9793</v>
      </c>
      <c r="E1099" s="4" t="s">
        <v>9852</v>
      </c>
      <c r="F1099" s="3" t="s">
        <v>9853</v>
      </c>
      <c r="G1099" s="4" t="s">
        <v>9854</v>
      </c>
      <c r="H1099" s="4" t="s">
        <v>9855</v>
      </c>
      <c r="I1099" s="3" t="s">
        <v>245</v>
      </c>
      <c r="J1099" s="3" t="s">
        <v>126</v>
      </c>
      <c r="K1099" s="3" t="s">
        <v>45</v>
      </c>
      <c r="L1099" s="3" t="s">
        <v>45</v>
      </c>
      <c r="M1099" s="3" t="s">
        <v>45</v>
      </c>
      <c r="N1099" s="4" t="s">
        <v>582</v>
      </c>
      <c r="O1099" s="3" t="s">
        <v>390</v>
      </c>
      <c r="P1099" s="3" t="s">
        <v>45</v>
      </c>
      <c r="Q1099" s="3" t="s">
        <v>45</v>
      </c>
      <c r="R1099" s="3" t="s">
        <v>45</v>
      </c>
      <c r="S1099" s="3" t="s">
        <v>45</v>
      </c>
      <c r="T1099" s="3" t="s">
        <v>45</v>
      </c>
      <c r="U1099" s="3" t="s">
        <v>45</v>
      </c>
      <c r="V1099" s="4" t="s">
        <v>9856</v>
      </c>
      <c r="W1099" s="3" t="s">
        <v>45</v>
      </c>
      <c r="X1099" s="3" t="s">
        <v>45</v>
      </c>
      <c r="Y1099" s="3" t="s">
        <v>45</v>
      </c>
      <c r="Z1099" s="3" t="s">
        <v>74</v>
      </c>
      <c r="AA1099" s="3" t="s">
        <v>45</v>
      </c>
      <c r="AB1099" s="3" t="s">
        <v>45</v>
      </c>
      <c r="AC1099" s="3" t="s">
        <v>45</v>
      </c>
      <c r="AD1099" s="3" t="s">
        <v>45</v>
      </c>
      <c r="AE1099" s="3" t="s">
        <v>45</v>
      </c>
      <c r="AF1099" s="3" t="s">
        <v>45</v>
      </c>
      <c r="AG1099" s="3" t="s">
        <v>45</v>
      </c>
      <c r="AH1099" s="3" t="s">
        <v>57</v>
      </c>
      <c r="AI1099" s="5" t="s">
        <v>9857</v>
      </c>
      <c r="AJ1099" s="5" t="s">
        <v>9858</v>
      </c>
      <c r="AK1099" s="3" t="s">
        <v>45</v>
      </c>
      <c r="AL1099" s="3" t="s">
        <v>45</v>
      </c>
      <c r="AM1099" s="3" t="s">
        <v>45</v>
      </c>
      <c r="AN1099" s="3" t="s">
        <v>45</v>
      </c>
      <c r="AO1099" s="3" t="s">
        <v>45</v>
      </c>
      <c r="AP1099" s="3" t="s">
        <v>45</v>
      </c>
      <c r="AQ1099" s="4" t="s">
        <v>1113</v>
      </c>
      <c r="AR1099" s="4" t="s">
        <v>2870</v>
      </c>
    </row>
    <row r="1100">
      <c r="A1100" s="3" t="s">
        <v>9859</v>
      </c>
      <c r="B1100" s="3" t="s">
        <v>9860</v>
      </c>
      <c r="C1100" s="3" t="s">
        <v>9861</v>
      </c>
      <c r="D1100" s="3" t="s">
        <v>9793</v>
      </c>
      <c r="E1100" s="4" t="s">
        <v>9862</v>
      </c>
      <c r="F1100" s="3" t="s">
        <v>9853</v>
      </c>
      <c r="G1100" s="4" t="s">
        <v>9863</v>
      </c>
      <c r="H1100" s="4" t="s">
        <v>9864</v>
      </c>
      <c r="I1100" s="3" t="s">
        <v>49</v>
      </c>
      <c r="J1100" s="3" t="s">
        <v>126</v>
      </c>
      <c r="K1100" s="3" t="s">
        <v>45</v>
      </c>
      <c r="L1100" s="3" t="s">
        <v>9865</v>
      </c>
      <c r="M1100" s="3" t="s">
        <v>45</v>
      </c>
      <c r="N1100" s="4" t="s">
        <v>2982</v>
      </c>
      <c r="O1100" s="3" t="s">
        <v>390</v>
      </c>
      <c r="P1100" s="3" t="s">
        <v>1163</v>
      </c>
      <c r="Q1100" s="3" t="s">
        <v>45</v>
      </c>
      <c r="R1100" s="3" t="s">
        <v>45</v>
      </c>
      <c r="S1100" s="3" t="s">
        <v>45</v>
      </c>
      <c r="T1100" s="3" t="s">
        <v>105</v>
      </c>
      <c r="U1100" s="3" t="s">
        <v>221</v>
      </c>
      <c r="V1100" s="3" t="s">
        <v>45</v>
      </c>
      <c r="W1100" s="3" t="s">
        <v>45</v>
      </c>
      <c r="X1100" s="3" t="s">
        <v>45</v>
      </c>
      <c r="Y1100" s="3" t="s">
        <v>45</v>
      </c>
      <c r="Z1100" s="3" t="s">
        <v>74</v>
      </c>
      <c r="AA1100" s="3" t="s">
        <v>45</v>
      </c>
      <c r="AB1100" s="3" t="s">
        <v>45</v>
      </c>
      <c r="AC1100" s="3" t="s">
        <v>45</v>
      </c>
      <c r="AD1100" s="3" t="s">
        <v>45</v>
      </c>
      <c r="AE1100" s="3" t="s">
        <v>45</v>
      </c>
      <c r="AF1100" s="3" t="s">
        <v>45</v>
      </c>
      <c r="AG1100" s="3" t="s">
        <v>45</v>
      </c>
      <c r="AH1100" s="3" t="s">
        <v>57</v>
      </c>
      <c r="AI1100" s="5" t="s">
        <v>9866</v>
      </c>
      <c r="AJ1100" s="3" t="s">
        <v>45</v>
      </c>
      <c r="AK1100" s="3" t="s">
        <v>45</v>
      </c>
      <c r="AL1100" s="3" t="s">
        <v>45</v>
      </c>
      <c r="AM1100" s="3" t="s">
        <v>45</v>
      </c>
      <c r="AN1100" s="3" t="s">
        <v>45</v>
      </c>
      <c r="AO1100" s="3" t="s">
        <v>45</v>
      </c>
      <c r="AP1100" s="3" t="s">
        <v>45</v>
      </c>
      <c r="AQ1100" s="4" t="s">
        <v>1113</v>
      </c>
      <c r="AR1100" s="4" t="s">
        <v>1113</v>
      </c>
    </row>
    <row r="1101">
      <c r="A1101" s="3" t="s">
        <v>9867</v>
      </c>
      <c r="B1101" s="3" t="s">
        <v>9868</v>
      </c>
      <c r="C1101" s="3" t="s">
        <v>9869</v>
      </c>
      <c r="D1101" s="3" t="s">
        <v>9793</v>
      </c>
      <c r="E1101" s="4" t="s">
        <v>9870</v>
      </c>
      <c r="F1101" s="3" t="s">
        <v>9871</v>
      </c>
      <c r="G1101" s="4" t="s">
        <v>9872</v>
      </c>
      <c r="H1101" s="4" t="s">
        <v>9873</v>
      </c>
      <c r="I1101" s="3" t="s">
        <v>218</v>
      </c>
      <c r="J1101" s="3" t="s">
        <v>126</v>
      </c>
      <c r="K1101" s="3" t="s">
        <v>45</v>
      </c>
      <c r="L1101" s="3" t="s">
        <v>45</v>
      </c>
      <c r="M1101" s="3" t="s">
        <v>45</v>
      </c>
      <c r="N1101" s="4" t="s">
        <v>9874</v>
      </c>
      <c r="O1101" s="3" t="s">
        <v>70</v>
      </c>
      <c r="P1101" s="3" t="s">
        <v>45</v>
      </c>
      <c r="Q1101" s="3" t="s">
        <v>45</v>
      </c>
      <c r="R1101" s="3" t="s">
        <v>45</v>
      </c>
      <c r="S1101" s="3" t="s">
        <v>45</v>
      </c>
      <c r="T1101" s="3" t="s">
        <v>45</v>
      </c>
      <c r="U1101" s="3" t="s">
        <v>45</v>
      </c>
      <c r="V1101" s="3" t="s">
        <v>45</v>
      </c>
      <c r="W1101" s="4" t="s">
        <v>9875</v>
      </c>
      <c r="X1101" s="3" t="s">
        <v>45</v>
      </c>
      <c r="Y1101" s="3" t="s">
        <v>45</v>
      </c>
      <c r="Z1101" s="3" t="s">
        <v>55</v>
      </c>
      <c r="AA1101" s="3" t="s">
        <v>45</v>
      </c>
      <c r="AB1101" s="3" t="s">
        <v>109</v>
      </c>
      <c r="AC1101" s="3" t="s">
        <v>45</v>
      </c>
      <c r="AD1101" s="3" t="s">
        <v>45</v>
      </c>
      <c r="AE1101" s="3" t="s">
        <v>45</v>
      </c>
      <c r="AF1101" s="3" t="s">
        <v>45</v>
      </c>
      <c r="AG1101" s="3" t="s">
        <v>9876</v>
      </c>
      <c r="AH1101" s="3" t="s">
        <v>57</v>
      </c>
      <c r="AI1101" s="5" t="s">
        <v>9877</v>
      </c>
      <c r="AJ1101" s="5" t="s">
        <v>9878</v>
      </c>
      <c r="AK1101" s="5" t="s">
        <v>9879</v>
      </c>
      <c r="AL1101" s="5" t="s">
        <v>9880</v>
      </c>
      <c r="AM1101" s="5" t="s">
        <v>9881</v>
      </c>
      <c r="AN1101" s="3" t="s">
        <v>45</v>
      </c>
      <c r="AO1101" s="3" t="s">
        <v>45</v>
      </c>
      <c r="AP1101" s="3" t="s">
        <v>45</v>
      </c>
      <c r="AQ1101" s="4" t="s">
        <v>1114</v>
      </c>
      <c r="AR1101" s="4" t="s">
        <v>3382</v>
      </c>
    </row>
    <row r="1102">
      <c r="A1102" s="3" t="s">
        <v>9882</v>
      </c>
      <c r="B1102" s="3" t="s">
        <v>9883</v>
      </c>
      <c r="C1102" s="3" t="s">
        <v>9869</v>
      </c>
      <c r="D1102" s="3" t="s">
        <v>9793</v>
      </c>
      <c r="E1102" s="4" t="s">
        <v>9870</v>
      </c>
      <c r="F1102" s="3" t="s">
        <v>9871</v>
      </c>
      <c r="G1102" s="4" t="s">
        <v>9884</v>
      </c>
      <c r="H1102" s="4" t="s">
        <v>9885</v>
      </c>
      <c r="I1102" s="3" t="s">
        <v>218</v>
      </c>
      <c r="J1102" s="3" t="s">
        <v>126</v>
      </c>
      <c r="K1102" s="3" t="s">
        <v>45</v>
      </c>
      <c r="L1102" s="3" t="s">
        <v>45</v>
      </c>
      <c r="M1102" s="3" t="s">
        <v>45</v>
      </c>
      <c r="N1102" s="3" t="s">
        <v>45</v>
      </c>
      <c r="O1102" s="3" t="s">
        <v>70</v>
      </c>
      <c r="P1102" s="3" t="s">
        <v>45</v>
      </c>
      <c r="Q1102" s="3" t="s">
        <v>45</v>
      </c>
      <c r="R1102" s="3" t="s">
        <v>45</v>
      </c>
      <c r="S1102" s="3" t="s">
        <v>45</v>
      </c>
      <c r="T1102" s="3" t="s">
        <v>45</v>
      </c>
      <c r="U1102" s="3" t="s">
        <v>45</v>
      </c>
      <c r="V1102" s="3" t="s">
        <v>45</v>
      </c>
      <c r="W1102" s="4" t="s">
        <v>9875</v>
      </c>
      <c r="X1102" s="3" t="s">
        <v>45</v>
      </c>
      <c r="Y1102" s="3" t="s">
        <v>45</v>
      </c>
      <c r="Z1102" s="3" t="s">
        <v>55</v>
      </c>
      <c r="AA1102" s="3" t="s">
        <v>45</v>
      </c>
      <c r="AB1102" s="3" t="s">
        <v>109</v>
      </c>
      <c r="AC1102" s="3" t="s">
        <v>45</v>
      </c>
      <c r="AD1102" s="3" t="s">
        <v>45</v>
      </c>
      <c r="AE1102" s="3" t="s">
        <v>45</v>
      </c>
      <c r="AF1102" s="3" t="s">
        <v>45</v>
      </c>
      <c r="AG1102" s="3" t="s">
        <v>9876</v>
      </c>
      <c r="AH1102" s="3" t="s">
        <v>57</v>
      </c>
      <c r="AI1102" s="5" t="s">
        <v>9877</v>
      </c>
      <c r="AJ1102" s="5" t="s">
        <v>9878</v>
      </c>
      <c r="AK1102" s="5" t="s">
        <v>9879</v>
      </c>
      <c r="AL1102" s="5" t="s">
        <v>9880</v>
      </c>
      <c r="AM1102" s="5" t="s">
        <v>9881</v>
      </c>
      <c r="AN1102" s="3" t="s">
        <v>45</v>
      </c>
      <c r="AO1102" s="3" t="s">
        <v>45</v>
      </c>
      <c r="AP1102" s="3" t="s">
        <v>45</v>
      </c>
      <c r="AQ1102" s="4" t="s">
        <v>1114</v>
      </c>
      <c r="AR1102" s="4" t="s">
        <v>3382</v>
      </c>
    </row>
    <row r="1103">
      <c r="A1103" s="3" t="s">
        <v>9886</v>
      </c>
      <c r="B1103" s="3" t="s">
        <v>9887</v>
      </c>
      <c r="C1103" s="3" t="s">
        <v>9888</v>
      </c>
      <c r="D1103" s="3" t="s">
        <v>9793</v>
      </c>
      <c r="E1103" s="4" t="s">
        <v>9889</v>
      </c>
      <c r="F1103" s="3" t="s">
        <v>9890</v>
      </c>
      <c r="G1103" s="4" t="s">
        <v>9891</v>
      </c>
      <c r="H1103" s="4" t="s">
        <v>9892</v>
      </c>
      <c r="I1103" s="3" t="s">
        <v>408</v>
      </c>
      <c r="J1103" s="3" t="s">
        <v>126</v>
      </c>
      <c r="K1103" s="3" t="s">
        <v>45</v>
      </c>
      <c r="L1103" s="3" t="s">
        <v>45</v>
      </c>
      <c r="M1103" s="3" t="s">
        <v>45</v>
      </c>
      <c r="N1103" s="4" t="s">
        <v>419</v>
      </c>
      <c r="O1103" s="3" t="s">
        <v>88</v>
      </c>
      <c r="P1103" s="3" t="s">
        <v>45</v>
      </c>
      <c r="Q1103" s="3" t="s">
        <v>45</v>
      </c>
      <c r="R1103" s="3" t="s">
        <v>45</v>
      </c>
      <c r="S1103" s="4" t="s">
        <v>835</v>
      </c>
      <c r="T1103" s="3" t="s">
        <v>45</v>
      </c>
      <c r="U1103" s="3" t="s">
        <v>45</v>
      </c>
      <c r="V1103" s="4" t="s">
        <v>9893</v>
      </c>
      <c r="W1103" s="4" t="s">
        <v>5932</v>
      </c>
      <c r="X1103" s="3" t="s">
        <v>45</v>
      </c>
      <c r="Y1103" s="3" t="s">
        <v>45</v>
      </c>
      <c r="Z1103" s="3" t="s">
        <v>74</v>
      </c>
      <c r="AA1103" s="3" t="s">
        <v>45</v>
      </c>
      <c r="AB1103" s="3" t="s">
        <v>45</v>
      </c>
      <c r="AC1103" s="3" t="s">
        <v>45</v>
      </c>
      <c r="AD1103" s="3" t="s">
        <v>45</v>
      </c>
      <c r="AE1103" s="3" t="s">
        <v>45</v>
      </c>
      <c r="AF1103" s="3" t="s">
        <v>45</v>
      </c>
      <c r="AG1103" s="3" t="s">
        <v>9894</v>
      </c>
      <c r="AH1103" s="3" t="s">
        <v>57</v>
      </c>
      <c r="AI1103" s="5" t="s">
        <v>9895</v>
      </c>
      <c r="AJ1103" s="5" t="s">
        <v>9896</v>
      </c>
      <c r="AK1103" s="3" t="s">
        <v>45</v>
      </c>
      <c r="AL1103" s="3" t="s">
        <v>45</v>
      </c>
      <c r="AM1103" s="3" t="s">
        <v>45</v>
      </c>
      <c r="AN1103" s="3" t="s">
        <v>45</v>
      </c>
      <c r="AO1103" s="3" t="s">
        <v>45</v>
      </c>
      <c r="AP1103" s="3" t="s">
        <v>45</v>
      </c>
      <c r="AQ1103" s="4" t="s">
        <v>661</v>
      </c>
      <c r="AR1103" s="4" t="s">
        <v>9897</v>
      </c>
    </row>
    <row r="1104">
      <c r="A1104" s="3" t="s">
        <v>9898</v>
      </c>
      <c r="B1104" s="3" t="s">
        <v>9899</v>
      </c>
      <c r="C1104" s="3" t="s">
        <v>45</v>
      </c>
      <c r="D1104" s="3" t="s">
        <v>9900</v>
      </c>
      <c r="E1104" s="4" t="s">
        <v>9901</v>
      </c>
      <c r="F1104" s="3" t="s">
        <v>9902</v>
      </c>
      <c r="G1104" s="4" t="s">
        <v>9903</v>
      </c>
      <c r="H1104" s="4" t="s">
        <v>9904</v>
      </c>
      <c r="I1104" s="3" t="s">
        <v>49</v>
      </c>
      <c r="J1104" s="3" t="s">
        <v>50</v>
      </c>
      <c r="K1104" s="3" t="s">
        <v>45</v>
      </c>
      <c r="L1104" s="3" t="s">
        <v>45</v>
      </c>
      <c r="M1104" s="3" t="s">
        <v>45</v>
      </c>
      <c r="N1104" s="3" t="s">
        <v>45</v>
      </c>
      <c r="O1104" s="3" t="s">
        <v>74</v>
      </c>
      <c r="P1104" s="3" t="s">
        <v>45</v>
      </c>
      <c r="Q1104" s="3" t="s">
        <v>45</v>
      </c>
      <c r="R1104" s="3" t="s">
        <v>45</v>
      </c>
      <c r="S1104" s="3" t="s">
        <v>45</v>
      </c>
      <c r="T1104" s="3" t="s">
        <v>45</v>
      </c>
      <c r="U1104" s="3" t="s">
        <v>45</v>
      </c>
      <c r="V1104" s="4" t="s">
        <v>9905</v>
      </c>
      <c r="W1104" s="4" t="s">
        <v>5714</v>
      </c>
      <c r="X1104" s="3" t="s">
        <v>45</v>
      </c>
      <c r="Y1104" s="3" t="s">
        <v>45</v>
      </c>
      <c r="Z1104" s="3" t="s">
        <v>74</v>
      </c>
      <c r="AA1104" s="3" t="s">
        <v>45</v>
      </c>
      <c r="AB1104" s="3" t="s">
        <v>45</v>
      </c>
      <c r="AC1104" s="3" t="s">
        <v>45</v>
      </c>
      <c r="AD1104" s="3" t="s">
        <v>45</v>
      </c>
      <c r="AE1104" s="3" t="s">
        <v>45</v>
      </c>
      <c r="AF1104" s="3" t="s">
        <v>45</v>
      </c>
      <c r="AG1104" s="3" t="s">
        <v>45</v>
      </c>
      <c r="AH1104" s="3" t="s">
        <v>9906</v>
      </c>
      <c r="AI1104" s="5" t="s">
        <v>9907</v>
      </c>
      <c r="AJ1104" s="3" t="s">
        <v>45</v>
      </c>
      <c r="AK1104" s="3" t="s">
        <v>45</v>
      </c>
      <c r="AL1104" s="3" t="s">
        <v>45</v>
      </c>
      <c r="AM1104" s="3" t="s">
        <v>45</v>
      </c>
      <c r="AN1104" s="3" t="s">
        <v>45</v>
      </c>
      <c r="AO1104" s="3" t="s">
        <v>45</v>
      </c>
      <c r="AP1104" s="3" t="s">
        <v>45</v>
      </c>
      <c r="AQ1104" s="4" t="s">
        <v>6913</v>
      </c>
      <c r="AR1104" s="4" t="s">
        <v>9908</v>
      </c>
    </row>
    <row r="1105">
      <c r="A1105" s="3" t="s">
        <v>9909</v>
      </c>
      <c r="B1105" s="3" t="s">
        <v>9910</v>
      </c>
      <c r="C1105" s="3" t="s">
        <v>45</v>
      </c>
      <c r="D1105" s="3" t="s">
        <v>9900</v>
      </c>
      <c r="E1105" s="4" t="s">
        <v>9911</v>
      </c>
      <c r="F1105" s="3" t="s">
        <v>9912</v>
      </c>
      <c r="G1105" s="4" t="s">
        <v>9913</v>
      </c>
      <c r="H1105" s="4" t="s">
        <v>9914</v>
      </c>
      <c r="I1105" s="3" t="s">
        <v>49</v>
      </c>
      <c r="J1105" s="3" t="s">
        <v>50</v>
      </c>
      <c r="K1105" s="3" t="s">
        <v>45</v>
      </c>
      <c r="L1105" s="3" t="s">
        <v>45</v>
      </c>
      <c r="M1105" s="3" t="s">
        <v>45</v>
      </c>
      <c r="N1105" s="3" t="s">
        <v>45</v>
      </c>
      <c r="O1105" s="3" t="s">
        <v>74</v>
      </c>
      <c r="P1105" s="3" t="s">
        <v>45</v>
      </c>
      <c r="Q1105" s="3" t="s">
        <v>45</v>
      </c>
      <c r="R1105" s="3" t="s">
        <v>45</v>
      </c>
      <c r="S1105" s="3" t="s">
        <v>45</v>
      </c>
      <c r="T1105" s="3" t="s">
        <v>45</v>
      </c>
      <c r="U1105" s="3" t="s">
        <v>45</v>
      </c>
      <c r="V1105" s="4" t="s">
        <v>9915</v>
      </c>
      <c r="W1105" s="4" t="s">
        <v>9384</v>
      </c>
      <c r="X1105" s="3" t="s">
        <v>45</v>
      </c>
      <c r="Y1105" s="3" t="s">
        <v>45</v>
      </c>
      <c r="Z1105" s="3" t="s">
        <v>74</v>
      </c>
      <c r="AA1105" s="3" t="s">
        <v>45</v>
      </c>
      <c r="AB1105" s="3" t="s">
        <v>45</v>
      </c>
      <c r="AC1105" s="3" t="s">
        <v>45</v>
      </c>
      <c r="AD1105" s="3" t="s">
        <v>45</v>
      </c>
      <c r="AE1105" s="3" t="s">
        <v>45</v>
      </c>
      <c r="AF1105" s="3" t="s">
        <v>45</v>
      </c>
      <c r="AG1105" s="3" t="s">
        <v>9916</v>
      </c>
      <c r="AH1105" s="3" t="s">
        <v>9906</v>
      </c>
      <c r="AI1105" s="5" t="s">
        <v>9917</v>
      </c>
      <c r="AJ1105" s="3" t="s">
        <v>45</v>
      </c>
      <c r="AK1105" s="3" t="s">
        <v>45</v>
      </c>
      <c r="AL1105" s="3" t="s">
        <v>45</v>
      </c>
      <c r="AM1105" s="3" t="s">
        <v>45</v>
      </c>
      <c r="AN1105" s="3" t="s">
        <v>45</v>
      </c>
      <c r="AO1105" s="3" t="s">
        <v>45</v>
      </c>
      <c r="AP1105" s="3" t="s">
        <v>45</v>
      </c>
      <c r="AQ1105" s="4" t="s">
        <v>8474</v>
      </c>
      <c r="AR1105" s="4" t="s">
        <v>9908</v>
      </c>
    </row>
    <row r="1106">
      <c r="A1106" s="3" t="s">
        <v>9918</v>
      </c>
      <c r="B1106" s="3" t="s">
        <v>9919</v>
      </c>
      <c r="C1106" s="3" t="s">
        <v>45</v>
      </c>
      <c r="D1106" s="3" t="s">
        <v>9900</v>
      </c>
      <c r="E1106" s="4" t="s">
        <v>9901</v>
      </c>
      <c r="F1106" s="3" t="s">
        <v>9902</v>
      </c>
      <c r="G1106" s="4" t="s">
        <v>9920</v>
      </c>
      <c r="H1106" s="4" t="s">
        <v>9921</v>
      </c>
      <c r="I1106" s="3" t="s">
        <v>49</v>
      </c>
      <c r="J1106" s="3" t="s">
        <v>50</v>
      </c>
      <c r="K1106" s="3" t="s">
        <v>45</v>
      </c>
      <c r="L1106" s="3" t="s">
        <v>45</v>
      </c>
      <c r="M1106" s="3" t="s">
        <v>45</v>
      </c>
      <c r="N1106" s="3" t="s">
        <v>45</v>
      </c>
      <c r="O1106" s="3" t="s">
        <v>74</v>
      </c>
      <c r="P1106" s="3" t="s">
        <v>45</v>
      </c>
      <c r="Q1106" s="3" t="s">
        <v>45</v>
      </c>
      <c r="R1106" s="3" t="s">
        <v>45</v>
      </c>
      <c r="S1106" s="3" t="s">
        <v>45</v>
      </c>
      <c r="T1106" s="3" t="s">
        <v>45</v>
      </c>
      <c r="U1106" s="3" t="s">
        <v>45</v>
      </c>
      <c r="V1106" s="4" t="s">
        <v>9922</v>
      </c>
      <c r="W1106" s="4" t="s">
        <v>9923</v>
      </c>
      <c r="X1106" s="3" t="s">
        <v>45</v>
      </c>
      <c r="Y1106" s="3" t="s">
        <v>45</v>
      </c>
      <c r="Z1106" s="3" t="s">
        <v>74</v>
      </c>
      <c r="AA1106" s="3" t="s">
        <v>45</v>
      </c>
      <c r="AB1106" s="3" t="s">
        <v>45</v>
      </c>
      <c r="AC1106" s="3" t="s">
        <v>45</v>
      </c>
      <c r="AD1106" s="3" t="s">
        <v>45</v>
      </c>
      <c r="AE1106" s="3" t="s">
        <v>45</v>
      </c>
      <c r="AF1106" s="3" t="s">
        <v>45</v>
      </c>
      <c r="AG1106" s="3" t="s">
        <v>45</v>
      </c>
      <c r="AH1106" s="3" t="s">
        <v>9906</v>
      </c>
      <c r="AI1106" s="5" t="s">
        <v>9924</v>
      </c>
      <c r="AJ1106" s="3" t="s">
        <v>45</v>
      </c>
      <c r="AK1106" s="3" t="s">
        <v>45</v>
      </c>
      <c r="AL1106" s="3" t="s">
        <v>45</v>
      </c>
      <c r="AM1106" s="3" t="s">
        <v>45</v>
      </c>
      <c r="AN1106" s="3" t="s">
        <v>45</v>
      </c>
      <c r="AO1106" s="3" t="s">
        <v>45</v>
      </c>
      <c r="AP1106" s="3" t="s">
        <v>45</v>
      </c>
      <c r="AQ1106" s="4" t="s">
        <v>8474</v>
      </c>
      <c r="AR1106" s="4" t="s">
        <v>9908</v>
      </c>
    </row>
    <row r="1107">
      <c r="A1107" s="3" t="s">
        <v>9925</v>
      </c>
      <c r="B1107" s="3" t="s">
        <v>9925</v>
      </c>
      <c r="C1107" s="3" t="s">
        <v>9926</v>
      </c>
      <c r="D1107" s="3" t="s">
        <v>9900</v>
      </c>
      <c r="E1107" s="4" t="s">
        <v>9927</v>
      </c>
      <c r="F1107" s="3" t="s">
        <v>9928</v>
      </c>
      <c r="G1107" s="4" t="s">
        <v>9929</v>
      </c>
      <c r="H1107" s="4" t="s">
        <v>9930</v>
      </c>
      <c r="I1107" s="3" t="s">
        <v>85</v>
      </c>
      <c r="J1107" s="3" t="s">
        <v>126</v>
      </c>
      <c r="K1107" s="3" t="s">
        <v>45</v>
      </c>
      <c r="L1107" s="3" t="s">
        <v>479</v>
      </c>
      <c r="M1107" s="3" t="s">
        <v>45</v>
      </c>
      <c r="N1107" s="3" t="s">
        <v>45</v>
      </c>
      <c r="O1107" s="3" t="s">
        <v>74</v>
      </c>
      <c r="P1107" s="3" t="s">
        <v>45</v>
      </c>
      <c r="Q1107" s="3" t="s">
        <v>45</v>
      </c>
      <c r="R1107" s="3" t="s">
        <v>45</v>
      </c>
      <c r="S1107" s="3" t="s">
        <v>45</v>
      </c>
      <c r="T1107" s="3" t="s">
        <v>45</v>
      </c>
      <c r="U1107" s="3" t="s">
        <v>45</v>
      </c>
      <c r="V1107" s="4" t="s">
        <v>9931</v>
      </c>
      <c r="W1107" s="4" t="s">
        <v>1951</v>
      </c>
      <c r="X1107" s="3" t="s">
        <v>45</v>
      </c>
      <c r="Y1107" s="3" t="s">
        <v>45</v>
      </c>
      <c r="Z1107" s="3" t="s">
        <v>74</v>
      </c>
      <c r="AA1107" s="3" t="s">
        <v>45</v>
      </c>
      <c r="AB1107" s="3" t="s">
        <v>45</v>
      </c>
      <c r="AC1107" s="3" t="s">
        <v>45</v>
      </c>
      <c r="AD1107" s="3" t="s">
        <v>45</v>
      </c>
      <c r="AE1107" s="3" t="s">
        <v>45</v>
      </c>
      <c r="AF1107" s="3" t="s">
        <v>45</v>
      </c>
      <c r="AG1107" s="3" t="s">
        <v>9932</v>
      </c>
      <c r="AH1107" s="3" t="s">
        <v>9906</v>
      </c>
      <c r="AI1107" s="3" t="s">
        <v>45</v>
      </c>
      <c r="AJ1107" s="5" t="s">
        <v>9933</v>
      </c>
      <c r="AK1107" s="3" t="s">
        <v>45</v>
      </c>
      <c r="AL1107" s="3" t="s">
        <v>45</v>
      </c>
      <c r="AM1107" s="3" t="s">
        <v>45</v>
      </c>
      <c r="AN1107" s="3" t="s">
        <v>45</v>
      </c>
      <c r="AO1107" s="3" t="s">
        <v>45</v>
      </c>
      <c r="AP1107" s="3" t="s">
        <v>45</v>
      </c>
      <c r="AQ1107" s="4" t="s">
        <v>9934</v>
      </c>
      <c r="AR1107" s="4" t="s">
        <v>9908</v>
      </c>
    </row>
    <row r="1108">
      <c r="A1108" s="3" t="s">
        <v>9935</v>
      </c>
      <c r="B1108" s="3" t="s">
        <v>9936</v>
      </c>
      <c r="C1108" s="3" t="s">
        <v>9937</v>
      </c>
      <c r="D1108" s="3" t="s">
        <v>9900</v>
      </c>
      <c r="E1108" s="4" t="s">
        <v>9927</v>
      </c>
      <c r="F1108" s="3" t="s">
        <v>9928</v>
      </c>
      <c r="G1108" s="4" t="s">
        <v>9938</v>
      </c>
      <c r="H1108" s="4" t="s">
        <v>9939</v>
      </c>
      <c r="I1108" s="3" t="s">
        <v>49</v>
      </c>
      <c r="J1108" s="3" t="s">
        <v>126</v>
      </c>
      <c r="K1108" s="3" t="s">
        <v>45</v>
      </c>
      <c r="L1108" s="3" t="s">
        <v>45</v>
      </c>
      <c r="M1108" s="3" t="s">
        <v>45</v>
      </c>
      <c r="N1108" s="3" t="s">
        <v>45</v>
      </c>
      <c r="O1108" s="3" t="s">
        <v>74</v>
      </c>
      <c r="P1108" s="3" t="s">
        <v>45</v>
      </c>
      <c r="Q1108" s="3" t="s">
        <v>45</v>
      </c>
      <c r="R1108" s="3" t="s">
        <v>45</v>
      </c>
      <c r="S1108" s="3" t="s">
        <v>45</v>
      </c>
      <c r="T1108" s="3" t="s">
        <v>45</v>
      </c>
      <c r="U1108" s="3" t="s">
        <v>45</v>
      </c>
      <c r="V1108" s="4" t="s">
        <v>7582</v>
      </c>
      <c r="W1108" s="4" t="s">
        <v>981</v>
      </c>
      <c r="X1108" s="3" t="s">
        <v>45</v>
      </c>
      <c r="Y1108" s="3" t="s">
        <v>45</v>
      </c>
      <c r="Z1108" s="3" t="s">
        <v>74</v>
      </c>
      <c r="AA1108" s="3" t="s">
        <v>45</v>
      </c>
      <c r="AB1108" s="3" t="s">
        <v>45</v>
      </c>
      <c r="AC1108" s="3" t="s">
        <v>45</v>
      </c>
      <c r="AD1108" s="3" t="s">
        <v>45</v>
      </c>
      <c r="AE1108" s="3" t="s">
        <v>45</v>
      </c>
      <c r="AF1108" s="3" t="s">
        <v>45</v>
      </c>
      <c r="AG1108" s="3" t="s">
        <v>45</v>
      </c>
      <c r="AH1108" s="3" t="s">
        <v>9906</v>
      </c>
      <c r="AI1108" s="5" t="s">
        <v>9940</v>
      </c>
      <c r="AJ1108" s="5" t="s">
        <v>9941</v>
      </c>
      <c r="AK1108" s="3" t="s">
        <v>45</v>
      </c>
      <c r="AL1108" s="3" t="s">
        <v>45</v>
      </c>
      <c r="AM1108" s="3" t="s">
        <v>45</v>
      </c>
      <c r="AN1108" s="3" t="s">
        <v>45</v>
      </c>
      <c r="AO1108" s="3" t="s">
        <v>45</v>
      </c>
      <c r="AP1108" s="3" t="s">
        <v>45</v>
      </c>
      <c r="AQ1108" s="4" t="s">
        <v>807</v>
      </c>
      <c r="AR1108" s="4" t="s">
        <v>9908</v>
      </c>
    </row>
    <row r="1109">
      <c r="A1109" s="3" t="s">
        <v>9942</v>
      </c>
      <c r="B1109" s="3" t="s">
        <v>9943</v>
      </c>
      <c r="C1109" s="3" t="s">
        <v>9937</v>
      </c>
      <c r="D1109" s="3" t="s">
        <v>9900</v>
      </c>
      <c r="E1109" s="4" t="s">
        <v>9927</v>
      </c>
      <c r="F1109" s="3" t="s">
        <v>9928</v>
      </c>
      <c r="G1109" s="4" t="s">
        <v>9944</v>
      </c>
      <c r="H1109" s="4" t="s">
        <v>9945</v>
      </c>
      <c r="I1109" s="3" t="s">
        <v>85</v>
      </c>
      <c r="J1109" s="3" t="s">
        <v>126</v>
      </c>
      <c r="K1109" s="3" t="s">
        <v>45</v>
      </c>
      <c r="L1109" s="3" t="s">
        <v>9946</v>
      </c>
      <c r="M1109" s="3" t="s">
        <v>45</v>
      </c>
      <c r="N1109" s="3" t="s">
        <v>45</v>
      </c>
      <c r="O1109" s="3" t="s">
        <v>74</v>
      </c>
      <c r="P1109" s="3" t="s">
        <v>45</v>
      </c>
      <c r="Q1109" s="3" t="s">
        <v>45</v>
      </c>
      <c r="R1109" s="3" t="s">
        <v>45</v>
      </c>
      <c r="S1109" s="3" t="s">
        <v>45</v>
      </c>
      <c r="T1109" s="3" t="s">
        <v>45</v>
      </c>
      <c r="U1109" s="3" t="s">
        <v>45</v>
      </c>
      <c r="V1109" s="4" t="s">
        <v>9947</v>
      </c>
      <c r="W1109" s="4" t="s">
        <v>914</v>
      </c>
      <c r="X1109" s="3" t="s">
        <v>45</v>
      </c>
      <c r="Y1109" s="3" t="s">
        <v>45</v>
      </c>
      <c r="Z1109" s="3" t="s">
        <v>74</v>
      </c>
      <c r="AA1109" s="3" t="s">
        <v>45</v>
      </c>
      <c r="AB1109" s="3" t="s">
        <v>45</v>
      </c>
      <c r="AC1109" s="3" t="s">
        <v>45</v>
      </c>
      <c r="AD1109" s="3" t="s">
        <v>45</v>
      </c>
      <c r="AE1109" s="3" t="s">
        <v>45</v>
      </c>
      <c r="AF1109" s="3" t="s">
        <v>45</v>
      </c>
      <c r="AG1109" s="3" t="s">
        <v>9932</v>
      </c>
      <c r="AH1109" s="3" t="s">
        <v>9906</v>
      </c>
      <c r="AI1109" s="3" t="s">
        <v>45</v>
      </c>
      <c r="AJ1109" s="5" t="s">
        <v>9948</v>
      </c>
      <c r="AK1109" s="3" t="s">
        <v>45</v>
      </c>
      <c r="AL1109" s="3" t="s">
        <v>45</v>
      </c>
      <c r="AM1109" s="3" t="s">
        <v>45</v>
      </c>
      <c r="AN1109" s="3" t="s">
        <v>45</v>
      </c>
      <c r="AO1109" s="3" t="s">
        <v>45</v>
      </c>
      <c r="AP1109" s="3" t="s">
        <v>45</v>
      </c>
      <c r="AQ1109" s="4" t="s">
        <v>9934</v>
      </c>
      <c r="AR1109" s="4" t="s">
        <v>9908</v>
      </c>
    </row>
    <row r="1110">
      <c r="A1110" s="3" t="s">
        <v>9949</v>
      </c>
      <c r="B1110" s="3" t="s">
        <v>9950</v>
      </c>
      <c r="C1110" s="3" t="s">
        <v>9951</v>
      </c>
      <c r="D1110" s="3" t="s">
        <v>9900</v>
      </c>
      <c r="E1110" s="4" t="s">
        <v>9952</v>
      </c>
      <c r="F1110" s="3" t="s">
        <v>2850</v>
      </c>
      <c r="G1110" s="4" t="s">
        <v>9953</v>
      </c>
      <c r="H1110" s="4" t="s">
        <v>9954</v>
      </c>
      <c r="I1110" s="3" t="s">
        <v>49</v>
      </c>
      <c r="J1110" s="3" t="s">
        <v>126</v>
      </c>
      <c r="K1110" s="3" t="s">
        <v>45</v>
      </c>
      <c r="L1110" s="3" t="s">
        <v>45</v>
      </c>
      <c r="M1110" s="3" t="s">
        <v>45</v>
      </c>
      <c r="N1110" s="3" t="s">
        <v>45</v>
      </c>
      <c r="O1110" s="3" t="s">
        <v>74</v>
      </c>
      <c r="P1110" s="3" t="s">
        <v>45</v>
      </c>
      <c r="Q1110" s="3" t="s">
        <v>45</v>
      </c>
      <c r="R1110" s="3" t="s">
        <v>45</v>
      </c>
      <c r="S1110" s="3" t="s">
        <v>45</v>
      </c>
      <c r="T1110" s="3" t="s">
        <v>45</v>
      </c>
      <c r="U1110" s="3" t="s">
        <v>45</v>
      </c>
      <c r="V1110" s="4" t="s">
        <v>9955</v>
      </c>
      <c r="W1110" s="3" t="s">
        <v>45</v>
      </c>
      <c r="X1110" s="3" t="s">
        <v>45</v>
      </c>
      <c r="Y1110" s="3" t="s">
        <v>45</v>
      </c>
      <c r="Z1110" s="3" t="s">
        <v>74</v>
      </c>
      <c r="AA1110" s="3" t="s">
        <v>45</v>
      </c>
      <c r="AB1110" s="3" t="s">
        <v>45</v>
      </c>
      <c r="AC1110" s="3" t="s">
        <v>45</v>
      </c>
      <c r="AD1110" s="3" t="s">
        <v>45</v>
      </c>
      <c r="AE1110" s="3" t="s">
        <v>45</v>
      </c>
      <c r="AF1110" s="3" t="s">
        <v>45</v>
      </c>
      <c r="AG1110" s="3" t="s">
        <v>45</v>
      </c>
      <c r="AH1110" s="3" t="s">
        <v>9906</v>
      </c>
      <c r="AI1110" s="5" t="s">
        <v>9956</v>
      </c>
      <c r="AJ1110" s="5" t="s">
        <v>9957</v>
      </c>
      <c r="AK1110" s="3" t="s">
        <v>45</v>
      </c>
      <c r="AL1110" s="3" t="s">
        <v>45</v>
      </c>
      <c r="AM1110" s="3" t="s">
        <v>45</v>
      </c>
      <c r="AN1110" s="3" t="s">
        <v>45</v>
      </c>
      <c r="AO1110" s="3" t="s">
        <v>45</v>
      </c>
      <c r="AP1110" s="3" t="s">
        <v>45</v>
      </c>
      <c r="AQ1110" s="4" t="s">
        <v>9958</v>
      </c>
      <c r="AR1110" s="4" t="s">
        <v>9908</v>
      </c>
    </row>
    <row r="1111">
      <c r="A1111" s="3" t="s">
        <v>9959</v>
      </c>
      <c r="B1111" s="3" t="s">
        <v>9960</v>
      </c>
      <c r="C1111" s="3" t="s">
        <v>9961</v>
      </c>
      <c r="D1111" s="3" t="s">
        <v>9900</v>
      </c>
      <c r="E1111" s="4" t="s">
        <v>9962</v>
      </c>
      <c r="F1111" s="3" t="s">
        <v>9961</v>
      </c>
      <c r="G1111" s="4" t="s">
        <v>9963</v>
      </c>
      <c r="H1111" s="4" t="s">
        <v>9964</v>
      </c>
      <c r="I1111" s="3" t="s">
        <v>49</v>
      </c>
      <c r="J1111" s="3" t="s">
        <v>126</v>
      </c>
      <c r="K1111" s="3" t="s">
        <v>45</v>
      </c>
      <c r="L1111" s="3" t="s">
        <v>314</v>
      </c>
      <c r="M1111" s="3" t="s">
        <v>45</v>
      </c>
      <c r="N1111" s="4" t="s">
        <v>156</v>
      </c>
      <c r="O1111" s="3" t="s">
        <v>88</v>
      </c>
      <c r="P1111" s="3" t="s">
        <v>45</v>
      </c>
      <c r="Q1111" s="3" t="s">
        <v>45</v>
      </c>
      <c r="R1111" s="3" t="s">
        <v>45</v>
      </c>
      <c r="S1111" s="3" t="s">
        <v>45</v>
      </c>
      <c r="T1111" s="3" t="s">
        <v>45</v>
      </c>
      <c r="U1111" s="3" t="s">
        <v>45</v>
      </c>
      <c r="V1111" s="4" t="s">
        <v>1650</v>
      </c>
      <c r="W1111" s="4" t="s">
        <v>9965</v>
      </c>
      <c r="X1111" s="3" t="s">
        <v>45</v>
      </c>
      <c r="Y1111" s="3" t="s">
        <v>45</v>
      </c>
      <c r="Z1111" s="3" t="s">
        <v>74</v>
      </c>
      <c r="AA1111" s="3" t="s">
        <v>45</v>
      </c>
      <c r="AB1111" s="3" t="s">
        <v>45</v>
      </c>
      <c r="AC1111" s="3" t="s">
        <v>45</v>
      </c>
      <c r="AD1111" s="3" t="s">
        <v>45</v>
      </c>
      <c r="AE1111" s="3" t="s">
        <v>45</v>
      </c>
      <c r="AF1111" s="3" t="s">
        <v>45</v>
      </c>
      <c r="AG1111" s="5" t="s">
        <v>9966</v>
      </c>
      <c r="AH1111" s="3" t="s">
        <v>9906</v>
      </c>
      <c r="AI1111" s="5" t="s">
        <v>9967</v>
      </c>
      <c r="AJ1111" s="5" t="s">
        <v>9968</v>
      </c>
      <c r="AK1111" s="3" t="s">
        <v>45</v>
      </c>
      <c r="AL1111" s="3" t="s">
        <v>45</v>
      </c>
      <c r="AM1111" s="3" t="s">
        <v>45</v>
      </c>
      <c r="AN1111" s="3" t="s">
        <v>45</v>
      </c>
      <c r="AO1111" s="3" t="s">
        <v>45</v>
      </c>
      <c r="AP1111" s="3" t="s">
        <v>45</v>
      </c>
      <c r="AQ1111" s="4" t="s">
        <v>9969</v>
      </c>
      <c r="AR1111" s="4" t="s">
        <v>9908</v>
      </c>
    </row>
    <row r="1112">
      <c r="A1112" s="3" t="s">
        <v>9970</v>
      </c>
      <c r="B1112" s="3" t="s">
        <v>9970</v>
      </c>
      <c r="C1112" s="3" t="s">
        <v>9971</v>
      </c>
      <c r="D1112" s="3" t="s">
        <v>9900</v>
      </c>
      <c r="E1112" s="4" t="s">
        <v>9972</v>
      </c>
      <c r="F1112" s="3" t="s">
        <v>9928</v>
      </c>
      <c r="G1112" s="4" t="s">
        <v>9973</v>
      </c>
      <c r="H1112" s="4" t="s">
        <v>9974</v>
      </c>
      <c r="I1112" s="3" t="s">
        <v>49</v>
      </c>
      <c r="J1112" s="3" t="s">
        <v>126</v>
      </c>
      <c r="K1112" s="3" t="s">
        <v>45</v>
      </c>
      <c r="L1112" s="3" t="s">
        <v>9975</v>
      </c>
      <c r="M1112" s="3" t="s">
        <v>45</v>
      </c>
      <c r="N1112" s="3" t="s">
        <v>45</v>
      </c>
      <c r="O1112" s="3" t="s">
        <v>74</v>
      </c>
      <c r="P1112" s="3" t="s">
        <v>45</v>
      </c>
      <c r="Q1112" s="3" t="s">
        <v>45</v>
      </c>
      <c r="R1112" s="3" t="s">
        <v>45</v>
      </c>
      <c r="S1112" s="3" t="s">
        <v>45</v>
      </c>
      <c r="T1112" s="3" t="s">
        <v>45</v>
      </c>
      <c r="U1112" s="3" t="s">
        <v>45</v>
      </c>
      <c r="V1112" s="4" t="s">
        <v>4074</v>
      </c>
      <c r="W1112" s="4" t="s">
        <v>2372</v>
      </c>
      <c r="X1112" s="3" t="s">
        <v>45</v>
      </c>
      <c r="Y1112" s="3" t="s">
        <v>45</v>
      </c>
      <c r="Z1112" s="3" t="s">
        <v>74</v>
      </c>
      <c r="AA1112" s="3" t="s">
        <v>45</v>
      </c>
      <c r="AB1112" s="3" t="s">
        <v>45</v>
      </c>
      <c r="AC1112" s="3" t="s">
        <v>45</v>
      </c>
      <c r="AD1112" s="3" t="s">
        <v>45</v>
      </c>
      <c r="AE1112" s="3" t="s">
        <v>45</v>
      </c>
      <c r="AF1112" s="3" t="s">
        <v>45</v>
      </c>
      <c r="AG1112" s="3" t="s">
        <v>45</v>
      </c>
      <c r="AH1112" s="3" t="s">
        <v>9906</v>
      </c>
      <c r="AI1112" s="5" t="s">
        <v>9976</v>
      </c>
      <c r="AJ1112" s="5" t="s">
        <v>9977</v>
      </c>
      <c r="AK1112" s="3" t="s">
        <v>45</v>
      </c>
      <c r="AL1112" s="3" t="s">
        <v>45</v>
      </c>
      <c r="AM1112" s="3" t="s">
        <v>45</v>
      </c>
      <c r="AN1112" s="3" t="s">
        <v>45</v>
      </c>
      <c r="AO1112" s="3" t="s">
        <v>45</v>
      </c>
      <c r="AP1112" s="3" t="s">
        <v>45</v>
      </c>
      <c r="AQ1112" s="4" t="s">
        <v>9934</v>
      </c>
      <c r="AR1112" s="4" t="s">
        <v>9908</v>
      </c>
    </row>
    <row r="1113">
      <c r="A1113" s="3" t="s">
        <v>9978</v>
      </c>
      <c r="B1113" s="3" t="s">
        <v>9978</v>
      </c>
      <c r="C1113" s="3" t="s">
        <v>9971</v>
      </c>
      <c r="D1113" s="3" t="s">
        <v>9900</v>
      </c>
      <c r="E1113" s="4" t="s">
        <v>9972</v>
      </c>
      <c r="F1113" s="3" t="s">
        <v>9928</v>
      </c>
      <c r="G1113" s="4" t="s">
        <v>9979</v>
      </c>
      <c r="H1113" s="4" t="s">
        <v>9980</v>
      </c>
      <c r="I1113" s="3" t="s">
        <v>85</v>
      </c>
      <c r="J1113" s="3" t="s">
        <v>126</v>
      </c>
      <c r="K1113" s="3" t="s">
        <v>45</v>
      </c>
      <c r="L1113" s="3" t="s">
        <v>9981</v>
      </c>
      <c r="M1113" s="3" t="s">
        <v>45</v>
      </c>
      <c r="N1113" s="3" t="s">
        <v>45</v>
      </c>
      <c r="O1113" s="3" t="s">
        <v>74</v>
      </c>
      <c r="P1113" s="3" t="s">
        <v>45</v>
      </c>
      <c r="Q1113" s="3" t="s">
        <v>45</v>
      </c>
      <c r="R1113" s="3" t="s">
        <v>45</v>
      </c>
      <c r="S1113" s="3" t="s">
        <v>45</v>
      </c>
      <c r="T1113" s="3" t="s">
        <v>45</v>
      </c>
      <c r="U1113" s="3" t="s">
        <v>45</v>
      </c>
      <c r="V1113" s="4" t="s">
        <v>9982</v>
      </c>
      <c r="W1113" s="4" t="s">
        <v>922</v>
      </c>
      <c r="X1113" s="3" t="s">
        <v>45</v>
      </c>
      <c r="Y1113" s="3" t="s">
        <v>45</v>
      </c>
      <c r="Z1113" s="3" t="s">
        <v>74</v>
      </c>
      <c r="AA1113" s="3" t="s">
        <v>45</v>
      </c>
      <c r="AB1113" s="3" t="s">
        <v>45</v>
      </c>
      <c r="AC1113" s="3" t="s">
        <v>45</v>
      </c>
      <c r="AD1113" s="3" t="s">
        <v>45</v>
      </c>
      <c r="AE1113" s="3" t="s">
        <v>45</v>
      </c>
      <c r="AF1113" s="3" t="s">
        <v>45</v>
      </c>
      <c r="AG1113" s="3" t="s">
        <v>9983</v>
      </c>
      <c r="AH1113" s="3" t="s">
        <v>9906</v>
      </c>
      <c r="AI1113" s="3" t="s">
        <v>45</v>
      </c>
      <c r="AJ1113" s="5" t="s">
        <v>9984</v>
      </c>
      <c r="AK1113" s="5" t="s">
        <v>9985</v>
      </c>
      <c r="AL1113" s="3" t="s">
        <v>45</v>
      </c>
      <c r="AM1113" s="3" t="s">
        <v>45</v>
      </c>
      <c r="AN1113" s="3" t="s">
        <v>45</v>
      </c>
      <c r="AO1113" s="3" t="s">
        <v>45</v>
      </c>
      <c r="AP1113" s="3" t="s">
        <v>45</v>
      </c>
      <c r="AQ1113" s="4" t="s">
        <v>9934</v>
      </c>
      <c r="AR1113" s="4" t="s">
        <v>9908</v>
      </c>
    </row>
    <row r="1114">
      <c r="A1114" s="3" t="s">
        <v>9986</v>
      </c>
      <c r="B1114" s="3" t="s">
        <v>9987</v>
      </c>
      <c r="C1114" s="3" t="s">
        <v>9971</v>
      </c>
      <c r="D1114" s="3" t="s">
        <v>9900</v>
      </c>
      <c r="E1114" s="4" t="s">
        <v>9972</v>
      </c>
      <c r="F1114" s="3" t="s">
        <v>9928</v>
      </c>
      <c r="G1114" s="4" t="s">
        <v>9988</v>
      </c>
      <c r="H1114" s="4" t="s">
        <v>9989</v>
      </c>
      <c r="I1114" s="3" t="s">
        <v>49</v>
      </c>
      <c r="J1114" s="3" t="s">
        <v>50</v>
      </c>
      <c r="K1114" s="3" t="s">
        <v>45</v>
      </c>
      <c r="L1114" s="3" t="s">
        <v>855</v>
      </c>
      <c r="M1114" s="3" t="s">
        <v>45</v>
      </c>
      <c r="N1114" s="3" t="s">
        <v>45</v>
      </c>
      <c r="O1114" s="3" t="s">
        <v>74</v>
      </c>
      <c r="P1114" s="3" t="s">
        <v>45</v>
      </c>
      <c r="Q1114" s="3" t="s">
        <v>45</v>
      </c>
      <c r="R1114" s="3" t="s">
        <v>45</v>
      </c>
      <c r="S1114" s="3" t="s">
        <v>45</v>
      </c>
      <c r="T1114" s="3" t="s">
        <v>45</v>
      </c>
      <c r="U1114" s="3" t="s">
        <v>45</v>
      </c>
      <c r="V1114" s="4" t="s">
        <v>9990</v>
      </c>
      <c r="W1114" s="4" t="s">
        <v>789</v>
      </c>
      <c r="X1114" s="3" t="s">
        <v>45</v>
      </c>
      <c r="Y1114" s="3" t="s">
        <v>45</v>
      </c>
      <c r="Z1114" s="3" t="s">
        <v>74</v>
      </c>
      <c r="AA1114" s="3" t="s">
        <v>45</v>
      </c>
      <c r="AB1114" s="3" t="s">
        <v>45</v>
      </c>
      <c r="AC1114" s="3" t="s">
        <v>45</v>
      </c>
      <c r="AD1114" s="3" t="s">
        <v>45</v>
      </c>
      <c r="AE1114" s="3" t="s">
        <v>45</v>
      </c>
      <c r="AF1114" s="3" t="s">
        <v>45</v>
      </c>
      <c r="AG1114" s="3" t="s">
        <v>9916</v>
      </c>
      <c r="AH1114" s="3" t="s">
        <v>9906</v>
      </c>
      <c r="AI1114" s="5" t="s">
        <v>9991</v>
      </c>
      <c r="AJ1114" s="5" t="s">
        <v>9992</v>
      </c>
      <c r="AK1114" s="3" t="s">
        <v>45</v>
      </c>
      <c r="AL1114" s="3" t="s">
        <v>45</v>
      </c>
      <c r="AM1114" s="3" t="s">
        <v>45</v>
      </c>
      <c r="AN1114" s="3" t="s">
        <v>45</v>
      </c>
      <c r="AO1114" s="3" t="s">
        <v>45</v>
      </c>
      <c r="AP1114" s="3" t="s">
        <v>45</v>
      </c>
      <c r="AQ1114" s="4" t="s">
        <v>9934</v>
      </c>
      <c r="AR1114" s="4" t="s">
        <v>9908</v>
      </c>
    </row>
    <row r="1115">
      <c r="A1115" s="3" t="s">
        <v>9993</v>
      </c>
      <c r="B1115" s="3" t="s">
        <v>9994</v>
      </c>
      <c r="C1115" s="3" t="s">
        <v>9971</v>
      </c>
      <c r="D1115" s="3" t="s">
        <v>9900</v>
      </c>
      <c r="E1115" s="4" t="s">
        <v>9972</v>
      </c>
      <c r="F1115" s="3" t="s">
        <v>9928</v>
      </c>
      <c r="G1115" s="4" t="s">
        <v>9995</v>
      </c>
      <c r="H1115" s="4" t="s">
        <v>9996</v>
      </c>
      <c r="I1115" s="3" t="s">
        <v>408</v>
      </c>
      <c r="J1115" s="3" t="s">
        <v>126</v>
      </c>
      <c r="K1115" s="3" t="s">
        <v>45</v>
      </c>
      <c r="L1115" s="3" t="s">
        <v>9997</v>
      </c>
      <c r="M1115" s="3" t="s">
        <v>45</v>
      </c>
      <c r="N1115" s="3" t="s">
        <v>45</v>
      </c>
      <c r="O1115" s="3" t="s">
        <v>74</v>
      </c>
      <c r="P1115" s="3" t="s">
        <v>45</v>
      </c>
      <c r="Q1115" s="3" t="s">
        <v>45</v>
      </c>
      <c r="R1115" s="3" t="s">
        <v>45</v>
      </c>
      <c r="S1115" s="3" t="s">
        <v>45</v>
      </c>
      <c r="T1115" s="3" t="s">
        <v>45</v>
      </c>
      <c r="U1115" s="3" t="s">
        <v>45</v>
      </c>
      <c r="V1115" s="4" t="s">
        <v>9998</v>
      </c>
      <c r="W1115" s="3" t="s">
        <v>45</v>
      </c>
      <c r="X1115" s="3" t="s">
        <v>45</v>
      </c>
      <c r="Y1115" s="3" t="s">
        <v>45</v>
      </c>
      <c r="Z1115" s="3" t="s">
        <v>74</v>
      </c>
      <c r="AA1115" s="3" t="s">
        <v>45</v>
      </c>
      <c r="AB1115" s="3" t="s">
        <v>45</v>
      </c>
      <c r="AC1115" s="3" t="s">
        <v>45</v>
      </c>
      <c r="AD1115" s="3" t="s">
        <v>45</v>
      </c>
      <c r="AE1115" s="3" t="s">
        <v>45</v>
      </c>
      <c r="AF1115" s="3" t="s">
        <v>45</v>
      </c>
      <c r="AG1115" s="3" t="s">
        <v>9999</v>
      </c>
      <c r="AH1115" s="3" t="s">
        <v>9906</v>
      </c>
      <c r="AI1115" s="5" t="s">
        <v>10000</v>
      </c>
      <c r="AJ1115" s="5" t="s">
        <v>10001</v>
      </c>
      <c r="AK1115" s="3" t="s">
        <v>45</v>
      </c>
      <c r="AL1115" s="3" t="s">
        <v>45</v>
      </c>
      <c r="AM1115" s="3" t="s">
        <v>45</v>
      </c>
      <c r="AN1115" s="3" t="s">
        <v>45</v>
      </c>
      <c r="AO1115" s="3" t="s">
        <v>45</v>
      </c>
      <c r="AP1115" s="3" t="s">
        <v>45</v>
      </c>
      <c r="AQ1115" s="4" t="s">
        <v>9934</v>
      </c>
      <c r="AR1115" s="4" t="s">
        <v>224</v>
      </c>
    </row>
    <row r="1116">
      <c r="A1116" s="3" t="s">
        <v>10002</v>
      </c>
      <c r="B1116" s="3" t="s">
        <v>10002</v>
      </c>
      <c r="C1116" s="3" t="s">
        <v>9971</v>
      </c>
      <c r="D1116" s="3" t="s">
        <v>9900</v>
      </c>
      <c r="E1116" s="4" t="s">
        <v>9972</v>
      </c>
      <c r="F1116" s="3" t="s">
        <v>9928</v>
      </c>
      <c r="G1116" s="4" t="s">
        <v>10003</v>
      </c>
      <c r="H1116" s="4" t="s">
        <v>10004</v>
      </c>
      <c r="I1116" s="3" t="s">
        <v>85</v>
      </c>
      <c r="J1116" s="3" t="s">
        <v>126</v>
      </c>
      <c r="K1116" s="3" t="s">
        <v>45</v>
      </c>
      <c r="L1116" s="3" t="s">
        <v>9993</v>
      </c>
      <c r="M1116" s="3" t="s">
        <v>45</v>
      </c>
      <c r="N1116" s="3" t="s">
        <v>45</v>
      </c>
      <c r="O1116" s="3" t="s">
        <v>74</v>
      </c>
      <c r="P1116" s="3" t="s">
        <v>45</v>
      </c>
      <c r="Q1116" s="3" t="s">
        <v>45</v>
      </c>
      <c r="R1116" s="3" t="s">
        <v>45</v>
      </c>
      <c r="S1116" s="3" t="s">
        <v>45</v>
      </c>
      <c r="T1116" s="3" t="s">
        <v>45</v>
      </c>
      <c r="U1116" s="3" t="s">
        <v>45</v>
      </c>
      <c r="V1116" s="4" t="s">
        <v>10005</v>
      </c>
      <c r="W1116" s="4" t="s">
        <v>1951</v>
      </c>
      <c r="X1116" s="3" t="s">
        <v>45</v>
      </c>
      <c r="Y1116" s="3" t="s">
        <v>45</v>
      </c>
      <c r="Z1116" s="3" t="s">
        <v>74</v>
      </c>
      <c r="AA1116" s="3" t="s">
        <v>45</v>
      </c>
      <c r="AB1116" s="3" t="s">
        <v>45</v>
      </c>
      <c r="AC1116" s="3" t="s">
        <v>45</v>
      </c>
      <c r="AD1116" s="3" t="s">
        <v>45</v>
      </c>
      <c r="AE1116" s="3" t="s">
        <v>45</v>
      </c>
      <c r="AF1116" s="3" t="s">
        <v>45</v>
      </c>
      <c r="AG1116" s="3" t="s">
        <v>9932</v>
      </c>
      <c r="AH1116" s="3" t="s">
        <v>9906</v>
      </c>
      <c r="AI1116" s="3" t="s">
        <v>45</v>
      </c>
      <c r="AJ1116" s="5" t="s">
        <v>10001</v>
      </c>
      <c r="AK1116" s="5" t="s">
        <v>10006</v>
      </c>
      <c r="AL1116" s="3" t="s">
        <v>45</v>
      </c>
      <c r="AM1116" s="3" t="s">
        <v>45</v>
      </c>
      <c r="AN1116" s="3" t="s">
        <v>45</v>
      </c>
      <c r="AO1116" s="3" t="s">
        <v>45</v>
      </c>
      <c r="AP1116" s="3" t="s">
        <v>45</v>
      </c>
      <c r="AQ1116" s="4" t="s">
        <v>9934</v>
      </c>
      <c r="AR1116" s="4" t="s">
        <v>9908</v>
      </c>
    </row>
    <row r="1117">
      <c r="A1117" s="3" t="s">
        <v>10007</v>
      </c>
      <c r="B1117" s="3" t="s">
        <v>10007</v>
      </c>
      <c r="C1117" s="3" t="s">
        <v>9971</v>
      </c>
      <c r="D1117" s="3" t="s">
        <v>9900</v>
      </c>
      <c r="E1117" s="4" t="s">
        <v>9972</v>
      </c>
      <c r="F1117" s="3" t="s">
        <v>9928</v>
      </c>
      <c r="G1117" s="4" t="s">
        <v>10008</v>
      </c>
      <c r="H1117" s="4" t="s">
        <v>10009</v>
      </c>
      <c r="I1117" s="3" t="s">
        <v>85</v>
      </c>
      <c r="J1117" s="3" t="s">
        <v>126</v>
      </c>
      <c r="K1117" s="3" t="s">
        <v>45</v>
      </c>
      <c r="L1117" s="3" t="s">
        <v>659</v>
      </c>
      <c r="M1117" s="3" t="s">
        <v>45</v>
      </c>
      <c r="N1117" s="3" t="s">
        <v>45</v>
      </c>
      <c r="O1117" s="3" t="s">
        <v>74</v>
      </c>
      <c r="P1117" s="3" t="s">
        <v>45</v>
      </c>
      <c r="Q1117" s="3" t="s">
        <v>45</v>
      </c>
      <c r="R1117" s="3" t="s">
        <v>45</v>
      </c>
      <c r="S1117" s="3" t="s">
        <v>45</v>
      </c>
      <c r="T1117" s="3" t="s">
        <v>45</v>
      </c>
      <c r="U1117" s="3" t="s">
        <v>45</v>
      </c>
      <c r="V1117" s="4" t="s">
        <v>10010</v>
      </c>
      <c r="W1117" s="4" t="s">
        <v>956</v>
      </c>
      <c r="X1117" s="3" t="s">
        <v>45</v>
      </c>
      <c r="Y1117" s="3" t="s">
        <v>45</v>
      </c>
      <c r="Z1117" s="3" t="s">
        <v>74</v>
      </c>
      <c r="AA1117" s="3" t="s">
        <v>45</v>
      </c>
      <c r="AB1117" s="3" t="s">
        <v>45</v>
      </c>
      <c r="AC1117" s="3" t="s">
        <v>45</v>
      </c>
      <c r="AD1117" s="3" t="s">
        <v>45</v>
      </c>
      <c r="AE1117" s="3" t="s">
        <v>45</v>
      </c>
      <c r="AF1117" s="3" t="s">
        <v>45</v>
      </c>
      <c r="AG1117" s="3" t="s">
        <v>9932</v>
      </c>
      <c r="AH1117" s="3" t="s">
        <v>9906</v>
      </c>
      <c r="AI1117" s="3" t="s">
        <v>45</v>
      </c>
      <c r="AJ1117" s="5" t="s">
        <v>10011</v>
      </c>
      <c r="AK1117" s="3" t="s">
        <v>45</v>
      </c>
      <c r="AL1117" s="3" t="s">
        <v>45</v>
      </c>
      <c r="AM1117" s="3" t="s">
        <v>45</v>
      </c>
      <c r="AN1117" s="3" t="s">
        <v>45</v>
      </c>
      <c r="AO1117" s="3" t="s">
        <v>45</v>
      </c>
      <c r="AP1117" s="3" t="s">
        <v>45</v>
      </c>
      <c r="AQ1117" s="4" t="s">
        <v>9934</v>
      </c>
      <c r="AR1117" s="4" t="s">
        <v>9908</v>
      </c>
    </row>
    <row r="1118">
      <c r="A1118" s="3" t="s">
        <v>10012</v>
      </c>
      <c r="B1118" s="3" t="s">
        <v>10012</v>
      </c>
      <c r="C1118" s="3" t="s">
        <v>9971</v>
      </c>
      <c r="D1118" s="3" t="s">
        <v>9900</v>
      </c>
      <c r="E1118" s="4" t="s">
        <v>9972</v>
      </c>
      <c r="F1118" s="3" t="s">
        <v>9928</v>
      </c>
      <c r="G1118" s="4" t="s">
        <v>10013</v>
      </c>
      <c r="H1118" s="4" t="s">
        <v>10014</v>
      </c>
      <c r="I1118" s="3" t="s">
        <v>85</v>
      </c>
      <c r="J1118" s="3" t="s">
        <v>126</v>
      </c>
      <c r="K1118" s="3" t="s">
        <v>45</v>
      </c>
      <c r="L1118" s="3" t="s">
        <v>921</v>
      </c>
      <c r="M1118" s="3" t="s">
        <v>45</v>
      </c>
      <c r="N1118" s="3" t="s">
        <v>45</v>
      </c>
      <c r="O1118" s="3" t="s">
        <v>74</v>
      </c>
      <c r="P1118" s="3" t="s">
        <v>45</v>
      </c>
      <c r="Q1118" s="3" t="s">
        <v>45</v>
      </c>
      <c r="R1118" s="3" t="s">
        <v>45</v>
      </c>
      <c r="S1118" s="3" t="s">
        <v>45</v>
      </c>
      <c r="T1118" s="3" t="s">
        <v>45</v>
      </c>
      <c r="U1118" s="3" t="s">
        <v>45</v>
      </c>
      <c r="V1118" s="4" t="s">
        <v>10015</v>
      </c>
      <c r="W1118" s="4" t="s">
        <v>1872</v>
      </c>
      <c r="X1118" s="3" t="s">
        <v>45</v>
      </c>
      <c r="Y1118" s="3" t="s">
        <v>45</v>
      </c>
      <c r="Z1118" s="3" t="s">
        <v>74</v>
      </c>
      <c r="AA1118" s="3" t="s">
        <v>45</v>
      </c>
      <c r="AB1118" s="3" t="s">
        <v>45</v>
      </c>
      <c r="AC1118" s="3" t="s">
        <v>45</v>
      </c>
      <c r="AD1118" s="3" t="s">
        <v>45</v>
      </c>
      <c r="AE1118" s="3" t="s">
        <v>45</v>
      </c>
      <c r="AF1118" s="3" t="s">
        <v>45</v>
      </c>
      <c r="AG1118" s="3" t="s">
        <v>10016</v>
      </c>
      <c r="AH1118" s="3" t="s">
        <v>9906</v>
      </c>
      <c r="AI1118" s="3" t="s">
        <v>45</v>
      </c>
      <c r="AJ1118" s="5" t="s">
        <v>10017</v>
      </c>
      <c r="AK1118" s="3" t="s">
        <v>45</v>
      </c>
      <c r="AL1118" s="3" t="s">
        <v>45</v>
      </c>
      <c r="AM1118" s="3" t="s">
        <v>45</v>
      </c>
      <c r="AN1118" s="3" t="s">
        <v>45</v>
      </c>
      <c r="AO1118" s="3" t="s">
        <v>45</v>
      </c>
      <c r="AP1118" s="3" t="s">
        <v>45</v>
      </c>
      <c r="AQ1118" s="4" t="s">
        <v>9934</v>
      </c>
      <c r="AR1118" s="4" t="s">
        <v>9908</v>
      </c>
    </row>
    <row r="1119">
      <c r="A1119" s="3" t="s">
        <v>10018</v>
      </c>
      <c r="B1119" s="3" t="s">
        <v>10019</v>
      </c>
      <c r="C1119" s="3" t="s">
        <v>9971</v>
      </c>
      <c r="D1119" s="3" t="s">
        <v>9900</v>
      </c>
      <c r="E1119" s="4" t="s">
        <v>9972</v>
      </c>
      <c r="F1119" s="3" t="s">
        <v>9928</v>
      </c>
      <c r="G1119" s="4" t="s">
        <v>10020</v>
      </c>
      <c r="H1119" s="4" t="s">
        <v>10021</v>
      </c>
      <c r="I1119" s="3" t="s">
        <v>85</v>
      </c>
      <c r="J1119" s="3" t="s">
        <v>126</v>
      </c>
      <c r="K1119" s="3" t="s">
        <v>45</v>
      </c>
      <c r="L1119" s="3" t="s">
        <v>855</v>
      </c>
      <c r="M1119" s="3" t="s">
        <v>45</v>
      </c>
      <c r="N1119" s="3" t="s">
        <v>45</v>
      </c>
      <c r="O1119" s="3" t="s">
        <v>74</v>
      </c>
      <c r="P1119" s="3" t="s">
        <v>45</v>
      </c>
      <c r="Q1119" s="3" t="s">
        <v>45</v>
      </c>
      <c r="R1119" s="3" t="s">
        <v>45</v>
      </c>
      <c r="S1119" s="3" t="s">
        <v>45</v>
      </c>
      <c r="T1119" s="3" t="s">
        <v>45</v>
      </c>
      <c r="U1119" s="3" t="s">
        <v>45</v>
      </c>
      <c r="V1119" s="4" t="s">
        <v>10022</v>
      </c>
      <c r="W1119" s="4" t="s">
        <v>1043</v>
      </c>
      <c r="X1119" s="3" t="s">
        <v>45</v>
      </c>
      <c r="Y1119" s="3" t="s">
        <v>45</v>
      </c>
      <c r="Z1119" s="3" t="s">
        <v>74</v>
      </c>
      <c r="AA1119" s="3" t="s">
        <v>45</v>
      </c>
      <c r="AB1119" s="3" t="s">
        <v>45</v>
      </c>
      <c r="AC1119" s="3" t="s">
        <v>45</v>
      </c>
      <c r="AD1119" s="3" t="s">
        <v>45</v>
      </c>
      <c r="AE1119" s="3" t="s">
        <v>45</v>
      </c>
      <c r="AF1119" s="3" t="s">
        <v>45</v>
      </c>
      <c r="AG1119" s="3" t="s">
        <v>10016</v>
      </c>
      <c r="AH1119" s="3" t="s">
        <v>9906</v>
      </c>
      <c r="AI1119" s="3" t="s">
        <v>45</v>
      </c>
      <c r="AJ1119" s="5" t="s">
        <v>10023</v>
      </c>
      <c r="AK1119" s="3" t="s">
        <v>45</v>
      </c>
      <c r="AL1119" s="3" t="s">
        <v>45</v>
      </c>
      <c r="AM1119" s="3" t="s">
        <v>45</v>
      </c>
      <c r="AN1119" s="3" t="s">
        <v>45</v>
      </c>
      <c r="AO1119" s="3" t="s">
        <v>45</v>
      </c>
      <c r="AP1119" s="3" t="s">
        <v>45</v>
      </c>
      <c r="AQ1119" s="4" t="s">
        <v>9934</v>
      </c>
      <c r="AR1119" s="4" t="s">
        <v>9908</v>
      </c>
    </row>
    <row r="1120">
      <c r="A1120" s="3" t="s">
        <v>10024</v>
      </c>
      <c r="B1120" s="3" t="s">
        <v>10024</v>
      </c>
      <c r="C1120" s="3" t="s">
        <v>9971</v>
      </c>
      <c r="D1120" s="3" t="s">
        <v>9900</v>
      </c>
      <c r="E1120" s="4" t="s">
        <v>9972</v>
      </c>
      <c r="F1120" s="3" t="s">
        <v>9928</v>
      </c>
      <c r="G1120" s="4" t="s">
        <v>10025</v>
      </c>
      <c r="H1120" s="4" t="s">
        <v>10026</v>
      </c>
      <c r="I1120" s="3" t="s">
        <v>85</v>
      </c>
      <c r="J1120" s="3" t="s">
        <v>126</v>
      </c>
      <c r="K1120" s="3" t="s">
        <v>45</v>
      </c>
      <c r="L1120" s="3" t="s">
        <v>10027</v>
      </c>
      <c r="M1120" s="3" t="s">
        <v>45</v>
      </c>
      <c r="N1120" s="3" t="s">
        <v>45</v>
      </c>
      <c r="O1120" s="3" t="s">
        <v>74</v>
      </c>
      <c r="P1120" s="3" t="s">
        <v>45</v>
      </c>
      <c r="Q1120" s="3" t="s">
        <v>45</v>
      </c>
      <c r="R1120" s="3" t="s">
        <v>45</v>
      </c>
      <c r="S1120" s="3" t="s">
        <v>45</v>
      </c>
      <c r="T1120" s="3" t="s">
        <v>45</v>
      </c>
      <c r="U1120" s="3" t="s">
        <v>45</v>
      </c>
      <c r="V1120" s="4" t="s">
        <v>10028</v>
      </c>
      <c r="W1120" s="3" t="s">
        <v>45</v>
      </c>
      <c r="X1120" s="3" t="s">
        <v>45</v>
      </c>
      <c r="Y1120" s="3" t="s">
        <v>45</v>
      </c>
      <c r="Z1120" s="3" t="s">
        <v>74</v>
      </c>
      <c r="AA1120" s="3" t="s">
        <v>45</v>
      </c>
      <c r="AB1120" s="3" t="s">
        <v>45</v>
      </c>
      <c r="AC1120" s="3" t="s">
        <v>45</v>
      </c>
      <c r="AD1120" s="3" t="s">
        <v>45</v>
      </c>
      <c r="AE1120" s="3" t="s">
        <v>45</v>
      </c>
      <c r="AF1120" s="3" t="s">
        <v>45</v>
      </c>
      <c r="AG1120" s="3" t="s">
        <v>9932</v>
      </c>
      <c r="AH1120" s="3" t="s">
        <v>9906</v>
      </c>
      <c r="AI1120" s="3" t="s">
        <v>45</v>
      </c>
      <c r="AJ1120" s="5" t="s">
        <v>10029</v>
      </c>
      <c r="AK1120" s="3" t="s">
        <v>45</v>
      </c>
      <c r="AL1120" s="3" t="s">
        <v>45</v>
      </c>
      <c r="AM1120" s="3" t="s">
        <v>45</v>
      </c>
      <c r="AN1120" s="3" t="s">
        <v>45</v>
      </c>
      <c r="AO1120" s="3" t="s">
        <v>45</v>
      </c>
      <c r="AP1120" s="3" t="s">
        <v>45</v>
      </c>
      <c r="AQ1120" s="4" t="s">
        <v>9934</v>
      </c>
      <c r="AR1120" s="4" t="s">
        <v>9908</v>
      </c>
    </row>
    <row r="1121">
      <c r="A1121" s="3" t="s">
        <v>10030</v>
      </c>
      <c r="B1121" s="3" t="s">
        <v>10030</v>
      </c>
      <c r="C1121" s="3" t="s">
        <v>9971</v>
      </c>
      <c r="D1121" s="3" t="s">
        <v>9900</v>
      </c>
      <c r="E1121" s="4" t="s">
        <v>9972</v>
      </c>
      <c r="F1121" s="3" t="s">
        <v>9928</v>
      </c>
      <c r="G1121" s="4" t="s">
        <v>10031</v>
      </c>
      <c r="H1121" s="4" t="s">
        <v>10032</v>
      </c>
      <c r="I1121" s="3" t="s">
        <v>85</v>
      </c>
      <c r="J1121" s="3" t="s">
        <v>126</v>
      </c>
      <c r="K1121" s="3" t="s">
        <v>45</v>
      </c>
      <c r="L1121" s="3" t="s">
        <v>10033</v>
      </c>
      <c r="M1121" s="3" t="s">
        <v>45</v>
      </c>
      <c r="N1121" s="3" t="s">
        <v>45</v>
      </c>
      <c r="O1121" s="3" t="s">
        <v>74</v>
      </c>
      <c r="P1121" s="3" t="s">
        <v>45</v>
      </c>
      <c r="Q1121" s="3" t="s">
        <v>45</v>
      </c>
      <c r="R1121" s="3" t="s">
        <v>45</v>
      </c>
      <c r="S1121" s="3" t="s">
        <v>45</v>
      </c>
      <c r="T1121" s="3" t="s">
        <v>45</v>
      </c>
      <c r="U1121" s="3" t="s">
        <v>45</v>
      </c>
      <c r="V1121" s="4" t="s">
        <v>10034</v>
      </c>
      <c r="W1121" s="3" t="s">
        <v>45</v>
      </c>
      <c r="X1121" s="3" t="s">
        <v>45</v>
      </c>
      <c r="Y1121" s="3" t="s">
        <v>45</v>
      </c>
      <c r="Z1121" s="3" t="s">
        <v>74</v>
      </c>
      <c r="AA1121" s="3" t="s">
        <v>45</v>
      </c>
      <c r="AB1121" s="3" t="s">
        <v>45</v>
      </c>
      <c r="AC1121" s="3" t="s">
        <v>45</v>
      </c>
      <c r="AD1121" s="3" t="s">
        <v>45</v>
      </c>
      <c r="AE1121" s="3" t="s">
        <v>45</v>
      </c>
      <c r="AF1121" s="3" t="s">
        <v>45</v>
      </c>
      <c r="AG1121" s="3" t="s">
        <v>9932</v>
      </c>
      <c r="AH1121" s="3" t="s">
        <v>9906</v>
      </c>
      <c r="AI1121" s="3" t="s">
        <v>45</v>
      </c>
      <c r="AJ1121" s="5" t="s">
        <v>10035</v>
      </c>
      <c r="AK1121" s="3" t="s">
        <v>45</v>
      </c>
      <c r="AL1121" s="3" t="s">
        <v>45</v>
      </c>
      <c r="AM1121" s="3" t="s">
        <v>45</v>
      </c>
      <c r="AN1121" s="3" t="s">
        <v>45</v>
      </c>
      <c r="AO1121" s="3" t="s">
        <v>45</v>
      </c>
      <c r="AP1121" s="3" t="s">
        <v>45</v>
      </c>
      <c r="AQ1121" s="4" t="s">
        <v>9934</v>
      </c>
      <c r="AR1121" s="4" t="s">
        <v>9908</v>
      </c>
    </row>
    <row r="1122">
      <c r="A1122" s="3" t="s">
        <v>10036</v>
      </c>
      <c r="B1122" s="3" t="s">
        <v>10036</v>
      </c>
      <c r="C1122" s="3" t="s">
        <v>9971</v>
      </c>
      <c r="D1122" s="3" t="s">
        <v>9900</v>
      </c>
      <c r="E1122" s="4" t="s">
        <v>9972</v>
      </c>
      <c r="F1122" s="3" t="s">
        <v>9928</v>
      </c>
      <c r="G1122" s="4" t="s">
        <v>10037</v>
      </c>
      <c r="H1122" s="4" t="s">
        <v>10038</v>
      </c>
      <c r="I1122" s="3" t="s">
        <v>85</v>
      </c>
      <c r="J1122" s="3" t="s">
        <v>126</v>
      </c>
      <c r="K1122" s="3" t="s">
        <v>45</v>
      </c>
      <c r="L1122" s="3" t="s">
        <v>10039</v>
      </c>
      <c r="M1122" s="3" t="s">
        <v>45</v>
      </c>
      <c r="N1122" s="3" t="s">
        <v>45</v>
      </c>
      <c r="O1122" s="3" t="s">
        <v>74</v>
      </c>
      <c r="P1122" s="3" t="s">
        <v>45</v>
      </c>
      <c r="Q1122" s="3" t="s">
        <v>45</v>
      </c>
      <c r="R1122" s="3" t="s">
        <v>45</v>
      </c>
      <c r="S1122" s="3" t="s">
        <v>45</v>
      </c>
      <c r="T1122" s="3" t="s">
        <v>45</v>
      </c>
      <c r="U1122" s="3" t="s">
        <v>45</v>
      </c>
      <c r="V1122" s="4" t="s">
        <v>10040</v>
      </c>
      <c r="W1122" s="4" t="s">
        <v>789</v>
      </c>
      <c r="X1122" s="3" t="s">
        <v>45</v>
      </c>
      <c r="Y1122" s="3" t="s">
        <v>45</v>
      </c>
      <c r="Z1122" s="3" t="s">
        <v>74</v>
      </c>
      <c r="AA1122" s="3" t="s">
        <v>45</v>
      </c>
      <c r="AB1122" s="3" t="s">
        <v>45</v>
      </c>
      <c r="AC1122" s="3" t="s">
        <v>45</v>
      </c>
      <c r="AD1122" s="3" t="s">
        <v>45</v>
      </c>
      <c r="AE1122" s="3" t="s">
        <v>45</v>
      </c>
      <c r="AF1122" s="3" t="s">
        <v>45</v>
      </c>
      <c r="AG1122" s="3" t="s">
        <v>9932</v>
      </c>
      <c r="AH1122" s="3" t="s">
        <v>9906</v>
      </c>
      <c r="AI1122" s="3" t="s">
        <v>45</v>
      </c>
      <c r="AJ1122" s="5" t="s">
        <v>10041</v>
      </c>
      <c r="AK1122" s="3" t="s">
        <v>45</v>
      </c>
      <c r="AL1122" s="3" t="s">
        <v>45</v>
      </c>
      <c r="AM1122" s="3" t="s">
        <v>45</v>
      </c>
      <c r="AN1122" s="3" t="s">
        <v>45</v>
      </c>
      <c r="AO1122" s="3" t="s">
        <v>45</v>
      </c>
      <c r="AP1122" s="3" t="s">
        <v>45</v>
      </c>
      <c r="AQ1122" s="4" t="s">
        <v>9934</v>
      </c>
      <c r="AR1122" s="4" t="s">
        <v>9908</v>
      </c>
    </row>
    <row r="1123">
      <c r="A1123" s="3" t="s">
        <v>10042</v>
      </c>
      <c r="B1123" s="3" t="s">
        <v>10042</v>
      </c>
      <c r="C1123" s="3" t="s">
        <v>9971</v>
      </c>
      <c r="D1123" s="3" t="s">
        <v>9900</v>
      </c>
      <c r="E1123" s="4" t="s">
        <v>9972</v>
      </c>
      <c r="F1123" s="3" t="s">
        <v>9928</v>
      </c>
      <c r="G1123" s="4" t="s">
        <v>10043</v>
      </c>
      <c r="H1123" s="4" t="s">
        <v>10044</v>
      </c>
      <c r="I1123" s="3" t="s">
        <v>85</v>
      </c>
      <c r="J1123" s="3" t="s">
        <v>126</v>
      </c>
      <c r="K1123" s="3" t="s">
        <v>45</v>
      </c>
      <c r="L1123" s="3" t="s">
        <v>855</v>
      </c>
      <c r="M1123" s="3" t="s">
        <v>45</v>
      </c>
      <c r="N1123" s="3" t="s">
        <v>45</v>
      </c>
      <c r="O1123" s="3" t="s">
        <v>74</v>
      </c>
      <c r="P1123" s="3" t="s">
        <v>45</v>
      </c>
      <c r="Q1123" s="3" t="s">
        <v>45</v>
      </c>
      <c r="R1123" s="3" t="s">
        <v>45</v>
      </c>
      <c r="S1123" s="3" t="s">
        <v>45</v>
      </c>
      <c r="T1123" s="3" t="s">
        <v>45</v>
      </c>
      <c r="U1123" s="3" t="s">
        <v>45</v>
      </c>
      <c r="V1123" s="4" t="s">
        <v>10045</v>
      </c>
      <c r="W1123" s="4" t="s">
        <v>1553</v>
      </c>
      <c r="X1123" s="3" t="s">
        <v>45</v>
      </c>
      <c r="Y1123" s="3" t="s">
        <v>45</v>
      </c>
      <c r="Z1123" s="3" t="s">
        <v>74</v>
      </c>
      <c r="AA1123" s="3" t="s">
        <v>45</v>
      </c>
      <c r="AB1123" s="3" t="s">
        <v>45</v>
      </c>
      <c r="AC1123" s="3" t="s">
        <v>45</v>
      </c>
      <c r="AD1123" s="3" t="s">
        <v>45</v>
      </c>
      <c r="AE1123" s="3" t="s">
        <v>45</v>
      </c>
      <c r="AF1123" s="3" t="s">
        <v>45</v>
      </c>
      <c r="AG1123" s="3" t="s">
        <v>9932</v>
      </c>
      <c r="AH1123" s="3" t="s">
        <v>9906</v>
      </c>
      <c r="AI1123" s="3" t="s">
        <v>45</v>
      </c>
      <c r="AJ1123" s="5" t="s">
        <v>10046</v>
      </c>
      <c r="AK1123" s="3" t="s">
        <v>45</v>
      </c>
      <c r="AL1123" s="3" t="s">
        <v>45</v>
      </c>
      <c r="AM1123" s="3" t="s">
        <v>45</v>
      </c>
      <c r="AN1123" s="3" t="s">
        <v>45</v>
      </c>
      <c r="AO1123" s="3" t="s">
        <v>45</v>
      </c>
      <c r="AP1123" s="3" t="s">
        <v>45</v>
      </c>
      <c r="AQ1123" s="4" t="s">
        <v>9934</v>
      </c>
      <c r="AR1123" s="4" t="s">
        <v>9908</v>
      </c>
    </row>
    <row r="1124">
      <c r="A1124" s="3" t="s">
        <v>10047</v>
      </c>
      <c r="B1124" s="3" t="s">
        <v>10048</v>
      </c>
      <c r="C1124" s="3" t="s">
        <v>9971</v>
      </c>
      <c r="D1124" s="3" t="s">
        <v>9900</v>
      </c>
      <c r="E1124" s="4" t="s">
        <v>9972</v>
      </c>
      <c r="F1124" s="3" t="s">
        <v>9928</v>
      </c>
      <c r="G1124" s="4" t="s">
        <v>10049</v>
      </c>
      <c r="H1124" s="4" t="s">
        <v>10050</v>
      </c>
      <c r="I1124" s="3" t="s">
        <v>408</v>
      </c>
      <c r="J1124" s="3" t="s">
        <v>50</v>
      </c>
      <c r="K1124" s="3" t="s">
        <v>45</v>
      </c>
      <c r="L1124" s="3" t="s">
        <v>921</v>
      </c>
      <c r="M1124" s="3" t="s">
        <v>45</v>
      </c>
      <c r="N1124" s="3" t="s">
        <v>45</v>
      </c>
      <c r="O1124" s="3" t="s">
        <v>74</v>
      </c>
      <c r="P1124" s="3" t="s">
        <v>45</v>
      </c>
      <c r="Q1124" s="3" t="s">
        <v>45</v>
      </c>
      <c r="R1124" s="3" t="s">
        <v>45</v>
      </c>
      <c r="S1124" s="3" t="s">
        <v>45</v>
      </c>
      <c r="T1124" s="3" t="s">
        <v>45</v>
      </c>
      <c r="U1124" s="3" t="s">
        <v>45</v>
      </c>
      <c r="V1124" s="4" t="s">
        <v>10051</v>
      </c>
      <c r="W1124" s="4" t="s">
        <v>922</v>
      </c>
      <c r="X1124" s="3" t="s">
        <v>45</v>
      </c>
      <c r="Y1124" s="3" t="s">
        <v>45</v>
      </c>
      <c r="Z1124" s="3" t="s">
        <v>74</v>
      </c>
      <c r="AA1124" s="3" t="s">
        <v>45</v>
      </c>
      <c r="AB1124" s="3" t="s">
        <v>45</v>
      </c>
      <c r="AC1124" s="3" t="s">
        <v>45</v>
      </c>
      <c r="AD1124" s="3" t="s">
        <v>45</v>
      </c>
      <c r="AE1124" s="3" t="s">
        <v>45</v>
      </c>
      <c r="AF1124" s="3" t="s">
        <v>45</v>
      </c>
      <c r="AG1124" s="3" t="s">
        <v>45</v>
      </c>
      <c r="AH1124" s="3" t="s">
        <v>9906</v>
      </c>
      <c r="AI1124" s="5" t="s">
        <v>10052</v>
      </c>
      <c r="AJ1124" s="5" t="s">
        <v>10053</v>
      </c>
      <c r="AK1124" s="3" t="s">
        <v>45</v>
      </c>
      <c r="AL1124" s="3" t="s">
        <v>45</v>
      </c>
      <c r="AM1124" s="3" t="s">
        <v>45</v>
      </c>
      <c r="AN1124" s="3" t="s">
        <v>45</v>
      </c>
      <c r="AO1124" s="3" t="s">
        <v>45</v>
      </c>
      <c r="AP1124" s="3" t="s">
        <v>45</v>
      </c>
      <c r="AQ1124" s="4" t="s">
        <v>212</v>
      </c>
      <c r="AR1124" s="4" t="s">
        <v>224</v>
      </c>
    </row>
    <row r="1125">
      <c r="A1125" s="3" t="s">
        <v>10054</v>
      </c>
      <c r="B1125" s="3" t="s">
        <v>10055</v>
      </c>
      <c r="C1125" s="3" t="s">
        <v>9971</v>
      </c>
      <c r="D1125" s="3" t="s">
        <v>9900</v>
      </c>
      <c r="E1125" s="4" t="s">
        <v>9972</v>
      </c>
      <c r="F1125" s="3" t="s">
        <v>9928</v>
      </c>
      <c r="G1125" s="4" t="s">
        <v>10056</v>
      </c>
      <c r="H1125" s="4" t="s">
        <v>10057</v>
      </c>
      <c r="I1125" s="3" t="s">
        <v>408</v>
      </c>
      <c r="J1125" s="3" t="s">
        <v>126</v>
      </c>
      <c r="K1125" s="3" t="s">
        <v>45</v>
      </c>
      <c r="L1125" s="3" t="s">
        <v>921</v>
      </c>
      <c r="M1125" s="3" t="s">
        <v>45</v>
      </c>
      <c r="N1125" s="3" t="s">
        <v>45</v>
      </c>
      <c r="O1125" s="3" t="s">
        <v>74</v>
      </c>
      <c r="P1125" s="3" t="s">
        <v>45</v>
      </c>
      <c r="Q1125" s="3" t="s">
        <v>45</v>
      </c>
      <c r="R1125" s="3" t="s">
        <v>45</v>
      </c>
      <c r="S1125" s="3" t="s">
        <v>45</v>
      </c>
      <c r="T1125" s="3" t="s">
        <v>45</v>
      </c>
      <c r="U1125" s="3" t="s">
        <v>45</v>
      </c>
      <c r="V1125" s="4" t="s">
        <v>10058</v>
      </c>
      <c r="W1125" s="4" t="s">
        <v>2754</v>
      </c>
      <c r="X1125" s="3" t="s">
        <v>45</v>
      </c>
      <c r="Y1125" s="3" t="s">
        <v>45</v>
      </c>
      <c r="Z1125" s="3" t="s">
        <v>74</v>
      </c>
      <c r="AA1125" s="3" t="s">
        <v>45</v>
      </c>
      <c r="AB1125" s="3" t="s">
        <v>45</v>
      </c>
      <c r="AC1125" s="3" t="s">
        <v>45</v>
      </c>
      <c r="AD1125" s="3" t="s">
        <v>45</v>
      </c>
      <c r="AE1125" s="3" t="s">
        <v>45</v>
      </c>
      <c r="AF1125" s="3" t="s">
        <v>45</v>
      </c>
      <c r="AG1125" s="3" t="s">
        <v>9932</v>
      </c>
      <c r="AH1125" s="3" t="s">
        <v>9906</v>
      </c>
      <c r="AI1125" s="3" t="s">
        <v>45</v>
      </c>
      <c r="AJ1125" s="5" t="s">
        <v>10059</v>
      </c>
      <c r="AK1125" s="3" t="s">
        <v>45</v>
      </c>
      <c r="AL1125" s="3" t="s">
        <v>45</v>
      </c>
      <c r="AM1125" s="3" t="s">
        <v>45</v>
      </c>
      <c r="AN1125" s="3" t="s">
        <v>45</v>
      </c>
      <c r="AO1125" s="3" t="s">
        <v>45</v>
      </c>
      <c r="AP1125" s="3" t="s">
        <v>45</v>
      </c>
      <c r="AQ1125" s="4" t="s">
        <v>212</v>
      </c>
      <c r="AR1125" s="4" t="s">
        <v>224</v>
      </c>
    </row>
    <row r="1126">
      <c r="A1126" s="3" t="s">
        <v>10060</v>
      </c>
      <c r="B1126" s="3" t="s">
        <v>10061</v>
      </c>
      <c r="C1126" s="3" t="s">
        <v>9971</v>
      </c>
      <c r="D1126" s="3" t="s">
        <v>9900</v>
      </c>
      <c r="E1126" s="4" t="s">
        <v>9972</v>
      </c>
      <c r="F1126" s="3" t="s">
        <v>9928</v>
      </c>
      <c r="G1126" s="4" t="s">
        <v>10062</v>
      </c>
      <c r="H1126" s="4" t="s">
        <v>10063</v>
      </c>
      <c r="I1126" s="3" t="s">
        <v>85</v>
      </c>
      <c r="J1126" s="3" t="s">
        <v>126</v>
      </c>
      <c r="K1126" s="3" t="s">
        <v>45</v>
      </c>
      <c r="L1126" s="3" t="s">
        <v>10064</v>
      </c>
      <c r="M1126" s="3" t="s">
        <v>45</v>
      </c>
      <c r="N1126" s="3" t="s">
        <v>45</v>
      </c>
      <c r="O1126" s="3" t="s">
        <v>74</v>
      </c>
      <c r="P1126" s="3" t="s">
        <v>45</v>
      </c>
      <c r="Q1126" s="3" t="s">
        <v>45</v>
      </c>
      <c r="R1126" s="3" t="s">
        <v>45</v>
      </c>
      <c r="S1126" s="3" t="s">
        <v>45</v>
      </c>
      <c r="T1126" s="3" t="s">
        <v>45</v>
      </c>
      <c r="U1126" s="3" t="s">
        <v>45</v>
      </c>
      <c r="V1126" s="4" t="s">
        <v>10065</v>
      </c>
      <c r="W1126" s="4" t="s">
        <v>2608</v>
      </c>
      <c r="X1126" s="3" t="s">
        <v>45</v>
      </c>
      <c r="Y1126" s="3" t="s">
        <v>45</v>
      </c>
      <c r="Z1126" s="3" t="s">
        <v>74</v>
      </c>
      <c r="AA1126" s="3" t="s">
        <v>45</v>
      </c>
      <c r="AB1126" s="3" t="s">
        <v>45</v>
      </c>
      <c r="AC1126" s="3" t="s">
        <v>45</v>
      </c>
      <c r="AD1126" s="3" t="s">
        <v>45</v>
      </c>
      <c r="AE1126" s="3" t="s">
        <v>45</v>
      </c>
      <c r="AF1126" s="3" t="s">
        <v>45</v>
      </c>
      <c r="AG1126" s="3" t="s">
        <v>9932</v>
      </c>
      <c r="AH1126" s="3" t="s">
        <v>9906</v>
      </c>
      <c r="AI1126" s="3" t="s">
        <v>45</v>
      </c>
      <c r="AJ1126" s="5" t="s">
        <v>10066</v>
      </c>
      <c r="AK1126" s="3" t="s">
        <v>45</v>
      </c>
      <c r="AL1126" s="3" t="s">
        <v>45</v>
      </c>
      <c r="AM1126" s="3" t="s">
        <v>45</v>
      </c>
      <c r="AN1126" s="3" t="s">
        <v>45</v>
      </c>
      <c r="AO1126" s="3" t="s">
        <v>45</v>
      </c>
      <c r="AP1126" s="3" t="s">
        <v>45</v>
      </c>
      <c r="AQ1126" s="4" t="s">
        <v>9934</v>
      </c>
      <c r="AR1126" s="4" t="s">
        <v>9908</v>
      </c>
    </row>
    <row r="1127">
      <c r="A1127" s="3" t="s">
        <v>10067</v>
      </c>
      <c r="B1127" s="3" t="s">
        <v>10068</v>
      </c>
      <c r="C1127" s="3" t="s">
        <v>9971</v>
      </c>
      <c r="D1127" s="3" t="s">
        <v>9900</v>
      </c>
      <c r="E1127" s="4" t="s">
        <v>9972</v>
      </c>
      <c r="F1127" s="3" t="s">
        <v>9928</v>
      </c>
      <c r="G1127" s="4" t="s">
        <v>10069</v>
      </c>
      <c r="H1127" s="4" t="s">
        <v>10070</v>
      </c>
      <c r="I1127" s="3" t="s">
        <v>85</v>
      </c>
      <c r="J1127" s="3" t="s">
        <v>126</v>
      </c>
      <c r="K1127" s="3" t="s">
        <v>45</v>
      </c>
      <c r="L1127" s="3" t="s">
        <v>10071</v>
      </c>
      <c r="M1127" s="3" t="s">
        <v>45</v>
      </c>
      <c r="N1127" s="3" t="s">
        <v>45</v>
      </c>
      <c r="O1127" s="3" t="s">
        <v>74</v>
      </c>
      <c r="P1127" s="3" t="s">
        <v>45</v>
      </c>
      <c r="Q1127" s="3" t="s">
        <v>45</v>
      </c>
      <c r="R1127" s="3" t="s">
        <v>45</v>
      </c>
      <c r="S1127" s="3" t="s">
        <v>45</v>
      </c>
      <c r="T1127" s="3" t="s">
        <v>45</v>
      </c>
      <c r="U1127" s="3" t="s">
        <v>45</v>
      </c>
      <c r="V1127" s="4" t="s">
        <v>10072</v>
      </c>
      <c r="W1127" s="4" t="s">
        <v>1951</v>
      </c>
      <c r="X1127" s="3" t="s">
        <v>45</v>
      </c>
      <c r="Y1127" s="3" t="s">
        <v>45</v>
      </c>
      <c r="Z1127" s="3" t="s">
        <v>74</v>
      </c>
      <c r="AA1127" s="3" t="s">
        <v>45</v>
      </c>
      <c r="AB1127" s="3" t="s">
        <v>45</v>
      </c>
      <c r="AC1127" s="3" t="s">
        <v>45</v>
      </c>
      <c r="AD1127" s="3" t="s">
        <v>45</v>
      </c>
      <c r="AE1127" s="3" t="s">
        <v>45</v>
      </c>
      <c r="AF1127" s="3" t="s">
        <v>45</v>
      </c>
      <c r="AG1127" s="3" t="s">
        <v>9932</v>
      </c>
      <c r="AH1127" s="3" t="s">
        <v>9906</v>
      </c>
      <c r="AI1127" s="3" t="s">
        <v>45</v>
      </c>
      <c r="AJ1127" s="5" t="s">
        <v>10073</v>
      </c>
      <c r="AK1127" s="3" t="s">
        <v>45</v>
      </c>
      <c r="AL1127" s="3" t="s">
        <v>45</v>
      </c>
      <c r="AM1127" s="3" t="s">
        <v>45</v>
      </c>
      <c r="AN1127" s="3" t="s">
        <v>45</v>
      </c>
      <c r="AO1127" s="3" t="s">
        <v>45</v>
      </c>
      <c r="AP1127" s="3" t="s">
        <v>45</v>
      </c>
      <c r="AQ1127" s="4" t="s">
        <v>9934</v>
      </c>
      <c r="AR1127" s="4" t="s">
        <v>9908</v>
      </c>
    </row>
    <row r="1128">
      <c r="A1128" s="3" t="s">
        <v>10074</v>
      </c>
      <c r="B1128" s="3" t="s">
        <v>10075</v>
      </c>
      <c r="C1128" s="3" t="s">
        <v>9971</v>
      </c>
      <c r="D1128" s="3" t="s">
        <v>9900</v>
      </c>
      <c r="E1128" s="4" t="s">
        <v>9972</v>
      </c>
      <c r="F1128" s="3" t="s">
        <v>9928</v>
      </c>
      <c r="G1128" s="4" t="s">
        <v>10076</v>
      </c>
      <c r="H1128" s="4" t="s">
        <v>10077</v>
      </c>
      <c r="I1128" s="3" t="s">
        <v>49</v>
      </c>
      <c r="J1128" s="3" t="s">
        <v>126</v>
      </c>
      <c r="K1128" s="3" t="s">
        <v>45</v>
      </c>
      <c r="L1128" s="3" t="s">
        <v>10078</v>
      </c>
      <c r="M1128" s="3" t="s">
        <v>45</v>
      </c>
      <c r="N1128" s="4" t="s">
        <v>54</v>
      </c>
      <c r="O1128" s="3" t="s">
        <v>722</v>
      </c>
      <c r="P1128" s="3" t="s">
        <v>45</v>
      </c>
      <c r="Q1128" s="3" t="s">
        <v>45</v>
      </c>
      <c r="R1128" s="3" t="s">
        <v>45</v>
      </c>
      <c r="S1128" s="3" t="s">
        <v>45</v>
      </c>
      <c r="T1128" s="3" t="s">
        <v>45</v>
      </c>
      <c r="U1128" s="3" t="s">
        <v>45</v>
      </c>
      <c r="V1128" s="4" t="s">
        <v>10079</v>
      </c>
      <c r="W1128" s="4" t="s">
        <v>129</v>
      </c>
      <c r="X1128" s="3" t="s">
        <v>45</v>
      </c>
      <c r="Y1128" s="3" t="s">
        <v>45</v>
      </c>
      <c r="Z1128" s="3" t="s">
        <v>74</v>
      </c>
      <c r="AA1128" s="3" t="s">
        <v>45</v>
      </c>
      <c r="AB1128" s="3" t="s">
        <v>45</v>
      </c>
      <c r="AC1128" s="3" t="s">
        <v>45</v>
      </c>
      <c r="AD1128" s="3" t="s">
        <v>45</v>
      </c>
      <c r="AE1128" s="3" t="s">
        <v>45</v>
      </c>
      <c r="AF1128" s="3" t="s">
        <v>45</v>
      </c>
      <c r="AG1128" s="3" t="s">
        <v>10016</v>
      </c>
      <c r="AH1128" s="3" t="s">
        <v>9906</v>
      </c>
      <c r="AI1128" s="5" t="s">
        <v>10080</v>
      </c>
      <c r="AJ1128" s="5" t="s">
        <v>10081</v>
      </c>
      <c r="AK1128" s="5" t="s">
        <v>10082</v>
      </c>
      <c r="AL1128" s="3" t="s">
        <v>45</v>
      </c>
      <c r="AM1128" s="3" t="s">
        <v>45</v>
      </c>
      <c r="AN1128" s="3" t="s">
        <v>45</v>
      </c>
      <c r="AO1128" s="3" t="s">
        <v>45</v>
      </c>
      <c r="AP1128" s="3" t="s">
        <v>45</v>
      </c>
      <c r="AQ1128" s="4" t="s">
        <v>212</v>
      </c>
      <c r="AR1128" s="4" t="s">
        <v>9908</v>
      </c>
    </row>
    <row r="1129">
      <c r="A1129" s="3" t="s">
        <v>10083</v>
      </c>
      <c r="B1129" s="3" t="s">
        <v>10084</v>
      </c>
      <c r="C1129" s="3" t="s">
        <v>9971</v>
      </c>
      <c r="D1129" s="3" t="s">
        <v>9900</v>
      </c>
      <c r="E1129" s="4" t="s">
        <v>9972</v>
      </c>
      <c r="F1129" s="3" t="s">
        <v>9928</v>
      </c>
      <c r="G1129" s="4" t="s">
        <v>10085</v>
      </c>
      <c r="H1129" s="4" t="s">
        <v>10086</v>
      </c>
      <c r="I1129" s="3" t="s">
        <v>85</v>
      </c>
      <c r="J1129" s="3" t="s">
        <v>126</v>
      </c>
      <c r="K1129" s="3" t="s">
        <v>45</v>
      </c>
      <c r="L1129" s="3" t="s">
        <v>659</v>
      </c>
      <c r="M1129" s="3" t="s">
        <v>45</v>
      </c>
      <c r="N1129" s="3" t="s">
        <v>45</v>
      </c>
      <c r="O1129" s="3" t="s">
        <v>74</v>
      </c>
      <c r="P1129" s="3" t="s">
        <v>45</v>
      </c>
      <c r="Q1129" s="3" t="s">
        <v>45</v>
      </c>
      <c r="R1129" s="3" t="s">
        <v>45</v>
      </c>
      <c r="S1129" s="3" t="s">
        <v>45</v>
      </c>
      <c r="T1129" s="3" t="s">
        <v>45</v>
      </c>
      <c r="U1129" s="3" t="s">
        <v>45</v>
      </c>
      <c r="V1129" s="4" t="s">
        <v>10087</v>
      </c>
      <c r="W1129" s="4" t="s">
        <v>922</v>
      </c>
      <c r="X1129" s="3" t="s">
        <v>45</v>
      </c>
      <c r="Y1129" s="3" t="s">
        <v>45</v>
      </c>
      <c r="Z1129" s="3" t="s">
        <v>74</v>
      </c>
      <c r="AA1129" s="3" t="s">
        <v>45</v>
      </c>
      <c r="AB1129" s="3" t="s">
        <v>45</v>
      </c>
      <c r="AC1129" s="3" t="s">
        <v>45</v>
      </c>
      <c r="AD1129" s="3" t="s">
        <v>45</v>
      </c>
      <c r="AE1129" s="3" t="s">
        <v>45</v>
      </c>
      <c r="AF1129" s="3" t="s">
        <v>45</v>
      </c>
      <c r="AG1129" s="3" t="s">
        <v>9932</v>
      </c>
      <c r="AH1129" s="3" t="s">
        <v>9906</v>
      </c>
      <c r="AI1129" s="3" t="s">
        <v>45</v>
      </c>
      <c r="AJ1129" s="5" t="s">
        <v>10088</v>
      </c>
      <c r="AK1129" s="3" t="s">
        <v>45</v>
      </c>
      <c r="AL1129" s="3" t="s">
        <v>45</v>
      </c>
      <c r="AM1129" s="3" t="s">
        <v>45</v>
      </c>
      <c r="AN1129" s="3" t="s">
        <v>45</v>
      </c>
      <c r="AO1129" s="3" t="s">
        <v>45</v>
      </c>
      <c r="AP1129" s="3" t="s">
        <v>45</v>
      </c>
      <c r="AQ1129" s="4" t="s">
        <v>9934</v>
      </c>
      <c r="AR1129" s="4" t="s">
        <v>9908</v>
      </c>
    </row>
    <row r="1130">
      <c r="A1130" s="3" t="s">
        <v>10089</v>
      </c>
      <c r="B1130" s="3" t="s">
        <v>10090</v>
      </c>
      <c r="C1130" s="3" t="s">
        <v>9971</v>
      </c>
      <c r="D1130" s="3" t="s">
        <v>9900</v>
      </c>
      <c r="E1130" s="4" t="s">
        <v>9972</v>
      </c>
      <c r="F1130" s="3" t="s">
        <v>9928</v>
      </c>
      <c r="G1130" s="4" t="s">
        <v>10091</v>
      </c>
      <c r="H1130" s="4" t="s">
        <v>10092</v>
      </c>
      <c r="I1130" s="3" t="s">
        <v>85</v>
      </c>
      <c r="J1130" s="3" t="s">
        <v>126</v>
      </c>
      <c r="K1130" s="3" t="s">
        <v>45</v>
      </c>
      <c r="L1130" s="3" t="s">
        <v>659</v>
      </c>
      <c r="M1130" s="3" t="s">
        <v>45</v>
      </c>
      <c r="N1130" s="3" t="s">
        <v>45</v>
      </c>
      <c r="O1130" s="3" t="s">
        <v>74</v>
      </c>
      <c r="P1130" s="3" t="s">
        <v>45</v>
      </c>
      <c r="Q1130" s="3" t="s">
        <v>45</v>
      </c>
      <c r="R1130" s="3" t="s">
        <v>45</v>
      </c>
      <c r="S1130" s="3" t="s">
        <v>45</v>
      </c>
      <c r="T1130" s="3" t="s">
        <v>45</v>
      </c>
      <c r="U1130" s="3" t="s">
        <v>45</v>
      </c>
      <c r="V1130" s="4" t="s">
        <v>10093</v>
      </c>
      <c r="W1130" s="4" t="s">
        <v>275</v>
      </c>
      <c r="X1130" s="3" t="s">
        <v>45</v>
      </c>
      <c r="Y1130" s="3" t="s">
        <v>45</v>
      </c>
      <c r="Z1130" s="3" t="s">
        <v>74</v>
      </c>
      <c r="AA1130" s="3" t="s">
        <v>45</v>
      </c>
      <c r="AB1130" s="3" t="s">
        <v>45</v>
      </c>
      <c r="AC1130" s="3" t="s">
        <v>45</v>
      </c>
      <c r="AD1130" s="3" t="s">
        <v>45</v>
      </c>
      <c r="AE1130" s="3" t="s">
        <v>45</v>
      </c>
      <c r="AF1130" s="3" t="s">
        <v>45</v>
      </c>
      <c r="AG1130" s="3" t="s">
        <v>9916</v>
      </c>
      <c r="AH1130" s="3" t="s">
        <v>9906</v>
      </c>
      <c r="AI1130" s="3" t="s">
        <v>45</v>
      </c>
      <c r="AJ1130" s="5" t="s">
        <v>10094</v>
      </c>
      <c r="AK1130" s="3" t="s">
        <v>45</v>
      </c>
      <c r="AL1130" s="3" t="s">
        <v>45</v>
      </c>
      <c r="AM1130" s="3" t="s">
        <v>45</v>
      </c>
      <c r="AN1130" s="3" t="s">
        <v>45</v>
      </c>
      <c r="AO1130" s="3" t="s">
        <v>45</v>
      </c>
      <c r="AP1130" s="3" t="s">
        <v>45</v>
      </c>
      <c r="AQ1130" s="4" t="s">
        <v>9934</v>
      </c>
      <c r="AR1130" s="4" t="s">
        <v>9908</v>
      </c>
    </row>
    <row r="1131">
      <c r="A1131" s="3" t="s">
        <v>10095</v>
      </c>
      <c r="B1131" s="3" t="s">
        <v>10096</v>
      </c>
      <c r="C1131" s="3" t="s">
        <v>9971</v>
      </c>
      <c r="D1131" s="3" t="s">
        <v>9900</v>
      </c>
      <c r="E1131" s="4" t="s">
        <v>10097</v>
      </c>
      <c r="F1131" s="3" t="s">
        <v>9928</v>
      </c>
      <c r="G1131" s="4" t="s">
        <v>10098</v>
      </c>
      <c r="H1131" s="4" t="s">
        <v>10099</v>
      </c>
      <c r="I1131" s="3" t="s">
        <v>49</v>
      </c>
      <c r="J1131" s="3" t="s">
        <v>126</v>
      </c>
      <c r="K1131" s="3" t="s">
        <v>45</v>
      </c>
      <c r="L1131" s="3" t="s">
        <v>45</v>
      </c>
      <c r="M1131" s="3" t="s">
        <v>45</v>
      </c>
      <c r="N1131" s="3" t="s">
        <v>45</v>
      </c>
      <c r="O1131" s="3" t="s">
        <v>74</v>
      </c>
      <c r="P1131" s="3" t="s">
        <v>45</v>
      </c>
      <c r="Q1131" s="3" t="s">
        <v>45</v>
      </c>
      <c r="R1131" s="3" t="s">
        <v>45</v>
      </c>
      <c r="S1131" s="3" t="s">
        <v>45</v>
      </c>
      <c r="T1131" s="3" t="s">
        <v>45</v>
      </c>
      <c r="U1131" s="3" t="s">
        <v>45</v>
      </c>
      <c r="V1131" s="4" t="s">
        <v>10100</v>
      </c>
      <c r="W1131" s="4" t="s">
        <v>1872</v>
      </c>
      <c r="X1131" s="3" t="s">
        <v>45</v>
      </c>
      <c r="Y1131" s="3" t="s">
        <v>45</v>
      </c>
      <c r="Z1131" s="3" t="s">
        <v>74</v>
      </c>
      <c r="AA1131" s="3" t="s">
        <v>45</v>
      </c>
      <c r="AB1131" s="3" t="s">
        <v>45</v>
      </c>
      <c r="AC1131" s="3" t="s">
        <v>45</v>
      </c>
      <c r="AD1131" s="3" t="s">
        <v>45</v>
      </c>
      <c r="AE1131" s="3" t="s">
        <v>45</v>
      </c>
      <c r="AF1131" s="3" t="s">
        <v>45</v>
      </c>
      <c r="AG1131" s="3" t="s">
        <v>45</v>
      </c>
      <c r="AH1131" s="3" t="s">
        <v>9906</v>
      </c>
      <c r="AI1131" s="5" t="s">
        <v>10101</v>
      </c>
      <c r="AJ1131" s="5" t="s">
        <v>10102</v>
      </c>
      <c r="AK1131" s="3" t="s">
        <v>45</v>
      </c>
      <c r="AL1131" s="3" t="s">
        <v>45</v>
      </c>
      <c r="AM1131" s="3" t="s">
        <v>45</v>
      </c>
      <c r="AN1131" s="3" t="s">
        <v>45</v>
      </c>
      <c r="AO1131" s="3" t="s">
        <v>45</v>
      </c>
      <c r="AP1131" s="3" t="s">
        <v>45</v>
      </c>
      <c r="AQ1131" s="4" t="s">
        <v>10103</v>
      </c>
      <c r="AR1131" s="4" t="s">
        <v>9908</v>
      </c>
    </row>
    <row r="1132">
      <c r="A1132" s="3" t="s">
        <v>10104</v>
      </c>
      <c r="B1132" s="3" t="s">
        <v>10105</v>
      </c>
      <c r="C1132" s="3" t="s">
        <v>9971</v>
      </c>
      <c r="D1132" s="3" t="s">
        <v>9900</v>
      </c>
      <c r="E1132" s="4" t="s">
        <v>9972</v>
      </c>
      <c r="F1132" s="3" t="s">
        <v>9928</v>
      </c>
      <c r="G1132" s="4" t="s">
        <v>10106</v>
      </c>
      <c r="H1132" s="4" t="s">
        <v>10107</v>
      </c>
      <c r="I1132" s="3" t="s">
        <v>85</v>
      </c>
      <c r="J1132" s="3" t="s">
        <v>126</v>
      </c>
      <c r="K1132" s="3" t="s">
        <v>45</v>
      </c>
      <c r="L1132" s="3" t="s">
        <v>557</v>
      </c>
      <c r="M1132" s="3" t="s">
        <v>45</v>
      </c>
      <c r="N1132" s="3" t="s">
        <v>45</v>
      </c>
      <c r="O1132" s="3" t="s">
        <v>74</v>
      </c>
      <c r="P1132" s="3" t="s">
        <v>45</v>
      </c>
      <c r="Q1132" s="3" t="s">
        <v>45</v>
      </c>
      <c r="R1132" s="3" t="s">
        <v>45</v>
      </c>
      <c r="S1132" s="3" t="s">
        <v>45</v>
      </c>
      <c r="T1132" s="3" t="s">
        <v>45</v>
      </c>
      <c r="U1132" s="3" t="s">
        <v>45</v>
      </c>
      <c r="V1132" s="4" t="s">
        <v>10108</v>
      </c>
      <c r="W1132" s="4" t="s">
        <v>956</v>
      </c>
      <c r="X1132" s="3" t="s">
        <v>45</v>
      </c>
      <c r="Y1132" s="3" t="s">
        <v>45</v>
      </c>
      <c r="Z1132" s="3" t="s">
        <v>74</v>
      </c>
      <c r="AA1132" s="3" t="s">
        <v>45</v>
      </c>
      <c r="AB1132" s="3" t="s">
        <v>45</v>
      </c>
      <c r="AC1132" s="3" t="s">
        <v>45</v>
      </c>
      <c r="AD1132" s="3" t="s">
        <v>45</v>
      </c>
      <c r="AE1132" s="3" t="s">
        <v>45</v>
      </c>
      <c r="AF1132" s="3" t="s">
        <v>45</v>
      </c>
      <c r="AG1132" s="3" t="s">
        <v>9932</v>
      </c>
      <c r="AH1132" s="3" t="s">
        <v>9906</v>
      </c>
      <c r="AI1132" s="3" t="s">
        <v>45</v>
      </c>
      <c r="AJ1132" s="5" t="s">
        <v>10109</v>
      </c>
      <c r="AK1132" s="3" t="s">
        <v>45</v>
      </c>
      <c r="AL1132" s="3" t="s">
        <v>45</v>
      </c>
      <c r="AM1132" s="3" t="s">
        <v>45</v>
      </c>
      <c r="AN1132" s="3" t="s">
        <v>45</v>
      </c>
      <c r="AO1132" s="3" t="s">
        <v>45</v>
      </c>
      <c r="AP1132" s="3" t="s">
        <v>45</v>
      </c>
      <c r="AQ1132" s="4" t="s">
        <v>9934</v>
      </c>
      <c r="AR1132" s="4" t="s">
        <v>9908</v>
      </c>
    </row>
    <row r="1133">
      <c r="A1133" s="3" t="s">
        <v>10110</v>
      </c>
      <c r="B1133" s="3" t="s">
        <v>10111</v>
      </c>
      <c r="C1133" s="3" t="s">
        <v>9971</v>
      </c>
      <c r="D1133" s="3" t="s">
        <v>9900</v>
      </c>
      <c r="E1133" s="4" t="s">
        <v>9972</v>
      </c>
      <c r="F1133" s="3" t="s">
        <v>9928</v>
      </c>
      <c r="G1133" s="4" t="s">
        <v>10112</v>
      </c>
      <c r="H1133" s="4" t="s">
        <v>10113</v>
      </c>
      <c r="I1133" s="3" t="s">
        <v>49</v>
      </c>
      <c r="J1133" s="3" t="s">
        <v>126</v>
      </c>
      <c r="K1133" s="3" t="s">
        <v>45</v>
      </c>
      <c r="L1133" s="3" t="s">
        <v>45</v>
      </c>
      <c r="M1133" s="3" t="s">
        <v>45</v>
      </c>
      <c r="N1133" s="3" t="s">
        <v>45</v>
      </c>
      <c r="O1133" s="3" t="s">
        <v>74</v>
      </c>
      <c r="P1133" s="3" t="s">
        <v>45</v>
      </c>
      <c r="Q1133" s="3" t="s">
        <v>45</v>
      </c>
      <c r="R1133" s="3" t="s">
        <v>45</v>
      </c>
      <c r="S1133" s="3" t="s">
        <v>45</v>
      </c>
      <c r="T1133" s="3" t="s">
        <v>45</v>
      </c>
      <c r="U1133" s="3" t="s">
        <v>45</v>
      </c>
      <c r="V1133" s="4" t="s">
        <v>10114</v>
      </c>
      <c r="W1133" s="4" t="s">
        <v>5990</v>
      </c>
      <c r="X1133" s="3" t="s">
        <v>45</v>
      </c>
      <c r="Y1133" s="3" t="s">
        <v>45</v>
      </c>
      <c r="Z1133" s="3" t="s">
        <v>74</v>
      </c>
      <c r="AA1133" s="3" t="s">
        <v>45</v>
      </c>
      <c r="AB1133" s="3" t="s">
        <v>45</v>
      </c>
      <c r="AC1133" s="3" t="s">
        <v>45</v>
      </c>
      <c r="AD1133" s="3" t="s">
        <v>45</v>
      </c>
      <c r="AE1133" s="3" t="s">
        <v>45</v>
      </c>
      <c r="AF1133" s="3" t="s">
        <v>45</v>
      </c>
      <c r="AG1133" s="3" t="s">
        <v>10115</v>
      </c>
      <c r="AH1133" s="3" t="s">
        <v>9906</v>
      </c>
      <c r="AI1133" s="5" t="s">
        <v>10116</v>
      </c>
      <c r="AJ1133" s="5" t="s">
        <v>10117</v>
      </c>
      <c r="AK1133" s="3" t="s">
        <v>45</v>
      </c>
      <c r="AL1133" s="3" t="s">
        <v>45</v>
      </c>
      <c r="AM1133" s="3" t="s">
        <v>45</v>
      </c>
      <c r="AN1133" s="3" t="s">
        <v>45</v>
      </c>
      <c r="AO1133" s="3" t="s">
        <v>45</v>
      </c>
      <c r="AP1133" s="3" t="s">
        <v>45</v>
      </c>
      <c r="AQ1133" s="4" t="s">
        <v>10118</v>
      </c>
      <c r="AR1133" s="4" t="s">
        <v>9908</v>
      </c>
    </row>
    <row r="1134">
      <c r="A1134" s="3" t="s">
        <v>10119</v>
      </c>
      <c r="B1134" s="3" t="s">
        <v>10120</v>
      </c>
      <c r="C1134" s="3" t="s">
        <v>9971</v>
      </c>
      <c r="D1134" s="3" t="s">
        <v>9900</v>
      </c>
      <c r="E1134" s="4" t="s">
        <v>9972</v>
      </c>
      <c r="F1134" s="3" t="s">
        <v>9928</v>
      </c>
      <c r="G1134" s="4" t="s">
        <v>10121</v>
      </c>
      <c r="H1134" s="4" t="s">
        <v>10122</v>
      </c>
      <c r="I1134" s="3" t="s">
        <v>85</v>
      </c>
      <c r="J1134" s="3" t="s">
        <v>126</v>
      </c>
      <c r="K1134" s="3" t="s">
        <v>45</v>
      </c>
      <c r="L1134" s="3" t="s">
        <v>10123</v>
      </c>
      <c r="M1134" s="3" t="s">
        <v>45</v>
      </c>
      <c r="N1134" s="3" t="s">
        <v>45</v>
      </c>
      <c r="O1134" s="3" t="s">
        <v>74</v>
      </c>
      <c r="P1134" s="3" t="s">
        <v>45</v>
      </c>
      <c r="Q1134" s="3" t="s">
        <v>45</v>
      </c>
      <c r="R1134" s="3" t="s">
        <v>45</v>
      </c>
      <c r="S1134" s="3" t="s">
        <v>45</v>
      </c>
      <c r="T1134" s="3" t="s">
        <v>45</v>
      </c>
      <c r="U1134" s="3" t="s">
        <v>45</v>
      </c>
      <c r="V1134" s="4" t="s">
        <v>10124</v>
      </c>
      <c r="W1134" s="4" t="s">
        <v>583</v>
      </c>
      <c r="X1134" s="3" t="s">
        <v>45</v>
      </c>
      <c r="Y1134" s="3" t="s">
        <v>45</v>
      </c>
      <c r="Z1134" s="3" t="s">
        <v>74</v>
      </c>
      <c r="AA1134" s="3" t="s">
        <v>45</v>
      </c>
      <c r="AB1134" s="3" t="s">
        <v>45</v>
      </c>
      <c r="AC1134" s="3" t="s">
        <v>45</v>
      </c>
      <c r="AD1134" s="3" t="s">
        <v>45</v>
      </c>
      <c r="AE1134" s="3" t="s">
        <v>45</v>
      </c>
      <c r="AF1134" s="3" t="s">
        <v>45</v>
      </c>
      <c r="AG1134" s="3" t="s">
        <v>10016</v>
      </c>
      <c r="AH1134" s="3" t="s">
        <v>9906</v>
      </c>
      <c r="AI1134" s="3" t="s">
        <v>45</v>
      </c>
      <c r="AJ1134" s="5" t="s">
        <v>10125</v>
      </c>
      <c r="AK1134" s="3" t="s">
        <v>45</v>
      </c>
      <c r="AL1134" s="3" t="s">
        <v>45</v>
      </c>
      <c r="AM1134" s="3" t="s">
        <v>45</v>
      </c>
      <c r="AN1134" s="3" t="s">
        <v>45</v>
      </c>
      <c r="AO1134" s="3" t="s">
        <v>45</v>
      </c>
      <c r="AP1134" s="3" t="s">
        <v>45</v>
      </c>
      <c r="AQ1134" s="4" t="s">
        <v>9934</v>
      </c>
      <c r="AR1134" s="4" t="s">
        <v>9908</v>
      </c>
    </row>
    <row r="1135">
      <c r="A1135" s="3" t="s">
        <v>10126</v>
      </c>
      <c r="B1135" s="3" t="s">
        <v>10127</v>
      </c>
      <c r="C1135" s="3" t="s">
        <v>9971</v>
      </c>
      <c r="D1135" s="3" t="s">
        <v>9900</v>
      </c>
      <c r="E1135" s="4" t="s">
        <v>9972</v>
      </c>
      <c r="F1135" s="3" t="s">
        <v>9928</v>
      </c>
      <c r="G1135" s="4" t="s">
        <v>10128</v>
      </c>
      <c r="H1135" s="4" t="s">
        <v>10129</v>
      </c>
      <c r="I1135" s="3" t="s">
        <v>85</v>
      </c>
      <c r="J1135" s="3" t="s">
        <v>126</v>
      </c>
      <c r="K1135" s="3" t="s">
        <v>45</v>
      </c>
      <c r="L1135" s="3" t="s">
        <v>10126</v>
      </c>
      <c r="M1135" s="3" t="s">
        <v>45</v>
      </c>
      <c r="N1135" s="3" t="s">
        <v>45</v>
      </c>
      <c r="O1135" s="3" t="s">
        <v>74</v>
      </c>
      <c r="P1135" s="3" t="s">
        <v>45</v>
      </c>
      <c r="Q1135" s="3" t="s">
        <v>45</v>
      </c>
      <c r="R1135" s="3" t="s">
        <v>45</v>
      </c>
      <c r="S1135" s="3" t="s">
        <v>45</v>
      </c>
      <c r="T1135" s="3" t="s">
        <v>45</v>
      </c>
      <c r="U1135" s="3" t="s">
        <v>45</v>
      </c>
      <c r="V1135" s="4" t="s">
        <v>10130</v>
      </c>
      <c r="W1135" s="4" t="s">
        <v>52</v>
      </c>
      <c r="X1135" s="3" t="s">
        <v>45</v>
      </c>
      <c r="Y1135" s="3" t="s">
        <v>45</v>
      </c>
      <c r="Z1135" s="3" t="s">
        <v>74</v>
      </c>
      <c r="AA1135" s="3" t="s">
        <v>45</v>
      </c>
      <c r="AB1135" s="3" t="s">
        <v>45</v>
      </c>
      <c r="AC1135" s="3" t="s">
        <v>45</v>
      </c>
      <c r="AD1135" s="3" t="s">
        <v>45</v>
      </c>
      <c r="AE1135" s="3" t="s">
        <v>45</v>
      </c>
      <c r="AF1135" s="3" t="s">
        <v>45</v>
      </c>
      <c r="AG1135" s="3" t="s">
        <v>10016</v>
      </c>
      <c r="AH1135" s="3" t="s">
        <v>9906</v>
      </c>
      <c r="AI1135" s="3" t="s">
        <v>45</v>
      </c>
      <c r="AJ1135" s="5" t="s">
        <v>10131</v>
      </c>
      <c r="AK1135" s="3" t="s">
        <v>45</v>
      </c>
      <c r="AL1135" s="3" t="s">
        <v>45</v>
      </c>
      <c r="AM1135" s="3" t="s">
        <v>45</v>
      </c>
      <c r="AN1135" s="3" t="s">
        <v>45</v>
      </c>
      <c r="AO1135" s="3" t="s">
        <v>45</v>
      </c>
      <c r="AP1135" s="3" t="s">
        <v>45</v>
      </c>
      <c r="AQ1135" s="4" t="s">
        <v>9934</v>
      </c>
      <c r="AR1135" s="4" t="s">
        <v>9908</v>
      </c>
    </row>
    <row r="1136">
      <c r="A1136" s="3" t="s">
        <v>10132</v>
      </c>
      <c r="B1136" s="3" t="s">
        <v>10133</v>
      </c>
      <c r="C1136" s="3" t="s">
        <v>9971</v>
      </c>
      <c r="D1136" s="3" t="s">
        <v>9900</v>
      </c>
      <c r="E1136" s="4" t="s">
        <v>9972</v>
      </c>
      <c r="F1136" s="3" t="s">
        <v>9928</v>
      </c>
      <c r="G1136" s="4" t="s">
        <v>10134</v>
      </c>
      <c r="H1136" s="4" t="s">
        <v>10135</v>
      </c>
      <c r="I1136" s="3" t="s">
        <v>49</v>
      </c>
      <c r="J1136" s="3" t="s">
        <v>126</v>
      </c>
      <c r="K1136" s="3" t="s">
        <v>45</v>
      </c>
      <c r="L1136" s="3" t="s">
        <v>10136</v>
      </c>
      <c r="M1136" s="3" t="s">
        <v>45</v>
      </c>
      <c r="N1136" s="3" t="s">
        <v>45</v>
      </c>
      <c r="O1136" s="3" t="s">
        <v>74</v>
      </c>
      <c r="P1136" s="3" t="s">
        <v>45</v>
      </c>
      <c r="Q1136" s="3" t="s">
        <v>45</v>
      </c>
      <c r="R1136" s="3" t="s">
        <v>45</v>
      </c>
      <c r="S1136" s="3" t="s">
        <v>45</v>
      </c>
      <c r="T1136" s="3" t="s">
        <v>45</v>
      </c>
      <c r="U1136" s="3" t="s">
        <v>45</v>
      </c>
      <c r="V1136" s="4" t="s">
        <v>611</v>
      </c>
      <c r="W1136" s="4" t="s">
        <v>4432</v>
      </c>
      <c r="X1136" s="3" t="s">
        <v>45</v>
      </c>
      <c r="Y1136" s="3" t="s">
        <v>45</v>
      </c>
      <c r="Z1136" s="3" t="s">
        <v>74</v>
      </c>
      <c r="AA1136" s="3" t="s">
        <v>45</v>
      </c>
      <c r="AB1136" s="3" t="s">
        <v>45</v>
      </c>
      <c r="AC1136" s="3" t="s">
        <v>45</v>
      </c>
      <c r="AD1136" s="3" t="s">
        <v>45</v>
      </c>
      <c r="AE1136" s="3" t="s">
        <v>45</v>
      </c>
      <c r="AF1136" s="3" t="s">
        <v>45</v>
      </c>
      <c r="AG1136" s="3" t="s">
        <v>9916</v>
      </c>
      <c r="AH1136" s="3" t="s">
        <v>9906</v>
      </c>
      <c r="AI1136" s="5" t="s">
        <v>10137</v>
      </c>
      <c r="AJ1136" s="5" t="s">
        <v>10138</v>
      </c>
      <c r="AK1136" s="3" t="s">
        <v>45</v>
      </c>
      <c r="AL1136" s="3" t="s">
        <v>45</v>
      </c>
      <c r="AM1136" s="3" t="s">
        <v>45</v>
      </c>
      <c r="AN1136" s="3" t="s">
        <v>45</v>
      </c>
      <c r="AO1136" s="3" t="s">
        <v>45</v>
      </c>
      <c r="AP1136" s="3" t="s">
        <v>45</v>
      </c>
      <c r="AQ1136" s="4" t="s">
        <v>9934</v>
      </c>
      <c r="AR1136" s="4" t="s">
        <v>9908</v>
      </c>
    </row>
    <row r="1137">
      <c r="A1137" s="3" t="s">
        <v>10139</v>
      </c>
      <c r="B1137" s="3" t="s">
        <v>10140</v>
      </c>
      <c r="C1137" s="3" t="s">
        <v>9971</v>
      </c>
      <c r="D1137" s="3" t="s">
        <v>9900</v>
      </c>
      <c r="E1137" s="4" t="s">
        <v>9972</v>
      </c>
      <c r="F1137" s="3" t="s">
        <v>9928</v>
      </c>
      <c r="G1137" s="4" t="s">
        <v>10141</v>
      </c>
      <c r="H1137" s="4" t="s">
        <v>10142</v>
      </c>
      <c r="I1137" s="3" t="s">
        <v>85</v>
      </c>
      <c r="J1137" s="3" t="s">
        <v>126</v>
      </c>
      <c r="K1137" s="3" t="s">
        <v>45</v>
      </c>
      <c r="L1137" s="3" t="s">
        <v>10143</v>
      </c>
      <c r="M1137" s="3" t="s">
        <v>45</v>
      </c>
      <c r="N1137" s="3" t="s">
        <v>45</v>
      </c>
      <c r="O1137" s="3" t="s">
        <v>74</v>
      </c>
      <c r="P1137" s="3" t="s">
        <v>45</v>
      </c>
      <c r="Q1137" s="3" t="s">
        <v>45</v>
      </c>
      <c r="R1137" s="3" t="s">
        <v>45</v>
      </c>
      <c r="S1137" s="3" t="s">
        <v>45</v>
      </c>
      <c r="T1137" s="3" t="s">
        <v>45</v>
      </c>
      <c r="U1137" s="3" t="s">
        <v>45</v>
      </c>
      <c r="V1137" s="4" t="s">
        <v>10144</v>
      </c>
      <c r="W1137" s="4" t="s">
        <v>6561</v>
      </c>
      <c r="X1137" s="3" t="s">
        <v>45</v>
      </c>
      <c r="Y1137" s="3" t="s">
        <v>45</v>
      </c>
      <c r="Z1137" s="3" t="s">
        <v>74</v>
      </c>
      <c r="AA1137" s="3" t="s">
        <v>45</v>
      </c>
      <c r="AB1137" s="3" t="s">
        <v>45</v>
      </c>
      <c r="AC1137" s="3" t="s">
        <v>45</v>
      </c>
      <c r="AD1137" s="3" t="s">
        <v>45</v>
      </c>
      <c r="AE1137" s="3" t="s">
        <v>45</v>
      </c>
      <c r="AF1137" s="3" t="s">
        <v>45</v>
      </c>
      <c r="AG1137" s="3" t="s">
        <v>9932</v>
      </c>
      <c r="AH1137" s="3" t="s">
        <v>9906</v>
      </c>
      <c r="AI1137" s="3" t="s">
        <v>45</v>
      </c>
      <c r="AJ1137" s="5" t="s">
        <v>10145</v>
      </c>
      <c r="AK1137" s="3" t="s">
        <v>45</v>
      </c>
      <c r="AL1137" s="3" t="s">
        <v>45</v>
      </c>
      <c r="AM1137" s="3" t="s">
        <v>45</v>
      </c>
      <c r="AN1137" s="3" t="s">
        <v>45</v>
      </c>
      <c r="AO1137" s="3" t="s">
        <v>45</v>
      </c>
      <c r="AP1137" s="3" t="s">
        <v>45</v>
      </c>
      <c r="AQ1137" s="4" t="s">
        <v>9934</v>
      </c>
      <c r="AR1137" s="4" t="s">
        <v>9908</v>
      </c>
    </row>
    <row r="1138">
      <c r="A1138" s="3" t="s">
        <v>10146</v>
      </c>
      <c r="B1138" s="3" t="s">
        <v>10147</v>
      </c>
      <c r="C1138" s="3" t="s">
        <v>9971</v>
      </c>
      <c r="D1138" s="3" t="s">
        <v>9900</v>
      </c>
      <c r="E1138" s="4" t="s">
        <v>10148</v>
      </c>
      <c r="F1138" s="3" t="s">
        <v>9928</v>
      </c>
      <c r="G1138" s="4" t="s">
        <v>10149</v>
      </c>
      <c r="H1138" s="4" t="s">
        <v>10150</v>
      </c>
      <c r="I1138" s="3" t="s">
        <v>49</v>
      </c>
      <c r="J1138" s="3" t="s">
        <v>50</v>
      </c>
      <c r="K1138" s="3" t="s">
        <v>45</v>
      </c>
      <c r="L1138" s="3" t="s">
        <v>45</v>
      </c>
      <c r="M1138" s="3" t="s">
        <v>45</v>
      </c>
      <c r="N1138" s="3" t="s">
        <v>45</v>
      </c>
      <c r="O1138" s="3" t="s">
        <v>74</v>
      </c>
      <c r="P1138" s="3" t="s">
        <v>45</v>
      </c>
      <c r="Q1138" s="3" t="s">
        <v>45</v>
      </c>
      <c r="R1138" s="3" t="s">
        <v>45</v>
      </c>
      <c r="S1138" s="3" t="s">
        <v>45</v>
      </c>
      <c r="T1138" s="3" t="s">
        <v>45</v>
      </c>
      <c r="U1138" s="3" t="s">
        <v>45</v>
      </c>
      <c r="V1138" s="4" t="s">
        <v>10151</v>
      </c>
      <c r="W1138" s="4" t="s">
        <v>2490</v>
      </c>
      <c r="X1138" s="3" t="s">
        <v>45</v>
      </c>
      <c r="Y1138" s="3" t="s">
        <v>45</v>
      </c>
      <c r="Z1138" s="3" t="s">
        <v>74</v>
      </c>
      <c r="AA1138" s="3" t="s">
        <v>45</v>
      </c>
      <c r="AB1138" s="3" t="s">
        <v>45</v>
      </c>
      <c r="AC1138" s="3" t="s">
        <v>45</v>
      </c>
      <c r="AD1138" s="3" t="s">
        <v>45</v>
      </c>
      <c r="AE1138" s="3" t="s">
        <v>45</v>
      </c>
      <c r="AF1138" s="3" t="s">
        <v>45</v>
      </c>
      <c r="AG1138" s="3" t="s">
        <v>9916</v>
      </c>
      <c r="AH1138" s="3" t="s">
        <v>9906</v>
      </c>
      <c r="AI1138" s="5" t="s">
        <v>10152</v>
      </c>
      <c r="AJ1138" s="5" t="s">
        <v>10153</v>
      </c>
      <c r="AK1138" s="3" t="s">
        <v>45</v>
      </c>
      <c r="AL1138" s="3" t="s">
        <v>45</v>
      </c>
      <c r="AM1138" s="3" t="s">
        <v>45</v>
      </c>
      <c r="AN1138" s="3" t="s">
        <v>45</v>
      </c>
      <c r="AO1138" s="3" t="s">
        <v>45</v>
      </c>
      <c r="AP1138" s="3" t="s">
        <v>45</v>
      </c>
      <c r="AQ1138" s="4" t="s">
        <v>807</v>
      </c>
      <c r="AR1138" s="4" t="s">
        <v>9908</v>
      </c>
    </row>
    <row r="1139">
      <c r="A1139" s="3" t="s">
        <v>10154</v>
      </c>
      <c r="B1139" s="3" t="s">
        <v>10155</v>
      </c>
      <c r="C1139" s="3" t="s">
        <v>9971</v>
      </c>
      <c r="D1139" s="3" t="s">
        <v>9900</v>
      </c>
      <c r="E1139" s="4" t="s">
        <v>9972</v>
      </c>
      <c r="F1139" s="3" t="s">
        <v>9928</v>
      </c>
      <c r="G1139" s="4" t="s">
        <v>10156</v>
      </c>
      <c r="H1139" s="4" t="s">
        <v>10157</v>
      </c>
      <c r="I1139" s="3" t="s">
        <v>85</v>
      </c>
      <c r="J1139" s="3" t="s">
        <v>126</v>
      </c>
      <c r="K1139" s="3" t="s">
        <v>45</v>
      </c>
      <c r="L1139" s="3" t="s">
        <v>10158</v>
      </c>
      <c r="M1139" s="3" t="s">
        <v>45</v>
      </c>
      <c r="N1139" s="3" t="s">
        <v>45</v>
      </c>
      <c r="O1139" s="3" t="s">
        <v>74</v>
      </c>
      <c r="P1139" s="3" t="s">
        <v>45</v>
      </c>
      <c r="Q1139" s="3" t="s">
        <v>45</v>
      </c>
      <c r="R1139" s="3" t="s">
        <v>45</v>
      </c>
      <c r="S1139" s="3" t="s">
        <v>45</v>
      </c>
      <c r="T1139" s="3" t="s">
        <v>45</v>
      </c>
      <c r="U1139" s="3" t="s">
        <v>45</v>
      </c>
      <c r="V1139" s="4" t="s">
        <v>10159</v>
      </c>
      <c r="W1139" s="4" t="s">
        <v>247</v>
      </c>
      <c r="X1139" s="3" t="s">
        <v>45</v>
      </c>
      <c r="Y1139" s="3" t="s">
        <v>45</v>
      </c>
      <c r="Z1139" s="3" t="s">
        <v>74</v>
      </c>
      <c r="AA1139" s="3" t="s">
        <v>45</v>
      </c>
      <c r="AB1139" s="3" t="s">
        <v>45</v>
      </c>
      <c r="AC1139" s="3" t="s">
        <v>45</v>
      </c>
      <c r="AD1139" s="3" t="s">
        <v>45</v>
      </c>
      <c r="AE1139" s="3" t="s">
        <v>45</v>
      </c>
      <c r="AF1139" s="3" t="s">
        <v>45</v>
      </c>
      <c r="AG1139" s="3" t="s">
        <v>9932</v>
      </c>
      <c r="AH1139" s="3" t="s">
        <v>9906</v>
      </c>
      <c r="AI1139" s="5" t="s">
        <v>10160</v>
      </c>
      <c r="AJ1139" s="3" t="s">
        <v>45</v>
      </c>
      <c r="AK1139" s="3" t="s">
        <v>45</v>
      </c>
      <c r="AL1139" s="3" t="s">
        <v>45</v>
      </c>
      <c r="AM1139" s="3" t="s">
        <v>45</v>
      </c>
      <c r="AN1139" s="3" t="s">
        <v>45</v>
      </c>
      <c r="AO1139" s="3" t="s">
        <v>45</v>
      </c>
      <c r="AP1139" s="3" t="s">
        <v>45</v>
      </c>
      <c r="AQ1139" s="4" t="s">
        <v>9934</v>
      </c>
      <c r="AR1139" s="4" t="s">
        <v>9908</v>
      </c>
    </row>
    <row r="1140">
      <c r="A1140" s="3" t="s">
        <v>10161</v>
      </c>
      <c r="B1140" s="3" t="s">
        <v>10162</v>
      </c>
      <c r="C1140" s="3" t="s">
        <v>9971</v>
      </c>
      <c r="D1140" s="3" t="s">
        <v>9900</v>
      </c>
      <c r="E1140" s="4" t="s">
        <v>10148</v>
      </c>
      <c r="F1140" s="3" t="s">
        <v>9928</v>
      </c>
      <c r="G1140" s="4" t="s">
        <v>10163</v>
      </c>
      <c r="H1140" s="4" t="s">
        <v>10164</v>
      </c>
      <c r="I1140" s="3" t="s">
        <v>49</v>
      </c>
      <c r="J1140" s="3" t="s">
        <v>50</v>
      </c>
      <c r="K1140" s="3" t="s">
        <v>45</v>
      </c>
      <c r="L1140" s="3" t="s">
        <v>45</v>
      </c>
      <c r="M1140" s="3" t="s">
        <v>45</v>
      </c>
      <c r="N1140" s="3" t="s">
        <v>45</v>
      </c>
      <c r="O1140" s="3" t="s">
        <v>74</v>
      </c>
      <c r="P1140" s="3" t="s">
        <v>45</v>
      </c>
      <c r="Q1140" s="3" t="s">
        <v>45</v>
      </c>
      <c r="R1140" s="3" t="s">
        <v>45</v>
      </c>
      <c r="S1140" s="3" t="s">
        <v>45</v>
      </c>
      <c r="T1140" s="3" t="s">
        <v>45</v>
      </c>
      <c r="U1140" s="3" t="s">
        <v>45</v>
      </c>
      <c r="V1140" s="4" t="s">
        <v>10165</v>
      </c>
      <c r="W1140" s="4" t="s">
        <v>9511</v>
      </c>
      <c r="X1140" s="3" t="s">
        <v>45</v>
      </c>
      <c r="Y1140" s="3" t="s">
        <v>45</v>
      </c>
      <c r="Z1140" s="3" t="s">
        <v>74</v>
      </c>
      <c r="AA1140" s="3" t="s">
        <v>45</v>
      </c>
      <c r="AB1140" s="3" t="s">
        <v>45</v>
      </c>
      <c r="AC1140" s="3" t="s">
        <v>45</v>
      </c>
      <c r="AD1140" s="3" t="s">
        <v>45</v>
      </c>
      <c r="AE1140" s="3" t="s">
        <v>45</v>
      </c>
      <c r="AF1140" s="3" t="s">
        <v>45</v>
      </c>
      <c r="AG1140" s="3" t="s">
        <v>45</v>
      </c>
      <c r="AH1140" s="3" t="s">
        <v>9906</v>
      </c>
      <c r="AI1140" s="5" t="s">
        <v>10166</v>
      </c>
      <c r="AJ1140" s="5" t="s">
        <v>10167</v>
      </c>
      <c r="AK1140" s="3" t="s">
        <v>45</v>
      </c>
      <c r="AL1140" s="3" t="s">
        <v>45</v>
      </c>
      <c r="AM1140" s="3" t="s">
        <v>45</v>
      </c>
      <c r="AN1140" s="3" t="s">
        <v>45</v>
      </c>
      <c r="AO1140" s="3" t="s">
        <v>45</v>
      </c>
      <c r="AP1140" s="3" t="s">
        <v>45</v>
      </c>
      <c r="AQ1140" s="4" t="s">
        <v>212</v>
      </c>
      <c r="AR1140" s="4" t="s">
        <v>9908</v>
      </c>
    </row>
    <row r="1141">
      <c r="A1141" s="3" t="s">
        <v>10168</v>
      </c>
      <c r="B1141" s="3" t="s">
        <v>10169</v>
      </c>
      <c r="C1141" s="3" t="s">
        <v>9971</v>
      </c>
      <c r="D1141" s="3" t="s">
        <v>9900</v>
      </c>
      <c r="E1141" s="4" t="s">
        <v>9972</v>
      </c>
      <c r="F1141" s="3" t="s">
        <v>9928</v>
      </c>
      <c r="G1141" s="4" t="s">
        <v>10170</v>
      </c>
      <c r="H1141" s="4" t="s">
        <v>10171</v>
      </c>
      <c r="I1141" s="3" t="s">
        <v>49</v>
      </c>
      <c r="J1141" s="3" t="s">
        <v>126</v>
      </c>
      <c r="K1141" s="3" t="s">
        <v>45</v>
      </c>
      <c r="L1141" s="3" t="s">
        <v>45</v>
      </c>
      <c r="M1141" s="3" t="s">
        <v>45</v>
      </c>
      <c r="N1141" s="3" t="s">
        <v>45</v>
      </c>
      <c r="O1141" s="3" t="s">
        <v>74</v>
      </c>
      <c r="P1141" s="3" t="s">
        <v>45</v>
      </c>
      <c r="Q1141" s="3" t="s">
        <v>45</v>
      </c>
      <c r="R1141" s="3" t="s">
        <v>45</v>
      </c>
      <c r="S1141" s="3" t="s">
        <v>45</v>
      </c>
      <c r="T1141" s="3" t="s">
        <v>45</v>
      </c>
      <c r="U1141" s="3" t="s">
        <v>45</v>
      </c>
      <c r="V1141" s="4" t="s">
        <v>10172</v>
      </c>
      <c r="W1141" s="4" t="s">
        <v>437</v>
      </c>
      <c r="X1141" s="3" t="s">
        <v>45</v>
      </c>
      <c r="Y1141" s="3" t="s">
        <v>45</v>
      </c>
      <c r="Z1141" s="3" t="s">
        <v>74</v>
      </c>
      <c r="AA1141" s="3" t="s">
        <v>45</v>
      </c>
      <c r="AB1141" s="3" t="s">
        <v>45</v>
      </c>
      <c r="AC1141" s="3" t="s">
        <v>45</v>
      </c>
      <c r="AD1141" s="3" t="s">
        <v>45</v>
      </c>
      <c r="AE1141" s="3" t="s">
        <v>45</v>
      </c>
      <c r="AF1141" s="3" t="s">
        <v>45</v>
      </c>
      <c r="AG1141" s="3" t="s">
        <v>10173</v>
      </c>
      <c r="AH1141" s="3" t="s">
        <v>9906</v>
      </c>
      <c r="AI1141" s="5" t="s">
        <v>10174</v>
      </c>
      <c r="AJ1141" s="5" t="s">
        <v>10175</v>
      </c>
      <c r="AK1141" s="3" t="s">
        <v>45</v>
      </c>
      <c r="AL1141" s="3" t="s">
        <v>45</v>
      </c>
      <c r="AM1141" s="3" t="s">
        <v>45</v>
      </c>
      <c r="AN1141" s="3" t="s">
        <v>45</v>
      </c>
      <c r="AO1141" s="3" t="s">
        <v>45</v>
      </c>
      <c r="AP1141" s="3" t="s">
        <v>45</v>
      </c>
      <c r="AQ1141" s="4" t="s">
        <v>10118</v>
      </c>
      <c r="AR1141" s="4" t="s">
        <v>9908</v>
      </c>
    </row>
    <row r="1142">
      <c r="A1142" s="3" t="s">
        <v>10176</v>
      </c>
      <c r="B1142" s="3" t="s">
        <v>10177</v>
      </c>
      <c r="C1142" s="3" t="s">
        <v>9971</v>
      </c>
      <c r="D1142" s="3" t="s">
        <v>9900</v>
      </c>
      <c r="E1142" s="4" t="s">
        <v>9972</v>
      </c>
      <c r="F1142" s="3" t="s">
        <v>9928</v>
      </c>
      <c r="G1142" s="4" t="s">
        <v>10178</v>
      </c>
      <c r="H1142" s="4" t="s">
        <v>10179</v>
      </c>
      <c r="I1142" s="3" t="s">
        <v>85</v>
      </c>
      <c r="J1142" s="3" t="s">
        <v>126</v>
      </c>
      <c r="K1142" s="3" t="s">
        <v>45</v>
      </c>
      <c r="L1142" s="3" t="s">
        <v>10180</v>
      </c>
      <c r="M1142" s="3" t="s">
        <v>45</v>
      </c>
      <c r="N1142" s="3" t="s">
        <v>45</v>
      </c>
      <c r="O1142" s="3" t="s">
        <v>74</v>
      </c>
      <c r="P1142" s="3" t="s">
        <v>45</v>
      </c>
      <c r="Q1142" s="3" t="s">
        <v>45</v>
      </c>
      <c r="R1142" s="3" t="s">
        <v>45</v>
      </c>
      <c r="S1142" s="3" t="s">
        <v>45</v>
      </c>
      <c r="T1142" s="3" t="s">
        <v>45</v>
      </c>
      <c r="U1142" s="3" t="s">
        <v>45</v>
      </c>
      <c r="V1142" s="4" t="s">
        <v>10181</v>
      </c>
      <c r="W1142" s="4" t="s">
        <v>582</v>
      </c>
      <c r="X1142" s="3" t="s">
        <v>45</v>
      </c>
      <c r="Y1142" s="3" t="s">
        <v>45</v>
      </c>
      <c r="Z1142" s="3" t="s">
        <v>74</v>
      </c>
      <c r="AA1142" s="3" t="s">
        <v>45</v>
      </c>
      <c r="AB1142" s="3" t="s">
        <v>45</v>
      </c>
      <c r="AC1142" s="3" t="s">
        <v>45</v>
      </c>
      <c r="AD1142" s="3" t="s">
        <v>45</v>
      </c>
      <c r="AE1142" s="3" t="s">
        <v>45</v>
      </c>
      <c r="AF1142" s="3" t="s">
        <v>45</v>
      </c>
      <c r="AG1142" s="3" t="s">
        <v>10016</v>
      </c>
      <c r="AH1142" s="3" t="s">
        <v>9906</v>
      </c>
      <c r="AI1142" s="5" t="s">
        <v>10182</v>
      </c>
      <c r="AJ1142" s="3" t="s">
        <v>45</v>
      </c>
      <c r="AK1142" s="3" t="s">
        <v>45</v>
      </c>
      <c r="AL1142" s="3" t="s">
        <v>45</v>
      </c>
      <c r="AM1142" s="3" t="s">
        <v>45</v>
      </c>
      <c r="AN1142" s="3" t="s">
        <v>45</v>
      </c>
      <c r="AO1142" s="3" t="s">
        <v>45</v>
      </c>
      <c r="AP1142" s="3" t="s">
        <v>45</v>
      </c>
      <c r="AQ1142" s="4" t="s">
        <v>9934</v>
      </c>
      <c r="AR1142" s="4" t="s">
        <v>9908</v>
      </c>
    </row>
    <row r="1143">
      <c r="A1143" s="3" t="s">
        <v>10183</v>
      </c>
      <c r="B1143" s="3" t="s">
        <v>10184</v>
      </c>
      <c r="C1143" s="3" t="s">
        <v>9971</v>
      </c>
      <c r="D1143" s="3" t="s">
        <v>9900</v>
      </c>
      <c r="E1143" s="4" t="s">
        <v>9972</v>
      </c>
      <c r="F1143" s="3" t="s">
        <v>9928</v>
      </c>
      <c r="G1143" s="4" t="s">
        <v>10185</v>
      </c>
      <c r="H1143" s="4" t="s">
        <v>10186</v>
      </c>
      <c r="I1143" s="3" t="s">
        <v>85</v>
      </c>
      <c r="J1143" s="3" t="s">
        <v>126</v>
      </c>
      <c r="K1143" s="3" t="s">
        <v>45</v>
      </c>
      <c r="L1143" s="3" t="s">
        <v>10187</v>
      </c>
      <c r="M1143" s="3" t="s">
        <v>45</v>
      </c>
      <c r="N1143" s="3" t="s">
        <v>45</v>
      </c>
      <c r="O1143" s="3" t="s">
        <v>74</v>
      </c>
      <c r="P1143" s="3" t="s">
        <v>45</v>
      </c>
      <c r="Q1143" s="3" t="s">
        <v>45</v>
      </c>
      <c r="R1143" s="3" t="s">
        <v>45</v>
      </c>
      <c r="S1143" s="3" t="s">
        <v>45</v>
      </c>
      <c r="T1143" s="3" t="s">
        <v>45</v>
      </c>
      <c r="U1143" s="3" t="s">
        <v>45</v>
      </c>
      <c r="V1143" s="4" t="s">
        <v>10188</v>
      </c>
      <c r="W1143" s="4" t="s">
        <v>6286</v>
      </c>
      <c r="X1143" s="3" t="s">
        <v>45</v>
      </c>
      <c r="Y1143" s="3" t="s">
        <v>45</v>
      </c>
      <c r="Z1143" s="3" t="s">
        <v>74</v>
      </c>
      <c r="AA1143" s="3" t="s">
        <v>45</v>
      </c>
      <c r="AB1143" s="3" t="s">
        <v>45</v>
      </c>
      <c r="AC1143" s="3" t="s">
        <v>45</v>
      </c>
      <c r="AD1143" s="3" t="s">
        <v>45</v>
      </c>
      <c r="AE1143" s="3" t="s">
        <v>45</v>
      </c>
      <c r="AF1143" s="3" t="s">
        <v>45</v>
      </c>
      <c r="AG1143" s="3" t="s">
        <v>10016</v>
      </c>
      <c r="AH1143" s="3" t="s">
        <v>9906</v>
      </c>
      <c r="AI1143" s="5" t="s">
        <v>10189</v>
      </c>
      <c r="AJ1143" s="3" t="s">
        <v>45</v>
      </c>
      <c r="AK1143" s="3" t="s">
        <v>45</v>
      </c>
      <c r="AL1143" s="3" t="s">
        <v>45</v>
      </c>
      <c r="AM1143" s="3" t="s">
        <v>45</v>
      </c>
      <c r="AN1143" s="3" t="s">
        <v>45</v>
      </c>
      <c r="AO1143" s="3" t="s">
        <v>45</v>
      </c>
      <c r="AP1143" s="3" t="s">
        <v>45</v>
      </c>
      <c r="AQ1143" s="4" t="s">
        <v>9934</v>
      </c>
      <c r="AR1143" s="4" t="s">
        <v>9908</v>
      </c>
    </row>
    <row r="1144">
      <c r="A1144" s="3" t="s">
        <v>10190</v>
      </c>
      <c r="B1144" s="3" t="s">
        <v>10191</v>
      </c>
      <c r="C1144" s="3" t="s">
        <v>9971</v>
      </c>
      <c r="D1144" s="3" t="s">
        <v>9900</v>
      </c>
      <c r="E1144" s="4" t="s">
        <v>9972</v>
      </c>
      <c r="F1144" s="3" t="s">
        <v>9928</v>
      </c>
      <c r="G1144" s="4" t="s">
        <v>10192</v>
      </c>
      <c r="H1144" s="4" t="s">
        <v>10193</v>
      </c>
      <c r="I1144" s="3" t="s">
        <v>49</v>
      </c>
      <c r="J1144" s="3" t="s">
        <v>126</v>
      </c>
      <c r="K1144" s="3" t="s">
        <v>45</v>
      </c>
      <c r="L1144" s="3" t="s">
        <v>921</v>
      </c>
      <c r="M1144" s="3" t="s">
        <v>45</v>
      </c>
      <c r="N1144" s="3" t="s">
        <v>45</v>
      </c>
      <c r="O1144" s="3" t="s">
        <v>74</v>
      </c>
      <c r="P1144" s="3" t="s">
        <v>45</v>
      </c>
      <c r="Q1144" s="3" t="s">
        <v>45</v>
      </c>
      <c r="R1144" s="3" t="s">
        <v>45</v>
      </c>
      <c r="S1144" s="3" t="s">
        <v>45</v>
      </c>
      <c r="T1144" s="3" t="s">
        <v>45</v>
      </c>
      <c r="U1144" s="3" t="s">
        <v>45</v>
      </c>
      <c r="V1144" s="4" t="s">
        <v>10194</v>
      </c>
      <c r="W1144" s="4" t="s">
        <v>1843</v>
      </c>
      <c r="X1144" s="3" t="s">
        <v>45</v>
      </c>
      <c r="Y1144" s="3" t="s">
        <v>45</v>
      </c>
      <c r="Z1144" s="3" t="s">
        <v>74</v>
      </c>
      <c r="AA1144" s="3" t="s">
        <v>45</v>
      </c>
      <c r="AB1144" s="3" t="s">
        <v>45</v>
      </c>
      <c r="AC1144" s="3" t="s">
        <v>45</v>
      </c>
      <c r="AD1144" s="3" t="s">
        <v>45</v>
      </c>
      <c r="AE1144" s="3" t="s">
        <v>45</v>
      </c>
      <c r="AF1144" s="3" t="s">
        <v>45</v>
      </c>
      <c r="AG1144" s="3" t="s">
        <v>45</v>
      </c>
      <c r="AH1144" s="3" t="s">
        <v>9906</v>
      </c>
      <c r="AI1144" s="5" t="s">
        <v>10195</v>
      </c>
      <c r="AJ1144" s="5" t="s">
        <v>10196</v>
      </c>
      <c r="AK1144" s="3" t="s">
        <v>45</v>
      </c>
      <c r="AL1144" s="3" t="s">
        <v>45</v>
      </c>
      <c r="AM1144" s="3" t="s">
        <v>45</v>
      </c>
      <c r="AN1144" s="3" t="s">
        <v>45</v>
      </c>
      <c r="AO1144" s="3" t="s">
        <v>45</v>
      </c>
      <c r="AP1144" s="3" t="s">
        <v>45</v>
      </c>
      <c r="AQ1144" s="4" t="s">
        <v>9934</v>
      </c>
      <c r="AR1144" s="4" t="s">
        <v>9908</v>
      </c>
    </row>
    <row r="1145">
      <c r="A1145" s="3" t="s">
        <v>10197</v>
      </c>
      <c r="B1145" s="3" t="s">
        <v>10198</v>
      </c>
      <c r="C1145" s="3" t="s">
        <v>9971</v>
      </c>
      <c r="D1145" s="3" t="s">
        <v>9900</v>
      </c>
      <c r="E1145" s="4" t="s">
        <v>9972</v>
      </c>
      <c r="F1145" s="3" t="s">
        <v>9928</v>
      </c>
      <c r="G1145" s="4" t="s">
        <v>10199</v>
      </c>
      <c r="H1145" s="4" t="s">
        <v>10200</v>
      </c>
      <c r="I1145" s="3" t="s">
        <v>85</v>
      </c>
      <c r="J1145" s="3" t="s">
        <v>126</v>
      </c>
      <c r="K1145" s="3" t="s">
        <v>45</v>
      </c>
      <c r="L1145" s="3" t="s">
        <v>10201</v>
      </c>
      <c r="M1145" s="3" t="s">
        <v>45</v>
      </c>
      <c r="N1145" s="3" t="s">
        <v>45</v>
      </c>
      <c r="O1145" s="3" t="s">
        <v>74</v>
      </c>
      <c r="P1145" s="3" t="s">
        <v>45</v>
      </c>
      <c r="Q1145" s="3" t="s">
        <v>45</v>
      </c>
      <c r="R1145" s="3" t="s">
        <v>45</v>
      </c>
      <c r="S1145" s="3" t="s">
        <v>45</v>
      </c>
      <c r="T1145" s="3" t="s">
        <v>45</v>
      </c>
      <c r="U1145" s="3" t="s">
        <v>45</v>
      </c>
      <c r="V1145" s="4" t="s">
        <v>10202</v>
      </c>
      <c r="W1145" s="4" t="s">
        <v>1610</v>
      </c>
      <c r="X1145" s="3" t="s">
        <v>45</v>
      </c>
      <c r="Y1145" s="3" t="s">
        <v>45</v>
      </c>
      <c r="Z1145" s="3" t="s">
        <v>74</v>
      </c>
      <c r="AA1145" s="3" t="s">
        <v>45</v>
      </c>
      <c r="AB1145" s="3" t="s">
        <v>45</v>
      </c>
      <c r="AC1145" s="3" t="s">
        <v>45</v>
      </c>
      <c r="AD1145" s="3" t="s">
        <v>45</v>
      </c>
      <c r="AE1145" s="3" t="s">
        <v>45</v>
      </c>
      <c r="AF1145" s="3" t="s">
        <v>45</v>
      </c>
      <c r="AG1145" s="3" t="s">
        <v>9932</v>
      </c>
      <c r="AH1145" s="3" t="s">
        <v>9906</v>
      </c>
      <c r="AI1145" s="5" t="s">
        <v>10203</v>
      </c>
      <c r="AJ1145" s="3" t="s">
        <v>45</v>
      </c>
      <c r="AK1145" s="3" t="s">
        <v>45</v>
      </c>
      <c r="AL1145" s="3" t="s">
        <v>45</v>
      </c>
      <c r="AM1145" s="3" t="s">
        <v>45</v>
      </c>
      <c r="AN1145" s="3" t="s">
        <v>45</v>
      </c>
      <c r="AO1145" s="3" t="s">
        <v>45</v>
      </c>
      <c r="AP1145" s="3" t="s">
        <v>45</v>
      </c>
      <c r="AQ1145" s="4" t="s">
        <v>9934</v>
      </c>
      <c r="AR1145" s="4" t="s">
        <v>9908</v>
      </c>
    </row>
    <row r="1146">
      <c r="A1146" s="3" t="s">
        <v>10204</v>
      </c>
      <c r="B1146" s="3" t="s">
        <v>10205</v>
      </c>
      <c r="C1146" s="3" t="s">
        <v>9971</v>
      </c>
      <c r="D1146" s="3" t="s">
        <v>9900</v>
      </c>
      <c r="E1146" s="4" t="s">
        <v>9972</v>
      </c>
      <c r="F1146" s="3" t="s">
        <v>9928</v>
      </c>
      <c r="G1146" s="4" t="s">
        <v>10206</v>
      </c>
      <c r="H1146" s="4" t="s">
        <v>10207</v>
      </c>
      <c r="I1146" s="3" t="s">
        <v>85</v>
      </c>
      <c r="J1146" s="3" t="s">
        <v>126</v>
      </c>
      <c r="K1146" s="3" t="s">
        <v>45</v>
      </c>
      <c r="L1146" s="3" t="s">
        <v>10208</v>
      </c>
      <c r="M1146" s="3" t="s">
        <v>45</v>
      </c>
      <c r="N1146" s="3" t="s">
        <v>45</v>
      </c>
      <c r="O1146" s="3" t="s">
        <v>74</v>
      </c>
      <c r="P1146" s="3" t="s">
        <v>45</v>
      </c>
      <c r="Q1146" s="3" t="s">
        <v>45</v>
      </c>
      <c r="R1146" s="3" t="s">
        <v>45</v>
      </c>
      <c r="S1146" s="3" t="s">
        <v>45</v>
      </c>
      <c r="T1146" s="3" t="s">
        <v>45</v>
      </c>
      <c r="U1146" s="3" t="s">
        <v>45</v>
      </c>
      <c r="V1146" s="4" t="s">
        <v>10209</v>
      </c>
      <c r="W1146" s="4" t="s">
        <v>2754</v>
      </c>
      <c r="X1146" s="3" t="s">
        <v>45</v>
      </c>
      <c r="Y1146" s="3" t="s">
        <v>45</v>
      </c>
      <c r="Z1146" s="3" t="s">
        <v>74</v>
      </c>
      <c r="AA1146" s="3" t="s">
        <v>45</v>
      </c>
      <c r="AB1146" s="3" t="s">
        <v>45</v>
      </c>
      <c r="AC1146" s="3" t="s">
        <v>45</v>
      </c>
      <c r="AD1146" s="3" t="s">
        <v>45</v>
      </c>
      <c r="AE1146" s="3" t="s">
        <v>45</v>
      </c>
      <c r="AF1146" s="3" t="s">
        <v>45</v>
      </c>
      <c r="AG1146" s="3" t="s">
        <v>9932</v>
      </c>
      <c r="AH1146" s="3" t="s">
        <v>9906</v>
      </c>
      <c r="AI1146" s="5" t="s">
        <v>10210</v>
      </c>
      <c r="AJ1146" s="3" t="s">
        <v>45</v>
      </c>
      <c r="AK1146" s="3" t="s">
        <v>45</v>
      </c>
      <c r="AL1146" s="3" t="s">
        <v>45</v>
      </c>
      <c r="AM1146" s="3" t="s">
        <v>45</v>
      </c>
      <c r="AN1146" s="3" t="s">
        <v>45</v>
      </c>
      <c r="AO1146" s="3" t="s">
        <v>45</v>
      </c>
      <c r="AP1146" s="3" t="s">
        <v>45</v>
      </c>
      <c r="AQ1146" s="4" t="s">
        <v>9934</v>
      </c>
      <c r="AR1146" s="4" t="s">
        <v>9908</v>
      </c>
    </row>
    <row r="1147">
      <c r="A1147" s="3" t="s">
        <v>10211</v>
      </c>
      <c r="B1147" s="3" t="s">
        <v>10212</v>
      </c>
      <c r="C1147" s="3" t="s">
        <v>9971</v>
      </c>
      <c r="D1147" s="3" t="s">
        <v>9900</v>
      </c>
      <c r="E1147" s="4" t="s">
        <v>9972</v>
      </c>
      <c r="F1147" s="3" t="s">
        <v>9928</v>
      </c>
      <c r="G1147" s="4" t="s">
        <v>10213</v>
      </c>
      <c r="H1147" s="4" t="s">
        <v>10214</v>
      </c>
      <c r="I1147" s="3" t="s">
        <v>85</v>
      </c>
      <c r="J1147" s="3" t="s">
        <v>126</v>
      </c>
      <c r="K1147" s="3" t="s">
        <v>45</v>
      </c>
      <c r="L1147" s="3" t="s">
        <v>45</v>
      </c>
      <c r="M1147" s="3" t="s">
        <v>45</v>
      </c>
      <c r="N1147" s="3" t="s">
        <v>45</v>
      </c>
      <c r="O1147" s="3" t="s">
        <v>74</v>
      </c>
      <c r="P1147" s="3" t="s">
        <v>45</v>
      </c>
      <c r="Q1147" s="3" t="s">
        <v>45</v>
      </c>
      <c r="R1147" s="3" t="s">
        <v>45</v>
      </c>
      <c r="S1147" s="3" t="s">
        <v>45</v>
      </c>
      <c r="T1147" s="3" t="s">
        <v>45</v>
      </c>
      <c r="U1147" s="3" t="s">
        <v>45</v>
      </c>
      <c r="V1147" s="4" t="s">
        <v>10215</v>
      </c>
      <c r="W1147" s="4" t="s">
        <v>10216</v>
      </c>
      <c r="X1147" s="3" t="s">
        <v>45</v>
      </c>
      <c r="Y1147" s="3" t="s">
        <v>45</v>
      </c>
      <c r="Z1147" s="3" t="s">
        <v>74</v>
      </c>
      <c r="AA1147" s="3" t="s">
        <v>45</v>
      </c>
      <c r="AB1147" s="3" t="s">
        <v>45</v>
      </c>
      <c r="AC1147" s="3" t="s">
        <v>45</v>
      </c>
      <c r="AD1147" s="3" t="s">
        <v>45</v>
      </c>
      <c r="AE1147" s="3" t="s">
        <v>45</v>
      </c>
      <c r="AF1147" s="3" t="s">
        <v>45</v>
      </c>
      <c r="AG1147" s="3" t="s">
        <v>9932</v>
      </c>
      <c r="AH1147" s="3" t="s">
        <v>9906</v>
      </c>
      <c r="AI1147" s="5" t="s">
        <v>10217</v>
      </c>
      <c r="AJ1147" s="3" t="s">
        <v>45</v>
      </c>
      <c r="AK1147" s="3" t="s">
        <v>45</v>
      </c>
      <c r="AL1147" s="3" t="s">
        <v>45</v>
      </c>
      <c r="AM1147" s="3" t="s">
        <v>45</v>
      </c>
      <c r="AN1147" s="3" t="s">
        <v>45</v>
      </c>
      <c r="AO1147" s="3" t="s">
        <v>45</v>
      </c>
      <c r="AP1147" s="3" t="s">
        <v>45</v>
      </c>
      <c r="AQ1147" s="4" t="s">
        <v>9934</v>
      </c>
      <c r="AR1147" s="4" t="s">
        <v>9908</v>
      </c>
    </row>
    <row r="1148">
      <c r="A1148" s="3" t="s">
        <v>10218</v>
      </c>
      <c r="B1148" s="3" t="s">
        <v>10219</v>
      </c>
      <c r="C1148" s="3" t="s">
        <v>9971</v>
      </c>
      <c r="D1148" s="3" t="s">
        <v>9900</v>
      </c>
      <c r="E1148" s="4" t="s">
        <v>9972</v>
      </c>
      <c r="F1148" s="3" t="s">
        <v>9928</v>
      </c>
      <c r="G1148" s="4" t="s">
        <v>10220</v>
      </c>
      <c r="H1148" s="4" t="s">
        <v>10221</v>
      </c>
      <c r="I1148" s="3" t="s">
        <v>85</v>
      </c>
      <c r="J1148" s="3" t="s">
        <v>126</v>
      </c>
      <c r="K1148" s="3" t="s">
        <v>45</v>
      </c>
      <c r="L1148" s="3" t="s">
        <v>855</v>
      </c>
      <c r="M1148" s="3" t="s">
        <v>45</v>
      </c>
      <c r="N1148" s="3" t="s">
        <v>45</v>
      </c>
      <c r="O1148" s="3" t="s">
        <v>74</v>
      </c>
      <c r="P1148" s="3" t="s">
        <v>45</v>
      </c>
      <c r="Q1148" s="3" t="s">
        <v>45</v>
      </c>
      <c r="R1148" s="3" t="s">
        <v>45</v>
      </c>
      <c r="S1148" s="3" t="s">
        <v>45</v>
      </c>
      <c r="T1148" s="3" t="s">
        <v>45</v>
      </c>
      <c r="U1148" s="3" t="s">
        <v>45</v>
      </c>
      <c r="V1148" s="4" t="s">
        <v>10222</v>
      </c>
      <c r="W1148" s="4" t="s">
        <v>275</v>
      </c>
      <c r="X1148" s="3" t="s">
        <v>45</v>
      </c>
      <c r="Y1148" s="3" t="s">
        <v>45</v>
      </c>
      <c r="Z1148" s="3" t="s">
        <v>74</v>
      </c>
      <c r="AA1148" s="3" t="s">
        <v>45</v>
      </c>
      <c r="AB1148" s="3" t="s">
        <v>45</v>
      </c>
      <c r="AC1148" s="3" t="s">
        <v>45</v>
      </c>
      <c r="AD1148" s="3" t="s">
        <v>45</v>
      </c>
      <c r="AE1148" s="3" t="s">
        <v>45</v>
      </c>
      <c r="AF1148" s="3" t="s">
        <v>45</v>
      </c>
      <c r="AG1148" s="3" t="s">
        <v>9932</v>
      </c>
      <c r="AH1148" s="3" t="s">
        <v>9906</v>
      </c>
      <c r="AI1148" s="5" t="s">
        <v>10223</v>
      </c>
      <c r="AJ1148" s="3" t="s">
        <v>45</v>
      </c>
      <c r="AK1148" s="3" t="s">
        <v>45</v>
      </c>
      <c r="AL1148" s="3" t="s">
        <v>45</v>
      </c>
      <c r="AM1148" s="3" t="s">
        <v>45</v>
      </c>
      <c r="AN1148" s="3" t="s">
        <v>45</v>
      </c>
      <c r="AO1148" s="3" t="s">
        <v>45</v>
      </c>
      <c r="AP1148" s="3" t="s">
        <v>45</v>
      </c>
      <c r="AQ1148" s="4" t="s">
        <v>9934</v>
      </c>
      <c r="AR1148" s="4" t="s">
        <v>9908</v>
      </c>
    </row>
    <row r="1149">
      <c r="A1149" s="3" t="s">
        <v>10224</v>
      </c>
      <c r="B1149" s="3" t="s">
        <v>10225</v>
      </c>
      <c r="C1149" s="3" t="s">
        <v>9971</v>
      </c>
      <c r="D1149" s="3" t="s">
        <v>9900</v>
      </c>
      <c r="E1149" s="4" t="s">
        <v>9972</v>
      </c>
      <c r="F1149" s="3" t="s">
        <v>9928</v>
      </c>
      <c r="G1149" s="4" t="s">
        <v>10226</v>
      </c>
      <c r="H1149" s="4" t="s">
        <v>10227</v>
      </c>
      <c r="I1149" s="3" t="s">
        <v>49</v>
      </c>
      <c r="J1149" s="3" t="s">
        <v>126</v>
      </c>
      <c r="K1149" s="3" t="s">
        <v>45</v>
      </c>
      <c r="L1149" s="3" t="s">
        <v>855</v>
      </c>
      <c r="M1149" s="3" t="s">
        <v>45</v>
      </c>
      <c r="N1149" s="3" t="s">
        <v>45</v>
      </c>
      <c r="O1149" s="3" t="s">
        <v>74</v>
      </c>
      <c r="P1149" s="3" t="s">
        <v>45</v>
      </c>
      <c r="Q1149" s="3" t="s">
        <v>45</v>
      </c>
      <c r="R1149" s="3" t="s">
        <v>45</v>
      </c>
      <c r="S1149" s="3" t="s">
        <v>45</v>
      </c>
      <c r="T1149" s="3" t="s">
        <v>45</v>
      </c>
      <c r="U1149" s="3" t="s">
        <v>45</v>
      </c>
      <c r="V1149" s="4" t="s">
        <v>10228</v>
      </c>
      <c r="W1149" s="4" t="s">
        <v>52</v>
      </c>
      <c r="X1149" s="3" t="s">
        <v>45</v>
      </c>
      <c r="Y1149" s="3" t="s">
        <v>45</v>
      </c>
      <c r="Z1149" s="3" t="s">
        <v>74</v>
      </c>
      <c r="AA1149" s="3" t="s">
        <v>45</v>
      </c>
      <c r="AB1149" s="3" t="s">
        <v>45</v>
      </c>
      <c r="AC1149" s="3" t="s">
        <v>45</v>
      </c>
      <c r="AD1149" s="3" t="s">
        <v>45</v>
      </c>
      <c r="AE1149" s="3" t="s">
        <v>45</v>
      </c>
      <c r="AF1149" s="3" t="s">
        <v>45</v>
      </c>
      <c r="AG1149" s="3" t="s">
        <v>45</v>
      </c>
      <c r="AH1149" s="3" t="s">
        <v>9906</v>
      </c>
      <c r="AI1149" s="5" t="s">
        <v>10229</v>
      </c>
      <c r="AJ1149" s="5" t="s">
        <v>10230</v>
      </c>
      <c r="AK1149" s="3" t="s">
        <v>45</v>
      </c>
      <c r="AL1149" s="3" t="s">
        <v>45</v>
      </c>
      <c r="AM1149" s="3" t="s">
        <v>45</v>
      </c>
      <c r="AN1149" s="3" t="s">
        <v>45</v>
      </c>
      <c r="AO1149" s="3" t="s">
        <v>45</v>
      </c>
      <c r="AP1149" s="3" t="s">
        <v>45</v>
      </c>
      <c r="AQ1149" s="4" t="s">
        <v>807</v>
      </c>
      <c r="AR1149" s="4" t="s">
        <v>9908</v>
      </c>
    </row>
    <row r="1150">
      <c r="A1150" s="3" t="s">
        <v>8583</v>
      </c>
      <c r="B1150" s="3" t="s">
        <v>10231</v>
      </c>
      <c r="C1150" s="3" t="s">
        <v>9971</v>
      </c>
      <c r="D1150" s="3" t="s">
        <v>9900</v>
      </c>
      <c r="E1150" s="4" t="s">
        <v>9972</v>
      </c>
      <c r="F1150" s="3" t="s">
        <v>9928</v>
      </c>
      <c r="G1150" s="4" t="s">
        <v>10232</v>
      </c>
      <c r="H1150" s="4" t="s">
        <v>10233</v>
      </c>
      <c r="I1150" s="3" t="s">
        <v>85</v>
      </c>
      <c r="J1150" s="3" t="s">
        <v>126</v>
      </c>
      <c r="K1150" s="3" t="s">
        <v>45</v>
      </c>
      <c r="L1150" s="3" t="s">
        <v>45</v>
      </c>
      <c r="M1150" s="3" t="s">
        <v>45</v>
      </c>
      <c r="N1150" s="3" t="s">
        <v>45</v>
      </c>
      <c r="O1150" s="3" t="s">
        <v>74</v>
      </c>
      <c r="P1150" s="3" t="s">
        <v>45</v>
      </c>
      <c r="Q1150" s="3" t="s">
        <v>45</v>
      </c>
      <c r="R1150" s="3" t="s">
        <v>45</v>
      </c>
      <c r="S1150" s="3" t="s">
        <v>45</v>
      </c>
      <c r="T1150" s="3" t="s">
        <v>45</v>
      </c>
      <c r="U1150" s="3" t="s">
        <v>45</v>
      </c>
      <c r="V1150" s="4" t="s">
        <v>10234</v>
      </c>
      <c r="W1150" s="4" t="s">
        <v>956</v>
      </c>
      <c r="X1150" s="3" t="s">
        <v>45</v>
      </c>
      <c r="Y1150" s="3" t="s">
        <v>45</v>
      </c>
      <c r="Z1150" s="3" t="s">
        <v>74</v>
      </c>
      <c r="AA1150" s="3" t="s">
        <v>45</v>
      </c>
      <c r="AB1150" s="3" t="s">
        <v>45</v>
      </c>
      <c r="AC1150" s="3" t="s">
        <v>45</v>
      </c>
      <c r="AD1150" s="3" t="s">
        <v>45</v>
      </c>
      <c r="AE1150" s="3" t="s">
        <v>45</v>
      </c>
      <c r="AF1150" s="3" t="s">
        <v>45</v>
      </c>
      <c r="AG1150" s="3" t="s">
        <v>10016</v>
      </c>
      <c r="AH1150" s="3" t="s">
        <v>57</v>
      </c>
      <c r="AI1150" s="3" t="s">
        <v>45</v>
      </c>
      <c r="AJ1150" s="5" t="s">
        <v>10235</v>
      </c>
      <c r="AK1150" s="3" t="s">
        <v>45</v>
      </c>
      <c r="AL1150" s="3" t="s">
        <v>45</v>
      </c>
      <c r="AM1150" s="3" t="s">
        <v>45</v>
      </c>
      <c r="AN1150" s="3" t="s">
        <v>45</v>
      </c>
      <c r="AO1150" s="3" t="s">
        <v>45</v>
      </c>
      <c r="AP1150" s="3" t="s">
        <v>45</v>
      </c>
      <c r="AQ1150" s="4" t="s">
        <v>393</v>
      </c>
      <c r="AR1150" s="4" t="s">
        <v>393</v>
      </c>
    </row>
    <row r="1151">
      <c r="A1151" s="3" t="s">
        <v>10236</v>
      </c>
      <c r="B1151" s="3" t="s">
        <v>10237</v>
      </c>
      <c r="C1151" s="3" t="s">
        <v>9971</v>
      </c>
      <c r="D1151" s="3" t="s">
        <v>9900</v>
      </c>
      <c r="E1151" s="4" t="s">
        <v>9972</v>
      </c>
      <c r="F1151" s="3" t="s">
        <v>9928</v>
      </c>
      <c r="G1151" s="4" t="s">
        <v>10238</v>
      </c>
      <c r="H1151" s="4" t="s">
        <v>10239</v>
      </c>
      <c r="I1151" s="3" t="s">
        <v>85</v>
      </c>
      <c r="J1151" s="3" t="s">
        <v>126</v>
      </c>
      <c r="K1151" s="3" t="s">
        <v>45</v>
      </c>
      <c r="L1151" s="3" t="s">
        <v>855</v>
      </c>
      <c r="M1151" s="3" t="s">
        <v>45</v>
      </c>
      <c r="N1151" s="3" t="s">
        <v>45</v>
      </c>
      <c r="O1151" s="3" t="s">
        <v>74</v>
      </c>
      <c r="P1151" s="3" t="s">
        <v>45</v>
      </c>
      <c r="Q1151" s="3" t="s">
        <v>45</v>
      </c>
      <c r="R1151" s="3" t="s">
        <v>45</v>
      </c>
      <c r="S1151" s="3" t="s">
        <v>45</v>
      </c>
      <c r="T1151" s="3" t="s">
        <v>45</v>
      </c>
      <c r="U1151" s="3" t="s">
        <v>45</v>
      </c>
      <c r="V1151" s="4" t="s">
        <v>10240</v>
      </c>
      <c r="W1151" s="4" t="s">
        <v>52</v>
      </c>
      <c r="X1151" s="3" t="s">
        <v>45</v>
      </c>
      <c r="Y1151" s="3" t="s">
        <v>45</v>
      </c>
      <c r="Z1151" s="3" t="s">
        <v>74</v>
      </c>
      <c r="AA1151" s="3" t="s">
        <v>45</v>
      </c>
      <c r="AB1151" s="3" t="s">
        <v>45</v>
      </c>
      <c r="AC1151" s="3" t="s">
        <v>45</v>
      </c>
      <c r="AD1151" s="3" t="s">
        <v>45</v>
      </c>
      <c r="AE1151" s="3" t="s">
        <v>45</v>
      </c>
      <c r="AF1151" s="3" t="s">
        <v>45</v>
      </c>
      <c r="AG1151" s="3" t="s">
        <v>9932</v>
      </c>
      <c r="AH1151" s="3" t="s">
        <v>9906</v>
      </c>
      <c r="AI1151" s="5" t="s">
        <v>10241</v>
      </c>
      <c r="AJ1151" s="3" t="s">
        <v>45</v>
      </c>
      <c r="AK1151" s="3" t="s">
        <v>45</v>
      </c>
      <c r="AL1151" s="3" t="s">
        <v>45</v>
      </c>
      <c r="AM1151" s="3" t="s">
        <v>45</v>
      </c>
      <c r="AN1151" s="3" t="s">
        <v>45</v>
      </c>
      <c r="AO1151" s="3" t="s">
        <v>45</v>
      </c>
      <c r="AP1151" s="3" t="s">
        <v>45</v>
      </c>
      <c r="AQ1151" s="4" t="s">
        <v>9934</v>
      </c>
      <c r="AR1151" s="4" t="s">
        <v>9908</v>
      </c>
    </row>
    <row r="1152">
      <c r="A1152" s="3" t="s">
        <v>10242</v>
      </c>
      <c r="B1152" s="3" t="s">
        <v>10243</v>
      </c>
      <c r="C1152" s="3" t="s">
        <v>9971</v>
      </c>
      <c r="D1152" s="3" t="s">
        <v>9900</v>
      </c>
      <c r="E1152" s="4" t="s">
        <v>9972</v>
      </c>
      <c r="F1152" s="3" t="s">
        <v>9928</v>
      </c>
      <c r="G1152" s="4" t="s">
        <v>10244</v>
      </c>
      <c r="H1152" s="4" t="s">
        <v>10245</v>
      </c>
      <c r="I1152" s="3" t="s">
        <v>85</v>
      </c>
      <c r="J1152" s="3" t="s">
        <v>126</v>
      </c>
      <c r="K1152" s="3" t="s">
        <v>45</v>
      </c>
      <c r="L1152" s="3" t="s">
        <v>855</v>
      </c>
      <c r="M1152" s="3" t="s">
        <v>45</v>
      </c>
      <c r="N1152" s="3" t="s">
        <v>45</v>
      </c>
      <c r="O1152" s="3" t="s">
        <v>74</v>
      </c>
      <c r="P1152" s="3" t="s">
        <v>45</v>
      </c>
      <c r="Q1152" s="3" t="s">
        <v>45</v>
      </c>
      <c r="R1152" s="3" t="s">
        <v>45</v>
      </c>
      <c r="S1152" s="3" t="s">
        <v>45</v>
      </c>
      <c r="T1152" s="3" t="s">
        <v>45</v>
      </c>
      <c r="U1152" s="3" t="s">
        <v>45</v>
      </c>
      <c r="V1152" s="4" t="s">
        <v>10246</v>
      </c>
      <c r="W1152" s="4" t="s">
        <v>389</v>
      </c>
      <c r="X1152" s="3" t="s">
        <v>45</v>
      </c>
      <c r="Y1152" s="3" t="s">
        <v>45</v>
      </c>
      <c r="Z1152" s="3" t="s">
        <v>74</v>
      </c>
      <c r="AA1152" s="3" t="s">
        <v>45</v>
      </c>
      <c r="AB1152" s="3" t="s">
        <v>45</v>
      </c>
      <c r="AC1152" s="3" t="s">
        <v>45</v>
      </c>
      <c r="AD1152" s="3" t="s">
        <v>45</v>
      </c>
      <c r="AE1152" s="3" t="s">
        <v>45</v>
      </c>
      <c r="AF1152" s="3" t="s">
        <v>45</v>
      </c>
      <c r="AG1152" s="3" t="s">
        <v>9932</v>
      </c>
      <c r="AH1152" s="3" t="s">
        <v>9906</v>
      </c>
      <c r="AI1152" s="5" t="s">
        <v>10247</v>
      </c>
      <c r="AJ1152" s="3" t="s">
        <v>45</v>
      </c>
      <c r="AK1152" s="3" t="s">
        <v>45</v>
      </c>
      <c r="AL1152" s="3" t="s">
        <v>45</v>
      </c>
      <c r="AM1152" s="3" t="s">
        <v>45</v>
      </c>
      <c r="AN1152" s="3" t="s">
        <v>45</v>
      </c>
      <c r="AO1152" s="3" t="s">
        <v>45</v>
      </c>
      <c r="AP1152" s="3" t="s">
        <v>45</v>
      </c>
      <c r="AQ1152" s="4" t="s">
        <v>9934</v>
      </c>
      <c r="AR1152" s="4" t="s">
        <v>9908</v>
      </c>
    </row>
    <row r="1153">
      <c r="A1153" s="3" t="s">
        <v>381</v>
      </c>
      <c r="B1153" s="3" t="s">
        <v>10248</v>
      </c>
      <c r="C1153" s="3" t="s">
        <v>9971</v>
      </c>
      <c r="D1153" s="3" t="s">
        <v>9900</v>
      </c>
      <c r="E1153" s="4" t="s">
        <v>9972</v>
      </c>
      <c r="F1153" s="3" t="s">
        <v>9928</v>
      </c>
      <c r="G1153" s="4" t="s">
        <v>10249</v>
      </c>
      <c r="H1153" s="4" t="s">
        <v>10250</v>
      </c>
      <c r="I1153" s="3" t="s">
        <v>85</v>
      </c>
      <c r="J1153" s="3" t="s">
        <v>126</v>
      </c>
      <c r="K1153" s="3" t="s">
        <v>45</v>
      </c>
      <c r="L1153" s="3" t="s">
        <v>45</v>
      </c>
      <c r="M1153" s="3" t="s">
        <v>45</v>
      </c>
      <c r="N1153" s="4" t="s">
        <v>564</v>
      </c>
      <c r="O1153" s="3" t="s">
        <v>390</v>
      </c>
      <c r="P1153" s="3" t="s">
        <v>45</v>
      </c>
      <c r="Q1153" s="3" t="s">
        <v>45</v>
      </c>
      <c r="R1153" s="3" t="s">
        <v>45</v>
      </c>
      <c r="S1153" s="3" t="s">
        <v>45</v>
      </c>
      <c r="T1153" s="3" t="s">
        <v>45</v>
      </c>
      <c r="U1153" s="3" t="s">
        <v>45</v>
      </c>
      <c r="V1153" s="4" t="s">
        <v>10251</v>
      </c>
      <c r="W1153" s="4" t="s">
        <v>582</v>
      </c>
      <c r="X1153" s="3" t="s">
        <v>45</v>
      </c>
      <c r="Y1153" s="3" t="s">
        <v>45</v>
      </c>
      <c r="Z1153" s="3" t="s">
        <v>74</v>
      </c>
      <c r="AA1153" s="3" t="s">
        <v>45</v>
      </c>
      <c r="AB1153" s="3" t="s">
        <v>45</v>
      </c>
      <c r="AC1153" s="3" t="s">
        <v>45</v>
      </c>
      <c r="AD1153" s="3" t="s">
        <v>45</v>
      </c>
      <c r="AE1153" s="3" t="s">
        <v>45</v>
      </c>
      <c r="AF1153" s="3" t="s">
        <v>45</v>
      </c>
      <c r="AG1153" s="3" t="s">
        <v>9932</v>
      </c>
      <c r="AH1153" s="3" t="s">
        <v>57</v>
      </c>
      <c r="AI1153" s="5" t="s">
        <v>10252</v>
      </c>
      <c r="AJ1153" s="5" t="s">
        <v>10253</v>
      </c>
      <c r="AK1153" s="3" t="s">
        <v>45</v>
      </c>
      <c r="AL1153" s="3" t="s">
        <v>45</v>
      </c>
      <c r="AM1153" s="3" t="s">
        <v>45</v>
      </c>
      <c r="AN1153" s="3" t="s">
        <v>45</v>
      </c>
      <c r="AO1153" s="3" t="s">
        <v>45</v>
      </c>
      <c r="AP1153" s="3" t="s">
        <v>45</v>
      </c>
      <c r="AQ1153" s="4" t="s">
        <v>393</v>
      </c>
      <c r="AR1153" s="4" t="s">
        <v>393</v>
      </c>
    </row>
    <row r="1154">
      <c r="A1154" s="3" t="s">
        <v>10254</v>
      </c>
      <c r="B1154" s="3" t="s">
        <v>10255</v>
      </c>
      <c r="C1154" s="3" t="s">
        <v>9971</v>
      </c>
      <c r="D1154" s="3" t="s">
        <v>9900</v>
      </c>
      <c r="E1154" s="4" t="s">
        <v>9972</v>
      </c>
      <c r="F1154" s="3" t="s">
        <v>9928</v>
      </c>
      <c r="G1154" s="4" t="s">
        <v>10256</v>
      </c>
      <c r="H1154" s="4" t="s">
        <v>10257</v>
      </c>
      <c r="I1154" s="3" t="s">
        <v>85</v>
      </c>
      <c r="J1154" s="3" t="s">
        <v>126</v>
      </c>
      <c r="K1154" s="3" t="s">
        <v>45</v>
      </c>
      <c r="L1154" s="3" t="s">
        <v>10126</v>
      </c>
      <c r="M1154" s="3" t="s">
        <v>45</v>
      </c>
      <c r="N1154" s="3" t="s">
        <v>45</v>
      </c>
      <c r="O1154" s="3" t="s">
        <v>74</v>
      </c>
      <c r="P1154" s="3" t="s">
        <v>45</v>
      </c>
      <c r="Q1154" s="3" t="s">
        <v>45</v>
      </c>
      <c r="R1154" s="3" t="s">
        <v>45</v>
      </c>
      <c r="S1154" s="3" t="s">
        <v>45</v>
      </c>
      <c r="T1154" s="3" t="s">
        <v>45</v>
      </c>
      <c r="U1154" s="3" t="s">
        <v>45</v>
      </c>
      <c r="V1154" s="4" t="s">
        <v>10130</v>
      </c>
      <c r="W1154" s="4" t="s">
        <v>956</v>
      </c>
      <c r="X1154" s="3" t="s">
        <v>45</v>
      </c>
      <c r="Y1154" s="3" t="s">
        <v>45</v>
      </c>
      <c r="Z1154" s="3" t="s">
        <v>74</v>
      </c>
      <c r="AA1154" s="3" t="s">
        <v>45</v>
      </c>
      <c r="AB1154" s="3" t="s">
        <v>45</v>
      </c>
      <c r="AC1154" s="3" t="s">
        <v>45</v>
      </c>
      <c r="AD1154" s="3" t="s">
        <v>45</v>
      </c>
      <c r="AE1154" s="3" t="s">
        <v>45</v>
      </c>
      <c r="AF1154" s="3" t="s">
        <v>45</v>
      </c>
      <c r="AG1154" s="3" t="s">
        <v>10016</v>
      </c>
      <c r="AH1154" s="3" t="s">
        <v>9906</v>
      </c>
      <c r="AI1154" s="5" t="s">
        <v>10258</v>
      </c>
      <c r="AJ1154" s="3" t="s">
        <v>45</v>
      </c>
      <c r="AK1154" s="3" t="s">
        <v>45</v>
      </c>
      <c r="AL1154" s="3" t="s">
        <v>45</v>
      </c>
      <c r="AM1154" s="3" t="s">
        <v>45</v>
      </c>
      <c r="AN1154" s="3" t="s">
        <v>45</v>
      </c>
      <c r="AO1154" s="3" t="s">
        <v>45</v>
      </c>
      <c r="AP1154" s="3" t="s">
        <v>45</v>
      </c>
      <c r="AQ1154" s="4" t="s">
        <v>9934</v>
      </c>
      <c r="AR1154" s="4" t="s">
        <v>9908</v>
      </c>
    </row>
    <row r="1155">
      <c r="A1155" s="3" t="s">
        <v>10259</v>
      </c>
      <c r="B1155" s="3" t="s">
        <v>10260</v>
      </c>
      <c r="C1155" s="3" t="s">
        <v>9971</v>
      </c>
      <c r="D1155" s="3" t="s">
        <v>9900</v>
      </c>
      <c r="E1155" s="4" t="s">
        <v>9972</v>
      </c>
      <c r="F1155" s="3" t="s">
        <v>9928</v>
      </c>
      <c r="G1155" s="4" t="s">
        <v>10261</v>
      </c>
      <c r="H1155" s="4" t="s">
        <v>10262</v>
      </c>
      <c r="I1155" s="3" t="s">
        <v>85</v>
      </c>
      <c r="J1155" s="3" t="s">
        <v>126</v>
      </c>
      <c r="K1155" s="3" t="s">
        <v>45</v>
      </c>
      <c r="L1155" s="3" t="s">
        <v>921</v>
      </c>
      <c r="M1155" s="3" t="s">
        <v>45</v>
      </c>
      <c r="N1155" s="3" t="s">
        <v>45</v>
      </c>
      <c r="O1155" s="3" t="s">
        <v>74</v>
      </c>
      <c r="P1155" s="3" t="s">
        <v>45</v>
      </c>
      <c r="Q1155" s="3" t="s">
        <v>45</v>
      </c>
      <c r="R1155" s="3" t="s">
        <v>45</v>
      </c>
      <c r="S1155" s="3" t="s">
        <v>45</v>
      </c>
      <c r="T1155" s="3" t="s">
        <v>45</v>
      </c>
      <c r="U1155" s="3" t="s">
        <v>45</v>
      </c>
      <c r="V1155" s="4" t="s">
        <v>680</v>
      </c>
      <c r="W1155" s="4" t="s">
        <v>52</v>
      </c>
      <c r="X1155" s="3" t="s">
        <v>45</v>
      </c>
      <c r="Y1155" s="3" t="s">
        <v>45</v>
      </c>
      <c r="Z1155" s="3" t="s">
        <v>74</v>
      </c>
      <c r="AA1155" s="3" t="s">
        <v>45</v>
      </c>
      <c r="AB1155" s="3" t="s">
        <v>45</v>
      </c>
      <c r="AC1155" s="3" t="s">
        <v>45</v>
      </c>
      <c r="AD1155" s="3" t="s">
        <v>45</v>
      </c>
      <c r="AE1155" s="3" t="s">
        <v>45</v>
      </c>
      <c r="AF1155" s="3" t="s">
        <v>45</v>
      </c>
      <c r="AG1155" s="3" t="s">
        <v>9932</v>
      </c>
      <c r="AH1155" s="3" t="s">
        <v>9906</v>
      </c>
      <c r="AI1155" s="5" t="s">
        <v>10263</v>
      </c>
      <c r="AJ1155" s="3" t="s">
        <v>45</v>
      </c>
      <c r="AK1155" s="3" t="s">
        <v>45</v>
      </c>
      <c r="AL1155" s="3" t="s">
        <v>45</v>
      </c>
      <c r="AM1155" s="3" t="s">
        <v>45</v>
      </c>
      <c r="AN1155" s="3" t="s">
        <v>45</v>
      </c>
      <c r="AO1155" s="3" t="s">
        <v>45</v>
      </c>
      <c r="AP1155" s="3" t="s">
        <v>45</v>
      </c>
      <c r="AQ1155" s="4" t="s">
        <v>9934</v>
      </c>
      <c r="AR1155" s="4" t="s">
        <v>9908</v>
      </c>
    </row>
    <row r="1156">
      <c r="A1156" s="3" t="s">
        <v>10264</v>
      </c>
      <c r="B1156" s="3" t="s">
        <v>10265</v>
      </c>
      <c r="C1156" s="3" t="s">
        <v>9971</v>
      </c>
      <c r="D1156" s="3" t="s">
        <v>9900</v>
      </c>
      <c r="E1156" s="4" t="s">
        <v>9972</v>
      </c>
      <c r="F1156" s="3" t="s">
        <v>9928</v>
      </c>
      <c r="G1156" s="4" t="s">
        <v>10266</v>
      </c>
      <c r="H1156" s="4" t="s">
        <v>10267</v>
      </c>
      <c r="I1156" s="3" t="s">
        <v>85</v>
      </c>
      <c r="J1156" s="3" t="s">
        <v>126</v>
      </c>
      <c r="K1156" s="3" t="s">
        <v>45</v>
      </c>
      <c r="L1156" s="3" t="s">
        <v>921</v>
      </c>
      <c r="M1156" s="3" t="s">
        <v>45</v>
      </c>
      <c r="N1156" s="3" t="s">
        <v>45</v>
      </c>
      <c r="O1156" s="3" t="s">
        <v>74</v>
      </c>
      <c r="P1156" s="3" t="s">
        <v>45</v>
      </c>
      <c r="Q1156" s="3" t="s">
        <v>45</v>
      </c>
      <c r="R1156" s="3" t="s">
        <v>45</v>
      </c>
      <c r="S1156" s="3" t="s">
        <v>45</v>
      </c>
      <c r="T1156" s="3" t="s">
        <v>45</v>
      </c>
      <c r="U1156" s="3" t="s">
        <v>45</v>
      </c>
      <c r="V1156" s="4" t="s">
        <v>9606</v>
      </c>
      <c r="W1156" s="4" t="s">
        <v>1610</v>
      </c>
      <c r="X1156" s="3" t="s">
        <v>45</v>
      </c>
      <c r="Y1156" s="3" t="s">
        <v>45</v>
      </c>
      <c r="Z1156" s="3" t="s">
        <v>74</v>
      </c>
      <c r="AA1156" s="3" t="s">
        <v>45</v>
      </c>
      <c r="AB1156" s="3" t="s">
        <v>45</v>
      </c>
      <c r="AC1156" s="3" t="s">
        <v>45</v>
      </c>
      <c r="AD1156" s="3" t="s">
        <v>45</v>
      </c>
      <c r="AE1156" s="3" t="s">
        <v>45</v>
      </c>
      <c r="AF1156" s="3" t="s">
        <v>45</v>
      </c>
      <c r="AG1156" s="3" t="s">
        <v>9932</v>
      </c>
      <c r="AH1156" s="3" t="s">
        <v>9906</v>
      </c>
      <c r="AI1156" s="5" t="s">
        <v>10268</v>
      </c>
      <c r="AJ1156" s="3" t="s">
        <v>45</v>
      </c>
      <c r="AK1156" s="3" t="s">
        <v>45</v>
      </c>
      <c r="AL1156" s="3" t="s">
        <v>45</v>
      </c>
      <c r="AM1156" s="3" t="s">
        <v>45</v>
      </c>
      <c r="AN1156" s="3" t="s">
        <v>45</v>
      </c>
      <c r="AO1156" s="3" t="s">
        <v>45</v>
      </c>
      <c r="AP1156" s="3" t="s">
        <v>45</v>
      </c>
      <c r="AQ1156" s="4" t="s">
        <v>9934</v>
      </c>
      <c r="AR1156" s="4" t="s">
        <v>9908</v>
      </c>
    </row>
    <row r="1157">
      <c r="A1157" s="3" t="s">
        <v>10269</v>
      </c>
      <c r="B1157" s="3" t="s">
        <v>10270</v>
      </c>
      <c r="C1157" s="3" t="s">
        <v>9971</v>
      </c>
      <c r="D1157" s="3" t="s">
        <v>9900</v>
      </c>
      <c r="E1157" s="4" t="s">
        <v>9972</v>
      </c>
      <c r="F1157" s="3" t="s">
        <v>9928</v>
      </c>
      <c r="G1157" s="4" t="s">
        <v>10271</v>
      </c>
      <c r="H1157" s="4" t="s">
        <v>10272</v>
      </c>
      <c r="I1157" s="3" t="s">
        <v>85</v>
      </c>
      <c r="J1157" s="3" t="s">
        <v>126</v>
      </c>
      <c r="K1157" s="3" t="s">
        <v>45</v>
      </c>
      <c r="L1157" s="3" t="s">
        <v>10273</v>
      </c>
      <c r="M1157" s="3" t="s">
        <v>45</v>
      </c>
      <c r="N1157" s="3" t="s">
        <v>45</v>
      </c>
      <c r="O1157" s="3" t="s">
        <v>74</v>
      </c>
      <c r="P1157" s="3" t="s">
        <v>45</v>
      </c>
      <c r="Q1157" s="3" t="s">
        <v>45</v>
      </c>
      <c r="R1157" s="3" t="s">
        <v>45</v>
      </c>
      <c r="S1157" s="3" t="s">
        <v>45</v>
      </c>
      <c r="T1157" s="3" t="s">
        <v>45</v>
      </c>
      <c r="U1157" s="3" t="s">
        <v>45</v>
      </c>
      <c r="V1157" s="4" t="s">
        <v>10274</v>
      </c>
      <c r="W1157" s="4" t="s">
        <v>789</v>
      </c>
      <c r="X1157" s="3" t="s">
        <v>45</v>
      </c>
      <c r="Y1157" s="3" t="s">
        <v>45</v>
      </c>
      <c r="Z1157" s="3" t="s">
        <v>74</v>
      </c>
      <c r="AA1157" s="3" t="s">
        <v>45</v>
      </c>
      <c r="AB1157" s="3" t="s">
        <v>45</v>
      </c>
      <c r="AC1157" s="3" t="s">
        <v>45</v>
      </c>
      <c r="AD1157" s="3" t="s">
        <v>45</v>
      </c>
      <c r="AE1157" s="3" t="s">
        <v>45</v>
      </c>
      <c r="AF1157" s="3" t="s">
        <v>45</v>
      </c>
      <c r="AG1157" s="3" t="s">
        <v>10275</v>
      </c>
      <c r="AH1157" s="3" t="s">
        <v>9906</v>
      </c>
      <c r="AI1157" s="5" t="s">
        <v>10276</v>
      </c>
      <c r="AJ1157" s="3" t="s">
        <v>45</v>
      </c>
      <c r="AK1157" s="3" t="s">
        <v>45</v>
      </c>
      <c r="AL1157" s="3" t="s">
        <v>45</v>
      </c>
      <c r="AM1157" s="3" t="s">
        <v>45</v>
      </c>
      <c r="AN1157" s="3" t="s">
        <v>45</v>
      </c>
      <c r="AO1157" s="3" t="s">
        <v>45</v>
      </c>
      <c r="AP1157" s="3" t="s">
        <v>45</v>
      </c>
      <c r="AQ1157" s="4" t="s">
        <v>9934</v>
      </c>
      <c r="AR1157" s="4" t="s">
        <v>9908</v>
      </c>
    </row>
    <row r="1158">
      <c r="A1158" s="3" t="s">
        <v>10277</v>
      </c>
      <c r="B1158" s="3" t="s">
        <v>10278</v>
      </c>
      <c r="C1158" s="3" t="s">
        <v>9971</v>
      </c>
      <c r="D1158" s="3" t="s">
        <v>9900</v>
      </c>
      <c r="E1158" s="4" t="s">
        <v>9972</v>
      </c>
      <c r="F1158" s="3" t="s">
        <v>9928</v>
      </c>
      <c r="G1158" s="4" t="s">
        <v>10279</v>
      </c>
      <c r="H1158" s="4" t="s">
        <v>10280</v>
      </c>
      <c r="I1158" s="3" t="s">
        <v>85</v>
      </c>
      <c r="J1158" s="3" t="s">
        <v>126</v>
      </c>
      <c r="K1158" s="3" t="s">
        <v>45</v>
      </c>
      <c r="L1158" s="3" t="s">
        <v>10281</v>
      </c>
      <c r="M1158" s="3" t="s">
        <v>45</v>
      </c>
      <c r="N1158" s="3" t="s">
        <v>45</v>
      </c>
      <c r="O1158" s="3" t="s">
        <v>74</v>
      </c>
      <c r="P1158" s="3" t="s">
        <v>45</v>
      </c>
      <c r="Q1158" s="3" t="s">
        <v>45</v>
      </c>
      <c r="R1158" s="3" t="s">
        <v>45</v>
      </c>
      <c r="S1158" s="3" t="s">
        <v>45</v>
      </c>
      <c r="T1158" s="3" t="s">
        <v>45</v>
      </c>
      <c r="U1158" s="3" t="s">
        <v>45</v>
      </c>
      <c r="V1158" s="4" t="s">
        <v>10282</v>
      </c>
      <c r="W1158" s="4" t="s">
        <v>956</v>
      </c>
      <c r="X1158" s="3" t="s">
        <v>45</v>
      </c>
      <c r="Y1158" s="3" t="s">
        <v>45</v>
      </c>
      <c r="Z1158" s="3" t="s">
        <v>74</v>
      </c>
      <c r="AA1158" s="3" t="s">
        <v>45</v>
      </c>
      <c r="AB1158" s="3" t="s">
        <v>45</v>
      </c>
      <c r="AC1158" s="3" t="s">
        <v>45</v>
      </c>
      <c r="AD1158" s="3" t="s">
        <v>45</v>
      </c>
      <c r="AE1158" s="3" t="s">
        <v>45</v>
      </c>
      <c r="AF1158" s="3" t="s">
        <v>45</v>
      </c>
      <c r="AG1158" s="3" t="s">
        <v>9932</v>
      </c>
      <c r="AH1158" s="3" t="s">
        <v>9906</v>
      </c>
      <c r="AI1158" s="5" t="s">
        <v>10283</v>
      </c>
      <c r="AJ1158" s="3" t="s">
        <v>45</v>
      </c>
      <c r="AK1158" s="3" t="s">
        <v>45</v>
      </c>
      <c r="AL1158" s="3" t="s">
        <v>45</v>
      </c>
      <c r="AM1158" s="3" t="s">
        <v>45</v>
      </c>
      <c r="AN1158" s="3" t="s">
        <v>45</v>
      </c>
      <c r="AO1158" s="3" t="s">
        <v>45</v>
      </c>
      <c r="AP1158" s="3" t="s">
        <v>45</v>
      </c>
      <c r="AQ1158" s="4" t="s">
        <v>9934</v>
      </c>
      <c r="AR1158" s="4" t="s">
        <v>9908</v>
      </c>
    </row>
    <row r="1159">
      <c r="A1159" s="3" t="s">
        <v>10284</v>
      </c>
      <c r="B1159" s="3" t="s">
        <v>10285</v>
      </c>
      <c r="C1159" s="3" t="s">
        <v>9971</v>
      </c>
      <c r="D1159" s="3" t="s">
        <v>9900</v>
      </c>
      <c r="E1159" s="4" t="s">
        <v>9972</v>
      </c>
      <c r="F1159" s="3" t="s">
        <v>9928</v>
      </c>
      <c r="G1159" s="4" t="s">
        <v>10286</v>
      </c>
      <c r="H1159" s="4" t="s">
        <v>9996</v>
      </c>
      <c r="I1159" s="3" t="s">
        <v>85</v>
      </c>
      <c r="J1159" s="3" t="s">
        <v>126</v>
      </c>
      <c r="K1159" s="3" t="s">
        <v>45</v>
      </c>
      <c r="L1159" s="3" t="s">
        <v>10287</v>
      </c>
      <c r="M1159" s="3" t="s">
        <v>45</v>
      </c>
      <c r="N1159" s="3" t="s">
        <v>45</v>
      </c>
      <c r="O1159" s="3" t="s">
        <v>74</v>
      </c>
      <c r="P1159" s="3" t="s">
        <v>45</v>
      </c>
      <c r="Q1159" s="3" t="s">
        <v>45</v>
      </c>
      <c r="R1159" s="3" t="s">
        <v>45</v>
      </c>
      <c r="S1159" s="3" t="s">
        <v>45</v>
      </c>
      <c r="T1159" s="3" t="s">
        <v>45</v>
      </c>
      <c r="U1159" s="3" t="s">
        <v>45</v>
      </c>
      <c r="V1159" s="4" t="s">
        <v>10288</v>
      </c>
      <c r="W1159" s="4" t="s">
        <v>389</v>
      </c>
      <c r="X1159" s="3" t="s">
        <v>45</v>
      </c>
      <c r="Y1159" s="3" t="s">
        <v>45</v>
      </c>
      <c r="Z1159" s="3" t="s">
        <v>74</v>
      </c>
      <c r="AA1159" s="3" t="s">
        <v>45</v>
      </c>
      <c r="AB1159" s="3" t="s">
        <v>45</v>
      </c>
      <c r="AC1159" s="3" t="s">
        <v>45</v>
      </c>
      <c r="AD1159" s="3" t="s">
        <v>45</v>
      </c>
      <c r="AE1159" s="3" t="s">
        <v>45</v>
      </c>
      <c r="AF1159" s="3" t="s">
        <v>45</v>
      </c>
      <c r="AG1159" s="3" t="s">
        <v>9932</v>
      </c>
      <c r="AH1159" s="3" t="s">
        <v>9906</v>
      </c>
      <c r="AI1159" s="5" t="s">
        <v>10289</v>
      </c>
      <c r="AJ1159" s="3" t="s">
        <v>45</v>
      </c>
      <c r="AK1159" s="3" t="s">
        <v>45</v>
      </c>
      <c r="AL1159" s="3" t="s">
        <v>45</v>
      </c>
      <c r="AM1159" s="3" t="s">
        <v>45</v>
      </c>
      <c r="AN1159" s="3" t="s">
        <v>45</v>
      </c>
      <c r="AO1159" s="3" t="s">
        <v>45</v>
      </c>
      <c r="AP1159" s="3" t="s">
        <v>45</v>
      </c>
      <c r="AQ1159" s="4" t="s">
        <v>9934</v>
      </c>
      <c r="AR1159" s="4" t="s">
        <v>9908</v>
      </c>
    </row>
    <row r="1160">
      <c r="A1160" s="3" t="s">
        <v>10290</v>
      </c>
      <c r="B1160" s="3" t="s">
        <v>10291</v>
      </c>
      <c r="C1160" s="3" t="s">
        <v>9971</v>
      </c>
      <c r="D1160" s="3" t="s">
        <v>9900</v>
      </c>
      <c r="E1160" s="4" t="s">
        <v>9972</v>
      </c>
      <c r="F1160" s="3" t="s">
        <v>9928</v>
      </c>
      <c r="G1160" s="4" t="s">
        <v>10292</v>
      </c>
      <c r="H1160" s="4" t="s">
        <v>10293</v>
      </c>
      <c r="I1160" s="3" t="s">
        <v>85</v>
      </c>
      <c r="J1160" s="3" t="s">
        <v>126</v>
      </c>
      <c r="K1160" s="3" t="s">
        <v>45</v>
      </c>
      <c r="L1160" s="3" t="s">
        <v>921</v>
      </c>
      <c r="M1160" s="3" t="s">
        <v>45</v>
      </c>
      <c r="N1160" s="3" t="s">
        <v>45</v>
      </c>
      <c r="O1160" s="3" t="s">
        <v>74</v>
      </c>
      <c r="P1160" s="3" t="s">
        <v>45</v>
      </c>
      <c r="Q1160" s="3" t="s">
        <v>45</v>
      </c>
      <c r="R1160" s="3" t="s">
        <v>45</v>
      </c>
      <c r="S1160" s="3" t="s">
        <v>45</v>
      </c>
      <c r="T1160" s="3" t="s">
        <v>45</v>
      </c>
      <c r="U1160" s="3" t="s">
        <v>45</v>
      </c>
      <c r="V1160" s="4" t="s">
        <v>10294</v>
      </c>
      <c r="W1160" s="4" t="s">
        <v>583</v>
      </c>
      <c r="X1160" s="3" t="s">
        <v>45</v>
      </c>
      <c r="Y1160" s="3" t="s">
        <v>45</v>
      </c>
      <c r="Z1160" s="3" t="s">
        <v>74</v>
      </c>
      <c r="AA1160" s="3" t="s">
        <v>45</v>
      </c>
      <c r="AB1160" s="3" t="s">
        <v>45</v>
      </c>
      <c r="AC1160" s="3" t="s">
        <v>45</v>
      </c>
      <c r="AD1160" s="3" t="s">
        <v>45</v>
      </c>
      <c r="AE1160" s="3" t="s">
        <v>45</v>
      </c>
      <c r="AF1160" s="3" t="s">
        <v>45</v>
      </c>
      <c r="AG1160" s="3" t="s">
        <v>9932</v>
      </c>
      <c r="AH1160" s="3" t="s">
        <v>9906</v>
      </c>
      <c r="AI1160" s="5" t="s">
        <v>10295</v>
      </c>
      <c r="AJ1160" s="3" t="s">
        <v>45</v>
      </c>
      <c r="AK1160" s="3" t="s">
        <v>45</v>
      </c>
      <c r="AL1160" s="3" t="s">
        <v>45</v>
      </c>
      <c r="AM1160" s="3" t="s">
        <v>45</v>
      </c>
      <c r="AN1160" s="3" t="s">
        <v>45</v>
      </c>
      <c r="AO1160" s="3" t="s">
        <v>45</v>
      </c>
      <c r="AP1160" s="3" t="s">
        <v>45</v>
      </c>
      <c r="AQ1160" s="4" t="s">
        <v>9934</v>
      </c>
      <c r="AR1160" s="4" t="s">
        <v>9908</v>
      </c>
    </row>
    <row r="1161">
      <c r="A1161" s="3" t="s">
        <v>10296</v>
      </c>
      <c r="B1161" s="3" t="s">
        <v>10297</v>
      </c>
      <c r="C1161" s="3" t="s">
        <v>9971</v>
      </c>
      <c r="D1161" s="3" t="s">
        <v>9900</v>
      </c>
      <c r="E1161" s="4" t="s">
        <v>9972</v>
      </c>
      <c r="F1161" s="3" t="s">
        <v>9928</v>
      </c>
      <c r="G1161" s="4" t="s">
        <v>10298</v>
      </c>
      <c r="H1161" s="4" t="s">
        <v>10299</v>
      </c>
      <c r="I1161" s="3" t="s">
        <v>85</v>
      </c>
      <c r="J1161" s="3" t="s">
        <v>126</v>
      </c>
      <c r="K1161" s="3" t="s">
        <v>45</v>
      </c>
      <c r="L1161" s="3" t="s">
        <v>10287</v>
      </c>
      <c r="M1161" s="3" t="s">
        <v>45</v>
      </c>
      <c r="N1161" s="3" t="s">
        <v>45</v>
      </c>
      <c r="O1161" s="3" t="s">
        <v>74</v>
      </c>
      <c r="P1161" s="3" t="s">
        <v>45</v>
      </c>
      <c r="Q1161" s="3" t="s">
        <v>45</v>
      </c>
      <c r="R1161" s="3" t="s">
        <v>45</v>
      </c>
      <c r="S1161" s="3" t="s">
        <v>45</v>
      </c>
      <c r="T1161" s="3" t="s">
        <v>45</v>
      </c>
      <c r="U1161" s="3" t="s">
        <v>45</v>
      </c>
      <c r="V1161" s="4" t="s">
        <v>10300</v>
      </c>
      <c r="W1161" s="4" t="s">
        <v>10216</v>
      </c>
      <c r="X1161" s="3" t="s">
        <v>45</v>
      </c>
      <c r="Y1161" s="3" t="s">
        <v>45</v>
      </c>
      <c r="Z1161" s="3" t="s">
        <v>74</v>
      </c>
      <c r="AA1161" s="3" t="s">
        <v>45</v>
      </c>
      <c r="AB1161" s="3" t="s">
        <v>45</v>
      </c>
      <c r="AC1161" s="3" t="s">
        <v>45</v>
      </c>
      <c r="AD1161" s="3" t="s">
        <v>45</v>
      </c>
      <c r="AE1161" s="3" t="s">
        <v>45</v>
      </c>
      <c r="AF1161" s="3" t="s">
        <v>45</v>
      </c>
      <c r="AG1161" s="3" t="s">
        <v>9932</v>
      </c>
      <c r="AH1161" s="3" t="s">
        <v>9906</v>
      </c>
      <c r="AI1161" s="5" t="s">
        <v>10301</v>
      </c>
      <c r="AJ1161" s="3" t="s">
        <v>45</v>
      </c>
      <c r="AK1161" s="3" t="s">
        <v>45</v>
      </c>
      <c r="AL1161" s="3" t="s">
        <v>45</v>
      </c>
      <c r="AM1161" s="3" t="s">
        <v>45</v>
      </c>
      <c r="AN1161" s="3" t="s">
        <v>45</v>
      </c>
      <c r="AO1161" s="3" t="s">
        <v>45</v>
      </c>
      <c r="AP1161" s="3" t="s">
        <v>45</v>
      </c>
      <c r="AQ1161" s="4" t="s">
        <v>9934</v>
      </c>
      <c r="AR1161" s="4" t="s">
        <v>9908</v>
      </c>
    </row>
    <row r="1162">
      <c r="A1162" s="3" t="s">
        <v>10302</v>
      </c>
      <c r="B1162" s="3" t="s">
        <v>10303</v>
      </c>
      <c r="C1162" s="3" t="s">
        <v>9971</v>
      </c>
      <c r="D1162" s="3" t="s">
        <v>9900</v>
      </c>
      <c r="E1162" s="4" t="s">
        <v>9972</v>
      </c>
      <c r="F1162" s="3" t="s">
        <v>9928</v>
      </c>
      <c r="G1162" s="4" t="s">
        <v>10304</v>
      </c>
      <c r="H1162" s="4" t="s">
        <v>10305</v>
      </c>
      <c r="I1162" s="3" t="s">
        <v>85</v>
      </c>
      <c r="J1162" s="3" t="s">
        <v>126</v>
      </c>
      <c r="K1162" s="3" t="s">
        <v>45</v>
      </c>
      <c r="L1162" s="3" t="s">
        <v>7343</v>
      </c>
      <c r="M1162" s="3" t="s">
        <v>45</v>
      </c>
      <c r="N1162" s="4" t="s">
        <v>10306</v>
      </c>
      <c r="O1162" s="3" t="s">
        <v>88</v>
      </c>
      <c r="P1162" s="3" t="s">
        <v>45</v>
      </c>
      <c r="Q1162" s="3" t="s">
        <v>45</v>
      </c>
      <c r="R1162" s="3" t="s">
        <v>45</v>
      </c>
      <c r="S1162" s="3" t="s">
        <v>45</v>
      </c>
      <c r="T1162" s="3" t="s">
        <v>45</v>
      </c>
      <c r="U1162" s="3" t="s">
        <v>45</v>
      </c>
      <c r="V1162" s="4" t="s">
        <v>10307</v>
      </c>
      <c r="W1162" s="4" t="s">
        <v>2608</v>
      </c>
      <c r="X1162" s="3" t="s">
        <v>45</v>
      </c>
      <c r="Y1162" s="3" t="s">
        <v>45</v>
      </c>
      <c r="Z1162" s="3" t="s">
        <v>74</v>
      </c>
      <c r="AA1162" s="3" t="s">
        <v>45</v>
      </c>
      <c r="AB1162" s="3" t="s">
        <v>45</v>
      </c>
      <c r="AC1162" s="3" t="s">
        <v>45</v>
      </c>
      <c r="AD1162" s="3" t="s">
        <v>45</v>
      </c>
      <c r="AE1162" s="3" t="s">
        <v>45</v>
      </c>
      <c r="AF1162" s="3" t="s">
        <v>45</v>
      </c>
      <c r="AG1162" s="3" t="s">
        <v>45</v>
      </c>
      <c r="AH1162" s="3" t="s">
        <v>57</v>
      </c>
      <c r="AI1162" s="5" t="s">
        <v>10308</v>
      </c>
      <c r="AJ1162" s="3" t="s">
        <v>45</v>
      </c>
      <c r="AK1162" s="3" t="s">
        <v>45</v>
      </c>
      <c r="AL1162" s="3" t="s">
        <v>45</v>
      </c>
      <c r="AM1162" s="3" t="s">
        <v>45</v>
      </c>
      <c r="AN1162" s="3" t="s">
        <v>45</v>
      </c>
      <c r="AO1162" s="3" t="s">
        <v>45</v>
      </c>
      <c r="AP1162" s="3" t="s">
        <v>45</v>
      </c>
      <c r="AQ1162" s="4" t="s">
        <v>9934</v>
      </c>
      <c r="AR1162" s="4" t="s">
        <v>3153</v>
      </c>
    </row>
    <row r="1163">
      <c r="A1163" s="3" t="s">
        <v>10309</v>
      </c>
      <c r="B1163" s="3" t="s">
        <v>10310</v>
      </c>
      <c r="C1163" s="3" t="s">
        <v>9971</v>
      </c>
      <c r="D1163" s="3" t="s">
        <v>9900</v>
      </c>
      <c r="E1163" s="4" t="s">
        <v>9972</v>
      </c>
      <c r="F1163" s="3" t="s">
        <v>9928</v>
      </c>
      <c r="G1163" s="4" t="s">
        <v>10311</v>
      </c>
      <c r="H1163" s="4" t="s">
        <v>10312</v>
      </c>
      <c r="I1163" s="3" t="s">
        <v>85</v>
      </c>
      <c r="J1163" s="3" t="s">
        <v>126</v>
      </c>
      <c r="K1163" s="3" t="s">
        <v>45</v>
      </c>
      <c r="L1163" s="3" t="s">
        <v>10313</v>
      </c>
      <c r="M1163" s="3" t="s">
        <v>45</v>
      </c>
      <c r="N1163" s="3" t="s">
        <v>45</v>
      </c>
      <c r="O1163" s="3" t="s">
        <v>74</v>
      </c>
      <c r="P1163" s="3" t="s">
        <v>45</v>
      </c>
      <c r="Q1163" s="3" t="s">
        <v>45</v>
      </c>
      <c r="R1163" s="3" t="s">
        <v>45</v>
      </c>
      <c r="S1163" s="3" t="s">
        <v>45</v>
      </c>
      <c r="T1163" s="3" t="s">
        <v>45</v>
      </c>
      <c r="U1163" s="3" t="s">
        <v>45</v>
      </c>
      <c r="V1163" s="4" t="s">
        <v>10314</v>
      </c>
      <c r="W1163" s="4" t="s">
        <v>259</v>
      </c>
      <c r="X1163" s="3" t="s">
        <v>45</v>
      </c>
      <c r="Y1163" s="3" t="s">
        <v>45</v>
      </c>
      <c r="Z1163" s="3" t="s">
        <v>74</v>
      </c>
      <c r="AA1163" s="3" t="s">
        <v>45</v>
      </c>
      <c r="AB1163" s="3" t="s">
        <v>45</v>
      </c>
      <c r="AC1163" s="3" t="s">
        <v>45</v>
      </c>
      <c r="AD1163" s="3" t="s">
        <v>45</v>
      </c>
      <c r="AE1163" s="3" t="s">
        <v>45</v>
      </c>
      <c r="AF1163" s="3" t="s">
        <v>45</v>
      </c>
      <c r="AG1163" s="3" t="s">
        <v>10016</v>
      </c>
      <c r="AH1163" s="3" t="s">
        <v>9906</v>
      </c>
      <c r="AI1163" s="5" t="s">
        <v>10315</v>
      </c>
      <c r="AJ1163" s="3" t="s">
        <v>45</v>
      </c>
      <c r="AK1163" s="3" t="s">
        <v>45</v>
      </c>
      <c r="AL1163" s="3" t="s">
        <v>45</v>
      </c>
      <c r="AM1163" s="3" t="s">
        <v>45</v>
      </c>
      <c r="AN1163" s="3" t="s">
        <v>45</v>
      </c>
      <c r="AO1163" s="3" t="s">
        <v>45</v>
      </c>
      <c r="AP1163" s="3" t="s">
        <v>45</v>
      </c>
      <c r="AQ1163" s="4" t="s">
        <v>9934</v>
      </c>
      <c r="AR1163" s="4" t="s">
        <v>9908</v>
      </c>
    </row>
    <row r="1164">
      <c r="A1164" s="3" t="s">
        <v>509</v>
      </c>
      <c r="B1164" s="3" t="s">
        <v>10316</v>
      </c>
      <c r="C1164" s="3" t="s">
        <v>9971</v>
      </c>
      <c r="D1164" s="3" t="s">
        <v>9900</v>
      </c>
      <c r="E1164" s="4" t="s">
        <v>9972</v>
      </c>
      <c r="F1164" s="3" t="s">
        <v>9928</v>
      </c>
      <c r="G1164" s="4" t="s">
        <v>10317</v>
      </c>
      <c r="H1164" s="4" t="s">
        <v>10318</v>
      </c>
      <c r="I1164" s="3" t="s">
        <v>408</v>
      </c>
      <c r="J1164" s="3" t="s">
        <v>126</v>
      </c>
      <c r="K1164" s="3" t="s">
        <v>45</v>
      </c>
      <c r="L1164" s="3" t="s">
        <v>10319</v>
      </c>
      <c r="M1164" s="3" t="s">
        <v>45</v>
      </c>
      <c r="N1164" s="4" t="s">
        <v>389</v>
      </c>
      <c r="O1164" s="3" t="s">
        <v>390</v>
      </c>
      <c r="P1164" s="3" t="s">
        <v>45</v>
      </c>
      <c r="Q1164" s="3" t="s">
        <v>45</v>
      </c>
      <c r="R1164" s="3" t="s">
        <v>45</v>
      </c>
      <c r="S1164" s="3" t="s">
        <v>45</v>
      </c>
      <c r="T1164" s="3" t="s">
        <v>45</v>
      </c>
      <c r="U1164" s="3" t="s">
        <v>45</v>
      </c>
      <c r="V1164" s="4" t="s">
        <v>10320</v>
      </c>
      <c r="W1164" s="4" t="s">
        <v>1316</v>
      </c>
      <c r="X1164" s="3" t="s">
        <v>45</v>
      </c>
      <c r="Y1164" s="3" t="s">
        <v>45</v>
      </c>
      <c r="Z1164" s="3" t="s">
        <v>74</v>
      </c>
      <c r="AA1164" s="3" t="s">
        <v>45</v>
      </c>
      <c r="AB1164" s="3" t="s">
        <v>45</v>
      </c>
      <c r="AC1164" s="3" t="s">
        <v>45</v>
      </c>
      <c r="AD1164" s="3" t="s">
        <v>45</v>
      </c>
      <c r="AE1164" s="3" t="s">
        <v>45</v>
      </c>
      <c r="AF1164" s="3" t="s">
        <v>45</v>
      </c>
      <c r="AG1164" s="3" t="s">
        <v>10321</v>
      </c>
      <c r="AH1164" s="3" t="s">
        <v>9906</v>
      </c>
      <c r="AI1164" s="5" t="s">
        <v>10322</v>
      </c>
      <c r="AJ1164" s="5" t="s">
        <v>10323</v>
      </c>
      <c r="AK1164" s="3" t="s">
        <v>45</v>
      </c>
      <c r="AL1164" s="3" t="s">
        <v>45</v>
      </c>
      <c r="AM1164" s="3" t="s">
        <v>45</v>
      </c>
      <c r="AN1164" s="3" t="s">
        <v>45</v>
      </c>
      <c r="AO1164" s="3" t="s">
        <v>45</v>
      </c>
      <c r="AP1164" s="3" t="s">
        <v>45</v>
      </c>
      <c r="AQ1164" s="4" t="s">
        <v>212</v>
      </c>
      <c r="AR1164" s="4" t="s">
        <v>224</v>
      </c>
    </row>
    <row r="1165">
      <c r="A1165" s="3" t="s">
        <v>10324</v>
      </c>
      <c r="B1165" s="3" t="s">
        <v>10325</v>
      </c>
      <c r="C1165" s="3" t="s">
        <v>9971</v>
      </c>
      <c r="D1165" s="3" t="s">
        <v>9900</v>
      </c>
      <c r="E1165" s="4" t="s">
        <v>9972</v>
      </c>
      <c r="F1165" s="3" t="s">
        <v>9928</v>
      </c>
      <c r="G1165" s="4" t="s">
        <v>10326</v>
      </c>
      <c r="H1165" s="4" t="s">
        <v>10327</v>
      </c>
      <c r="I1165" s="3" t="s">
        <v>85</v>
      </c>
      <c r="J1165" s="3" t="s">
        <v>126</v>
      </c>
      <c r="K1165" s="3" t="s">
        <v>45</v>
      </c>
      <c r="L1165" s="3" t="s">
        <v>10328</v>
      </c>
      <c r="M1165" s="3" t="s">
        <v>45</v>
      </c>
      <c r="N1165" s="3" t="s">
        <v>45</v>
      </c>
      <c r="O1165" s="3" t="s">
        <v>74</v>
      </c>
      <c r="P1165" s="3" t="s">
        <v>45</v>
      </c>
      <c r="Q1165" s="3" t="s">
        <v>45</v>
      </c>
      <c r="R1165" s="3" t="s">
        <v>45</v>
      </c>
      <c r="S1165" s="3" t="s">
        <v>45</v>
      </c>
      <c r="T1165" s="3" t="s">
        <v>45</v>
      </c>
      <c r="U1165" s="3" t="s">
        <v>45</v>
      </c>
      <c r="V1165" s="4" t="s">
        <v>10329</v>
      </c>
      <c r="W1165" s="4" t="s">
        <v>52</v>
      </c>
      <c r="X1165" s="3" t="s">
        <v>45</v>
      </c>
      <c r="Y1165" s="3" t="s">
        <v>45</v>
      </c>
      <c r="Z1165" s="3" t="s">
        <v>74</v>
      </c>
      <c r="AA1165" s="3" t="s">
        <v>45</v>
      </c>
      <c r="AB1165" s="3" t="s">
        <v>45</v>
      </c>
      <c r="AC1165" s="3" t="s">
        <v>45</v>
      </c>
      <c r="AD1165" s="3" t="s">
        <v>45</v>
      </c>
      <c r="AE1165" s="3" t="s">
        <v>45</v>
      </c>
      <c r="AF1165" s="3" t="s">
        <v>45</v>
      </c>
      <c r="AG1165" s="3" t="s">
        <v>9932</v>
      </c>
      <c r="AH1165" s="3" t="s">
        <v>9906</v>
      </c>
      <c r="AI1165" s="5" t="s">
        <v>10330</v>
      </c>
      <c r="AJ1165" s="3" t="s">
        <v>45</v>
      </c>
      <c r="AK1165" s="3" t="s">
        <v>45</v>
      </c>
      <c r="AL1165" s="3" t="s">
        <v>45</v>
      </c>
      <c r="AM1165" s="3" t="s">
        <v>45</v>
      </c>
      <c r="AN1165" s="3" t="s">
        <v>45</v>
      </c>
      <c r="AO1165" s="3" t="s">
        <v>45</v>
      </c>
      <c r="AP1165" s="3" t="s">
        <v>45</v>
      </c>
      <c r="AQ1165" s="4" t="s">
        <v>9934</v>
      </c>
      <c r="AR1165" s="4" t="s">
        <v>9908</v>
      </c>
    </row>
    <row r="1166">
      <c r="A1166" s="3" t="s">
        <v>10331</v>
      </c>
      <c r="B1166" s="3" t="s">
        <v>10332</v>
      </c>
      <c r="C1166" s="3" t="s">
        <v>9971</v>
      </c>
      <c r="D1166" s="3" t="s">
        <v>9900</v>
      </c>
      <c r="E1166" s="4" t="s">
        <v>9972</v>
      </c>
      <c r="F1166" s="3" t="s">
        <v>9928</v>
      </c>
      <c r="G1166" s="4" t="s">
        <v>10333</v>
      </c>
      <c r="H1166" s="4" t="s">
        <v>10334</v>
      </c>
      <c r="I1166" s="3" t="s">
        <v>85</v>
      </c>
      <c r="J1166" s="3" t="s">
        <v>126</v>
      </c>
      <c r="K1166" s="3" t="s">
        <v>45</v>
      </c>
      <c r="L1166" s="3" t="s">
        <v>557</v>
      </c>
      <c r="M1166" s="3" t="s">
        <v>45</v>
      </c>
      <c r="N1166" s="3" t="s">
        <v>45</v>
      </c>
      <c r="O1166" s="3" t="s">
        <v>74</v>
      </c>
      <c r="P1166" s="3" t="s">
        <v>45</v>
      </c>
      <c r="Q1166" s="3" t="s">
        <v>45</v>
      </c>
      <c r="R1166" s="3" t="s">
        <v>45</v>
      </c>
      <c r="S1166" s="3" t="s">
        <v>45</v>
      </c>
      <c r="T1166" s="3" t="s">
        <v>45</v>
      </c>
      <c r="U1166" s="3" t="s">
        <v>45</v>
      </c>
      <c r="V1166" s="4" t="s">
        <v>10335</v>
      </c>
      <c r="W1166" s="4" t="s">
        <v>259</v>
      </c>
      <c r="X1166" s="3" t="s">
        <v>45</v>
      </c>
      <c r="Y1166" s="3" t="s">
        <v>45</v>
      </c>
      <c r="Z1166" s="3" t="s">
        <v>74</v>
      </c>
      <c r="AA1166" s="3" t="s">
        <v>45</v>
      </c>
      <c r="AB1166" s="3" t="s">
        <v>45</v>
      </c>
      <c r="AC1166" s="3" t="s">
        <v>45</v>
      </c>
      <c r="AD1166" s="3" t="s">
        <v>45</v>
      </c>
      <c r="AE1166" s="3" t="s">
        <v>45</v>
      </c>
      <c r="AF1166" s="3" t="s">
        <v>45</v>
      </c>
      <c r="AG1166" s="3" t="s">
        <v>9932</v>
      </c>
      <c r="AH1166" s="3" t="s">
        <v>9906</v>
      </c>
      <c r="AI1166" s="3" t="s">
        <v>45</v>
      </c>
      <c r="AJ1166" s="5" t="s">
        <v>10336</v>
      </c>
      <c r="AK1166" s="3" t="s">
        <v>45</v>
      </c>
      <c r="AL1166" s="3" t="s">
        <v>45</v>
      </c>
      <c r="AM1166" s="3" t="s">
        <v>45</v>
      </c>
      <c r="AN1166" s="3" t="s">
        <v>45</v>
      </c>
      <c r="AO1166" s="3" t="s">
        <v>45</v>
      </c>
      <c r="AP1166" s="3" t="s">
        <v>45</v>
      </c>
      <c r="AQ1166" s="4" t="s">
        <v>9934</v>
      </c>
      <c r="AR1166" s="4" t="s">
        <v>9908</v>
      </c>
    </row>
    <row r="1167">
      <c r="A1167" s="3" t="s">
        <v>10337</v>
      </c>
      <c r="B1167" s="3" t="s">
        <v>10338</v>
      </c>
      <c r="C1167" s="3" t="s">
        <v>9971</v>
      </c>
      <c r="D1167" s="3" t="s">
        <v>9900</v>
      </c>
      <c r="E1167" s="4" t="s">
        <v>9972</v>
      </c>
      <c r="F1167" s="3" t="s">
        <v>9928</v>
      </c>
      <c r="G1167" s="4" t="s">
        <v>10339</v>
      </c>
      <c r="H1167" s="4" t="s">
        <v>10340</v>
      </c>
      <c r="I1167" s="3" t="s">
        <v>85</v>
      </c>
      <c r="J1167" s="3" t="s">
        <v>126</v>
      </c>
      <c r="K1167" s="3" t="s">
        <v>45</v>
      </c>
      <c r="L1167" s="3" t="s">
        <v>10341</v>
      </c>
      <c r="M1167" s="3" t="s">
        <v>45</v>
      </c>
      <c r="N1167" s="3" t="s">
        <v>45</v>
      </c>
      <c r="O1167" s="3" t="s">
        <v>74</v>
      </c>
      <c r="P1167" s="3" t="s">
        <v>45</v>
      </c>
      <c r="Q1167" s="3" t="s">
        <v>45</v>
      </c>
      <c r="R1167" s="3" t="s">
        <v>45</v>
      </c>
      <c r="S1167" s="3" t="s">
        <v>45</v>
      </c>
      <c r="T1167" s="3" t="s">
        <v>45</v>
      </c>
      <c r="U1167" s="3" t="s">
        <v>45</v>
      </c>
      <c r="V1167" s="4" t="s">
        <v>10342</v>
      </c>
      <c r="W1167" s="4" t="s">
        <v>1872</v>
      </c>
      <c r="X1167" s="3" t="s">
        <v>45</v>
      </c>
      <c r="Y1167" s="3" t="s">
        <v>45</v>
      </c>
      <c r="Z1167" s="3" t="s">
        <v>74</v>
      </c>
      <c r="AA1167" s="3" t="s">
        <v>45</v>
      </c>
      <c r="AB1167" s="3" t="s">
        <v>45</v>
      </c>
      <c r="AC1167" s="3" t="s">
        <v>45</v>
      </c>
      <c r="AD1167" s="3" t="s">
        <v>45</v>
      </c>
      <c r="AE1167" s="3" t="s">
        <v>45</v>
      </c>
      <c r="AF1167" s="3" t="s">
        <v>45</v>
      </c>
      <c r="AG1167" s="3" t="s">
        <v>9932</v>
      </c>
      <c r="AH1167" s="3" t="s">
        <v>9906</v>
      </c>
      <c r="AI1167" s="3" t="s">
        <v>45</v>
      </c>
      <c r="AJ1167" s="5" t="s">
        <v>10343</v>
      </c>
      <c r="AK1167" s="3" t="s">
        <v>45</v>
      </c>
      <c r="AL1167" s="3" t="s">
        <v>45</v>
      </c>
      <c r="AM1167" s="3" t="s">
        <v>45</v>
      </c>
      <c r="AN1167" s="3" t="s">
        <v>45</v>
      </c>
      <c r="AO1167" s="3" t="s">
        <v>45</v>
      </c>
      <c r="AP1167" s="3" t="s">
        <v>45</v>
      </c>
      <c r="AQ1167" s="4" t="s">
        <v>9934</v>
      </c>
      <c r="AR1167" s="4" t="s">
        <v>9908</v>
      </c>
    </row>
    <row r="1168">
      <c r="A1168" s="3" t="s">
        <v>10344</v>
      </c>
      <c r="B1168" s="3" t="s">
        <v>10345</v>
      </c>
      <c r="C1168" s="3" t="s">
        <v>9971</v>
      </c>
      <c r="D1168" s="3" t="s">
        <v>9900</v>
      </c>
      <c r="E1168" s="4" t="s">
        <v>9972</v>
      </c>
      <c r="F1168" s="3" t="s">
        <v>9928</v>
      </c>
      <c r="G1168" s="4" t="s">
        <v>10346</v>
      </c>
      <c r="H1168" s="4" t="s">
        <v>10347</v>
      </c>
      <c r="I1168" s="3" t="s">
        <v>85</v>
      </c>
      <c r="J1168" s="3" t="s">
        <v>126</v>
      </c>
      <c r="K1168" s="3" t="s">
        <v>45</v>
      </c>
      <c r="L1168" s="3" t="s">
        <v>10348</v>
      </c>
      <c r="M1168" s="3" t="s">
        <v>45</v>
      </c>
      <c r="N1168" s="3" t="s">
        <v>45</v>
      </c>
      <c r="O1168" s="3" t="s">
        <v>74</v>
      </c>
      <c r="P1168" s="3" t="s">
        <v>45</v>
      </c>
      <c r="Q1168" s="3" t="s">
        <v>45</v>
      </c>
      <c r="R1168" s="3" t="s">
        <v>45</v>
      </c>
      <c r="S1168" s="3" t="s">
        <v>45</v>
      </c>
      <c r="T1168" s="3" t="s">
        <v>45</v>
      </c>
      <c r="U1168" s="3" t="s">
        <v>45</v>
      </c>
      <c r="V1168" s="4" t="s">
        <v>10349</v>
      </c>
      <c r="W1168" s="4" t="s">
        <v>914</v>
      </c>
      <c r="X1168" s="3" t="s">
        <v>45</v>
      </c>
      <c r="Y1168" s="3" t="s">
        <v>45</v>
      </c>
      <c r="Z1168" s="3" t="s">
        <v>74</v>
      </c>
      <c r="AA1168" s="3" t="s">
        <v>45</v>
      </c>
      <c r="AB1168" s="3" t="s">
        <v>45</v>
      </c>
      <c r="AC1168" s="3" t="s">
        <v>45</v>
      </c>
      <c r="AD1168" s="3" t="s">
        <v>45</v>
      </c>
      <c r="AE1168" s="3" t="s">
        <v>45</v>
      </c>
      <c r="AF1168" s="3" t="s">
        <v>45</v>
      </c>
      <c r="AG1168" s="3" t="s">
        <v>9932</v>
      </c>
      <c r="AH1168" s="3" t="s">
        <v>9906</v>
      </c>
      <c r="AI1168" s="3" t="s">
        <v>45</v>
      </c>
      <c r="AJ1168" s="5" t="s">
        <v>10350</v>
      </c>
      <c r="AK1168" s="3" t="s">
        <v>45</v>
      </c>
      <c r="AL1168" s="3" t="s">
        <v>45</v>
      </c>
      <c r="AM1168" s="3" t="s">
        <v>45</v>
      </c>
      <c r="AN1168" s="3" t="s">
        <v>45</v>
      </c>
      <c r="AO1168" s="3" t="s">
        <v>45</v>
      </c>
      <c r="AP1168" s="3" t="s">
        <v>45</v>
      </c>
      <c r="AQ1168" s="4" t="s">
        <v>9934</v>
      </c>
      <c r="AR1168" s="4" t="s">
        <v>9908</v>
      </c>
    </row>
    <row r="1169">
      <c r="A1169" s="3" t="s">
        <v>10351</v>
      </c>
      <c r="B1169" s="3" t="s">
        <v>10352</v>
      </c>
      <c r="C1169" s="3" t="s">
        <v>9971</v>
      </c>
      <c r="D1169" s="3" t="s">
        <v>9900</v>
      </c>
      <c r="E1169" s="3" t="s">
        <v>45</v>
      </c>
      <c r="F1169" s="3" t="s">
        <v>10353</v>
      </c>
      <c r="G1169" s="4" t="s">
        <v>10354</v>
      </c>
      <c r="H1169" s="4" t="s">
        <v>10355</v>
      </c>
      <c r="I1169" s="3" t="s">
        <v>49</v>
      </c>
      <c r="J1169" s="3" t="s">
        <v>50</v>
      </c>
      <c r="K1169" s="3" t="s">
        <v>45</v>
      </c>
      <c r="L1169" s="3" t="s">
        <v>45</v>
      </c>
      <c r="M1169" s="3" t="s">
        <v>45</v>
      </c>
      <c r="N1169" s="4" t="s">
        <v>9700</v>
      </c>
      <c r="O1169" s="3" t="s">
        <v>88</v>
      </c>
      <c r="P1169" s="3" t="s">
        <v>45</v>
      </c>
      <c r="Q1169" s="3" t="s">
        <v>45</v>
      </c>
      <c r="R1169" s="3" t="s">
        <v>45</v>
      </c>
      <c r="S1169" s="4" t="s">
        <v>275</v>
      </c>
      <c r="T1169" s="3" t="s">
        <v>45</v>
      </c>
      <c r="U1169" s="3" t="s">
        <v>45</v>
      </c>
      <c r="V1169" s="3" t="s">
        <v>45</v>
      </c>
      <c r="W1169" s="4" t="s">
        <v>2908</v>
      </c>
      <c r="X1169" s="3" t="s">
        <v>2784</v>
      </c>
      <c r="Y1169" s="3" t="s">
        <v>45</v>
      </c>
      <c r="Z1169" s="3" t="s">
        <v>74</v>
      </c>
      <c r="AA1169" s="3" t="s">
        <v>45</v>
      </c>
      <c r="AB1169" s="3" t="s">
        <v>45</v>
      </c>
      <c r="AC1169" s="3" t="s">
        <v>45</v>
      </c>
      <c r="AD1169" s="3" t="s">
        <v>45</v>
      </c>
      <c r="AE1169" s="3" t="s">
        <v>45</v>
      </c>
      <c r="AF1169" s="3" t="s">
        <v>45</v>
      </c>
      <c r="AG1169" s="3" t="s">
        <v>10356</v>
      </c>
      <c r="AH1169" s="3" t="s">
        <v>57</v>
      </c>
      <c r="AI1169" s="5" t="s">
        <v>10357</v>
      </c>
      <c r="AJ1169" s="3" t="s">
        <v>45</v>
      </c>
      <c r="AK1169" s="3" t="s">
        <v>45</v>
      </c>
      <c r="AL1169" s="3" t="s">
        <v>45</v>
      </c>
      <c r="AM1169" s="3" t="s">
        <v>45</v>
      </c>
      <c r="AN1169" s="3" t="s">
        <v>45</v>
      </c>
      <c r="AO1169" s="3" t="s">
        <v>45</v>
      </c>
      <c r="AP1169" s="3" t="s">
        <v>45</v>
      </c>
      <c r="AQ1169" s="4" t="s">
        <v>2037</v>
      </c>
      <c r="AR1169" s="4" t="s">
        <v>2037</v>
      </c>
    </row>
    <row r="1170">
      <c r="A1170" s="3" t="s">
        <v>3295</v>
      </c>
      <c r="B1170" s="3" t="s">
        <v>10358</v>
      </c>
      <c r="C1170" s="3" t="s">
        <v>9971</v>
      </c>
      <c r="D1170" s="3" t="s">
        <v>9900</v>
      </c>
      <c r="E1170" s="4" t="s">
        <v>9972</v>
      </c>
      <c r="F1170" s="3" t="s">
        <v>9928</v>
      </c>
      <c r="G1170" s="4" t="s">
        <v>10359</v>
      </c>
      <c r="H1170" s="4" t="s">
        <v>10360</v>
      </c>
      <c r="I1170" s="3" t="s">
        <v>218</v>
      </c>
      <c r="J1170" s="3" t="s">
        <v>126</v>
      </c>
      <c r="K1170" s="3" t="s">
        <v>45</v>
      </c>
      <c r="L1170" s="3" t="s">
        <v>45</v>
      </c>
      <c r="M1170" s="3" t="s">
        <v>45</v>
      </c>
      <c r="N1170" s="4" t="s">
        <v>10361</v>
      </c>
      <c r="O1170" s="3" t="s">
        <v>722</v>
      </c>
      <c r="P1170" s="3" t="s">
        <v>45</v>
      </c>
      <c r="Q1170" s="3" t="s">
        <v>45</v>
      </c>
      <c r="R1170" s="3" t="s">
        <v>45</v>
      </c>
      <c r="S1170" s="3" t="s">
        <v>45</v>
      </c>
      <c r="T1170" s="3" t="s">
        <v>45</v>
      </c>
      <c r="U1170" s="3" t="s">
        <v>45</v>
      </c>
      <c r="V1170" s="4" t="s">
        <v>10362</v>
      </c>
      <c r="W1170" s="3" t="s">
        <v>45</v>
      </c>
      <c r="X1170" s="3" t="s">
        <v>45</v>
      </c>
      <c r="Y1170" s="3" t="s">
        <v>45</v>
      </c>
      <c r="Z1170" s="3" t="s">
        <v>74</v>
      </c>
      <c r="AA1170" s="3" t="s">
        <v>45</v>
      </c>
      <c r="AB1170" s="3" t="s">
        <v>45</v>
      </c>
      <c r="AC1170" s="3" t="s">
        <v>45</v>
      </c>
      <c r="AD1170" s="3" t="s">
        <v>45</v>
      </c>
      <c r="AE1170" s="3" t="s">
        <v>45</v>
      </c>
      <c r="AF1170" s="3" t="s">
        <v>45</v>
      </c>
      <c r="AG1170" s="3" t="s">
        <v>45</v>
      </c>
      <c r="AH1170" s="3" t="s">
        <v>57</v>
      </c>
      <c r="AI1170" s="5" t="s">
        <v>10363</v>
      </c>
      <c r="AJ1170" s="5" t="s">
        <v>10364</v>
      </c>
      <c r="AK1170" s="5" t="s">
        <v>10365</v>
      </c>
      <c r="AL1170" s="3" t="s">
        <v>45</v>
      </c>
      <c r="AM1170" s="3" t="s">
        <v>45</v>
      </c>
      <c r="AN1170" s="3" t="s">
        <v>45</v>
      </c>
      <c r="AO1170" s="3" t="s">
        <v>45</v>
      </c>
      <c r="AP1170" s="3" t="s">
        <v>45</v>
      </c>
      <c r="AQ1170" s="4" t="s">
        <v>182</v>
      </c>
      <c r="AR1170" s="4" t="s">
        <v>182</v>
      </c>
    </row>
    <row r="1171">
      <c r="A1171" s="3" t="s">
        <v>10366</v>
      </c>
      <c r="B1171" s="3" t="s">
        <v>10367</v>
      </c>
      <c r="C1171" s="3" t="s">
        <v>9971</v>
      </c>
      <c r="D1171" s="3" t="s">
        <v>9900</v>
      </c>
      <c r="E1171" s="4" t="s">
        <v>9972</v>
      </c>
      <c r="F1171" s="3" t="s">
        <v>9928</v>
      </c>
      <c r="G1171" s="4" t="s">
        <v>10368</v>
      </c>
      <c r="H1171" s="4" t="s">
        <v>10369</v>
      </c>
      <c r="I1171" s="3" t="s">
        <v>408</v>
      </c>
      <c r="J1171" s="3" t="s">
        <v>126</v>
      </c>
      <c r="K1171" s="3" t="s">
        <v>45</v>
      </c>
      <c r="L1171" s="3" t="s">
        <v>10370</v>
      </c>
      <c r="M1171" s="3" t="s">
        <v>45</v>
      </c>
      <c r="N1171" s="3" t="s">
        <v>45</v>
      </c>
      <c r="O1171" s="3" t="s">
        <v>74</v>
      </c>
      <c r="P1171" s="3" t="s">
        <v>45</v>
      </c>
      <c r="Q1171" s="3" t="s">
        <v>45</v>
      </c>
      <c r="R1171" s="3" t="s">
        <v>45</v>
      </c>
      <c r="S1171" s="3" t="s">
        <v>45</v>
      </c>
      <c r="T1171" s="3" t="s">
        <v>45</v>
      </c>
      <c r="U1171" s="3" t="s">
        <v>45</v>
      </c>
      <c r="V1171" s="4" t="s">
        <v>10371</v>
      </c>
      <c r="W1171" s="4" t="s">
        <v>709</v>
      </c>
      <c r="X1171" s="3" t="s">
        <v>45</v>
      </c>
      <c r="Y1171" s="3" t="s">
        <v>45</v>
      </c>
      <c r="Z1171" s="3" t="s">
        <v>74</v>
      </c>
      <c r="AA1171" s="3" t="s">
        <v>45</v>
      </c>
      <c r="AB1171" s="3" t="s">
        <v>45</v>
      </c>
      <c r="AC1171" s="3" t="s">
        <v>45</v>
      </c>
      <c r="AD1171" s="3" t="s">
        <v>45</v>
      </c>
      <c r="AE1171" s="3" t="s">
        <v>45</v>
      </c>
      <c r="AF1171" s="3" t="s">
        <v>45</v>
      </c>
      <c r="AG1171" s="3" t="s">
        <v>10372</v>
      </c>
      <c r="AH1171" s="3" t="s">
        <v>9906</v>
      </c>
      <c r="AI1171" s="5" t="s">
        <v>10373</v>
      </c>
      <c r="AJ1171" s="5" t="s">
        <v>10374</v>
      </c>
      <c r="AK1171" s="3" t="s">
        <v>45</v>
      </c>
      <c r="AL1171" s="3" t="s">
        <v>45</v>
      </c>
      <c r="AM1171" s="3" t="s">
        <v>45</v>
      </c>
      <c r="AN1171" s="3" t="s">
        <v>45</v>
      </c>
      <c r="AO1171" s="3" t="s">
        <v>45</v>
      </c>
      <c r="AP1171" s="3" t="s">
        <v>45</v>
      </c>
      <c r="AQ1171" s="4" t="s">
        <v>10118</v>
      </c>
      <c r="AR1171" s="4" t="s">
        <v>224</v>
      </c>
    </row>
    <row r="1172">
      <c r="A1172" s="3" t="s">
        <v>10375</v>
      </c>
      <c r="B1172" s="3" t="s">
        <v>10376</v>
      </c>
      <c r="C1172" s="3" t="s">
        <v>9971</v>
      </c>
      <c r="D1172" s="3" t="s">
        <v>9900</v>
      </c>
      <c r="E1172" s="4" t="s">
        <v>10097</v>
      </c>
      <c r="F1172" s="3" t="s">
        <v>9928</v>
      </c>
      <c r="G1172" s="4" t="s">
        <v>10377</v>
      </c>
      <c r="H1172" s="4" t="s">
        <v>10378</v>
      </c>
      <c r="I1172" s="3" t="s">
        <v>85</v>
      </c>
      <c r="J1172" s="3" t="s">
        <v>126</v>
      </c>
      <c r="K1172" s="3" t="s">
        <v>45</v>
      </c>
      <c r="L1172" s="3" t="s">
        <v>10379</v>
      </c>
      <c r="M1172" s="3" t="s">
        <v>45</v>
      </c>
      <c r="N1172" s="3" t="s">
        <v>45</v>
      </c>
      <c r="O1172" s="3" t="s">
        <v>74</v>
      </c>
      <c r="P1172" s="3" t="s">
        <v>45</v>
      </c>
      <c r="Q1172" s="3" t="s">
        <v>45</v>
      </c>
      <c r="R1172" s="3" t="s">
        <v>45</v>
      </c>
      <c r="S1172" s="3" t="s">
        <v>45</v>
      </c>
      <c r="T1172" s="3" t="s">
        <v>45</v>
      </c>
      <c r="U1172" s="3" t="s">
        <v>45</v>
      </c>
      <c r="V1172" s="4" t="s">
        <v>10380</v>
      </c>
      <c r="W1172" s="4" t="s">
        <v>922</v>
      </c>
      <c r="X1172" s="3" t="s">
        <v>45</v>
      </c>
      <c r="Y1172" s="3" t="s">
        <v>45</v>
      </c>
      <c r="Z1172" s="3" t="s">
        <v>74</v>
      </c>
      <c r="AA1172" s="3" t="s">
        <v>45</v>
      </c>
      <c r="AB1172" s="3" t="s">
        <v>45</v>
      </c>
      <c r="AC1172" s="3" t="s">
        <v>45</v>
      </c>
      <c r="AD1172" s="3" t="s">
        <v>45</v>
      </c>
      <c r="AE1172" s="3" t="s">
        <v>45</v>
      </c>
      <c r="AF1172" s="3" t="s">
        <v>45</v>
      </c>
      <c r="AG1172" s="3" t="s">
        <v>10381</v>
      </c>
      <c r="AH1172" s="3" t="s">
        <v>9906</v>
      </c>
      <c r="AI1172" s="5" t="s">
        <v>10382</v>
      </c>
      <c r="AJ1172" s="5" t="s">
        <v>10383</v>
      </c>
      <c r="AK1172" s="3" t="s">
        <v>45</v>
      </c>
      <c r="AL1172" s="3" t="s">
        <v>45</v>
      </c>
      <c r="AM1172" s="3" t="s">
        <v>45</v>
      </c>
      <c r="AN1172" s="3" t="s">
        <v>45</v>
      </c>
      <c r="AO1172" s="3" t="s">
        <v>45</v>
      </c>
      <c r="AP1172" s="3" t="s">
        <v>45</v>
      </c>
      <c r="AQ1172" s="4" t="s">
        <v>807</v>
      </c>
      <c r="AR1172" s="4" t="s">
        <v>9908</v>
      </c>
    </row>
    <row r="1173">
      <c r="A1173" s="3" t="s">
        <v>10375</v>
      </c>
      <c r="B1173" s="3" t="s">
        <v>10384</v>
      </c>
      <c r="C1173" s="3" t="s">
        <v>9971</v>
      </c>
      <c r="D1173" s="3" t="s">
        <v>9900</v>
      </c>
      <c r="E1173" s="4" t="s">
        <v>10097</v>
      </c>
      <c r="F1173" s="3" t="s">
        <v>9928</v>
      </c>
      <c r="G1173" s="4" t="s">
        <v>10385</v>
      </c>
      <c r="H1173" s="4" t="s">
        <v>10386</v>
      </c>
      <c r="I1173" s="3" t="s">
        <v>408</v>
      </c>
      <c r="J1173" s="3" t="s">
        <v>126</v>
      </c>
      <c r="K1173" s="3" t="s">
        <v>45</v>
      </c>
      <c r="L1173" s="3" t="s">
        <v>10379</v>
      </c>
      <c r="M1173" s="3" t="s">
        <v>45</v>
      </c>
      <c r="N1173" s="3" t="s">
        <v>45</v>
      </c>
      <c r="O1173" s="3" t="s">
        <v>74</v>
      </c>
      <c r="P1173" s="3" t="s">
        <v>45</v>
      </c>
      <c r="Q1173" s="3" t="s">
        <v>45</v>
      </c>
      <c r="R1173" s="3" t="s">
        <v>45</v>
      </c>
      <c r="S1173" s="3" t="s">
        <v>45</v>
      </c>
      <c r="T1173" s="3" t="s">
        <v>45</v>
      </c>
      <c r="U1173" s="3" t="s">
        <v>45</v>
      </c>
      <c r="V1173" s="4" t="s">
        <v>10380</v>
      </c>
      <c r="W1173" s="3" t="s">
        <v>45</v>
      </c>
      <c r="X1173" s="3" t="s">
        <v>45</v>
      </c>
      <c r="Y1173" s="3" t="s">
        <v>45</v>
      </c>
      <c r="Z1173" s="3" t="s">
        <v>74</v>
      </c>
      <c r="AA1173" s="3" t="s">
        <v>45</v>
      </c>
      <c r="AB1173" s="3" t="s">
        <v>45</v>
      </c>
      <c r="AC1173" s="3" t="s">
        <v>45</v>
      </c>
      <c r="AD1173" s="3" t="s">
        <v>45</v>
      </c>
      <c r="AE1173" s="3" t="s">
        <v>45</v>
      </c>
      <c r="AF1173" s="3" t="s">
        <v>45</v>
      </c>
      <c r="AG1173" s="3" t="s">
        <v>10387</v>
      </c>
      <c r="AH1173" s="3" t="s">
        <v>9906</v>
      </c>
      <c r="AI1173" s="5" t="s">
        <v>10382</v>
      </c>
      <c r="AJ1173" s="5" t="s">
        <v>10388</v>
      </c>
      <c r="AK1173" s="3" t="s">
        <v>45</v>
      </c>
      <c r="AL1173" s="3" t="s">
        <v>45</v>
      </c>
      <c r="AM1173" s="3" t="s">
        <v>45</v>
      </c>
      <c r="AN1173" s="3" t="s">
        <v>45</v>
      </c>
      <c r="AO1173" s="3" t="s">
        <v>45</v>
      </c>
      <c r="AP1173" s="3" t="s">
        <v>45</v>
      </c>
      <c r="AQ1173" s="4" t="s">
        <v>807</v>
      </c>
      <c r="AR1173" s="4" t="s">
        <v>224</v>
      </c>
    </row>
    <row r="1174">
      <c r="A1174" s="3" t="s">
        <v>10375</v>
      </c>
      <c r="B1174" s="3" t="s">
        <v>10389</v>
      </c>
      <c r="C1174" s="3" t="s">
        <v>9971</v>
      </c>
      <c r="D1174" s="3" t="s">
        <v>9900</v>
      </c>
      <c r="E1174" s="4" t="s">
        <v>10097</v>
      </c>
      <c r="F1174" s="3" t="s">
        <v>9928</v>
      </c>
      <c r="G1174" s="4" t="s">
        <v>10390</v>
      </c>
      <c r="H1174" s="4" t="s">
        <v>10391</v>
      </c>
      <c r="I1174" s="3" t="s">
        <v>85</v>
      </c>
      <c r="J1174" s="3" t="s">
        <v>126</v>
      </c>
      <c r="K1174" s="3" t="s">
        <v>45</v>
      </c>
      <c r="L1174" s="3" t="s">
        <v>10379</v>
      </c>
      <c r="M1174" s="3" t="s">
        <v>45</v>
      </c>
      <c r="N1174" s="3" t="s">
        <v>45</v>
      </c>
      <c r="O1174" s="3" t="s">
        <v>74</v>
      </c>
      <c r="P1174" s="3" t="s">
        <v>45</v>
      </c>
      <c r="Q1174" s="3" t="s">
        <v>45</v>
      </c>
      <c r="R1174" s="3" t="s">
        <v>45</v>
      </c>
      <c r="S1174" s="3" t="s">
        <v>45</v>
      </c>
      <c r="T1174" s="3" t="s">
        <v>45</v>
      </c>
      <c r="U1174" s="3" t="s">
        <v>45</v>
      </c>
      <c r="V1174" s="4" t="s">
        <v>10392</v>
      </c>
      <c r="W1174" s="4" t="s">
        <v>922</v>
      </c>
      <c r="X1174" s="3" t="s">
        <v>45</v>
      </c>
      <c r="Y1174" s="3" t="s">
        <v>45</v>
      </c>
      <c r="Z1174" s="3" t="s">
        <v>74</v>
      </c>
      <c r="AA1174" s="3" t="s">
        <v>45</v>
      </c>
      <c r="AB1174" s="3" t="s">
        <v>45</v>
      </c>
      <c r="AC1174" s="3" t="s">
        <v>45</v>
      </c>
      <c r="AD1174" s="3" t="s">
        <v>45</v>
      </c>
      <c r="AE1174" s="3" t="s">
        <v>45</v>
      </c>
      <c r="AF1174" s="3" t="s">
        <v>45</v>
      </c>
      <c r="AG1174" s="3" t="s">
        <v>10393</v>
      </c>
      <c r="AH1174" s="3" t="s">
        <v>9906</v>
      </c>
      <c r="AI1174" s="5" t="s">
        <v>10382</v>
      </c>
      <c r="AJ1174" s="5" t="s">
        <v>10394</v>
      </c>
      <c r="AK1174" s="3" t="s">
        <v>45</v>
      </c>
      <c r="AL1174" s="3" t="s">
        <v>45</v>
      </c>
      <c r="AM1174" s="3" t="s">
        <v>45</v>
      </c>
      <c r="AN1174" s="3" t="s">
        <v>45</v>
      </c>
      <c r="AO1174" s="3" t="s">
        <v>45</v>
      </c>
      <c r="AP1174" s="3" t="s">
        <v>45</v>
      </c>
      <c r="AQ1174" s="4" t="s">
        <v>807</v>
      </c>
      <c r="AR1174" s="4" t="s">
        <v>9908</v>
      </c>
    </row>
    <row r="1175">
      <c r="A1175" s="3" t="s">
        <v>10395</v>
      </c>
      <c r="B1175" s="3" t="s">
        <v>10396</v>
      </c>
      <c r="C1175" s="3" t="s">
        <v>9971</v>
      </c>
      <c r="D1175" s="3" t="s">
        <v>9900</v>
      </c>
      <c r="E1175" s="4" t="s">
        <v>10148</v>
      </c>
      <c r="F1175" s="3" t="s">
        <v>9928</v>
      </c>
      <c r="G1175" s="4" t="s">
        <v>10397</v>
      </c>
      <c r="H1175" s="4" t="s">
        <v>10398</v>
      </c>
      <c r="I1175" s="3" t="s">
        <v>49</v>
      </c>
      <c r="J1175" s="3" t="s">
        <v>126</v>
      </c>
      <c r="K1175" s="3" t="s">
        <v>45</v>
      </c>
      <c r="L1175" s="3" t="s">
        <v>10399</v>
      </c>
      <c r="M1175" s="3" t="s">
        <v>45</v>
      </c>
      <c r="N1175" s="3" t="s">
        <v>45</v>
      </c>
      <c r="O1175" s="3" t="s">
        <v>74</v>
      </c>
      <c r="P1175" s="3" t="s">
        <v>45</v>
      </c>
      <c r="Q1175" s="3" t="s">
        <v>45</v>
      </c>
      <c r="R1175" s="3" t="s">
        <v>45</v>
      </c>
      <c r="S1175" s="3" t="s">
        <v>45</v>
      </c>
      <c r="T1175" s="3" t="s">
        <v>45</v>
      </c>
      <c r="U1175" s="3" t="s">
        <v>45</v>
      </c>
      <c r="V1175" s="4" t="s">
        <v>1968</v>
      </c>
      <c r="W1175" s="4" t="s">
        <v>5239</v>
      </c>
      <c r="X1175" s="3" t="s">
        <v>45</v>
      </c>
      <c r="Y1175" s="3" t="s">
        <v>45</v>
      </c>
      <c r="Z1175" s="3" t="s">
        <v>74</v>
      </c>
      <c r="AA1175" s="3" t="s">
        <v>45</v>
      </c>
      <c r="AB1175" s="3" t="s">
        <v>45</v>
      </c>
      <c r="AC1175" s="3" t="s">
        <v>45</v>
      </c>
      <c r="AD1175" s="3" t="s">
        <v>45</v>
      </c>
      <c r="AE1175" s="3" t="s">
        <v>45</v>
      </c>
      <c r="AF1175" s="3" t="s">
        <v>45</v>
      </c>
      <c r="AG1175" s="3" t="s">
        <v>45</v>
      </c>
      <c r="AH1175" s="3" t="s">
        <v>9906</v>
      </c>
      <c r="AI1175" s="5" t="s">
        <v>10400</v>
      </c>
      <c r="AJ1175" s="5" t="s">
        <v>10401</v>
      </c>
      <c r="AK1175" s="3" t="s">
        <v>45</v>
      </c>
      <c r="AL1175" s="3" t="s">
        <v>45</v>
      </c>
      <c r="AM1175" s="3" t="s">
        <v>45</v>
      </c>
      <c r="AN1175" s="3" t="s">
        <v>45</v>
      </c>
      <c r="AO1175" s="3" t="s">
        <v>45</v>
      </c>
      <c r="AP1175" s="3" t="s">
        <v>45</v>
      </c>
      <c r="AQ1175" s="4" t="s">
        <v>9934</v>
      </c>
      <c r="AR1175" s="4" t="s">
        <v>9908</v>
      </c>
    </row>
    <row r="1176">
      <c r="A1176" s="3" t="s">
        <v>10402</v>
      </c>
      <c r="B1176" s="3" t="s">
        <v>10403</v>
      </c>
      <c r="C1176" s="3" t="s">
        <v>9971</v>
      </c>
      <c r="D1176" s="3" t="s">
        <v>9900</v>
      </c>
      <c r="E1176" s="4" t="s">
        <v>9972</v>
      </c>
      <c r="F1176" s="3" t="s">
        <v>9928</v>
      </c>
      <c r="G1176" s="4" t="s">
        <v>10404</v>
      </c>
      <c r="H1176" s="4" t="s">
        <v>10405</v>
      </c>
      <c r="I1176" s="3" t="s">
        <v>49</v>
      </c>
      <c r="J1176" s="3" t="s">
        <v>126</v>
      </c>
      <c r="K1176" s="3" t="s">
        <v>45</v>
      </c>
      <c r="L1176" s="3" t="s">
        <v>45</v>
      </c>
      <c r="M1176" s="3" t="s">
        <v>45</v>
      </c>
      <c r="N1176" s="3" t="s">
        <v>45</v>
      </c>
      <c r="O1176" s="3" t="s">
        <v>74</v>
      </c>
      <c r="P1176" s="3" t="s">
        <v>45</v>
      </c>
      <c r="Q1176" s="3" t="s">
        <v>45</v>
      </c>
      <c r="R1176" s="3" t="s">
        <v>45</v>
      </c>
      <c r="S1176" s="3" t="s">
        <v>45</v>
      </c>
      <c r="T1176" s="3" t="s">
        <v>45</v>
      </c>
      <c r="U1176" s="3" t="s">
        <v>45</v>
      </c>
      <c r="V1176" s="4" t="s">
        <v>680</v>
      </c>
      <c r="W1176" s="4" t="s">
        <v>1153</v>
      </c>
      <c r="X1176" s="3" t="s">
        <v>45</v>
      </c>
      <c r="Y1176" s="3" t="s">
        <v>45</v>
      </c>
      <c r="Z1176" s="3" t="s">
        <v>74</v>
      </c>
      <c r="AA1176" s="3" t="s">
        <v>45</v>
      </c>
      <c r="AB1176" s="3" t="s">
        <v>45</v>
      </c>
      <c r="AC1176" s="3" t="s">
        <v>45</v>
      </c>
      <c r="AD1176" s="3" t="s">
        <v>45</v>
      </c>
      <c r="AE1176" s="3" t="s">
        <v>45</v>
      </c>
      <c r="AF1176" s="3" t="s">
        <v>45</v>
      </c>
      <c r="AG1176" s="3" t="s">
        <v>10406</v>
      </c>
      <c r="AH1176" s="3" t="s">
        <v>9906</v>
      </c>
      <c r="AI1176" s="5" t="s">
        <v>10407</v>
      </c>
      <c r="AJ1176" s="3" t="s">
        <v>45</v>
      </c>
      <c r="AK1176" s="3" t="s">
        <v>45</v>
      </c>
      <c r="AL1176" s="3" t="s">
        <v>45</v>
      </c>
      <c r="AM1176" s="3" t="s">
        <v>45</v>
      </c>
      <c r="AN1176" s="3" t="s">
        <v>45</v>
      </c>
      <c r="AO1176" s="3" t="s">
        <v>45</v>
      </c>
      <c r="AP1176" s="3" t="s">
        <v>45</v>
      </c>
      <c r="AQ1176" s="4" t="s">
        <v>212</v>
      </c>
      <c r="AR1176" s="4" t="s">
        <v>9908</v>
      </c>
    </row>
    <row r="1177">
      <c r="A1177" s="3" t="s">
        <v>10408</v>
      </c>
      <c r="B1177" s="3" t="s">
        <v>10409</v>
      </c>
      <c r="C1177" s="3" t="s">
        <v>9971</v>
      </c>
      <c r="D1177" s="3" t="s">
        <v>9900</v>
      </c>
      <c r="E1177" s="4" t="s">
        <v>9972</v>
      </c>
      <c r="F1177" s="3" t="s">
        <v>9928</v>
      </c>
      <c r="G1177" s="4" t="s">
        <v>10410</v>
      </c>
      <c r="H1177" s="4" t="s">
        <v>10411</v>
      </c>
      <c r="I1177" s="3" t="s">
        <v>49</v>
      </c>
      <c r="J1177" s="3" t="s">
        <v>126</v>
      </c>
      <c r="K1177" s="3" t="s">
        <v>45</v>
      </c>
      <c r="L1177" s="3" t="s">
        <v>10412</v>
      </c>
      <c r="M1177" s="3" t="s">
        <v>45</v>
      </c>
      <c r="N1177" s="3" t="s">
        <v>45</v>
      </c>
      <c r="O1177" s="3" t="s">
        <v>74</v>
      </c>
      <c r="P1177" s="3" t="s">
        <v>45</v>
      </c>
      <c r="Q1177" s="3" t="s">
        <v>45</v>
      </c>
      <c r="R1177" s="3" t="s">
        <v>45</v>
      </c>
      <c r="S1177" s="3" t="s">
        <v>45</v>
      </c>
      <c r="T1177" s="3" t="s">
        <v>45</v>
      </c>
      <c r="U1177" s="3" t="s">
        <v>45</v>
      </c>
      <c r="V1177" s="4" t="s">
        <v>10413</v>
      </c>
      <c r="W1177" s="4" t="s">
        <v>1833</v>
      </c>
      <c r="X1177" s="3" t="s">
        <v>45</v>
      </c>
      <c r="Y1177" s="3" t="s">
        <v>45</v>
      </c>
      <c r="Z1177" s="3" t="s">
        <v>74</v>
      </c>
      <c r="AA1177" s="3" t="s">
        <v>45</v>
      </c>
      <c r="AB1177" s="3" t="s">
        <v>45</v>
      </c>
      <c r="AC1177" s="3" t="s">
        <v>45</v>
      </c>
      <c r="AD1177" s="3" t="s">
        <v>45</v>
      </c>
      <c r="AE1177" s="3" t="s">
        <v>45</v>
      </c>
      <c r="AF1177" s="3" t="s">
        <v>45</v>
      </c>
      <c r="AG1177" s="3" t="s">
        <v>10414</v>
      </c>
      <c r="AH1177" s="3" t="s">
        <v>9906</v>
      </c>
      <c r="AI1177" s="5" t="s">
        <v>10415</v>
      </c>
      <c r="AJ1177" s="5" t="s">
        <v>10138</v>
      </c>
      <c r="AK1177" s="3" t="s">
        <v>45</v>
      </c>
      <c r="AL1177" s="3" t="s">
        <v>45</v>
      </c>
      <c r="AM1177" s="3" t="s">
        <v>45</v>
      </c>
      <c r="AN1177" s="3" t="s">
        <v>45</v>
      </c>
      <c r="AO1177" s="3" t="s">
        <v>45</v>
      </c>
      <c r="AP1177" s="3" t="s">
        <v>45</v>
      </c>
      <c r="AQ1177" s="4" t="s">
        <v>807</v>
      </c>
      <c r="AR1177" s="4" t="s">
        <v>9908</v>
      </c>
    </row>
    <row r="1178">
      <c r="A1178" s="3" t="s">
        <v>10408</v>
      </c>
      <c r="B1178" s="3" t="s">
        <v>10416</v>
      </c>
      <c r="C1178" s="3" t="s">
        <v>9971</v>
      </c>
      <c r="D1178" s="3" t="s">
        <v>9900</v>
      </c>
      <c r="E1178" s="4" t="s">
        <v>9972</v>
      </c>
      <c r="F1178" s="3" t="s">
        <v>9928</v>
      </c>
      <c r="G1178" s="4" t="s">
        <v>10417</v>
      </c>
      <c r="H1178" s="4" t="s">
        <v>10418</v>
      </c>
      <c r="I1178" s="3" t="s">
        <v>408</v>
      </c>
      <c r="J1178" s="3" t="s">
        <v>126</v>
      </c>
      <c r="K1178" s="3" t="s">
        <v>45</v>
      </c>
      <c r="L1178" s="3" t="s">
        <v>10412</v>
      </c>
      <c r="M1178" s="3" t="s">
        <v>45</v>
      </c>
      <c r="N1178" s="3" t="s">
        <v>45</v>
      </c>
      <c r="O1178" s="3" t="s">
        <v>74</v>
      </c>
      <c r="P1178" s="3" t="s">
        <v>45</v>
      </c>
      <c r="Q1178" s="3" t="s">
        <v>45</v>
      </c>
      <c r="R1178" s="3" t="s">
        <v>45</v>
      </c>
      <c r="S1178" s="3" t="s">
        <v>45</v>
      </c>
      <c r="T1178" s="3" t="s">
        <v>45</v>
      </c>
      <c r="U1178" s="3" t="s">
        <v>45</v>
      </c>
      <c r="V1178" s="4" t="s">
        <v>10419</v>
      </c>
      <c r="W1178" s="4" t="s">
        <v>2608</v>
      </c>
      <c r="X1178" s="3" t="s">
        <v>45</v>
      </c>
      <c r="Y1178" s="3" t="s">
        <v>45</v>
      </c>
      <c r="Z1178" s="3" t="s">
        <v>74</v>
      </c>
      <c r="AA1178" s="3" t="s">
        <v>45</v>
      </c>
      <c r="AB1178" s="3" t="s">
        <v>45</v>
      </c>
      <c r="AC1178" s="3" t="s">
        <v>45</v>
      </c>
      <c r="AD1178" s="3" t="s">
        <v>45</v>
      </c>
      <c r="AE1178" s="3" t="s">
        <v>45</v>
      </c>
      <c r="AF1178" s="3" t="s">
        <v>45</v>
      </c>
      <c r="AG1178" s="3" t="s">
        <v>10420</v>
      </c>
      <c r="AH1178" s="3" t="s">
        <v>9906</v>
      </c>
      <c r="AI1178" s="5" t="s">
        <v>10421</v>
      </c>
      <c r="AJ1178" s="3" t="s">
        <v>45</v>
      </c>
      <c r="AK1178" s="3" t="s">
        <v>45</v>
      </c>
      <c r="AL1178" s="3" t="s">
        <v>45</v>
      </c>
      <c r="AM1178" s="3" t="s">
        <v>45</v>
      </c>
      <c r="AN1178" s="3" t="s">
        <v>45</v>
      </c>
      <c r="AO1178" s="3" t="s">
        <v>45</v>
      </c>
      <c r="AP1178" s="3" t="s">
        <v>45</v>
      </c>
      <c r="AQ1178" s="4" t="s">
        <v>807</v>
      </c>
      <c r="AR1178" s="4" t="s">
        <v>224</v>
      </c>
    </row>
    <row r="1179">
      <c r="A1179" s="3" t="s">
        <v>10422</v>
      </c>
      <c r="B1179" s="3" t="s">
        <v>10423</v>
      </c>
      <c r="C1179" s="3" t="s">
        <v>9971</v>
      </c>
      <c r="D1179" s="3" t="s">
        <v>9900</v>
      </c>
      <c r="E1179" s="4" t="s">
        <v>9972</v>
      </c>
      <c r="F1179" s="3" t="s">
        <v>9928</v>
      </c>
      <c r="G1179" s="4" t="s">
        <v>10424</v>
      </c>
      <c r="H1179" s="4" t="s">
        <v>10425</v>
      </c>
      <c r="I1179" s="3" t="s">
        <v>85</v>
      </c>
      <c r="J1179" s="3" t="s">
        <v>126</v>
      </c>
      <c r="K1179" s="3" t="s">
        <v>45</v>
      </c>
      <c r="L1179" s="3" t="s">
        <v>10422</v>
      </c>
      <c r="M1179" s="3" t="s">
        <v>45</v>
      </c>
      <c r="N1179" s="3" t="s">
        <v>45</v>
      </c>
      <c r="O1179" s="3" t="s">
        <v>74</v>
      </c>
      <c r="P1179" s="3" t="s">
        <v>45</v>
      </c>
      <c r="Q1179" s="3" t="s">
        <v>45</v>
      </c>
      <c r="R1179" s="3" t="s">
        <v>45</v>
      </c>
      <c r="S1179" s="3" t="s">
        <v>45</v>
      </c>
      <c r="T1179" s="3" t="s">
        <v>45</v>
      </c>
      <c r="U1179" s="3" t="s">
        <v>45</v>
      </c>
      <c r="V1179" s="4" t="s">
        <v>10426</v>
      </c>
      <c r="W1179" s="4" t="s">
        <v>776</v>
      </c>
      <c r="X1179" s="3" t="s">
        <v>45</v>
      </c>
      <c r="Y1179" s="3" t="s">
        <v>45</v>
      </c>
      <c r="Z1179" s="3" t="s">
        <v>74</v>
      </c>
      <c r="AA1179" s="3" t="s">
        <v>45</v>
      </c>
      <c r="AB1179" s="3" t="s">
        <v>45</v>
      </c>
      <c r="AC1179" s="3" t="s">
        <v>45</v>
      </c>
      <c r="AD1179" s="3" t="s">
        <v>45</v>
      </c>
      <c r="AE1179" s="3" t="s">
        <v>45</v>
      </c>
      <c r="AF1179" s="3" t="s">
        <v>45</v>
      </c>
      <c r="AG1179" s="3" t="s">
        <v>9932</v>
      </c>
      <c r="AH1179" s="3" t="s">
        <v>9906</v>
      </c>
      <c r="AI1179" s="5" t="s">
        <v>10427</v>
      </c>
      <c r="AJ1179" s="3" t="s">
        <v>45</v>
      </c>
      <c r="AK1179" s="3" t="s">
        <v>45</v>
      </c>
      <c r="AL1179" s="3" t="s">
        <v>45</v>
      </c>
      <c r="AM1179" s="3" t="s">
        <v>45</v>
      </c>
      <c r="AN1179" s="3" t="s">
        <v>45</v>
      </c>
      <c r="AO1179" s="3" t="s">
        <v>45</v>
      </c>
      <c r="AP1179" s="3" t="s">
        <v>45</v>
      </c>
      <c r="AQ1179" s="4" t="s">
        <v>9934</v>
      </c>
      <c r="AR1179" s="4" t="s">
        <v>9908</v>
      </c>
    </row>
    <row r="1180">
      <c r="A1180" s="3" t="s">
        <v>10428</v>
      </c>
      <c r="B1180" s="3" t="s">
        <v>10429</v>
      </c>
      <c r="C1180" s="3" t="s">
        <v>9971</v>
      </c>
      <c r="D1180" s="3" t="s">
        <v>9900</v>
      </c>
      <c r="E1180" s="4" t="s">
        <v>9972</v>
      </c>
      <c r="F1180" s="3" t="s">
        <v>9928</v>
      </c>
      <c r="G1180" s="4" t="s">
        <v>10430</v>
      </c>
      <c r="H1180" s="4" t="s">
        <v>10431</v>
      </c>
      <c r="I1180" s="3" t="s">
        <v>49</v>
      </c>
      <c r="J1180" s="3" t="s">
        <v>126</v>
      </c>
      <c r="K1180" s="3" t="s">
        <v>45</v>
      </c>
      <c r="L1180" s="3" t="s">
        <v>7343</v>
      </c>
      <c r="M1180" s="3" t="s">
        <v>45</v>
      </c>
      <c r="N1180" s="3" t="s">
        <v>45</v>
      </c>
      <c r="O1180" s="3" t="s">
        <v>74</v>
      </c>
      <c r="P1180" s="3" t="s">
        <v>45</v>
      </c>
      <c r="Q1180" s="3" t="s">
        <v>45</v>
      </c>
      <c r="R1180" s="3" t="s">
        <v>45</v>
      </c>
      <c r="S1180" s="3" t="s">
        <v>45</v>
      </c>
      <c r="T1180" s="3" t="s">
        <v>45</v>
      </c>
      <c r="U1180" s="3" t="s">
        <v>45</v>
      </c>
      <c r="V1180" s="4" t="s">
        <v>10432</v>
      </c>
      <c r="W1180" s="4" t="s">
        <v>10433</v>
      </c>
      <c r="X1180" s="3" t="s">
        <v>45</v>
      </c>
      <c r="Y1180" s="3" t="s">
        <v>45</v>
      </c>
      <c r="Z1180" s="3" t="s">
        <v>74</v>
      </c>
      <c r="AA1180" s="3" t="s">
        <v>45</v>
      </c>
      <c r="AB1180" s="3" t="s">
        <v>45</v>
      </c>
      <c r="AC1180" s="3" t="s">
        <v>45</v>
      </c>
      <c r="AD1180" s="3" t="s">
        <v>45</v>
      </c>
      <c r="AE1180" s="3" t="s">
        <v>45</v>
      </c>
      <c r="AF1180" s="3" t="s">
        <v>45</v>
      </c>
      <c r="AG1180" s="3" t="s">
        <v>9916</v>
      </c>
      <c r="AH1180" s="3" t="s">
        <v>9906</v>
      </c>
      <c r="AI1180" s="5" t="s">
        <v>10434</v>
      </c>
      <c r="AJ1180" s="5" t="s">
        <v>10435</v>
      </c>
      <c r="AK1180" s="3" t="s">
        <v>45</v>
      </c>
      <c r="AL1180" s="3" t="s">
        <v>45</v>
      </c>
      <c r="AM1180" s="3" t="s">
        <v>45</v>
      </c>
      <c r="AN1180" s="3" t="s">
        <v>45</v>
      </c>
      <c r="AO1180" s="3" t="s">
        <v>45</v>
      </c>
      <c r="AP1180" s="3" t="s">
        <v>45</v>
      </c>
      <c r="AQ1180" s="4" t="s">
        <v>807</v>
      </c>
      <c r="AR1180" s="4" t="s">
        <v>9908</v>
      </c>
    </row>
    <row r="1181">
      <c r="A1181" s="3" t="s">
        <v>10436</v>
      </c>
      <c r="B1181" s="3" t="s">
        <v>10437</v>
      </c>
      <c r="C1181" s="3" t="s">
        <v>10438</v>
      </c>
      <c r="D1181" s="3" t="s">
        <v>9900</v>
      </c>
      <c r="E1181" s="4" t="s">
        <v>10097</v>
      </c>
      <c r="F1181" s="3" t="s">
        <v>9928</v>
      </c>
      <c r="G1181" s="4" t="s">
        <v>10439</v>
      </c>
      <c r="H1181" s="4" t="s">
        <v>10440</v>
      </c>
      <c r="I1181" s="3" t="s">
        <v>49</v>
      </c>
      <c r="J1181" s="3" t="s">
        <v>126</v>
      </c>
      <c r="K1181" s="3" t="s">
        <v>45</v>
      </c>
      <c r="L1181" s="3" t="s">
        <v>45</v>
      </c>
      <c r="M1181" s="3" t="s">
        <v>45</v>
      </c>
      <c r="N1181" s="3" t="s">
        <v>45</v>
      </c>
      <c r="O1181" s="3" t="s">
        <v>74</v>
      </c>
      <c r="P1181" s="3" t="s">
        <v>45</v>
      </c>
      <c r="Q1181" s="3" t="s">
        <v>45</v>
      </c>
      <c r="R1181" s="3" t="s">
        <v>45</v>
      </c>
      <c r="S1181" s="3" t="s">
        <v>45</v>
      </c>
      <c r="T1181" s="3" t="s">
        <v>45</v>
      </c>
      <c r="U1181" s="3" t="s">
        <v>45</v>
      </c>
      <c r="V1181" s="4" t="s">
        <v>10441</v>
      </c>
      <c r="W1181" s="4" t="s">
        <v>879</v>
      </c>
      <c r="X1181" s="3" t="s">
        <v>45</v>
      </c>
      <c r="Y1181" s="3" t="s">
        <v>45</v>
      </c>
      <c r="Z1181" s="3" t="s">
        <v>74</v>
      </c>
      <c r="AA1181" s="3" t="s">
        <v>45</v>
      </c>
      <c r="AB1181" s="3" t="s">
        <v>45</v>
      </c>
      <c r="AC1181" s="3" t="s">
        <v>45</v>
      </c>
      <c r="AD1181" s="3" t="s">
        <v>45</v>
      </c>
      <c r="AE1181" s="3" t="s">
        <v>45</v>
      </c>
      <c r="AF1181" s="3" t="s">
        <v>45</v>
      </c>
      <c r="AG1181" s="3" t="s">
        <v>10442</v>
      </c>
      <c r="AH1181" s="3" t="s">
        <v>9906</v>
      </c>
      <c r="AI1181" s="5" t="s">
        <v>10443</v>
      </c>
      <c r="AJ1181" s="5" t="s">
        <v>10444</v>
      </c>
      <c r="AK1181" s="3" t="s">
        <v>45</v>
      </c>
      <c r="AL1181" s="3" t="s">
        <v>45</v>
      </c>
      <c r="AM1181" s="3" t="s">
        <v>45</v>
      </c>
      <c r="AN1181" s="3" t="s">
        <v>45</v>
      </c>
      <c r="AO1181" s="3" t="s">
        <v>45</v>
      </c>
      <c r="AP1181" s="3" t="s">
        <v>45</v>
      </c>
      <c r="AQ1181" s="4" t="s">
        <v>807</v>
      </c>
      <c r="AR1181" s="4" t="s">
        <v>9908</v>
      </c>
    </row>
    <row r="1182">
      <c r="A1182" s="3" t="s">
        <v>10445</v>
      </c>
      <c r="B1182" s="3" t="s">
        <v>10446</v>
      </c>
      <c r="C1182" s="3" t="s">
        <v>3737</v>
      </c>
      <c r="D1182" s="3" t="s">
        <v>9900</v>
      </c>
      <c r="E1182" s="4" t="s">
        <v>10447</v>
      </c>
      <c r="F1182" s="3" t="s">
        <v>10448</v>
      </c>
      <c r="G1182" s="4" t="s">
        <v>10449</v>
      </c>
      <c r="H1182" s="4" t="s">
        <v>10450</v>
      </c>
      <c r="I1182" s="3" t="s">
        <v>49</v>
      </c>
      <c r="J1182" s="3" t="s">
        <v>126</v>
      </c>
      <c r="K1182" s="3" t="s">
        <v>45</v>
      </c>
      <c r="L1182" s="3" t="s">
        <v>10451</v>
      </c>
      <c r="M1182" s="3" t="s">
        <v>45</v>
      </c>
      <c r="N1182" s="3" t="s">
        <v>45</v>
      </c>
      <c r="O1182" s="3" t="s">
        <v>74</v>
      </c>
      <c r="P1182" s="3" t="s">
        <v>45</v>
      </c>
      <c r="Q1182" s="3" t="s">
        <v>45</v>
      </c>
      <c r="R1182" s="3" t="s">
        <v>45</v>
      </c>
      <c r="S1182" s="3" t="s">
        <v>45</v>
      </c>
      <c r="T1182" s="3" t="s">
        <v>45</v>
      </c>
      <c r="U1182" s="3" t="s">
        <v>45</v>
      </c>
      <c r="V1182" s="3" t="s">
        <v>45</v>
      </c>
      <c r="W1182" s="4" t="s">
        <v>1316</v>
      </c>
      <c r="X1182" s="3" t="s">
        <v>45</v>
      </c>
      <c r="Y1182" s="3" t="s">
        <v>45</v>
      </c>
      <c r="Z1182" s="3" t="s">
        <v>74</v>
      </c>
      <c r="AA1182" s="3" t="s">
        <v>45</v>
      </c>
      <c r="AB1182" s="3" t="s">
        <v>45</v>
      </c>
      <c r="AC1182" s="3" t="s">
        <v>45</v>
      </c>
      <c r="AD1182" s="3" t="s">
        <v>45</v>
      </c>
      <c r="AE1182" s="3" t="s">
        <v>45</v>
      </c>
      <c r="AF1182" s="3" t="s">
        <v>45</v>
      </c>
      <c r="AG1182" s="3" t="s">
        <v>10452</v>
      </c>
      <c r="AH1182" s="3" t="s">
        <v>9906</v>
      </c>
      <c r="AI1182" s="5" t="s">
        <v>10453</v>
      </c>
      <c r="AJ1182" s="5" t="s">
        <v>10454</v>
      </c>
      <c r="AK1182" s="3" t="s">
        <v>45</v>
      </c>
      <c r="AL1182" s="3" t="s">
        <v>45</v>
      </c>
      <c r="AM1182" s="3" t="s">
        <v>45</v>
      </c>
      <c r="AN1182" s="3" t="s">
        <v>45</v>
      </c>
      <c r="AO1182" s="3" t="s">
        <v>45</v>
      </c>
      <c r="AP1182" s="3" t="s">
        <v>45</v>
      </c>
      <c r="AQ1182" s="4" t="s">
        <v>10455</v>
      </c>
      <c r="AR1182" s="4" t="s">
        <v>9908</v>
      </c>
    </row>
    <row r="1183">
      <c r="A1183" s="3" t="s">
        <v>10456</v>
      </c>
      <c r="B1183" s="3" t="s">
        <v>10457</v>
      </c>
      <c r="C1183" s="3" t="s">
        <v>3737</v>
      </c>
      <c r="D1183" s="3" t="s">
        <v>9900</v>
      </c>
      <c r="E1183" s="4" t="s">
        <v>10447</v>
      </c>
      <c r="F1183" s="3" t="s">
        <v>10448</v>
      </c>
      <c r="G1183" s="4" t="s">
        <v>10458</v>
      </c>
      <c r="H1183" s="4" t="s">
        <v>10459</v>
      </c>
      <c r="I1183" s="3" t="s">
        <v>49</v>
      </c>
      <c r="J1183" s="3" t="s">
        <v>126</v>
      </c>
      <c r="K1183" s="3" t="s">
        <v>45</v>
      </c>
      <c r="L1183" s="3" t="s">
        <v>10460</v>
      </c>
      <c r="M1183" s="3" t="s">
        <v>45</v>
      </c>
      <c r="N1183" s="3" t="s">
        <v>45</v>
      </c>
      <c r="O1183" s="3" t="s">
        <v>74</v>
      </c>
      <c r="P1183" s="3" t="s">
        <v>45</v>
      </c>
      <c r="Q1183" s="3" t="s">
        <v>45</v>
      </c>
      <c r="R1183" s="3" t="s">
        <v>45</v>
      </c>
      <c r="S1183" s="3" t="s">
        <v>45</v>
      </c>
      <c r="T1183" s="3" t="s">
        <v>45</v>
      </c>
      <c r="U1183" s="3" t="s">
        <v>45</v>
      </c>
      <c r="V1183" s="4" t="s">
        <v>10461</v>
      </c>
      <c r="W1183" s="4" t="s">
        <v>10462</v>
      </c>
      <c r="X1183" s="3" t="s">
        <v>45</v>
      </c>
      <c r="Y1183" s="3" t="s">
        <v>45</v>
      </c>
      <c r="Z1183" s="3" t="s">
        <v>74</v>
      </c>
      <c r="AA1183" s="3" t="s">
        <v>45</v>
      </c>
      <c r="AB1183" s="3" t="s">
        <v>45</v>
      </c>
      <c r="AC1183" s="3" t="s">
        <v>45</v>
      </c>
      <c r="AD1183" s="3" t="s">
        <v>45</v>
      </c>
      <c r="AE1183" s="3" t="s">
        <v>45</v>
      </c>
      <c r="AF1183" s="3" t="s">
        <v>45</v>
      </c>
      <c r="AG1183" s="3" t="s">
        <v>10463</v>
      </c>
      <c r="AH1183" s="3" t="s">
        <v>9906</v>
      </c>
      <c r="AI1183" s="5" t="s">
        <v>10464</v>
      </c>
      <c r="AJ1183" s="5" t="s">
        <v>10465</v>
      </c>
      <c r="AK1183" s="3" t="s">
        <v>45</v>
      </c>
      <c r="AL1183" s="3" t="s">
        <v>45</v>
      </c>
      <c r="AM1183" s="3" t="s">
        <v>45</v>
      </c>
      <c r="AN1183" s="3" t="s">
        <v>45</v>
      </c>
      <c r="AO1183" s="3" t="s">
        <v>45</v>
      </c>
      <c r="AP1183" s="3" t="s">
        <v>45</v>
      </c>
      <c r="AQ1183" s="4" t="s">
        <v>10466</v>
      </c>
      <c r="AR1183" s="4" t="s">
        <v>9908</v>
      </c>
    </row>
    <row r="1184">
      <c r="A1184" s="3" t="s">
        <v>10467</v>
      </c>
      <c r="B1184" s="3" t="s">
        <v>10468</v>
      </c>
      <c r="C1184" s="3" t="s">
        <v>3737</v>
      </c>
      <c r="D1184" s="3" t="s">
        <v>9900</v>
      </c>
      <c r="E1184" s="4" t="s">
        <v>10447</v>
      </c>
      <c r="F1184" s="3" t="s">
        <v>10448</v>
      </c>
      <c r="G1184" s="4" t="s">
        <v>10469</v>
      </c>
      <c r="H1184" s="4" t="s">
        <v>10470</v>
      </c>
      <c r="I1184" s="3" t="s">
        <v>49</v>
      </c>
      <c r="J1184" s="3" t="s">
        <v>126</v>
      </c>
      <c r="K1184" s="3" t="s">
        <v>45</v>
      </c>
      <c r="L1184" s="3" t="s">
        <v>45</v>
      </c>
      <c r="M1184" s="3" t="s">
        <v>45</v>
      </c>
      <c r="N1184" s="3" t="s">
        <v>45</v>
      </c>
      <c r="O1184" s="3" t="s">
        <v>74</v>
      </c>
      <c r="P1184" s="3" t="s">
        <v>71</v>
      </c>
      <c r="Q1184" s="3" t="s">
        <v>45</v>
      </c>
      <c r="R1184" s="3" t="s">
        <v>45</v>
      </c>
      <c r="S1184" s="3" t="s">
        <v>45</v>
      </c>
      <c r="T1184" s="3" t="s">
        <v>45</v>
      </c>
      <c r="U1184" s="3" t="s">
        <v>45</v>
      </c>
      <c r="V1184" s="3" t="s">
        <v>45</v>
      </c>
      <c r="W1184" s="4" t="s">
        <v>5731</v>
      </c>
      <c r="X1184" s="3" t="s">
        <v>45</v>
      </c>
      <c r="Y1184" s="3" t="s">
        <v>45</v>
      </c>
      <c r="Z1184" s="3" t="s">
        <v>74</v>
      </c>
      <c r="AA1184" s="3" t="s">
        <v>45</v>
      </c>
      <c r="AB1184" s="3" t="s">
        <v>45</v>
      </c>
      <c r="AC1184" s="3" t="s">
        <v>45</v>
      </c>
      <c r="AD1184" s="3" t="s">
        <v>45</v>
      </c>
      <c r="AE1184" s="3" t="s">
        <v>45</v>
      </c>
      <c r="AF1184" s="3" t="s">
        <v>45</v>
      </c>
      <c r="AG1184" s="3" t="s">
        <v>10471</v>
      </c>
      <c r="AH1184" s="3" t="s">
        <v>57</v>
      </c>
      <c r="AI1184" s="5" t="s">
        <v>10472</v>
      </c>
      <c r="AJ1184" s="3" t="s">
        <v>45</v>
      </c>
      <c r="AK1184" s="3" t="s">
        <v>45</v>
      </c>
      <c r="AL1184" s="3" t="s">
        <v>45</v>
      </c>
      <c r="AM1184" s="3" t="s">
        <v>45</v>
      </c>
      <c r="AN1184" s="3" t="s">
        <v>45</v>
      </c>
      <c r="AO1184" s="3" t="s">
        <v>45</v>
      </c>
      <c r="AP1184" s="3" t="s">
        <v>45</v>
      </c>
      <c r="AQ1184" s="4" t="s">
        <v>2649</v>
      </c>
      <c r="AR1184" s="4" t="s">
        <v>2649</v>
      </c>
    </row>
    <row r="1185">
      <c r="A1185" s="3" t="s">
        <v>10473</v>
      </c>
      <c r="B1185" s="3" t="s">
        <v>10474</v>
      </c>
      <c r="C1185" s="3" t="s">
        <v>3737</v>
      </c>
      <c r="D1185" s="3" t="s">
        <v>9900</v>
      </c>
      <c r="E1185" s="4" t="s">
        <v>10447</v>
      </c>
      <c r="F1185" s="3" t="s">
        <v>10448</v>
      </c>
      <c r="G1185" s="4" t="s">
        <v>10475</v>
      </c>
      <c r="H1185" s="4" t="s">
        <v>10476</v>
      </c>
      <c r="I1185" s="3" t="s">
        <v>85</v>
      </c>
      <c r="J1185" s="3" t="s">
        <v>126</v>
      </c>
      <c r="K1185" s="3" t="s">
        <v>45</v>
      </c>
      <c r="L1185" s="3" t="s">
        <v>10477</v>
      </c>
      <c r="M1185" s="3" t="s">
        <v>45</v>
      </c>
      <c r="N1185" s="3" t="s">
        <v>45</v>
      </c>
      <c r="O1185" s="3" t="s">
        <v>74</v>
      </c>
      <c r="P1185" s="3" t="s">
        <v>45</v>
      </c>
      <c r="Q1185" s="3" t="s">
        <v>45</v>
      </c>
      <c r="R1185" s="3" t="s">
        <v>45</v>
      </c>
      <c r="S1185" s="3" t="s">
        <v>45</v>
      </c>
      <c r="T1185" s="3" t="s">
        <v>45</v>
      </c>
      <c r="U1185" s="3" t="s">
        <v>45</v>
      </c>
      <c r="V1185" s="4" t="s">
        <v>10478</v>
      </c>
      <c r="W1185" s="4" t="s">
        <v>480</v>
      </c>
      <c r="X1185" s="3" t="s">
        <v>45</v>
      </c>
      <c r="Y1185" s="3" t="s">
        <v>45</v>
      </c>
      <c r="Z1185" s="3" t="s">
        <v>74</v>
      </c>
      <c r="AA1185" s="3" t="s">
        <v>45</v>
      </c>
      <c r="AB1185" s="3" t="s">
        <v>45</v>
      </c>
      <c r="AC1185" s="3" t="s">
        <v>45</v>
      </c>
      <c r="AD1185" s="3" t="s">
        <v>45</v>
      </c>
      <c r="AE1185" s="3" t="s">
        <v>45</v>
      </c>
      <c r="AF1185" s="3" t="s">
        <v>45</v>
      </c>
      <c r="AG1185" s="3" t="s">
        <v>45</v>
      </c>
      <c r="AH1185" s="3" t="s">
        <v>9906</v>
      </c>
      <c r="AI1185" s="5" t="s">
        <v>10479</v>
      </c>
      <c r="AJ1185" s="3" t="s">
        <v>45</v>
      </c>
      <c r="AK1185" s="3" t="s">
        <v>45</v>
      </c>
      <c r="AL1185" s="3" t="s">
        <v>45</v>
      </c>
      <c r="AM1185" s="3" t="s">
        <v>45</v>
      </c>
      <c r="AN1185" s="3" t="s">
        <v>45</v>
      </c>
      <c r="AO1185" s="3" t="s">
        <v>45</v>
      </c>
      <c r="AP1185" s="3" t="s">
        <v>45</v>
      </c>
      <c r="AQ1185" s="4" t="s">
        <v>9934</v>
      </c>
      <c r="AR1185" s="4" t="s">
        <v>9908</v>
      </c>
    </row>
    <row r="1186">
      <c r="A1186" s="3" t="s">
        <v>10480</v>
      </c>
      <c r="B1186" s="3" t="s">
        <v>10481</v>
      </c>
      <c r="C1186" s="3" t="s">
        <v>3737</v>
      </c>
      <c r="D1186" s="3" t="s">
        <v>9900</v>
      </c>
      <c r="E1186" s="3" t="s">
        <v>45</v>
      </c>
      <c r="F1186" s="3" t="s">
        <v>10448</v>
      </c>
      <c r="G1186" s="4" t="s">
        <v>10482</v>
      </c>
      <c r="H1186" s="4" t="s">
        <v>10483</v>
      </c>
      <c r="I1186" s="3" t="s">
        <v>49</v>
      </c>
      <c r="J1186" s="3" t="s">
        <v>50</v>
      </c>
      <c r="K1186" s="3" t="s">
        <v>45</v>
      </c>
      <c r="L1186" s="3" t="s">
        <v>10484</v>
      </c>
      <c r="M1186" s="3" t="s">
        <v>45</v>
      </c>
      <c r="N1186" s="4" t="s">
        <v>3389</v>
      </c>
      <c r="O1186" s="3" t="s">
        <v>70</v>
      </c>
      <c r="P1186" s="3" t="s">
        <v>45</v>
      </c>
      <c r="Q1186" s="3" t="s">
        <v>45</v>
      </c>
      <c r="R1186" s="3" t="s">
        <v>45</v>
      </c>
      <c r="S1186" s="3" t="s">
        <v>45</v>
      </c>
      <c r="T1186" s="3" t="s">
        <v>45</v>
      </c>
      <c r="U1186" s="3" t="s">
        <v>45</v>
      </c>
      <c r="V1186" s="4" t="s">
        <v>2239</v>
      </c>
      <c r="W1186" s="4" t="s">
        <v>10485</v>
      </c>
      <c r="X1186" s="3" t="s">
        <v>45</v>
      </c>
      <c r="Y1186" s="3" t="s">
        <v>45</v>
      </c>
      <c r="Z1186" s="3" t="s">
        <v>74</v>
      </c>
      <c r="AA1186" s="3" t="s">
        <v>45</v>
      </c>
      <c r="AB1186" s="3" t="s">
        <v>45</v>
      </c>
      <c r="AC1186" s="3" t="s">
        <v>45</v>
      </c>
      <c r="AD1186" s="3" t="s">
        <v>45</v>
      </c>
      <c r="AE1186" s="3" t="s">
        <v>45</v>
      </c>
      <c r="AF1186" s="3" t="s">
        <v>45</v>
      </c>
      <c r="AG1186" s="3" t="s">
        <v>9916</v>
      </c>
      <c r="AH1186" s="3" t="s">
        <v>9906</v>
      </c>
      <c r="AI1186" s="5" t="s">
        <v>10486</v>
      </c>
      <c r="AJ1186" s="3" t="s">
        <v>45</v>
      </c>
      <c r="AK1186" s="3" t="s">
        <v>45</v>
      </c>
      <c r="AL1186" s="3" t="s">
        <v>45</v>
      </c>
      <c r="AM1186" s="3" t="s">
        <v>45</v>
      </c>
      <c r="AN1186" s="3" t="s">
        <v>45</v>
      </c>
      <c r="AO1186" s="3" t="s">
        <v>45</v>
      </c>
      <c r="AP1186" s="3" t="s">
        <v>45</v>
      </c>
      <c r="AQ1186" s="4" t="s">
        <v>9934</v>
      </c>
      <c r="AR1186" s="4" t="s">
        <v>9908</v>
      </c>
    </row>
    <row r="1187">
      <c r="A1187" s="3" t="s">
        <v>10487</v>
      </c>
      <c r="B1187" s="3" t="s">
        <v>10488</v>
      </c>
      <c r="C1187" s="3" t="s">
        <v>3737</v>
      </c>
      <c r="D1187" s="3" t="s">
        <v>9900</v>
      </c>
      <c r="E1187" s="4" t="s">
        <v>10447</v>
      </c>
      <c r="F1187" s="3" t="s">
        <v>10448</v>
      </c>
      <c r="G1187" s="4" t="s">
        <v>10489</v>
      </c>
      <c r="H1187" s="4" t="s">
        <v>10490</v>
      </c>
      <c r="I1187" s="3" t="s">
        <v>49</v>
      </c>
      <c r="J1187" s="3" t="s">
        <v>126</v>
      </c>
      <c r="K1187" s="3" t="s">
        <v>45</v>
      </c>
      <c r="L1187" s="3" t="s">
        <v>10491</v>
      </c>
      <c r="M1187" s="3" t="s">
        <v>45</v>
      </c>
      <c r="N1187" s="3" t="s">
        <v>45</v>
      </c>
      <c r="O1187" s="3" t="s">
        <v>88</v>
      </c>
      <c r="P1187" s="3" t="s">
        <v>45</v>
      </c>
      <c r="Q1187" s="3" t="s">
        <v>45</v>
      </c>
      <c r="R1187" s="3" t="s">
        <v>45</v>
      </c>
      <c r="S1187" s="4" t="s">
        <v>9540</v>
      </c>
      <c r="T1187" s="3" t="s">
        <v>45</v>
      </c>
      <c r="U1187" s="3" t="s">
        <v>45</v>
      </c>
      <c r="V1187" s="4" t="s">
        <v>260</v>
      </c>
      <c r="W1187" s="4" t="s">
        <v>10492</v>
      </c>
      <c r="X1187" s="3" t="s">
        <v>45</v>
      </c>
      <c r="Y1187" s="3" t="s">
        <v>45</v>
      </c>
      <c r="Z1187" s="3" t="s">
        <v>74</v>
      </c>
      <c r="AA1187" s="3" t="s">
        <v>45</v>
      </c>
      <c r="AB1187" s="3" t="s">
        <v>45</v>
      </c>
      <c r="AC1187" s="3" t="s">
        <v>45</v>
      </c>
      <c r="AD1187" s="3" t="s">
        <v>45</v>
      </c>
      <c r="AE1187" s="3" t="s">
        <v>45</v>
      </c>
      <c r="AF1187" s="3" t="s">
        <v>45</v>
      </c>
      <c r="AG1187" s="3" t="s">
        <v>45</v>
      </c>
      <c r="AH1187" s="3" t="s">
        <v>57</v>
      </c>
      <c r="AI1187" s="5" t="s">
        <v>10493</v>
      </c>
      <c r="AJ1187" s="3" t="s">
        <v>45</v>
      </c>
      <c r="AK1187" s="3" t="s">
        <v>45</v>
      </c>
      <c r="AL1187" s="3" t="s">
        <v>45</v>
      </c>
      <c r="AM1187" s="3" t="s">
        <v>45</v>
      </c>
      <c r="AN1187" s="3" t="s">
        <v>45</v>
      </c>
      <c r="AO1187" s="3" t="s">
        <v>45</v>
      </c>
      <c r="AP1187" s="3" t="s">
        <v>45</v>
      </c>
      <c r="AQ1187" s="4" t="s">
        <v>1230</v>
      </c>
      <c r="AR1187" s="4" t="s">
        <v>1230</v>
      </c>
    </row>
    <row r="1188">
      <c r="A1188" s="3" t="s">
        <v>10494</v>
      </c>
      <c r="B1188" s="3" t="s">
        <v>10495</v>
      </c>
      <c r="C1188" s="3" t="s">
        <v>10496</v>
      </c>
      <c r="D1188" s="3" t="s">
        <v>9900</v>
      </c>
      <c r="E1188" s="4" t="s">
        <v>10497</v>
      </c>
      <c r="F1188" s="3" t="s">
        <v>214</v>
      </c>
      <c r="G1188" s="4" t="s">
        <v>10498</v>
      </c>
      <c r="H1188" s="4" t="s">
        <v>10499</v>
      </c>
      <c r="I1188" s="3" t="s">
        <v>85</v>
      </c>
      <c r="J1188" s="3" t="s">
        <v>126</v>
      </c>
      <c r="K1188" s="3" t="s">
        <v>45</v>
      </c>
      <c r="L1188" s="3" t="s">
        <v>10500</v>
      </c>
      <c r="M1188" s="3" t="s">
        <v>45</v>
      </c>
      <c r="N1188" s="3" t="s">
        <v>45</v>
      </c>
      <c r="O1188" s="3" t="s">
        <v>74</v>
      </c>
      <c r="P1188" s="3" t="s">
        <v>45</v>
      </c>
      <c r="Q1188" s="3" t="s">
        <v>45</v>
      </c>
      <c r="R1188" s="3" t="s">
        <v>45</v>
      </c>
      <c r="S1188" s="3" t="s">
        <v>45</v>
      </c>
      <c r="T1188" s="3" t="s">
        <v>45</v>
      </c>
      <c r="U1188" s="3" t="s">
        <v>45</v>
      </c>
      <c r="V1188" s="4" t="s">
        <v>10501</v>
      </c>
      <c r="W1188" s="3" t="s">
        <v>45</v>
      </c>
      <c r="X1188" s="3" t="s">
        <v>45</v>
      </c>
      <c r="Y1188" s="3" t="s">
        <v>45</v>
      </c>
      <c r="Z1188" s="3" t="s">
        <v>74</v>
      </c>
      <c r="AA1188" s="3" t="s">
        <v>45</v>
      </c>
      <c r="AB1188" s="3" t="s">
        <v>45</v>
      </c>
      <c r="AC1188" s="3" t="s">
        <v>45</v>
      </c>
      <c r="AD1188" s="3" t="s">
        <v>45</v>
      </c>
      <c r="AE1188" s="3" t="s">
        <v>45</v>
      </c>
      <c r="AF1188" s="3" t="s">
        <v>45</v>
      </c>
      <c r="AG1188" s="3" t="s">
        <v>45</v>
      </c>
      <c r="AH1188" s="3" t="s">
        <v>9906</v>
      </c>
      <c r="AI1188" s="5" t="s">
        <v>10502</v>
      </c>
      <c r="AJ1188" s="3" t="s">
        <v>45</v>
      </c>
      <c r="AK1188" s="3" t="s">
        <v>45</v>
      </c>
      <c r="AL1188" s="3" t="s">
        <v>45</v>
      </c>
      <c r="AM1188" s="3" t="s">
        <v>45</v>
      </c>
      <c r="AN1188" s="3" t="s">
        <v>45</v>
      </c>
      <c r="AO1188" s="3" t="s">
        <v>45</v>
      </c>
      <c r="AP1188" s="3" t="s">
        <v>45</v>
      </c>
      <c r="AQ1188" s="4" t="s">
        <v>9934</v>
      </c>
      <c r="AR1188" s="4" t="s">
        <v>9908</v>
      </c>
    </row>
    <row r="1189">
      <c r="A1189" s="3" t="s">
        <v>10503</v>
      </c>
      <c r="B1189" s="3" t="s">
        <v>10504</v>
      </c>
      <c r="C1189" s="3" t="s">
        <v>10505</v>
      </c>
      <c r="D1189" s="3" t="s">
        <v>9900</v>
      </c>
      <c r="E1189" s="4" t="s">
        <v>10506</v>
      </c>
      <c r="F1189" s="3" t="s">
        <v>5095</v>
      </c>
      <c r="G1189" s="4" t="s">
        <v>10507</v>
      </c>
      <c r="H1189" s="4" t="s">
        <v>10508</v>
      </c>
      <c r="I1189" s="3" t="s">
        <v>408</v>
      </c>
      <c r="J1189" s="3" t="s">
        <v>126</v>
      </c>
      <c r="K1189" s="3" t="s">
        <v>45</v>
      </c>
      <c r="L1189" s="3" t="s">
        <v>409</v>
      </c>
      <c r="M1189" s="3" t="s">
        <v>45</v>
      </c>
      <c r="N1189" s="3" t="s">
        <v>45</v>
      </c>
      <c r="O1189" s="3" t="s">
        <v>74</v>
      </c>
      <c r="P1189" s="3" t="s">
        <v>45</v>
      </c>
      <c r="Q1189" s="3" t="s">
        <v>45</v>
      </c>
      <c r="R1189" s="3" t="s">
        <v>45</v>
      </c>
      <c r="S1189" s="3" t="s">
        <v>45</v>
      </c>
      <c r="T1189" s="3" t="s">
        <v>45</v>
      </c>
      <c r="U1189" s="3" t="s">
        <v>45</v>
      </c>
      <c r="V1189" s="4" t="s">
        <v>10509</v>
      </c>
      <c r="W1189" s="4" t="s">
        <v>10510</v>
      </c>
      <c r="X1189" s="3" t="s">
        <v>45</v>
      </c>
      <c r="Y1189" s="3" t="s">
        <v>45</v>
      </c>
      <c r="Z1189" s="3" t="s">
        <v>74</v>
      </c>
      <c r="AA1189" s="3" t="s">
        <v>45</v>
      </c>
      <c r="AB1189" s="3" t="s">
        <v>45</v>
      </c>
      <c r="AC1189" s="3" t="s">
        <v>45</v>
      </c>
      <c r="AD1189" s="3" t="s">
        <v>45</v>
      </c>
      <c r="AE1189" s="3" t="s">
        <v>45</v>
      </c>
      <c r="AF1189" s="3" t="s">
        <v>45</v>
      </c>
      <c r="AG1189" s="3" t="s">
        <v>10511</v>
      </c>
      <c r="AH1189" s="3" t="s">
        <v>9906</v>
      </c>
      <c r="AI1189" s="5" t="s">
        <v>10512</v>
      </c>
      <c r="AJ1189" s="3" t="s">
        <v>45</v>
      </c>
      <c r="AK1189" s="3" t="s">
        <v>45</v>
      </c>
      <c r="AL1189" s="3" t="s">
        <v>45</v>
      </c>
      <c r="AM1189" s="3" t="s">
        <v>45</v>
      </c>
      <c r="AN1189" s="3" t="s">
        <v>45</v>
      </c>
      <c r="AO1189" s="3" t="s">
        <v>45</v>
      </c>
      <c r="AP1189" s="3" t="s">
        <v>45</v>
      </c>
      <c r="AQ1189" s="4" t="s">
        <v>9934</v>
      </c>
      <c r="AR1189" s="4" t="s">
        <v>9908</v>
      </c>
    </row>
    <row r="1190">
      <c r="A1190" s="3" t="s">
        <v>404</v>
      </c>
      <c r="B1190" s="3" t="s">
        <v>10513</v>
      </c>
      <c r="C1190" s="3" t="s">
        <v>10505</v>
      </c>
      <c r="D1190" s="3" t="s">
        <v>9900</v>
      </c>
      <c r="E1190" s="4" t="s">
        <v>10506</v>
      </c>
      <c r="F1190" s="3" t="s">
        <v>5095</v>
      </c>
      <c r="G1190" s="4" t="s">
        <v>10514</v>
      </c>
      <c r="H1190" s="4" t="s">
        <v>10515</v>
      </c>
      <c r="I1190" s="3" t="s">
        <v>85</v>
      </c>
      <c r="J1190" s="3" t="s">
        <v>126</v>
      </c>
      <c r="K1190" s="3" t="s">
        <v>45</v>
      </c>
      <c r="L1190" s="3" t="s">
        <v>409</v>
      </c>
      <c r="M1190" s="3" t="s">
        <v>45</v>
      </c>
      <c r="N1190" s="3" t="s">
        <v>45</v>
      </c>
      <c r="O1190" s="3" t="s">
        <v>74</v>
      </c>
      <c r="P1190" s="3" t="s">
        <v>45</v>
      </c>
      <c r="Q1190" s="3" t="s">
        <v>45</v>
      </c>
      <c r="R1190" s="3" t="s">
        <v>45</v>
      </c>
      <c r="S1190" s="3" t="s">
        <v>45</v>
      </c>
      <c r="T1190" s="3" t="s">
        <v>45</v>
      </c>
      <c r="U1190" s="3" t="s">
        <v>45</v>
      </c>
      <c r="V1190" s="3" t="s">
        <v>45</v>
      </c>
      <c r="W1190" s="3" t="s">
        <v>45</v>
      </c>
      <c r="X1190" s="3" t="s">
        <v>45</v>
      </c>
      <c r="Y1190" s="3" t="s">
        <v>45</v>
      </c>
      <c r="Z1190" s="3" t="s">
        <v>74</v>
      </c>
      <c r="AA1190" s="3" t="s">
        <v>45</v>
      </c>
      <c r="AB1190" s="3" t="s">
        <v>45</v>
      </c>
      <c r="AC1190" s="3" t="s">
        <v>45</v>
      </c>
      <c r="AD1190" s="3" t="s">
        <v>45</v>
      </c>
      <c r="AE1190" s="3" t="s">
        <v>45</v>
      </c>
      <c r="AF1190" s="3" t="s">
        <v>45</v>
      </c>
      <c r="AG1190" s="3" t="s">
        <v>45</v>
      </c>
      <c r="AH1190" s="3" t="s">
        <v>57</v>
      </c>
      <c r="AI1190" s="3" t="s">
        <v>45</v>
      </c>
      <c r="AJ1190" s="3" t="s">
        <v>45</v>
      </c>
      <c r="AK1190" s="3" t="s">
        <v>45</v>
      </c>
      <c r="AL1190" s="3" t="s">
        <v>45</v>
      </c>
      <c r="AM1190" s="3" t="s">
        <v>45</v>
      </c>
      <c r="AN1190" s="3" t="s">
        <v>45</v>
      </c>
      <c r="AO1190" s="3" t="s">
        <v>45</v>
      </c>
      <c r="AP1190" s="3" t="s">
        <v>45</v>
      </c>
      <c r="AQ1190" s="4" t="s">
        <v>147</v>
      </c>
      <c r="AR1190" s="4" t="s">
        <v>147</v>
      </c>
    </row>
    <row r="1191">
      <c r="A1191" s="3" t="s">
        <v>10516</v>
      </c>
      <c r="B1191" s="3" t="s">
        <v>10517</v>
      </c>
      <c r="C1191" s="3" t="s">
        <v>10505</v>
      </c>
      <c r="D1191" s="3" t="s">
        <v>9900</v>
      </c>
      <c r="E1191" s="4" t="s">
        <v>10506</v>
      </c>
      <c r="F1191" s="3" t="s">
        <v>5095</v>
      </c>
      <c r="G1191" s="4" t="s">
        <v>10518</v>
      </c>
      <c r="H1191" s="4" t="s">
        <v>10519</v>
      </c>
      <c r="I1191" s="3" t="s">
        <v>49</v>
      </c>
      <c r="J1191" s="3" t="s">
        <v>126</v>
      </c>
      <c r="K1191" s="3" t="s">
        <v>45</v>
      </c>
      <c r="L1191" s="3" t="s">
        <v>409</v>
      </c>
      <c r="M1191" s="3" t="s">
        <v>45</v>
      </c>
      <c r="N1191" s="3" t="s">
        <v>45</v>
      </c>
      <c r="O1191" s="3" t="s">
        <v>74</v>
      </c>
      <c r="P1191" s="3" t="s">
        <v>45</v>
      </c>
      <c r="Q1191" s="3" t="s">
        <v>45</v>
      </c>
      <c r="R1191" s="3" t="s">
        <v>45</v>
      </c>
      <c r="S1191" s="3" t="s">
        <v>45</v>
      </c>
      <c r="T1191" s="3" t="s">
        <v>45</v>
      </c>
      <c r="U1191" s="3" t="s">
        <v>45</v>
      </c>
      <c r="V1191" s="3" t="s">
        <v>45</v>
      </c>
      <c r="W1191" s="3" t="s">
        <v>45</v>
      </c>
      <c r="X1191" s="3" t="s">
        <v>45</v>
      </c>
      <c r="Y1191" s="3" t="s">
        <v>45</v>
      </c>
      <c r="Z1191" s="3" t="s">
        <v>74</v>
      </c>
      <c r="AA1191" s="3" t="s">
        <v>45</v>
      </c>
      <c r="AB1191" s="3" t="s">
        <v>45</v>
      </c>
      <c r="AC1191" s="3" t="s">
        <v>45</v>
      </c>
      <c r="AD1191" s="3" t="s">
        <v>45</v>
      </c>
      <c r="AE1191" s="3" t="s">
        <v>45</v>
      </c>
      <c r="AF1191" s="3" t="s">
        <v>45</v>
      </c>
      <c r="AG1191" s="3" t="s">
        <v>45</v>
      </c>
      <c r="AH1191" s="3" t="s">
        <v>57</v>
      </c>
      <c r="AI1191" s="3" t="s">
        <v>45</v>
      </c>
      <c r="AJ1191" s="3" t="s">
        <v>45</v>
      </c>
      <c r="AK1191" s="3" t="s">
        <v>45</v>
      </c>
      <c r="AL1191" s="3" t="s">
        <v>45</v>
      </c>
      <c r="AM1191" s="3" t="s">
        <v>45</v>
      </c>
      <c r="AN1191" s="3" t="s">
        <v>45</v>
      </c>
      <c r="AO1191" s="3" t="s">
        <v>45</v>
      </c>
      <c r="AP1191" s="3" t="s">
        <v>45</v>
      </c>
      <c r="AQ1191" s="4" t="s">
        <v>147</v>
      </c>
      <c r="AR1191" s="4" t="s">
        <v>147</v>
      </c>
    </row>
    <row r="1192">
      <c r="A1192" s="3" t="s">
        <v>10520</v>
      </c>
      <c r="B1192" s="3" t="s">
        <v>10521</v>
      </c>
      <c r="C1192" s="3" t="s">
        <v>10522</v>
      </c>
      <c r="D1192" s="3" t="s">
        <v>9900</v>
      </c>
      <c r="E1192" s="4" t="s">
        <v>10523</v>
      </c>
      <c r="F1192" s="3" t="s">
        <v>10524</v>
      </c>
      <c r="G1192" s="4" t="s">
        <v>10525</v>
      </c>
      <c r="H1192" s="4" t="s">
        <v>10526</v>
      </c>
      <c r="I1192" s="3" t="s">
        <v>49</v>
      </c>
      <c r="J1192" s="3" t="s">
        <v>126</v>
      </c>
      <c r="K1192" s="3" t="s">
        <v>45</v>
      </c>
      <c r="L1192" s="3" t="s">
        <v>45</v>
      </c>
      <c r="M1192" s="3" t="s">
        <v>45</v>
      </c>
      <c r="N1192" s="3" t="s">
        <v>45</v>
      </c>
      <c r="O1192" s="3" t="s">
        <v>74</v>
      </c>
      <c r="P1192" s="3" t="s">
        <v>45</v>
      </c>
      <c r="Q1192" s="3" t="s">
        <v>45</v>
      </c>
      <c r="R1192" s="3" t="s">
        <v>45</v>
      </c>
      <c r="S1192" s="3" t="s">
        <v>45</v>
      </c>
      <c r="T1192" s="3" t="s">
        <v>45</v>
      </c>
      <c r="U1192" s="3" t="s">
        <v>45</v>
      </c>
      <c r="V1192" s="4" t="s">
        <v>946</v>
      </c>
      <c r="W1192" s="4" t="s">
        <v>861</v>
      </c>
      <c r="X1192" s="3" t="s">
        <v>45</v>
      </c>
      <c r="Y1192" s="3" t="s">
        <v>45</v>
      </c>
      <c r="Z1192" s="3" t="s">
        <v>74</v>
      </c>
      <c r="AA1192" s="3" t="s">
        <v>45</v>
      </c>
      <c r="AB1192" s="3" t="s">
        <v>45</v>
      </c>
      <c r="AC1192" s="3" t="s">
        <v>45</v>
      </c>
      <c r="AD1192" s="3" t="s">
        <v>45</v>
      </c>
      <c r="AE1192" s="3" t="s">
        <v>45</v>
      </c>
      <c r="AF1192" s="3" t="s">
        <v>45</v>
      </c>
      <c r="AG1192" s="3" t="s">
        <v>10527</v>
      </c>
      <c r="AH1192" s="3" t="s">
        <v>9906</v>
      </c>
      <c r="AI1192" s="5" t="s">
        <v>10528</v>
      </c>
      <c r="AJ1192" s="5" t="s">
        <v>10529</v>
      </c>
      <c r="AK1192" s="3" t="s">
        <v>45</v>
      </c>
      <c r="AL1192" s="3" t="s">
        <v>45</v>
      </c>
      <c r="AM1192" s="3" t="s">
        <v>45</v>
      </c>
      <c r="AN1192" s="3" t="s">
        <v>45</v>
      </c>
      <c r="AO1192" s="3" t="s">
        <v>45</v>
      </c>
      <c r="AP1192" s="3" t="s">
        <v>45</v>
      </c>
      <c r="AQ1192" s="4" t="s">
        <v>10530</v>
      </c>
      <c r="AR1192" s="4" t="s">
        <v>9908</v>
      </c>
    </row>
    <row r="1193">
      <c r="A1193" s="3" t="s">
        <v>10531</v>
      </c>
      <c r="B1193" s="3" t="s">
        <v>10532</v>
      </c>
      <c r="C1193" s="3" t="s">
        <v>10522</v>
      </c>
      <c r="D1193" s="3" t="s">
        <v>9900</v>
      </c>
      <c r="E1193" s="4" t="s">
        <v>10533</v>
      </c>
      <c r="F1193" s="3" t="s">
        <v>10524</v>
      </c>
      <c r="G1193" s="4" t="s">
        <v>10534</v>
      </c>
      <c r="H1193" s="4" t="s">
        <v>10535</v>
      </c>
      <c r="I1193" s="3" t="s">
        <v>49</v>
      </c>
      <c r="J1193" s="3" t="s">
        <v>126</v>
      </c>
      <c r="K1193" s="3" t="s">
        <v>45</v>
      </c>
      <c r="L1193" s="3" t="s">
        <v>10536</v>
      </c>
      <c r="M1193" s="3" t="s">
        <v>45</v>
      </c>
      <c r="N1193" s="3" t="s">
        <v>45</v>
      </c>
      <c r="O1193" s="3" t="s">
        <v>74</v>
      </c>
      <c r="P1193" s="3" t="s">
        <v>45</v>
      </c>
      <c r="Q1193" s="3" t="s">
        <v>45</v>
      </c>
      <c r="R1193" s="3" t="s">
        <v>45</v>
      </c>
      <c r="S1193" s="3" t="s">
        <v>45</v>
      </c>
      <c r="T1193" s="3" t="s">
        <v>45</v>
      </c>
      <c r="U1193" s="3" t="s">
        <v>45</v>
      </c>
      <c r="V1193" s="4" t="s">
        <v>10537</v>
      </c>
      <c r="W1193" s="4" t="s">
        <v>6457</v>
      </c>
      <c r="X1193" s="3" t="s">
        <v>45</v>
      </c>
      <c r="Y1193" s="3" t="s">
        <v>45</v>
      </c>
      <c r="Z1193" s="3" t="s">
        <v>74</v>
      </c>
      <c r="AA1193" s="3" t="s">
        <v>45</v>
      </c>
      <c r="AB1193" s="3" t="s">
        <v>45</v>
      </c>
      <c r="AC1193" s="3" t="s">
        <v>45</v>
      </c>
      <c r="AD1193" s="3" t="s">
        <v>45</v>
      </c>
      <c r="AE1193" s="3" t="s">
        <v>45</v>
      </c>
      <c r="AF1193" s="3" t="s">
        <v>45</v>
      </c>
      <c r="AG1193" s="3" t="s">
        <v>10511</v>
      </c>
      <c r="AH1193" s="3" t="s">
        <v>9906</v>
      </c>
      <c r="AI1193" s="5" t="s">
        <v>10538</v>
      </c>
      <c r="AJ1193" s="5" t="s">
        <v>10539</v>
      </c>
      <c r="AK1193" s="3" t="s">
        <v>45</v>
      </c>
      <c r="AL1193" s="3" t="s">
        <v>45</v>
      </c>
      <c r="AM1193" s="3" t="s">
        <v>45</v>
      </c>
      <c r="AN1193" s="3" t="s">
        <v>45</v>
      </c>
      <c r="AO1193" s="3" t="s">
        <v>45</v>
      </c>
      <c r="AP1193" s="3" t="s">
        <v>45</v>
      </c>
      <c r="AQ1193" s="4" t="s">
        <v>9934</v>
      </c>
      <c r="AR1193" s="4" t="s">
        <v>9908</v>
      </c>
    </row>
    <row r="1194">
      <c r="A1194" s="3" t="s">
        <v>10540</v>
      </c>
      <c r="B1194" s="3" t="s">
        <v>10541</v>
      </c>
      <c r="C1194" s="3" t="s">
        <v>10522</v>
      </c>
      <c r="D1194" s="3" t="s">
        <v>9900</v>
      </c>
      <c r="E1194" s="4" t="s">
        <v>10533</v>
      </c>
      <c r="F1194" s="3" t="s">
        <v>10524</v>
      </c>
      <c r="G1194" s="4" t="s">
        <v>10542</v>
      </c>
      <c r="H1194" s="4" t="s">
        <v>10543</v>
      </c>
      <c r="I1194" s="3" t="s">
        <v>49</v>
      </c>
      <c r="J1194" s="3" t="s">
        <v>126</v>
      </c>
      <c r="K1194" s="3" t="s">
        <v>45</v>
      </c>
      <c r="L1194" s="3" t="s">
        <v>409</v>
      </c>
      <c r="M1194" s="3" t="s">
        <v>45</v>
      </c>
      <c r="N1194" s="3" t="s">
        <v>45</v>
      </c>
      <c r="O1194" s="3" t="s">
        <v>74</v>
      </c>
      <c r="P1194" s="3" t="s">
        <v>45</v>
      </c>
      <c r="Q1194" s="3" t="s">
        <v>45</v>
      </c>
      <c r="R1194" s="3" t="s">
        <v>45</v>
      </c>
      <c r="S1194" s="3" t="s">
        <v>45</v>
      </c>
      <c r="T1194" s="3" t="s">
        <v>45</v>
      </c>
      <c r="U1194" s="3" t="s">
        <v>45</v>
      </c>
      <c r="V1194" s="4" t="s">
        <v>10544</v>
      </c>
      <c r="W1194" s="4" t="s">
        <v>10545</v>
      </c>
      <c r="X1194" s="3" t="s">
        <v>45</v>
      </c>
      <c r="Y1194" s="3" t="s">
        <v>45</v>
      </c>
      <c r="Z1194" s="3" t="s">
        <v>74</v>
      </c>
      <c r="AA1194" s="3" t="s">
        <v>45</v>
      </c>
      <c r="AB1194" s="3" t="s">
        <v>45</v>
      </c>
      <c r="AC1194" s="3" t="s">
        <v>45</v>
      </c>
      <c r="AD1194" s="3" t="s">
        <v>45</v>
      </c>
      <c r="AE1194" s="3" t="s">
        <v>45</v>
      </c>
      <c r="AF1194" s="3" t="s">
        <v>45</v>
      </c>
      <c r="AG1194" s="3" t="s">
        <v>10511</v>
      </c>
      <c r="AH1194" s="3" t="s">
        <v>9906</v>
      </c>
      <c r="AI1194" s="5" t="s">
        <v>10546</v>
      </c>
      <c r="AJ1194" s="5" t="s">
        <v>10547</v>
      </c>
      <c r="AK1194" s="3" t="s">
        <v>45</v>
      </c>
      <c r="AL1194" s="3" t="s">
        <v>45</v>
      </c>
      <c r="AM1194" s="3" t="s">
        <v>45</v>
      </c>
      <c r="AN1194" s="3" t="s">
        <v>45</v>
      </c>
      <c r="AO1194" s="3" t="s">
        <v>45</v>
      </c>
      <c r="AP1194" s="3" t="s">
        <v>45</v>
      </c>
      <c r="AQ1194" s="4" t="s">
        <v>9934</v>
      </c>
      <c r="AR1194" s="4" t="s">
        <v>9908</v>
      </c>
    </row>
    <row r="1195">
      <c r="A1195" s="3" t="s">
        <v>10548</v>
      </c>
      <c r="B1195" s="3" t="s">
        <v>10549</v>
      </c>
      <c r="C1195" s="3" t="s">
        <v>10522</v>
      </c>
      <c r="D1195" s="3" t="s">
        <v>9900</v>
      </c>
      <c r="E1195" s="4" t="s">
        <v>10533</v>
      </c>
      <c r="F1195" s="3" t="s">
        <v>10524</v>
      </c>
      <c r="G1195" s="4" t="s">
        <v>10550</v>
      </c>
      <c r="H1195" s="4" t="s">
        <v>10551</v>
      </c>
      <c r="I1195" s="3" t="s">
        <v>49</v>
      </c>
      <c r="J1195" s="3" t="s">
        <v>126</v>
      </c>
      <c r="K1195" s="3" t="s">
        <v>45</v>
      </c>
      <c r="L1195" s="3" t="s">
        <v>10552</v>
      </c>
      <c r="M1195" s="3" t="s">
        <v>45</v>
      </c>
      <c r="N1195" s="3" t="s">
        <v>45</v>
      </c>
      <c r="O1195" s="3" t="s">
        <v>74</v>
      </c>
      <c r="P1195" s="3" t="s">
        <v>45</v>
      </c>
      <c r="Q1195" s="3" t="s">
        <v>45</v>
      </c>
      <c r="R1195" s="3" t="s">
        <v>45</v>
      </c>
      <c r="S1195" s="3" t="s">
        <v>45</v>
      </c>
      <c r="T1195" s="3" t="s">
        <v>45</v>
      </c>
      <c r="U1195" s="3" t="s">
        <v>45</v>
      </c>
      <c r="V1195" s="4" t="s">
        <v>10553</v>
      </c>
      <c r="W1195" s="4" t="s">
        <v>10554</v>
      </c>
      <c r="X1195" s="3" t="s">
        <v>45</v>
      </c>
      <c r="Y1195" s="3" t="s">
        <v>45</v>
      </c>
      <c r="Z1195" s="3" t="s">
        <v>74</v>
      </c>
      <c r="AA1195" s="3" t="s">
        <v>45</v>
      </c>
      <c r="AB1195" s="3" t="s">
        <v>45</v>
      </c>
      <c r="AC1195" s="3" t="s">
        <v>45</v>
      </c>
      <c r="AD1195" s="3" t="s">
        <v>45</v>
      </c>
      <c r="AE1195" s="3" t="s">
        <v>45</v>
      </c>
      <c r="AF1195" s="3" t="s">
        <v>45</v>
      </c>
      <c r="AG1195" s="3" t="s">
        <v>10511</v>
      </c>
      <c r="AH1195" s="3" t="s">
        <v>9906</v>
      </c>
      <c r="AI1195" s="5" t="s">
        <v>10555</v>
      </c>
      <c r="AJ1195" s="5" t="s">
        <v>10556</v>
      </c>
      <c r="AK1195" s="3" t="s">
        <v>45</v>
      </c>
      <c r="AL1195" s="3" t="s">
        <v>45</v>
      </c>
      <c r="AM1195" s="3" t="s">
        <v>45</v>
      </c>
      <c r="AN1195" s="3" t="s">
        <v>45</v>
      </c>
      <c r="AO1195" s="3" t="s">
        <v>45</v>
      </c>
      <c r="AP1195" s="3" t="s">
        <v>45</v>
      </c>
      <c r="AQ1195" s="4" t="s">
        <v>9934</v>
      </c>
      <c r="AR1195" s="4" t="s">
        <v>9908</v>
      </c>
    </row>
    <row r="1196">
      <c r="A1196" s="3" t="s">
        <v>10557</v>
      </c>
      <c r="B1196" s="3" t="s">
        <v>10558</v>
      </c>
      <c r="C1196" s="3" t="s">
        <v>10522</v>
      </c>
      <c r="D1196" s="3" t="s">
        <v>9900</v>
      </c>
      <c r="E1196" s="4" t="s">
        <v>10533</v>
      </c>
      <c r="F1196" s="3" t="s">
        <v>10524</v>
      </c>
      <c r="G1196" s="4" t="s">
        <v>10559</v>
      </c>
      <c r="H1196" s="4" t="s">
        <v>10560</v>
      </c>
      <c r="I1196" s="3" t="s">
        <v>49</v>
      </c>
      <c r="J1196" s="3" t="s">
        <v>126</v>
      </c>
      <c r="K1196" s="3" t="s">
        <v>45</v>
      </c>
      <c r="L1196" s="3" t="s">
        <v>409</v>
      </c>
      <c r="M1196" s="3" t="s">
        <v>45</v>
      </c>
      <c r="N1196" s="3" t="s">
        <v>45</v>
      </c>
      <c r="O1196" s="3" t="s">
        <v>74</v>
      </c>
      <c r="P1196" s="3" t="s">
        <v>45</v>
      </c>
      <c r="Q1196" s="3" t="s">
        <v>45</v>
      </c>
      <c r="R1196" s="3" t="s">
        <v>45</v>
      </c>
      <c r="S1196" s="3" t="s">
        <v>45</v>
      </c>
      <c r="T1196" s="3" t="s">
        <v>45</v>
      </c>
      <c r="U1196" s="3" t="s">
        <v>45</v>
      </c>
      <c r="V1196" s="4" t="s">
        <v>8096</v>
      </c>
      <c r="W1196" s="4" t="s">
        <v>233</v>
      </c>
      <c r="X1196" s="3" t="s">
        <v>45</v>
      </c>
      <c r="Y1196" s="3" t="s">
        <v>45</v>
      </c>
      <c r="Z1196" s="3" t="s">
        <v>74</v>
      </c>
      <c r="AA1196" s="3" t="s">
        <v>45</v>
      </c>
      <c r="AB1196" s="3" t="s">
        <v>45</v>
      </c>
      <c r="AC1196" s="3" t="s">
        <v>45</v>
      </c>
      <c r="AD1196" s="3" t="s">
        <v>45</v>
      </c>
      <c r="AE1196" s="3" t="s">
        <v>45</v>
      </c>
      <c r="AF1196" s="3" t="s">
        <v>45</v>
      </c>
      <c r="AG1196" s="3" t="s">
        <v>45</v>
      </c>
      <c r="AH1196" s="3" t="s">
        <v>9906</v>
      </c>
      <c r="AI1196" s="5" t="s">
        <v>10561</v>
      </c>
      <c r="AJ1196" s="5" t="s">
        <v>10562</v>
      </c>
      <c r="AK1196" s="3" t="s">
        <v>45</v>
      </c>
      <c r="AL1196" s="3" t="s">
        <v>45</v>
      </c>
      <c r="AM1196" s="3" t="s">
        <v>45</v>
      </c>
      <c r="AN1196" s="3" t="s">
        <v>45</v>
      </c>
      <c r="AO1196" s="3" t="s">
        <v>45</v>
      </c>
      <c r="AP1196" s="3" t="s">
        <v>45</v>
      </c>
      <c r="AQ1196" s="4" t="s">
        <v>9934</v>
      </c>
      <c r="AR1196" s="4" t="s">
        <v>9908</v>
      </c>
    </row>
    <row r="1197">
      <c r="A1197" s="3" t="s">
        <v>10563</v>
      </c>
      <c r="B1197" s="3" t="s">
        <v>10564</v>
      </c>
      <c r="C1197" s="3" t="s">
        <v>10522</v>
      </c>
      <c r="D1197" s="3" t="s">
        <v>9900</v>
      </c>
      <c r="E1197" s="4" t="s">
        <v>10533</v>
      </c>
      <c r="F1197" s="3" t="s">
        <v>10524</v>
      </c>
      <c r="G1197" s="4" t="s">
        <v>10565</v>
      </c>
      <c r="H1197" s="4" t="s">
        <v>10566</v>
      </c>
      <c r="I1197" s="3" t="s">
        <v>85</v>
      </c>
      <c r="J1197" s="3" t="s">
        <v>126</v>
      </c>
      <c r="K1197" s="3" t="s">
        <v>45</v>
      </c>
      <c r="L1197" s="3" t="s">
        <v>10563</v>
      </c>
      <c r="M1197" s="3" t="s">
        <v>45</v>
      </c>
      <c r="N1197" s="3" t="s">
        <v>45</v>
      </c>
      <c r="O1197" s="3" t="s">
        <v>74</v>
      </c>
      <c r="P1197" s="3" t="s">
        <v>45</v>
      </c>
      <c r="Q1197" s="3" t="s">
        <v>45</v>
      </c>
      <c r="R1197" s="3" t="s">
        <v>45</v>
      </c>
      <c r="S1197" s="3" t="s">
        <v>45</v>
      </c>
      <c r="T1197" s="3" t="s">
        <v>45</v>
      </c>
      <c r="U1197" s="3" t="s">
        <v>45</v>
      </c>
      <c r="V1197" s="4" t="s">
        <v>10567</v>
      </c>
      <c r="W1197" s="4" t="s">
        <v>10568</v>
      </c>
      <c r="X1197" s="3" t="s">
        <v>45</v>
      </c>
      <c r="Y1197" s="3" t="s">
        <v>45</v>
      </c>
      <c r="Z1197" s="3" t="s">
        <v>74</v>
      </c>
      <c r="AA1197" s="3" t="s">
        <v>45</v>
      </c>
      <c r="AB1197" s="3" t="s">
        <v>45</v>
      </c>
      <c r="AC1197" s="3" t="s">
        <v>45</v>
      </c>
      <c r="AD1197" s="3" t="s">
        <v>45</v>
      </c>
      <c r="AE1197" s="3" t="s">
        <v>45</v>
      </c>
      <c r="AF1197" s="3" t="s">
        <v>45</v>
      </c>
      <c r="AG1197" s="3" t="s">
        <v>45</v>
      </c>
      <c r="AH1197" s="3" t="s">
        <v>9906</v>
      </c>
      <c r="AI1197" s="5" t="s">
        <v>10569</v>
      </c>
      <c r="AJ1197" s="3" t="s">
        <v>45</v>
      </c>
      <c r="AK1197" s="3" t="s">
        <v>45</v>
      </c>
      <c r="AL1197" s="3" t="s">
        <v>45</v>
      </c>
      <c r="AM1197" s="3" t="s">
        <v>45</v>
      </c>
      <c r="AN1197" s="3" t="s">
        <v>45</v>
      </c>
      <c r="AO1197" s="3" t="s">
        <v>45</v>
      </c>
      <c r="AP1197" s="3" t="s">
        <v>45</v>
      </c>
      <c r="AQ1197" s="4" t="s">
        <v>9934</v>
      </c>
      <c r="AR1197" s="4" t="s">
        <v>9908</v>
      </c>
    </row>
    <row r="1198">
      <c r="A1198" s="3" t="s">
        <v>10570</v>
      </c>
      <c r="B1198" s="3" t="s">
        <v>10571</v>
      </c>
      <c r="C1198" s="3" t="s">
        <v>10522</v>
      </c>
      <c r="D1198" s="3" t="s">
        <v>9900</v>
      </c>
      <c r="E1198" s="4" t="s">
        <v>10533</v>
      </c>
      <c r="F1198" s="3" t="s">
        <v>10524</v>
      </c>
      <c r="G1198" s="4" t="s">
        <v>10572</v>
      </c>
      <c r="H1198" s="4" t="s">
        <v>10573</v>
      </c>
      <c r="I1198" s="3" t="s">
        <v>49</v>
      </c>
      <c r="J1198" s="3" t="s">
        <v>126</v>
      </c>
      <c r="K1198" s="3" t="s">
        <v>45</v>
      </c>
      <c r="L1198" s="3" t="s">
        <v>45</v>
      </c>
      <c r="M1198" s="3" t="s">
        <v>45</v>
      </c>
      <c r="N1198" s="3" t="s">
        <v>45</v>
      </c>
      <c r="O1198" s="3" t="s">
        <v>74</v>
      </c>
      <c r="P1198" s="3" t="s">
        <v>45</v>
      </c>
      <c r="Q1198" s="3" t="s">
        <v>45</v>
      </c>
      <c r="R1198" s="3" t="s">
        <v>45</v>
      </c>
      <c r="S1198" s="3" t="s">
        <v>45</v>
      </c>
      <c r="T1198" s="3" t="s">
        <v>45</v>
      </c>
      <c r="U1198" s="3" t="s">
        <v>45</v>
      </c>
      <c r="V1198" s="4" t="s">
        <v>10574</v>
      </c>
      <c r="W1198" s="4" t="s">
        <v>564</v>
      </c>
      <c r="X1198" s="3" t="s">
        <v>45</v>
      </c>
      <c r="Y1198" s="3" t="s">
        <v>45</v>
      </c>
      <c r="Z1198" s="3" t="s">
        <v>74</v>
      </c>
      <c r="AA1198" s="3" t="s">
        <v>45</v>
      </c>
      <c r="AB1198" s="3" t="s">
        <v>45</v>
      </c>
      <c r="AC1198" s="3" t="s">
        <v>45</v>
      </c>
      <c r="AD1198" s="3" t="s">
        <v>45</v>
      </c>
      <c r="AE1198" s="3" t="s">
        <v>45</v>
      </c>
      <c r="AF1198" s="3" t="s">
        <v>45</v>
      </c>
      <c r="AG1198" s="3" t="s">
        <v>10511</v>
      </c>
      <c r="AH1198" s="3" t="s">
        <v>9906</v>
      </c>
      <c r="AI1198" s="5" t="s">
        <v>10575</v>
      </c>
      <c r="AJ1198" s="5" t="s">
        <v>10576</v>
      </c>
      <c r="AK1198" s="3" t="s">
        <v>45</v>
      </c>
      <c r="AL1198" s="3" t="s">
        <v>45</v>
      </c>
      <c r="AM1198" s="3" t="s">
        <v>45</v>
      </c>
      <c r="AN1198" s="3" t="s">
        <v>45</v>
      </c>
      <c r="AO1198" s="3" t="s">
        <v>45</v>
      </c>
      <c r="AP1198" s="3" t="s">
        <v>45</v>
      </c>
      <c r="AQ1198" s="4" t="s">
        <v>10577</v>
      </c>
      <c r="AR1198" s="4" t="s">
        <v>9908</v>
      </c>
    </row>
    <row r="1199">
      <c r="A1199" s="3" t="s">
        <v>10578</v>
      </c>
      <c r="B1199" s="3" t="s">
        <v>10579</v>
      </c>
      <c r="C1199" s="3" t="s">
        <v>10522</v>
      </c>
      <c r="D1199" s="3" t="s">
        <v>9900</v>
      </c>
      <c r="E1199" s="4" t="s">
        <v>10533</v>
      </c>
      <c r="F1199" s="3" t="s">
        <v>10524</v>
      </c>
      <c r="G1199" s="4" t="s">
        <v>10580</v>
      </c>
      <c r="H1199" s="4" t="s">
        <v>10581</v>
      </c>
      <c r="I1199" s="3" t="s">
        <v>85</v>
      </c>
      <c r="J1199" s="3" t="s">
        <v>126</v>
      </c>
      <c r="K1199" s="3" t="s">
        <v>45</v>
      </c>
      <c r="L1199" s="3" t="s">
        <v>10578</v>
      </c>
      <c r="M1199" s="3" t="s">
        <v>45</v>
      </c>
      <c r="N1199" s="3" t="s">
        <v>45</v>
      </c>
      <c r="O1199" s="3" t="s">
        <v>74</v>
      </c>
      <c r="P1199" s="3" t="s">
        <v>45</v>
      </c>
      <c r="Q1199" s="3" t="s">
        <v>45</v>
      </c>
      <c r="R1199" s="3" t="s">
        <v>45</v>
      </c>
      <c r="S1199" s="3" t="s">
        <v>45</v>
      </c>
      <c r="T1199" s="3" t="s">
        <v>45</v>
      </c>
      <c r="U1199" s="3" t="s">
        <v>45</v>
      </c>
      <c r="V1199" s="4" t="s">
        <v>10582</v>
      </c>
      <c r="W1199" s="4" t="s">
        <v>1610</v>
      </c>
      <c r="X1199" s="3" t="s">
        <v>45</v>
      </c>
      <c r="Y1199" s="3" t="s">
        <v>45</v>
      </c>
      <c r="Z1199" s="3" t="s">
        <v>74</v>
      </c>
      <c r="AA1199" s="3" t="s">
        <v>45</v>
      </c>
      <c r="AB1199" s="3" t="s">
        <v>45</v>
      </c>
      <c r="AC1199" s="3" t="s">
        <v>45</v>
      </c>
      <c r="AD1199" s="3" t="s">
        <v>45</v>
      </c>
      <c r="AE1199" s="3" t="s">
        <v>45</v>
      </c>
      <c r="AF1199" s="3" t="s">
        <v>45</v>
      </c>
      <c r="AG1199" s="3" t="s">
        <v>45</v>
      </c>
      <c r="AH1199" s="3" t="s">
        <v>9906</v>
      </c>
      <c r="AI1199" s="5" t="s">
        <v>10583</v>
      </c>
      <c r="AJ1199" s="3" t="s">
        <v>45</v>
      </c>
      <c r="AK1199" s="3" t="s">
        <v>45</v>
      </c>
      <c r="AL1199" s="3" t="s">
        <v>45</v>
      </c>
      <c r="AM1199" s="3" t="s">
        <v>45</v>
      </c>
      <c r="AN1199" s="3" t="s">
        <v>45</v>
      </c>
      <c r="AO1199" s="3" t="s">
        <v>45</v>
      </c>
      <c r="AP1199" s="3" t="s">
        <v>45</v>
      </c>
      <c r="AQ1199" s="4" t="s">
        <v>9934</v>
      </c>
      <c r="AR1199" s="4" t="s">
        <v>9908</v>
      </c>
    </row>
    <row r="1200">
      <c r="A1200" s="3" t="s">
        <v>10584</v>
      </c>
      <c r="B1200" s="3" t="s">
        <v>10585</v>
      </c>
      <c r="C1200" s="3" t="s">
        <v>10522</v>
      </c>
      <c r="D1200" s="3" t="s">
        <v>9900</v>
      </c>
      <c r="E1200" s="4" t="s">
        <v>10533</v>
      </c>
      <c r="F1200" s="3" t="s">
        <v>10524</v>
      </c>
      <c r="G1200" s="4" t="s">
        <v>10586</v>
      </c>
      <c r="H1200" s="4" t="s">
        <v>10587</v>
      </c>
      <c r="I1200" s="3" t="s">
        <v>49</v>
      </c>
      <c r="J1200" s="3" t="s">
        <v>126</v>
      </c>
      <c r="K1200" s="3" t="s">
        <v>45</v>
      </c>
      <c r="L1200" s="3" t="s">
        <v>10584</v>
      </c>
      <c r="M1200" s="3" t="s">
        <v>45</v>
      </c>
      <c r="N1200" s="3" t="s">
        <v>45</v>
      </c>
      <c r="O1200" s="3" t="s">
        <v>74</v>
      </c>
      <c r="P1200" s="3" t="s">
        <v>45</v>
      </c>
      <c r="Q1200" s="3" t="s">
        <v>45</v>
      </c>
      <c r="R1200" s="3" t="s">
        <v>45</v>
      </c>
      <c r="S1200" s="3" t="s">
        <v>45</v>
      </c>
      <c r="T1200" s="3" t="s">
        <v>45</v>
      </c>
      <c r="U1200" s="3" t="s">
        <v>45</v>
      </c>
      <c r="V1200" s="4" t="s">
        <v>2507</v>
      </c>
      <c r="W1200" s="4" t="s">
        <v>3287</v>
      </c>
      <c r="X1200" s="3" t="s">
        <v>45</v>
      </c>
      <c r="Y1200" s="3" t="s">
        <v>45</v>
      </c>
      <c r="Z1200" s="3" t="s">
        <v>74</v>
      </c>
      <c r="AA1200" s="3" t="s">
        <v>45</v>
      </c>
      <c r="AB1200" s="3" t="s">
        <v>45</v>
      </c>
      <c r="AC1200" s="3" t="s">
        <v>45</v>
      </c>
      <c r="AD1200" s="3" t="s">
        <v>45</v>
      </c>
      <c r="AE1200" s="3" t="s">
        <v>45</v>
      </c>
      <c r="AF1200" s="3" t="s">
        <v>45</v>
      </c>
      <c r="AG1200" s="3" t="s">
        <v>10588</v>
      </c>
      <c r="AH1200" s="3" t="s">
        <v>9906</v>
      </c>
      <c r="AI1200" s="5" t="s">
        <v>10589</v>
      </c>
      <c r="AJ1200" s="5" t="s">
        <v>10590</v>
      </c>
      <c r="AK1200" s="3" t="s">
        <v>45</v>
      </c>
      <c r="AL1200" s="3" t="s">
        <v>45</v>
      </c>
      <c r="AM1200" s="3" t="s">
        <v>45</v>
      </c>
      <c r="AN1200" s="3" t="s">
        <v>45</v>
      </c>
      <c r="AO1200" s="3" t="s">
        <v>45</v>
      </c>
      <c r="AP1200" s="3" t="s">
        <v>45</v>
      </c>
      <c r="AQ1200" s="4" t="s">
        <v>9934</v>
      </c>
      <c r="AR1200" s="4" t="s">
        <v>9908</v>
      </c>
    </row>
    <row r="1201">
      <c r="A1201" s="3" t="s">
        <v>10591</v>
      </c>
      <c r="B1201" s="3" t="s">
        <v>10592</v>
      </c>
      <c r="C1201" s="3" t="s">
        <v>10522</v>
      </c>
      <c r="D1201" s="3" t="s">
        <v>9900</v>
      </c>
      <c r="E1201" s="4" t="s">
        <v>10533</v>
      </c>
      <c r="F1201" s="3" t="s">
        <v>10524</v>
      </c>
      <c r="G1201" s="4" t="s">
        <v>10593</v>
      </c>
      <c r="H1201" s="4" t="s">
        <v>10594</v>
      </c>
      <c r="I1201" s="3" t="s">
        <v>49</v>
      </c>
      <c r="J1201" s="3" t="s">
        <v>126</v>
      </c>
      <c r="K1201" s="3" t="s">
        <v>45</v>
      </c>
      <c r="L1201" s="3" t="s">
        <v>10379</v>
      </c>
      <c r="M1201" s="3" t="s">
        <v>45</v>
      </c>
      <c r="N1201" s="3" t="s">
        <v>45</v>
      </c>
      <c r="O1201" s="3" t="s">
        <v>74</v>
      </c>
      <c r="P1201" s="3" t="s">
        <v>45</v>
      </c>
      <c r="Q1201" s="3" t="s">
        <v>45</v>
      </c>
      <c r="R1201" s="3" t="s">
        <v>45</v>
      </c>
      <c r="S1201" s="3" t="s">
        <v>45</v>
      </c>
      <c r="T1201" s="3" t="s">
        <v>45</v>
      </c>
      <c r="U1201" s="3" t="s">
        <v>45</v>
      </c>
      <c r="V1201" s="4" t="s">
        <v>10595</v>
      </c>
      <c r="W1201" s="3" t="s">
        <v>45</v>
      </c>
      <c r="X1201" s="3" t="s">
        <v>45</v>
      </c>
      <c r="Y1201" s="3" t="s">
        <v>45</v>
      </c>
      <c r="Z1201" s="3" t="s">
        <v>74</v>
      </c>
      <c r="AA1201" s="3" t="s">
        <v>45</v>
      </c>
      <c r="AB1201" s="3" t="s">
        <v>45</v>
      </c>
      <c r="AC1201" s="3" t="s">
        <v>45</v>
      </c>
      <c r="AD1201" s="3" t="s">
        <v>45</v>
      </c>
      <c r="AE1201" s="3" t="s">
        <v>45</v>
      </c>
      <c r="AF1201" s="3" t="s">
        <v>45</v>
      </c>
      <c r="AG1201" s="3" t="s">
        <v>10596</v>
      </c>
      <c r="AH1201" s="3" t="s">
        <v>9906</v>
      </c>
      <c r="AI1201" s="5" t="s">
        <v>10555</v>
      </c>
      <c r="AJ1201" s="3" t="s">
        <v>45</v>
      </c>
      <c r="AK1201" s="3" t="s">
        <v>45</v>
      </c>
      <c r="AL1201" s="3" t="s">
        <v>45</v>
      </c>
      <c r="AM1201" s="3" t="s">
        <v>45</v>
      </c>
      <c r="AN1201" s="3" t="s">
        <v>45</v>
      </c>
      <c r="AO1201" s="3" t="s">
        <v>45</v>
      </c>
      <c r="AP1201" s="3" t="s">
        <v>45</v>
      </c>
      <c r="AQ1201" s="4" t="s">
        <v>9934</v>
      </c>
      <c r="AR1201" s="4" t="s">
        <v>9908</v>
      </c>
    </row>
    <row r="1202">
      <c r="A1202" s="3" t="s">
        <v>10597</v>
      </c>
      <c r="B1202" s="3" t="s">
        <v>10598</v>
      </c>
      <c r="C1202" s="3" t="s">
        <v>10599</v>
      </c>
      <c r="D1202" s="3" t="s">
        <v>9900</v>
      </c>
      <c r="E1202" s="4" t="s">
        <v>10600</v>
      </c>
      <c r="F1202" s="3" t="s">
        <v>10524</v>
      </c>
      <c r="G1202" s="4" t="s">
        <v>10601</v>
      </c>
      <c r="H1202" s="4" t="s">
        <v>10602</v>
      </c>
      <c r="I1202" s="3" t="s">
        <v>85</v>
      </c>
      <c r="J1202" s="3" t="s">
        <v>126</v>
      </c>
      <c r="K1202" s="3" t="s">
        <v>45</v>
      </c>
      <c r="L1202" s="3" t="s">
        <v>10597</v>
      </c>
      <c r="M1202" s="3" t="s">
        <v>45</v>
      </c>
      <c r="N1202" s="3" t="s">
        <v>45</v>
      </c>
      <c r="O1202" s="3" t="s">
        <v>74</v>
      </c>
      <c r="P1202" s="3" t="s">
        <v>45</v>
      </c>
      <c r="Q1202" s="3" t="s">
        <v>45</v>
      </c>
      <c r="R1202" s="3" t="s">
        <v>45</v>
      </c>
      <c r="S1202" s="3" t="s">
        <v>45</v>
      </c>
      <c r="T1202" s="3" t="s">
        <v>45</v>
      </c>
      <c r="U1202" s="3" t="s">
        <v>45</v>
      </c>
      <c r="V1202" s="4" t="s">
        <v>10603</v>
      </c>
      <c r="W1202" s="4" t="s">
        <v>52</v>
      </c>
      <c r="X1202" s="3" t="s">
        <v>45</v>
      </c>
      <c r="Y1202" s="3" t="s">
        <v>45</v>
      </c>
      <c r="Z1202" s="3" t="s">
        <v>74</v>
      </c>
      <c r="AA1202" s="3" t="s">
        <v>45</v>
      </c>
      <c r="AB1202" s="3" t="s">
        <v>45</v>
      </c>
      <c r="AC1202" s="3" t="s">
        <v>45</v>
      </c>
      <c r="AD1202" s="3" t="s">
        <v>45</v>
      </c>
      <c r="AE1202" s="3" t="s">
        <v>45</v>
      </c>
      <c r="AF1202" s="3" t="s">
        <v>45</v>
      </c>
      <c r="AG1202" s="3" t="s">
        <v>45</v>
      </c>
      <c r="AH1202" s="3" t="s">
        <v>9906</v>
      </c>
      <c r="AI1202" s="5" t="s">
        <v>10604</v>
      </c>
      <c r="AJ1202" s="3" t="s">
        <v>45</v>
      </c>
      <c r="AK1202" s="3" t="s">
        <v>45</v>
      </c>
      <c r="AL1202" s="3" t="s">
        <v>45</v>
      </c>
      <c r="AM1202" s="3" t="s">
        <v>45</v>
      </c>
      <c r="AN1202" s="3" t="s">
        <v>45</v>
      </c>
      <c r="AO1202" s="3" t="s">
        <v>45</v>
      </c>
      <c r="AP1202" s="3" t="s">
        <v>45</v>
      </c>
      <c r="AQ1202" s="4" t="s">
        <v>9934</v>
      </c>
      <c r="AR1202" s="4" t="s">
        <v>9908</v>
      </c>
    </row>
    <row r="1203">
      <c r="A1203" s="3" t="s">
        <v>10605</v>
      </c>
      <c r="B1203" s="3" t="s">
        <v>10606</v>
      </c>
      <c r="C1203" s="3" t="s">
        <v>10607</v>
      </c>
      <c r="D1203" s="3" t="s">
        <v>9900</v>
      </c>
      <c r="E1203" s="4" t="s">
        <v>10608</v>
      </c>
      <c r="F1203" s="3" t="s">
        <v>10524</v>
      </c>
      <c r="G1203" s="4" t="s">
        <v>10609</v>
      </c>
      <c r="H1203" s="4" t="s">
        <v>10610</v>
      </c>
      <c r="I1203" s="3" t="s">
        <v>49</v>
      </c>
      <c r="J1203" s="3" t="s">
        <v>126</v>
      </c>
      <c r="K1203" s="3" t="s">
        <v>45</v>
      </c>
      <c r="L1203" s="3" t="s">
        <v>479</v>
      </c>
      <c r="M1203" s="3" t="s">
        <v>45</v>
      </c>
      <c r="N1203" s="3" t="s">
        <v>45</v>
      </c>
      <c r="O1203" s="3" t="s">
        <v>74</v>
      </c>
      <c r="P1203" s="3" t="s">
        <v>45</v>
      </c>
      <c r="Q1203" s="3" t="s">
        <v>45</v>
      </c>
      <c r="R1203" s="3" t="s">
        <v>45</v>
      </c>
      <c r="S1203" s="3" t="s">
        <v>45</v>
      </c>
      <c r="T1203" s="3" t="s">
        <v>45</v>
      </c>
      <c r="U1203" s="3" t="s">
        <v>45</v>
      </c>
      <c r="V1203" s="4" t="s">
        <v>10611</v>
      </c>
      <c r="W1203" s="3" t="s">
        <v>45</v>
      </c>
      <c r="X1203" s="3" t="s">
        <v>45</v>
      </c>
      <c r="Y1203" s="3" t="s">
        <v>45</v>
      </c>
      <c r="Z1203" s="3" t="s">
        <v>74</v>
      </c>
      <c r="AA1203" s="3" t="s">
        <v>45</v>
      </c>
      <c r="AB1203" s="3" t="s">
        <v>45</v>
      </c>
      <c r="AC1203" s="3" t="s">
        <v>45</v>
      </c>
      <c r="AD1203" s="3" t="s">
        <v>45</v>
      </c>
      <c r="AE1203" s="3" t="s">
        <v>45</v>
      </c>
      <c r="AF1203" s="3" t="s">
        <v>45</v>
      </c>
      <c r="AG1203" s="3" t="s">
        <v>45</v>
      </c>
      <c r="AH1203" s="3" t="s">
        <v>9906</v>
      </c>
      <c r="AI1203" s="5" t="s">
        <v>10612</v>
      </c>
      <c r="AJ1203" s="5" t="s">
        <v>10613</v>
      </c>
      <c r="AK1203" s="3" t="s">
        <v>45</v>
      </c>
      <c r="AL1203" s="3" t="s">
        <v>45</v>
      </c>
      <c r="AM1203" s="3" t="s">
        <v>45</v>
      </c>
      <c r="AN1203" s="3" t="s">
        <v>45</v>
      </c>
      <c r="AO1203" s="3" t="s">
        <v>45</v>
      </c>
      <c r="AP1203" s="3" t="s">
        <v>45</v>
      </c>
      <c r="AQ1203" s="4" t="s">
        <v>9934</v>
      </c>
      <c r="AR1203" s="4" t="s">
        <v>9908</v>
      </c>
    </row>
    <row r="1204">
      <c r="A1204" s="3" t="s">
        <v>10614</v>
      </c>
      <c r="B1204" s="3" t="s">
        <v>10615</v>
      </c>
      <c r="C1204" s="3" t="s">
        <v>10616</v>
      </c>
      <c r="D1204" s="3" t="s">
        <v>9900</v>
      </c>
      <c r="E1204" s="4" t="s">
        <v>10617</v>
      </c>
      <c r="F1204" s="3" t="s">
        <v>10524</v>
      </c>
      <c r="G1204" s="4" t="s">
        <v>10618</v>
      </c>
      <c r="H1204" s="4" t="s">
        <v>10619</v>
      </c>
      <c r="I1204" s="3" t="s">
        <v>245</v>
      </c>
      <c r="J1204" s="3" t="s">
        <v>45</v>
      </c>
      <c r="K1204" s="3" t="s">
        <v>45</v>
      </c>
      <c r="L1204" s="3" t="s">
        <v>45</v>
      </c>
      <c r="M1204" s="3" t="s">
        <v>45</v>
      </c>
      <c r="N1204" s="3" t="s">
        <v>45</v>
      </c>
      <c r="O1204" s="3" t="s">
        <v>74</v>
      </c>
      <c r="P1204" s="3" t="s">
        <v>45</v>
      </c>
      <c r="Q1204" s="3" t="s">
        <v>45</v>
      </c>
      <c r="R1204" s="3" t="s">
        <v>45</v>
      </c>
      <c r="S1204" s="3" t="s">
        <v>45</v>
      </c>
      <c r="T1204" s="3" t="s">
        <v>45</v>
      </c>
      <c r="U1204" s="3" t="s">
        <v>45</v>
      </c>
      <c r="V1204" s="4" t="s">
        <v>10620</v>
      </c>
      <c r="W1204" s="4" t="s">
        <v>10621</v>
      </c>
      <c r="X1204" s="3" t="s">
        <v>45</v>
      </c>
      <c r="Y1204" s="3" t="s">
        <v>45</v>
      </c>
      <c r="Z1204" s="3" t="s">
        <v>45</v>
      </c>
      <c r="AA1204" s="3" t="s">
        <v>45</v>
      </c>
      <c r="AB1204" s="3" t="s">
        <v>45</v>
      </c>
      <c r="AC1204" s="3" t="s">
        <v>45</v>
      </c>
      <c r="AD1204" s="3" t="s">
        <v>45</v>
      </c>
      <c r="AE1204" s="3" t="s">
        <v>45</v>
      </c>
      <c r="AF1204" s="3" t="s">
        <v>45</v>
      </c>
      <c r="AG1204" s="3" t="s">
        <v>10622</v>
      </c>
      <c r="AH1204" s="3" t="s">
        <v>57</v>
      </c>
      <c r="AI1204" s="5" t="s">
        <v>10623</v>
      </c>
      <c r="AJ1204" s="3" t="s">
        <v>45</v>
      </c>
      <c r="AK1204" s="3" t="s">
        <v>45</v>
      </c>
      <c r="AL1204" s="3" t="s">
        <v>45</v>
      </c>
      <c r="AM1204" s="3" t="s">
        <v>45</v>
      </c>
      <c r="AN1204" s="3" t="s">
        <v>45</v>
      </c>
      <c r="AO1204" s="3" t="s">
        <v>45</v>
      </c>
      <c r="AP1204" s="3" t="s">
        <v>45</v>
      </c>
      <c r="AQ1204" s="4" t="s">
        <v>1016</v>
      </c>
      <c r="AR1204" s="4" t="s">
        <v>1016</v>
      </c>
    </row>
    <row r="1205">
      <c r="A1205" s="3" t="s">
        <v>10624</v>
      </c>
      <c r="B1205" s="3" t="s">
        <v>10625</v>
      </c>
      <c r="C1205" s="3" t="s">
        <v>10626</v>
      </c>
      <c r="D1205" s="3" t="s">
        <v>9900</v>
      </c>
      <c r="E1205" s="4" t="s">
        <v>10627</v>
      </c>
      <c r="F1205" s="3" t="s">
        <v>10628</v>
      </c>
      <c r="G1205" s="4" t="s">
        <v>10629</v>
      </c>
      <c r="H1205" s="4" t="s">
        <v>10630</v>
      </c>
      <c r="I1205" s="3" t="s">
        <v>49</v>
      </c>
      <c r="J1205" s="3" t="s">
        <v>126</v>
      </c>
      <c r="K1205" s="3" t="s">
        <v>45</v>
      </c>
      <c r="L1205" s="3" t="s">
        <v>10631</v>
      </c>
      <c r="M1205" s="3" t="s">
        <v>45</v>
      </c>
      <c r="N1205" s="3" t="s">
        <v>45</v>
      </c>
      <c r="O1205" s="3" t="s">
        <v>74</v>
      </c>
      <c r="P1205" s="3" t="s">
        <v>45</v>
      </c>
      <c r="Q1205" s="3" t="s">
        <v>45</v>
      </c>
      <c r="R1205" s="3" t="s">
        <v>45</v>
      </c>
      <c r="S1205" s="3" t="s">
        <v>45</v>
      </c>
      <c r="T1205" s="3" t="s">
        <v>45</v>
      </c>
      <c r="U1205" s="3" t="s">
        <v>45</v>
      </c>
      <c r="V1205" s="4" t="s">
        <v>2466</v>
      </c>
      <c r="W1205" s="4" t="s">
        <v>1795</v>
      </c>
      <c r="X1205" s="3" t="s">
        <v>45</v>
      </c>
      <c r="Y1205" s="3" t="s">
        <v>45</v>
      </c>
      <c r="Z1205" s="3" t="s">
        <v>74</v>
      </c>
      <c r="AA1205" s="3" t="s">
        <v>45</v>
      </c>
      <c r="AB1205" s="3" t="s">
        <v>45</v>
      </c>
      <c r="AC1205" s="3" t="s">
        <v>45</v>
      </c>
      <c r="AD1205" s="3" t="s">
        <v>45</v>
      </c>
      <c r="AE1205" s="3" t="s">
        <v>45</v>
      </c>
      <c r="AF1205" s="3" t="s">
        <v>45</v>
      </c>
      <c r="AG1205" s="3" t="s">
        <v>9916</v>
      </c>
      <c r="AH1205" s="3" t="s">
        <v>9906</v>
      </c>
      <c r="AI1205" s="5" t="s">
        <v>10632</v>
      </c>
      <c r="AJ1205" s="5" t="s">
        <v>10633</v>
      </c>
      <c r="AK1205" s="3" t="s">
        <v>45</v>
      </c>
      <c r="AL1205" s="3" t="s">
        <v>45</v>
      </c>
      <c r="AM1205" s="3" t="s">
        <v>45</v>
      </c>
      <c r="AN1205" s="3" t="s">
        <v>45</v>
      </c>
      <c r="AO1205" s="3" t="s">
        <v>45</v>
      </c>
      <c r="AP1205" s="3" t="s">
        <v>45</v>
      </c>
      <c r="AQ1205" s="4" t="s">
        <v>9934</v>
      </c>
      <c r="AR1205" s="4" t="s">
        <v>9908</v>
      </c>
    </row>
    <row r="1206">
      <c r="A1206" s="3" t="s">
        <v>10634</v>
      </c>
      <c r="B1206" s="3" t="s">
        <v>10635</v>
      </c>
      <c r="C1206" s="3" t="s">
        <v>10626</v>
      </c>
      <c r="D1206" s="3" t="s">
        <v>9900</v>
      </c>
      <c r="E1206" s="4" t="s">
        <v>10627</v>
      </c>
      <c r="F1206" s="3" t="s">
        <v>10628</v>
      </c>
      <c r="G1206" s="4" t="s">
        <v>10636</v>
      </c>
      <c r="H1206" s="4" t="s">
        <v>10637</v>
      </c>
      <c r="I1206" s="3" t="s">
        <v>245</v>
      </c>
      <c r="J1206" s="3" t="s">
        <v>126</v>
      </c>
      <c r="K1206" s="3" t="s">
        <v>45</v>
      </c>
      <c r="L1206" s="3" t="s">
        <v>45</v>
      </c>
      <c r="M1206" s="3" t="s">
        <v>45</v>
      </c>
      <c r="N1206" s="3" t="s">
        <v>45</v>
      </c>
      <c r="O1206" s="3" t="s">
        <v>74</v>
      </c>
      <c r="P1206" s="3" t="s">
        <v>45</v>
      </c>
      <c r="Q1206" s="3" t="s">
        <v>45</v>
      </c>
      <c r="R1206" s="3" t="s">
        <v>45</v>
      </c>
      <c r="S1206" s="3" t="s">
        <v>45</v>
      </c>
      <c r="T1206" s="3" t="s">
        <v>45</v>
      </c>
      <c r="U1206" s="3" t="s">
        <v>45</v>
      </c>
      <c r="V1206" s="3" t="s">
        <v>45</v>
      </c>
      <c r="W1206" s="3" t="s">
        <v>45</v>
      </c>
      <c r="X1206" s="3" t="s">
        <v>45</v>
      </c>
      <c r="Y1206" s="3" t="s">
        <v>45</v>
      </c>
      <c r="Z1206" s="3" t="s">
        <v>74</v>
      </c>
      <c r="AA1206" s="3" t="s">
        <v>45</v>
      </c>
      <c r="AB1206" s="3" t="s">
        <v>45</v>
      </c>
      <c r="AC1206" s="3" t="s">
        <v>45</v>
      </c>
      <c r="AD1206" s="3" t="s">
        <v>45</v>
      </c>
      <c r="AE1206" s="3" t="s">
        <v>45</v>
      </c>
      <c r="AF1206" s="3" t="s">
        <v>45</v>
      </c>
      <c r="AG1206" s="3" t="s">
        <v>45</v>
      </c>
      <c r="AH1206" s="3" t="s">
        <v>57</v>
      </c>
      <c r="AI1206" s="5" t="s">
        <v>10638</v>
      </c>
      <c r="AJ1206" s="3" t="s">
        <v>45</v>
      </c>
      <c r="AK1206" s="3" t="s">
        <v>45</v>
      </c>
      <c r="AL1206" s="3" t="s">
        <v>45</v>
      </c>
      <c r="AM1206" s="3" t="s">
        <v>45</v>
      </c>
      <c r="AN1206" s="3" t="s">
        <v>45</v>
      </c>
      <c r="AO1206" s="3" t="s">
        <v>45</v>
      </c>
      <c r="AP1206" s="3" t="s">
        <v>45</v>
      </c>
      <c r="AQ1206" s="4" t="s">
        <v>364</v>
      </c>
      <c r="AR1206" s="4" t="s">
        <v>364</v>
      </c>
    </row>
    <row r="1207">
      <c r="A1207" s="3" t="s">
        <v>10639</v>
      </c>
      <c r="B1207" s="3" t="s">
        <v>10640</v>
      </c>
      <c r="C1207" s="3" t="s">
        <v>10626</v>
      </c>
      <c r="D1207" s="3" t="s">
        <v>9900</v>
      </c>
      <c r="E1207" s="4" t="s">
        <v>10641</v>
      </c>
      <c r="F1207" s="3" t="s">
        <v>10628</v>
      </c>
      <c r="G1207" s="4" t="s">
        <v>10642</v>
      </c>
      <c r="H1207" s="4" t="s">
        <v>10643</v>
      </c>
      <c r="I1207" s="3" t="s">
        <v>218</v>
      </c>
      <c r="J1207" s="3" t="s">
        <v>126</v>
      </c>
      <c r="K1207" s="3" t="s">
        <v>45</v>
      </c>
      <c r="L1207" s="3" t="s">
        <v>479</v>
      </c>
      <c r="M1207" s="3" t="s">
        <v>45</v>
      </c>
      <c r="N1207" s="3" t="s">
        <v>45</v>
      </c>
      <c r="O1207" s="3" t="s">
        <v>74</v>
      </c>
      <c r="P1207" s="3" t="s">
        <v>45</v>
      </c>
      <c r="Q1207" s="3" t="s">
        <v>45</v>
      </c>
      <c r="R1207" s="3" t="s">
        <v>45</v>
      </c>
      <c r="S1207" s="3" t="s">
        <v>45</v>
      </c>
      <c r="T1207" s="3" t="s">
        <v>45</v>
      </c>
      <c r="U1207" s="3" t="s">
        <v>45</v>
      </c>
      <c r="V1207" s="4" t="s">
        <v>3170</v>
      </c>
      <c r="W1207" s="4" t="s">
        <v>564</v>
      </c>
      <c r="X1207" s="3" t="s">
        <v>45</v>
      </c>
      <c r="Y1207" s="3" t="s">
        <v>45</v>
      </c>
      <c r="Z1207" s="3" t="s">
        <v>55</v>
      </c>
      <c r="AA1207" s="3" t="s">
        <v>45</v>
      </c>
      <c r="AB1207" s="3" t="s">
        <v>45</v>
      </c>
      <c r="AC1207" s="3" t="s">
        <v>45</v>
      </c>
      <c r="AD1207" s="3" t="s">
        <v>45</v>
      </c>
      <c r="AE1207" s="3" t="s">
        <v>45</v>
      </c>
      <c r="AF1207" s="5" t="s">
        <v>10644</v>
      </c>
      <c r="AG1207" s="3" t="s">
        <v>45</v>
      </c>
      <c r="AH1207" s="3" t="s">
        <v>9906</v>
      </c>
      <c r="AI1207" s="5" t="s">
        <v>10645</v>
      </c>
      <c r="AJ1207" s="5" t="s">
        <v>10646</v>
      </c>
      <c r="AK1207" s="3" t="s">
        <v>45</v>
      </c>
      <c r="AL1207" s="3" t="s">
        <v>45</v>
      </c>
      <c r="AM1207" s="3" t="s">
        <v>45</v>
      </c>
      <c r="AN1207" s="3" t="s">
        <v>45</v>
      </c>
      <c r="AO1207" s="3" t="s">
        <v>45</v>
      </c>
      <c r="AP1207" s="3" t="s">
        <v>45</v>
      </c>
      <c r="AQ1207" s="4" t="s">
        <v>9934</v>
      </c>
      <c r="AR1207" s="4" t="s">
        <v>8131</v>
      </c>
    </row>
    <row r="1208">
      <c r="A1208" s="3" t="s">
        <v>10647</v>
      </c>
      <c r="B1208" s="3" t="s">
        <v>10648</v>
      </c>
      <c r="C1208" s="3" t="s">
        <v>10649</v>
      </c>
      <c r="D1208" s="3" t="s">
        <v>9900</v>
      </c>
      <c r="E1208" s="4" t="s">
        <v>10650</v>
      </c>
      <c r="F1208" s="3" t="s">
        <v>2850</v>
      </c>
      <c r="G1208" s="4" t="s">
        <v>10651</v>
      </c>
      <c r="H1208" s="4" t="s">
        <v>10652</v>
      </c>
      <c r="I1208" s="3" t="s">
        <v>408</v>
      </c>
      <c r="J1208" s="3" t="s">
        <v>126</v>
      </c>
      <c r="K1208" s="3" t="s">
        <v>45</v>
      </c>
      <c r="L1208" s="3" t="s">
        <v>479</v>
      </c>
      <c r="M1208" s="3" t="s">
        <v>45</v>
      </c>
      <c r="N1208" s="3" t="s">
        <v>45</v>
      </c>
      <c r="O1208" s="3" t="s">
        <v>74</v>
      </c>
      <c r="P1208" s="3" t="s">
        <v>45</v>
      </c>
      <c r="Q1208" s="3" t="s">
        <v>45</v>
      </c>
      <c r="R1208" s="3" t="s">
        <v>45</v>
      </c>
      <c r="S1208" s="3" t="s">
        <v>45</v>
      </c>
      <c r="T1208" s="3" t="s">
        <v>45</v>
      </c>
      <c r="U1208" s="3" t="s">
        <v>45</v>
      </c>
      <c r="V1208" s="4" t="s">
        <v>10653</v>
      </c>
      <c r="W1208" s="4" t="s">
        <v>879</v>
      </c>
      <c r="X1208" s="3" t="s">
        <v>45</v>
      </c>
      <c r="Y1208" s="3" t="s">
        <v>45</v>
      </c>
      <c r="Z1208" s="3" t="s">
        <v>74</v>
      </c>
      <c r="AA1208" s="3" t="s">
        <v>45</v>
      </c>
      <c r="AB1208" s="3" t="s">
        <v>45</v>
      </c>
      <c r="AC1208" s="3" t="s">
        <v>45</v>
      </c>
      <c r="AD1208" s="3" t="s">
        <v>45</v>
      </c>
      <c r="AE1208" s="3" t="s">
        <v>45</v>
      </c>
      <c r="AF1208" s="3" t="s">
        <v>45</v>
      </c>
      <c r="AG1208" s="3" t="s">
        <v>10654</v>
      </c>
      <c r="AH1208" s="3" t="s">
        <v>9906</v>
      </c>
      <c r="AI1208" s="5" t="s">
        <v>10655</v>
      </c>
      <c r="AJ1208" s="5" t="s">
        <v>10656</v>
      </c>
      <c r="AK1208" s="5" t="s">
        <v>10657</v>
      </c>
      <c r="AL1208" s="3" t="s">
        <v>45</v>
      </c>
      <c r="AM1208" s="3" t="s">
        <v>45</v>
      </c>
      <c r="AN1208" s="3" t="s">
        <v>45</v>
      </c>
      <c r="AO1208" s="3" t="s">
        <v>45</v>
      </c>
      <c r="AP1208" s="3" t="s">
        <v>45</v>
      </c>
      <c r="AQ1208" s="4" t="s">
        <v>9934</v>
      </c>
      <c r="AR1208" s="4" t="s">
        <v>224</v>
      </c>
    </row>
    <row r="1209">
      <c r="A1209" s="3" t="s">
        <v>10658</v>
      </c>
      <c r="B1209" s="3" t="s">
        <v>10659</v>
      </c>
      <c r="C1209" s="3" t="s">
        <v>10649</v>
      </c>
      <c r="D1209" s="3" t="s">
        <v>9900</v>
      </c>
      <c r="E1209" s="4" t="s">
        <v>10650</v>
      </c>
      <c r="F1209" s="3" t="s">
        <v>2850</v>
      </c>
      <c r="G1209" s="4" t="s">
        <v>10660</v>
      </c>
      <c r="H1209" s="4" t="s">
        <v>10661</v>
      </c>
      <c r="I1209" s="3" t="s">
        <v>85</v>
      </c>
      <c r="J1209" s="3" t="s">
        <v>126</v>
      </c>
      <c r="K1209" s="3" t="s">
        <v>45</v>
      </c>
      <c r="L1209" s="3" t="s">
        <v>10662</v>
      </c>
      <c r="M1209" s="3" t="s">
        <v>45</v>
      </c>
      <c r="N1209" s="3" t="s">
        <v>45</v>
      </c>
      <c r="O1209" s="3" t="s">
        <v>74</v>
      </c>
      <c r="P1209" s="3" t="s">
        <v>45</v>
      </c>
      <c r="Q1209" s="3" t="s">
        <v>45</v>
      </c>
      <c r="R1209" s="3" t="s">
        <v>45</v>
      </c>
      <c r="S1209" s="3" t="s">
        <v>45</v>
      </c>
      <c r="T1209" s="3" t="s">
        <v>45</v>
      </c>
      <c r="U1209" s="3" t="s">
        <v>45</v>
      </c>
      <c r="V1209" s="4" t="s">
        <v>10663</v>
      </c>
      <c r="W1209" s="4" t="s">
        <v>480</v>
      </c>
      <c r="X1209" s="3" t="s">
        <v>45</v>
      </c>
      <c r="Y1209" s="3" t="s">
        <v>45</v>
      </c>
      <c r="Z1209" s="3" t="s">
        <v>74</v>
      </c>
      <c r="AA1209" s="3" t="s">
        <v>45</v>
      </c>
      <c r="AB1209" s="3" t="s">
        <v>45</v>
      </c>
      <c r="AC1209" s="3" t="s">
        <v>45</v>
      </c>
      <c r="AD1209" s="3" t="s">
        <v>45</v>
      </c>
      <c r="AE1209" s="3" t="s">
        <v>45</v>
      </c>
      <c r="AF1209" s="3" t="s">
        <v>45</v>
      </c>
      <c r="AG1209" s="3" t="s">
        <v>45</v>
      </c>
      <c r="AH1209" s="3" t="s">
        <v>9906</v>
      </c>
      <c r="AI1209" s="5" t="s">
        <v>10664</v>
      </c>
      <c r="AJ1209" s="3" t="s">
        <v>45</v>
      </c>
      <c r="AK1209" s="3" t="s">
        <v>45</v>
      </c>
      <c r="AL1209" s="3" t="s">
        <v>45</v>
      </c>
      <c r="AM1209" s="3" t="s">
        <v>45</v>
      </c>
      <c r="AN1209" s="3" t="s">
        <v>45</v>
      </c>
      <c r="AO1209" s="3" t="s">
        <v>45</v>
      </c>
      <c r="AP1209" s="3" t="s">
        <v>45</v>
      </c>
      <c r="AQ1209" s="4" t="s">
        <v>9934</v>
      </c>
      <c r="AR1209" s="4" t="s">
        <v>9908</v>
      </c>
    </row>
    <row r="1210">
      <c r="A1210" s="3" t="s">
        <v>10665</v>
      </c>
      <c r="B1210" s="3" t="s">
        <v>10666</v>
      </c>
      <c r="C1210" s="3" t="s">
        <v>10649</v>
      </c>
      <c r="D1210" s="3" t="s">
        <v>9900</v>
      </c>
      <c r="E1210" s="4" t="s">
        <v>10650</v>
      </c>
      <c r="F1210" s="3" t="s">
        <v>2850</v>
      </c>
      <c r="G1210" s="4" t="s">
        <v>10667</v>
      </c>
      <c r="H1210" s="4" t="s">
        <v>10668</v>
      </c>
      <c r="I1210" s="3" t="s">
        <v>49</v>
      </c>
      <c r="J1210" s="3" t="s">
        <v>50</v>
      </c>
      <c r="K1210" s="3" t="s">
        <v>45</v>
      </c>
      <c r="L1210" s="3" t="s">
        <v>10665</v>
      </c>
      <c r="M1210" s="3" t="s">
        <v>45</v>
      </c>
      <c r="N1210" s="3" t="s">
        <v>45</v>
      </c>
      <c r="O1210" s="3" t="s">
        <v>74</v>
      </c>
      <c r="P1210" s="3" t="s">
        <v>45</v>
      </c>
      <c r="Q1210" s="3" t="s">
        <v>45</v>
      </c>
      <c r="R1210" s="3" t="s">
        <v>45</v>
      </c>
      <c r="S1210" s="3" t="s">
        <v>45</v>
      </c>
      <c r="T1210" s="3" t="s">
        <v>45</v>
      </c>
      <c r="U1210" s="3" t="s">
        <v>45</v>
      </c>
      <c r="V1210" s="4" t="s">
        <v>2656</v>
      </c>
      <c r="W1210" s="4" t="s">
        <v>6561</v>
      </c>
      <c r="X1210" s="3" t="s">
        <v>45</v>
      </c>
      <c r="Y1210" s="3" t="s">
        <v>45</v>
      </c>
      <c r="Z1210" s="3" t="s">
        <v>74</v>
      </c>
      <c r="AA1210" s="3" t="s">
        <v>45</v>
      </c>
      <c r="AB1210" s="3" t="s">
        <v>45</v>
      </c>
      <c r="AC1210" s="3" t="s">
        <v>45</v>
      </c>
      <c r="AD1210" s="3" t="s">
        <v>45</v>
      </c>
      <c r="AE1210" s="3" t="s">
        <v>45</v>
      </c>
      <c r="AF1210" s="3" t="s">
        <v>45</v>
      </c>
      <c r="AG1210" s="3" t="s">
        <v>45</v>
      </c>
      <c r="AH1210" s="3" t="s">
        <v>9906</v>
      </c>
      <c r="AI1210" s="5" t="s">
        <v>10669</v>
      </c>
      <c r="AJ1210" s="5" t="s">
        <v>10670</v>
      </c>
      <c r="AK1210" s="3" t="s">
        <v>45</v>
      </c>
      <c r="AL1210" s="3" t="s">
        <v>45</v>
      </c>
      <c r="AM1210" s="3" t="s">
        <v>45</v>
      </c>
      <c r="AN1210" s="3" t="s">
        <v>45</v>
      </c>
      <c r="AO1210" s="3" t="s">
        <v>45</v>
      </c>
      <c r="AP1210" s="3" t="s">
        <v>45</v>
      </c>
      <c r="AQ1210" s="4" t="s">
        <v>9934</v>
      </c>
      <c r="AR1210" s="4" t="s">
        <v>9908</v>
      </c>
    </row>
    <row r="1211">
      <c r="A1211" s="3" t="s">
        <v>10671</v>
      </c>
      <c r="B1211" s="3" t="s">
        <v>10672</v>
      </c>
      <c r="C1211" s="3" t="s">
        <v>10649</v>
      </c>
      <c r="D1211" s="3" t="s">
        <v>9900</v>
      </c>
      <c r="E1211" s="4" t="s">
        <v>10650</v>
      </c>
      <c r="F1211" s="3" t="s">
        <v>2850</v>
      </c>
      <c r="G1211" s="4" t="s">
        <v>10673</v>
      </c>
      <c r="H1211" s="4" t="s">
        <v>10674</v>
      </c>
      <c r="I1211" s="3" t="s">
        <v>49</v>
      </c>
      <c r="J1211" s="3" t="s">
        <v>50</v>
      </c>
      <c r="K1211" s="3" t="s">
        <v>45</v>
      </c>
      <c r="L1211" s="3" t="s">
        <v>10675</v>
      </c>
      <c r="M1211" s="3" t="s">
        <v>45</v>
      </c>
      <c r="N1211" s="3" t="s">
        <v>45</v>
      </c>
      <c r="O1211" s="3" t="s">
        <v>74</v>
      </c>
      <c r="P1211" s="3" t="s">
        <v>45</v>
      </c>
      <c r="Q1211" s="3" t="s">
        <v>45</v>
      </c>
      <c r="R1211" s="3" t="s">
        <v>45</v>
      </c>
      <c r="S1211" s="3" t="s">
        <v>45</v>
      </c>
      <c r="T1211" s="3" t="s">
        <v>45</v>
      </c>
      <c r="U1211" s="3" t="s">
        <v>45</v>
      </c>
      <c r="V1211" s="4" t="s">
        <v>10676</v>
      </c>
      <c r="W1211" s="4" t="s">
        <v>8618</v>
      </c>
      <c r="X1211" s="3" t="s">
        <v>45</v>
      </c>
      <c r="Y1211" s="3" t="s">
        <v>45</v>
      </c>
      <c r="Z1211" s="3" t="s">
        <v>74</v>
      </c>
      <c r="AA1211" s="3" t="s">
        <v>45</v>
      </c>
      <c r="AB1211" s="3" t="s">
        <v>45</v>
      </c>
      <c r="AC1211" s="3" t="s">
        <v>45</v>
      </c>
      <c r="AD1211" s="3" t="s">
        <v>45</v>
      </c>
      <c r="AE1211" s="3" t="s">
        <v>45</v>
      </c>
      <c r="AF1211" s="3" t="s">
        <v>45</v>
      </c>
      <c r="AG1211" s="3" t="s">
        <v>45</v>
      </c>
      <c r="AH1211" s="3" t="s">
        <v>9906</v>
      </c>
      <c r="AI1211" s="5" t="s">
        <v>10677</v>
      </c>
      <c r="AJ1211" s="5" t="s">
        <v>10678</v>
      </c>
      <c r="AK1211" s="3" t="s">
        <v>45</v>
      </c>
      <c r="AL1211" s="3" t="s">
        <v>45</v>
      </c>
      <c r="AM1211" s="3" t="s">
        <v>45</v>
      </c>
      <c r="AN1211" s="3" t="s">
        <v>45</v>
      </c>
      <c r="AO1211" s="3" t="s">
        <v>45</v>
      </c>
      <c r="AP1211" s="3" t="s">
        <v>45</v>
      </c>
      <c r="AQ1211" s="4" t="s">
        <v>9934</v>
      </c>
      <c r="AR1211" s="4" t="s">
        <v>9908</v>
      </c>
    </row>
    <row r="1212">
      <c r="A1212" s="3" t="s">
        <v>10679</v>
      </c>
      <c r="B1212" s="3" t="s">
        <v>10680</v>
      </c>
      <c r="C1212" s="3" t="s">
        <v>10649</v>
      </c>
      <c r="D1212" s="3" t="s">
        <v>9900</v>
      </c>
      <c r="E1212" s="4" t="s">
        <v>10650</v>
      </c>
      <c r="F1212" s="3" t="s">
        <v>2850</v>
      </c>
      <c r="G1212" s="4" t="s">
        <v>10681</v>
      </c>
      <c r="H1212" s="4" t="s">
        <v>10682</v>
      </c>
      <c r="I1212" s="3" t="s">
        <v>218</v>
      </c>
      <c r="J1212" s="3" t="s">
        <v>50</v>
      </c>
      <c r="K1212" s="3" t="s">
        <v>45</v>
      </c>
      <c r="L1212" s="3" t="s">
        <v>45</v>
      </c>
      <c r="M1212" s="3" t="s">
        <v>45</v>
      </c>
      <c r="N1212" s="3" t="s">
        <v>45</v>
      </c>
      <c r="O1212" s="3" t="s">
        <v>74</v>
      </c>
      <c r="P1212" s="3" t="s">
        <v>45</v>
      </c>
      <c r="Q1212" s="3" t="s">
        <v>45</v>
      </c>
      <c r="R1212" s="3" t="s">
        <v>45</v>
      </c>
      <c r="S1212" s="3" t="s">
        <v>45</v>
      </c>
      <c r="T1212" s="3" t="s">
        <v>45</v>
      </c>
      <c r="U1212" s="3" t="s">
        <v>45</v>
      </c>
      <c r="V1212" s="4" t="s">
        <v>10676</v>
      </c>
      <c r="W1212" s="3" t="s">
        <v>45</v>
      </c>
      <c r="X1212" s="3" t="s">
        <v>45</v>
      </c>
      <c r="Y1212" s="4" t="s">
        <v>317</v>
      </c>
      <c r="Z1212" s="3" t="s">
        <v>74</v>
      </c>
      <c r="AA1212" s="3" t="s">
        <v>45</v>
      </c>
      <c r="AB1212" s="3" t="s">
        <v>45</v>
      </c>
      <c r="AC1212" s="3" t="s">
        <v>45</v>
      </c>
      <c r="AD1212" s="3" t="s">
        <v>45</v>
      </c>
      <c r="AE1212" s="3" t="s">
        <v>45</v>
      </c>
      <c r="AF1212" s="3" t="s">
        <v>45</v>
      </c>
      <c r="AG1212" s="3" t="s">
        <v>45</v>
      </c>
      <c r="AH1212" s="3" t="s">
        <v>57</v>
      </c>
      <c r="AI1212" s="5" t="s">
        <v>10683</v>
      </c>
      <c r="AJ1212" s="5" t="s">
        <v>10684</v>
      </c>
      <c r="AK1212" s="3" t="s">
        <v>45</v>
      </c>
      <c r="AL1212" s="3" t="s">
        <v>45</v>
      </c>
      <c r="AM1212" s="3" t="s">
        <v>45</v>
      </c>
      <c r="AN1212" s="3" t="s">
        <v>45</v>
      </c>
      <c r="AO1212" s="3" t="s">
        <v>45</v>
      </c>
      <c r="AP1212" s="3" t="s">
        <v>45</v>
      </c>
      <c r="AQ1212" s="4" t="s">
        <v>10685</v>
      </c>
      <c r="AR1212" s="4" t="s">
        <v>2096</v>
      </c>
    </row>
    <row r="1213">
      <c r="A1213" s="3" t="s">
        <v>10686</v>
      </c>
      <c r="B1213" s="3" t="s">
        <v>10687</v>
      </c>
      <c r="C1213" s="3" t="s">
        <v>10649</v>
      </c>
      <c r="D1213" s="3" t="s">
        <v>9900</v>
      </c>
      <c r="E1213" s="4" t="s">
        <v>10650</v>
      </c>
      <c r="F1213" s="3" t="s">
        <v>2850</v>
      </c>
      <c r="G1213" s="4" t="s">
        <v>10688</v>
      </c>
      <c r="H1213" s="4" t="s">
        <v>10689</v>
      </c>
      <c r="I1213" s="3" t="s">
        <v>49</v>
      </c>
      <c r="J1213" s="3" t="s">
        <v>126</v>
      </c>
      <c r="K1213" s="3" t="s">
        <v>45</v>
      </c>
      <c r="L1213" s="3" t="s">
        <v>45</v>
      </c>
      <c r="M1213" s="3" t="s">
        <v>45</v>
      </c>
      <c r="N1213" s="3" t="s">
        <v>45</v>
      </c>
      <c r="O1213" s="3" t="s">
        <v>74</v>
      </c>
      <c r="P1213" s="3" t="s">
        <v>45</v>
      </c>
      <c r="Q1213" s="3" t="s">
        <v>45</v>
      </c>
      <c r="R1213" s="3" t="s">
        <v>45</v>
      </c>
      <c r="S1213" s="3" t="s">
        <v>45</v>
      </c>
      <c r="T1213" s="3" t="s">
        <v>45</v>
      </c>
      <c r="U1213" s="3" t="s">
        <v>45</v>
      </c>
      <c r="V1213" s="3" t="s">
        <v>45</v>
      </c>
      <c r="W1213" s="4" t="s">
        <v>564</v>
      </c>
      <c r="X1213" s="3" t="s">
        <v>10690</v>
      </c>
      <c r="Y1213" s="3" t="s">
        <v>45</v>
      </c>
      <c r="Z1213" s="3" t="s">
        <v>74</v>
      </c>
      <c r="AA1213" s="3" t="s">
        <v>45</v>
      </c>
      <c r="AB1213" s="3" t="s">
        <v>45</v>
      </c>
      <c r="AC1213" s="3" t="s">
        <v>45</v>
      </c>
      <c r="AD1213" s="3" t="s">
        <v>45</v>
      </c>
      <c r="AE1213" s="3" t="s">
        <v>45</v>
      </c>
      <c r="AF1213" s="3" t="s">
        <v>45</v>
      </c>
      <c r="AG1213" s="3" t="s">
        <v>45</v>
      </c>
      <c r="AH1213" s="3" t="s">
        <v>57</v>
      </c>
      <c r="AI1213" s="5" t="s">
        <v>10691</v>
      </c>
      <c r="AJ1213" s="3" t="s">
        <v>45</v>
      </c>
      <c r="AK1213" s="3" t="s">
        <v>45</v>
      </c>
      <c r="AL1213" s="3" t="s">
        <v>45</v>
      </c>
      <c r="AM1213" s="3" t="s">
        <v>45</v>
      </c>
      <c r="AN1213" s="3" t="s">
        <v>45</v>
      </c>
      <c r="AO1213" s="3" t="s">
        <v>45</v>
      </c>
      <c r="AP1213" s="3" t="s">
        <v>45</v>
      </c>
      <c r="AQ1213" s="4" t="s">
        <v>1113</v>
      </c>
      <c r="AR1213" s="4" t="s">
        <v>1113</v>
      </c>
    </row>
    <row r="1214">
      <c r="A1214" s="3" t="s">
        <v>10692</v>
      </c>
      <c r="B1214" s="3" t="s">
        <v>10693</v>
      </c>
      <c r="C1214" s="3" t="s">
        <v>10649</v>
      </c>
      <c r="D1214" s="3" t="s">
        <v>9900</v>
      </c>
      <c r="E1214" s="4" t="s">
        <v>10650</v>
      </c>
      <c r="F1214" s="3" t="s">
        <v>2850</v>
      </c>
      <c r="G1214" s="4" t="s">
        <v>10694</v>
      </c>
      <c r="H1214" s="4" t="s">
        <v>10695</v>
      </c>
      <c r="I1214" s="3" t="s">
        <v>85</v>
      </c>
      <c r="J1214" s="3" t="s">
        <v>126</v>
      </c>
      <c r="K1214" s="3" t="s">
        <v>45</v>
      </c>
      <c r="L1214" s="3" t="s">
        <v>10696</v>
      </c>
      <c r="M1214" s="3" t="s">
        <v>45</v>
      </c>
      <c r="N1214" s="3" t="s">
        <v>45</v>
      </c>
      <c r="O1214" s="3" t="s">
        <v>74</v>
      </c>
      <c r="P1214" s="3" t="s">
        <v>45</v>
      </c>
      <c r="Q1214" s="3" t="s">
        <v>45</v>
      </c>
      <c r="R1214" s="3" t="s">
        <v>45</v>
      </c>
      <c r="S1214" s="3" t="s">
        <v>45</v>
      </c>
      <c r="T1214" s="3" t="s">
        <v>45</v>
      </c>
      <c r="U1214" s="3" t="s">
        <v>45</v>
      </c>
      <c r="V1214" s="4" t="s">
        <v>10697</v>
      </c>
      <c r="W1214" s="4" t="s">
        <v>956</v>
      </c>
      <c r="X1214" s="3" t="s">
        <v>45</v>
      </c>
      <c r="Y1214" s="3" t="s">
        <v>45</v>
      </c>
      <c r="Z1214" s="3" t="s">
        <v>74</v>
      </c>
      <c r="AA1214" s="3" t="s">
        <v>45</v>
      </c>
      <c r="AB1214" s="3" t="s">
        <v>45</v>
      </c>
      <c r="AC1214" s="3" t="s">
        <v>45</v>
      </c>
      <c r="AD1214" s="3" t="s">
        <v>45</v>
      </c>
      <c r="AE1214" s="3" t="s">
        <v>45</v>
      </c>
      <c r="AF1214" s="3" t="s">
        <v>45</v>
      </c>
      <c r="AG1214" s="3" t="s">
        <v>45</v>
      </c>
      <c r="AH1214" s="3" t="s">
        <v>9906</v>
      </c>
      <c r="AI1214" s="5" t="s">
        <v>10698</v>
      </c>
      <c r="AJ1214" s="3" t="s">
        <v>45</v>
      </c>
      <c r="AK1214" s="3" t="s">
        <v>45</v>
      </c>
      <c r="AL1214" s="3" t="s">
        <v>45</v>
      </c>
      <c r="AM1214" s="3" t="s">
        <v>45</v>
      </c>
      <c r="AN1214" s="3" t="s">
        <v>45</v>
      </c>
      <c r="AO1214" s="3" t="s">
        <v>45</v>
      </c>
      <c r="AP1214" s="3" t="s">
        <v>45</v>
      </c>
      <c r="AQ1214" s="4" t="s">
        <v>9934</v>
      </c>
      <c r="AR1214" s="4" t="s">
        <v>9908</v>
      </c>
    </row>
    <row r="1215">
      <c r="A1215" s="3" t="s">
        <v>10699</v>
      </c>
      <c r="B1215" s="3" t="s">
        <v>10700</v>
      </c>
      <c r="C1215" s="3" t="s">
        <v>10701</v>
      </c>
      <c r="D1215" s="3" t="s">
        <v>9900</v>
      </c>
      <c r="E1215" s="4" t="s">
        <v>10702</v>
      </c>
      <c r="F1215" s="3" t="s">
        <v>9928</v>
      </c>
      <c r="G1215" s="4" t="s">
        <v>10703</v>
      </c>
      <c r="H1215" s="4" t="s">
        <v>10704</v>
      </c>
      <c r="I1215" s="3" t="s">
        <v>85</v>
      </c>
      <c r="J1215" s="3" t="s">
        <v>126</v>
      </c>
      <c r="K1215" s="3" t="s">
        <v>45</v>
      </c>
      <c r="L1215" s="3" t="s">
        <v>479</v>
      </c>
      <c r="M1215" s="3" t="s">
        <v>45</v>
      </c>
      <c r="N1215" s="3" t="s">
        <v>45</v>
      </c>
      <c r="O1215" s="3" t="s">
        <v>74</v>
      </c>
      <c r="P1215" s="3" t="s">
        <v>45</v>
      </c>
      <c r="Q1215" s="3" t="s">
        <v>45</v>
      </c>
      <c r="R1215" s="3" t="s">
        <v>45</v>
      </c>
      <c r="S1215" s="3" t="s">
        <v>45</v>
      </c>
      <c r="T1215" s="3" t="s">
        <v>45</v>
      </c>
      <c r="U1215" s="3" t="s">
        <v>45</v>
      </c>
      <c r="V1215" s="4" t="s">
        <v>10705</v>
      </c>
      <c r="W1215" s="4" t="s">
        <v>879</v>
      </c>
      <c r="X1215" s="3" t="s">
        <v>45</v>
      </c>
      <c r="Y1215" s="3" t="s">
        <v>45</v>
      </c>
      <c r="Z1215" s="3" t="s">
        <v>74</v>
      </c>
      <c r="AA1215" s="3" t="s">
        <v>45</v>
      </c>
      <c r="AB1215" s="3" t="s">
        <v>45</v>
      </c>
      <c r="AC1215" s="3" t="s">
        <v>45</v>
      </c>
      <c r="AD1215" s="3" t="s">
        <v>45</v>
      </c>
      <c r="AE1215" s="3" t="s">
        <v>45</v>
      </c>
      <c r="AF1215" s="3" t="s">
        <v>45</v>
      </c>
      <c r="AG1215" s="3" t="s">
        <v>9932</v>
      </c>
      <c r="AH1215" s="3" t="s">
        <v>9906</v>
      </c>
      <c r="AI1215" s="5" t="s">
        <v>10706</v>
      </c>
      <c r="AJ1215" s="3" t="s">
        <v>45</v>
      </c>
      <c r="AK1215" s="3" t="s">
        <v>45</v>
      </c>
      <c r="AL1215" s="3" t="s">
        <v>45</v>
      </c>
      <c r="AM1215" s="3" t="s">
        <v>45</v>
      </c>
      <c r="AN1215" s="3" t="s">
        <v>45</v>
      </c>
      <c r="AO1215" s="3" t="s">
        <v>45</v>
      </c>
      <c r="AP1215" s="3" t="s">
        <v>45</v>
      </c>
      <c r="AQ1215" s="4" t="s">
        <v>9934</v>
      </c>
      <c r="AR1215" s="4" t="s">
        <v>9908</v>
      </c>
    </row>
    <row r="1216">
      <c r="A1216" s="3" t="s">
        <v>10707</v>
      </c>
      <c r="B1216" s="3" t="s">
        <v>10708</v>
      </c>
      <c r="C1216" s="3" t="s">
        <v>10701</v>
      </c>
      <c r="D1216" s="3" t="s">
        <v>9900</v>
      </c>
      <c r="E1216" s="4" t="s">
        <v>10650</v>
      </c>
      <c r="F1216" s="3" t="s">
        <v>2850</v>
      </c>
      <c r="G1216" s="4" t="s">
        <v>10709</v>
      </c>
      <c r="H1216" s="4" t="s">
        <v>10710</v>
      </c>
      <c r="I1216" s="3" t="s">
        <v>85</v>
      </c>
      <c r="J1216" s="3" t="s">
        <v>126</v>
      </c>
      <c r="K1216" s="3" t="s">
        <v>45</v>
      </c>
      <c r="L1216" s="3" t="s">
        <v>479</v>
      </c>
      <c r="M1216" s="3" t="s">
        <v>45</v>
      </c>
      <c r="N1216" s="3" t="s">
        <v>45</v>
      </c>
      <c r="O1216" s="3" t="s">
        <v>74</v>
      </c>
      <c r="P1216" s="3" t="s">
        <v>45</v>
      </c>
      <c r="Q1216" s="3" t="s">
        <v>45</v>
      </c>
      <c r="R1216" s="3" t="s">
        <v>45</v>
      </c>
      <c r="S1216" s="3" t="s">
        <v>45</v>
      </c>
      <c r="T1216" s="3" t="s">
        <v>45</v>
      </c>
      <c r="U1216" s="3" t="s">
        <v>45</v>
      </c>
      <c r="V1216" s="4" t="s">
        <v>10711</v>
      </c>
      <c r="W1216" s="4" t="s">
        <v>275</v>
      </c>
      <c r="X1216" s="3" t="s">
        <v>45</v>
      </c>
      <c r="Y1216" s="3" t="s">
        <v>45</v>
      </c>
      <c r="Z1216" s="3" t="s">
        <v>74</v>
      </c>
      <c r="AA1216" s="3" t="s">
        <v>45</v>
      </c>
      <c r="AB1216" s="3" t="s">
        <v>45</v>
      </c>
      <c r="AC1216" s="3" t="s">
        <v>45</v>
      </c>
      <c r="AD1216" s="3" t="s">
        <v>45</v>
      </c>
      <c r="AE1216" s="3" t="s">
        <v>45</v>
      </c>
      <c r="AF1216" s="3" t="s">
        <v>45</v>
      </c>
      <c r="AG1216" s="3" t="s">
        <v>45</v>
      </c>
      <c r="AH1216" s="3" t="s">
        <v>9906</v>
      </c>
      <c r="AI1216" s="5" t="s">
        <v>10655</v>
      </c>
      <c r="AJ1216" s="5" t="s">
        <v>10712</v>
      </c>
      <c r="AK1216" s="3" t="s">
        <v>45</v>
      </c>
      <c r="AL1216" s="3" t="s">
        <v>45</v>
      </c>
      <c r="AM1216" s="3" t="s">
        <v>45</v>
      </c>
      <c r="AN1216" s="3" t="s">
        <v>45</v>
      </c>
      <c r="AO1216" s="3" t="s">
        <v>45</v>
      </c>
      <c r="AP1216" s="3" t="s">
        <v>45</v>
      </c>
      <c r="AQ1216" s="4" t="s">
        <v>9934</v>
      </c>
      <c r="AR1216" s="4" t="s">
        <v>9908</v>
      </c>
    </row>
    <row r="1217">
      <c r="A1217" s="3" t="s">
        <v>10713</v>
      </c>
      <c r="B1217" s="3" t="s">
        <v>10714</v>
      </c>
      <c r="C1217" s="3" t="s">
        <v>10701</v>
      </c>
      <c r="D1217" s="3" t="s">
        <v>9900</v>
      </c>
      <c r="E1217" s="4" t="s">
        <v>10650</v>
      </c>
      <c r="F1217" s="3" t="s">
        <v>2850</v>
      </c>
      <c r="G1217" s="4" t="s">
        <v>10715</v>
      </c>
      <c r="H1217" s="4" t="s">
        <v>10716</v>
      </c>
      <c r="I1217" s="3" t="s">
        <v>85</v>
      </c>
      <c r="J1217" s="3" t="s">
        <v>126</v>
      </c>
      <c r="K1217" s="3" t="s">
        <v>45</v>
      </c>
      <c r="L1217" s="3" t="s">
        <v>479</v>
      </c>
      <c r="M1217" s="3" t="s">
        <v>45</v>
      </c>
      <c r="N1217" s="3" t="s">
        <v>45</v>
      </c>
      <c r="O1217" s="3" t="s">
        <v>74</v>
      </c>
      <c r="P1217" s="3" t="s">
        <v>45</v>
      </c>
      <c r="Q1217" s="3" t="s">
        <v>45</v>
      </c>
      <c r="R1217" s="3" t="s">
        <v>45</v>
      </c>
      <c r="S1217" s="3" t="s">
        <v>45</v>
      </c>
      <c r="T1217" s="3" t="s">
        <v>45</v>
      </c>
      <c r="U1217" s="3" t="s">
        <v>45</v>
      </c>
      <c r="V1217" s="4" t="s">
        <v>10711</v>
      </c>
      <c r="W1217" s="4" t="s">
        <v>1872</v>
      </c>
      <c r="X1217" s="3" t="s">
        <v>45</v>
      </c>
      <c r="Y1217" s="3" t="s">
        <v>45</v>
      </c>
      <c r="Z1217" s="3" t="s">
        <v>74</v>
      </c>
      <c r="AA1217" s="3" t="s">
        <v>45</v>
      </c>
      <c r="AB1217" s="3" t="s">
        <v>45</v>
      </c>
      <c r="AC1217" s="3" t="s">
        <v>45</v>
      </c>
      <c r="AD1217" s="3" t="s">
        <v>45</v>
      </c>
      <c r="AE1217" s="3" t="s">
        <v>45</v>
      </c>
      <c r="AF1217" s="3" t="s">
        <v>45</v>
      </c>
      <c r="AG1217" s="3" t="s">
        <v>45</v>
      </c>
      <c r="AH1217" s="3" t="s">
        <v>9906</v>
      </c>
      <c r="AI1217" s="5" t="s">
        <v>10655</v>
      </c>
      <c r="AJ1217" s="5" t="s">
        <v>10717</v>
      </c>
      <c r="AK1217" s="3" t="s">
        <v>45</v>
      </c>
      <c r="AL1217" s="3" t="s">
        <v>45</v>
      </c>
      <c r="AM1217" s="3" t="s">
        <v>45</v>
      </c>
      <c r="AN1217" s="3" t="s">
        <v>45</v>
      </c>
      <c r="AO1217" s="3" t="s">
        <v>45</v>
      </c>
      <c r="AP1217" s="3" t="s">
        <v>45</v>
      </c>
      <c r="AQ1217" s="4" t="s">
        <v>9934</v>
      </c>
      <c r="AR1217" s="4" t="s">
        <v>9908</v>
      </c>
    </row>
    <row r="1218">
      <c r="A1218" s="3" t="s">
        <v>10718</v>
      </c>
      <c r="B1218" s="3" t="s">
        <v>10719</v>
      </c>
      <c r="C1218" s="3" t="s">
        <v>10701</v>
      </c>
      <c r="D1218" s="3" t="s">
        <v>9900</v>
      </c>
      <c r="E1218" s="4" t="s">
        <v>10650</v>
      </c>
      <c r="F1218" s="3" t="s">
        <v>2850</v>
      </c>
      <c r="G1218" s="4" t="s">
        <v>10720</v>
      </c>
      <c r="H1218" s="4" t="s">
        <v>10721</v>
      </c>
      <c r="I1218" s="3" t="s">
        <v>85</v>
      </c>
      <c r="J1218" s="3" t="s">
        <v>126</v>
      </c>
      <c r="K1218" s="3" t="s">
        <v>45</v>
      </c>
      <c r="L1218" s="3" t="s">
        <v>10722</v>
      </c>
      <c r="M1218" s="3" t="s">
        <v>45</v>
      </c>
      <c r="N1218" s="3" t="s">
        <v>45</v>
      </c>
      <c r="O1218" s="3" t="s">
        <v>74</v>
      </c>
      <c r="P1218" s="3" t="s">
        <v>45</v>
      </c>
      <c r="Q1218" s="3" t="s">
        <v>45</v>
      </c>
      <c r="R1218" s="3" t="s">
        <v>45</v>
      </c>
      <c r="S1218" s="3" t="s">
        <v>45</v>
      </c>
      <c r="T1218" s="3" t="s">
        <v>45</v>
      </c>
      <c r="U1218" s="3" t="s">
        <v>45</v>
      </c>
      <c r="V1218" s="4" t="s">
        <v>10723</v>
      </c>
      <c r="W1218" s="4" t="s">
        <v>472</v>
      </c>
      <c r="X1218" s="3" t="s">
        <v>45</v>
      </c>
      <c r="Y1218" s="3" t="s">
        <v>45</v>
      </c>
      <c r="Z1218" s="3" t="s">
        <v>74</v>
      </c>
      <c r="AA1218" s="3" t="s">
        <v>45</v>
      </c>
      <c r="AB1218" s="3" t="s">
        <v>45</v>
      </c>
      <c r="AC1218" s="3" t="s">
        <v>45</v>
      </c>
      <c r="AD1218" s="3" t="s">
        <v>45</v>
      </c>
      <c r="AE1218" s="3" t="s">
        <v>45</v>
      </c>
      <c r="AF1218" s="3" t="s">
        <v>45</v>
      </c>
      <c r="AG1218" s="3" t="s">
        <v>45</v>
      </c>
      <c r="AH1218" s="3" t="s">
        <v>9906</v>
      </c>
      <c r="AI1218" s="5" t="s">
        <v>10724</v>
      </c>
      <c r="AJ1218" s="3" t="s">
        <v>45</v>
      </c>
      <c r="AK1218" s="3" t="s">
        <v>45</v>
      </c>
      <c r="AL1218" s="3" t="s">
        <v>45</v>
      </c>
      <c r="AM1218" s="3" t="s">
        <v>45</v>
      </c>
      <c r="AN1218" s="3" t="s">
        <v>45</v>
      </c>
      <c r="AO1218" s="3" t="s">
        <v>45</v>
      </c>
      <c r="AP1218" s="3" t="s">
        <v>45</v>
      </c>
      <c r="AQ1218" s="4" t="s">
        <v>9934</v>
      </c>
      <c r="AR1218" s="4" t="s">
        <v>9908</v>
      </c>
    </row>
    <row r="1219">
      <c r="A1219" s="3" t="s">
        <v>10725</v>
      </c>
      <c r="B1219" s="3" t="s">
        <v>10726</v>
      </c>
      <c r="C1219" s="3" t="s">
        <v>10727</v>
      </c>
      <c r="D1219" s="3" t="s">
        <v>9900</v>
      </c>
      <c r="E1219" s="4" t="s">
        <v>10728</v>
      </c>
      <c r="F1219" s="3" t="s">
        <v>10727</v>
      </c>
      <c r="G1219" s="4" t="s">
        <v>10729</v>
      </c>
      <c r="H1219" s="4" t="s">
        <v>10730</v>
      </c>
      <c r="I1219" s="3" t="s">
        <v>436</v>
      </c>
      <c r="J1219" s="3" t="s">
        <v>50</v>
      </c>
      <c r="K1219" s="3" t="s">
        <v>45</v>
      </c>
      <c r="L1219" s="3" t="s">
        <v>45</v>
      </c>
      <c r="M1219" s="3" t="s">
        <v>45</v>
      </c>
      <c r="N1219" s="3" t="s">
        <v>45</v>
      </c>
      <c r="O1219" s="3" t="s">
        <v>74</v>
      </c>
      <c r="P1219" s="3" t="s">
        <v>45</v>
      </c>
      <c r="Q1219" s="3" t="s">
        <v>45</v>
      </c>
      <c r="R1219" s="3" t="s">
        <v>45</v>
      </c>
      <c r="S1219" s="3" t="s">
        <v>45</v>
      </c>
      <c r="T1219" s="3" t="s">
        <v>45</v>
      </c>
      <c r="U1219" s="3" t="s">
        <v>45</v>
      </c>
      <c r="V1219" s="3" t="s">
        <v>45</v>
      </c>
      <c r="W1219" s="4" t="s">
        <v>10731</v>
      </c>
      <c r="X1219" s="3" t="s">
        <v>45</v>
      </c>
      <c r="Y1219" s="3" t="s">
        <v>45</v>
      </c>
      <c r="Z1219" s="3" t="s">
        <v>74</v>
      </c>
      <c r="AA1219" s="3" t="s">
        <v>45</v>
      </c>
      <c r="AB1219" s="3" t="s">
        <v>45</v>
      </c>
      <c r="AC1219" s="3" t="s">
        <v>45</v>
      </c>
      <c r="AD1219" s="3" t="s">
        <v>45</v>
      </c>
      <c r="AE1219" s="3" t="s">
        <v>45</v>
      </c>
      <c r="AF1219" s="3" t="s">
        <v>45</v>
      </c>
      <c r="AG1219" s="3" t="s">
        <v>10732</v>
      </c>
      <c r="AH1219" s="3" t="s">
        <v>57</v>
      </c>
      <c r="AI1219" s="5" t="s">
        <v>10733</v>
      </c>
      <c r="AJ1219" s="3" t="s">
        <v>45</v>
      </c>
      <c r="AK1219" s="3" t="s">
        <v>45</v>
      </c>
      <c r="AL1219" s="3" t="s">
        <v>45</v>
      </c>
      <c r="AM1219" s="3" t="s">
        <v>45</v>
      </c>
      <c r="AN1219" s="3" t="s">
        <v>45</v>
      </c>
      <c r="AO1219" s="3" t="s">
        <v>45</v>
      </c>
      <c r="AP1219" s="3" t="s">
        <v>45</v>
      </c>
      <c r="AQ1219" s="4" t="s">
        <v>168</v>
      </c>
      <c r="AR1219" s="4" t="s">
        <v>168</v>
      </c>
    </row>
    <row r="1220">
      <c r="A1220" s="3" t="s">
        <v>10734</v>
      </c>
      <c r="B1220" s="3" t="s">
        <v>10735</v>
      </c>
      <c r="C1220" s="3" t="s">
        <v>10736</v>
      </c>
      <c r="D1220" s="3" t="s">
        <v>9900</v>
      </c>
      <c r="E1220" s="4" t="s">
        <v>10737</v>
      </c>
      <c r="F1220" s="3" t="s">
        <v>5095</v>
      </c>
      <c r="G1220" s="4" t="s">
        <v>10738</v>
      </c>
      <c r="H1220" s="4" t="s">
        <v>10739</v>
      </c>
      <c r="I1220" s="3" t="s">
        <v>49</v>
      </c>
      <c r="J1220" s="3" t="s">
        <v>126</v>
      </c>
      <c r="K1220" s="3" t="s">
        <v>45</v>
      </c>
      <c r="L1220" s="3" t="s">
        <v>409</v>
      </c>
      <c r="M1220" s="3" t="s">
        <v>45</v>
      </c>
      <c r="N1220" s="3" t="s">
        <v>45</v>
      </c>
      <c r="O1220" s="3" t="s">
        <v>74</v>
      </c>
      <c r="P1220" s="3" t="s">
        <v>45</v>
      </c>
      <c r="Q1220" s="3" t="s">
        <v>45</v>
      </c>
      <c r="R1220" s="3" t="s">
        <v>45</v>
      </c>
      <c r="S1220" s="3" t="s">
        <v>45</v>
      </c>
      <c r="T1220" s="3" t="s">
        <v>45</v>
      </c>
      <c r="U1220" s="3" t="s">
        <v>45</v>
      </c>
      <c r="V1220" s="3" t="s">
        <v>45</v>
      </c>
      <c r="W1220" s="4" t="s">
        <v>10740</v>
      </c>
      <c r="X1220" s="3" t="s">
        <v>45</v>
      </c>
      <c r="Y1220" s="3" t="s">
        <v>45</v>
      </c>
      <c r="Z1220" s="3" t="s">
        <v>74</v>
      </c>
      <c r="AA1220" s="3" t="s">
        <v>45</v>
      </c>
      <c r="AB1220" s="3" t="s">
        <v>45</v>
      </c>
      <c r="AC1220" s="3" t="s">
        <v>45</v>
      </c>
      <c r="AD1220" s="3" t="s">
        <v>45</v>
      </c>
      <c r="AE1220" s="3" t="s">
        <v>45</v>
      </c>
      <c r="AF1220" s="3" t="s">
        <v>45</v>
      </c>
      <c r="AG1220" s="3" t="s">
        <v>10511</v>
      </c>
      <c r="AH1220" s="3" t="s">
        <v>9906</v>
      </c>
      <c r="AI1220" s="5" t="s">
        <v>10741</v>
      </c>
      <c r="AJ1220" s="5" t="s">
        <v>10742</v>
      </c>
      <c r="AK1220" s="3" t="s">
        <v>45</v>
      </c>
      <c r="AL1220" s="3" t="s">
        <v>45</v>
      </c>
      <c r="AM1220" s="3" t="s">
        <v>45</v>
      </c>
      <c r="AN1220" s="3" t="s">
        <v>45</v>
      </c>
      <c r="AO1220" s="3" t="s">
        <v>45</v>
      </c>
      <c r="AP1220" s="3" t="s">
        <v>45</v>
      </c>
      <c r="AQ1220" s="4" t="s">
        <v>9934</v>
      </c>
      <c r="AR1220" s="4" t="s">
        <v>9908</v>
      </c>
    </row>
    <row r="1221">
      <c r="A1221" s="3" t="s">
        <v>10743</v>
      </c>
      <c r="B1221" s="3" t="s">
        <v>10744</v>
      </c>
      <c r="C1221" s="3" t="s">
        <v>10745</v>
      </c>
      <c r="D1221" s="3" t="s">
        <v>9900</v>
      </c>
      <c r="E1221" s="4" t="s">
        <v>10746</v>
      </c>
      <c r="F1221" s="3" t="s">
        <v>10747</v>
      </c>
      <c r="G1221" s="4" t="s">
        <v>10748</v>
      </c>
      <c r="H1221" s="4" t="s">
        <v>10749</v>
      </c>
      <c r="I1221" s="3" t="s">
        <v>436</v>
      </c>
      <c r="J1221" s="3" t="s">
        <v>50</v>
      </c>
      <c r="K1221" s="3" t="s">
        <v>45</v>
      </c>
      <c r="L1221" s="3" t="s">
        <v>10750</v>
      </c>
      <c r="M1221" s="3" t="s">
        <v>45</v>
      </c>
      <c r="N1221" s="4" t="s">
        <v>5658</v>
      </c>
      <c r="O1221" s="3" t="s">
        <v>70</v>
      </c>
      <c r="P1221" s="3" t="s">
        <v>45</v>
      </c>
      <c r="Q1221" s="3" t="s">
        <v>45</v>
      </c>
      <c r="R1221" s="3" t="s">
        <v>45</v>
      </c>
      <c r="S1221" s="4" t="s">
        <v>472</v>
      </c>
      <c r="T1221" s="3" t="s">
        <v>45</v>
      </c>
      <c r="U1221" s="3" t="s">
        <v>45</v>
      </c>
      <c r="V1221" s="4" t="s">
        <v>10751</v>
      </c>
      <c r="W1221" s="4" t="s">
        <v>10752</v>
      </c>
      <c r="X1221" s="3" t="s">
        <v>10753</v>
      </c>
      <c r="Y1221" s="3" t="s">
        <v>45</v>
      </c>
      <c r="Z1221" s="3" t="s">
        <v>55</v>
      </c>
      <c r="AA1221" s="5" t="s">
        <v>10754</v>
      </c>
      <c r="AB1221" s="3" t="s">
        <v>45</v>
      </c>
      <c r="AC1221" s="3" t="s">
        <v>45</v>
      </c>
      <c r="AD1221" s="3" t="s">
        <v>45</v>
      </c>
      <c r="AE1221" s="3" t="s">
        <v>45</v>
      </c>
      <c r="AF1221" s="3" t="s">
        <v>45</v>
      </c>
      <c r="AG1221" s="3" t="s">
        <v>10755</v>
      </c>
      <c r="AH1221" s="3" t="s">
        <v>9906</v>
      </c>
      <c r="AI1221" s="5" t="s">
        <v>10756</v>
      </c>
      <c r="AJ1221" s="5" t="s">
        <v>10754</v>
      </c>
      <c r="AK1221" s="3" t="s">
        <v>45</v>
      </c>
      <c r="AL1221" s="3" t="s">
        <v>45</v>
      </c>
      <c r="AM1221" s="3" t="s">
        <v>45</v>
      </c>
      <c r="AN1221" s="3" t="s">
        <v>45</v>
      </c>
      <c r="AO1221" s="3" t="s">
        <v>45</v>
      </c>
      <c r="AP1221" s="3" t="s">
        <v>45</v>
      </c>
      <c r="AQ1221" s="4" t="s">
        <v>9969</v>
      </c>
      <c r="AR1221" s="4" t="s">
        <v>8164</v>
      </c>
    </row>
    <row r="1222">
      <c r="A1222" s="3" t="s">
        <v>10757</v>
      </c>
      <c r="B1222" s="3" t="s">
        <v>10758</v>
      </c>
      <c r="C1222" s="3" t="s">
        <v>7293</v>
      </c>
      <c r="D1222" s="3" t="s">
        <v>9900</v>
      </c>
      <c r="E1222" s="4" t="s">
        <v>10759</v>
      </c>
      <c r="F1222" s="3" t="s">
        <v>10760</v>
      </c>
      <c r="G1222" s="4" t="s">
        <v>10761</v>
      </c>
      <c r="H1222" s="4" t="s">
        <v>10762</v>
      </c>
      <c r="I1222" s="3" t="s">
        <v>49</v>
      </c>
      <c r="J1222" s="3" t="s">
        <v>126</v>
      </c>
      <c r="K1222" s="3" t="s">
        <v>45</v>
      </c>
      <c r="L1222" s="3" t="s">
        <v>176</v>
      </c>
      <c r="M1222" s="3" t="s">
        <v>45</v>
      </c>
      <c r="N1222" s="4" t="s">
        <v>419</v>
      </c>
      <c r="O1222" s="3" t="s">
        <v>88</v>
      </c>
      <c r="P1222" s="3" t="s">
        <v>45</v>
      </c>
      <c r="Q1222" s="3" t="s">
        <v>45</v>
      </c>
      <c r="R1222" s="3" t="s">
        <v>45</v>
      </c>
      <c r="S1222" s="3" t="s">
        <v>45</v>
      </c>
      <c r="T1222" s="3" t="s">
        <v>45</v>
      </c>
      <c r="U1222" s="3" t="s">
        <v>45</v>
      </c>
      <c r="V1222" s="4" t="s">
        <v>10763</v>
      </c>
      <c r="W1222" s="4" t="s">
        <v>156</v>
      </c>
      <c r="X1222" s="3" t="s">
        <v>45</v>
      </c>
      <c r="Y1222" s="3" t="s">
        <v>45</v>
      </c>
      <c r="Z1222" s="3" t="s">
        <v>74</v>
      </c>
      <c r="AA1222" s="3" t="s">
        <v>45</v>
      </c>
      <c r="AB1222" s="3" t="s">
        <v>45</v>
      </c>
      <c r="AC1222" s="3" t="s">
        <v>45</v>
      </c>
      <c r="AD1222" s="3" t="s">
        <v>45</v>
      </c>
      <c r="AE1222" s="3" t="s">
        <v>45</v>
      </c>
      <c r="AF1222" s="3" t="s">
        <v>45</v>
      </c>
      <c r="AG1222" s="3" t="s">
        <v>45</v>
      </c>
      <c r="AH1222" s="3" t="s">
        <v>57</v>
      </c>
      <c r="AI1222" s="5" t="s">
        <v>10764</v>
      </c>
      <c r="AJ1222" s="5" t="s">
        <v>10765</v>
      </c>
      <c r="AK1222" s="5" t="s">
        <v>10766</v>
      </c>
      <c r="AL1222" s="5" t="s">
        <v>10767</v>
      </c>
      <c r="AM1222" s="5" t="s">
        <v>10768</v>
      </c>
      <c r="AN1222" s="5" t="s">
        <v>10769</v>
      </c>
      <c r="AO1222" s="3" t="s">
        <v>45</v>
      </c>
      <c r="AP1222" s="3" t="s">
        <v>45</v>
      </c>
      <c r="AQ1222" s="4" t="s">
        <v>3942</v>
      </c>
      <c r="AR1222" s="4" t="s">
        <v>8164</v>
      </c>
    </row>
    <row r="1223">
      <c r="A1223" s="3" t="s">
        <v>3351</v>
      </c>
      <c r="B1223" s="3" t="s">
        <v>10770</v>
      </c>
      <c r="C1223" s="3" t="s">
        <v>7293</v>
      </c>
      <c r="D1223" s="3" t="s">
        <v>9900</v>
      </c>
      <c r="E1223" s="4" t="s">
        <v>10759</v>
      </c>
      <c r="F1223" s="3" t="s">
        <v>10760</v>
      </c>
      <c r="G1223" s="4" t="s">
        <v>10771</v>
      </c>
      <c r="H1223" s="4" t="s">
        <v>10772</v>
      </c>
      <c r="I1223" s="3" t="s">
        <v>49</v>
      </c>
      <c r="J1223" s="3" t="s">
        <v>50</v>
      </c>
      <c r="K1223" s="3" t="s">
        <v>45</v>
      </c>
      <c r="L1223" s="3" t="s">
        <v>45</v>
      </c>
      <c r="M1223" s="3" t="s">
        <v>45</v>
      </c>
      <c r="N1223" s="3" t="s">
        <v>45</v>
      </c>
      <c r="O1223" s="3" t="s">
        <v>74</v>
      </c>
      <c r="P1223" s="3" t="s">
        <v>45</v>
      </c>
      <c r="Q1223" s="3" t="s">
        <v>45</v>
      </c>
      <c r="R1223" s="3" t="s">
        <v>45</v>
      </c>
      <c r="S1223" s="3" t="s">
        <v>45</v>
      </c>
      <c r="T1223" s="3" t="s">
        <v>45</v>
      </c>
      <c r="U1223" s="3" t="s">
        <v>45</v>
      </c>
      <c r="V1223" s="3" t="s">
        <v>45</v>
      </c>
      <c r="W1223" s="3" t="s">
        <v>45</v>
      </c>
      <c r="X1223" s="3" t="s">
        <v>45</v>
      </c>
      <c r="Y1223" s="3" t="s">
        <v>45</v>
      </c>
      <c r="Z1223" s="3" t="s">
        <v>74</v>
      </c>
      <c r="AA1223" s="3" t="s">
        <v>45</v>
      </c>
      <c r="AB1223" s="3" t="s">
        <v>45</v>
      </c>
      <c r="AC1223" s="3" t="s">
        <v>45</v>
      </c>
      <c r="AD1223" s="3" t="s">
        <v>45</v>
      </c>
      <c r="AE1223" s="3" t="s">
        <v>45</v>
      </c>
      <c r="AF1223" s="3" t="s">
        <v>45</v>
      </c>
      <c r="AG1223" s="3" t="s">
        <v>10773</v>
      </c>
      <c r="AH1223" s="3" t="s">
        <v>57</v>
      </c>
      <c r="AI1223" s="5" t="s">
        <v>10774</v>
      </c>
      <c r="AJ1223" s="3" t="s">
        <v>45</v>
      </c>
      <c r="AK1223" s="3" t="s">
        <v>45</v>
      </c>
      <c r="AL1223" s="3" t="s">
        <v>45</v>
      </c>
      <c r="AM1223" s="3" t="s">
        <v>45</v>
      </c>
      <c r="AN1223" s="3" t="s">
        <v>45</v>
      </c>
      <c r="AO1223" s="3" t="s">
        <v>45</v>
      </c>
      <c r="AP1223" s="3" t="s">
        <v>45</v>
      </c>
      <c r="AQ1223" s="4" t="s">
        <v>627</v>
      </c>
      <c r="AR1223" s="4" t="s">
        <v>627</v>
      </c>
    </row>
    <row r="1224">
      <c r="A1224" s="3" t="s">
        <v>10775</v>
      </c>
      <c r="B1224" s="3" t="s">
        <v>10776</v>
      </c>
      <c r="C1224" s="3" t="s">
        <v>7293</v>
      </c>
      <c r="D1224" s="3" t="s">
        <v>9900</v>
      </c>
      <c r="E1224" s="4" t="s">
        <v>10759</v>
      </c>
      <c r="F1224" s="3" t="s">
        <v>10760</v>
      </c>
      <c r="G1224" s="4" t="s">
        <v>10777</v>
      </c>
      <c r="H1224" s="4" t="s">
        <v>10778</v>
      </c>
      <c r="I1224" s="3" t="s">
        <v>85</v>
      </c>
      <c r="J1224" s="3" t="s">
        <v>126</v>
      </c>
      <c r="K1224" s="3" t="s">
        <v>45</v>
      </c>
      <c r="L1224" s="3" t="s">
        <v>10779</v>
      </c>
      <c r="M1224" s="3" t="s">
        <v>45</v>
      </c>
      <c r="N1224" s="4" t="s">
        <v>1153</v>
      </c>
      <c r="O1224" s="3" t="s">
        <v>390</v>
      </c>
      <c r="P1224" s="3" t="s">
        <v>45</v>
      </c>
      <c r="Q1224" s="3" t="s">
        <v>45</v>
      </c>
      <c r="R1224" s="3" t="s">
        <v>45</v>
      </c>
      <c r="S1224" s="3" t="s">
        <v>45</v>
      </c>
      <c r="T1224" s="3" t="s">
        <v>45</v>
      </c>
      <c r="U1224" s="3" t="s">
        <v>45</v>
      </c>
      <c r="V1224" s="4" t="s">
        <v>10780</v>
      </c>
      <c r="W1224" s="4" t="s">
        <v>1072</v>
      </c>
      <c r="X1224" s="3" t="s">
        <v>45</v>
      </c>
      <c r="Y1224" s="3" t="s">
        <v>45</v>
      </c>
      <c r="Z1224" s="3" t="s">
        <v>74</v>
      </c>
      <c r="AA1224" s="3" t="s">
        <v>45</v>
      </c>
      <c r="AB1224" s="3" t="s">
        <v>45</v>
      </c>
      <c r="AC1224" s="3" t="s">
        <v>45</v>
      </c>
      <c r="AD1224" s="3" t="s">
        <v>45</v>
      </c>
      <c r="AE1224" s="3" t="s">
        <v>45</v>
      </c>
      <c r="AF1224" s="3" t="s">
        <v>45</v>
      </c>
      <c r="AG1224" s="3" t="s">
        <v>10781</v>
      </c>
      <c r="AH1224" s="3" t="s">
        <v>9906</v>
      </c>
      <c r="AI1224" s="5" t="s">
        <v>10782</v>
      </c>
      <c r="AJ1224" s="3" t="s">
        <v>45</v>
      </c>
      <c r="AK1224" s="3" t="s">
        <v>45</v>
      </c>
      <c r="AL1224" s="3" t="s">
        <v>45</v>
      </c>
      <c r="AM1224" s="3" t="s">
        <v>45</v>
      </c>
      <c r="AN1224" s="3" t="s">
        <v>45</v>
      </c>
      <c r="AO1224" s="3" t="s">
        <v>45</v>
      </c>
      <c r="AP1224" s="3" t="s">
        <v>45</v>
      </c>
      <c r="AQ1224" s="4" t="s">
        <v>9934</v>
      </c>
      <c r="AR1224" s="4" t="s">
        <v>9908</v>
      </c>
    </row>
    <row r="1225">
      <c r="A1225" s="3" t="s">
        <v>10783</v>
      </c>
      <c r="B1225" s="3" t="s">
        <v>10784</v>
      </c>
      <c r="C1225" s="3" t="s">
        <v>7293</v>
      </c>
      <c r="D1225" s="3" t="s">
        <v>9900</v>
      </c>
      <c r="E1225" s="4" t="s">
        <v>10759</v>
      </c>
      <c r="F1225" s="3" t="s">
        <v>10760</v>
      </c>
      <c r="G1225" s="4" t="s">
        <v>10785</v>
      </c>
      <c r="H1225" s="4" t="s">
        <v>10786</v>
      </c>
      <c r="I1225" s="3" t="s">
        <v>49</v>
      </c>
      <c r="J1225" s="3" t="s">
        <v>126</v>
      </c>
      <c r="K1225" s="3" t="s">
        <v>45</v>
      </c>
      <c r="L1225" s="3" t="s">
        <v>45</v>
      </c>
      <c r="M1225" s="3" t="s">
        <v>45</v>
      </c>
      <c r="N1225" s="3" t="s">
        <v>45</v>
      </c>
      <c r="O1225" s="3" t="s">
        <v>74</v>
      </c>
      <c r="P1225" s="3" t="s">
        <v>45</v>
      </c>
      <c r="Q1225" s="3" t="s">
        <v>45</v>
      </c>
      <c r="R1225" s="3" t="s">
        <v>45</v>
      </c>
      <c r="S1225" s="3" t="s">
        <v>45</v>
      </c>
      <c r="T1225" s="3" t="s">
        <v>45</v>
      </c>
      <c r="U1225" s="3" t="s">
        <v>45</v>
      </c>
      <c r="V1225" s="3" t="s">
        <v>45</v>
      </c>
      <c r="W1225" s="4" t="s">
        <v>156</v>
      </c>
      <c r="X1225" s="3" t="s">
        <v>45</v>
      </c>
      <c r="Y1225" s="3" t="s">
        <v>45</v>
      </c>
      <c r="Z1225" s="3" t="s">
        <v>74</v>
      </c>
      <c r="AA1225" s="3" t="s">
        <v>45</v>
      </c>
      <c r="AB1225" s="3" t="s">
        <v>45</v>
      </c>
      <c r="AC1225" s="3" t="s">
        <v>45</v>
      </c>
      <c r="AD1225" s="3" t="s">
        <v>45</v>
      </c>
      <c r="AE1225" s="3" t="s">
        <v>45</v>
      </c>
      <c r="AF1225" s="3" t="s">
        <v>45</v>
      </c>
      <c r="AG1225" s="3" t="s">
        <v>45</v>
      </c>
      <c r="AH1225" s="3" t="s">
        <v>9906</v>
      </c>
      <c r="AI1225" s="5" t="s">
        <v>10787</v>
      </c>
      <c r="AJ1225" s="5" t="s">
        <v>10788</v>
      </c>
      <c r="AK1225" s="3" t="s">
        <v>45</v>
      </c>
      <c r="AL1225" s="3" t="s">
        <v>45</v>
      </c>
      <c r="AM1225" s="3" t="s">
        <v>45</v>
      </c>
      <c r="AN1225" s="3" t="s">
        <v>45</v>
      </c>
      <c r="AO1225" s="3" t="s">
        <v>45</v>
      </c>
      <c r="AP1225" s="3" t="s">
        <v>45</v>
      </c>
      <c r="AQ1225" s="4" t="s">
        <v>9958</v>
      </c>
      <c r="AR1225" s="4" t="s">
        <v>9908</v>
      </c>
    </row>
    <row r="1226">
      <c r="A1226" s="3" t="s">
        <v>5205</v>
      </c>
      <c r="B1226" s="3" t="s">
        <v>10789</v>
      </c>
      <c r="C1226" s="3" t="s">
        <v>7293</v>
      </c>
      <c r="D1226" s="3" t="s">
        <v>9900</v>
      </c>
      <c r="E1226" s="4" t="s">
        <v>10790</v>
      </c>
      <c r="F1226" s="3" t="s">
        <v>10760</v>
      </c>
      <c r="G1226" s="4" t="s">
        <v>10791</v>
      </c>
      <c r="H1226" s="4" t="s">
        <v>10792</v>
      </c>
      <c r="I1226" s="3" t="s">
        <v>245</v>
      </c>
      <c r="J1226" s="3" t="s">
        <v>126</v>
      </c>
      <c r="K1226" s="3" t="s">
        <v>45</v>
      </c>
      <c r="L1226" s="3" t="s">
        <v>45</v>
      </c>
      <c r="M1226" s="3" t="s">
        <v>45</v>
      </c>
      <c r="N1226" s="3" t="s">
        <v>45</v>
      </c>
      <c r="O1226" s="3" t="s">
        <v>74</v>
      </c>
      <c r="P1226" s="3" t="s">
        <v>45</v>
      </c>
      <c r="Q1226" s="3" t="s">
        <v>45</v>
      </c>
      <c r="R1226" s="3" t="s">
        <v>45</v>
      </c>
      <c r="S1226" s="3" t="s">
        <v>45</v>
      </c>
      <c r="T1226" s="3" t="s">
        <v>45</v>
      </c>
      <c r="U1226" s="3" t="s">
        <v>45</v>
      </c>
      <c r="V1226" s="3" t="s">
        <v>45</v>
      </c>
      <c r="W1226" s="4" t="s">
        <v>10793</v>
      </c>
      <c r="X1226" s="3" t="s">
        <v>45</v>
      </c>
      <c r="Y1226" s="3" t="s">
        <v>45</v>
      </c>
      <c r="Z1226" s="3" t="s">
        <v>74</v>
      </c>
      <c r="AA1226" s="3" t="s">
        <v>45</v>
      </c>
      <c r="AB1226" s="3" t="s">
        <v>45</v>
      </c>
      <c r="AC1226" s="3" t="s">
        <v>45</v>
      </c>
      <c r="AD1226" s="3" t="s">
        <v>45</v>
      </c>
      <c r="AE1226" s="3" t="s">
        <v>45</v>
      </c>
      <c r="AF1226" s="3" t="s">
        <v>45</v>
      </c>
      <c r="AG1226" s="3" t="s">
        <v>45</v>
      </c>
      <c r="AH1226" s="3" t="s">
        <v>57</v>
      </c>
      <c r="AI1226" s="5" t="s">
        <v>10794</v>
      </c>
      <c r="AJ1226" s="3" t="s">
        <v>45</v>
      </c>
      <c r="AK1226" s="3" t="s">
        <v>45</v>
      </c>
      <c r="AL1226" s="3" t="s">
        <v>45</v>
      </c>
      <c r="AM1226" s="3" t="s">
        <v>45</v>
      </c>
      <c r="AN1226" s="3" t="s">
        <v>45</v>
      </c>
      <c r="AO1226" s="3" t="s">
        <v>45</v>
      </c>
      <c r="AP1226" s="3" t="s">
        <v>45</v>
      </c>
      <c r="AQ1226" s="4" t="s">
        <v>3831</v>
      </c>
      <c r="AR1226" s="4" t="s">
        <v>3831</v>
      </c>
    </row>
    <row r="1227">
      <c r="A1227" s="3" t="s">
        <v>10795</v>
      </c>
      <c r="B1227" s="3" t="s">
        <v>10796</v>
      </c>
      <c r="C1227" s="3" t="s">
        <v>7293</v>
      </c>
      <c r="D1227" s="3" t="s">
        <v>9900</v>
      </c>
      <c r="E1227" s="4" t="s">
        <v>10759</v>
      </c>
      <c r="F1227" s="3" t="s">
        <v>10760</v>
      </c>
      <c r="G1227" s="4" t="s">
        <v>10797</v>
      </c>
      <c r="H1227" s="4" t="s">
        <v>10798</v>
      </c>
      <c r="I1227" s="3" t="s">
        <v>85</v>
      </c>
      <c r="J1227" s="3" t="s">
        <v>126</v>
      </c>
      <c r="K1227" s="3" t="s">
        <v>45</v>
      </c>
      <c r="L1227" s="3" t="s">
        <v>10799</v>
      </c>
      <c r="M1227" s="3" t="s">
        <v>45</v>
      </c>
      <c r="N1227" s="3" t="s">
        <v>45</v>
      </c>
      <c r="O1227" s="3" t="s">
        <v>74</v>
      </c>
      <c r="P1227" s="3" t="s">
        <v>45</v>
      </c>
      <c r="Q1227" s="3" t="s">
        <v>45</v>
      </c>
      <c r="R1227" s="3" t="s">
        <v>45</v>
      </c>
      <c r="S1227" s="3" t="s">
        <v>45</v>
      </c>
      <c r="T1227" s="3" t="s">
        <v>45</v>
      </c>
      <c r="U1227" s="3" t="s">
        <v>45</v>
      </c>
      <c r="V1227" s="4" t="s">
        <v>10800</v>
      </c>
      <c r="W1227" s="4" t="s">
        <v>871</v>
      </c>
      <c r="X1227" s="3" t="s">
        <v>45</v>
      </c>
      <c r="Y1227" s="3" t="s">
        <v>45</v>
      </c>
      <c r="Z1227" s="3" t="s">
        <v>74</v>
      </c>
      <c r="AA1227" s="3" t="s">
        <v>45</v>
      </c>
      <c r="AB1227" s="3" t="s">
        <v>45</v>
      </c>
      <c r="AC1227" s="3" t="s">
        <v>45</v>
      </c>
      <c r="AD1227" s="3" t="s">
        <v>45</v>
      </c>
      <c r="AE1227" s="3" t="s">
        <v>45</v>
      </c>
      <c r="AF1227" s="3" t="s">
        <v>45</v>
      </c>
      <c r="AG1227" s="3" t="s">
        <v>45</v>
      </c>
      <c r="AH1227" s="3" t="s">
        <v>9906</v>
      </c>
      <c r="AI1227" s="5" t="s">
        <v>10801</v>
      </c>
      <c r="AJ1227" s="3" t="s">
        <v>45</v>
      </c>
      <c r="AK1227" s="3" t="s">
        <v>45</v>
      </c>
      <c r="AL1227" s="3" t="s">
        <v>45</v>
      </c>
      <c r="AM1227" s="3" t="s">
        <v>45</v>
      </c>
      <c r="AN1227" s="3" t="s">
        <v>45</v>
      </c>
      <c r="AO1227" s="3" t="s">
        <v>45</v>
      </c>
      <c r="AP1227" s="3" t="s">
        <v>45</v>
      </c>
      <c r="AQ1227" s="4" t="s">
        <v>9934</v>
      </c>
      <c r="AR1227" s="4" t="s">
        <v>9908</v>
      </c>
    </row>
    <row r="1228">
      <c r="A1228" s="3" t="s">
        <v>10802</v>
      </c>
      <c r="B1228" s="3" t="s">
        <v>10803</v>
      </c>
      <c r="C1228" s="3" t="s">
        <v>268</v>
      </c>
      <c r="D1228" s="3" t="s">
        <v>9900</v>
      </c>
      <c r="E1228" s="4" t="s">
        <v>10804</v>
      </c>
      <c r="F1228" s="3" t="s">
        <v>5095</v>
      </c>
      <c r="G1228" s="4" t="s">
        <v>10805</v>
      </c>
      <c r="H1228" s="4" t="s">
        <v>10806</v>
      </c>
      <c r="I1228" s="3" t="s">
        <v>49</v>
      </c>
      <c r="J1228" s="3" t="s">
        <v>126</v>
      </c>
      <c r="K1228" s="3" t="s">
        <v>45</v>
      </c>
      <c r="L1228" s="3" t="s">
        <v>409</v>
      </c>
      <c r="M1228" s="3" t="s">
        <v>45</v>
      </c>
      <c r="N1228" s="3" t="s">
        <v>45</v>
      </c>
      <c r="O1228" s="3" t="s">
        <v>74</v>
      </c>
      <c r="P1228" s="3" t="s">
        <v>45</v>
      </c>
      <c r="Q1228" s="3" t="s">
        <v>45</v>
      </c>
      <c r="R1228" s="3" t="s">
        <v>45</v>
      </c>
      <c r="S1228" s="3" t="s">
        <v>45</v>
      </c>
      <c r="T1228" s="3" t="s">
        <v>45</v>
      </c>
      <c r="U1228" s="3" t="s">
        <v>45</v>
      </c>
      <c r="V1228" s="3" t="s">
        <v>45</v>
      </c>
      <c r="W1228" s="4" t="s">
        <v>10807</v>
      </c>
      <c r="X1228" s="3" t="s">
        <v>45</v>
      </c>
      <c r="Y1228" s="3" t="s">
        <v>45</v>
      </c>
      <c r="Z1228" s="3" t="s">
        <v>74</v>
      </c>
      <c r="AA1228" s="3" t="s">
        <v>45</v>
      </c>
      <c r="AB1228" s="3" t="s">
        <v>45</v>
      </c>
      <c r="AC1228" s="3" t="s">
        <v>45</v>
      </c>
      <c r="AD1228" s="3" t="s">
        <v>45</v>
      </c>
      <c r="AE1228" s="3" t="s">
        <v>45</v>
      </c>
      <c r="AF1228" s="3" t="s">
        <v>45</v>
      </c>
      <c r="AG1228" s="3" t="s">
        <v>45</v>
      </c>
      <c r="AH1228" s="3" t="s">
        <v>57</v>
      </c>
      <c r="AI1228" s="5" t="s">
        <v>10808</v>
      </c>
      <c r="AJ1228" s="3" t="s">
        <v>45</v>
      </c>
      <c r="AK1228" s="3" t="s">
        <v>45</v>
      </c>
      <c r="AL1228" s="3" t="s">
        <v>45</v>
      </c>
      <c r="AM1228" s="3" t="s">
        <v>45</v>
      </c>
      <c r="AN1228" s="3" t="s">
        <v>45</v>
      </c>
      <c r="AO1228" s="3" t="s">
        <v>45</v>
      </c>
      <c r="AP1228" s="3" t="s">
        <v>45</v>
      </c>
      <c r="AQ1228" s="4" t="s">
        <v>295</v>
      </c>
      <c r="AR1228" s="4" t="s">
        <v>295</v>
      </c>
    </row>
    <row r="1229">
      <c r="A1229" s="3" t="s">
        <v>1077</v>
      </c>
      <c r="B1229" s="3" t="s">
        <v>45</v>
      </c>
      <c r="C1229" s="3" t="s">
        <v>10809</v>
      </c>
      <c r="D1229" s="3" t="s">
        <v>9900</v>
      </c>
      <c r="E1229" s="4" t="s">
        <v>10810</v>
      </c>
      <c r="F1229" s="3" t="s">
        <v>10809</v>
      </c>
      <c r="G1229" s="4" t="s">
        <v>10811</v>
      </c>
      <c r="H1229" s="4" t="s">
        <v>10812</v>
      </c>
      <c r="I1229" s="3" t="s">
        <v>49</v>
      </c>
      <c r="J1229" s="3" t="s">
        <v>50</v>
      </c>
      <c r="K1229" s="3" t="s">
        <v>45</v>
      </c>
      <c r="L1229" s="3" t="s">
        <v>1077</v>
      </c>
      <c r="M1229" s="3" t="s">
        <v>45</v>
      </c>
      <c r="N1229" s="3" t="s">
        <v>45</v>
      </c>
      <c r="O1229" s="3" t="s">
        <v>74</v>
      </c>
      <c r="P1229" s="3" t="s">
        <v>45</v>
      </c>
      <c r="Q1229" s="3" t="s">
        <v>45</v>
      </c>
      <c r="R1229" s="3" t="s">
        <v>45</v>
      </c>
      <c r="S1229" s="3" t="s">
        <v>45</v>
      </c>
      <c r="T1229" s="3" t="s">
        <v>45</v>
      </c>
      <c r="U1229" s="3" t="s">
        <v>45</v>
      </c>
      <c r="V1229" s="4" t="s">
        <v>2466</v>
      </c>
      <c r="W1229" s="4" t="s">
        <v>7146</v>
      </c>
      <c r="X1229" s="3" t="s">
        <v>45</v>
      </c>
      <c r="Y1229" s="3" t="s">
        <v>45</v>
      </c>
      <c r="Z1229" s="3" t="s">
        <v>74</v>
      </c>
      <c r="AA1229" s="3" t="s">
        <v>45</v>
      </c>
      <c r="AB1229" s="3" t="s">
        <v>45</v>
      </c>
      <c r="AC1229" s="3" t="s">
        <v>45</v>
      </c>
      <c r="AD1229" s="3" t="s">
        <v>45</v>
      </c>
      <c r="AE1229" s="3" t="s">
        <v>45</v>
      </c>
      <c r="AF1229" s="3" t="s">
        <v>45</v>
      </c>
      <c r="AG1229" s="3" t="s">
        <v>9916</v>
      </c>
      <c r="AH1229" s="3" t="s">
        <v>9906</v>
      </c>
      <c r="AI1229" s="5" t="s">
        <v>10813</v>
      </c>
      <c r="AJ1229" s="5" t="s">
        <v>10814</v>
      </c>
      <c r="AK1229" s="3" t="s">
        <v>45</v>
      </c>
      <c r="AL1229" s="3" t="s">
        <v>45</v>
      </c>
      <c r="AM1229" s="3" t="s">
        <v>45</v>
      </c>
      <c r="AN1229" s="3" t="s">
        <v>45</v>
      </c>
      <c r="AO1229" s="3" t="s">
        <v>45</v>
      </c>
      <c r="AP1229" s="3" t="s">
        <v>45</v>
      </c>
      <c r="AQ1229" s="4" t="s">
        <v>9934</v>
      </c>
      <c r="AR1229" s="4" t="s">
        <v>9908</v>
      </c>
    </row>
    <row r="1230">
      <c r="A1230" s="3" t="s">
        <v>7343</v>
      </c>
      <c r="B1230" s="3" t="s">
        <v>10815</v>
      </c>
      <c r="C1230" s="3" t="s">
        <v>10809</v>
      </c>
      <c r="D1230" s="3" t="s">
        <v>9900</v>
      </c>
      <c r="E1230" s="4" t="s">
        <v>10810</v>
      </c>
      <c r="F1230" s="3" t="s">
        <v>10809</v>
      </c>
      <c r="G1230" s="4" t="s">
        <v>10816</v>
      </c>
      <c r="H1230" s="4" t="s">
        <v>10817</v>
      </c>
      <c r="I1230" s="3" t="s">
        <v>49</v>
      </c>
      <c r="J1230" s="3" t="s">
        <v>126</v>
      </c>
      <c r="K1230" s="3" t="s">
        <v>45</v>
      </c>
      <c r="L1230" s="3" t="s">
        <v>7343</v>
      </c>
      <c r="M1230" s="3" t="s">
        <v>45</v>
      </c>
      <c r="N1230" s="3" t="s">
        <v>45</v>
      </c>
      <c r="O1230" s="3" t="s">
        <v>74</v>
      </c>
      <c r="P1230" s="3" t="s">
        <v>45</v>
      </c>
      <c r="Q1230" s="3" t="s">
        <v>45</v>
      </c>
      <c r="R1230" s="3" t="s">
        <v>45</v>
      </c>
      <c r="S1230" s="3" t="s">
        <v>45</v>
      </c>
      <c r="T1230" s="3" t="s">
        <v>45</v>
      </c>
      <c r="U1230" s="3" t="s">
        <v>45</v>
      </c>
      <c r="V1230" s="4" t="s">
        <v>1823</v>
      </c>
      <c r="W1230" s="4" t="s">
        <v>764</v>
      </c>
      <c r="X1230" s="3" t="s">
        <v>45</v>
      </c>
      <c r="Y1230" s="3" t="s">
        <v>45</v>
      </c>
      <c r="Z1230" s="3" t="s">
        <v>74</v>
      </c>
      <c r="AA1230" s="3" t="s">
        <v>45</v>
      </c>
      <c r="AB1230" s="3" t="s">
        <v>45</v>
      </c>
      <c r="AC1230" s="3" t="s">
        <v>45</v>
      </c>
      <c r="AD1230" s="3" t="s">
        <v>45</v>
      </c>
      <c r="AE1230" s="3" t="s">
        <v>45</v>
      </c>
      <c r="AF1230" s="3" t="s">
        <v>45</v>
      </c>
      <c r="AG1230" s="3" t="s">
        <v>9916</v>
      </c>
      <c r="AH1230" s="3" t="s">
        <v>9906</v>
      </c>
      <c r="AI1230" s="5" t="s">
        <v>10818</v>
      </c>
      <c r="AJ1230" s="5" t="s">
        <v>10819</v>
      </c>
      <c r="AK1230" s="3" t="s">
        <v>45</v>
      </c>
      <c r="AL1230" s="3" t="s">
        <v>45</v>
      </c>
      <c r="AM1230" s="3" t="s">
        <v>45</v>
      </c>
      <c r="AN1230" s="3" t="s">
        <v>45</v>
      </c>
      <c r="AO1230" s="3" t="s">
        <v>45</v>
      </c>
      <c r="AP1230" s="3" t="s">
        <v>45</v>
      </c>
      <c r="AQ1230" s="4" t="s">
        <v>9934</v>
      </c>
      <c r="AR1230" s="4" t="s">
        <v>9908</v>
      </c>
    </row>
    <row r="1231">
      <c r="A1231" s="3" t="s">
        <v>10820</v>
      </c>
      <c r="B1231" s="3" t="s">
        <v>10821</v>
      </c>
      <c r="C1231" s="3" t="s">
        <v>10809</v>
      </c>
      <c r="D1231" s="3" t="s">
        <v>9900</v>
      </c>
      <c r="E1231" s="4" t="s">
        <v>10810</v>
      </c>
      <c r="F1231" s="3" t="s">
        <v>10809</v>
      </c>
      <c r="G1231" s="4" t="s">
        <v>10822</v>
      </c>
      <c r="H1231" s="4" t="s">
        <v>10823</v>
      </c>
      <c r="I1231" s="3" t="s">
        <v>49</v>
      </c>
      <c r="J1231" s="3" t="s">
        <v>50</v>
      </c>
      <c r="K1231" s="3" t="s">
        <v>45</v>
      </c>
      <c r="L1231" s="3" t="s">
        <v>45</v>
      </c>
      <c r="M1231" s="3" t="s">
        <v>45</v>
      </c>
      <c r="N1231" s="3" t="s">
        <v>45</v>
      </c>
      <c r="O1231" s="3" t="s">
        <v>74</v>
      </c>
      <c r="P1231" s="3" t="s">
        <v>45</v>
      </c>
      <c r="Q1231" s="3" t="s">
        <v>45</v>
      </c>
      <c r="R1231" s="3" t="s">
        <v>45</v>
      </c>
      <c r="S1231" s="3" t="s">
        <v>45</v>
      </c>
      <c r="T1231" s="3" t="s">
        <v>45</v>
      </c>
      <c r="U1231" s="3" t="s">
        <v>45</v>
      </c>
      <c r="V1231" s="4" t="s">
        <v>2140</v>
      </c>
      <c r="W1231" s="4" t="s">
        <v>10824</v>
      </c>
      <c r="X1231" s="3" t="s">
        <v>45</v>
      </c>
      <c r="Y1231" s="3" t="s">
        <v>45</v>
      </c>
      <c r="Z1231" s="3" t="s">
        <v>74</v>
      </c>
      <c r="AA1231" s="3" t="s">
        <v>45</v>
      </c>
      <c r="AB1231" s="3" t="s">
        <v>45</v>
      </c>
      <c r="AC1231" s="3" t="s">
        <v>45</v>
      </c>
      <c r="AD1231" s="3" t="s">
        <v>45</v>
      </c>
      <c r="AE1231" s="3" t="s">
        <v>45</v>
      </c>
      <c r="AF1231" s="3" t="s">
        <v>45</v>
      </c>
      <c r="AG1231" s="3" t="s">
        <v>9916</v>
      </c>
      <c r="AH1231" s="3" t="s">
        <v>9906</v>
      </c>
      <c r="AI1231" s="5" t="s">
        <v>10825</v>
      </c>
      <c r="AJ1231" s="5" t="s">
        <v>10826</v>
      </c>
      <c r="AK1231" s="3" t="s">
        <v>45</v>
      </c>
      <c r="AL1231" s="3" t="s">
        <v>45</v>
      </c>
      <c r="AM1231" s="3" t="s">
        <v>45</v>
      </c>
      <c r="AN1231" s="3" t="s">
        <v>45</v>
      </c>
      <c r="AO1231" s="3" t="s">
        <v>45</v>
      </c>
      <c r="AP1231" s="3" t="s">
        <v>45</v>
      </c>
      <c r="AQ1231" s="4" t="s">
        <v>7223</v>
      </c>
      <c r="AR1231" s="4" t="s">
        <v>9908</v>
      </c>
    </row>
    <row r="1232">
      <c r="A1232" s="3" t="s">
        <v>10827</v>
      </c>
      <c r="B1232" s="3" t="s">
        <v>10828</v>
      </c>
      <c r="C1232" s="3" t="s">
        <v>10809</v>
      </c>
      <c r="D1232" s="3" t="s">
        <v>9900</v>
      </c>
      <c r="E1232" s="4" t="s">
        <v>10810</v>
      </c>
      <c r="F1232" s="3" t="s">
        <v>10809</v>
      </c>
      <c r="G1232" s="4" t="s">
        <v>10829</v>
      </c>
      <c r="H1232" s="4" t="s">
        <v>10830</v>
      </c>
      <c r="I1232" s="3" t="s">
        <v>49</v>
      </c>
      <c r="J1232" s="3" t="s">
        <v>50</v>
      </c>
      <c r="K1232" s="3" t="s">
        <v>45</v>
      </c>
      <c r="L1232" s="3" t="s">
        <v>45</v>
      </c>
      <c r="M1232" s="3" t="s">
        <v>45</v>
      </c>
      <c r="N1232" s="3" t="s">
        <v>10831</v>
      </c>
      <c r="O1232" s="3" t="s">
        <v>88</v>
      </c>
      <c r="P1232" s="3" t="s">
        <v>45</v>
      </c>
      <c r="Q1232" s="3" t="s">
        <v>45</v>
      </c>
      <c r="R1232" s="3" t="s">
        <v>45</v>
      </c>
      <c r="S1232" s="3" t="s">
        <v>45</v>
      </c>
      <c r="T1232" s="3" t="s">
        <v>45</v>
      </c>
      <c r="U1232" s="3" t="s">
        <v>45</v>
      </c>
      <c r="V1232" s="4" t="s">
        <v>2466</v>
      </c>
      <c r="W1232" s="3" t="s">
        <v>45</v>
      </c>
      <c r="X1232" s="3" t="s">
        <v>10832</v>
      </c>
      <c r="Y1232" s="3" t="s">
        <v>45</v>
      </c>
      <c r="Z1232" s="3" t="s">
        <v>74</v>
      </c>
      <c r="AA1232" s="3" t="s">
        <v>45</v>
      </c>
      <c r="AB1232" s="3" t="s">
        <v>45</v>
      </c>
      <c r="AC1232" s="3" t="s">
        <v>45</v>
      </c>
      <c r="AD1232" s="3" t="s">
        <v>45</v>
      </c>
      <c r="AE1232" s="3" t="s">
        <v>45</v>
      </c>
      <c r="AF1232" s="3" t="s">
        <v>45</v>
      </c>
      <c r="AG1232" s="3" t="s">
        <v>45</v>
      </c>
      <c r="AH1232" s="3" t="s">
        <v>57</v>
      </c>
      <c r="AI1232" s="5" t="s">
        <v>10833</v>
      </c>
      <c r="AJ1232" s="3" t="s">
        <v>45</v>
      </c>
      <c r="AK1232" s="3" t="s">
        <v>45</v>
      </c>
      <c r="AL1232" s="3" t="s">
        <v>45</v>
      </c>
      <c r="AM1232" s="3" t="s">
        <v>45</v>
      </c>
      <c r="AN1232" s="3" t="s">
        <v>45</v>
      </c>
      <c r="AO1232" s="3" t="s">
        <v>45</v>
      </c>
      <c r="AP1232" s="3" t="s">
        <v>45</v>
      </c>
      <c r="AQ1232" s="4" t="s">
        <v>1085</v>
      </c>
      <c r="AR1232" s="4" t="s">
        <v>1085</v>
      </c>
    </row>
    <row r="1233">
      <c r="A1233" s="3" t="s">
        <v>10834</v>
      </c>
      <c r="B1233" s="3" t="s">
        <v>10835</v>
      </c>
      <c r="C1233" s="3" t="s">
        <v>10809</v>
      </c>
      <c r="D1233" s="3" t="s">
        <v>9900</v>
      </c>
      <c r="E1233" s="4" t="s">
        <v>10810</v>
      </c>
      <c r="F1233" s="3" t="s">
        <v>10809</v>
      </c>
      <c r="G1233" s="4" t="s">
        <v>10836</v>
      </c>
      <c r="H1233" s="4" t="s">
        <v>10837</v>
      </c>
      <c r="I1233" s="3" t="s">
        <v>49</v>
      </c>
      <c r="J1233" s="3" t="s">
        <v>50</v>
      </c>
      <c r="K1233" s="3" t="s">
        <v>45</v>
      </c>
      <c r="L1233" s="3" t="s">
        <v>45</v>
      </c>
      <c r="M1233" s="3" t="s">
        <v>45</v>
      </c>
      <c r="N1233" s="3" t="s">
        <v>45</v>
      </c>
      <c r="O1233" s="3" t="s">
        <v>74</v>
      </c>
      <c r="P1233" s="3" t="s">
        <v>45</v>
      </c>
      <c r="Q1233" s="3" t="s">
        <v>45</v>
      </c>
      <c r="R1233" s="3" t="s">
        <v>45</v>
      </c>
      <c r="S1233" s="3" t="s">
        <v>45</v>
      </c>
      <c r="T1233" s="3" t="s">
        <v>45</v>
      </c>
      <c r="U1233" s="3" t="s">
        <v>45</v>
      </c>
      <c r="V1233" s="4" t="s">
        <v>1823</v>
      </c>
      <c r="W1233" s="4" t="s">
        <v>5323</v>
      </c>
      <c r="X1233" s="3" t="s">
        <v>45</v>
      </c>
      <c r="Y1233" s="3" t="s">
        <v>45</v>
      </c>
      <c r="Z1233" s="3" t="s">
        <v>74</v>
      </c>
      <c r="AA1233" s="3" t="s">
        <v>45</v>
      </c>
      <c r="AB1233" s="3" t="s">
        <v>45</v>
      </c>
      <c r="AC1233" s="3" t="s">
        <v>45</v>
      </c>
      <c r="AD1233" s="3" t="s">
        <v>45</v>
      </c>
      <c r="AE1233" s="3" t="s">
        <v>45</v>
      </c>
      <c r="AF1233" s="3" t="s">
        <v>45</v>
      </c>
      <c r="AG1233" s="3" t="s">
        <v>9916</v>
      </c>
      <c r="AH1233" s="3" t="s">
        <v>9906</v>
      </c>
      <c r="AI1233" s="5" t="s">
        <v>10838</v>
      </c>
      <c r="AJ1233" s="5" t="s">
        <v>10839</v>
      </c>
      <c r="AK1233" s="3" t="s">
        <v>45</v>
      </c>
      <c r="AL1233" s="3" t="s">
        <v>45</v>
      </c>
      <c r="AM1233" s="3" t="s">
        <v>45</v>
      </c>
      <c r="AN1233" s="3" t="s">
        <v>45</v>
      </c>
      <c r="AO1233" s="3" t="s">
        <v>45</v>
      </c>
      <c r="AP1233" s="3" t="s">
        <v>45</v>
      </c>
      <c r="AQ1233" s="4" t="s">
        <v>7223</v>
      </c>
      <c r="AR1233" s="4" t="s">
        <v>9908</v>
      </c>
    </row>
    <row r="1234">
      <c r="A1234" s="3" t="s">
        <v>1521</v>
      </c>
      <c r="B1234" s="3" t="s">
        <v>10840</v>
      </c>
      <c r="C1234" s="3" t="s">
        <v>10809</v>
      </c>
      <c r="D1234" s="3" t="s">
        <v>9900</v>
      </c>
      <c r="E1234" s="4" t="s">
        <v>10810</v>
      </c>
      <c r="F1234" s="3" t="s">
        <v>10809</v>
      </c>
      <c r="G1234" s="4" t="s">
        <v>10841</v>
      </c>
      <c r="H1234" s="4" t="s">
        <v>10842</v>
      </c>
      <c r="I1234" s="3" t="s">
        <v>49</v>
      </c>
      <c r="J1234" s="3" t="s">
        <v>126</v>
      </c>
      <c r="K1234" s="3" t="s">
        <v>45</v>
      </c>
      <c r="L1234" s="3" t="s">
        <v>45</v>
      </c>
      <c r="M1234" s="3" t="s">
        <v>45</v>
      </c>
      <c r="N1234" s="3" t="s">
        <v>45</v>
      </c>
      <c r="O1234" s="3" t="s">
        <v>74</v>
      </c>
      <c r="P1234" s="3" t="s">
        <v>45</v>
      </c>
      <c r="Q1234" s="3" t="s">
        <v>45</v>
      </c>
      <c r="R1234" s="3" t="s">
        <v>45</v>
      </c>
      <c r="S1234" s="3" t="s">
        <v>45</v>
      </c>
      <c r="T1234" s="3" t="s">
        <v>45</v>
      </c>
      <c r="U1234" s="3" t="s">
        <v>45</v>
      </c>
      <c r="V1234" s="4" t="s">
        <v>10843</v>
      </c>
      <c r="W1234" s="4" t="s">
        <v>10361</v>
      </c>
      <c r="X1234" s="3" t="s">
        <v>45</v>
      </c>
      <c r="Y1234" s="3" t="s">
        <v>45</v>
      </c>
      <c r="Z1234" s="3" t="s">
        <v>74</v>
      </c>
      <c r="AA1234" s="3" t="s">
        <v>45</v>
      </c>
      <c r="AB1234" s="3" t="s">
        <v>45</v>
      </c>
      <c r="AC1234" s="3" t="s">
        <v>45</v>
      </c>
      <c r="AD1234" s="3" t="s">
        <v>45</v>
      </c>
      <c r="AE1234" s="3" t="s">
        <v>45</v>
      </c>
      <c r="AF1234" s="3" t="s">
        <v>45</v>
      </c>
      <c r="AG1234" s="3" t="s">
        <v>45</v>
      </c>
      <c r="AH1234" s="3" t="s">
        <v>9906</v>
      </c>
      <c r="AI1234" s="5" t="s">
        <v>10844</v>
      </c>
      <c r="AJ1234" s="5" t="s">
        <v>10845</v>
      </c>
      <c r="AK1234" s="3" t="s">
        <v>45</v>
      </c>
      <c r="AL1234" s="3" t="s">
        <v>45</v>
      </c>
      <c r="AM1234" s="3" t="s">
        <v>45</v>
      </c>
      <c r="AN1234" s="3" t="s">
        <v>45</v>
      </c>
      <c r="AO1234" s="3" t="s">
        <v>45</v>
      </c>
      <c r="AP1234" s="3" t="s">
        <v>45</v>
      </c>
      <c r="AQ1234" s="4" t="s">
        <v>7223</v>
      </c>
      <c r="AR1234" s="4" t="s">
        <v>9908</v>
      </c>
    </row>
    <row r="1235">
      <c r="A1235" s="3" t="s">
        <v>8583</v>
      </c>
      <c r="B1235" s="3" t="s">
        <v>10846</v>
      </c>
      <c r="C1235" s="3" t="s">
        <v>10809</v>
      </c>
      <c r="D1235" s="3" t="s">
        <v>9900</v>
      </c>
      <c r="E1235" s="4" t="s">
        <v>10810</v>
      </c>
      <c r="F1235" s="3" t="s">
        <v>10809</v>
      </c>
      <c r="G1235" s="4" t="s">
        <v>10847</v>
      </c>
      <c r="H1235" s="4" t="s">
        <v>10848</v>
      </c>
      <c r="I1235" s="3" t="s">
        <v>85</v>
      </c>
      <c r="J1235" s="3" t="s">
        <v>126</v>
      </c>
      <c r="K1235" s="3" t="s">
        <v>45</v>
      </c>
      <c r="L1235" s="3" t="s">
        <v>855</v>
      </c>
      <c r="M1235" s="3" t="s">
        <v>45</v>
      </c>
      <c r="N1235" s="3" t="s">
        <v>45</v>
      </c>
      <c r="O1235" s="3" t="s">
        <v>74</v>
      </c>
      <c r="P1235" s="3" t="s">
        <v>45</v>
      </c>
      <c r="Q1235" s="3" t="s">
        <v>45</v>
      </c>
      <c r="R1235" s="3" t="s">
        <v>45</v>
      </c>
      <c r="S1235" s="3" t="s">
        <v>45</v>
      </c>
      <c r="T1235" s="3" t="s">
        <v>45</v>
      </c>
      <c r="U1235" s="3" t="s">
        <v>45</v>
      </c>
      <c r="V1235" s="4" t="s">
        <v>10849</v>
      </c>
      <c r="W1235" s="4" t="s">
        <v>2608</v>
      </c>
      <c r="X1235" s="3" t="s">
        <v>45</v>
      </c>
      <c r="Y1235" s="3" t="s">
        <v>45</v>
      </c>
      <c r="Z1235" s="3" t="s">
        <v>74</v>
      </c>
      <c r="AA1235" s="3" t="s">
        <v>45</v>
      </c>
      <c r="AB1235" s="3" t="s">
        <v>45</v>
      </c>
      <c r="AC1235" s="3" t="s">
        <v>45</v>
      </c>
      <c r="AD1235" s="3" t="s">
        <v>45</v>
      </c>
      <c r="AE1235" s="3" t="s">
        <v>45</v>
      </c>
      <c r="AF1235" s="3" t="s">
        <v>45</v>
      </c>
      <c r="AG1235" s="3" t="s">
        <v>45</v>
      </c>
      <c r="AH1235" s="3" t="s">
        <v>57</v>
      </c>
      <c r="AI1235" s="5" t="s">
        <v>10850</v>
      </c>
      <c r="AJ1235" s="3" t="s">
        <v>45</v>
      </c>
      <c r="AK1235" s="3" t="s">
        <v>45</v>
      </c>
      <c r="AL1235" s="3" t="s">
        <v>45</v>
      </c>
      <c r="AM1235" s="3" t="s">
        <v>45</v>
      </c>
      <c r="AN1235" s="3" t="s">
        <v>45</v>
      </c>
      <c r="AO1235" s="3" t="s">
        <v>45</v>
      </c>
      <c r="AP1235" s="3" t="s">
        <v>45</v>
      </c>
      <c r="AQ1235" s="4" t="s">
        <v>1085</v>
      </c>
      <c r="AR1235" s="4" t="s">
        <v>1085</v>
      </c>
    </row>
    <row r="1236">
      <c r="A1236" s="3" t="s">
        <v>10851</v>
      </c>
      <c r="B1236" s="3" t="s">
        <v>10852</v>
      </c>
      <c r="C1236" s="3" t="s">
        <v>10809</v>
      </c>
      <c r="D1236" s="3" t="s">
        <v>9900</v>
      </c>
      <c r="E1236" s="4" t="s">
        <v>10810</v>
      </c>
      <c r="F1236" s="3" t="s">
        <v>10809</v>
      </c>
      <c r="G1236" s="4" t="s">
        <v>10853</v>
      </c>
      <c r="H1236" s="4" t="s">
        <v>10854</v>
      </c>
      <c r="I1236" s="3" t="s">
        <v>49</v>
      </c>
      <c r="J1236" s="3" t="s">
        <v>126</v>
      </c>
      <c r="K1236" s="3" t="s">
        <v>45</v>
      </c>
      <c r="L1236" s="3" t="s">
        <v>45</v>
      </c>
      <c r="M1236" s="3" t="s">
        <v>45</v>
      </c>
      <c r="N1236" s="3" t="s">
        <v>45</v>
      </c>
      <c r="O1236" s="3" t="s">
        <v>74</v>
      </c>
      <c r="P1236" s="3" t="s">
        <v>45</v>
      </c>
      <c r="Q1236" s="3" t="s">
        <v>45</v>
      </c>
      <c r="R1236" s="3" t="s">
        <v>45</v>
      </c>
      <c r="S1236" s="3" t="s">
        <v>45</v>
      </c>
      <c r="T1236" s="3" t="s">
        <v>45</v>
      </c>
      <c r="U1236" s="3" t="s">
        <v>45</v>
      </c>
      <c r="V1236" s="4" t="s">
        <v>10855</v>
      </c>
      <c r="W1236" s="4" t="s">
        <v>681</v>
      </c>
      <c r="X1236" s="3" t="s">
        <v>45</v>
      </c>
      <c r="Y1236" s="3" t="s">
        <v>45</v>
      </c>
      <c r="Z1236" s="3" t="s">
        <v>74</v>
      </c>
      <c r="AA1236" s="3" t="s">
        <v>45</v>
      </c>
      <c r="AB1236" s="3" t="s">
        <v>45</v>
      </c>
      <c r="AC1236" s="3" t="s">
        <v>45</v>
      </c>
      <c r="AD1236" s="3" t="s">
        <v>45</v>
      </c>
      <c r="AE1236" s="3" t="s">
        <v>45</v>
      </c>
      <c r="AF1236" s="3" t="s">
        <v>45</v>
      </c>
      <c r="AG1236" s="3" t="s">
        <v>10856</v>
      </c>
      <c r="AH1236" s="3" t="s">
        <v>9906</v>
      </c>
      <c r="AI1236" s="5" t="s">
        <v>10857</v>
      </c>
      <c r="AJ1236" s="3" t="s">
        <v>45</v>
      </c>
      <c r="AK1236" s="3" t="s">
        <v>45</v>
      </c>
      <c r="AL1236" s="3" t="s">
        <v>45</v>
      </c>
      <c r="AM1236" s="3" t="s">
        <v>45</v>
      </c>
      <c r="AN1236" s="3" t="s">
        <v>45</v>
      </c>
      <c r="AO1236" s="3" t="s">
        <v>45</v>
      </c>
      <c r="AP1236" s="3" t="s">
        <v>45</v>
      </c>
      <c r="AQ1236" s="4" t="s">
        <v>7223</v>
      </c>
      <c r="AR1236" s="4" t="s">
        <v>9908</v>
      </c>
    </row>
    <row r="1237">
      <c r="A1237" s="3" t="s">
        <v>10858</v>
      </c>
      <c r="B1237" s="3" t="s">
        <v>10859</v>
      </c>
      <c r="C1237" s="3" t="s">
        <v>10809</v>
      </c>
      <c r="D1237" s="3" t="s">
        <v>9900</v>
      </c>
      <c r="E1237" s="4" t="s">
        <v>10810</v>
      </c>
      <c r="F1237" s="3" t="s">
        <v>10809</v>
      </c>
      <c r="G1237" s="4" t="s">
        <v>10860</v>
      </c>
      <c r="H1237" s="4" t="s">
        <v>10861</v>
      </c>
      <c r="I1237" s="3" t="s">
        <v>85</v>
      </c>
      <c r="J1237" s="3" t="s">
        <v>50</v>
      </c>
      <c r="K1237" s="3" t="s">
        <v>45</v>
      </c>
      <c r="L1237" s="3" t="s">
        <v>45</v>
      </c>
      <c r="M1237" s="3" t="s">
        <v>45</v>
      </c>
      <c r="N1237" s="3" t="s">
        <v>45</v>
      </c>
      <c r="O1237" s="3" t="s">
        <v>74</v>
      </c>
      <c r="P1237" s="3" t="s">
        <v>45</v>
      </c>
      <c r="Q1237" s="3" t="s">
        <v>45</v>
      </c>
      <c r="R1237" s="3" t="s">
        <v>45</v>
      </c>
      <c r="S1237" s="3" t="s">
        <v>45</v>
      </c>
      <c r="T1237" s="3" t="s">
        <v>45</v>
      </c>
      <c r="U1237" s="3" t="s">
        <v>45</v>
      </c>
      <c r="V1237" s="4" t="s">
        <v>10862</v>
      </c>
      <c r="W1237" s="4" t="s">
        <v>2608</v>
      </c>
      <c r="X1237" s="3" t="s">
        <v>45</v>
      </c>
      <c r="Y1237" s="3" t="s">
        <v>45</v>
      </c>
      <c r="Z1237" s="3" t="s">
        <v>74</v>
      </c>
      <c r="AA1237" s="3" t="s">
        <v>45</v>
      </c>
      <c r="AB1237" s="3" t="s">
        <v>45</v>
      </c>
      <c r="AC1237" s="3" t="s">
        <v>45</v>
      </c>
      <c r="AD1237" s="3" t="s">
        <v>45</v>
      </c>
      <c r="AE1237" s="3" t="s">
        <v>45</v>
      </c>
      <c r="AF1237" s="3" t="s">
        <v>45</v>
      </c>
      <c r="AG1237" s="3" t="s">
        <v>45</v>
      </c>
      <c r="AH1237" s="3" t="s">
        <v>9906</v>
      </c>
      <c r="AI1237" s="5" t="s">
        <v>10863</v>
      </c>
      <c r="AJ1237" s="3" t="s">
        <v>45</v>
      </c>
      <c r="AK1237" s="3" t="s">
        <v>45</v>
      </c>
      <c r="AL1237" s="3" t="s">
        <v>45</v>
      </c>
      <c r="AM1237" s="3" t="s">
        <v>45</v>
      </c>
      <c r="AN1237" s="3" t="s">
        <v>45</v>
      </c>
      <c r="AO1237" s="3" t="s">
        <v>45</v>
      </c>
      <c r="AP1237" s="3" t="s">
        <v>45</v>
      </c>
      <c r="AQ1237" s="4" t="s">
        <v>7223</v>
      </c>
      <c r="AR1237" s="4" t="s">
        <v>9908</v>
      </c>
    </row>
    <row r="1238">
      <c r="A1238" s="3" t="s">
        <v>10864</v>
      </c>
      <c r="B1238" s="3" t="s">
        <v>10865</v>
      </c>
      <c r="C1238" s="3" t="s">
        <v>10809</v>
      </c>
      <c r="D1238" s="3" t="s">
        <v>9900</v>
      </c>
      <c r="E1238" s="4" t="s">
        <v>10810</v>
      </c>
      <c r="F1238" s="3" t="s">
        <v>10809</v>
      </c>
      <c r="G1238" s="4" t="s">
        <v>10866</v>
      </c>
      <c r="H1238" s="4" t="s">
        <v>10867</v>
      </c>
      <c r="I1238" s="3" t="s">
        <v>49</v>
      </c>
      <c r="J1238" s="3" t="s">
        <v>126</v>
      </c>
      <c r="K1238" s="3" t="s">
        <v>45</v>
      </c>
      <c r="L1238" s="3" t="s">
        <v>45</v>
      </c>
      <c r="M1238" s="3" t="s">
        <v>45</v>
      </c>
      <c r="N1238" s="3" t="s">
        <v>45</v>
      </c>
      <c r="O1238" s="3" t="s">
        <v>74</v>
      </c>
      <c r="P1238" s="3" t="s">
        <v>45</v>
      </c>
      <c r="Q1238" s="3" t="s">
        <v>45</v>
      </c>
      <c r="R1238" s="3" t="s">
        <v>45</v>
      </c>
      <c r="S1238" s="3" t="s">
        <v>45</v>
      </c>
      <c r="T1238" s="3" t="s">
        <v>45</v>
      </c>
      <c r="U1238" s="3" t="s">
        <v>45</v>
      </c>
      <c r="V1238" s="4" t="s">
        <v>10868</v>
      </c>
      <c r="W1238" s="4" t="s">
        <v>9384</v>
      </c>
      <c r="X1238" s="3" t="s">
        <v>45</v>
      </c>
      <c r="Y1238" s="3" t="s">
        <v>45</v>
      </c>
      <c r="Z1238" s="3" t="s">
        <v>74</v>
      </c>
      <c r="AA1238" s="3" t="s">
        <v>45</v>
      </c>
      <c r="AB1238" s="3" t="s">
        <v>45</v>
      </c>
      <c r="AC1238" s="3" t="s">
        <v>45</v>
      </c>
      <c r="AD1238" s="3" t="s">
        <v>45</v>
      </c>
      <c r="AE1238" s="3" t="s">
        <v>45</v>
      </c>
      <c r="AF1238" s="3" t="s">
        <v>45</v>
      </c>
      <c r="AG1238" s="3" t="s">
        <v>10856</v>
      </c>
      <c r="AH1238" s="3" t="s">
        <v>9906</v>
      </c>
      <c r="AI1238" s="5" t="s">
        <v>10869</v>
      </c>
      <c r="AJ1238" s="3" t="s">
        <v>45</v>
      </c>
      <c r="AK1238" s="3" t="s">
        <v>45</v>
      </c>
      <c r="AL1238" s="3" t="s">
        <v>45</v>
      </c>
      <c r="AM1238" s="3" t="s">
        <v>45</v>
      </c>
      <c r="AN1238" s="3" t="s">
        <v>45</v>
      </c>
      <c r="AO1238" s="3" t="s">
        <v>45</v>
      </c>
      <c r="AP1238" s="3" t="s">
        <v>45</v>
      </c>
      <c r="AQ1238" s="4" t="s">
        <v>7223</v>
      </c>
      <c r="AR1238" s="4" t="s">
        <v>9908</v>
      </c>
    </row>
    <row r="1239">
      <c r="A1239" s="3" t="s">
        <v>10870</v>
      </c>
      <c r="B1239" s="3" t="s">
        <v>10871</v>
      </c>
      <c r="C1239" s="3" t="s">
        <v>10872</v>
      </c>
      <c r="D1239" s="3" t="s">
        <v>9900</v>
      </c>
      <c r="E1239" s="4" t="s">
        <v>10873</v>
      </c>
      <c r="F1239" s="3" t="s">
        <v>10874</v>
      </c>
      <c r="G1239" s="4" t="s">
        <v>10875</v>
      </c>
      <c r="H1239" s="4" t="s">
        <v>10876</v>
      </c>
      <c r="I1239" s="3" t="s">
        <v>49</v>
      </c>
      <c r="J1239" s="3" t="s">
        <v>126</v>
      </c>
      <c r="K1239" s="3" t="s">
        <v>45</v>
      </c>
      <c r="L1239" s="3" t="s">
        <v>45</v>
      </c>
      <c r="M1239" s="3" t="s">
        <v>45</v>
      </c>
      <c r="N1239" s="3" t="s">
        <v>45</v>
      </c>
      <c r="O1239" s="3" t="s">
        <v>74</v>
      </c>
      <c r="P1239" s="3" t="s">
        <v>45</v>
      </c>
      <c r="Q1239" s="3" t="s">
        <v>45</v>
      </c>
      <c r="R1239" s="3" t="s">
        <v>45</v>
      </c>
      <c r="S1239" s="3" t="s">
        <v>45</v>
      </c>
      <c r="T1239" s="3" t="s">
        <v>45</v>
      </c>
      <c r="U1239" s="3" t="s">
        <v>45</v>
      </c>
      <c r="V1239" s="3" t="s">
        <v>45</v>
      </c>
      <c r="W1239" s="4" t="s">
        <v>10877</v>
      </c>
      <c r="X1239" s="3" t="s">
        <v>45</v>
      </c>
      <c r="Y1239" s="3" t="s">
        <v>45</v>
      </c>
      <c r="Z1239" s="3" t="s">
        <v>74</v>
      </c>
      <c r="AA1239" s="3" t="s">
        <v>45</v>
      </c>
      <c r="AB1239" s="3" t="s">
        <v>45</v>
      </c>
      <c r="AC1239" s="3" t="s">
        <v>45</v>
      </c>
      <c r="AD1239" s="3" t="s">
        <v>45</v>
      </c>
      <c r="AE1239" s="3" t="s">
        <v>45</v>
      </c>
      <c r="AF1239" s="3" t="s">
        <v>45</v>
      </c>
      <c r="AG1239" s="3" t="s">
        <v>10878</v>
      </c>
      <c r="AH1239" s="3" t="s">
        <v>9906</v>
      </c>
      <c r="AI1239" s="5" t="s">
        <v>10879</v>
      </c>
      <c r="AJ1239" s="5" t="s">
        <v>10880</v>
      </c>
      <c r="AK1239" s="3" t="s">
        <v>45</v>
      </c>
      <c r="AL1239" s="3" t="s">
        <v>45</v>
      </c>
      <c r="AM1239" s="3" t="s">
        <v>45</v>
      </c>
      <c r="AN1239" s="3" t="s">
        <v>45</v>
      </c>
      <c r="AO1239" s="3" t="s">
        <v>45</v>
      </c>
      <c r="AP1239" s="3" t="s">
        <v>45</v>
      </c>
      <c r="AQ1239" s="4" t="s">
        <v>10881</v>
      </c>
      <c r="AR1239" s="4" t="s">
        <v>9908</v>
      </c>
    </row>
    <row r="1240">
      <c r="A1240" s="3" t="s">
        <v>10882</v>
      </c>
      <c r="B1240" s="3" t="s">
        <v>10883</v>
      </c>
      <c r="C1240" s="3" t="s">
        <v>10884</v>
      </c>
      <c r="D1240" s="3" t="s">
        <v>9900</v>
      </c>
      <c r="E1240" s="4" t="s">
        <v>10885</v>
      </c>
      <c r="F1240" s="3" t="s">
        <v>10886</v>
      </c>
      <c r="G1240" s="4" t="s">
        <v>10887</v>
      </c>
      <c r="H1240" s="4" t="s">
        <v>10888</v>
      </c>
      <c r="I1240" s="3" t="s">
        <v>85</v>
      </c>
      <c r="J1240" s="3" t="s">
        <v>126</v>
      </c>
      <c r="K1240" s="3" t="s">
        <v>45</v>
      </c>
      <c r="L1240" s="3" t="s">
        <v>10889</v>
      </c>
      <c r="M1240" s="3" t="s">
        <v>45</v>
      </c>
      <c r="N1240" s="3" t="s">
        <v>45</v>
      </c>
      <c r="O1240" s="3" t="s">
        <v>74</v>
      </c>
      <c r="P1240" s="3" t="s">
        <v>45</v>
      </c>
      <c r="Q1240" s="3" t="s">
        <v>45</v>
      </c>
      <c r="R1240" s="3" t="s">
        <v>45</v>
      </c>
      <c r="S1240" s="3" t="s">
        <v>45</v>
      </c>
      <c r="T1240" s="3" t="s">
        <v>45</v>
      </c>
      <c r="U1240" s="3" t="s">
        <v>45</v>
      </c>
      <c r="V1240" s="4" t="s">
        <v>10890</v>
      </c>
      <c r="W1240" s="4" t="s">
        <v>233</v>
      </c>
      <c r="X1240" s="3" t="s">
        <v>45</v>
      </c>
      <c r="Y1240" s="3" t="s">
        <v>45</v>
      </c>
      <c r="Z1240" s="3" t="s">
        <v>74</v>
      </c>
      <c r="AA1240" s="3" t="s">
        <v>45</v>
      </c>
      <c r="AB1240" s="3" t="s">
        <v>45</v>
      </c>
      <c r="AC1240" s="3" t="s">
        <v>45</v>
      </c>
      <c r="AD1240" s="3" t="s">
        <v>45</v>
      </c>
      <c r="AE1240" s="3" t="s">
        <v>45</v>
      </c>
      <c r="AF1240" s="3" t="s">
        <v>45</v>
      </c>
      <c r="AG1240" s="3" t="s">
        <v>45</v>
      </c>
      <c r="AH1240" s="3" t="s">
        <v>9906</v>
      </c>
      <c r="AI1240" s="5" t="s">
        <v>10891</v>
      </c>
      <c r="AJ1240" s="5" t="s">
        <v>10892</v>
      </c>
      <c r="AK1240" s="3" t="s">
        <v>45</v>
      </c>
      <c r="AL1240" s="3" t="s">
        <v>45</v>
      </c>
      <c r="AM1240" s="3" t="s">
        <v>45</v>
      </c>
      <c r="AN1240" s="3" t="s">
        <v>45</v>
      </c>
      <c r="AO1240" s="3" t="s">
        <v>45</v>
      </c>
      <c r="AP1240" s="3" t="s">
        <v>45</v>
      </c>
      <c r="AQ1240" s="4" t="s">
        <v>9934</v>
      </c>
      <c r="AR1240" s="4" t="s">
        <v>9908</v>
      </c>
    </row>
    <row r="1241">
      <c r="A1241" s="3" t="s">
        <v>10893</v>
      </c>
      <c r="B1241" s="3" t="s">
        <v>10894</v>
      </c>
      <c r="C1241" s="3" t="s">
        <v>10884</v>
      </c>
      <c r="D1241" s="3" t="s">
        <v>9900</v>
      </c>
      <c r="E1241" s="4" t="s">
        <v>10885</v>
      </c>
      <c r="F1241" s="3" t="s">
        <v>10886</v>
      </c>
      <c r="G1241" s="4" t="s">
        <v>10895</v>
      </c>
      <c r="H1241" s="4" t="s">
        <v>10896</v>
      </c>
      <c r="I1241" s="3" t="s">
        <v>49</v>
      </c>
      <c r="J1241" s="3" t="s">
        <v>126</v>
      </c>
      <c r="K1241" s="3" t="s">
        <v>45</v>
      </c>
      <c r="L1241" s="3" t="s">
        <v>10897</v>
      </c>
      <c r="M1241" s="3" t="s">
        <v>45</v>
      </c>
      <c r="N1241" s="3" t="s">
        <v>45</v>
      </c>
      <c r="O1241" s="3" t="s">
        <v>74</v>
      </c>
      <c r="P1241" s="3" t="s">
        <v>45</v>
      </c>
      <c r="Q1241" s="3" t="s">
        <v>45</v>
      </c>
      <c r="R1241" s="3" t="s">
        <v>45</v>
      </c>
      <c r="S1241" s="3" t="s">
        <v>45</v>
      </c>
      <c r="T1241" s="3" t="s">
        <v>45</v>
      </c>
      <c r="U1241" s="3" t="s">
        <v>45</v>
      </c>
      <c r="V1241" s="3" t="s">
        <v>45</v>
      </c>
      <c r="W1241" s="4" t="s">
        <v>5932</v>
      </c>
      <c r="X1241" s="3" t="s">
        <v>45</v>
      </c>
      <c r="Y1241" s="3" t="s">
        <v>45</v>
      </c>
      <c r="Z1241" s="3" t="s">
        <v>74</v>
      </c>
      <c r="AA1241" s="3" t="s">
        <v>45</v>
      </c>
      <c r="AB1241" s="3" t="s">
        <v>45</v>
      </c>
      <c r="AC1241" s="3" t="s">
        <v>45</v>
      </c>
      <c r="AD1241" s="3" t="s">
        <v>45</v>
      </c>
      <c r="AE1241" s="3" t="s">
        <v>45</v>
      </c>
      <c r="AF1241" s="3" t="s">
        <v>45</v>
      </c>
      <c r="AG1241" s="3" t="s">
        <v>45</v>
      </c>
      <c r="AH1241" s="3" t="s">
        <v>9906</v>
      </c>
      <c r="AI1241" s="5" t="s">
        <v>10898</v>
      </c>
      <c r="AJ1241" s="5" t="s">
        <v>10899</v>
      </c>
      <c r="AK1241" s="3" t="s">
        <v>45</v>
      </c>
      <c r="AL1241" s="3" t="s">
        <v>45</v>
      </c>
      <c r="AM1241" s="3" t="s">
        <v>45</v>
      </c>
      <c r="AN1241" s="3" t="s">
        <v>45</v>
      </c>
      <c r="AO1241" s="3" t="s">
        <v>45</v>
      </c>
      <c r="AP1241" s="3" t="s">
        <v>45</v>
      </c>
      <c r="AQ1241" s="4" t="s">
        <v>9934</v>
      </c>
      <c r="AR1241" s="4" t="s">
        <v>9908</v>
      </c>
    </row>
    <row r="1242">
      <c r="A1242" s="3" t="s">
        <v>10900</v>
      </c>
      <c r="B1242" s="3" t="s">
        <v>10901</v>
      </c>
      <c r="C1242" s="3" t="s">
        <v>10902</v>
      </c>
      <c r="D1242" s="3" t="s">
        <v>9900</v>
      </c>
      <c r="E1242" s="4" t="s">
        <v>10097</v>
      </c>
      <c r="F1242" s="3" t="s">
        <v>9928</v>
      </c>
      <c r="G1242" s="4" t="s">
        <v>10903</v>
      </c>
      <c r="H1242" s="4" t="s">
        <v>10904</v>
      </c>
      <c r="I1242" s="3" t="s">
        <v>85</v>
      </c>
      <c r="J1242" s="3" t="s">
        <v>126</v>
      </c>
      <c r="K1242" s="3" t="s">
        <v>45</v>
      </c>
      <c r="L1242" s="3" t="s">
        <v>10905</v>
      </c>
      <c r="M1242" s="3" t="s">
        <v>45</v>
      </c>
      <c r="N1242" s="3" t="s">
        <v>45</v>
      </c>
      <c r="O1242" s="3" t="s">
        <v>74</v>
      </c>
      <c r="P1242" s="3" t="s">
        <v>45</v>
      </c>
      <c r="Q1242" s="3" t="s">
        <v>45</v>
      </c>
      <c r="R1242" s="3" t="s">
        <v>45</v>
      </c>
      <c r="S1242" s="3" t="s">
        <v>45</v>
      </c>
      <c r="T1242" s="3" t="s">
        <v>45</v>
      </c>
      <c r="U1242" s="3" t="s">
        <v>45</v>
      </c>
      <c r="V1242" s="4" t="s">
        <v>10906</v>
      </c>
      <c r="W1242" s="4" t="s">
        <v>4432</v>
      </c>
      <c r="X1242" s="3" t="s">
        <v>45</v>
      </c>
      <c r="Y1242" s="3" t="s">
        <v>45</v>
      </c>
      <c r="Z1242" s="3" t="s">
        <v>74</v>
      </c>
      <c r="AA1242" s="3" t="s">
        <v>45</v>
      </c>
      <c r="AB1242" s="3" t="s">
        <v>45</v>
      </c>
      <c r="AC1242" s="3" t="s">
        <v>45</v>
      </c>
      <c r="AD1242" s="3" t="s">
        <v>45</v>
      </c>
      <c r="AE1242" s="3" t="s">
        <v>45</v>
      </c>
      <c r="AF1242" s="3" t="s">
        <v>45</v>
      </c>
      <c r="AG1242" s="3" t="s">
        <v>9932</v>
      </c>
      <c r="AH1242" s="3" t="s">
        <v>9906</v>
      </c>
      <c r="AI1242" s="5" t="s">
        <v>10907</v>
      </c>
      <c r="AJ1242" s="3" t="s">
        <v>45</v>
      </c>
      <c r="AK1242" s="3" t="s">
        <v>45</v>
      </c>
      <c r="AL1242" s="3" t="s">
        <v>45</v>
      </c>
      <c r="AM1242" s="3" t="s">
        <v>45</v>
      </c>
      <c r="AN1242" s="3" t="s">
        <v>45</v>
      </c>
      <c r="AO1242" s="3" t="s">
        <v>45</v>
      </c>
      <c r="AP1242" s="3" t="s">
        <v>45</v>
      </c>
      <c r="AQ1242" s="4" t="s">
        <v>9934</v>
      </c>
      <c r="AR1242" s="4" t="s">
        <v>9908</v>
      </c>
    </row>
    <row r="1243">
      <c r="A1243" s="3" t="s">
        <v>10908</v>
      </c>
      <c r="B1243" s="3" t="s">
        <v>10909</v>
      </c>
      <c r="C1243" s="3" t="s">
        <v>10902</v>
      </c>
      <c r="D1243" s="3" t="s">
        <v>9900</v>
      </c>
      <c r="E1243" s="4" t="s">
        <v>10097</v>
      </c>
      <c r="F1243" s="3" t="s">
        <v>9928</v>
      </c>
      <c r="G1243" s="4" t="s">
        <v>10910</v>
      </c>
      <c r="H1243" s="4" t="s">
        <v>10911</v>
      </c>
      <c r="I1243" s="3" t="s">
        <v>85</v>
      </c>
      <c r="J1243" s="3" t="s">
        <v>126</v>
      </c>
      <c r="K1243" s="3" t="s">
        <v>45</v>
      </c>
      <c r="L1243" s="3" t="s">
        <v>479</v>
      </c>
      <c r="M1243" s="3" t="s">
        <v>45</v>
      </c>
      <c r="N1243" s="3" t="s">
        <v>45</v>
      </c>
      <c r="O1243" s="3" t="s">
        <v>74</v>
      </c>
      <c r="P1243" s="3" t="s">
        <v>45</v>
      </c>
      <c r="Q1243" s="3" t="s">
        <v>45</v>
      </c>
      <c r="R1243" s="3" t="s">
        <v>45</v>
      </c>
      <c r="S1243" s="3" t="s">
        <v>45</v>
      </c>
      <c r="T1243" s="3" t="s">
        <v>45</v>
      </c>
      <c r="U1243" s="3" t="s">
        <v>45</v>
      </c>
      <c r="V1243" s="4" t="s">
        <v>10912</v>
      </c>
      <c r="W1243" s="4" t="s">
        <v>880</v>
      </c>
      <c r="X1243" s="3" t="s">
        <v>45</v>
      </c>
      <c r="Y1243" s="3" t="s">
        <v>45</v>
      </c>
      <c r="Z1243" s="3" t="s">
        <v>74</v>
      </c>
      <c r="AA1243" s="3" t="s">
        <v>45</v>
      </c>
      <c r="AB1243" s="3" t="s">
        <v>45</v>
      </c>
      <c r="AC1243" s="3" t="s">
        <v>45</v>
      </c>
      <c r="AD1243" s="3" t="s">
        <v>45</v>
      </c>
      <c r="AE1243" s="3" t="s">
        <v>45</v>
      </c>
      <c r="AF1243" s="3" t="s">
        <v>45</v>
      </c>
      <c r="AG1243" s="3" t="s">
        <v>9932</v>
      </c>
      <c r="AH1243" s="3" t="s">
        <v>9906</v>
      </c>
      <c r="AI1243" s="5" t="s">
        <v>10913</v>
      </c>
      <c r="AJ1243" s="3" t="s">
        <v>45</v>
      </c>
      <c r="AK1243" s="3" t="s">
        <v>45</v>
      </c>
      <c r="AL1243" s="3" t="s">
        <v>45</v>
      </c>
      <c r="AM1243" s="3" t="s">
        <v>45</v>
      </c>
      <c r="AN1243" s="3" t="s">
        <v>45</v>
      </c>
      <c r="AO1243" s="3" t="s">
        <v>45</v>
      </c>
      <c r="AP1243" s="3" t="s">
        <v>45</v>
      </c>
      <c r="AQ1243" s="4" t="s">
        <v>9934</v>
      </c>
      <c r="AR1243" s="4" t="s">
        <v>9908</v>
      </c>
    </row>
    <row r="1244">
      <c r="A1244" s="3" t="s">
        <v>10914</v>
      </c>
      <c r="B1244" s="3" t="s">
        <v>10915</v>
      </c>
      <c r="C1244" s="3" t="s">
        <v>10902</v>
      </c>
      <c r="D1244" s="3" t="s">
        <v>9900</v>
      </c>
      <c r="E1244" s="4" t="s">
        <v>10097</v>
      </c>
      <c r="F1244" s="3" t="s">
        <v>9928</v>
      </c>
      <c r="G1244" s="4" t="s">
        <v>10916</v>
      </c>
      <c r="H1244" s="4" t="s">
        <v>10917</v>
      </c>
      <c r="I1244" s="3" t="s">
        <v>49</v>
      </c>
      <c r="J1244" s="3" t="s">
        <v>50</v>
      </c>
      <c r="K1244" s="3" t="s">
        <v>45</v>
      </c>
      <c r="L1244" s="3" t="s">
        <v>45</v>
      </c>
      <c r="M1244" s="3" t="s">
        <v>45</v>
      </c>
      <c r="N1244" s="3" t="s">
        <v>45</v>
      </c>
      <c r="O1244" s="3" t="s">
        <v>74</v>
      </c>
      <c r="P1244" s="3" t="s">
        <v>45</v>
      </c>
      <c r="Q1244" s="3" t="s">
        <v>45</v>
      </c>
      <c r="R1244" s="3" t="s">
        <v>45</v>
      </c>
      <c r="S1244" s="3" t="s">
        <v>45</v>
      </c>
      <c r="T1244" s="3" t="s">
        <v>45</v>
      </c>
      <c r="U1244" s="3" t="s">
        <v>45</v>
      </c>
      <c r="V1244" s="4" t="s">
        <v>1258</v>
      </c>
      <c r="W1244" s="4" t="s">
        <v>956</v>
      </c>
      <c r="X1244" s="3" t="s">
        <v>45</v>
      </c>
      <c r="Y1244" s="3" t="s">
        <v>45</v>
      </c>
      <c r="Z1244" s="3" t="s">
        <v>74</v>
      </c>
      <c r="AA1244" s="3" t="s">
        <v>45</v>
      </c>
      <c r="AB1244" s="3" t="s">
        <v>45</v>
      </c>
      <c r="AC1244" s="3" t="s">
        <v>45</v>
      </c>
      <c r="AD1244" s="3" t="s">
        <v>45</v>
      </c>
      <c r="AE1244" s="3" t="s">
        <v>45</v>
      </c>
      <c r="AF1244" s="3" t="s">
        <v>45</v>
      </c>
      <c r="AG1244" s="3" t="s">
        <v>45</v>
      </c>
      <c r="AH1244" s="3" t="s">
        <v>9906</v>
      </c>
      <c r="AI1244" s="5" t="s">
        <v>10918</v>
      </c>
      <c r="AJ1244" s="5" t="s">
        <v>10919</v>
      </c>
      <c r="AK1244" s="3" t="s">
        <v>45</v>
      </c>
      <c r="AL1244" s="3" t="s">
        <v>45</v>
      </c>
      <c r="AM1244" s="3" t="s">
        <v>45</v>
      </c>
      <c r="AN1244" s="3" t="s">
        <v>45</v>
      </c>
      <c r="AO1244" s="3" t="s">
        <v>45</v>
      </c>
      <c r="AP1244" s="3" t="s">
        <v>45</v>
      </c>
      <c r="AQ1244" s="4" t="s">
        <v>807</v>
      </c>
      <c r="AR1244" s="4" t="s">
        <v>9908</v>
      </c>
    </row>
    <row r="1245">
      <c r="A1245" s="3" t="s">
        <v>10920</v>
      </c>
      <c r="B1245" s="3" t="s">
        <v>10921</v>
      </c>
      <c r="C1245" s="3" t="s">
        <v>10902</v>
      </c>
      <c r="D1245" s="3" t="s">
        <v>9900</v>
      </c>
      <c r="E1245" s="4" t="s">
        <v>10097</v>
      </c>
      <c r="F1245" s="3" t="s">
        <v>9928</v>
      </c>
      <c r="G1245" s="4" t="s">
        <v>10922</v>
      </c>
      <c r="H1245" s="4" t="s">
        <v>10923</v>
      </c>
      <c r="I1245" s="3" t="s">
        <v>85</v>
      </c>
      <c r="J1245" s="3" t="s">
        <v>126</v>
      </c>
      <c r="K1245" s="3" t="s">
        <v>45</v>
      </c>
      <c r="L1245" s="3" t="s">
        <v>921</v>
      </c>
      <c r="M1245" s="3" t="s">
        <v>45</v>
      </c>
      <c r="N1245" s="3" t="s">
        <v>45</v>
      </c>
      <c r="O1245" s="3" t="s">
        <v>74</v>
      </c>
      <c r="P1245" s="3" t="s">
        <v>45</v>
      </c>
      <c r="Q1245" s="3" t="s">
        <v>45</v>
      </c>
      <c r="R1245" s="3" t="s">
        <v>45</v>
      </c>
      <c r="S1245" s="3" t="s">
        <v>45</v>
      </c>
      <c r="T1245" s="3" t="s">
        <v>45</v>
      </c>
      <c r="U1245" s="3" t="s">
        <v>45</v>
      </c>
      <c r="V1245" s="4" t="s">
        <v>10924</v>
      </c>
      <c r="W1245" s="4" t="s">
        <v>129</v>
      </c>
      <c r="X1245" s="3" t="s">
        <v>45</v>
      </c>
      <c r="Y1245" s="3" t="s">
        <v>45</v>
      </c>
      <c r="Z1245" s="3" t="s">
        <v>74</v>
      </c>
      <c r="AA1245" s="3" t="s">
        <v>45</v>
      </c>
      <c r="AB1245" s="3" t="s">
        <v>45</v>
      </c>
      <c r="AC1245" s="3" t="s">
        <v>45</v>
      </c>
      <c r="AD1245" s="3" t="s">
        <v>45</v>
      </c>
      <c r="AE1245" s="3" t="s">
        <v>45</v>
      </c>
      <c r="AF1245" s="3" t="s">
        <v>45</v>
      </c>
      <c r="AG1245" s="3" t="s">
        <v>10925</v>
      </c>
      <c r="AH1245" s="3" t="s">
        <v>9906</v>
      </c>
      <c r="AI1245" s="5" t="s">
        <v>10926</v>
      </c>
      <c r="AJ1245" s="3" t="s">
        <v>45</v>
      </c>
      <c r="AK1245" s="3" t="s">
        <v>45</v>
      </c>
      <c r="AL1245" s="3" t="s">
        <v>45</v>
      </c>
      <c r="AM1245" s="3" t="s">
        <v>45</v>
      </c>
      <c r="AN1245" s="3" t="s">
        <v>45</v>
      </c>
      <c r="AO1245" s="3" t="s">
        <v>45</v>
      </c>
      <c r="AP1245" s="3" t="s">
        <v>45</v>
      </c>
      <c r="AQ1245" s="4" t="s">
        <v>807</v>
      </c>
      <c r="AR1245" s="4" t="s">
        <v>9908</v>
      </c>
    </row>
    <row r="1246">
      <c r="A1246" s="3" t="s">
        <v>10927</v>
      </c>
      <c r="B1246" s="3" t="s">
        <v>10928</v>
      </c>
      <c r="C1246" s="3" t="s">
        <v>10902</v>
      </c>
      <c r="D1246" s="3" t="s">
        <v>9900</v>
      </c>
      <c r="E1246" s="4" t="s">
        <v>10097</v>
      </c>
      <c r="F1246" s="3" t="s">
        <v>9928</v>
      </c>
      <c r="G1246" s="4" t="s">
        <v>10929</v>
      </c>
      <c r="H1246" s="4" t="s">
        <v>10930</v>
      </c>
      <c r="I1246" s="3" t="s">
        <v>408</v>
      </c>
      <c r="J1246" s="3" t="s">
        <v>126</v>
      </c>
      <c r="K1246" s="3" t="s">
        <v>45</v>
      </c>
      <c r="L1246" s="3" t="s">
        <v>479</v>
      </c>
      <c r="M1246" s="3" t="s">
        <v>45</v>
      </c>
      <c r="N1246" s="3" t="s">
        <v>45</v>
      </c>
      <c r="O1246" s="3" t="s">
        <v>74</v>
      </c>
      <c r="P1246" s="3" t="s">
        <v>45</v>
      </c>
      <c r="Q1246" s="3" t="s">
        <v>45</v>
      </c>
      <c r="R1246" s="3" t="s">
        <v>45</v>
      </c>
      <c r="S1246" s="3" t="s">
        <v>45</v>
      </c>
      <c r="T1246" s="3" t="s">
        <v>45</v>
      </c>
      <c r="U1246" s="3" t="s">
        <v>45</v>
      </c>
      <c r="V1246" s="4" t="s">
        <v>10931</v>
      </c>
      <c r="W1246" s="4" t="s">
        <v>157</v>
      </c>
      <c r="X1246" s="3" t="s">
        <v>45</v>
      </c>
      <c r="Y1246" s="3" t="s">
        <v>45</v>
      </c>
      <c r="Z1246" s="3" t="s">
        <v>74</v>
      </c>
      <c r="AA1246" s="3" t="s">
        <v>45</v>
      </c>
      <c r="AB1246" s="3" t="s">
        <v>45</v>
      </c>
      <c r="AC1246" s="3" t="s">
        <v>45</v>
      </c>
      <c r="AD1246" s="3" t="s">
        <v>45</v>
      </c>
      <c r="AE1246" s="3" t="s">
        <v>45</v>
      </c>
      <c r="AF1246" s="3" t="s">
        <v>45</v>
      </c>
      <c r="AG1246" s="3" t="s">
        <v>10932</v>
      </c>
      <c r="AH1246" s="3" t="s">
        <v>9906</v>
      </c>
      <c r="AI1246" s="5" t="s">
        <v>10933</v>
      </c>
      <c r="AJ1246" s="5" t="s">
        <v>10934</v>
      </c>
      <c r="AK1246" s="3" t="s">
        <v>45</v>
      </c>
      <c r="AL1246" s="3" t="s">
        <v>45</v>
      </c>
      <c r="AM1246" s="3" t="s">
        <v>45</v>
      </c>
      <c r="AN1246" s="3" t="s">
        <v>45</v>
      </c>
      <c r="AO1246" s="3" t="s">
        <v>45</v>
      </c>
      <c r="AP1246" s="3" t="s">
        <v>45</v>
      </c>
      <c r="AQ1246" s="4" t="s">
        <v>807</v>
      </c>
      <c r="AR1246" s="4" t="s">
        <v>224</v>
      </c>
    </row>
    <row r="1247">
      <c r="A1247" s="3" t="s">
        <v>10935</v>
      </c>
      <c r="B1247" s="3" t="s">
        <v>10936</v>
      </c>
      <c r="C1247" s="3" t="s">
        <v>10902</v>
      </c>
      <c r="D1247" s="3" t="s">
        <v>9900</v>
      </c>
      <c r="E1247" s="4" t="s">
        <v>10097</v>
      </c>
      <c r="F1247" s="3" t="s">
        <v>9928</v>
      </c>
      <c r="G1247" s="4" t="s">
        <v>10937</v>
      </c>
      <c r="H1247" s="4" t="s">
        <v>10938</v>
      </c>
      <c r="I1247" s="3" t="s">
        <v>85</v>
      </c>
      <c r="J1247" s="3" t="s">
        <v>126</v>
      </c>
      <c r="K1247" s="3" t="s">
        <v>45</v>
      </c>
      <c r="L1247" s="3" t="s">
        <v>10939</v>
      </c>
      <c r="M1247" s="3" t="s">
        <v>45</v>
      </c>
      <c r="N1247" s="3" t="s">
        <v>45</v>
      </c>
      <c r="O1247" s="3" t="s">
        <v>74</v>
      </c>
      <c r="P1247" s="3" t="s">
        <v>45</v>
      </c>
      <c r="Q1247" s="3" t="s">
        <v>45</v>
      </c>
      <c r="R1247" s="3" t="s">
        <v>45</v>
      </c>
      <c r="S1247" s="3" t="s">
        <v>45</v>
      </c>
      <c r="T1247" s="3" t="s">
        <v>45</v>
      </c>
      <c r="U1247" s="3" t="s">
        <v>45</v>
      </c>
      <c r="V1247" s="4" t="s">
        <v>10940</v>
      </c>
      <c r="W1247" s="4" t="s">
        <v>3085</v>
      </c>
      <c r="X1247" s="3" t="s">
        <v>45</v>
      </c>
      <c r="Y1247" s="3" t="s">
        <v>45</v>
      </c>
      <c r="Z1247" s="3" t="s">
        <v>74</v>
      </c>
      <c r="AA1247" s="3" t="s">
        <v>45</v>
      </c>
      <c r="AB1247" s="3" t="s">
        <v>45</v>
      </c>
      <c r="AC1247" s="3" t="s">
        <v>45</v>
      </c>
      <c r="AD1247" s="3" t="s">
        <v>45</v>
      </c>
      <c r="AE1247" s="3" t="s">
        <v>45</v>
      </c>
      <c r="AF1247" s="3" t="s">
        <v>45</v>
      </c>
      <c r="AG1247" s="3" t="s">
        <v>9932</v>
      </c>
      <c r="AH1247" s="3" t="s">
        <v>9906</v>
      </c>
      <c r="AI1247" s="5" t="s">
        <v>10941</v>
      </c>
      <c r="AJ1247" s="3" t="s">
        <v>45</v>
      </c>
      <c r="AK1247" s="3" t="s">
        <v>45</v>
      </c>
      <c r="AL1247" s="3" t="s">
        <v>45</v>
      </c>
      <c r="AM1247" s="3" t="s">
        <v>45</v>
      </c>
      <c r="AN1247" s="3" t="s">
        <v>45</v>
      </c>
      <c r="AO1247" s="3" t="s">
        <v>45</v>
      </c>
      <c r="AP1247" s="3" t="s">
        <v>45</v>
      </c>
      <c r="AQ1247" s="4" t="s">
        <v>9934</v>
      </c>
      <c r="AR1247" s="4" t="s">
        <v>9908</v>
      </c>
    </row>
    <row r="1248">
      <c r="A1248" s="3" t="s">
        <v>10942</v>
      </c>
      <c r="B1248" s="3" t="s">
        <v>10943</v>
      </c>
      <c r="C1248" s="3" t="s">
        <v>10902</v>
      </c>
      <c r="D1248" s="3" t="s">
        <v>9900</v>
      </c>
      <c r="E1248" s="4" t="s">
        <v>10097</v>
      </c>
      <c r="F1248" s="3" t="s">
        <v>9928</v>
      </c>
      <c r="G1248" s="4" t="s">
        <v>10944</v>
      </c>
      <c r="H1248" s="4" t="s">
        <v>10945</v>
      </c>
      <c r="I1248" s="3" t="s">
        <v>85</v>
      </c>
      <c r="J1248" s="3" t="s">
        <v>126</v>
      </c>
      <c r="K1248" s="3" t="s">
        <v>45</v>
      </c>
      <c r="L1248" s="3" t="s">
        <v>10946</v>
      </c>
      <c r="M1248" s="3" t="s">
        <v>45</v>
      </c>
      <c r="N1248" s="3" t="s">
        <v>45</v>
      </c>
      <c r="O1248" s="3" t="s">
        <v>74</v>
      </c>
      <c r="P1248" s="3" t="s">
        <v>45</v>
      </c>
      <c r="Q1248" s="3" t="s">
        <v>45</v>
      </c>
      <c r="R1248" s="3" t="s">
        <v>45</v>
      </c>
      <c r="S1248" s="3" t="s">
        <v>45</v>
      </c>
      <c r="T1248" s="3" t="s">
        <v>45</v>
      </c>
      <c r="U1248" s="3" t="s">
        <v>45</v>
      </c>
      <c r="V1248" s="4" t="s">
        <v>10947</v>
      </c>
      <c r="W1248" s="4" t="s">
        <v>748</v>
      </c>
      <c r="X1248" s="3" t="s">
        <v>45</v>
      </c>
      <c r="Y1248" s="3" t="s">
        <v>45</v>
      </c>
      <c r="Z1248" s="3" t="s">
        <v>74</v>
      </c>
      <c r="AA1248" s="3" t="s">
        <v>45</v>
      </c>
      <c r="AB1248" s="3" t="s">
        <v>45</v>
      </c>
      <c r="AC1248" s="3" t="s">
        <v>45</v>
      </c>
      <c r="AD1248" s="3" t="s">
        <v>45</v>
      </c>
      <c r="AE1248" s="3" t="s">
        <v>45</v>
      </c>
      <c r="AF1248" s="3" t="s">
        <v>45</v>
      </c>
      <c r="AG1248" s="3" t="s">
        <v>10016</v>
      </c>
      <c r="AH1248" s="3" t="s">
        <v>9906</v>
      </c>
      <c r="AI1248" s="5" t="s">
        <v>10948</v>
      </c>
      <c r="AJ1248" s="3" t="s">
        <v>45</v>
      </c>
      <c r="AK1248" s="3" t="s">
        <v>45</v>
      </c>
      <c r="AL1248" s="3" t="s">
        <v>45</v>
      </c>
      <c r="AM1248" s="3" t="s">
        <v>45</v>
      </c>
      <c r="AN1248" s="3" t="s">
        <v>45</v>
      </c>
      <c r="AO1248" s="3" t="s">
        <v>45</v>
      </c>
      <c r="AP1248" s="3" t="s">
        <v>45</v>
      </c>
      <c r="AQ1248" s="4" t="s">
        <v>9934</v>
      </c>
      <c r="AR1248" s="4" t="s">
        <v>9908</v>
      </c>
    </row>
    <row r="1249">
      <c r="A1249" s="3" t="s">
        <v>10949</v>
      </c>
      <c r="B1249" s="3" t="s">
        <v>10950</v>
      </c>
      <c r="C1249" s="3" t="s">
        <v>10902</v>
      </c>
      <c r="D1249" s="3" t="s">
        <v>9900</v>
      </c>
      <c r="E1249" s="4" t="s">
        <v>10097</v>
      </c>
      <c r="F1249" s="3" t="s">
        <v>9928</v>
      </c>
      <c r="G1249" s="4" t="s">
        <v>10951</v>
      </c>
      <c r="H1249" s="4" t="s">
        <v>10952</v>
      </c>
      <c r="I1249" s="3" t="s">
        <v>408</v>
      </c>
      <c r="J1249" s="3" t="s">
        <v>126</v>
      </c>
      <c r="K1249" s="3" t="s">
        <v>45</v>
      </c>
      <c r="L1249" s="3" t="s">
        <v>10953</v>
      </c>
      <c r="M1249" s="3" t="s">
        <v>45</v>
      </c>
      <c r="N1249" s="3" t="s">
        <v>45</v>
      </c>
      <c r="O1249" s="3" t="s">
        <v>74</v>
      </c>
      <c r="P1249" s="3" t="s">
        <v>45</v>
      </c>
      <c r="Q1249" s="3" t="s">
        <v>45</v>
      </c>
      <c r="R1249" s="3" t="s">
        <v>45</v>
      </c>
      <c r="S1249" s="3" t="s">
        <v>45</v>
      </c>
      <c r="T1249" s="3" t="s">
        <v>45</v>
      </c>
      <c r="U1249" s="3" t="s">
        <v>45</v>
      </c>
      <c r="V1249" s="4" t="s">
        <v>10954</v>
      </c>
      <c r="W1249" s="4" t="s">
        <v>277</v>
      </c>
      <c r="X1249" s="3" t="s">
        <v>45</v>
      </c>
      <c r="Y1249" s="3" t="s">
        <v>45</v>
      </c>
      <c r="Z1249" s="3" t="s">
        <v>74</v>
      </c>
      <c r="AA1249" s="3" t="s">
        <v>45</v>
      </c>
      <c r="AB1249" s="3" t="s">
        <v>45</v>
      </c>
      <c r="AC1249" s="3" t="s">
        <v>45</v>
      </c>
      <c r="AD1249" s="3" t="s">
        <v>45</v>
      </c>
      <c r="AE1249" s="3" t="s">
        <v>45</v>
      </c>
      <c r="AF1249" s="3" t="s">
        <v>45</v>
      </c>
      <c r="AG1249" s="3" t="s">
        <v>10955</v>
      </c>
      <c r="AH1249" s="3" t="s">
        <v>9906</v>
      </c>
      <c r="AI1249" s="5" t="s">
        <v>10956</v>
      </c>
      <c r="AJ1249" s="5" t="s">
        <v>10957</v>
      </c>
      <c r="AK1249" s="3" t="s">
        <v>45</v>
      </c>
      <c r="AL1249" s="3" t="s">
        <v>45</v>
      </c>
      <c r="AM1249" s="3" t="s">
        <v>45</v>
      </c>
      <c r="AN1249" s="3" t="s">
        <v>45</v>
      </c>
      <c r="AO1249" s="3" t="s">
        <v>45</v>
      </c>
      <c r="AP1249" s="3" t="s">
        <v>45</v>
      </c>
      <c r="AQ1249" s="4" t="s">
        <v>807</v>
      </c>
      <c r="AR1249" s="4" t="s">
        <v>224</v>
      </c>
    </row>
    <row r="1250">
      <c r="A1250" s="3" t="s">
        <v>10958</v>
      </c>
      <c r="B1250" s="3" t="s">
        <v>10959</v>
      </c>
      <c r="C1250" s="3" t="s">
        <v>3664</v>
      </c>
      <c r="D1250" s="3" t="s">
        <v>9900</v>
      </c>
      <c r="E1250" s="4" t="s">
        <v>10960</v>
      </c>
      <c r="F1250" s="3" t="s">
        <v>10961</v>
      </c>
      <c r="G1250" s="4" t="s">
        <v>10962</v>
      </c>
      <c r="H1250" s="4" t="s">
        <v>10963</v>
      </c>
      <c r="I1250" s="3" t="s">
        <v>49</v>
      </c>
      <c r="J1250" s="3" t="s">
        <v>126</v>
      </c>
      <c r="K1250" s="3" t="s">
        <v>45</v>
      </c>
      <c r="L1250" s="3" t="s">
        <v>10964</v>
      </c>
      <c r="M1250" s="3" t="s">
        <v>45</v>
      </c>
      <c r="N1250" s="3" t="s">
        <v>45</v>
      </c>
      <c r="O1250" s="3" t="s">
        <v>74</v>
      </c>
      <c r="P1250" s="3" t="s">
        <v>45</v>
      </c>
      <c r="Q1250" s="3" t="s">
        <v>45</v>
      </c>
      <c r="R1250" s="3" t="s">
        <v>45</v>
      </c>
      <c r="S1250" s="3" t="s">
        <v>45</v>
      </c>
      <c r="T1250" s="3" t="s">
        <v>45</v>
      </c>
      <c r="U1250" s="3" t="s">
        <v>45</v>
      </c>
      <c r="V1250" s="3" t="s">
        <v>45</v>
      </c>
      <c r="W1250" s="4" t="s">
        <v>10965</v>
      </c>
      <c r="X1250" s="3" t="s">
        <v>45</v>
      </c>
      <c r="Y1250" s="3" t="s">
        <v>45</v>
      </c>
      <c r="Z1250" s="3" t="s">
        <v>74</v>
      </c>
      <c r="AA1250" s="3" t="s">
        <v>45</v>
      </c>
      <c r="AB1250" s="3" t="s">
        <v>45</v>
      </c>
      <c r="AC1250" s="3" t="s">
        <v>45</v>
      </c>
      <c r="AD1250" s="3" t="s">
        <v>45</v>
      </c>
      <c r="AE1250" s="3" t="s">
        <v>45</v>
      </c>
      <c r="AF1250" s="3" t="s">
        <v>45</v>
      </c>
      <c r="AG1250" s="3" t="s">
        <v>45</v>
      </c>
      <c r="AH1250" s="3" t="s">
        <v>9906</v>
      </c>
      <c r="AI1250" s="5" t="s">
        <v>10966</v>
      </c>
      <c r="AJ1250" s="5" t="s">
        <v>10967</v>
      </c>
      <c r="AK1250" s="3" t="s">
        <v>45</v>
      </c>
      <c r="AL1250" s="3" t="s">
        <v>45</v>
      </c>
      <c r="AM1250" s="3" t="s">
        <v>45</v>
      </c>
      <c r="AN1250" s="3" t="s">
        <v>45</v>
      </c>
      <c r="AO1250" s="3" t="s">
        <v>45</v>
      </c>
      <c r="AP1250" s="3" t="s">
        <v>45</v>
      </c>
      <c r="AQ1250" s="4" t="s">
        <v>10968</v>
      </c>
      <c r="AR1250" s="4" t="s">
        <v>9908</v>
      </c>
    </row>
    <row r="1251">
      <c r="A1251" s="3" t="s">
        <v>10969</v>
      </c>
      <c r="B1251" s="3" t="s">
        <v>10970</v>
      </c>
      <c r="C1251" s="3" t="s">
        <v>2850</v>
      </c>
      <c r="D1251" s="3" t="s">
        <v>9900</v>
      </c>
      <c r="E1251" s="4" t="s">
        <v>10971</v>
      </c>
      <c r="F1251" s="3" t="s">
        <v>2850</v>
      </c>
      <c r="G1251" s="4" t="s">
        <v>10972</v>
      </c>
      <c r="H1251" s="4" t="s">
        <v>10973</v>
      </c>
      <c r="I1251" s="3" t="s">
        <v>85</v>
      </c>
      <c r="J1251" s="3" t="s">
        <v>126</v>
      </c>
      <c r="K1251" s="3" t="s">
        <v>45</v>
      </c>
      <c r="L1251" s="3" t="s">
        <v>10974</v>
      </c>
      <c r="M1251" s="3" t="s">
        <v>45</v>
      </c>
      <c r="N1251" s="3" t="s">
        <v>45</v>
      </c>
      <c r="O1251" s="3" t="s">
        <v>74</v>
      </c>
      <c r="P1251" s="3" t="s">
        <v>45</v>
      </c>
      <c r="Q1251" s="3" t="s">
        <v>45</v>
      </c>
      <c r="R1251" s="3" t="s">
        <v>45</v>
      </c>
      <c r="S1251" s="3" t="s">
        <v>45</v>
      </c>
      <c r="T1251" s="3" t="s">
        <v>45</v>
      </c>
      <c r="U1251" s="3" t="s">
        <v>45</v>
      </c>
      <c r="V1251" s="4" t="s">
        <v>10975</v>
      </c>
      <c r="W1251" s="4" t="s">
        <v>259</v>
      </c>
      <c r="X1251" s="3" t="s">
        <v>45</v>
      </c>
      <c r="Y1251" s="3" t="s">
        <v>45</v>
      </c>
      <c r="Z1251" s="3" t="s">
        <v>74</v>
      </c>
      <c r="AA1251" s="3" t="s">
        <v>45</v>
      </c>
      <c r="AB1251" s="3" t="s">
        <v>45</v>
      </c>
      <c r="AC1251" s="3" t="s">
        <v>45</v>
      </c>
      <c r="AD1251" s="3" t="s">
        <v>45</v>
      </c>
      <c r="AE1251" s="3" t="s">
        <v>45</v>
      </c>
      <c r="AF1251" s="3" t="s">
        <v>45</v>
      </c>
      <c r="AG1251" s="3" t="s">
        <v>45</v>
      </c>
      <c r="AH1251" s="3" t="s">
        <v>9906</v>
      </c>
      <c r="AI1251" s="5" t="s">
        <v>10976</v>
      </c>
      <c r="AJ1251" s="3" t="s">
        <v>45</v>
      </c>
      <c r="AK1251" s="3" t="s">
        <v>45</v>
      </c>
      <c r="AL1251" s="3" t="s">
        <v>45</v>
      </c>
      <c r="AM1251" s="3" t="s">
        <v>45</v>
      </c>
      <c r="AN1251" s="3" t="s">
        <v>45</v>
      </c>
      <c r="AO1251" s="3" t="s">
        <v>45</v>
      </c>
      <c r="AP1251" s="3" t="s">
        <v>45</v>
      </c>
      <c r="AQ1251" s="4" t="s">
        <v>9934</v>
      </c>
      <c r="AR1251" s="4" t="s">
        <v>9908</v>
      </c>
    </row>
    <row r="1252">
      <c r="A1252" s="3" t="s">
        <v>10977</v>
      </c>
      <c r="B1252" s="3" t="s">
        <v>10978</v>
      </c>
      <c r="C1252" s="3" t="s">
        <v>2850</v>
      </c>
      <c r="D1252" s="3" t="s">
        <v>9900</v>
      </c>
      <c r="E1252" s="4" t="s">
        <v>10971</v>
      </c>
      <c r="F1252" s="3" t="s">
        <v>2850</v>
      </c>
      <c r="G1252" s="4" t="s">
        <v>10979</v>
      </c>
      <c r="H1252" s="4" t="s">
        <v>10980</v>
      </c>
      <c r="I1252" s="3" t="s">
        <v>85</v>
      </c>
      <c r="J1252" s="3" t="s">
        <v>126</v>
      </c>
      <c r="K1252" s="3" t="s">
        <v>45</v>
      </c>
      <c r="L1252" s="3" t="s">
        <v>10981</v>
      </c>
      <c r="M1252" s="3" t="s">
        <v>45</v>
      </c>
      <c r="N1252" s="3" t="s">
        <v>45</v>
      </c>
      <c r="O1252" s="3" t="s">
        <v>74</v>
      </c>
      <c r="P1252" s="3" t="s">
        <v>45</v>
      </c>
      <c r="Q1252" s="3" t="s">
        <v>45</v>
      </c>
      <c r="R1252" s="3" t="s">
        <v>45</v>
      </c>
      <c r="S1252" s="3" t="s">
        <v>45</v>
      </c>
      <c r="T1252" s="3" t="s">
        <v>45</v>
      </c>
      <c r="U1252" s="3" t="s">
        <v>45</v>
      </c>
      <c r="V1252" s="4" t="s">
        <v>10982</v>
      </c>
      <c r="W1252" s="4" t="s">
        <v>880</v>
      </c>
      <c r="X1252" s="3" t="s">
        <v>45</v>
      </c>
      <c r="Y1252" s="3" t="s">
        <v>45</v>
      </c>
      <c r="Z1252" s="3" t="s">
        <v>74</v>
      </c>
      <c r="AA1252" s="3" t="s">
        <v>45</v>
      </c>
      <c r="AB1252" s="3" t="s">
        <v>45</v>
      </c>
      <c r="AC1252" s="3" t="s">
        <v>45</v>
      </c>
      <c r="AD1252" s="3" t="s">
        <v>45</v>
      </c>
      <c r="AE1252" s="3" t="s">
        <v>45</v>
      </c>
      <c r="AF1252" s="3" t="s">
        <v>45</v>
      </c>
      <c r="AG1252" s="3" t="s">
        <v>10983</v>
      </c>
      <c r="AH1252" s="3" t="s">
        <v>9906</v>
      </c>
      <c r="AI1252" s="5" t="s">
        <v>10984</v>
      </c>
      <c r="AJ1252" s="3" t="s">
        <v>45</v>
      </c>
      <c r="AK1252" s="3" t="s">
        <v>45</v>
      </c>
      <c r="AL1252" s="3" t="s">
        <v>45</v>
      </c>
      <c r="AM1252" s="3" t="s">
        <v>45</v>
      </c>
      <c r="AN1252" s="3" t="s">
        <v>45</v>
      </c>
      <c r="AO1252" s="3" t="s">
        <v>45</v>
      </c>
      <c r="AP1252" s="3" t="s">
        <v>45</v>
      </c>
      <c r="AQ1252" s="4" t="s">
        <v>9934</v>
      </c>
      <c r="AR1252" s="4" t="s">
        <v>9908</v>
      </c>
    </row>
    <row r="1253">
      <c r="A1253" s="3" t="s">
        <v>1937</v>
      </c>
      <c r="B1253" s="3" t="s">
        <v>10985</v>
      </c>
      <c r="C1253" s="3" t="s">
        <v>10986</v>
      </c>
      <c r="D1253" s="3" t="s">
        <v>9900</v>
      </c>
      <c r="E1253" s="4" t="s">
        <v>10987</v>
      </c>
      <c r="F1253" s="3" t="s">
        <v>10524</v>
      </c>
      <c r="G1253" s="4" t="s">
        <v>10988</v>
      </c>
      <c r="H1253" s="4" t="s">
        <v>10989</v>
      </c>
      <c r="I1253" s="3" t="s">
        <v>49</v>
      </c>
      <c r="J1253" s="3" t="s">
        <v>126</v>
      </c>
      <c r="K1253" s="3" t="s">
        <v>45</v>
      </c>
      <c r="L1253" s="3" t="s">
        <v>10990</v>
      </c>
      <c r="M1253" s="3" t="s">
        <v>45</v>
      </c>
      <c r="N1253" s="3" t="s">
        <v>45</v>
      </c>
      <c r="O1253" s="3" t="s">
        <v>74</v>
      </c>
      <c r="P1253" s="3" t="s">
        <v>45</v>
      </c>
      <c r="Q1253" s="3" t="s">
        <v>45</v>
      </c>
      <c r="R1253" s="3" t="s">
        <v>45</v>
      </c>
      <c r="S1253" s="3" t="s">
        <v>45</v>
      </c>
      <c r="T1253" s="3" t="s">
        <v>45</v>
      </c>
      <c r="U1253" s="3" t="s">
        <v>45</v>
      </c>
      <c r="V1253" s="3" t="s">
        <v>45</v>
      </c>
      <c r="W1253" s="4" t="s">
        <v>583</v>
      </c>
      <c r="X1253" s="3" t="s">
        <v>8753</v>
      </c>
      <c r="Y1253" s="3" t="s">
        <v>45</v>
      </c>
      <c r="Z1253" s="3" t="s">
        <v>74</v>
      </c>
      <c r="AA1253" s="3" t="s">
        <v>45</v>
      </c>
      <c r="AB1253" s="3" t="s">
        <v>45</v>
      </c>
      <c r="AC1253" s="3" t="s">
        <v>45</v>
      </c>
      <c r="AD1253" s="3" t="s">
        <v>45</v>
      </c>
      <c r="AE1253" s="3" t="s">
        <v>45</v>
      </c>
      <c r="AF1253" s="3" t="s">
        <v>45</v>
      </c>
      <c r="AG1253" s="3" t="s">
        <v>45</v>
      </c>
      <c r="AH1253" s="3" t="s">
        <v>57</v>
      </c>
      <c r="AI1253" s="5" t="s">
        <v>10991</v>
      </c>
      <c r="AJ1253" s="3" t="s">
        <v>45</v>
      </c>
      <c r="AK1253" s="3" t="s">
        <v>45</v>
      </c>
      <c r="AL1253" s="3" t="s">
        <v>45</v>
      </c>
      <c r="AM1253" s="3" t="s">
        <v>45</v>
      </c>
      <c r="AN1253" s="3" t="s">
        <v>45</v>
      </c>
      <c r="AO1253" s="3" t="s">
        <v>45</v>
      </c>
      <c r="AP1253" s="3" t="s">
        <v>45</v>
      </c>
      <c r="AQ1253" s="4" t="s">
        <v>636</v>
      </c>
      <c r="AR1253" s="4" t="s">
        <v>636</v>
      </c>
    </row>
    <row r="1254">
      <c r="A1254" s="3" t="s">
        <v>10992</v>
      </c>
      <c r="B1254" s="3" t="s">
        <v>10993</v>
      </c>
      <c r="C1254" s="3" t="s">
        <v>10986</v>
      </c>
      <c r="D1254" s="3" t="s">
        <v>9900</v>
      </c>
      <c r="E1254" s="4" t="s">
        <v>10987</v>
      </c>
      <c r="F1254" s="3" t="s">
        <v>2850</v>
      </c>
      <c r="G1254" s="4" t="s">
        <v>10994</v>
      </c>
      <c r="H1254" s="4" t="s">
        <v>10995</v>
      </c>
      <c r="I1254" s="3" t="s">
        <v>85</v>
      </c>
      <c r="J1254" s="3" t="s">
        <v>126</v>
      </c>
      <c r="K1254" s="3" t="s">
        <v>45</v>
      </c>
      <c r="L1254" s="3" t="s">
        <v>10996</v>
      </c>
      <c r="M1254" s="3" t="s">
        <v>45</v>
      </c>
      <c r="N1254" s="3" t="s">
        <v>45</v>
      </c>
      <c r="O1254" s="3" t="s">
        <v>74</v>
      </c>
      <c r="P1254" s="3" t="s">
        <v>45</v>
      </c>
      <c r="Q1254" s="3" t="s">
        <v>45</v>
      </c>
      <c r="R1254" s="3" t="s">
        <v>45</v>
      </c>
      <c r="S1254" s="3" t="s">
        <v>45</v>
      </c>
      <c r="T1254" s="3" t="s">
        <v>45</v>
      </c>
      <c r="U1254" s="3" t="s">
        <v>45</v>
      </c>
      <c r="V1254" s="4" t="s">
        <v>10997</v>
      </c>
      <c r="W1254" s="4" t="s">
        <v>472</v>
      </c>
      <c r="X1254" s="3" t="s">
        <v>45</v>
      </c>
      <c r="Y1254" s="3" t="s">
        <v>45</v>
      </c>
      <c r="Z1254" s="3" t="s">
        <v>74</v>
      </c>
      <c r="AA1254" s="3" t="s">
        <v>45</v>
      </c>
      <c r="AB1254" s="3" t="s">
        <v>45</v>
      </c>
      <c r="AC1254" s="3" t="s">
        <v>45</v>
      </c>
      <c r="AD1254" s="3" t="s">
        <v>45</v>
      </c>
      <c r="AE1254" s="3" t="s">
        <v>45</v>
      </c>
      <c r="AF1254" s="3" t="s">
        <v>45</v>
      </c>
      <c r="AG1254" s="3" t="s">
        <v>45</v>
      </c>
      <c r="AH1254" s="3" t="s">
        <v>9906</v>
      </c>
      <c r="AI1254" s="5" t="s">
        <v>10998</v>
      </c>
      <c r="AJ1254" s="3" t="s">
        <v>45</v>
      </c>
      <c r="AK1254" s="3" t="s">
        <v>45</v>
      </c>
      <c r="AL1254" s="3" t="s">
        <v>45</v>
      </c>
      <c r="AM1254" s="3" t="s">
        <v>45</v>
      </c>
      <c r="AN1254" s="3" t="s">
        <v>45</v>
      </c>
      <c r="AO1254" s="3" t="s">
        <v>45</v>
      </c>
      <c r="AP1254" s="3" t="s">
        <v>45</v>
      </c>
      <c r="AQ1254" s="4" t="s">
        <v>9934</v>
      </c>
      <c r="AR1254" s="4" t="s">
        <v>9908</v>
      </c>
    </row>
    <row r="1255">
      <c r="A1255" s="3" t="s">
        <v>10999</v>
      </c>
      <c r="B1255" s="3" t="s">
        <v>11000</v>
      </c>
      <c r="C1255" s="3" t="s">
        <v>10986</v>
      </c>
      <c r="D1255" s="3" t="s">
        <v>9900</v>
      </c>
      <c r="E1255" s="4" t="s">
        <v>10987</v>
      </c>
      <c r="F1255" s="3" t="s">
        <v>2850</v>
      </c>
      <c r="G1255" s="4" t="s">
        <v>11001</v>
      </c>
      <c r="H1255" s="4" t="s">
        <v>11002</v>
      </c>
      <c r="I1255" s="3" t="s">
        <v>85</v>
      </c>
      <c r="J1255" s="3" t="s">
        <v>126</v>
      </c>
      <c r="K1255" s="3" t="s">
        <v>45</v>
      </c>
      <c r="L1255" s="3" t="s">
        <v>10996</v>
      </c>
      <c r="M1255" s="3" t="s">
        <v>45</v>
      </c>
      <c r="N1255" s="3" t="s">
        <v>45</v>
      </c>
      <c r="O1255" s="3" t="s">
        <v>74</v>
      </c>
      <c r="P1255" s="3" t="s">
        <v>45</v>
      </c>
      <c r="Q1255" s="3" t="s">
        <v>45</v>
      </c>
      <c r="R1255" s="3" t="s">
        <v>45</v>
      </c>
      <c r="S1255" s="3" t="s">
        <v>45</v>
      </c>
      <c r="T1255" s="3" t="s">
        <v>45</v>
      </c>
      <c r="U1255" s="3" t="s">
        <v>45</v>
      </c>
      <c r="V1255" s="4" t="s">
        <v>11003</v>
      </c>
      <c r="W1255" s="4" t="s">
        <v>275</v>
      </c>
      <c r="X1255" s="3" t="s">
        <v>45</v>
      </c>
      <c r="Y1255" s="3" t="s">
        <v>45</v>
      </c>
      <c r="Z1255" s="3" t="s">
        <v>74</v>
      </c>
      <c r="AA1255" s="3" t="s">
        <v>45</v>
      </c>
      <c r="AB1255" s="3" t="s">
        <v>45</v>
      </c>
      <c r="AC1255" s="3" t="s">
        <v>45</v>
      </c>
      <c r="AD1255" s="3" t="s">
        <v>45</v>
      </c>
      <c r="AE1255" s="3" t="s">
        <v>45</v>
      </c>
      <c r="AF1255" s="3" t="s">
        <v>45</v>
      </c>
      <c r="AG1255" s="3" t="s">
        <v>45</v>
      </c>
      <c r="AH1255" s="3" t="s">
        <v>9906</v>
      </c>
      <c r="AI1255" s="5" t="s">
        <v>11004</v>
      </c>
      <c r="AJ1255" s="3" t="s">
        <v>45</v>
      </c>
      <c r="AK1255" s="3" t="s">
        <v>45</v>
      </c>
      <c r="AL1255" s="3" t="s">
        <v>45</v>
      </c>
      <c r="AM1255" s="3" t="s">
        <v>45</v>
      </c>
      <c r="AN1255" s="3" t="s">
        <v>45</v>
      </c>
      <c r="AO1255" s="3" t="s">
        <v>45</v>
      </c>
      <c r="AP1255" s="3" t="s">
        <v>45</v>
      </c>
      <c r="AQ1255" s="4" t="s">
        <v>9934</v>
      </c>
      <c r="AR1255" s="4" t="s">
        <v>9908</v>
      </c>
    </row>
    <row r="1256">
      <c r="A1256" s="3" t="s">
        <v>11005</v>
      </c>
      <c r="B1256" s="3" t="s">
        <v>11006</v>
      </c>
      <c r="C1256" s="3" t="s">
        <v>11007</v>
      </c>
      <c r="D1256" s="3" t="s">
        <v>9900</v>
      </c>
      <c r="E1256" s="4" t="s">
        <v>11008</v>
      </c>
      <c r="F1256" s="3" t="s">
        <v>11009</v>
      </c>
      <c r="G1256" s="4" t="s">
        <v>11010</v>
      </c>
      <c r="H1256" s="4" t="s">
        <v>11011</v>
      </c>
      <c r="I1256" s="3" t="s">
        <v>49</v>
      </c>
      <c r="J1256" s="3" t="s">
        <v>126</v>
      </c>
      <c r="K1256" s="3" t="s">
        <v>45</v>
      </c>
      <c r="L1256" s="3" t="s">
        <v>11012</v>
      </c>
      <c r="M1256" s="3" t="s">
        <v>45</v>
      </c>
      <c r="N1256" s="3" t="s">
        <v>45</v>
      </c>
      <c r="O1256" s="3" t="s">
        <v>74</v>
      </c>
      <c r="P1256" s="3" t="s">
        <v>45</v>
      </c>
      <c r="Q1256" s="3" t="s">
        <v>45</v>
      </c>
      <c r="R1256" s="3" t="s">
        <v>45</v>
      </c>
      <c r="S1256" s="3" t="s">
        <v>45</v>
      </c>
      <c r="T1256" s="3" t="s">
        <v>45</v>
      </c>
      <c r="U1256" s="3" t="s">
        <v>45</v>
      </c>
      <c r="V1256" s="4" t="s">
        <v>611</v>
      </c>
      <c r="W1256" s="4" t="s">
        <v>3221</v>
      </c>
      <c r="X1256" s="3" t="s">
        <v>45</v>
      </c>
      <c r="Y1256" s="3" t="s">
        <v>45</v>
      </c>
      <c r="Z1256" s="3" t="s">
        <v>74</v>
      </c>
      <c r="AA1256" s="3" t="s">
        <v>45</v>
      </c>
      <c r="AB1256" s="3" t="s">
        <v>45</v>
      </c>
      <c r="AC1256" s="3" t="s">
        <v>45</v>
      </c>
      <c r="AD1256" s="3" t="s">
        <v>45</v>
      </c>
      <c r="AE1256" s="3" t="s">
        <v>45</v>
      </c>
      <c r="AF1256" s="3" t="s">
        <v>45</v>
      </c>
      <c r="AG1256" s="3" t="s">
        <v>10511</v>
      </c>
      <c r="AH1256" s="3" t="s">
        <v>9906</v>
      </c>
      <c r="AI1256" s="5" t="s">
        <v>11013</v>
      </c>
      <c r="AJ1256" s="5" t="s">
        <v>11014</v>
      </c>
      <c r="AK1256" s="3" t="s">
        <v>45</v>
      </c>
      <c r="AL1256" s="3" t="s">
        <v>45</v>
      </c>
      <c r="AM1256" s="3" t="s">
        <v>45</v>
      </c>
      <c r="AN1256" s="3" t="s">
        <v>45</v>
      </c>
      <c r="AO1256" s="3" t="s">
        <v>45</v>
      </c>
      <c r="AP1256" s="3" t="s">
        <v>45</v>
      </c>
      <c r="AQ1256" s="4" t="s">
        <v>9934</v>
      </c>
      <c r="AR1256" s="4" t="s">
        <v>9908</v>
      </c>
    </row>
    <row r="1257">
      <c r="A1257" s="3" t="s">
        <v>11015</v>
      </c>
      <c r="B1257" s="3" t="s">
        <v>11016</v>
      </c>
      <c r="C1257" s="3" t="s">
        <v>11017</v>
      </c>
      <c r="D1257" s="3" t="s">
        <v>9900</v>
      </c>
      <c r="E1257" s="4" t="s">
        <v>11018</v>
      </c>
      <c r="F1257" s="3" t="s">
        <v>11019</v>
      </c>
      <c r="G1257" s="4" t="s">
        <v>11020</v>
      </c>
      <c r="H1257" s="4" t="s">
        <v>11021</v>
      </c>
      <c r="I1257" s="3" t="s">
        <v>49</v>
      </c>
      <c r="J1257" s="3" t="s">
        <v>126</v>
      </c>
      <c r="K1257" s="3" t="s">
        <v>45</v>
      </c>
      <c r="L1257" s="3" t="s">
        <v>479</v>
      </c>
      <c r="M1257" s="3" t="s">
        <v>45</v>
      </c>
      <c r="N1257" s="3" t="s">
        <v>45</v>
      </c>
      <c r="O1257" s="3" t="s">
        <v>74</v>
      </c>
      <c r="P1257" s="3" t="s">
        <v>45</v>
      </c>
      <c r="Q1257" s="3" t="s">
        <v>45</v>
      </c>
      <c r="R1257" s="3" t="s">
        <v>45</v>
      </c>
      <c r="S1257" s="3" t="s">
        <v>45</v>
      </c>
      <c r="T1257" s="3" t="s">
        <v>45</v>
      </c>
      <c r="U1257" s="3" t="s">
        <v>45</v>
      </c>
      <c r="V1257" s="3" t="s">
        <v>45</v>
      </c>
      <c r="W1257" s="3" t="s">
        <v>45</v>
      </c>
      <c r="X1257" s="3" t="s">
        <v>45</v>
      </c>
      <c r="Y1257" s="3" t="s">
        <v>45</v>
      </c>
      <c r="Z1257" s="3" t="s">
        <v>74</v>
      </c>
      <c r="AA1257" s="3" t="s">
        <v>45</v>
      </c>
      <c r="AB1257" s="3" t="s">
        <v>45</v>
      </c>
      <c r="AC1257" s="3" t="s">
        <v>45</v>
      </c>
      <c r="AD1257" s="3" t="s">
        <v>45</v>
      </c>
      <c r="AE1257" s="3" t="s">
        <v>45</v>
      </c>
      <c r="AF1257" s="3" t="s">
        <v>45</v>
      </c>
      <c r="AG1257" s="3" t="s">
        <v>45</v>
      </c>
      <c r="AH1257" s="3" t="s">
        <v>57</v>
      </c>
      <c r="AI1257" s="5" t="s">
        <v>11022</v>
      </c>
      <c r="AJ1257" s="3" t="s">
        <v>45</v>
      </c>
      <c r="AK1257" s="3" t="s">
        <v>45</v>
      </c>
      <c r="AL1257" s="3" t="s">
        <v>45</v>
      </c>
      <c r="AM1257" s="3" t="s">
        <v>45</v>
      </c>
      <c r="AN1257" s="3" t="s">
        <v>45</v>
      </c>
      <c r="AO1257" s="3" t="s">
        <v>45</v>
      </c>
      <c r="AP1257" s="3" t="s">
        <v>45</v>
      </c>
      <c r="AQ1257" s="4" t="s">
        <v>3419</v>
      </c>
      <c r="AR1257" s="4" t="s">
        <v>3419</v>
      </c>
    </row>
    <row r="1258">
      <c r="A1258" s="3" t="s">
        <v>11023</v>
      </c>
      <c r="B1258" s="3" t="s">
        <v>11024</v>
      </c>
      <c r="C1258" s="3" t="s">
        <v>11017</v>
      </c>
      <c r="D1258" s="3" t="s">
        <v>9900</v>
      </c>
      <c r="E1258" s="4" t="s">
        <v>11018</v>
      </c>
      <c r="F1258" s="3" t="s">
        <v>11019</v>
      </c>
      <c r="G1258" s="4" t="s">
        <v>11025</v>
      </c>
      <c r="H1258" s="4" t="s">
        <v>11026</v>
      </c>
      <c r="I1258" s="3" t="s">
        <v>49</v>
      </c>
      <c r="J1258" s="3" t="s">
        <v>126</v>
      </c>
      <c r="K1258" s="3" t="s">
        <v>45</v>
      </c>
      <c r="L1258" s="3" t="s">
        <v>479</v>
      </c>
      <c r="M1258" s="3" t="s">
        <v>45</v>
      </c>
      <c r="N1258" s="3" t="s">
        <v>45</v>
      </c>
      <c r="O1258" s="3" t="s">
        <v>88</v>
      </c>
      <c r="P1258" s="3" t="s">
        <v>45</v>
      </c>
      <c r="Q1258" s="3" t="s">
        <v>45</v>
      </c>
      <c r="R1258" s="3" t="s">
        <v>45</v>
      </c>
      <c r="S1258" s="3" t="s">
        <v>45</v>
      </c>
      <c r="T1258" s="3" t="s">
        <v>45</v>
      </c>
      <c r="U1258" s="3" t="s">
        <v>45</v>
      </c>
      <c r="V1258" s="4" t="s">
        <v>4570</v>
      </c>
      <c r="W1258" s="4" t="s">
        <v>2045</v>
      </c>
      <c r="X1258" s="3" t="s">
        <v>45</v>
      </c>
      <c r="Y1258" s="4" t="s">
        <v>11027</v>
      </c>
      <c r="Z1258" s="3" t="s">
        <v>74</v>
      </c>
      <c r="AA1258" s="3" t="s">
        <v>45</v>
      </c>
      <c r="AB1258" s="3" t="s">
        <v>45</v>
      </c>
      <c r="AC1258" s="3" t="s">
        <v>45</v>
      </c>
      <c r="AD1258" s="3" t="s">
        <v>45</v>
      </c>
      <c r="AE1258" s="3" t="s">
        <v>45</v>
      </c>
      <c r="AF1258" s="3" t="s">
        <v>45</v>
      </c>
      <c r="AG1258" s="3" t="s">
        <v>45</v>
      </c>
      <c r="AH1258" s="3" t="s">
        <v>57</v>
      </c>
      <c r="AI1258" s="5" t="s">
        <v>11022</v>
      </c>
      <c r="AJ1258" s="3" t="s">
        <v>45</v>
      </c>
      <c r="AK1258" s="3" t="s">
        <v>45</v>
      </c>
      <c r="AL1258" s="3" t="s">
        <v>45</v>
      </c>
      <c r="AM1258" s="3" t="s">
        <v>45</v>
      </c>
      <c r="AN1258" s="3" t="s">
        <v>45</v>
      </c>
      <c r="AO1258" s="3" t="s">
        <v>45</v>
      </c>
      <c r="AP1258" s="3" t="s">
        <v>45</v>
      </c>
      <c r="AQ1258" s="4" t="s">
        <v>948</v>
      </c>
      <c r="AR1258" s="4" t="s">
        <v>948</v>
      </c>
    </row>
    <row r="1259">
      <c r="A1259" s="3" t="s">
        <v>11028</v>
      </c>
      <c r="B1259" s="3" t="s">
        <v>11029</v>
      </c>
      <c r="C1259" s="3" t="s">
        <v>11017</v>
      </c>
      <c r="D1259" s="3" t="s">
        <v>9900</v>
      </c>
      <c r="E1259" s="4" t="s">
        <v>11018</v>
      </c>
      <c r="F1259" s="3" t="s">
        <v>11019</v>
      </c>
      <c r="G1259" s="4" t="s">
        <v>11030</v>
      </c>
      <c r="H1259" s="4" t="s">
        <v>11031</v>
      </c>
      <c r="I1259" s="3" t="s">
        <v>49</v>
      </c>
      <c r="J1259" s="3" t="s">
        <v>126</v>
      </c>
      <c r="K1259" s="3" t="s">
        <v>45</v>
      </c>
      <c r="L1259" s="3" t="s">
        <v>479</v>
      </c>
      <c r="M1259" s="3" t="s">
        <v>45</v>
      </c>
      <c r="N1259" s="3" t="s">
        <v>45</v>
      </c>
      <c r="O1259" s="3" t="s">
        <v>88</v>
      </c>
      <c r="P1259" s="3" t="s">
        <v>45</v>
      </c>
      <c r="Q1259" s="3" t="s">
        <v>45</v>
      </c>
      <c r="R1259" s="3" t="s">
        <v>45</v>
      </c>
      <c r="S1259" s="3" t="s">
        <v>45</v>
      </c>
      <c r="T1259" s="3" t="s">
        <v>45</v>
      </c>
      <c r="U1259" s="3" t="s">
        <v>45</v>
      </c>
      <c r="V1259" s="4" t="s">
        <v>2081</v>
      </c>
      <c r="W1259" s="4" t="s">
        <v>4947</v>
      </c>
      <c r="X1259" s="3" t="s">
        <v>45</v>
      </c>
      <c r="Y1259" s="3" t="s">
        <v>45</v>
      </c>
      <c r="Z1259" s="3" t="s">
        <v>74</v>
      </c>
      <c r="AA1259" s="3" t="s">
        <v>45</v>
      </c>
      <c r="AB1259" s="3" t="s">
        <v>45</v>
      </c>
      <c r="AC1259" s="3" t="s">
        <v>45</v>
      </c>
      <c r="AD1259" s="3" t="s">
        <v>45</v>
      </c>
      <c r="AE1259" s="3" t="s">
        <v>45</v>
      </c>
      <c r="AF1259" s="3" t="s">
        <v>45</v>
      </c>
      <c r="AG1259" s="3" t="s">
        <v>45</v>
      </c>
      <c r="AH1259" s="3" t="s">
        <v>57</v>
      </c>
      <c r="AI1259" s="5" t="s">
        <v>11022</v>
      </c>
      <c r="AJ1259" s="3" t="s">
        <v>45</v>
      </c>
      <c r="AK1259" s="3" t="s">
        <v>45</v>
      </c>
      <c r="AL1259" s="3" t="s">
        <v>45</v>
      </c>
      <c r="AM1259" s="3" t="s">
        <v>45</v>
      </c>
      <c r="AN1259" s="3" t="s">
        <v>45</v>
      </c>
      <c r="AO1259" s="3" t="s">
        <v>45</v>
      </c>
      <c r="AP1259" s="3" t="s">
        <v>45</v>
      </c>
      <c r="AQ1259" s="4" t="s">
        <v>948</v>
      </c>
      <c r="AR1259" s="4" t="s">
        <v>948</v>
      </c>
    </row>
    <row r="1260">
      <c r="A1260" s="3" t="s">
        <v>11032</v>
      </c>
      <c r="B1260" s="3" t="s">
        <v>11033</v>
      </c>
      <c r="C1260" s="3" t="s">
        <v>11017</v>
      </c>
      <c r="D1260" s="3" t="s">
        <v>9900</v>
      </c>
      <c r="E1260" s="4" t="s">
        <v>11034</v>
      </c>
      <c r="F1260" s="3" t="s">
        <v>11019</v>
      </c>
      <c r="G1260" s="4" t="s">
        <v>11035</v>
      </c>
      <c r="H1260" s="4" t="s">
        <v>11036</v>
      </c>
      <c r="I1260" s="3" t="s">
        <v>49</v>
      </c>
      <c r="J1260" s="3" t="s">
        <v>50</v>
      </c>
      <c r="K1260" s="3" t="s">
        <v>45</v>
      </c>
      <c r="L1260" s="3" t="s">
        <v>45</v>
      </c>
      <c r="M1260" s="3" t="s">
        <v>45</v>
      </c>
      <c r="N1260" s="3" t="s">
        <v>45</v>
      </c>
      <c r="O1260" s="3" t="s">
        <v>74</v>
      </c>
      <c r="P1260" s="3" t="s">
        <v>45</v>
      </c>
      <c r="Q1260" s="3" t="s">
        <v>45</v>
      </c>
      <c r="R1260" s="3" t="s">
        <v>45</v>
      </c>
      <c r="S1260" s="3" t="s">
        <v>45</v>
      </c>
      <c r="T1260" s="3" t="s">
        <v>45</v>
      </c>
      <c r="U1260" s="3" t="s">
        <v>45</v>
      </c>
      <c r="V1260" s="4" t="s">
        <v>11037</v>
      </c>
      <c r="W1260" s="4" t="s">
        <v>3287</v>
      </c>
      <c r="X1260" s="3" t="s">
        <v>45</v>
      </c>
      <c r="Y1260" s="3" t="s">
        <v>45</v>
      </c>
      <c r="Z1260" s="3" t="s">
        <v>74</v>
      </c>
      <c r="AA1260" s="3" t="s">
        <v>45</v>
      </c>
      <c r="AB1260" s="3" t="s">
        <v>45</v>
      </c>
      <c r="AC1260" s="3" t="s">
        <v>45</v>
      </c>
      <c r="AD1260" s="3" t="s">
        <v>45</v>
      </c>
      <c r="AE1260" s="3" t="s">
        <v>45</v>
      </c>
      <c r="AF1260" s="3" t="s">
        <v>45</v>
      </c>
      <c r="AG1260" s="3" t="s">
        <v>10511</v>
      </c>
      <c r="AH1260" s="3" t="s">
        <v>9906</v>
      </c>
      <c r="AI1260" s="5" t="s">
        <v>11038</v>
      </c>
      <c r="AJ1260" s="5" t="s">
        <v>11039</v>
      </c>
      <c r="AK1260" s="3" t="s">
        <v>45</v>
      </c>
      <c r="AL1260" s="3" t="s">
        <v>45</v>
      </c>
      <c r="AM1260" s="3" t="s">
        <v>45</v>
      </c>
      <c r="AN1260" s="3" t="s">
        <v>45</v>
      </c>
      <c r="AO1260" s="3" t="s">
        <v>45</v>
      </c>
      <c r="AP1260" s="3" t="s">
        <v>45</v>
      </c>
      <c r="AQ1260" s="4" t="s">
        <v>11040</v>
      </c>
      <c r="AR1260" s="4" t="s">
        <v>9908</v>
      </c>
    </row>
    <row r="1261">
      <c r="A1261" s="3" t="s">
        <v>11041</v>
      </c>
      <c r="B1261" s="3" t="s">
        <v>45</v>
      </c>
      <c r="C1261" s="3" t="s">
        <v>11017</v>
      </c>
      <c r="D1261" s="3" t="s">
        <v>9900</v>
      </c>
      <c r="E1261" s="4" t="s">
        <v>11018</v>
      </c>
      <c r="F1261" s="3" t="s">
        <v>11019</v>
      </c>
      <c r="G1261" s="4" t="s">
        <v>11042</v>
      </c>
      <c r="H1261" s="4" t="s">
        <v>10239</v>
      </c>
      <c r="I1261" s="3" t="s">
        <v>49</v>
      </c>
      <c r="J1261" s="3" t="s">
        <v>50</v>
      </c>
      <c r="K1261" s="3" t="s">
        <v>45</v>
      </c>
      <c r="L1261" s="3" t="s">
        <v>479</v>
      </c>
      <c r="M1261" s="3" t="s">
        <v>45</v>
      </c>
      <c r="N1261" s="3" t="s">
        <v>45</v>
      </c>
      <c r="O1261" s="3" t="s">
        <v>74</v>
      </c>
      <c r="P1261" s="3" t="s">
        <v>45</v>
      </c>
      <c r="Q1261" s="3" t="s">
        <v>45</v>
      </c>
      <c r="R1261" s="3" t="s">
        <v>45</v>
      </c>
      <c r="S1261" s="3" t="s">
        <v>45</v>
      </c>
      <c r="T1261" s="3" t="s">
        <v>45</v>
      </c>
      <c r="U1261" s="3" t="s">
        <v>45</v>
      </c>
      <c r="V1261" s="4" t="s">
        <v>4570</v>
      </c>
      <c r="W1261" s="4" t="s">
        <v>2071</v>
      </c>
      <c r="X1261" s="3" t="s">
        <v>45</v>
      </c>
      <c r="Y1261" s="3" t="s">
        <v>45</v>
      </c>
      <c r="Z1261" s="3" t="s">
        <v>74</v>
      </c>
      <c r="AA1261" s="3" t="s">
        <v>45</v>
      </c>
      <c r="AB1261" s="3" t="s">
        <v>45</v>
      </c>
      <c r="AC1261" s="3" t="s">
        <v>45</v>
      </c>
      <c r="AD1261" s="3" t="s">
        <v>45</v>
      </c>
      <c r="AE1261" s="3" t="s">
        <v>45</v>
      </c>
      <c r="AF1261" s="3" t="s">
        <v>45</v>
      </c>
      <c r="AG1261" s="3" t="s">
        <v>10511</v>
      </c>
      <c r="AH1261" s="3" t="s">
        <v>9906</v>
      </c>
      <c r="AI1261" s="5" t="s">
        <v>11043</v>
      </c>
      <c r="AJ1261" s="3" t="s">
        <v>45</v>
      </c>
      <c r="AK1261" s="3" t="s">
        <v>45</v>
      </c>
      <c r="AL1261" s="3" t="s">
        <v>45</v>
      </c>
      <c r="AM1261" s="3" t="s">
        <v>45</v>
      </c>
      <c r="AN1261" s="3" t="s">
        <v>45</v>
      </c>
      <c r="AO1261" s="3" t="s">
        <v>45</v>
      </c>
      <c r="AP1261" s="3" t="s">
        <v>45</v>
      </c>
      <c r="AQ1261" s="4" t="s">
        <v>9934</v>
      </c>
      <c r="AR1261" s="4" t="s">
        <v>9908</v>
      </c>
    </row>
    <row r="1262">
      <c r="A1262" s="3" t="s">
        <v>11044</v>
      </c>
      <c r="B1262" s="3" t="s">
        <v>11045</v>
      </c>
      <c r="C1262" s="3" t="s">
        <v>11017</v>
      </c>
      <c r="D1262" s="3" t="s">
        <v>9900</v>
      </c>
      <c r="E1262" s="4" t="s">
        <v>11018</v>
      </c>
      <c r="F1262" s="3" t="s">
        <v>11019</v>
      </c>
      <c r="G1262" s="4" t="s">
        <v>11046</v>
      </c>
      <c r="H1262" s="4" t="s">
        <v>11047</v>
      </c>
      <c r="I1262" s="3" t="s">
        <v>49</v>
      </c>
      <c r="J1262" s="3" t="s">
        <v>126</v>
      </c>
      <c r="K1262" s="3" t="s">
        <v>45</v>
      </c>
      <c r="L1262" s="3" t="s">
        <v>479</v>
      </c>
      <c r="M1262" s="3" t="s">
        <v>45</v>
      </c>
      <c r="N1262" s="3" t="s">
        <v>45</v>
      </c>
      <c r="O1262" s="3" t="s">
        <v>74</v>
      </c>
      <c r="P1262" s="3" t="s">
        <v>45</v>
      </c>
      <c r="Q1262" s="3" t="s">
        <v>45</v>
      </c>
      <c r="R1262" s="3" t="s">
        <v>45</v>
      </c>
      <c r="S1262" s="3" t="s">
        <v>45</v>
      </c>
      <c r="T1262" s="3" t="s">
        <v>45</v>
      </c>
      <c r="U1262" s="3" t="s">
        <v>45</v>
      </c>
      <c r="V1262" s="4" t="s">
        <v>2081</v>
      </c>
      <c r="W1262" s="4" t="s">
        <v>4947</v>
      </c>
      <c r="X1262" s="3" t="s">
        <v>45</v>
      </c>
      <c r="Y1262" s="3" t="s">
        <v>45</v>
      </c>
      <c r="Z1262" s="3" t="s">
        <v>74</v>
      </c>
      <c r="AA1262" s="3" t="s">
        <v>45</v>
      </c>
      <c r="AB1262" s="3" t="s">
        <v>45</v>
      </c>
      <c r="AC1262" s="3" t="s">
        <v>45</v>
      </c>
      <c r="AD1262" s="3" t="s">
        <v>45</v>
      </c>
      <c r="AE1262" s="3" t="s">
        <v>45</v>
      </c>
      <c r="AF1262" s="3" t="s">
        <v>45</v>
      </c>
      <c r="AG1262" s="3" t="s">
        <v>10511</v>
      </c>
      <c r="AH1262" s="3" t="s">
        <v>9906</v>
      </c>
      <c r="AI1262" s="5" t="s">
        <v>11022</v>
      </c>
      <c r="AJ1262" s="3" t="s">
        <v>45</v>
      </c>
      <c r="AK1262" s="3" t="s">
        <v>45</v>
      </c>
      <c r="AL1262" s="3" t="s">
        <v>45</v>
      </c>
      <c r="AM1262" s="3" t="s">
        <v>45</v>
      </c>
      <c r="AN1262" s="3" t="s">
        <v>45</v>
      </c>
      <c r="AO1262" s="3" t="s">
        <v>45</v>
      </c>
      <c r="AP1262" s="3" t="s">
        <v>45</v>
      </c>
      <c r="AQ1262" s="4" t="s">
        <v>9934</v>
      </c>
      <c r="AR1262" s="4" t="s">
        <v>9908</v>
      </c>
    </row>
    <row r="1263">
      <c r="A1263" s="3" t="s">
        <v>11048</v>
      </c>
      <c r="B1263" s="3" t="s">
        <v>11049</v>
      </c>
      <c r="C1263" s="3" t="s">
        <v>11017</v>
      </c>
      <c r="D1263" s="3" t="s">
        <v>9900</v>
      </c>
      <c r="E1263" s="4" t="s">
        <v>11034</v>
      </c>
      <c r="F1263" s="3" t="s">
        <v>11019</v>
      </c>
      <c r="G1263" s="4" t="s">
        <v>11050</v>
      </c>
      <c r="H1263" s="4" t="s">
        <v>11051</v>
      </c>
      <c r="I1263" s="3" t="s">
        <v>49</v>
      </c>
      <c r="J1263" s="3" t="s">
        <v>50</v>
      </c>
      <c r="K1263" s="3" t="s">
        <v>45</v>
      </c>
      <c r="L1263" s="3" t="s">
        <v>45</v>
      </c>
      <c r="M1263" s="3" t="s">
        <v>45</v>
      </c>
      <c r="N1263" s="3" t="s">
        <v>45</v>
      </c>
      <c r="O1263" s="3" t="s">
        <v>74</v>
      </c>
      <c r="P1263" s="3" t="s">
        <v>45</v>
      </c>
      <c r="Q1263" s="3" t="s">
        <v>45</v>
      </c>
      <c r="R1263" s="3" t="s">
        <v>45</v>
      </c>
      <c r="S1263" s="3" t="s">
        <v>45</v>
      </c>
      <c r="T1263" s="3" t="s">
        <v>45</v>
      </c>
      <c r="U1263" s="3" t="s">
        <v>45</v>
      </c>
      <c r="V1263" s="4" t="s">
        <v>2105</v>
      </c>
      <c r="W1263" s="4" t="s">
        <v>2826</v>
      </c>
      <c r="X1263" s="3" t="s">
        <v>45</v>
      </c>
      <c r="Y1263" s="3" t="s">
        <v>45</v>
      </c>
      <c r="Z1263" s="3" t="s">
        <v>74</v>
      </c>
      <c r="AA1263" s="3" t="s">
        <v>45</v>
      </c>
      <c r="AB1263" s="3" t="s">
        <v>45</v>
      </c>
      <c r="AC1263" s="3" t="s">
        <v>45</v>
      </c>
      <c r="AD1263" s="3" t="s">
        <v>45</v>
      </c>
      <c r="AE1263" s="3" t="s">
        <v>45</v>
      </c>
      <c r="AF1263" s="3" t="s">
        <v>45</v>
      </c>
      <c r="AG1263" s="3" t="s">
        <v>11052</v>
      </c>
      <c r="AH1263" s="3" t="s">
        <v>9906</v>
      </c>
      <c r="AI1263" s="5" t="s">
        <v>11053</v>
      </c>
      <c r="AJ1263" s="5" t="s">
        <v>11054</v>
      </c>
      <c r="AK1263" s="3" t="s">
        <v>45</v>
      </c>
      <c r="AL1263" s="3" t="s">
        <v>45</v>
      </c>
      <c r="AM1263" s="3" t="s">
        <v>45</v>
      </c>
      <c r="AN1263" s="3" t="s">
        <v>45</v>
      </c>
      <c r="AO1263" s="3" t="s">
        <v>45</v>
      </c>
      <c r="AP1263" s="3" t="s">
        <v>45</v>
      </c>
      <c r="AQ1263" s="4" t="s">
        <v>11040</v>
      </c>
      <c r="AR1263" s="4" t="s">
        <v>9908</v>
      </c>
    </row>
    <row r="1264">
      <c r="A1264" s="3" t="s">
        <v>11055</v>
      </c>
      <c r="B1264" s="3" t="s">
        <v>11056</v>
      </c>
      <c r="C1264" s="3" t="s">
        <v>11017</v>
      </c>
      <c r="D1264" s="3" t="s">
        <v>9900</v>
      </c>
      <c r="E1264" s="4" t="s">
        <v>11057</v>
      </c>
      <c r="F1264" s="3" t="s">
        <v>11019</v>
      </c>
      <c r="G1264" s="4" t="s">
        <v>11058</v>
      </c>
      <c r="H1264" s="4" t="s">
        <v>11059</v>
      </c>
      <c r="I1264" s="3" t="s">
        <v>49</v>
      </c>
      <c r="J1264" s="3" t="s">
        <v>50</v>
      </c>
      <c r="K1264" s="3" t="s">
        <v>45</v>
      </c>
      <c r="L1264" s="3" t="s">
        <v>45</v>
      </c>
      <c r="M1264" s="3" t="s">
        <v>45</v>
      </c>
      <c r="N1264" s="3" t="s">
        <v>45</v>
      </c>
      <c r="O1264" s="3" t="s">
        <v>74</v>
      </c>
      <c r="P1264" s="3" t="s">
        <v>45</v>
      </c>
      <c r="Q1264" s="3" t="s">
        <v>45</v>
      </c>
      <c r="R1264" s="3" t="s">
        <v>45</v>
      </c>
      <c r="S1264" s="3" t="s">
        <v>45</v>
      </c>
      <c r="T1264" s="3" t="s">
        <v>45</v>
      </c>
      <c r="U1264" s="3" t="s">
        <v>45</v>
      </c>
      <c r="V1264" s="4" t="s">
        <v>420</v>
      </c>
      <c r="W1264" s="4" t="s">
        <v>8037</v>
      </c>
      <c r="X1264" s="3" t="s">
        <v>45</v>
      </c>
      <c r="Y1264" s="3" t="s">
        <v>45</v>
      </c>
      <c r="Z1264" s="3" t="s">
        <v>74</v>
      </c>
      <c r="AA1264" s="3" t="s">
        <v>45</v>
      </c>
      <c r="AB1264" s="3" t="s">
        <v>45</v>
      </c>
      <c r="AC1264" s="3" t="s">
        <v>45</v>
      </c>
      <c r="AD1264" s="3" t="s">
        <v>45</v>
      </c>
      <c r="AE1264" s="3" t="s">
        <v>45</v>
      </c>
      <c r="AF1264" s="3" t="s">
        <v>45</v>
      </c>
      <c r="AG1264" s="3" t="s">
        <v>10511</v>
      </c>
      <c r="AH1264" s="3" t="s">
        <v>9906</v>
      </c>
      <c r="AI1264" s="5" t="s">
        <v>11053</v>
      </c>
      <c r="AJ1264" s="5" t="s">
        <v>11060</v>
      </c>
      <c r="AK1264" s="3" t="s">
        <v>45</v>
      </c>
      <c r="AL1264" s="3" t="s">
        <v>45</v>
      </c>
      <c r="AM1264" s="3" t="s">
        <v>45</v>
      </c>
      <c r="AN1264" s="3" t="s">
        <v>45</v>
      </c>
      <c r="AO1264" s="3" t="s">
        <v>45</v>
      </c>
      <c r="AP1264" s="3" t="s">
        <v>45</v>
      </c>
      <c r="AQ1264" s="4" t="s">
        <v>11040</v>
      </c>
      <c r="AR1264" s="4" t="s">
        <v>9908</v>
      </c>
    </row>
    <row r="1265">
      <c r="A1265" s="3" t="s">
        <v>11061</v>
      </c>
      <c r="B1265" s="3" t="s">
        <v>11062</v>
      </c>
      <c r="C1265" s="3" t="s">
        <v>11017</v>
      </c>
      <c r="D1265" s="3" t="s">
        <v>9900</v>
      </c>
      <c r="E1265" s="4" t="s">
        <v>11034</v>
      </c>
      <c r="F1265" s="3" t="s">
        <v>11019</v>
      </c>
      <c r="G1265" s="4" t="s">
        <v>11063</v>
      </c>
      <c r="H1265" s="4" t="s">
        <v>11064</v>
      </c>
      <c r="I1265" s="3" t="s">
        <v>49</v>
      </c>
      <c r="J1265" s="3" t="s">
        <v>50</v>
      </c>
      <c r="K1265" s="3" t="s">
        <v>45</v>
      </c>
      <c r="L1265" s="3" t="s">
        <v>45</v>
      </c>
      <c r="M1265" s="3" t="s">
        <v>45</v>
      </c>
      <c r="N1265" s="3" t="s">
        <v>45</v>
      </c>
      <c r="O1265" s="3" t="s">
        <v>74</v>
      </c>
      <c r="P1265" s="3" t="s">
        <v>45</v>
      </c>
      <c r="Q1265" s="3" t="s">
        <v>45</v>
      </c>
      <c r="R1265" s="3" t="s">
        <v>45</v>
      </c>
      <c r="S1265" s="3" t="s">
        <v>45</v>
      </c>
      <c r="T1265" s="3" t="s">
        <v>45</v>
      </c>
      <c r="U1265" s="3" t="s">
        <v>45</v>
      </c>
      <c r="V1265" s="4" t="s">
        <v>11065</v>
      </c>
      <c r="W1265" s="4" t="s">
        <v>11066</v>
      </c>
      <c r="X1265" s="3" t="s">
        <v>45</v>
      </c>
      <c r="Y1265" s="3" t="s">
        <v>45</v>
      </c>
      <c r="Z1265" s="3" t="s">
        <v>74</v>
      </c>
      <c r="AA1265" s="3" t="s">
        <v>45</v>
      </c>
      <c r="AB1265" s="3" t="s">
        <v>45</v>
      </c>
      <c r="AC1265" s="3" t="s">
        <v>45</v>
      </c>
      <c r="AD1265" s="3" t="s">
        <v>45</v>
      </c>
      <c r="AE1265" s="3" t="s">
        <v>45</v>
      </c>
      <c r="AF1265" s="3" t="s">
        <v>45</v>
      </c>
      <c r="AG1265" s="3" t="s">
        <v>11067</v>
      </c>
      <c r="AH1265" s="3" t="s">
        <v>57</v>
      </c>
      <c r="AI1265" s="5" t="s">
        <v>11068</v>
      </c>
      <c r="AJ1265" s="5" t="s">
        <v>11069</v>
      </c>
      <c r="AK1265" s="5" t="s">
        <v>11070</v>
      </c>
      <c r="AL1265" s="3" t="s">
        <v>45</v>
      </c>
      <c r="AM1265" s="3" t="s">
        <v>45</v>
      </c>
      <c r="AN1265" s="3" t="s">
        <v>45</v>
      </c>
      <c r="AO1265" s="3" t="s">
        <v>45</v>
      </c>
      <c r="AP1265" s="3" t="s">
        <v>45</v>
      </c>
      <c r="AQ1265" s="4" t="s">
        <v>2353</v>
      </c>
      <c r="AR1265" s="4" t="s">
        <v>2353</v>
      </c>
    </row>
    <row r="1266">
      <c r="A1266" s="3" t="s">
        <v>11071</v>
      </c>
      <c r="B1266" s="3" t="s">
        <v>11072</v>
      </c>
      <c r="C1266" s="3" t="s">
        <v>11017</v>
      </c>
      <c r="D1266" s="3" t="s">
        <v>9900</v>
      </c>
      <c r="E1266" s="4" t="s">
        <v>11057</v>
      </c>
      <c r="F1266" s="3" t="s">
        <v>11019</v>
      </c>
      <c r="G1266" s="4" t="s">
        <v>11073</v>
      </c>
      <c r="H1266" s="4" t="s">
        <v>11074</v>
      </c>
      <c r="I1266" s="3" t="s">
        <v>49</v>
      </c>
      <c r="J1266" s="3" t="s">
        <v>50</v>
      </c>
      <c r="K1266" s="3" t="s">
        <v>45</v>
      </c>
      <c r="L1266" s="3" t="s">
        <v>45</v>
      </c>
      <c r="M1266" s="3" t="s">
        <v>45</v>
      </c>
      <c r="N1266" s="3" t="s">
        <v>45</v>
      </c>
      <c r="O1266" s="3" t="s">
        <v>74</v>
      </c>
      <c r="P1266" s="3" t="s">
        <v>45</v>
      </c>
      <c r="Q1266" s="3" t="s">
        <v>45</v>
      </c>
      <c r="R1266" s="3" t="s">
        <v>45</v>
      </c>
      <c r="S1266" s="3" t="s">
        <v>45</v>
      </c>
      <c r="T1266" s="3" t="s">
        <v>45</v>
      </c>
      <c r="U1266" s="3" t="s">
        <v>45</v>
      </c>
      <c r="V1266" s="4" t="s">
        <v>11075</v>
      </c>
      <c r="W1266" s="4" t="s">
        <v>11076</v>
      </c>
      <c r="X1266" s="3" t="s">
        <v>45</v>
      </c>
      <c r="Y1266" s="3" t="s">
        <v>45</v>
      </c>
      <c r="Z1266" s="3" t="s">
        <v>74</v>
      </c>
      <c r="AA1266" s="3" t="s">
        <v>45</v>
      </c>
      <c r="AB1266" s="3" t="s">
        <v>45</v>
      </c>
      <c r="AC1266" s="3" t="s">
        <v>45</v>
      </c>
      <c r="AD1266" s="3" t="s">
        <v>45</v>
      </c>
      <c r="AE1266" s="3" t="s">
        <v>45</v>
      </c>
      <c r="AF1266" s="3" t="s">
        <v>45</v>
      </c>
      <c r="AG1266" s="3" t="s">
        <v>10511</v>
      </c>
      <c r="AH1266" s="3" t="s">
        <v>9906</v>
      </c>
      <c r="AI1266" s="5" t="s">
        <v>11077</v>
      </c>
      <c r="AJ1266" s="5" t="s">
        <v>11078</v>
      </c>
      <c r="AK1266" s="3" t="s">
        <v>45</v>
      </c>
      <c r="AL1266" s="3" t="s">
        <v>45</v>
      </c>
      <c r="AM1266" s="3" t="s">
        <v>45</v>
      </c>
      <c r="AN1266" s="3" t="s">
        <v>45</v>
      </c>
      <c r="AO1266" s="3" t="s">
        <v>45</v>
      </c>
      <c r="AP1266" s="3" t="s">
        <v>45</v>
      </c>
      <c r="AQ1266" s="4" t="s">
        <v>11040</v>
      </c>
      <c r="AR1266" s="4" t="s">
        <v>9908</v>
      </c>
    </row>
    <row r="1267">
      <c r="A1267" s="3" t="s">
        <v>11079</v>
      </c>
      <c r="B1267" s="3" t="s">
        <v>11080</v>
      </c>
      <c r="C1267" s="3" t="s">
        <v>11017</v>
      </c>
      <c r="D1267" s="3" t="s">
        <v>9900</v>
      </c>
      <c r="E1267" s="4" t="s">
        <v>11018</v>
      </c>
      <c r="F1267" s="3" t="s">
        <v>11019</v>
      </c>
      <c r="G1267" s="4" t="s">
        <v>11081</v>
      </c>
      <c r="H1267" s="4" t="s">
        <v>11082</v>
      </c>
      <c r="I1267" s="3" t="s">
        <v>49</v>
      </c>
      <c r="J1267" s="3" t="s">
        <v>126</v>
      </c>
      <c r="K1267" s="3" t="s">
        <v>45</v>
      </c>
      <c r="L1267" s="3" t="s">
        <v>45</v>
      </c>
      <c r="M1267" s="3" t="s">
        <v>45</v>
      </c>
      <c r="N1267" s="3" t="s">
        <v>45</v>
      </c>
      <c r="O1267" s="3" t="s">
        <v>88</v>
      </c>
      <c r="P1267" s="3" t="s">
        <v>45</v>
      </c>
      <c r="Q1267" s="3" t="s">
        <v>45</v>
      </c>
      <c r="R1267" s="3" t="s">
        <v>45</v>
      </c>
      <c r="S1267" s="4" t="s">
        <v>11083</v>
      </c>
      <c r="T1267" s="3" t="s">
        <v>45</v>
      </c>
      <c r="U1267" s="3" t="s">
        <v>45</v>
      </c>
      <c r="V1267" s="4" t="s">
        <v>836</v>
      </c>
      <c r="W1267" s="4" t="s">
        <v>2163</v>
      </c>
      <c r="X1267" s="3" t="s">
        <v>45</v>
      </c>
      <c r="Y1267" s="3" t="s">
        <v>45</v>
      </c>
      <c r="Z1267" s="3" t="s">
        <v>74</v>
      </c>
      <c r="AA1267" s="3" t="s">
        <v>45</v>
      </c>
      <c r="AB1267" s="3" t="s">
        <v>45</v>
      </c>
      <c r="AC1267" s="3" t="s">
        <v>45</v>
      </c>
      <c r="AD1267" s="3" t="s">
        <v>45</v>
      </c>
      <c r="AE1267" s="3" t="s">
        <v>45</v>
      </c>
      <c r="AF1267" s="3" t="s">
        <v>45</v>
      </c>
      <c r="AG1267" s="3" t="s">
        <v>45</v>
      </c>
      <c r="AH1267" s="3" t="s">
        <v>57</v>
      </c>
      <c r="AI1267" s="5" t="s">
        <v>11022</v>
      </c>
      <c r="AJ1267" s="3" t="s">
        <v>45</v>
      </c>
      <c r="AK1267" s="3" t="s">
        <v>45</v>
      </c>
      <c r="AL1267" s="3" t="s">
        <v>45</v>
      </c>
      <c r="AM1267" s="3" t="s">
        <v>45</v>
      </c>
      <c r="AN1267" s="3" t="s">
        <v>45</v>
      </c>
      <c r="AO1267" s="3" t="s">
        <v>45</v>
      </c>
      <c r="AP1267" s="3" t="s">
        <v>45</v>
      </c>
      <c r="AQ1267" s="4" t="s">
        <v>948</v>
      </c>
      <c r="AR1267" s="4" t="s">
        <v>948</v>
      </c>
    </row>
    <row r="1268">
      <c r="A1268" s="3" t="s">
        <v>11084</v>
      </c>
      <c r="B1268" s="3" t="s">
        <v>11085</v>
      </c>
      <c r="C1268" s="3" t="s">
        <v>11017</v>
      </c>
      <c r="D1268" s="3" t="s">
        <v>9900</v>
      </c>
      <c r="E1268" s="4" t="s">
        <v>11086</v>
      </c>
      <c r="F1268" s="3" t="s">
        <v>11019</v>
      </c>
      <c r="G1268" s="4" t="s">
        <v>11087</v>
      </c>
      <c r="H1268" s="4" t="s">
        <v>11088</v>
      </c>
      <c r="I1268" s="3" t="s">
        <v>49</v>
      </c>
      <c r="J1268" s="3" t="s">
        <v>126</v>
      </c>
      <c r="K1268" s="3" t="s">
        <v>45</v>
      </c>
      <c r="L1268" s="3" t="s">
        <v>11089</v>
      </c>
      <c r="M1268" s="3" t="s">
        <v>45</v>
      </c>
      <c r="N1268" s="3" t="s">
        <v>45</v>
      </c>
      <c r="O1268" s="3" t="s">
        <v>74</v>
      </c>
      <c r="P1268" s="3" t="s">
        <v>45</v>
      </c>
      <c r="Q1268" s="3" t="s">
        <v>45</v>
      </c>
      <c r="R1268" s="3" t="s">
        <v>45</v>
      </c>
      <c r="S1268" s="3" t="s">
        <v>45</v>
      </c>
      <c r="T1268" s="3" t="s">
        <v>45</v>
      </c>
      <c r="U1268" s="3" t="s">
        <v>45</v>
      </c>
      <c r="V1268" s="4" t="s">
        <v>11090</v>
      </c>
      <c r="W1268" s="4" t="s">
        <v>6409</v>
      </c>
      <c r="X1268" s="3" t="s">
        <v>45</v>
      </c>
      <c r="Y1268" s="3" t="s">
        <v>45</v>
      </c>
      <c r="Z1268" s="3" t="s">
        <v>74</v>
      </c>
      <c r="AA1268" s="3" t="s">
        <v>45</v>
      </c>
      <c r="AB1268" s="3" t="s">
        <v>45</v>
      </c>
      <c r="AC1268" s="3" t="s">
        <v>45</v>
      </c>
      <c r="AD1268" s="3" t="s">
        <v>45</v>
      </c>
      <c r="AE1268" s="3" t="s">
        <v>45</v>
      </c>
      <c r="AF1268" s="3" t="s">
        <v>45</v>
      </c>
      <c r="AG1268" s="3" t="s">
        <v>10511</v>
      </c>
      <c r="AH1268" s="3" t="s">
        <v>9906</v>
      </c>
      <c r="AI1268" s="5" t="s">
        <v>11091</v>
      </c>
      <c r="AJ1268" s="5" t="s">
        <v>11092</v>
      </c>
      <c r="AK1268" s="3" t="s">
        <v>45</v>
      </c>
      <c r="AL1268" s="3" t="s">
        <v>45</v>
      </c>
      <c r="AM1268" s="3" t="s">
        <v>45</v>
      </c>
      <c r="AN1268" s="3" t="s">
        <v>45</v>
      </c>
      <c r="AO1268" s="3" t="s">
        <v>45</v>
      </c>
      <c r="AP1268" s="3" t="s">
        <v>45</v>
      </c>
      <c r="AQ1268" s="4" t="s">
        <v>7223</v>
      </c>
      <c r="AR1268" s="4" t="s">
        <v>9908</v>
      </c>
    </row>
    <row r="1269">
      <c r="A1269" s="3" t="s">
        <v>11093</v>
      </c>
      <c r="B1269" s="3" t="s">
        <v>11094</v>
      </c>
      <c r="C1269" s="3" t="s">
        <v>11017</v>
      </c>
      <c r="D1269" s="3" t="s">
        <v>9900</v>
      </c>
      <c r="E1269" s="4" t="s">
        <v>11095</v>
      </c>
      <c r="F1269" s="3" t="s">
        <v>11019</v>
      </c>
      <c r="G1269" s="4" t="s">
        <v>11096</v>
      </c>
      <c r="H1269" s="4" t="s">
        <v>11097</v>
      </c>
      <c r="I1269" s="3" t="s">
        <v>218</v>
      </c>
      <c r="J1269" s="3" t="s">
        <v>126</v>
      </c>
      <c r="K1269" s="3" t="s">
        <v>45</v>
      </c>
      <c r="L1269" s="3" t="s">
        <v>479</v>
      </c>
      <c r="M1269" s="3" t="s">
        <v>45</v>
      </c>
      <c r="N1269" s="3" t="s">
        <v>45</v>
      </c>
      <c r="O1269" s="3" t="s">
        <v>74</v>
      </c>
      <c r="P1269" s="3" t="s">
        <v>45</v>
      </c>
      <c r="Q1269" s="3" t="s">
        <v>45</v>
      </c>
      <c r="R1269" s="3" t="s">
        <v>45</v>
      </c>
      <c r="S1269" s="3" t="s">
        <v>45</v>
      </c>
      <c r="T1269" s="3" t="s">
        <v>45</v>
      </c>
      <c r="U1269" s="3" t="s">
        <v>45</v>
      </c>
      <c r="V1269" s="4" t="s">
        <v>2140</v>
      </c>
      <c r="W1269" s="3" t="s">
        <v>45</v>
      </c>
      <c r="X1269" s="3" t="s">
        <v>45</v>
      </c>
      <c r="Y1269" s="3" t="s">
        <v>45</v>
      </c>
      <c r="Z1269" s="3" t="s">
        <v>74</v>
      </c>
      <c r="AA1269" s="3" t="s">
        <v>45</v>
      </c>
      <c r="AB1269" s="3" t="s">
        <v>45</v>
      </c>
      <c r="AC1269" s="3" t="s">
        <v>45</v>
      </c>
      <c r="AD1269" s="3" t="s">
        <v>45</v>
      </c>
      <c r="AE1269" s="3" t="s">
        <v>45</v>
      </c>
      <c r="AF1269" s="3" t="s">
        <v>45</v>
      </c>
      <c r="AG1269" s="3" t="s">
        <v>45</v>
      </c>
      <c r="AH1269" s="3" t="s">
        <v>57</v>
      </c>
      <c r="AI1269" s="5" t="s">
        <v>11098</v>
      </c>
      <c r="AJ1269" s="5" t="s">
        <v>11022</v>
      </c>
      <c r="AK1269" s="3" t="s">
        <v>45</v>
      </c>
      <c r="AL1269" s="3" t="s">
        <v>45</v>
      </c>
      <c r="AM1269" s="3" t="s">
        <v>45</v>
      </c>
      <c r="AN1269" s="3" t="s">
        <v>45</v>
      </c>
      <c r="AO1269" s="3" t="s">
        <v>45</v>
      </c>
      <c r="AP1269" s="3" t="s">
        <v>45</v>
      </c>
      <c r="AQ1269" s="4" t="s">
        <v>3419</v>
      </c>
      <c r="AR1269" s="4" t="s">
        <v>3419</v>
      </c>
    </row>
    <row r="1270">
      <c r="A1270" s="3" t="s">
        <v>11099</v>
      </c>
      <c r="B1270" s="3" t="s">
        <v>11100</v>
      </c>
      <c r="C1270" s="3" t="s">
        <v>11017</v>
      </c>
      <c r="D1270" s="3" t="s">
        <v>9900</v>
      </c>
      <c r="E1270" s="4" t="s">
        <v>11095</v>
      </c>
      <c r="F1270" s="3" t="s">
        <v>11019</v>
      </c>
      <c r="G1270" s="4" t="s">
        <v>11101</v>
      </c>
      <c r="H1270" s="4" t="s">
        <v>11102</v>
      </c>
      <c r="I1270" s="3" t="s">
        <v>49</v>
      </c>
      <c r="J1270" s="3" t="s">
        <v>126</v>
      </c>
      <c r="K1270" s="3" t="s">
        <v>45</v>
      </c>
      <c r="L1270" s="3" t="s">
        <v>10379</v>
      </c>
      <c r="M1270" s="3" t="s">
        <v>45</v>
      </c>
      <c r="N1270" s="3" t="s">
        <v>45</v>
      </c>
      <c r="O1270" s="3" t="s">
        <v>74</v>
      </c>
      <c r="P1270" s="3" t="s">
        <v>45</v>
      </c>
      <c r="Q1270" s="3" t="s">
        <v>45</v>
      </c>
      <c r="R1270" s="3" t="s">
        <v>45</v>
      </c>
      <c r="S1270" s="3" t="s">
        <v>45</v>
      </c>
      <c r="T1270" s="3" t="s">
        <v>45</v>
      </c>
      <c r="U1270" s="3" t="s">
        <v>45</v>
      </c>
      <c r="V1270" s="3" t="s">
        <v>45</v>
      </c>
      <c r="W1270" s="4" t="s">
        <v>410</v>
      </c>
      <c r="X1270" s="3" t="s">
        <v>45</v>
      </c>
      <c r="Y1270" s="3" t="s">
        <v>45</v>
      </c>
      <c r="Z1270" s="3" t="s">
        <v>74</v>
      </c>
      <c r="AA1270" s="3" t="s">
        <v>45</v>
      </c>
      <c r="AB1270" s="3" t="s">
        <v>45</v>
      </c>
      <c r="AC1270" s="3" t="s">
        <v>45</v>
      </c>
      <c r="AD1270" s="3" t="s">
        <v>45</v>
      </c>
      <c r="AE1270" s="3" t="s">
        <v>45</v>
      </c>
      <c r="AF1270" s="3" t="s">
        <v>45</v>
      </c>
      <c r="AG1270" s="3" t="s">
        <v>11103</v>
      </c>
      <c r="AH1270" s="3" t="s">
        <v>9906</v>
      </c>
      <c r="AI1270" s="5" t="s">
        <v>11104</v>
      </c>
      <c r="AJ1270" s="5" t="s">
        <v>11105</v>
      </c>
      <c r="AK1270" s="3" t="s">
        <v>45</v>
      </c>
      <c r="AL1270" s="3" t="s">
        <v>45</v>
      </c>
      <c r="AM1270" s="3" t="s">
        <v>45</v>
      </c>
      <c r="AN1270" s="3" t="s">
        <v>45</v>
      </c>
      <c r="AO1270" s="3" t="s">
        <v>45</v>
      </c>
      <c r="AP1270" s="3" t="s">
        <v>45</v>
      </c>
      <c r="AQ1270" s="4" t="s">
        <v>212</v>
      </c>
      <c r="AR1270" s="4" t="s">
        <v>9908</v>
      </c>
    </row>
    <row r="1271">
      <c r="A1271" s="3" t="s">
        <v>11106</v>
      </c>
      <c r="B1271" s="3" t="s">
        <v>11107</v>
      </c>
      <c r="C1271" s="3" t="s">
        <v>11017</v>
      </c>
      <c r="D1271" s="3" t="s">
        <v>9900</v>
      </c>
      <c r="E1271" s="4" t="s">
        <v>9911</v>
      </c>
      <c r="F1271" s="3" t="s">
        <v>11019</v>
      </c>
      <c r="G1271" s="4" t="s">
        <v>11108</v>
      </c>
      <c r="H1271" s="4" t="s">
        <v>11109</v>
      </c>
      <c r="I1271" s="3" t="s">
        <v>218</v>
      </c>
      <c r="J1271" s="3" t="s">
        <v>50</v>
      </c>
      <c r="K1271" s="3" t="s">
        <v>45</v>
      </c>
      <c r="L1271" s="3" t="s">
        <v>45</v>
      </c>
      <c r="M1271" s="3" t="s">
        <v>45</v>
      </c>
      <c r="N1271" s="4" t="s">
        <v>128</v>
      </c>
      <c r="O1271" s="3" t="s">
        <v>70</v>
      </c>
      <c r="P1271" s="3" t="s">
        <v>45</v>
      </c>
      <c r="Q1271" s="3" t="s">
        <v>45</v>
      </c>
      <c r="R1271" s="3" t="s">
        <v>45</v>
      </c>
      <c r="S1271" s="4" t="s">
        <v>52</v>
      </c>
      <c r="T1271" s="3" t="s">
        <v>45</v>
      </c>
      <c r="U1271" s="3" t="s">
        <v>45</v>
      </c>
      <c r="V1271" s="4" t="s">
        <v>11110</v>
      </c>
      <c r="W1271" s="4" t="s">
        <v>11111</v>
      </c>
      <c r="X1271" s="3" t="s">
        <v>45</v>
      </c>
      <c r="Y1271" s="3" t="s">
        <v>45</v>
      </c>
      <c r="Z1271" s="3" t="s">
        <v>74</v>
      </c>
      <c r="AA1271" s="3" t="s">
        <v>45</v>
      </c>
      <c r="AB1271" s="3" t="s">
        <v>45</v>
      </c>
      <c r="AC1271" s="3" t="s">
        <v>45</v>
      </c>
      <c r="AD1271" s="3" t="s">
        <v>45</v>
      </c>
      <c r="AE1271" s="3" t="s">
        <v>45</v>
      </c>
      <c r="AF1271" s="3" t="s">
        <v>45</v>
      </c>
      <c r="AG1271" s="3" t="s">
        <v>45</v>
      </c>
      <c r="AH1271" s="3" t="s">
        <v>57</v>
      </c>
      <c r="AI1271" s="5" t="s">
        <v>11112</v>
      </c>
      <c r="AJ1271" s="5" t="s">
        <v>11113</v>
      </c>
      <c r="AK1271" s="3" t="s">
        <v>45</v>
      </c>
      <c r="AL1271" s="3" t="s">
        <v>45</v>
      </c>
      <c r="AM1271" s="3" t="s">
        <v>45</v>
      </c>
      <c r="AN1271" s="3" t="s">
        <v>45</v>
      </c>
      <c r="AO1271" s="3" t="s">
        <v>45</v>
      </c>
      <c r="AP1271" s="3" t="s">
        <v>45</v>
      </c>
      <c r="AQ1271" s="4" t="s">
        <v>3942</v>
      </c>
      <c r="AR1271" s="4" t="s">
        <v>3942</v>
      </c>
    </row>
    <row r="1272">
      <c r="A1272" s="3" t="s">
        <v>10679</v>
      </c>
      <c r="B1272" s="3" t="s">
        <v>11114</v>
      </c>
      <c r="C1272" s="3" t="s">
        <v>11017</v>
      </c>
      <c r="D1272" s="3" t="s">
        <v>9900</v>
      </c>
      <c r="E1272" s="4" t="s">
        <v>11095</v>
      </c>
      <c r="F1272" s="3" t="s">
        <v>11019</v>
      </c>
      <c r="G1272" s="4" t="s">
        <v>11115</v>
      </c>
      <c r="H1272" s="4" t="s">
        <v>11116</v>
      </c>
      <c r="I1272" s="3" t="s">
        <v>245</v>
      </c>
      <c r="J1272" s="3" t="s">
        <v>126</v>
      </c>
      <c r="K1272" s="3" t="s">
        <v>45</v>
      </c>
      <c r="L1272" s="3" t="s">
        <v>45</v>
      </c>
      <c r="M1272" s="3" t="s">
        <v>45</v>
      </c>
      <c r="N1272" s="3" t="s">
        <v>45</v>
      </c>
      <c r="O1272" s="3" t="s">
        <v>74</v>
      </c>
      <c r="P1272" s="3" t="s">
        <v>45</v>
      </c>
      <c r="Q1272" s="3" t="s">
        <v>45</v>
      </c>
      <c r="R1272" s="3" t="s">
        <v>45</v>
      </c>
      <c r="S1272" s="3" t="s">
        <v>45</v>
      </c>
      <c r="T1272" s="3" t="s">
        <v>45</v>
      </c>
      <c r="U1272" s="3" t="s">
        <v>45</v>
      </c>
      <c r="V1272" s="4" t="s">
        <v>1823</v>
      </c>
      <c r="W1272" s="3" t="s">
        <v>45</v>
      </c>
      <c r="X1272" s="3" t="s">
        <v>45</v>
      </c>
      <c r="Y1272" s="3" t="s">
        <v>45</v>
      </c>
      <c r="Z1272" s="3" t="s">
        <v>74</v>
      </c>
      <c r="AA1272" s="3" t="s">
        <v>45</v>
      </c>
      <c r="AB1272" s="3" t="s">
        <v>45</v>
      </c>
      <c r="AC1272" s="3" t="s">
        <v>45</v>
      </c>
      <c r="AD1272" s="3" t="s">
        <v>45</v>
      </c>
      <c r="AE1272" s="3" t="s">
        <v>45</v>
      </c>
      <c r="AF1272" s="3" t="s">
        <v>45</v>
      </c>
      <c r="AG1272" s="3" t="s">
        <v>45</v>
      </c>
      <c r="AH1272" s="3" t="s">
        <v>57</v>
      </c>
      <c r="AI1272" s="5" t="s">
        <v>11117</v>
      </c>
      <c r="AJ1272" s="3" t="s">
        <v>45</v>
      </c>
      <c r="AK1272" s="3" t="s">
        <v>45</v>
      </c>
      <c r="AL1272" s="3" t="s">
        <v>45</v>
      </c>
      <c r="AM1272" s="3" t="s">
        <v>45</v>
      </c>
      <c r="AN1272" s="3" t="s">
        <v>45</v>
      </c>
      <c r="AO1272" s="3" t="s">
        <v>45</v>
      </c>
      <c r="AP1272" s="3" t="s">
        <v>45</v>
      </c>
      <c r="AQ1272" s="4" t="s">
        <v>10685</v>
      </c>
      <c r="AR1272" s="4" t="s">
        <v>10685</v>
      </c>
    </row>
    <row r="1273">
      <c r="A1273" s="3" t="s">
        <v>11118</v>
      </c>
      <c r="B1273" s="3" t="s">
        <v>11119</v>
      </c>
      <c r="C1273" s="3" t="s">
        <v>11017</v>
      </c>
      <c r="D1273" s="3" t="s">
        <v>9900</v>
      </c>
      <c r="E1273" s="4" t="s">
        <v>11018</v>
      </c>
      <c r="F1273" s="3" t="s">
        <v>11019</v>
      </c>
      <c r="G1273" s="4" t="s">
        <v>11120</v>
      </c>
      <c r="H1273" s="4" t="s">
        <v>11121</v>
      </c>
      <c r="I1273" s="3" t="s">
        <v>408</v>
      </c>
      <c r="J1273" s="3" t="s">
        <v>126</v>
      </c>
      <c r="K1273" s="3" t="s">
        <v>45</v>
      </c>
      <c r="L1273" s="3" t="s">
        <v>45</v>
      </c>
      <c r="M1273" s="3" t="s">
        <v>45</v>
      </c>
      <c r="N1273" s="4" t="s">
        <v>1962</v>
      </c>
      <c r="O1273" s="3" t="s">
        <v>88</v>
      </c>
      <c r="P1273" s="3" t="s">
        <v>45</v>
      </c>
      <c r="Q1273" s="3" t="s">
        <v>45</v>
      </c>
      <c r="R1273" s="3" t="s">
        <v>45</v>
      </c>
      <c r="S1273" s="3" t="s">
        <v>9217</v>
      </c>
      <c r="T1273" s="3" t="s">
        <v>45</v>
      </c>
      <c r="U1273" s="3" t="s">
        <v>45</v>
      </c>
      <c r="V1273" s="4" t="s">
        <v>5420</v>
      </c>
      <c r="W1273" s="4" t="s">
        <v>2106</v>
      </c>
      <c r="X1273" s="3" t="s">
        <v>45</v>
      </c>
      <c r="Y1273" s="3" t="s">
        <v>45</v>
      </c>
      <c r="Z1273" s="3" t="s">
        <v>74</v>
      </c>
      <c r="AA1273" s="3" t="s">
        <v>45</v>
      </c>
      <c r="AB1273" s="3" t="s">
        <v>45</v>
      </c>
      <c r="AC1273" s="3" t="s">
        <v>45</v>
      </c>
      <c r="AD1273" s="3" t="s">
        <v>45</v>
      </c>
      <c r="AE1273" s="3" t="s">
        <v>45</v>
      </c>
      <c r="AF1273" s="3" t="s">
        <v>45</v>
      </c>
      <c r="AG1273" s="3" t="s">
        <v>10511</v>
      </c>
      <c r="AH1273" s="3" t="s">
        <v>9906</v>
      </c>
      <c r="AI1273" s="5" t="s">
        <v>11122</v>
      </c>
      <c r="AJ1273" s="5" t="s">
        <v>11123</v>
      </c>
      <c r="AK1273" s="5" t="s">
        <v>11124</v>
      </c>
      <c r="AL1273" s="5" t="s">
        <v>11125</v>
      </c>
      <c r="AM1273" s="3" t="s">
        <v>45</v>
      </c>
      <c r="AN1273" s="3" t="s">
        <v>45</v>
      </c>
      <c r="AO1273" s="3" t="s">
        <v>45</v>
      </c>
      <c r="AP1273" s="3" t="s">
        <v>45</v>
      </c>
      <c r="AQ1273" s="4" t="s">
        <v>9934</v>
      </c>
      <c r="AR1273" s="4" t="s">
        <v>1729</v>
      </c>
    </row>
    <row r="1274">
      <c r="A1274" s="3" t="s">
        <v>11126</v>
      </c>
      <c r="B1274" s="3" t="s">
        <v>11127</v>
      </c>
      <c r="C1274" s="3" t="s">
        <v>11017</v>
      </c>
      <c r="D1274" s="3" t="s">
        <v>9900</v>
      </c>
      <c r="E1274" s="4" t="s">
        <v>11034</v>
      </c>
      <c r="F1274" s="3" t="s">
        <v>11019</v>
      </c>
      <c r="G1274" s="4" t="s">
        <v>11128</v>
      </c>
      <c r="H1274" s="4" t="s">
        <v>11129</v>
      </c>
      <c r="I1274" s="3" t="s">
        <v>49</v>
      </c>
      <c r="J1274" s="3" t="s">
        <v>126</v>
      </c>
      <c r="K1274" s="3" t="s">
        <v>45</v>
      </c>
      <c r="L1274" s="3" t="s">
        <v>45</v>
      </c>
      <c r="M1274" s="3" t="s">
        <v>45</v>
      </c>
      <c r="N1274" s="3" t="s">
        <v>45</v>
      </c>
      <c r="O1274" s="3" t="s">
        <v>74</v>
      </c>
      <c r="P1274" s="3" t="s">
        <v>45</v>
      </c>
      <c r="Q1274" s="3" t="s">
        <v>45</v>
      </c>
      <c r="R1274" s="3" t="s">
        <v>45</v>
      </c>
      <c r="S1274" s="3" t="s">
        <v>45</v>
      </c>
      <c r="T1274" s="3" t="s">
        <v>45</v>
      </c>
      <c r="U1274" s="3" t="s">
        <v>45</v>
      </c>
      <c r="V1274" s="4" t="s">
        <v>11130</v>
      </c>
      <c r="W1274" s="4" t="s">
        <v>10433</v>
      </c>
      <c r="X1274" s="3" t="s">
        <v>45</v>
      </c>
      <c r="Y1274" s="3" t="s">
        <v>45</v>
      </c>
      <c r="Z1274" s="3" t="s">
        <v>74</v>
      </c>
      <c r="AA1274" s="3" t="s">
        <v>45</v>
      </c>
      <c r="AB1274" s="3" t="s">
        <v>45</v>
      </c>
      <c r="AC1274" s="3" t="s">
        <v>45</v>
      </c>
      <c r="AD1274" s="3" t="s">
        <v>45</v>
      </c>
      <c r="AE1274" s="3" t="s">
        <v>45</v>
      </c>
      <c r="AF1274" s="3" t="s">
        <v>45</v>
      </c>
      <c r="AG1274" s="3" t="s">
        <v>11131</v>
      </c>
      <c r="AH1274" s="3" t="s">
        <v>9906</v>
      </c>
      <c r="AI1274" s="5" t="s">
        <v>11132</v>
      </c>
      <c r="AJ1274" s="5" t="s">
        <v>11133</v>
      </c>
      <c r="AK1274" s="3" t="s">
        <v>45</v>
      </c>
      <c r="AL1274" s="3" t="s">
        <v>45</v>
      </c>
      <c r="AM1274" s="3" t="s">
        <v>45</v>
      </c>
      <c r="AN1274" s="3" t="s">
        <v>45</v>
      </c>
      <c r="AO1274" s="3" t="s">
        <v>45</v>
      </c>
      <c r="AP1274" s="3" t="s">
        <v>45</v>
      </c>
      <c r="AQ1274" s="4" t="s">
        <v>212</v>
      </c>
      <c r="AR1274" s="4" t="s">
        <v>9908</v>
      </c>
    </row>
    <row r="1275">
      <c r="A1275" s="3" t="s">
        <v>11134</v>
      </c>
      <c r="B1275" s="3" t="s">
        <v>11135</v>
      </c>
      <c r="C1275" s="3" t="s">
        <v>11017</v>
      </c>
      <c r="D1275" s="3" t="s">
        <v>9900</v>
      </c>
      <c r="E1275" s="4" t="s">
        <v>11095</v>
      </c>
      <c r="F1275" s="3" t="s">
        <v>11019</v>
      </c>
      <c r="G1275" s="4" t="s">
        <v>11136</v>
      </c>
      <c r="H1275" s="4" t="s">
        <v>11137</v>
      </c>
      <c r="I1275" s="3" t="s">
        <v>49</v>
      </c>
      <c r="J1275" s="3" t="s">
        <v>50</v>
      </c>
      <c r="K1275" s="3" t="s">
        <v>45</v>
      </c>
      <c r="L1275" s="3" t="s">
        <v>45</v>
      </c>
      <c r="M1275" s="3" t="s">
        <v>45</v>
      </c>
      <c r="N1275" s="3" t="s">
        <v>45</v>
      </c>
      <c r="O1275" s="3" t="s">
        <v>74</v>
      </c>
      <c r="P1275" s="3" t="s">
        <v>45</v>
      </c>
      <c r="Q1275" s="3" t="s">
        <v>45</v>
      </c>
      <c r="R1275" s="3" t="s">
        <v>45</v>
      </c>
      <c r="S1275" s="3" t="s">
        <v>45</v>
      </c>
      <c r="T1275" s="3" t="s">
        <v>45</v>
      </c>
      <c r="U1275" s="3" t="s">
        <v>45</v>
      </c>
      <c r="V1275" s="3" t="s">
        <v>45</v>
      </c>
      <c r="W1275" s="4" t="s">
        <v>410</v>
      </c>
      <c r="X1275" s="3" t="s">
        <v>360</v>
      </c>
      <c r="Y1275" s="3" t="s">
        <v>45</v>
      </c>
      <c r="Z1275" s="3" t="s">
        <v>74</v>
      </c>
      <c r="AA1275" s="3" t="s">
        <v>45</v>
      </c>
      <c r="AB1275" s="3" t="s">
        <v>45</v>
      </c>
      <c r="AC1275" s="3" t="s">
        <v>45</v>
      </c>
      <c r="AD1275" s="3" t="s">
        <v>45</v>
      </c>
      <c r="AE1275" s="3" t="s">
        <v>45</v>
      </c>
      <c r="AF1275" s="3" t="s">
        <v>45</v>
      </c>
      <c r="AG1275" s="3" t="s">
        <v>45</v>
      </c>
      <c r="AH1275" s="3" t="s">
        <v>57</v>
      </c>
      <c r="AI1275" s="5" t="s">
        <v>11117</v>
      </c>
      <c r="AJ1275" s="3" t="s">
        <v>45</v>
      </c>
      <c r="AK1275" s="3" t="s">
        <v>45</v>
      </c>
      <c r="AL1275" s="3" t="s">
        <v>45</v>
      </c>
      <c r="AM1275" s="3" t="s">
        <v>45</v>
      </c>
      <c r="AN1275" s="3" t="s">
        <v>45</v>
      </c>
      <c r="AO1275" s="3" t="s">
        <v>45</v>
      </c>
      <c r="AP1275" s="3" t="s">
        <v>45</v>
      </c>
      <c r="AQ1275" s="4" t="s">
        <v>10685</v>
      </c>
      <c r="AR1275" s="4" t="s">
        <v>10685</v>
      </c>
    </row>
    <row r="1276">
      <c r="A1276" s="3" t="s">
        <v>11138</v>
      </c>
      <c r="B1276" s="3" t="s">
        <v>11139</v>
      </c>
      <c r="C1276" s="3" t="s">
        <v>11017</v>
      </c>
      <c r="D1276" s="3" t="s">
        <v>9900</v>
      </c>
      <c r="E1276" s="4" t="s">
        <v>11018</v>
      </c>
      <c r="F1276" s="3" t="s">
        <v>11019</v>
      </c>
      <c r="G1276" s="4" t="s">
        <v>11140</v>
      </c>
      <c r="H1276" s="4" t="s">
        <v>11141</v>
      </c>
      <c r="I1276" s="3" t="s">
        <v>218</v>
      </c>
      <c r="J1276" s="3" t="s">
        <v>126</v>
      </c>
      <c r="K1276" s="3" t="s">
        <v>45</v>
      </c>
      <c r="L1276" s="3" t="s">
        <v>479</v>
      </c>
      <c r="M1276" s="3" t="s">
        <v>45</v>
      </c>
      <c r="N1276" s="3" t="s">
        <v>45</v>
      </c>
      <c r="O1276" s="3" t="s">
        <v>74</v>
      </c>
      <c r="P1276" s="3" t="s">
        <v>45</v>
      </c>
      <c r="Q1276" s="3" t="s">
        <v>45</v>
      </c>
      <c r="R1276" s="3" t="s">
        <v>45</v>
      </c>
      <c r="S1276" s="3" t="s">
        <v>45</v>
      </c>
      <c r="T1276" s="3" t="s">
        <v>45</v>
      </c>
      <c r="U1276" s="3" t="s">
        <v>45</v>
      </c>
      <c r="V1276" s="4" t="s">
        <v>1823</v>
      </c>
      <c r="W1276" s="4" t="s">
        <v>11142</v>
      </c>
      <c r="X1276" s="3" t="s">
        <v>45</v>
      </c>
      <c r="Y1276" s="4" t="s">
        <v>727</v>
      </c>
      <c r="Z1276" s="3" t="s">
        <v>74</v>
      </c>
      <c r="AA1276" s="3" t="s">
        <v>45</v>
      </c>
      <c r="AB1276" s="3" t="s">
        <v>45</v>
      </c>
      <c r="AC1276" s="3" t="s">
        <v>45</v>
      </c>
      <c r="AD1276" s="3" t="s">
        <v>45</v>
      </c>
      <c r="AE1276" s="3" t="s">
        <v>45</v>
      </c>
      <c r="AF1276" s="3" t="s">
        <v>45</v>
      </c>
      <c r="AG1276" s="3" t="s">
        <v>45</v>
      </c>
      <c r="AH1276" s="3" t="s">
        <v>57</v>
      </c>
      <c r="AI1276" s="5" t="s">
        <v>11143</v>
      </c>
      <c r="AJ1276" s="5" t="s">
        <v>11022</v>
      </c>
      <c r="AK1276" s="3" t="s">
        <v>45</v>
      </c>
      <c r="AL1276" s="3" t="s">
        <v>45</v>
      </c>
      <c r="AM1276" s="3" t="s">
        <v>45</v>
      </c>
      <c r="AN1276" s="3" t="s">
        <v>45</v>
      </c>
      <c r="AO1276" s="3" t="s">
        <v>45</v>
      </c>
      <c r="AP1276" s="3" t="s">
        <v>45</v>
      </c>
      <c r="AQ1276" s="4" t="s">
        <v>5805</v>
      </c>
      <c r="AR1276" s="4" t="s">
        <v>948</v>
      </c>
    </row>
    <row r="1277">
      <c r="A1277" s="3" t="s">
        <v>11144</v>
      </c>
      <c r="B1277" s="3" t="s">
        <v>11145</v>
      </c>
      <c r="C1277" s="3" t="s">
        <v>11017</v>
      </c>
      <c r="D1277" s="3" t="s">
        <v>9900</v>
      </c>
      <c r="E1277" s="4" t="s">
        <v>11018</v>
      </c>
      <c r="F1277" s="3" t="s">
        <v>11019</v>
      </c>
      <c r="G1277" s="4" t="s">
        <v>11146</v>
      </c>
      <c r="H1277" s="4" t="s">
        <v>11147</v>
      </c>
      <c r="I1277" s="3" t="s">
        <v>49</v>
      </c>
      <c r="J1277" s="3" t="s">
        <v>50</v>
      </c>
      <c r="K1277" s="3" t="s">
        <v>45</v>
      </c>
      <c r="L1277" s="3" t="s">
        <v>45</v>
      </c>
      <c r="M1277" s="3" t="s">
        <v>45</v>
      </c>
      <c r="N1277" s="3" t="s">
        <v>45</v>
      </c>
      <c r="O1277" s="3" t="s">
        <v>74</v>
      </c>
      <c r="P1277" s="3" t="s">
        <v>45</v>
      </c>
      <c r="Q1277" s="3" t="s">
        <v>45</v>
      </c>
      <c r="R1277" s="3" t="s">
        <v>45</v>
      </c>
      <c r="S1277" s="3" t="s">
        <v>45</v>
      </c>
      <c r="T1277" s="3" t="s">
        <v>45</v>
      </c>
      <c r="U1277" s="3" t="s">
        <v>45</v>
      </c>
      <c r="V1277" s="4" t="s">
        <v>1823</v>
      </c>
      <c r="W1277" s="4" t="s">
        <v>11142</v>
      </c>
      <c r="X1277" s="3" t="s">
        <v>45</v>
      </c>
      <c r="Y1277" s="3" t="s">
        <v>45</v>
      </c>
      <c r="Z1277" s="3" t="s">
        <v>74</v>
      </c>
      <c r="AA1277" s="3" t="s">
        <v>45</v>
      </c>
      <c r="AB1277" s="3" t="s">
        <v>45</v>
      </c>
      <c r="AC1277" s="3" t="s">
        <v>45</v>
      </c>
      <c r="AD1277" s="3" t="s">
        <v>45</v>
      </c>
      <c r="AE1277" s="3" t="s">
        <v>45</v>
      </c>
      <c r="AF1277" s="3" t="s">
        <v>45</v>
      </c>
      <c r="AG1277" s="3" t="s">
        <v>45</v>
      </c>
      <c r="AH1277" s="3" t="s">
        <v>9906</v>
      </c>
      <c r="AI1277" s="5" t="s">
        <v>11022</v>
      </c>
      <c r="AJ1277" s="5" t="s">
        <v>11148</v>
      </c>
      <c r="AK1277" s="3" t="s">
        <v>45</v>
      </c>
      <c r="AL1277" s="3" t="s">
        <v>45</v>
      </c>
      <c r="AM1277" s="3" t="s">
        <v>45</v>
      </c>
      <c r="AN1277" s="3" t="s">
        <v>45</v>
      </c>
      <c r="AO1277" s="3" t="s">
        <v>45</v>
      </c>
      <c r="AP1277" s="3" t="s">
        <v>45</v>
      </c>
      <c r="AQ1277" s="4" t="s">
        <v>7223</v>
      </c>
      <c r="AR1277" s="4" t="s">
        <v>9908</v>
      </c>
    </row>
    <row r="1278">
      <c r="A1278" s="3" t="s">
        <v>11149</v>
      </c>
      <c r="B1278" s="3" t="s">
        <v>11150</v>
      </c>
      <c r="C1278" s="3" t="s">
        <v>11017</v>
      </c>
      <c r="D1278" s="3" t="s">
        <v>9900</v>
      </c>
      <c r="E1278" s="4" t="s">
        <v>11018</v>
      </c>
      <c r="F1278" s="3" t="s">
        <v>11019</v>
      </c>
      <c r="G1278" s="4" t="s">
        <v>11151</v>
      </c>
      <c r="H1278" s="4" t="s">
        <v>11152</v>
      </c>
      <c r="I1278" s="3" t="s">
        <v>49</v>
      </c>
      <c r="J1278" s="3" t="s">
        <v>126</v>
      </c>
      <c r="K1278" s="3" t="s">
        <v>45</v>
      </c>
      <c r="L1278" s="3" t="s">
        <v>45</v>
      </c>
      <c r="M1278" s="3" t="s">
        <v>45</v>
      </c>
      <c r="N1278" s="3" t="s">
        <v>45</v>
      </c>
      <c r="O1278" s="3" t="s">
        <v>74</v>
      </c>
      <c r="P1278" s="3" t="s">
        <v>45</v>
      </c>
      <c r="Q1278" s="3" t="s">
        <v>45</v>
      </c>
      <c r="R1278" s="3" t="s">
        <v>45</v>
      </c>
      <c r="S1278" s="3" t="s">
        <v>45</v>
      </c>
      <c r="T1278" s="3" t="s">
        <v>45</v>
      </c>
      <c r="U1278" s="3" t="s">
        <v>45</v>
      </c>
      <c r="V1278" s="4" t="s">
        <v>2140</v>
      </c>
      <c r="W1278" s="4" t="s">
        <v>1651</v>
      </c>
      <c r="X1278" s="3" t="s">
        <v>45</v>
      </c>
      <c r="Y1278" s="3" t="s">
        <v>45</v>
      </c>
      <c r="Z1278" s="3" t="s">
        <v>74</v>
      </c>
      <c r="AA1278" s="3" t="s">
        <v>45</v>
      </c>
      <c r="AB1278" s="3" t="s">
        <v>45</v>
      </c>
      <c r="AC1278" s="3" t="s">
        <v>45</v>
      </c>
      <c r="AD1278" s="3" t="s">
        <v>45</v>
      </c>
      <c r="AE1278" s="3" t="s">
        <v>45</v>
      </c>
      <c r="AF1278" s="3" t="s">
        <v>45</v>
      </c>
      <c r="AG1278" s="3" t="s">
        <v>45</v>
      </c>
      <c r="AH1278" s="3" t="s">
        <v>9906</v>
      </c>
      <c r="AI1278" s="5" t="s">
        <v>11153</v>
      </c>
      <c r="AJ1278" s="5" t="s">
        <v>11154</v>
      </c>
      <c r="AK1278" s="3" t="s">
        <v>45</v>
      </c>
      <c r="AL1278" s="3" t="s">
        <v>45</v>
      </c>
      <c r="AM1278" s="3" t="s">
        <v>45</v>
      </c>
      <c r="AN1278" s="3" t="s">
        <v>45</v>
      </c>
      <c r="AO1278" s="3" t="s">
        <v>45</v>
      </c>
      <c r="AP1278" s="3" t="s">
        <v>45</v>
      </c>
      <c r="AQ1278" s="4" t="s">
        <v>7223</v>
      </c>
      <c r="AR1278" s="4" t="s">
        <v>9908</v>
      </c>
    </row>
    <row r="1279">
      <c r="A1279" s="3" t="s">
        <v>422</v>
      </c>
      <c r="B1279" s="3" t="s">
        <v>11155</v>
      </c>
      <c r="C1279" s="3" t="s">
        <v>11017</v>
      </c>
      <c r="D1279" s="3" t="s">
        <v>9900</v>
      </c>
      <c r="E1279" s="4" t="s">
        <v>11057</v>
      </c>
      <c r="F1279" s="3" t="s">
        <v>11019</v>
      </c>
      <c r="G1279" s="4" t="s">
        <v>11156</v>
      </c>
      <c r="H1279" s="4" t="s">
        <v>11157</v>
      </c>
      <c r="I1279" s="3" t="s">
        <v>85</v>
      </c>
      <c r="J1279" s="3" t="s">
        <v>126</v>
      </c>
      <c r="K1279" s="3" t="s">
        <v>45</v>
      </c>
      <c r="L1279" s="3" t="s">
        <v>45</v>
      </c>
      <c r="M1279" s="3" t="s">
        <v>45</v>
      </c>
      <c r="N1279" s="3" t="s">
        <v>45</v>
      </c>
      <c r="O1279" s="3" t="s">
        <v>74</v>
      </c>
      <c r="P1279" s="3" t="s">
        <v>45</v>
      </c>
      <c r="Q1279" s="3" t="s">
        <v>45</v>
      </c>
      <c r="R1279" s="3" t="s">
        <v>45</v>
      </c>
      <c r="S1279" s="3" t="s">
        <v>45</v>
      </c>
      <c r="T1279" s="3" t="s">
        <v>45</v>
      </c>
      <c r="U1279" s="3" t="s">
        <v>45</v>
      </c>
      <c r="V1279" s="3" t="s">
        <v>45</v>
      </c>
      <c r="W1279" s="3" t="s">
        <v>45</v>
      </c>
      <c r="X1279" s="3" t="s">
        <v>45</v>
      </c>
      <c r="Y1279" s="3" t="s">
        <v>45</v>
      </c>
      <c r="Z1279" s="3" t="s">
        <v>74</v>
      </c>
      <c r="AA1279" s="3" t="s">
        <v>45</v>
      </c>
      <c r="AB1279" s="3" t="s">
        <v>45</v>
      </c>
      <c r="AC1279" s="3" t="s">
        <v>45</v>
      </c>
      <c r="AD1279" s="3" t="s">
        <v>45</v>
      </c>
      <c r="AE1279" s="3" t="s">
        <v>45</v>
      </c>
      <c r="AF1279" s="3" t="s">
        <v>45</v>
      </c>
      <c r="AG1279" s="3" t="s">
        <v>45</v>
      </c>
      <c r="AH1279" s="3" t="s">
        <v>57</v>
      </c>
      <c r="AI1279" s="5" t="s">
        <v>11158</v>
      </c>
      <c r="AJ1279" s="3" t="s">
        <v>45</v>
      </c>
      <c r="AK1279" s="3" t="s">
        <v>45</v>
      </c>
      <c r="AL1279" s="3" t="s">
        <v>45</v>
      </c>
      <c r="AM1279" s="3" t="s">
        <v>45</v>
      </c>
      <c r="AN1279" s="3" t="s">
        <v>45</v>
      </c>
      <c r="AO1279" s="3" t="s">
        <v>45</v>
      </c>
      <c r="AP1279" s="3" t="s">
        <v>45</v>
      </c>
      <c r="AQ1279" s="4" t="s">
        <v>1001</v>
      </c>
      <c r="AR1279" s="4" t="s">
        <v>1001</v>
      </c>
    </row>
    <row r="1280">
      <c r="A1280" s="3" t="s">
        <v>11159</v>
      </c>
      <c r="B1280" s="3" t="s">
        <v>11160</v>
      </c>
      <c r="C1280" s="3" t="s">
        <v>2099</v>
      </c>
      <c r="D1280" s="3" t="s">
        <v>9900</v>
      </c>
      <c r="E1280" s="4" t="s">
        <v>11161</v>
      </c>
      <c r="F1280" s="3" t="s">
        <v>10524</v>
      </c>
      <c r="G1280" s="4" t="s">
        <v>11162</v>
      </c>
      <c r="H1280" s="4" t="s">
        <v>11163</v>
      </c>
      <c r="I1280" s="3" t="s">
        <v>85</v>
      </c>
      <c r="J1280" s="3" t="s">
        <v>126</v>
      </c>
      <c r="K1280" s="3" t="s">
        <v>45</v>
      </c>
      <c r="L1280" s="3" t="s">
        <v>11159</v>
      </c>
      <c r="M1280" s="3" t="s">
        <v>45</v>
      </c>
      <c r="N1280" s="3" t="s">
        <v>45</v>
      </c>
      <c r="O1280" s="3" t="s">
        <v>74</v>
      </c>
      <c r="P1280" s="3" t="s">
        <v>45</v>
      </c>
      <c r="Q1280" s="3" t="s">
        <v>45</v>
      </c>
      <c r="R1280" s="3" t="s">
        <v>45</v>
      </c>
      <c r="S1280" s="3" t="s">
        <v>45</v>
      </c>
      <c r="T1280" s="3" t="s">
        <v>45</v>
      </c>
      <c r="U1280" s="3" t="s">
        <v>45</v>
      </c>
      <c r="V1280" s="4" t="s">
        <v>11164</v>
      </c>
      <c r="W1280" s="4" t="s">
        <v>681</v>
      </c>
      <c r="X1280" s="3" t="s">
        <v>45</v>
      </c>
      <c r="Y1280" s="3" t="s">
        <v>45</v>
      </c>
      <c r="Z1280" s="3" t="s">
        <v>74</v>
      </c>
      <c r="AA1280" s="3" t="s">
        <v>45</v>
      </c>
      <c r="AB1280" s="3" t="s">
        <v>45</v>
      </c>
      <c r="AC1280" s="3" t="s">
        <v>45</v>
      </c>
      <c r="AD1280" s="3" t="s">
        <v>45</v>
      </c>
      <c r="AE1280" s="3" t="s">
        <v>45</v>
      </c>
      <c r="AF1280" s="3" t="s">
        <v>45</v>
      </c>
      <c r="AG1280" s="3" t="s">
        <v>45</v>
      </c>
      <c r="AH1280" s="3" t="s">
        <v>9906</v>
      </c>
      <c r="AI1280" s="5" t="s">
        <v>11165</v>
      </c>
      <c r="AJ1280" s="3" t="s">
        <v>45</v>
      </c>
      <c r="AK1280" s="3" t="s">
        <v>45</v>
      </c>
      <c r="AL1280" s="3" t="s">
        <v>45</v>
      </c>
      <c r="AM1280" s="3" t="s">
        <v>45</v>
      </c>
      <c r="AN1280" s="3" t="s">
        <v>45</v>
      </c>
      <c r="AO1280" s="3" t="s">
        <v>45</v>
      </c>
      <c r="AP1280" s="3" t="s">
        <v>45</v>
      </c>
      <c r="AQ1280" s="4" t="s">
        <v>9934</v>
      </c>
      <c r="AR1280" s="4" t="s">
        <v>9908</v>
      </c>
    </row>
    <row r="1281">
      <c r="A1281" s="3" t="s">
        <v>11166</v>
      </c>
      <c r="B1281" s="3" t="s">
        <v>11167</v>
      </c>
      <c r="C1281" s="3" t="s">
        <v>2099</v>
      </c>
      <c r="D1281" s="3" t="s">
        <v>9900</v>
      </c>
      <c r="E1281" s="4" t="s">
        <v>11161</v>
      </c>
      <c r="F1281" s="3" t="s">
        <v>10524</v>
      </c>
      <c r="G1281" s="4" t="s">
        <v>11168</v>
      </c>
      <c r="H1281" s="4" t="s">
        <v>11169</v>
      </c>
      <c r="I1281" s="3" t="s">
        <v>408</v>
      </c>
      <c r="J1281" s="3" t="s">
        <v>126</v>
      </c>
      <c r="K1281" s="3" t="s">
        <v>45</v>
      </c>
      <c r="L1281" s="3" t="s">
        <v>11170</v>
      </c>
      <c r="M1281" s="3" t="s">
        <v>45</v>
      </c>
      <c r="N1281" s="4" t="s">
        <v>11171</v>
      </c>
      <c r="O1281" s="3" t="s">
        <v>88</v>
      </c>
      <c r="P1281" s="3" t="s">
        <v>45</v>
      </c>
      <c r="Q1281" s="3" t="s">
        <v>45</v>
      </c>
      <c r="R1281" s="3" t="s">
        <v>45</v>
      </c>
      <c r="S1281" s="3" t="s">
        <v>45</v>
      </c>
      <c r="T1281" s="3" t="s">
        <v>45</v>
      </c>
      <c r="U1281" s="3" t="s">
        <v>45</v>
      </c>
      <c r="V1281" s="4" t="s">
        <v>11172</v>
      </c>
      <c r="W1281" s="4" t="s">
        <v>2908</v>
      </c>
      <c r="X1281" s="3" t="s">
        <v>45</v>
      </c>
      <c r="Y1281" s="3" t="s">
        <v>45</v>
      </c>
      <c r="Z1281" s="3" t="s">
        <v>74</v>
      </c>
      <c r="AA1281" s="3" t="s">
        <v>45</v>
      </c>
      <c r="AB1281" s="3" t="s">
        <v>45</v>
      </c>
      <c r="AC1281" s="3" t="s">
        <v>45</v>
      </c>
      <c r="AD1281" s="3" t="s">
        <v>45</v>
      </c>
      <c r="AE1281" s="3" t="s">
        <v>45</v>
      </c>
      <c r="AF1281" s="3" t="s">
        <v>45</v>
      </c>
      <c r="AG1281" s="3" t="s">
        <v>11173</v>
      </c>
      <c r="AH1281" s="3" t="s">
        <v>9906</v>
      </c>
      <c r="AI1281" s="5" t="s">
        <v>11174</v>
      </c>
      <c r="AJ1281" s="5" t="s">
        <v>11175</v>
      </c>
      <c r="AK1281" s="3" t="s">
        <v>45</v>
      </c>
      <c r="AL1281" s="3" t="s">
        <v>45</v>
      </c>
      <c r="AM1281" s="3" t="s">
        <v>45</v>
      </c>
      <c r="AN1281" s="3" t="s">
        <v>45</v>
      </c>
      <c r="AO1281" s="3" t="s">
        <v>45</v>
      </c>
      <c r="AP1281" s="3" t="s">
        <v>45</v>
      </c>
      <c r="AQ1281" s="4" t="s">
        <v>9934</v>
      </c>
      <c r="AR1281" s="4" t="s">
        <v>11176</v>
      </c>
    </row>
    <row r="1282">
      <c r="A1282" s="3" t="s">
        <v>11177</v>
      </c>
      <c r="B1282" s="3" t="s">
        <v>11178</v>
      </c>
      <c r="C1282" s="3" t="s">
        <v>2099</v>
      </c>
      <c r="D1282" s="3" t="s">
        <v>9900</v>
      </c>
      <c r="E1282" s="4" t="s">
        <v>11161</v>
      </c>
      <c r="F1282" s="3" t="s">
        <v>10524</v>
      </c>
      <c r="G1282" s="4" t="s">
        <v>11179</v>
      </c>
      <c r="H1282" s="4" t="s">
        <v>11180</v>
      </c>
      <c r="I1282" s="3" t="s">
        <v>49</v>
      </c>
      <c r="J1282" s="3" t="s">
        <v>126</v>
      </c>
      <c r="K1282" s="3" t="s">
        <v>45</v>
      </c>
      <c r="L1282" s="3" t="s">
        <v>479</v>
      </c>
      <c r="M1282" s="3" t="s">
        <v>45</v>
      </c>
      <c r="N1282" s="3" t="s">
        <v>45</v>
      </c>
      <c r="O1282" s="3" t="s">
        <v>74</v>
      </c>
      <c r="P1282" s="3" t="s">
        <v>45</v>
      </c>
      <c r="Q1282" s="3" t="s">
        <v>45</v>
      </c>
      <c r="R1282" s="3" t="s">
        <v>45</v>
      </c>
      <c r="S1282" s="3" t="s">
        <v>45</v>
      </c>
      <c r="T1282" s="3" t="s">
        <v>45</v>
      </c>
      <c r="U1282" s="3" t="s">
        <v>45</v>
      </c>
      <c r="V1282" s="4" t="s">
        <v>2140</v>
      </c>
      <c r="W1282" s="4" t="s">
        <v>10824</v>
      </c>
      <c r="X1282" s="3" t="s">
        <v>45</v>
      </c>
      <c r="Y1282" s="3" t="s">
        <v>45</v>
      </c>
      <c r="Z1282" s="3" t="s">
        <v>74</v>
      </c>
      <c r="AA1282" s="3" t="s">
        <v>45</v>
      </c>
      <c r="AB1282" s="3" t="s">
        <v>45</v>
      </c>
      <c r="AC1282" s="3" t="s">
        <v>45</v>
      </c>
      <c r="AD1282" s="3" t="s">
        <v>45</v>
      </c>
      <c r="AE1282" s="3" t="s">
        <v>45</v>
      </c>
      <c r="AF1282" s="3" t="s">
        <v>45</v>
      </c>
      <c r="AG1282" s="3" t="s">
        <v>10511</v>
      </c>
      <c r="AH1282" s="3" t="s">
        <v>9906</v>
      </c>
      <c r="AI1282" s="5" t="s">
        <v>11181</v>
      </c>
      <c r="AJ1282" s="5" t="s">
        <v>11182</v>
      </c>
      <c r="AK1282" s="3" t="s">
        <v>45</v>
      </c>
      <c r="AL1282" s="3" t="s">
        <v>45</v>
      </c>
      <c r="AM1282" s="3" t="s">
        <v>45</v>
      </c>
      <c r="AN1282" s="3" t="s">
        <v>45</v>
      </c>
      <c r="AO1282" s="3" t="s">
        <v>45</v>
      </c>
      <c r="AP1282" s="3" t="s">
        <v>45</v>
      </c>
      <c r="AQ1282" s="4" t="s">
        <v>9934</v>
      </c>
      <c r="AR1282" s="4" t="s">
        <v>9908</v>
      </c>
    </row>
    <row r="1283">
      <c r="A1283" s="3" t="s">
        <v>11183</v>
      </c>
      <c r="B1283" s="3" t="s">
        <v>11184</v>
      </c>
      <c r="C1283" s="3" t="s">
        <v>2099</v>
      </c>
      <c r="D1283" s="3" t="s">
        <v>9900</v>
      </c>
      <c r="E1283" s="4" t="s">
        <v>11161</v>
      </c>
      <c r="F1283" s="3" t="s">
        <v>10524</v>
      </c>
      <c r="G1283" s="4" t="s">
        <v>11185</v>
      </c>
      <c r="H1283" s="4" t="s">
        <v>11186</v>
      </c>
      <c r="I1283" s="3" t="s">
        <v>49</v>
      </c>
      <c r="J1283" s="3" t="s">
        <v>126</v>
      </c>
      <c r="K1283" s="3" t="s">
        <v>45</v>
      </c>
      <c r="L1283" s="3" t="s">
        <v>45</v>
      </c>
      <c r="M1283" s="3" t="s">
        <v>45</v>
      </c>
      <c r="N1283" s="3" t="s">
        <v>45</v>
      </c>
      <c r="O1283" s="3" t="s">
        <v>74</v>
      </c>
      <c r="P1283" s="3" t="s">
        <v>45</v>
      </c>
      <c r="Q1283" s="3" t="s">
        <v>45</v>
      </c>
      <c r="R1283" s="3" t="s">
        <v>45</v>
      </c>
      <c r="S1283" s="3" t="s">
        <v>45</v>
      </c>
      <c r="T1283" s="3" t="s">
        <v>45</v>
      </c>
      <c r="U1283" s="3" t="s">
        <v>45</v>
      </c>
      <c r="V1283" s="4" t="s">
        <v>11187</v>
      </c>
      <c r="W1283" s="4" t="s">
        <v>7320</v>
      </c>
      <c r="X1283" s="3" t="s">
        <v>45</v>
      </c>
      <c r="Y1283" s="3" t="s">
        <v>45</v>
      </c>
      <c r="Z1283" s="3" t="s">
        <v>74</v>
      </c>
      <c r="AA1283" s="3" t="s">
        <v>45</v>
      </c>
      <c r="AB1283" s="3" t="s">
        <v>45</v>
      </c>
      <c r="AC1283" s="3" t="s">
        <v>45</v>
      </c>
      <c r="AD1283" s="3" t="s">
        <v>45</v>
      </c>
      <c r="AE1283" s="3" t="s">
        <v>45</v>
      </c>
      <c r="AF1283" s="3" t="s">
        <v>45</v>
      </c>
      <c r="AG1283" s="3" t="s">
        <v>10511</v>
      </c>
      <c r="AH1283" s="3" t="s">
        <v>9906</v>
      </c>
      <c r="AI1283" s="3" t="s">
        <v>11188</v>
      </c>
      <c r="AJ1283" s="5" t="s">
        <v>11189</v>
      </c>
      <c r="AK1283" s="3" t="s">
        <v>45</v>
      </c>
      <c r="AL1283" s="3" t="s">
        <v>45</v>
      </c>
      <c r="AM1283" s="3" t="s">
        <v>45</v>
      </c>
      <c r="AN1283" s="3" t="s">
        <v>45</v>
      </c>
      <c r="AO1283" s="3" t="s">
        <v>45</v>
      </c>
      <c r="AP1283" s="3" t="s">
        <v>45</v>
      </c>
      <c r="AQ1283" s="4" t="s">
        <v>182</v>
      </c>
      <c r="AR1283" s="4" t="s">
        <v>9908</v>
      </c>
    </row>
    <row r="1284">
      <c r="A1284" s="3" t="s">
        <v>11190</v>
      </c>
      <c r="B1284" s="3" t="s">
        <v>11191</v>
      </c>
      <c r="C1284" s="3" t="s">
        <v>2099</v>
      </c>
      <c r="D1284" s="3" t="s">
        <v>9900</v>
      </c>
      <c r="E1284" s="4" t="s">
        <v>11192</v>
      </c>
      <c r="F1284" s="3" t="s">
        <v>10524</v>
      </c>
      <c r="G1284" s="4" t="s">
        <v>11193</v>
      </c>
      <c r="H1284" s="4" t="s">
        <v>11194</v>
      </c>
      <c r="I1284" s="3" t="s">
        <v>408</v>
      </c>
      <c r="J1284" s="3" t="s">
        <v>126</v>
      </c>
      <c r="K1284" s="3" t="s">
        <v>45</v>
      </c>
      <c r="L1284" s="3" t="s">
        <v>11190</v>
      </c>
      <c r="M1284" s="3" t="s">
        <v>45</v>
      </c>
      <c r="N1284" s="3" t="s">
        <v>45</v>
      </c>
      <c r="O1284" s="3" t="s">
        <v>74</v>
      </c>
      <c r="P1284" s="3" t="s">
        <v>45</v>
      </c>
      <c r="Q1284" s="3" t="s">
        <v>45</v>
      </c>
      <c r="R1284" s="3" t="s">
        <v>45</v>
      </c>
      <c r="S1284" s="3" t="s">
        <v>45</v>
      </c>
      <c r="T1284" s="3" t="s">
        <v>45</v>
      </c>
      <c r="U1284" s="3" t="s">
        <v>45</v>
      </c>
      <c r="V1284" s="4" t="s">
        <v>11195</v>
      </c>
      <c r="W1284" s="4" t="s">
        <v>871</v>
      </c>
      <c r="X1284" s="3" t="s">
        <v>45</v>
      </c>
      <c r="Y1284" s="3" t="s">
        <v>45</v>
      </c>
      <c r="Z1284" s="3" t="s">
        <v>74</v>
      </c>
      <c r="AA1284" s="3" t="s">
        <v>45</v>
      </c>
      <c r="AB1284" s="3" t="s">
        <v>45</v>
      </c>
      <c r="AC1284" s="3" t="s">
        <v>45</v>
      </c>
      <c r="AD1284" s="3" t="s">
        <v>45</v>
      </c>
      <c r="AE1284" s="3" t="s">
        <v>45</v>
      </c>
      <c r="AF1284" s="3" t="s">
        <v>45</v>
      </c>
      <c r="AG1284" s="3" t="s">
        <v>45</v>
      </c>
      <c r="AH1284" s="3" t="s">
        <v>9906</v>
      </c>
      <c r="AI1284" s="5" t="s">
        <v>11196</v>
      </c>
      <c r="AJ1284" s="3" t="s">
        <v>45</v>
      </c>
      <c r="AK1284" s="3" t="s">
        <v>45</v>
      </c>
      <c r="AL1284" s="3" t="s">
        <v>45</v>
      </c>
      <c r="AM1284" s="3" t="s">
        <v>45</v>
      </c>
      <c r="AN1284" s="3" t="s">
        <v>45</v>
      </c>
      <c r="AO1284" s="3" t="s">
        <v>45</v>
      </c>
      <c r="AP1284" s="3" t="s">
        <v>45</v>
      </c>
      <c r="AQ1284" s="4" t="s">
        <v>9934</v>
      </c>
      <c r="AR1284" s="4" t="s">
        <v>11176</v>
      </c>
    </row>
    <row r="1285">
      <c r="A1285" s="3" t="s">
        <v>11197</v>
      </c>
      <c r="B1285" s="3" t="s">
        <v>11198</v>
      </c>
      <c r="C1285" s="3" t="s">
        <v>2099</v>
      </c>
      <c r="D1285" s="3" t="s">
        <v>9900</v>
      </c>
      <c r="E1285" s="4" t="s">
        <v>11161</v>
      </c>
      <c r="F1285" s="3" t="s">
        <v>10524</v>
      </c>
      <c r="G1285" s="4" t="s">
        <v>11199</v>
      </c>
      <c r="H1285" s="4" t="s">
        <v>11200</v>
      </c>
      <c r="I1285" s="3" t="s">
        <v>49</v>
      </c>
      <c r="J1285" s="3" t="s">
        <v>126</v>
      </c>
      <c r="K1285" s="3" t="s">
        <v>45</v>
      </c>
      <c r="L1285" s="3" t="s">
        <v>509</v>
      </c>
      <c r="M1285" s="3" t="s">
        <v>45</v>
      </c>
      <c r="N1285" s="3" t="s">
        <v>45</v>
      </c>
      <c r="O1285" s="3" t="s">
        <v>74</v>
      </c>
      <c r="P1285" s="3" t="s">
        <v>45</v>
      </c>
      <c r="Q1285" s="3" t="s">
        <v>45</v>
      </c>
      <c r="R1285" s="3" t="s">
        <v>45</v>
      </c>
      <c r="S1285" s="3" t="s">
        <v>45</v>
      </c>
      <c r="T1285" s="3" t="s">
        <v>45</v>
      </c>
      <c r="U1285" s="3" t="s">
        <v>45</v>
      </c>
      <c r="V1285" s="4" t="s">
        <v>11201</v>
      </c>
      <c r="W1285" s="4" t="s">
        <v>500</v>
      </c>
      <c r="X1285" s="3" t="s">
        <v>45</v>
      </c>
      <c r="Y1285" s="3" t="s">
        <v>45</v>
      </c>
      <c r="Z1285" s="3" t="s">
        <v>74</v>
      </c>
      <c r="AA1285" s="3" t="s">
        <v>45</v>
      </c>
      <c r="AB1285" s="3" t="s">
        <v>45</v>
      </c>
      <c r="AC1285" s="3" t="s">
        <v>45</v>
      </c>
      <c r="AD1285" s="3" t="s">
        <v>45</v>
      </c>
      <c r="AE1285" s="3" t="s">
        <v>45</v>
      </c>
      <c r="AF1285" s="3" t="s">
        <v>45</v>
      </c>
      <c r="AG1285" s="3" t="s">
        <v>10511</v>
      </c>
      <c r="AH1285" s="3" t="s">
        <v>9906</v>
      </c>
      <c r="AI1285" s="5" t="s">
        <v>11202</v>
      </c>
      <c r="AJ1285" s="5" t="s">
        <v>11203</v>
      </c>
      <c r="AK1285" s="3" t="s">
        <v>45</v>
      </c>
      <c r="AL1285" s="3" t="s">
        <v>45</v>
      </c>
      <c r="AM1285" s="3" t="s">
        <v>45</v>
      </c>
      <c r="AN1285" s="3" t="s">
        <v>45</v>
      </c>
      <c r="AO1285" s="3" t="s">
        <v>45</v>
      </c>
      <c r="AP1285" s="3" t="s">
        <v>45</v>
      </c>
      <c r="AQ1285" s="4" t="s">
        <v>9934</v>
      </c>
      <c r="AR1285" s="4" t="s">
        <v>9908</v>
      </c>
    </row>
    <row r="1286">
      <c r="A1286" s="3" t="s">
        <v>11204</v>
      </c>
      <c r="B1286" s="3" t="s">
        <v>11205</v>
      </c>
      <c r="C1286" s="3" t="s">
        <v>2099</v>
      </c>
      <c r="D1286" s="3" t="s">
        <v>9900</v>
      </c>
      <c r="E1286" s="4" t="s">
        <v>11161</v>
      </c>
      <c r="F1286" s="3" t="s">
        <v>10524</v>
      </c>
      <c r="G1286" s="4" t="s">
        <v>11206</v>
      </c>
      <c r="H1286" s="4" t="s">
        <v>11207</v>
      </c>
      <c r="I1286" s="3" t="s">
        <v>49</v>
      </c>
      <c r="J1286" s="3" t="s">
        <v>126</v>
      </c>
      <c r="K1286" s="3" t="s">
        <v>45</v>
      </c>
      <c r="L1286" s="3" t="s">
        <v>11208</v>
      </c>
      <c r="M1286" s="3" t="s">
        <v>45</v>
      </c>
      <c r="N1286" s="3" t="s">
        <v>45</v>
      </c>
      <c r="O1286" s="3" t="s">
        <v>74</v>
      </c>
      <c r="P1286" s="3" t="s">
        <v>45</v>
      </c>
      <c r="Q1286" s="3" t="s">
        <v>45</v>
      </c>
      <c r="R1286" s="3" t="s">
        <v>45</v>
      </c>
      <c r="S1286" s="3" t="s">
        <v>45</v>
      </c>
      <c r="T1286" s="3" t="s">
        <v>45</v>
      </c>
      <c r="U1286" s="3" t="s">
        <v>45</v>
      </c>
      <c r="V1286" s="4" t="s">
        <v>11209</v>
      </c>
      <c r="W1286" s="4" t="s">
        <v>1951</v>
      </c>
      <c r="X1286" s="3" t="s">
        <v>45</v>
      </c>
      <c r="Y1286" s="3" t="s">
        <v>45</v>
      </c>
      <c r="Z1286" s="3" t="s">
        <v>74</v>
      </c>
      <c r="AA1286" s="3" t="s">
        <v>45</v>
      </c>
      <c r="AB1286" s="3" t="s">
        <v>45</v>
      </c>
      <c r="AC1286" s="3" t="s">
        <v>45</v>
      </c>
      <c r="AD1286" s="3" t="s">
        <v>45</v>
      </c>
      <c r="AE1286" s="3" t="s">
        <v>45</v>
      </c>
      <c r="AF1286" s="3" t="s">
        <v>45</v>
      </c>
      <c r="AG1286" s="3" t="s">
        <v>10511</v>
      </c>
      <c r="AH1286" s="3" t="s">
        <v>9906</v>
      </c>
      <c r="AI1286" s="5" t="s">
        <v>11210</v>
      </c>
      <c r="AJ1286" s="5" t="s">
        <v>11211</v>
      </c>
      <c r="AK1286" s="3" t="s">
        <v>45</v>
      </c>
      <c r="AL1286" s="3" t="s">
        <v>45</v>
      </c>
      <c r="AM1286" s="3" t="s">
        <v>45</v>
      </c>
      <c r="AN1286" s="3" t="s">
        <v>45</v>
      </c>
      <c r="AO1286" s="3" t="s">
        <v>45</v>
      </c>
      <c r="AP1286" s="3" t="s">
        <v>45</v>
      </c>
      <c r="AQ1286" s="4" t="s">
        <v>9934</v>
      </c>
      <c r="AR1286" s="4" t="s">
        <v>9908</v>
      </c>
    </row>
    <row r="1287">
      <c r="A1287" s="3" t="s">
        <v>495</v>
      </c>
      <c r="B1287" s="3" t="s">
        <v>11212</v>
      </c>
      <c r="C1287" s="3" t="s">
        <v>2099</v>
      </c>
      <c r="D1287" s="3" t="s">
        <v>9900</v>
      </c>
      <c r="E1287" s="4" t="s">
        <v>11161</v>
      </c>
      <c r="F1287" s="3" t="s">
        <v>10524</v>
      </c>
      <c r="G1287" s="4" t="s">
        <v>11213</v>
      </c>
      <c r="H1287" s="4" t="s">
        <v>11214</v>
      </c>
      <c r="I1287" s="3" t="s">
        <v>49</v>
      </c>
      <c r="J1287" s="3" t="s">
        <v>126</v>
      </c>
      <c r="K1287" s="3" t="s">
        <v>45</v>
      </c>
      <c r="L1287" s="3" t="s">
        <v>45</v>
      </c>
      <c r="M1287" s="3" t="s">
        <v>45</v>
      </c>
      <c r="N1287" s="4" t="s">
        <v>2665</v>
      </c>
      <c r="O1287" s="3" t="s">
        <v>722</v>
      </c>
      <c r="P1287" s="3" t="s">
        <v>45</v>
      </c>
      <c r="Q1287" s="3" t="s">
        <v>45</v>
      </c>
      <c r="R1287" s="3" t="s">
        <v>45</v>
      </c>
      <c r="S1287" s="3" t="s">
        <v>45</v>
      </c>
      <c r="T1287" s="3" t="s">
        <v>45</v>
      </c>
      <c r="U1287" s="3" t="s">
        <v>45</v>
      </c>
      <c r="V1287" s="4" t="s">
        <v>836</v>
      </c>
      <c r="W1287" s="3" t="s">
        <v>45</v>
      </c>
      <c r="X1287" s="3" t="s">
        <v>45</v>
      </c>
      <c r="Y1287" s="3" t="s">
        <v>45</v>
      </c>
      <c r="Z1287" s="3" t="s">
        <v>74</v>
      </c>
      <c r="AA1287" s="3" t="s">
        <v>45</v>
      </c>
      <c r="AB1287" s="3" t="s">
        <v>45</v>
      </c>
      <c r="AC1287" s="3" t="s">
        <v>45</v>
      </c>
      <c r="AD1287" s="3" t="s">
        <v>45</v>
      </c>
      <c r="AE1287" s="3" t="s">
        <v>45</v>
      </c>
      <c r="AF1287" s="3" t="s">
        <v>45</v>
      </c>
      <c r="AG1287" s="3" t="s">
        <v>45</v>
      </c>
      <c r="AH1287" s="3" t="s">
        <v>57</v>
      </c>
      <c r="AI1287" s="5" t="s">
        <v>11215</v>
      </c>
      <c r="AJ1287" s="3" t="s">
        <v>45</v>
      </c>
      <c r="AK1287" s="3" t="s">
        <v>45</v>
      </c>
      <c r="AL1287" s="3" t="s">
        <v>45</v>
      </c>
      <c r="AM1287" s="3" t="s">
        <v>45</v>
      </c>
      <c r="AN1287" s="3" t="s">
        <v>45</v>
      </c>
      <c r="AO1287" s="3" t="s">
        <v>45</v>
      </c>
      <c r="AP1287" s="3" t="s">
        <v>45</v>
      </c>
      <c r="AQ1287" s="4" t="s">
        <v>2649</v>
      </c>
      <c r="AR1287" s="4" t="s">
        <v>2649</v>
      </c>
    </row>
    <row r="1288">
      <c r="A1288" s="3" t="s">
        <v>11216</v>
      </c>
      <c r="B1288" s="3" t="s">
        <v>11217</v>
      </c>
      <c r="C1288" s="3" t="s">
        <v>2099</v>
      </c>
      <c r="D1288" s="3" t="s">
        <v>9900</v>
      </c>
      <c r="E1288" s="4" t="s">
        <v>11161</v>
      </c>
      <c r="F1288" s="3" t="s">
        <v>10524</v>
      </c>
      <c r="G1288" s="4" t="s">
        <v>11218</v>
      </c>
      <c r="H1288" s="4" t="s">
        <v>11219</v>
      </c>
      <c r="I1288" s="3" t="s">
        <v>85</v>
      </c>
      <c r="J1288" s="3" t="s">
        <v>126</v>
      </c>
      <c r="K1288" s="3" t="s">
        <v>45</v>
      </c>
      <c r="L1288" s="3" t="s">
        <v>11216</v>
      </c>
      <c r="M1288" s="3" t="s">
        <v>45</v>
      </c>
      <c r="N1288" s="3" t="s">
        <v>45</v>
      </c>
      <c r="O1288" s="3" t="s">
        <v>74</v>
      </c>
      <c r="P1288" s="3" t="s">
        <v>45</v>
      </c>
      <c r="Q1288" s="3" t="s">
        <v>45</v>
      </c>
      <c r="R1288" s="3" t="s">
        <v>45</v>
      </c>
      <c r="S1288" s="3" t="s">
        <v>45</v>
      </c>
      <c r="T1288" s="3" t="s">
        <v>45</v>
      </c>
      <c r="U1288" s="3" t="s">
        <v>45</v>
      </c>
      <c r="V1288" s="4" t="s">
        <v>11220</v>
      </c>
      <c r="W1288" s="4" t="s">
        <v>389</v>
      </c>
      <c r="X1288" s="3" t="s">
        <v>45</v>
      </c>
      <c r="Y1288" s="3" t="s">
        <v>45</v>
      </c>
      <c r="Z1288" s="3" t="s">
        <v>74</v>
      </c>
      <c r="AA1288" s="3" t="s">
        <v>45</v>
      </c>
      <c r="AB1288" s="3" t="s">
        <v>45</v>
      </c>
      <c r="AC1288" s="3" t="s">
        <v>45</v>
      </c>
      <c r="AD1288" s="3" t="s">
        <v>45</v>
      </c>
      <c r="AE1288" s="3" t="s">
        <v>45</v>
      </c>
      <c r="AF1288" s="3" t="s">
        <v>45</v>
      </c>
      <c r="AG1288" s="3" t="s">
        <v>45</v>
      </c>
      <c r="AH1288" s="3" t="s">
        <v>9906</v>
      </c>
      <c r="AI1288" s="5" t="s">
        <v>11221</v>
      </c>
      <c r="AJ1288" s="3" t="s">
        <v>45</v>
      </c>
      <c r="AK1288" s="3" t="s">
        <v>45</v>
      </c>
      <c r="AL1288" s="3" t="s">
        <v>45</v>
      </c>
      <c r="AM1288" s="3" t="s">
        <v>45</v>
      </c>
      <c r="AN1288" s="3" t="s">
        <v>45</v>
      </c>
      <c r="AO1288" s="3" t="s">
        <v>45</v>
      </c>
      <c r="AP1288" s="3" t="s">
        <v>45</v>
      </c>
      <c r="AQ1288" s="4" t="s">
        <v>9934</v>
      </c>
      <c r="AR1288" s="4" t="s">
        <v>9908</v>
      </c>
    </row>
    <row r="1289">
      <c r="A1289" s="3" t="s">
        <v>11222</v>
      </c>
      <c r="B1289" s="3" t="s">
        <v>11223</v>
      </c>
      <c r="C1289" s="3" t="s">
        <v>2099</v>
      </c>
      <c r="D1289" s="3" t="s">
        <v>9900</v>
      </c>
      <c r="E1289" s="4" t="s">
        <v>11161</v>
      </c>
      <c r="F1289" s="3" t="s">
        <v>10524</v>
      </c>
      <c r="G1289" s="4" t="s">
        <v>11224</v>
      </c>
      <c r="H1289" s="4" t="s">
        <v>11225</v>
      </c>
      <c r="I1289" s="3" t="s">
        <v>436</v>
      </c>
      <c r="J1289" s="3" t="s">
        <v>126</v>
      </c>
      <c r="K1289" s="3" t="s">
        <v>45</v>
      </c>
      <c r="L1289" s="3" t="s">
        <v>11226</v>
      </c>
      <c r="M1289" s="3" t="s">
        <v>45</v>
      </c>
      <c r="N1289" s="3" t="s">
        <v>45</v>
      </c>
      <c r="O1289" s="3" t="s">
        <v>70</v>
      </c>
      <c r="P1289" s="3" t="s">
        <v>45</v>
      </c>
      <c r="Q1289" s="3" t="s">
        <v>45</v>
      </c>
      <c r="R1289" s="3" t="s">
        <v>45</v>
      </c>
      <c r="S1289" s="4" t="s">
        <v>2034</v>
      </c>
      <c r="T1289" s="3" t="s">
        <v>45</v>
      </c>
      <c r="U1289" s="3" t="s">
        <v>45</v>
      </c>
      <c r="V1289" s="4" t="s">
        <v>11227</v>
      </c>
      <c r="W1289" s="4" t="s">
        <v>11228</v>
      </c>
      <c r="X1289" s="3" t="s">
        <v>45</v>
      </c>
      <c r="Y1289" s="3" t="s">
        <v>45</v>
      </c>
      <c r="Z1289" s="3" t="s">
        <v>55</v>
      </c>
      <c r="AA1289" s="3" t="s">
        <v>45</v>
      </c>
      <c r="AB1289" s="3" t="s">
        <v>109</v>
      </c>
      <c r="AC1289" s="3" t="s">
        <v>45</v>
      </c>
      <c r="AD1289" s="3" t="s">
        <v>45</v>
      </c>
      <c r="AE1289" s="3" t="s">
        <v>45</v>
      </c>
      <c r="AF1289" s="3" t="s">
        <v>45</v>
      </c>
      <c r="AG1289" s="3" t="s">
        <v>11229</v>
      </c>
      <c r="AH1289" s="3" t="s">
        <v>57</v>
      </c>
      <c r="AI1289" s="5" t="s">
        <v>11230</v>
      </c>
      <c r="AJ1289" s="5" t="s">
        <v>11231</v>
      </c>
      <c r="AK1289" s="5" t="s">
        <v>11232</v>
      </c>
      <c r="AL1289" s="5" t="s">
        <v>11233</v>
      </c>
      <c r="AM1289" s="5" t="s">
        <v>11234</v>
      </c>
      <c r="AN1289" s="5" t="s">
        <v>11235</v>
      </c>
      <c r="AO1289" s="3" t="s">
        <v>45</v>
      </c>
      <c r="AP1289" s="3" t="s">
        <v>45</v>
      </c>
      <c r="AQ1289" s="4" t="s">
        <v>9934</v>
      </c>
      <c r="AR1289" s="4" t="s">
        <v>11236</v>
      </c>
    </row>
    <row r="1290">
      <c r="A1290" s="3" t="s">
        <v>11237</v>
      </c>
      <c r="B1290" s="3" t="s">
        <v>11238</v>
      </c>
      <c r="C1290" s="3" t="s">
        <v>2099</v>
      </c>
      <c r="D1290" s="3" t="s">
        <v>9900</v>
      </c>
      <c r="E1290" s="4" t="s">
        <v>11161</v>
      </c>
      <c r="F1290" s="3" t="s">
        <v>10524</v>
      </c>
      <c r="G1290" s="4" t="s">
        <v>11239</v>
      </c>
      <c r="H1290" s="4" t="s">
        <v>11240</v>
      </c>
      <c r="I1290" s="3" t="s">
        <v>49</v>
      </c>
      <c r="J1290" s="3" t="s">
        <v>126</v>
      </c>
      <c r="K1290" s="3" t="s">
        <v>45</v>
      </c>
      <c r="L1290" s="3" t="s">
        <v>409</v>
      </c>
      <c r="M1290" s="3" t="s">
        <v>45</v>
      </c>
      <c r="N1290" s="3" t="s">
        <v>45</v>
      </c>
      <c r="O1290" s="3" t="s">
        <v>74</v>
      </c>
      <c r="P1290" s="3" t="s">
        <v>45</v>
      </c>
      <c r="Q1290" s="3" t="s">
        <v>45</v>
      </c>
      <c r="R1290" s="3" t="s">
        <v>45</v>
      </c>
      <c r="S1290" s="3" t="s">
        <v>45</v>
      </c>
      <c r="T1290" s="3" t="s">
        <v>45</v>
      </c>
      <c r="U1290" s="3" t="s">
        <v>45</v>
      </c>
      <c r="V1290" s="4" t="s">
        <v>11241</v>
      </c>
      <c r="W1290" s="4" t="s">
        <v>7408</v>
      </c>
      <c r="X1290" s="3" t="s">
        <v>45</v>
      </c>
      <c r="Y1290" s="3" t="s">
        <v>45</v>
      </c>
      <c r="Z1290" s="3" t="s">
        <v>74</v>
      </c>
      <c r="AA1290" s="3" t="s">
        <v>45</v>
      </c>
      <c r="AB1290" s="3" t="s">
        <v>45</v>
      </c>
      <c r="AC1290" s="3" t="s">
        <v>45</v>
      </c>
      <c r="AD1290" s="3" t="s">
        <v>45</v>
      </c>
      <c r="AE1290" s="3" t="s">
        <v>45</v>
      </c>
      <c r="AF1290" s="3" t="s">
        <v>45</v>
      </c>
      <c r="AG1290" s="3" t="s">
        <v>10511</v>
      </c>
      <c r="AH1290" s="3" t="s">
        <v>9906</v>
      </c>
      <c r="AI1290" s="5" t="s">
        <v>11242</v>
      </c>
      <c r="AJ1290" s="5" t="s">
        <v>11243</v>
      </c>
      <c r="AK1290" s="3" t="s">
        <v>45</v>
      </c>
      <c r="AL1290" s="3" t="s">
        <v>45</v>
      </c>
      <c r="AM1290" s="3" t="s">
        <v>45</v>
      </c>
      <c r="AN1290" s="3" t="s">
        <v>45</v>
      </c>
      <c r="AO1290" s="3" t="s">
        <v>45</v>
      </c>
      <c r="AP1290" s="3" t="s">
        <v>45</v>
      </c>
      <c r="AQ1290" s="4" t="s">
        <v>9934</v>
      </c>
      <c r="AR1290" s="4" t="s">
        <v>9908</v>
      </c>
    </row>
    <row r="1291">
      <c r="A1291" s="3" t="s">
        <v>11244</v>
      </c>
      <c r="B1291" s="3" t="s">
        <v>11245</v>
      </c>
      <c r="C1291" s="3" t="s">
        <v>2099</v>
      </c>
      <c r="D1291" s="3" t="s">
        <v>9900</v>
      </c>
      <c r="E1291" s="4" t="s">
        <v>11161</v>
      </c>
      <c r="F1291" s="3" t="s">
        <v>10524</v>
      </c>
      <c r="G1291" s="4" t="s">
        <v>11246</v>
      </c>
      <c r="H1291" s="4" t="s">
        <v>11247</v>
      </c>
      <c r="I1291" s="3" t="s">
        <v>49</v>
      </c>
      <c r="J1291" s="3" t="s">
        <v>126</v>
      </c>
      <c r="K1291" s="3" t="s">
        <v>45</v>
      </c>
      <c r="L1291" s="3" t="s">
        <v>11248</v>
      </c>
      <c r="M1291" s="3" t="s">
        <v>45</v>
      </c>
      <c r="N1291" s="3" t="s">
        <v>45</v>
      </c>
      <c r="O1291" s="3" t="s">
        <v>74</v>
      </c>
      <c r="P1291" s="3" t="s">
        <v>45</v>
      </c>
      <c r="Q1291" s="3" t="s">
        <v>45</v>
      </c>
      <c r="R1291" s="3" t="s">
        <v>45</v>
      </c>
      <c r="S1291" s="3" t="s">
        <v>45</v>
      </c>
      <c r="T1291" s="3" t="s">
        <v>45</v>
      </c>
      <c r="U1291" s="3" t="s">
        <v>45</v>
      </c>
      <c r="V1291" s="4" t="s">
        <v>11249</v>
      </c>
      <c r="W1291" s="4" t="s">
        <v>1553</v>
      </c>
      <c r="X1291" s="3" t="s">
        <v>45</v>
      </c>
      <c r="Y1291" s="3" t="s">
        <v>45</v>
      </c>
      <c r="Z1291" s="3" t="s">
        <v>74</v>
      </c>
      <c r="AA1291" s="3" t="s">
        <v>45</v>
      </c>
      <c r="AB1291" s="3" t="s">
        <v>45</v>
      </c>
      <c r="AC1291" s="3" t="s">
        <v>45</v>
      </c>
      <c r="AD1291" s="3" t="s">
        <v>45</v>
      </c>
      <c r="AE1291" s="3" t="s">
        <v>45</v>
      </c>
      <c r="AF1291" s="3" t="s">
        <v>45</v>
      </c>
      <c r="AG1291" s="3" t="s">
        <v>45</v>
      </c>
      <c r="AH1291" s="3" t="s">
        <v>9906</v>
      </c>
      <c r="AI1291" s="5" t="s">
        <v>11250</v>
      </c>
      <c r="AJ1291" s="5" t="s">
        <v>11251</v>
      </c>
      <c r="AK1291" s="3" t="s">
        <v>45</v>
      </c>
      <c r="AL1291" s="3" t="s">
        <v>45</v>
      </c>
      <c r="AM1291" s="3" t="s">
        <v>45</v>
      </c>
      <c r="AN1291" s="3" t="s">
        <v>45</v>
      </c>
      <c r="AO1291" s="3" t="s">
        <v>45</v>
      </c>
      <c r="AP1291" s="3" t="s">
        <v>45</v>
      </c>
      <c r="AQ1291" s="4" t="s">
        <v>9934</v>
      </c>
      <c r="AR1291" s="4" t="s">
        <v>9908</v>
      </c>
    </row>
    <row r="1292">
      <c r="A1292" s="3" t="s">
        <v>11252</v>
      </c>
      <c r="B1292" s="3" t="s">
        <v>11253</v>
      </c>
      <c r="C1292" s="3" t="s">
        <v>11254</v>
      </c>
      <c r="D1292" s="3" t="s">
        <v>9900</v>
      </c>
      <c r="E1292" s="4" t="s">
        <v>11255</v>
      </c>
      <c r="F1292" s="3" t="s">
        <v>11256</v>
      </c>
      <c r="G1292" s="4" t="s">
        <v>11257</v>
      </c>
      <c r="H1292" s="4" t="s">
        <v>11258</v>
      </c>
      <c r="I1292" s="3" t="s">
        <v>85</v>
      </c>
      <c r="J1292" s="3" t="s">
        <v>126</v>
      </c>
      <c r="K1292" s="3" t="s">
        <v>45</v>
      </c>
      <c r="L1292" s="3" t="s">
        <v>11259</v>
      </c>
      <c r="M1292" s="3" t="s">
        <v>45</v>
      </c>
      <c r="N1292" s="3" t="s">
        <v>45</v>
      </c>
      <c r="O1292" s="3" t="s">
        <v>74</v>
      </c>
      <c r="P1292" s="3" t="s">
        <v>45</v>
      </c>
      <c r="Q1292" s="3" t="s">
        <v>45</v>
      </c>
      <c r="R1292" s="3" t="s">
        <v>45</v>
      </c>
      <c r="S1292" s="3" t="s">
        <v>45</v>
      </c>
      <c r="T1292" s="3" t="s">
        <v>45</v>
      </c>
      <c r="U1292" s="3" t="s">
        <v>45</v>
      </c>
      <c r="V1292" s="3" t="s">
        <v>45</v>
      </c>
      <c r="W1292" s="3" t="s">
        <v>45</v>
      </c>
      <c r="X1292" s="3" t="s">
        <v>45</v>
      </c>
      <c r="Y1292" s="3" t="s">
        <v>45</v>
      </c>
      <c r="Z1292" s="3" t="s">
        <v>74</v>
      </c>
      <c r="AA1292" s="3" t="s">
        <v>45</v>
      </c>
      <c r="AB1292" s="3" t="s">
        <v>45</v>
      </c>
      <c r="AC1292" s="3" t="s">
        <v>45</v>
      </c>
      <c r="AD1292" s="3" t="s">
        <v>45</v>
      </c>
      <c r="AE1292" s="3" t="s">
        <v>45</v>
      </c>
      <c r="AF1292" s="3" t="s">
        <v>45</v>
      </c>
      <c r="AG1292" s="3" t="s">
        <v>45</v>
      </c>
      <c r="AH1292" s="3" t="s">
        <v>9906</v>
      </c>
      <c r="AI1292" s="5" t="s">
        <v>11260</v>
      </c>
      <c r="AJ1292" s="3" t="s">
        <v>45</v>
      </c>
      <c r="AK1292" s="3" t="s">
        <v>45</v>
      </c>
      <c r="AL1292" s="3" t="s">
        <v>45</v>
      </c>
      <c r="AM1292" s="3" t="s">
        <v>45</v>
      </c>
      <c r="AN1292" s="3" t="s">
        <v>45</v>
      </c>
      <c r="AO1292" s="3" t="s">
        <v>45</v>
      </c>
      <c r="AP1292" s="3" t="s">
        <v>45</v>
      </c>
      <c r="AQ1292" s="4" t="s">
        <v>9934</v>
      </c>
      <c r="AR1292" s="4" t="s">
        <v>9908</v>
      </c>
    </row>
    <row r="1293">
      <c r="A1293" s="3" t="s">
        <v>11261</v>
      </c>
      <c r="B1293" s="3" t="s">
        <v>11262</v>
      </c>
      <c r="C1293" s="3" t="s">
        <v>11254</v>
      </c>
      <c r="D1293" s="3" t="s">
        <v>9900</v>
      </c>
      <c r="E1293" s="4" t="s">
        <v>11263</v>
      </c>
      <c r="F1293" s="3" t="s">
        <v>10448</v>
      </c>
      <c r="G1293" s="4" t="s">
        <v>11264</v>
      </c>
      <c r="H1293" s="4" t="s">
        <v>11265</v>
      </c>
      <c r="I1293" s="3" t="s">
        <v>436</v>
      </c>
      <c r="J1293" s="3" t="s">
        <v>126</v>
      </c>
      <c r="K1293" s="3" t="s">
        <v>45</v>
      </c>
      <c r="L1293" s="3" t="s">
        <v>45</v>
      </c>
      <c r="M1293" s="3" t="s">
        <v>45</v>
      </c>
      <c r="N1293" s="4" t="s">
        <v>1296</v>
      </c>
      <c r="O1293" s="3" t="s">
        <v>88</v>
      </c>
      <c r="P1293" s="3" t="s">
        <v>45</v>
      </c>
      <c r="Q1293" s="3" t="s">
        <v>45</v>
      </c>
      <c r="R1293" s="3" t="s">
        <v>45</v>
      </c>
      <c r="S1293" s="4" t="s">
        <v>52</v>
      </c>
      <c r="T1293" s="3" t="s">
        <v>45</v>
      </c>
      <c r="U1293" s="3" t="s">
        <v>45</v>
      </c>
      <c r="V1293" s="4" t="s">
        <v>3930</v>
      </c>
      <c r="W1293" s="4" t="s">
        <v>3595</v>
      </c>
      <c r="X1293" s="3" t="s">
        <v>45</v>
      </c>
      <c r="Y1293" s="3" t="s">
        <v>45</v>
      </c>
      <c r="Z1293" s="3" t="s">
        <v>55</v>
      </c>
      <c r="AA1293" s="3" t="s">
        <v>11266</v>
      </c>
      <c r="AB1293" s="3" t="s">
        <v>45</v>
      </c>
      <c r="AC1293" s="3" t="s">
        <v>45</v>
      </c>
      <c r="AD1293" s="5" t="s">
        <v>11267</v>
      </c>
      <c r="AE1293" s="5" t="s">
        <v>11268</v>
      </c>
      <c r="AF1293" s="3" t="s">
        <v>45</v>
      </c>
      <c r="AG1293" s="3" t="s">
        <v>45</v>
      </c>
      <c r="AH1293" s="3" t="s">
        <v>57</v>
      </c>
      <c r="AI1293" s="5" t="s">
        <v>11269</v>
      </c>
      <c r="AJ1293" s="5" t="s">
        <v>11270</v>
      </c>
      <c r="AK1293" s="5" t="s">
        <v>11271</v>
      </c>
      <c r="AL1293" s="3" t="s">
        <v>45</v>
      </c>
      <c r="AM1293" s="3" t="s">
        <v>45</v>
      </c>
      <c r="AN1293" s="3" t="s">
        <v>45</v>
      </c>
      <c r="AO1293" s="3" t="s">
        <v>45</v>
      </c>
      <c r="AP1293" s="3" t="s">
        <v>45</v>
      </c>
      <c r="AQ1293" s="4" t="s">
        <v>6241</v>
      </c>
      <c r="AR1293" s="4" t="s">
        <v>8164</v>
      </c>
    </row>
    <row r="1294">
      <c r="A1294" s="3" t="s">
        <v>5205</v>
      </c>
      <c r="B1294" s="3" t="s">
        <v>11272</v>
      </c>
      <c r="C1294" s="3" t="s">
        <v>11254</v>
      </c>
      <c r="D1294" s="3" t="s">
        <v>9900</v>
      </c>
      <c r="E1294" s="4" t="s">
        <v>11263</v>
      </c>
      <c r="F1294" s="3" t="s">
        <v>10448</v>
      </c>
      <c r="G1294" s="4" t="s">
        <v>11273</v>
      </c>
      <c r="H1294" s="4" t="s">
        <v>11274</v>
      </c>
      <c r="I1294" s="3" t="s">
        <v>245</v>
      </c>
      <c r="J1294" s="3" t="s">
        <v>126</v>
      </c>
      <c r="K1294" s="3" t="s">
        <v>45</v>
      </c>
      <c r="L1294" s="3" t="s">
        <v>5833</v>
      </c>
      <c r="M1294" s="3" t="s">
        <v>45</v>
      </c>
      <c r="N1294" s="4" t="s">
        <v>1296</v>
      </c>
      <c r="O1294" s="3" t="s">
        <v>88</v>
      </c>
      <c r="P1294" s="3" t="s">
        <v>45</v>
      </c>
      <c r="Q1294" s="3" t="s">
        <v>45</v>
      </c>
      <c r="R1294" s="3" t="s">
        <v>45</v>
      </c>
      <c r="S1294" s="4" t="s">
        <v>1872</v>
      </c>
      <c r="T1294" s="3" t="s">
        <v>45</v>
      </c>
      <c r="U1294" s="3" t="s">
        <v>45</v>
      </c>
      <c r="V1294" s="3" t="s">
        <v>45</v>
      </c>
      <c r="W1294" s="4" t="s">
        <v>8157</v>
      </c>
      <c r="X1294" s="3" t="s">
        <v>45</v>
      </c>
      <c r="Y1294" s="3" t="s">
        <v>45</v>
      </c>
      <c r="Z1294" s="3" t="s">
        <v>55</v>
      </c>
      <c r="AA1294" s="3" t="s">
        <v>45</v>
      </c>
      <c r="AB1294" s="3" t="s">
        <v>45</v>
      </c>
      <c r="AC1294" s="3" t="s">
        <v>45</v>
      </c>
      <c r="AD1294" s="5" t="s">
        <v>11275</v>
      </c>
      <c r="AE1294" s="3" t="s">
        <v>45</v>
      </c>
      <c r="AF1294" s="3" t="s">
        <v>45</v>
      </c>
      <c r="AG1294" s="3" t="s">
        <v>45</v>
      </c>
      <c r="AH1294" s="3" t="s">
        <v>57</v>
      </c>
      <c r="AI1294" s="5" t="s">
        <v>11276</v>
      </c>
      <c r="AJ1294" s="3" t="s">
        <v>45</v>
      </c>
      <c r="AK1294" s="3" t="s">
        <v>45</v>
      </c>
      <c r="AL1294" s="3" t="s">
        <v>45</v>
      </c>
      <c r="AM1294" s="3" t="s">
        <v>45</v>
      </c>
      <c r="AN1294" s="3" t="s">
        <v>45</v>
      </c>
      <c r="AO1294" s="3" t="s">
        <v>45</v>
      </c>
      <c r="AP1294" s="3" t="s">
        <v>45</v>
      </c>
      <c r="AQ1294" s="4" t="s">
        <v>1230</v>
      </c>
      <c r="AR1294" s="4" t="s">
        <v>1230</v>
      </c>
    </row>
    <row r="1295">
      <c r="A1295" s="3" t="s">
        <v>11277</v>
      </c>
      <c r="B1295" s="3" t="s">
        <v>11278</v>
      </c>
      <c r="C1295" s="3" t="s">
        <v>11279</v>
      </c>
      <c r="D1295" s="3" t="s">
        <v>9900</v>
      </c>
      <c r="E1295" s="4" t="s">
        <v>11280</v>
      </c>
      <c r="F1295" s="3" t="s">
        <v>10747</v>
      </c>
      <c r="G1295" s="4" t="s">
        <v>11281</v>
      </c>
      <c r="H1295" s="4" t="s">
        <v>11282</v>
      </c>
      <c r="I1295" s="3" t="s">
        <v>49</v>
      </c>
      <c r="J1295" s="3" t="s">
        <v>126</v>
      </c>
      <c r="K1295" s="3" t="s">
        <v>45</v>
      </c>
      <c r="L1295" s="3" t="s">
        <v>11283</v>
      </c>
      <c r="M1295" s="3" t="s">
        <v>45</v>
      </c>
      <c r="N1295" s="3" t="s">
        <v>45</v>
      </c>
      <c r="O1295" s="3" t="s">
        <v>74</v>
      </c>
      <c r="P1295" s="3" t="s">
        <v>45</v>
      </c>
      <c r="Q1295" s="3" t="s">
        <v>45</v>
      </c>
      <c r="R1295" s="3" t="s">
        <v>45</v>
      </c>
      <c r="S1295" s="3" t="s">
        <v>45</v>
      </c>
      <c r="T1295" s="3" t="s">
        <v>45</v>
      </c>
      <c r="U1295" s="3" t="s">
        <v>45</v>
      </c>
      <c r="V1295" s="4" t="s">
        <v>11284</v>
      </c>
      <c r="W1295" s="4" t="s">
        <v>9607</v>
      </c>
      <c r="X1295" s="3" t="s">
        <v>45</v>
      </c>
      <c r="Y1295" s="3" t="s">
        <v>45</v>
      </c>
      <c r="Z1295" s="3" t="s">
        <v>74</v>
      </c>
      <c r="AA1295" s="3" t="s">
        <v>45</v>
      </c>
      <c r="AB1295" s="3" t="s">
        <v>45</v>
      </c>
      <c r="AC1295" s="3" t="s">
        <v>45</v>
      </c>
      <c r="AD1295" s="3" t="s">
        <v>45</v>
      </c>
      <c r="AE1295" s="3" t="s">
        <v>45</v>
      </c>
      <c r="AF1295" s="3" t="s">
        <v>45</v>
      </c>
      <c r="AG1295" s="3" t="s">
        <v>45</v>
      </c>
      <c r="AH1295" s="3" t="s">
        <v>9906</v>
      </c>
      <c r="AI1295" s="5" t="s">
        <v>11285</v>
      </c>
      <c r="AJ1295" s="5" t="s">
        <v>11285</v>
      </c>
      <c r="AK1295" s="3" t="s">
        <v>45</v>
      </c>
      <c r="AL1295" s="3" t="s">
        <v>45</v>
      </c>
      <c r="AM1295" s="3" t="s">
        <v>45</v>
      </c>
      <c r="AN1295" s="3" t="s">
        <v>45</v>
      </c>
      <c r="AO1295" s="3" t="s">
        <v>45</v>
      </c>
      <c r="AP1295" s="3" t="s">
        <v>45</v>
      </c>
      <c r="AQ1295" s="4" t="s">
        <v>9969</v>
      </c>
      <c r="AR1295" s="4" t="s">
        <v>9908</v>
      </c>
    </row>
    <row r="1296">
      <c r="A1296" s="3" t="s">
        <v>11286</v>
      </c>
      <c r="B1296" s="3" t="s">
        <v>11287</v>
      </c>
      <c r="C1296" s="3" t="s">
        <v>11288</v>
      </c>
      <c r="D1296" s="3" t="s">
        <v>9900</v>
      </c>
      <c r="E1296" s="4" t="s">
        <v>11289</v>
      </c>
      <c r="F1296" s="3" t="s">
        <v>11288</v>
      </c>
      <c r="G1296" s="4" t="s">
        <v>11290</v>
      </c>
      <c r="H1296" s="4" t="s">
        <v>11291</v>
      </c>
      <c r="I1296" s="3" t="s">
        <v>408</v>
      </c>
      <c r="J1296" s="3" t="s">
        <v>126</v>
      </c>
      <c r="K1296" s="3" t="s">
        <v>45</v>
      </c>
      <c r="L1296" s="3" t="s">
        <v>11292</v>
      </c>
      <c r="M1296" s="3" t="s">
        <v>45</v>
      </c>
      <c r="N1296" s="3" t="s">
        <v>45</v>
      </c>
      <c r="O1296" s="3" t="s">
        <v>74</v>
      </c>
      <c r="P1296" s="3" t="s">
        <v>45</v>
      </c>
      <c r="Q1296" s="3" t="s">
        <v>45</v>
      </c>
      <c r="R1296" s="3" t="s">
        <v>45</v>
      </c>
      <c r="S1296" s="3" t="s">
        <v>45</v>
      </c>
      <c r="T1296" s="3" t="s">
        <v>45</v>
      </c>
      <c r="U1296" s="3" t="s">
        <v>45</v>
      </c>
      <c r="V1296" s="4" t="s">
        <v>11293</v>
      </c>
      <c r="W1296" s="4" t="s">
        <v>472</v>
      </c>
      <c r="X1296" s="3" t="s">
        <v>45</v>
      </c>
      <c r="Y1296" s="3" t="s">
        <v>45</v>
      </c>
      <c r="Z1296" s="3" t="s">
        <v>74</v>
      </c>
      <c r="AA1296" s="3" t="s">
        <v>45</v>
      </c>
      <c r="AB1296" s="3" t="s">
        <v>45</v>
      </c>
      <c r="AC1296" s="3" t="s">
        <v>45</v>
      </c>
      <c r="AD1296" s="3" t="s">
        <v>45</v>
      </c>
      <c r="AE1296" s="3" t="s">
        <v>45</v>
      </c>
      <c r="AF1296" s="3" t="s">
        <v>45</v>
      </c>
      <c r="AG1296" s="3" t="s">
        <v>11294</v>
      </c>
      <c r="AH1296" s="3" t="s">
        <v>9906</v>
      </c>
      <c r="AI1296" s="5" t="s">
        <v>11295</v>
      </c>
      <c r="AJ1296" s="3" t="s">
        <v>45</v>
      </c>
      <c r="AK1296" s="3" t="s">
        <v>45</v>
      </c>
      <c r="AL1296" s="3" t="s">
        <v>45</v>
      </c>
      <c r="AM1296" s="3" t="s">
        <v>45</v>
      </c>
      <c r="AN1296" s="3" t="s">
        <v>45</v>
      </c>
      <c r="AO1296" s="3" t="s">
        <v>45</v>
      </c>
      <c r="AP1296" s="3" t="s">
        <v>45</v>
      </c>
      <c r="AQ1296" s="4" t="s">
        <v>9934</v>
      </c>
      <c r="AR1296" s="4" t="s">
        <v>224</v>
      </c>
    </row>
    <row r="1297">
      <c r="A1297" s="3" t="s">
        <v>11296</v>
      </c>
      <c r="B1297" s="3" t="s">
        <v>11297</v>
      </c>
      <c r="C1297" s="3" t="s">
        <v>11298</v>
      </c>
      <c r="D1297" s="3" t="s">
        <v>9900</v>
      </c>
      <c r="E1297" s="4" t="s">
        <v>11299</v>
      </c>
      <c r="F1297" s="3" t="s">
        <v>10524</v>
      </c>
      <c r="G1297" s="4" t="s">
        <v>11300</v>
      </c>
      <c r="H1297" s="4" t="s">
        <v>11301</v>
      </c>
      <c r="I1297" s="3" t="s">
        <v>85</v>
      </c>
      <c r="J1297" s="3" t="s">
        <v>126</v>
      </c>
      <c r="K1297" s="3" t="s">
        <v>45</v>
      </c>
      <c r="L1297" s="3" t="s">
        <v>479</v>
      </c>
      <c r="M1297" s="3" t="s">
        <v>45</v>
      </c>
      <c r="N1297" s="3" t="s">
        <v>45</v>
      </c>
      <c r="O1297" s="3" t="s">
        <v>74</v>
      </c>
      <c r="P1297" s="3" t="s">
        <v>45</v>
      </c>
      <c r="Q1297" s="3" t="s">
        <v>45</v>
      </c>
      <c r="R1297" s="3" t="s">
        <v>45</v>
      </c>
      <c r="S1297" s="3" t="s">
        <v>45</v>
      </c>
      <c r="T1297" s="3" t="s">
        <v>45</v>
      </c>
      <c r="U1297" s="3" t="s">
        <v>45</v>
      </c>
      <c r="V1297" s="4" t="s">
        <v>11302</v>
      </c>
      <c r="W1297" s="4" t="s">
        <v>9044</v>
      </c>
      <c r="X1297" s="3" t="s">
        <v>45</v>
      </c>
      <c r="Y1297" s="3" t="s">
        <v>45</v>
      </c>
      <c r="Z1297" s="3" t="s">
        <v>74</v>
      </c>
      <c r="AA1297" s="3" t="s">
        <v>45</v>
      </c>
      <c r="AB1297" s="3" t="s">
        <v>45</v>
      </c>
      <c r="AC1297" s="3" t="s">
        <v>45</v>
      </c>
      <c r="AD1297" s="3" t="s">
        <v>45</v>
      </c>
      <c r="AE1297" s="3" t="s">
        <v>45</v>
      </c>
      <c r="AF1297" s="3" t="s">
        <v>45</v>
      </c>
      <c r="AG1297" s="3" t="s">
        <v>45</v>
      </c>
      <c r="AH1297" s="3" t="s">
        <v>9906</v>
      </c>
      <c r="AI1297" s="5" t="s">
        <v>11303</v>
      </c>
      <c r="AJ1297" s="5" t="s">
        <v>11304</v>
      </c>
      <c r="AK1297" s="3" t="s">
        <v>45</v>
      </c>
      <c r="AL1297" s="3" t="s">
        <v>45</v>
      </c>
      <c r="AM1297" s="3" t="s">
        <v>45</v>
      </c>
      <c r="AN1297" s="3" t="s">
        <v>45</v>
      </c>
      <c r="AO1297" s="3" t="s">
        <v>45</v>
      </c>
      <c r="AP1297" s="3" t="s">
        <v>45</v>
      </c>
      <c r="AQ1297" s="4" t="s">
        <v>182</v>
      </c>
      <c r="AR1297" s="4" t="s">
        <v>9908</v>
      </c>
    </row>
    <row r="1298">
      <c r="A1298" s="3" t="s">
        <v>11305</v>
      </c>
      <c r="B1298" s="3" t="s">
        <v>11306</v>
      </c>
      <c r="C1298" s="3" t="s">
        <v>11298</v>
      </c>
      <c r="D1298" s="3" t="s">
        <v>9900</v>
      </c>
      <c r="E1298" s="4" t="s">
        <v>11299</v>
      </c>
      <c r="F1298" s="3" t="s">
        <v>10524</v>
      </c>
      <c r="G1298" s="4" t="s">
        <v>11307</v>
      </c>
      <c r="H1298" s="4" t="s">
        <v>11308</v>
      </c>
      <c r="I1298" s="3" t="s">
        <v>85</v>
      </c>
      <c r="J1298" s="3" t="s">
        <v>126</v>
      </c>
      <c r="K1298" s="3" t="s">
        <v>45</v>
      </c>
      <c r="L1298" s="3" t="s">
        <v>479</v>
      </c>
      <c r="M1298" s="3" t="s">
        <v>45</v>
      </c>
      <c r="N1298" s="3" t="s">
        <v>45</v>
      </c>
      <c r="O1298" s="3" t="s">
        <v>74</v>
      </c>
      <c r="P1298" s="3" t="s">
        <v>45</v>
      </c>
      <c r="Q1298" s="3" t="s">
        <v>45</v>
      </c>
      <c r="R1298" s="3" t="s">
        <v>45</v>
      </c>
      <c r="S1298" s="3" t="s">
        <v>45</v>
      </c>
      <c r="T1298" s="3" t="s">
        <v>45</v>
      </c>
      <c r="U1298" s="3" t="s">
        <v>45</v>
      </c>
      <c r="V1298" s="4" t="s">
        <v>11309</v>
      </c>
      <c r="W1298" s="4" t="s">
        <v>871</v>
      </c>
      <c r="X1298" s="3" t="s">
        <v>45</v>
      </c>
      <c r="Y1298" s="3" t="s">
        <v>45</v>
      </c>
      <c r="Z1298" s="3" t="s">
        <v>74</v>
      </c>
      <c r="AA1298" s="3" t="s">
        <v>45</v>
      </c>
      <c r="AB1298" s="3" t="s">
        <v>45</v>
      </c>
      <c r="AC1298" s="3" t="s">
        <v>45</v>
      </c>
      <c r="AD1298" s="3" t="s">
        <v>45</v>
      </c>
      <c r="AE1298" s="3" t="s">
        <v>45</v>
      </c>
      <c r="AF1298" s="3" t="s">
        <v>45</v>
      </c>
      <c r="AG1298" s="3" t="s">
        <v>45</v>
      </c>
      <c r="AH1298" s="3" t="s">
        <v>9906</v>
      </c>
      <c r="AI1298" s="5" t="s">
        <v>11310</v>
      </c>
      <c r="AJ1298" s="3" t="s">
        <v>45</v>
      </c>
      <c r="AK1298" s="3" t="s">
        <v>45</v>
      </c>
      <c r="AL1298" s="3" t="s">
        <v>45</v>
      </c>
      <c r="AM1298" s="3" t="s">
        <v>45</v>
      </c>
      <c r="AN1298" s="3" t="s">
        <v>45</v>
      </c>
      <c r="AO1298" s="3" t="s">
        <v>45</v>
      </c>
      <c r="AP1298" s="3" t="s">
        <v>45</v>
      </c>
      <c r="AQ1298" s="4" t="s">
        <v>182</v>
      </c>
      <c r="AR1298" s="4" t="s">
        <v>9908</v>
      </c>
    </row>
    <row r="1299">
      <c r="A1299" s="3" t="s">
        <v>11311</v>
      </c>
      <c r="B1299" s="3" t="s">
        <v>11312</v>
      </c>
      <c r="C1299" s="3" t="s">
        <v>11256</v>
      </c>
      <c r="D1299" s="3" t="s">
        <v>9900</v>
      </c>
      <c r="E1299" s="4" t="s">
        <v>11313</v>
      </c>
      <c r="F1299" s="3" t="s">
        <v>11256</v>
      </c>
      <c r="G1299" s="4" t="s">
        <v>11314</v>
      </c>
      <c r="H1299" s="4" t="s">
        <v>11315</v>
      </c>
      <c r="I1299" s="3" t="s">
        <v>85</v>
      </c>
      <c r="J1299" s="3" t="s">
        <v>126</v>
      </c>
      <c r="K1299" s="3" t="s">
        <v>45</v>
      </c>
      <c r="L1299" s="3" t="s">
        <v>11316</v>
      </c>
      <c r="M1299" s="3" t="s">
        <v>45</v>
      </c>
      <c r="N1299" s="3" t="s">
        <v>45</v>
      </c>
      <c r="O1299" s="3" t="s">
        <v>74</v>
      </c>
      <c r="P1299" s="3" t="s">
        <v>45</v>
      </c>
      <c r="Q1299" s="3" t="s">
        <v>45</v>
      </c>
      <c r="R1299" s="3" t="s">
        <v>45</v>
      </c>
      <c r="S1299" s="3" t="s">
        <v>45</v>
      </c>
      <c r="T1299" s="3" t="s">
        <v>45</v>
      </c>
      <c r="U1299" s="3" t="s">
        <v>45</v>
      </c>
      <c r="V1299" s="4" t="s">
        <v>11317</v>
      </c>
      <c r="W1299" s="4" t="s">
        <v>52</v>
      </c>
      <c r="X1299" s="3" t="s">
        <v>45</v>
      </c>
      <c r="Y1299" s="3" t="s">
        <v>45</v>
      </c>
      <c r="Z1299" s="3" t="s">
        <v>74</v>
      </c>
      <c r="AA1299" s="3" t="s">
        <v>45</v>
      </c>
      <c r="AB1299" s="3" t="s">
        <v>45</v>
      </c>
      <c r="AC1299" s="3" t="s">
        <v>45</v>
      </c>
      <c r="AD1299" s="3" t="s">
        <v>45</v>
      </c>
      <c r="AE1299" s="3" t="s">
        <v>45</v>
      </c>
      <c r="AF1299" s="3" t="s">
        <v>45</v>
      </c>
      <c r="AG1299" s="3" t="s">
        <v>45</v>
      </c>
      <c r="AH1299" s="3" t="s">
        <v>9906</v>
      </c>
      <c r="AI1299" s="5" t="s">
        <v>11318</v>
      </c>
      <c r="AJ1299" s="3" t="s">
        <v>45</v>
      </c>
      <c r="AK1299" s="3" t="s">
        <v>45</v>
      </c>
      <c r="AL1299" s="3" t="s">
        <v>45</v>
      </c>
      <c r="AM1299" s="3" t="s">
        <v>45</v>
      </c>
      <c r="AN1299" s="3" t="s">
        <v>45</v>
      </c>
      <c r="AO1299" s="3" t="s">
        <v>45</v>
      </c>
      <c r="AP1299" s="3" t="s">
        <v>45</v>
      </c>
      <c r="AQ1299" s="4" t="s">
        <v>9934</v>
      </c>
      <c r="AR1299" s="4" t="s">
        <v>9908</v>
      </c>
    </row>
    <row r="1300">
      <c r="A1300" s="3" t="s">
        <v>11319</v>
      </c>
      <c r="B1300" s="3" t="s">
        <v>11320</v>
      </c>
      <c r="C1300" s="3" t="s">
        <v>11256</v>
      </c>
      <c r="D1300" s="3" t="s">
        <v>9900</v>
      </c>
      <c r="E1300" s="4" t="s">
        <v>11313</v>
      </c>
      <c r="F1300" s="3" t="s">
        <v>11256</v>
      </c>
      <c r="G1300" s="4" t="s">
        <v>11321</v>
      </c>
      <c r="H1300" s="4" t="s">
        <v>11322</v>
      </c>
      <c r="I1300" s="3" t="s">
        <v>85</v>
      </c>
      <c r="J1300" s="3" t="s">
        <v>126</v>
      </c>
      <c r="K1300" s="3" t="s">
        <v>45</v>
      </c>
      <c r="L1300" s="3" t="s">
        <v>11323</v>
      </c>
      <c r="M1300" s="3" t="s">
        <v>45</v>
      </c>
      <c r="N1300" s="3" t="s">
        <v>45</v>
      </c>
      <c r="O1300" s="3" t="s">
        <v>74</v>
      </c>
      <c r="P1300" s="3" t="s">
        <v>45</v>
      </c>
      <c r="Q1300" s="3" t="s">
        <v>45</v>
      </c>
      <c r="R1300" s="3" t="s">
        <v>45</v>
      </c>
      <c r="S1300" s="3" t="s">
        <v>45</v>
      </c>
      <c r="T1300" s="3" t="s">
        <v>45</v>
      </c>
      <c r="U1300" s="3" t="s">
        <v>45</v>
      </c>
      <c r="V1300" s="4" t="s">
        <v>11324</v>
      </c>
      <c r="W1300" s="3" t="s">
        <v>45</v>
      </c>
      <c r="X1300" s="3" t="s">
        <v>45</v>
      </c>
      <c r="Y1300" s="3" t="s">
        <v>45</v>
      </c>
      <c r="Z1300" s="3" t="s">
        <v>74</v>
      </c>
      <c r="AA1300" s="3" t="s">
        <v>45</v>
      </c>
      <c r="AB1300" s="3" t="s">
        <v>45</v>
      </c>
      <c r="AC1300" s="3" t="s">
        <v>45</v>
      </c>
      <c r="AD1300" s="3" t="s">
        <v>45</v>
      </c>
      <c r="AE1300" s="3" t="s">
        <v>45</v>
      </c>
      <c r="AF1300" s="3" t="s">
        <v>45</v>
      </c>
      <c r="AG1300" s="3" t="s">
        <v>45</v>
      </c>
      <c r="AH1300" s="3" t="s">
        <v>9906</v>
      </c>
      <c r="AI1300" s="5" t="s">
        <v>11325</v>
      </c>
      <c r="AJ1300" s="3" t="s">
        <v>45</v>
      </c>
      <c r="AK1300" s="3" t="s">
        <v>45</v>
      </c>
      <c r="AL1300" s="3" t="s">
        <v>45</v>
      </c>
      <c r="AM1300" s="3" t="s">
        <v>45</v>
      </c>
      <c r="AN1300" s="3" t="s">
        <v>45</v>
      </c>
      <c r="AO1300" s="3" t="s">
        <v>45</v>
      </c>
      <c r="AP1300" s="3" t="s">
        <v>45</v>
      </c>
      <c r="AQ1300" s="4" t="s">
        <v>9934</v>
      </c>
      <c r="AR1300" s="4" t="s">
        <v>9908</v>
      </c>
    </row>
    <row r="1301">
      <c r="A1301" s="3" t="s">
        <v>11326</v>
      </c>
      <c r="B1301" s="3" t="s">
        <v>11327</v>
      </c>
      <c r="C1301" s="3" t="s">
        <v>11256</v>
      </c>
      <c r="D1301" s="3" t="s">
        <v>9900</v>
      </c>
      <c r="E1301" s="4" t="s">
        <v>11328</v>
      </c>
      <c r="F1301" s="3" t="s">
        <v>11329</v>
      </c>
      <c r="G1301" s="4" t="s">
        <v>11330</v>
      </c>
      <c r="H1301" s="4" t="s">
        <v>11331</v>
      </c>
      <c r="I1301" s="3" t="s">
        <v>49</v>
      </c>
      <c r="J1301" s="3" t="s">
        <v>50</v>
      </c>
      <c r="K1301" s="3" t="s">
        <v>45</v>
      </c>
      <c r="L1301" s="3" t="s">
        <v>11332</v>
      </c>
      <c r="M1301" s="3" t="s">
        <v>45</v>
      </c>
      <c r="N1301" s="4" t="s">
        <v>1296</v>
      </c>
      <c r="O1301" s="3" t="s">
        <v>88</v>
      </c>
      <c r="P1301" s="3" t="s">
        <v>220</v>
      </c>
      <c r="Q1301" s="3" t="s">
        <v>45</v>
      </c>
      <c r="R1301" s="3" t="s">
        <v>45</v>
      </c>
      <c r="S1301" s="4" t="s">
        <v>472</v>
      </c>
      <c r="T1301" s="3" t="s">
        <v>45</v>
      </c>
      <c r="U1301" s="3" t="s">
        <v>45</v>
      </c>
      <c r="V1301" s="3" t="s">
        <v>45</v>
      </c>
      <c r="W1301" s="4" t="s">
        <v>11333</v>
      </c>
      <c r="X1301" s="3" t="s">
        <v>5016</v>
      </c>
      <c r="Y1301" s="3" t="s">
        <v>45</v>
      </c>
      <c r="Z1301" s="3" t="s">
        <v>55</v>
      </c>
      <c r="AA1301" s="3" t="s">
        <v>45</v>
      </c>
      <c r="AB1301" s="3" t="s">
        <v>45</v>
      </c>
      <c r="AC1301" s="3" t="s">
        <v>45</v>
      </c>
      <c r="AD1301" s="3" t="s">
        <v>45</v>
      </c>
      <c r="AE1301" s="3" t="s">
        <v>45</v>
      </c>
      <c r="AF1301" s="3" t="s">
        <v>45</v>
      </c>
      <c r="AG1301" s="3" t="s">
        <v>11334</v>
      </c>
      <c r="AH1301" s="3" t="s">
        <v>840</v>
      </c>
      <c r="AI1301" s="5" t="s">
        <v>11335</v>
      </c>
      <c r="AJ1301" s="5" t="s">
        <v>11336</v>
      </c>
      <c r="AK1301" s="3" t="s">
        <v>45</v>
      </c>
      <c r="AL1301" s="3" t="s">
        <v>45</v>
      </c>
      <c r="AM1301" s="3" t="s">
        <v>45</v>
      </c>
      <c r="AN1301" s="3" t="s">
        <v>45</v>
      </c>
      <c r="AO1301" s="3" t="s">
        <v>45</v>
      </c>
      <c r="AP1301" s="3" t="s">
        <v>45</v>
      </c>
      <c r="AQ1301" s="4" t="s">
        <v>60</v>
      </c>
      <c r="AR1301" s="4" t="s">
        <v>60</v>
      </c>
    </row>
    <row r="1302">
      <c r="A1302" s="3" t="s">
        <v>11337</v>
      </c>
      <c r="B1302" s="3" t="s">
        <v>11338</v>
      </c>
      <c r="C1302" s="3" t="s">
        <v>11339</v>
      </c>
      <c r="D1302" s="3" t="s">
        <v>9900</v>
      </c>
      <c r="E1302" s="4" t="s">
        <v>11340</v>
      </c>
      <c r="F1302" s="3" t="s">
        <v>2850</v>
      </c>
      <c r="G1302" s="4" t="s">
        <v>11341</v>
      </c>
      <c r="H1302" s="4" t="s">
        <v>11342</v>
      </c>
      <c r="I1302" s="3" t="s">
        <v>85</v>
      </c>
      <c r="J1302" s="3" t="s">
        <v>126</v>
      </c>
      <c r="K1302" s="3" t="s">
        <v>45</v>
      </c>
      <c r="L1302" s="3" t="s">
        <v>11343</v>
      </c>
      <c r="M1302" s="3" t="s">
        <v>45</v>
      </c>
      <c r="N1302" s="3" t="s">
        <v>45</v>
      </c>
      <c r="O1302" s="3" t="s">
        <v>74</v>
      </c>
      <c r="P1302" s="3" t="s">
        <v>45</v>
      </c>
      <c r="Q1302" s="3" t="s">
        <v>45</v>
      </c>
      <c r="R1302" s="3" t="s">
        <v>45</v>
      </c>
      <c r="S1302" s="3" t="s">
        <v>45</v>
      </c>
      <c r="T1302" s="3" t="s">
        <v>45</v>
      </c>
      <c r="U1302" s="3" t="s">
        <v>45</v>
      </c>
      <c r="V1302" s="4" t="s">
        <v>11344</v>
      </c>
      <c r="W1302" s="4" t="s">
        <v>835</v>
      </c>
      <c r="X1302" s="3" t="s">
        <v>45</v>
      </c>
      <c r="Y1302" s="3" t="s">
        <v>45</v>
      </c>
      <c r="Z1302" s="3" t="s">
        <v>74</v>
      </c>
      <c r="AA1302" s="3" t="s">
        <v>45</v>
      </c>
      <c r="AB1302" s="3" t="s">
        <v>45</v>
      </c>
      <c r="AC1302" s="3" t="s">
        <v>45</v>
      </c>
      <c r="AD1302" s="3" t="s">
        <v>45</v>
      </c>
      <c r="AE1302" s="3" t="s">
        <v>45</v>
      </c>
      <c r="AF1302" s="3" t="s">
        <v>45</v>
      </c>
      <c r="AG1302" s="3" t="s">
        <v>45</v>
      </c>
      <c r="AH1302" s="3" t="s">
        <v>9906</v>
      </c>
      <c r="AI1302" s="5" t="s">
        <v>11345</v>
      </c>
      <c r="AJ1302" s="3" t="s">
        <v>45</v>
      </c>
      <c r="AK1302" s="3" t="s">
        <v>45</v>
      </c>
      <c r="AL1302" s="3" t="s">
        <v>45</v>
      </c>
      <c r="AM1302" s="3" t="s">
        <v>45</v>
      </c>
      <c r="AN1302" s="3" t="s">
        <v>45</v>
      </c>
      <c r="AO1302" s="3" t="s">
        <v>45</v>
      </c>
      <c r="AP1302" s="3" t="s">
        <v>45</v>
      </c>
      <c r="AQ1302" s="4" t="s">
        <v>9934</v>
      </c>
      <c r="AR1302" s="4" t="s">
        <v>9908</v>
      </c>
    </row>
    <row r="1303">
      <c r="A1303" s="3" t="s">
        <v>11346</v>
      </c>
      <c r="B1303" s="3" t="s">
        <v>11347</v>
      </c>
      <c r="C1303" s="3" t="s">
        <v>11339</v>
      </c>
      <c r="D1303" s="3" t="s">
        <v>9900</v>
      </c>
      <c r="E1303" s="4" t="s">
        <v>11348</v>
      </c>
      <c r="F1303" s="3" t="s">
        <v>2850</v>
      </c>
      <c r="G1303" s="4" t="s">
        <v>11349</v>
      </c>
      <c r="H1303" s="4" t="s">
        <v>11350</v>
      </c>
      <c r="I1303" s="3" t="s">
        <v>49</v>
      </c>
      <c r="J1303" s="3" t="s">
        <v>126</v>
      </c>
      <c r="K1303" s="3" t="s">
        <v>45</v>
      </c>
      <c r="L1303" s="3" t="s">
        <v>11351</v>
      </c>
      <c r="M1303" s="3" t="s">
        <v>45</v>
      </c>
      <c r="N1303" s="3" t="s">
        <v>45</v>
      </c>
      <c r="O1303" s="3" t="s">
        <v>74</v>
      </c>
      <c r="P1303" s="3" t="s">
        <v>45</v>
      </c>
      <c r="Q1303" s="3" t="s">
        <v>45</v>
      </c>
      <c r="R1303" s="3" t="s">
        <v>45</v>
      </c>
      <c r="S1303" s="3" t="s">
        <v>45</v>
      </c>
      <c r="T1303" s="3" t="s">
        <v>45</v>
      </c>
      <c r="U1303" s="3" t="s">
        <v>45</v>
      </c>
      <c r="V1303" s="4" t="s">
        <v>11352</v>
      </c>
      <c r="W1303" s="4" t="s">
        <v>1843</v>
      </c>
      <c r="X1303" s="3" t="s">
        <v>45</v>
      </c>
      <c r="Y1303" s="3" t="s">
        <v>45</v>
      </c>
      <c r="Z1303" s="3" t="s">
        <v>74</v>
      </c>
      <c r="AA1303" s="3" t="s">
        <v>45</v>
      </c>
      <c r="AB1303" s="3" t="s">
        <v>45</v>
      </c>
      <c r="AC1303" s="3" t="s">
        <v>45</v>
      </c>
      <c r="AD1303" s="3" t="s">
        <v>45</v>
      </c>
      <c r="AE1303" s="3" t="s">
        <v>45</v>
      </c>
      <c r="AF1303" s="3" t="s">
        <v>45</v>
      </c>
      <c r="AG1303" s="3" t="s">
        <v>45</v>
      </c>
      <c r="AH1303" s="3" t="s">
        <v>9906</v>
      </c>
      <c r="AI1303" s="5" t="s">
        <v>10655</v>
      </c>
      <c r="AJ1303" s="5" t="s">
        <v>11353</v>
      </c>
      <c r="AK1303" s="3" t="s">
        <v>45</v>
      </c>
      <c r="AL1303" s="3" t="s">
        <v>45</v>
      </c>
      <c r="AM1303" s="3" t="s">
        <v>45</v>
      </c>
      <c r="AN1303" s="3" t="s">
        <v>45</v>
      </c>
      <c r="AO1303" s="3" t="s">
        <v>45</v>
      </c>
      <c r="AP1303" s="3" t="s">
        <v>45</v>
      </c>
      <c r="AQ1303" s="4" t="s">
        <v>9934</v>
      </c>
      <c r="AR1303" s="4" t="s">
        <v>9908</v>
      </c>
    </row>
    <row r="1304">
      <c r="A1304" s="3" t="s">
        <v>11354</v>
      </c>
      <c r="B1304" s="3" t="s">
        <v>11355</v>
      </c>
      <c r="C1304" s="3" t="s">
        <v>11356</v>
      </c>
      <c r="D1304" s="3" t="s">
        <v>9900</v>
      </c>
      <c r="E1304" s="4" t="s">
        <v>11357</v>
      </c>
      <c r="F1304" s="3" t="s">
        <v>11358</v>
      </c>
      <c r="G1304" s="4" t="s">
        <v>11359</v>
      </c>
      <c r="H1304" s="4" t="s">
        <v>11360</v>
      </c>
      <c r="I1304" s="3" t="s">
        <v>3729</v>
      </c>
      <c r="J1304" s="3" t="s">
        <v>126</v>
      </c>
      <c r="K1304" s="3" t="s">
        <v>45</v>
      </c>
      <c r="L1304" s="3" t="s">
        <v>45</v>
      </c>
      <c r="M1304" s="3" t="s">
        <v>45</v>
      </c>
      <c r="N1304" s="4" t="s">
        <v>2982</v>
      </c>
      <c r="O1304" s="3" t="s">
        <v>390</v>
      </c>
      <c r="P1304" s="3" t="s">
        <v>45</v>
      </c>
      <c r="Q1304" s="3" t="s">
        <v>45</v>
      </c>
      <c r="R1304" s="3" t="s">
        <v>45</v>
      </c>
      <c r="S1304" s="3" t="s">
        <v>45</v>
      </c>
      <c r="T1304" s="3" t="s">
        <v>45</v>
      </c>
      <c r="U1304" s="3" t="s">
        <v>45</v>
      </c>
      <c r="V1304" s="4" t="s">
        <v>11361</v>
      </c>
      <c r="W1304" s="3" t="s">
        <v>45</v>
      </c>
      <c r="X1304" s="3" t="s">
        <v>45</v>
      </c>
      <c r="Y1304" s="3" t="s">
        <v>45</v>
      </c>
      <c r="Z1304" s="3" t="s">
        <v>45</v>
      </c>
      <c r="AA1304" s="3" t="s">
        <v>45</v>
      </c>
      <c r="AB1304" s="3" t="s">
        <v>45</v>
      </c>
      <c r="AC1304" s="3" t="s">
        <v>45</v>
      </c>
      <c r="AD1304" s="3" t="s">
        <v>45</v>
      </c>
      <c r="AE1304" s="3" t="s">
        <v>45</v>
      </c>
      <c r="AF1304" s="3" t="s">
        <v>45</v>
      </c>
      <c r="AG1304" s="3" t="s">
        <v>45</v>
      </c>
      <c r="AH1304" s="3" t="s">
        <v>57</v>
      </c>
      <c r="AI1304" s="5" t="s">
        <v>11362</v>
      </c>
      <c r="AJ1304" s="3" t="s">
        <v>45</v>
      </c>
      <c r="AK1304" s="3" t="s">
        <v>45</v>
      </c>
      <c r="AL1304" s="3" t="s">
        <v>45</v>
      </c>
      <c r="AM1304" s="3" t="s">
        <v>45</v>
      </c>
      <c r="AN1304" s="3" t="s">
        <v>45</v>
      </c>
      <c r="AO1304" s="3" t="s">
        <v>45</v>
      </c>
      <c r="AP1304" s="3" t="s">
        <v>45</v>
      </c>
      <c r="AQ1304" s="4" t="s">
        <v>1016</v>
      </c>
      <c r="AR1304" s="4" t="s">
        <v>1016</v>
      </c>
    </row>
    <row r="1305">
      <c r="A1305" s="3" t="s">
        <v>11363</v>
      </c>
      <c r="B1305" s="3" t="s">
        <v>11364</v>
      </c>
      <c r="C1305" s="3" t="s">
        <v>11365</v>
      </c>
      <c r="D1305" s="3" t="s">
        <v>9900</v>
      </c>
      <c r="E1305" s="4" t="s">
        <v>11192</v>
      </c>
      <c r="F1305" s="3" t="s">
        <v>10524</v>
      </c>
      <c r="G1305" s="4" t="s">
        <v>11366</v>
      </c>
      <c r="H1305" s="4" t="s">
        <v>11367</v>
      </c>
      <c r="I1305" s="3" t="s">
        <v>49</v>
      </c>
      <c r="J1305" s="3" t="s">
        <v>126</v>
      </c>
      <c r="K1305" s="3" t="s">
        <v>45</v>
      </c>
      <c r="L1305" s="3" t="s">
        <v>11368</v>
      </c>
      <c r="M1305" s="3" t="s">
        <v>45</v>
      </c>
      <c r="N1305" s="3" t="s">
        <v>45</v>
      </c>
      <c r="O1305" s="3" t="s">
        <v>74</v>
      </c>
      <c r="P1305" s="3" t="s">
        <v>45</v>
      </c>
      <c r="Q1305" s="3" t="s">
        <v>45</v>
      </c>
      <c r="R1305" s="3" t="s">
        <v>45</v>
      </c>
      <c r="S1305" s="3" t="s">
        <v>45</v>
      </c>
      <c r="T1305" s="3" t="s">
        <v>45</v>
      </c>
      <c r="U1305" s="3" t="s">
        <v>45</v>
      </c>
      <c r="V1305" s="4" t="s">
        <v>11369</v>
      </c>
      <c r="W1305" s="4" t="s">
        <v>6561</v>
      </c>
      <c r="X1305" s="3" t="s">
        <v>45</v>
      </c>
      <c r="Y1305" s="3" t="s">
        <v>45</v>
      </c>
      <c r="Z1305" s="3" t="s">
        <v>74</v>
      </c>
      <c r="AA1305" s="3" t="s">
        <v>45</v>
      </c>
      <c r="AB1305" s="3" t="s">
        <v>45</v>
      </c>
      <c r="AC1305" s="3" t="s">
        <v>45</v>
      </c>
      <c r="AD1305" s="3" t="s">
        <v>45</v>
      </c>
      <c r="AE1305" s="3" t="s">
        <v>45</v>
      </c>
      <c r="AF1305" s="3" t="s">
        <v>45</v>
      </c>
      <c r="AG1305" s="3" t="s">
        <v>45</v>
      </c>
      <c r="AH1305" s="3" t="s">
        <v>9906</v>
      </c>
      <c r="AI1305" s="5" t="s">
        <v>11370</v>
      </c>
      <c r="AJ1305" s="5" t="s">
        <v>11371</v>
      </c>
      <c r="AK1305" s="3" t="s">
        <v>45</v>
      </c>
      <c r="AL1305" s="3" t="s">
        <v>45</v>
      </c>
      <c r="AM1305" s="3" t="s">
        <v>45</v>
      </c>
      <c r="AN1305" s="3" t="s">
        <v>45</v>
      </c>
      <c r="AO1305" s="3" t="s">
        <v>45</v>
      </c>
      <c r="AP1305" s="3" t="s">
        <v>45</v>
      </c>
      <c r="AQ1305" s="4" t="s">
        <v>9934</v>
      </c>
      <c r="AR1305" s="4" t="s">
        <v>9908</v>
      </c>
    </row>
    <row r="1306">
      <c r="A1306" s="3" t="s">
        <v>944</v>
      </c>
      <c r="B1306" s="3" t="s">
        <v>11372</v>
      </c>
      <c r="C1306" s="3" t="s">
        <v>11373</v>
      </c>
      <c r="D1306" s="3" t="s">
        <v>9900</v>
      </c>
      <c r="E1306" s="4" t="s">
        <v>11374</v>
      </c>
      <c r="F1306" s="3" t="s">
        <v>11329</v>
      </c>
      <c r="G1306" s="4" t="s">
        <v>11375</v>
      </c>
      <c r="H1306" s="4" t="s">
        <v>11376</v>
      </c>
      <c r="I1306" s="3" t="s">
        <v>245</v>
      </c>
      <c r="J1306" s="3" t="s">
        <v>50</v>
      </c>
      <c r="K1306" s="3" t="s">
        <v>45</v>
      </c>
      <c r="L1306" s="3" t="s">
        <v>45</v>
      </c>
      <c r="M1306" s="3" t="s">
        <v>45</v>
      </c>
      <c r="N1306" s="4" t="s">
        <v>11377</v>
      </c>
      <c r="O1306" s="3" t="s">
        <v>70</v>
      </c>
      <c r="P1306" s="3" t="s">
        <v>45</v>
      </c>
      <c r="Q1306" s="3" t="s">
        <v>45</v>
      </c>
      <c r="R1306" s="3" t="s">
        <v>45</v>
      </c>
      <c r="S1306" s="3" t="s">
        <v>45</v>
      </c>
      <c r="T1306" s="3" t="s">
        <v>45</v>
      </c>
      <c r="U1306" s="3" t="s">
        <v>45</v>
      </c>
      <c r="V1306" s="4" t="s">
        <v>11378</v>
      </c>
      <c r="W1306" s="3" t="s">
        <v>45</v>
      </c>
      <c r="X1306" s="3" t="s">
        <v>2421</v>
      </c>
      <c r="Y1306" s="3" t="s">
        <v>45</v>
      </c>
      <c r="Z1306" s="3" t="s">
        <v>74</v>
      </c>
      <c r="AA1306" s="3" t="s">
        <v>45</v>
      </c>
      <c r="AB1306" s="3" t="s">
        <v>45</v>
      </c>
      <c r="AC1306" s="3" t="s">
        <v>45</v>
      </c>
      <c r="AD1306" s="3" t="s">
        <v>45</v>
      </c>
      <c r="AE1306" s="3" t="s">
        <v>45</v>
      </c>
      <c r="AF1306" s="3" t="s">
        <v>45</v>
      </c>
      <c r="AG1306" s="3" t="s">
        <v>11379</v>
      </c>
      <c r="AH1306" s="3" t="s">
        <v>57</v>
      </c>
      <c r="AI1306" s="5" t="s">
        <v>11380</v>
      </c>
      <c r="AJ1306" s="3" t="s">
        <v>45</v>
      </c>
      <c r="AK1306" s="3" t="s">
        <v>45</v>
      </c>
      <c r="AL1306" s="3" t="s">
        <v>45</v>
      </c>
      <c r="AM1306" s="3" t="s">
        <v>45</v>
      </c>
      <c r="AN1306" s="3" t="s">
        <v>45</v>
      </c>
      <c r="AO1306" s="3" t="s">
        <v>45</v>
      </c>
      <c r="AP1306" s="3" t="s">
        <v>45</v>
      </c>
      <c r="AQ1306" s="4" t="s">
        <v>11381</v>
      </c>
      <c r="AR1306" s="4" t="s">
        <v>11381</v>
      </c>
    </row>
    <row r="1307">
      <c r="A1307" s="3" t="s">
        <v>11382</v>
      </c>
      <c r="B1307" s="3" t="s">
        <v>11383</v>
      </c>
      <c r="C1307" s="3" t="s">
        <v>9912</v>
      </c>
      <c r="D1307" s="3" t="s">
        <v>9900</v>
      </c>
      <c r="E1307" s="4" t="s">
        <v>9911</v>
      </c>
      <c r="F1307" s="3" t="s">
        <v>9912</v>
      </c>
      <c r="G1307" s="4" t="s">
        <v>11384</v>
      </c>
      <c r="H1307" s="4" t="s">
        <v>11385</v>
      </c>
      <c r="I1307" s="3" t="s">
        <v>49</v>
      </c>
      <c r="J1307" s="3" t="s">
        <v>126</v>
      </c>
      <c r="K1307" s="3" t="s">
        <v>45</v>
      </c>
      <c r="L1307" s="3" t="s">
        <v>479</v>
      </c>
      <c r="M1307" s="3" t="s">
        <v>45</v>
      </c>
      <c r="N1307" s="3" t="s">
        <v>45</v>
      </c>
      <c r="O1307" s="3" t="s">
        <v>74</v>
      </c>
      <c r="P1307" s="3" t="s">
        <v>45</v>
      </c>
      <c r="Q1307" s="3" t="s">
        <v>45</v>
      </c>
      <c r="R1307" s="3" t="s">
        <v>45</v>
      </c>
      <c r="S1307" s="3" t="s">
        <v>45</v>
      </c>
      <c r="T1307" s="3" t="s">
        <v>45</v>
      </c>
      <c r="U1307" s="3" t="s">
        <v>45</v>
      </c>
      <c r="V1307" s="4" t="s">
        <v>11386</v>
      </c>
      <c r="W1307" s="4" t="s">
        <v>11387</v>
      </c>
      <c r="X1307" s="3" t="s">
        <v>45</v>
      </c>
      <c r="Y1307" s="3" t="s">
        <v>45</v>
      </c>
      <c r="Z1307" s="3" t="s">
        <v>74</v>
      </c>
      <c r="AA1307" s="3" t="s">
        <v>45</v>
      </c>
      <c r="AB1307" s="3" t="s">
        <v>45</v>
      </c>
      <c r="AC1307" s="3" t="s">
        <v>45</v>
      </c>
      <c r="AD1307" s="3" t="s">
        <v>45</v>
      </c>
      <c r="AE1307" s="3" t="s">
        <v>45</v>
      </c>
      <c r="AF1307" s="3" t="s">
        <v>45</v>
      </c>
      <c r="AG1307" s="3" t="s">
        <v>11388</v>
      </c>
      <c r="AH1307" s="3" t="s">
        <v>9906</v>
      </c>
      <c r="AI1307" s="5" t="s">
        <v>11389</v>
      </c>
      <c r="AJ1307" s="3" t="s">
        <v>45</v>
      </c>
      <c r="AK1307" s="3" t="s">
        <v>45</v>
      </c>
      <c r="AL1307" s="3" t="s">
        <v>45</v>
      </c>
      <c r="AM1307" s="3" t="s">
        <v>45</v>
      </c>
      <c r="AN1307" s="3" t="s">
        <v>45</v>
      </c>
      <c r="AO1307" s="3" t="s">
        <v>45</v>
      </c>
      <c r="AP1307" s="3" t="s">
        <v>45</v>
      </c>
      <c r="AQ1307" s="4" t="s">
        <v>9934</v>
      </c>
      <c r="AR1307" s="4" t="s">
        <v>9908</v>
      </c>
    </row>
    <row r="1308">
      <c r="A1308" s="3" t="s">
        <v>11390</v>
      </c>
      <c r="B1308" s="3" t="s">
        <v>11391</v>
      </c>
      <c r="C1308" s="3" t="s">
        <v>9912</v>
      </c>
      <c r="D1308" s="3" t="s">
        <v>9900</v>
      </c>
      <c r="E1308" s="4" t="s">
        <v>9911</v>
      </c>
      <c r="F1308" s="3" t="s">
        <v>9912</v>
      </c>
      <c r="G1308" s="4" t="s">
        <v>11392</v>
      </c>
      <c r="H1308" s="4" t="s">
        <v>11393</v>
      </c>
      <c r="I1308" s="3" t="s">
        <v>49</v>
      </c>
      <c r="J1308" s="3" t="s">
        <v>50</v>
      </c>
      <c r="K1308" s="3" t="s">
        <v>45</v>
      </c>
      <c r="L1308" s="3" t="s">
        <v>45</v>
      </c>
      <c r="M1308" s="3" t="s">
        <v>45</v>
      </c>
      <c r="N1308" s="3" t="s">
        <v>45</v>
      </c>
      <c r="O1308" s="3" t="s">
        <v>74</v>
      </c>
      <c r="P1308" s="3" t="s">
        <v>45</v>
      </c>
      <c r="Q1308" s="3" t="s">
        <v>45</v>
      </c>
      <c r="R1308" s="3" t="s">
        <v>45</v>
      </c>
      <c r="S1308" s="3" t="s">
        <v>45</v>
      </c>
      <c r="T1308" s="3" t="s">
        <v>45</v>
      </c>
      <c r="U1308" s="3" t="s">
        <v>45</v>
      </c>
      <c r="V1308" s="4" t="s">
        <v>11394</v>
      </c>
      <c r="W1308" s="4" t="s">
        <v>11395</v>
      </c>
      <c r="X1308" s="3" t="s">
        <v>45</v>
      </c>
      <c r="Y1308" s="3" t="s">
        <v>45</v>
      </c>
      <c r="Z1308" s="3" t="s">
        <v>74</v>
      </c>
      <c r="AA1308" s="3" t="s">
        <v>45</v>
      </c>
      <c r="AB1308" s="3" t="s">
        <v>45</v>
      </c>
      <c r="AC1308" s="3" t="s">
        <v>45</v>
      </c>
      <c r="AD1308" s="3" t="s">
        <v>45</v>
      </c>
      <c r="AE1308" s="3" t="s">
        <v>45</v>
      </c>
      <c r="AF1308" s="3" t="s">
        <v>45</v>
      </c>
      <c r="AG1308" s="3" t="s">
        <v>9916</v>
      </c>
      <c r="AH1308" s="3" t="s">
        <v>9906</v>
      </c>
      <c r="AI1308" s="5" t="s">
        <v>11396</v>
      </c>
      <c r="AJ1308" s="3" t="s">
        <v>45</v>
      </c>
      <c r="AK1308" s="3" t="s">
        <v>45</v>
      </c>
      <c r="AL1308" s="3" t="s">
        <v>45</v>
      </c>
      <c r="AM1308" s="3" t="s">
        <v>45</v>
      </c>
      <c r="AN1308" s="3" t="s">
        <v>45</v>
      </c>
      <c r="AO1308" s="3" t="s">
        <v>45</v>
      </c>
      <c r="AP1308" s="3" t="s">
        <v>45</v>
      </c>
      <c r="AQ1308" s="4" t="s">
        <v>8474</v>
      </c>
      <c r="AR1308" s="4" t="s">
        <v>9908</v>
      </c>
    </row>
    <row r="1309">
      <c r="A1309" s="3" t="s">
        <v>11397</v>
      </c>
      <c r="B1309" s="3" t="s">
        <v>11398</v>
      </c>
      <c r="C1309" s="3" t="s">
        <v>3472</v>
      </c>
      <c r="D1309" s="3" t="s">
        <v>9900</v>
      </c>
      <c r="E1309" s="4" t="s">
        <v>11399</v>
      </c>
      <c r="F1309" s="3" t="s">
        <v>9928</v>
      </c>
      <c r="G1309" s="4" t="s">
        <v>11400</v>
      </c>
      <c r="H1309" s="4" t="s">
        <v>11401</v>
      </c>
      <c r="I1309" s="3" t="s">
        <v>49</v>
      </c>
      <c r="J1309" s="3" t="s">
        <v>126</v>
      </c>
      <c r="K1309" s="3" t="s">
        <v>45</v>
      </c>
      <c r="L1309" s="3" t="s">
        <v>45</v>
      </c>
      <c r="M1309" s="3" t="s">
        <v>45</v>
      </c>
      <c r="N1309" s="3" t="s">
        <v>45</v>
      </c>
      <c r="O1309" s="3" t="s">
        <v>74</v>
      </c>
      <c r="P1309" s="3" t="s">
        <v>45</v>
      </c>
      <c r="Q1309" s="3" t="s">
        <v>45</v>
      </c>
      <c r="R1309" s="3" t="s">
        <v>45</v>
      </c>
      <c r="S1309" s="3" t="s">
        <v>45</v>
      </c>
      <c r="T1309" s="3" t="s">
        <v>45</v>
      </c>
      <c r="U1309" s="3" t="s">
        <v>45</v>
      </c>
      <c r="V1309" s="4" t="s">
        <v>11402</v>
      </c>
      <c r="W1309" s="4" t="s">
        <v>6086</v>
      </c>
      <c r="X1309" s="3" t="s">
        <v>45</v>
      </c>
      <c r="Y1309" s="3" t="s">
        <v>45</v>
      </c>
      <c r="Z1309" s="3" t="s">
        <v>74</v>
      </c>
      <c r="AA1309" s="3" t="s">
        <v>45</v>
      </c>
      <c r="AB1309" s="3" t="s">
        <v>45</v>
      </c>
      <c r="AC1309" s="3" t="s">
        <v>45</v>
      </c>
      <c r="AD1309" s="3" t="s">
        <v>45</v>
      </c>
      <c r="AE1309" s="3" t="s">
        <v>45</v>
      </c>
      <c r="AF1309" s="3" t="s">
        <v>45</v>
      </c>
      <c r="AG1309" s="3" t="s">
        <v>9916</v>
      </c>
      <c r="AH1309" s="3" t="s">
        <v>9906</v>
      </c>
      <c r="AI1309" s="5" t="s">
        <v>11403</v>
      </c>
      <c r="AJ1309" s="3" t="s">
        <v>45</v>
      </c>
      <c r="AK1309" s="3" t="s">
        <v>45</v>
      </c>
      <c r="AL1309" s="3" t="s">
        <v>45</v>
      </c>
      <c r="AM1309" s="3" t="s">
        <v>45</v>
      </c>
      <c r="AN1309" s="3" t="s">
        <v>45</v>
      </c>
      <c r="AO1309" s="3" t="s">
        <v>45</v>
      </c>
      <c r="AP1309" s="3" t="s">
        <v>45</v>
      </c>
      <c r="AQ1309" s="4" t="s">
        <v>212</v>
      </c>
      <c r="AR1309" s="4" t="s">
        <v>9908</v>
      </c>
    </row>
    <row r="1310">
      <c r="A1310" s="3" t="s">
        <v>11404</v>
      </c>
      <c r="B1310" s="3" t="s">
        <v>11405</v>
      </c>
      <c r="C1310" s="3" t="s">
        <v>3472</v>
      </c>
      <c r="D1310" s="3" t="s">
        <v>9900</v>
      </c>
      <c r="E1310" s="4" t="s">
        <v>11399</v>
      </c>
      <c r="F1310" s="3" t="s">
        <v>9928</v>
      </c>
      <c r="G1310" s="4" t="s">
        <v>11406</v>
      </c>
      <c r="H1310" s="4" t="s">
        <v>11407</v>
      </c>
      <c r="I1310" s="3" t="s">
        <v>85</v>
      </c>
      <c r="J1310" s="3" t="s">
        <v>126</v>
      </c>
      <c r="K1310" s="3" t="s">
        <v>45</v>
      </c>
      <c r="L1310" s="3" t="s">
        <v>11408</v>
      </c>
      <c r="M1310" s="3" t="s">
        <v>45</v>
      </c>
      <c r="N1310" s="3" t="s">
        <v>45</v>
      </c>
      <c r="O1310" s="3" t="s">
        <v>74</v>
      </c>
      <c r="P1310" s="3" t="s">
        <v>45</v>
      </c>
      <c r="Q1310" s="3" t="s">
        <v>45</v>
      </c>
      <c r="R1310" s="3" t="s">
        <v>45</v>
      </c>
      <c r="S1310" s="3" t="s">
        <v>45</v>
      </c>
      <c r="T1310" s="3" t="s">
        <v>45</v>
      </c>
      <c r="U1310" s="3" t="s">
        <v>45</v>
      </c>
      <c r="V1310" s="4" t="s">
        <v>11409</v>
      </c>
      <c r="W1310" s="4" t="s">
        <v>5582</v>
      </c>
      <c r="X1310" s="3" t="s">
        <v>45</v>
      </c>
      <c r="Y1310" s="3" t="s">
        <v>45</v>
      </c>
      <c r="Z1310" s="3" t="s">
        <v>74</v>
      </c>
      <c r="AA1310" s="3" t="s">
        <v>45</v>
      </c>
      <c r="AB1310" s="3" t="s">
        <v>45</v>
      </c>
      <c r="AC1310" s="3" t="s">
        <v>45</v>
      </c>
      <c r="AD1310" s="3" t="s">
        <v>45</v>
      </c>
      <c r="AE1310" s="3" t="s">
        <v>45</v>
      </c>
      <c r="AF1310" s="3" t="s">
        <v>45</v>
      </c>
      <c r="AG1310" s="3" t="s">
        <v>9932</v>
      </c>
      <c r="AH1310" s="3" t="s">
        <v>9906</v>
      </c>
      <c r="AI1310" s="5" t="s">
        <v>11410</v>
      </c>
      <c r="AJ1310" s="3" t="s">
        <v>45</v>
      </c>
      <c r="AK1310" s="3" t="s">
        <v>45</v>
      </c>
      <c r="AL1310" s="3" t="s">
        <v>45</v>
      </c>
      <c r="AM1310" s="3" t="s">
        <v>45</v>
      </c>
      <c r="AN1310" s="3" t="s">
        <v>45</v>
      </c>
      <c r="AO1310" s="3" t="s">
        <v>45</v>
      </c>
      <c r="AP1310" s="3" t="s">
        <v>45</v>
      </c>
      <c r="AQ1310" s="4" t="s">
        <v>212</v>
      </c>
      <c r="AR1310" s="4" t="s">
        <v>9908</v>
      </c>
    </row>
    <row r="1311">
      <c r="A1311" s="3" t="s">
        <v>11411</v>
      </c>
      <c r="B1311" s="3" t="s">
        <v>11412</v>
      </c>
      <c r="C1311" s="3" t="s">
        <v>3472</v>
      </c>
      <c r="D1311" s="3" t="s">
        <v>9900</v>
      </c>
      <c r="E1311" s="4" t="s">
        <v>11399</v>
      </c>
      <c r="F1311" s="3" t="s">
        <v>9928</v>
      </c>
      <c r="G1311" s="4" t="s">
        <v>11413</v>
      </c>
      <c r="H1311" s="4" t="s">
        <v>11414</v>
      </c>
      <c r="I1311" s="3" t="s">
        <v>49</v>
      </c>
      <c r="J1311" s="3" t="s">
        <v>126</v>
      </c>
      <c r="K1311" s="3" t="s">
        <v>45</v>
      </c>
      <c r="L1311" s="3" t="s">
        <v>11415</v>
      </c>
      <c r="M1311" s="3" t="s">
        <v>45</v>
      </c>
      <c r="N1311" s="3" t="s">
        <v>45</v>
      </c>
      <c r="O1311" s="3" t="s">
        <v>74</v>
      </c>
      <c r="P1311" s="3" t="s">
        <v>45</v>
      </c>
      <c r="Q1311" s="3" t="s">
        <v>45</v>
      </c>
      <c r="R1311" s="3" t="s">
        <v>45</v>
      </c>
      <c r="S1311" s="3" t="s">
        <v>45</v>
      </c>
      <c r="T1311" s="3" t="s">
        <v>45</v>
      </c>
      <c r="U1311" s="3" t="s">
        <v>45</v>
      </c>
      <c r="V1311" s="4" t="s">
        <v>11416</v>
      </c>
      <c r="W1311" s="4" t="s">
        <v>8439</v>
      </c>
      <c r="X1311" s="3" t="s">
        <v>45</v>
      </c>
      <c r="Y1311" s="3" t="s">
        <v>45</v>
      </c>
      <c r="Z1311" s="3" t="s">
        <v>74</v>
      </c>
      <c r="AA1311" s="3" t="s">
        <v>45</v>
      </c>
      <c r="AB1311" s="3" t="s">
        <v>45</v>
      </c>
      <c r="AC1311" s="3" t="s">
        <v>45</v>
      </c>
      <c r="AD1311" s="3" t="s">
        <v>45</v>
      </c>
      <c r="AE1311" s="3" t="s">
        <v>45</v>
      </c>
      <c r="AF1311" s="3" t="s">
        <v>45</v>
      </c>
      <c r="AG1311" s="3" t="s">
        <v>9916</v>
      </c>
      <c r="AH1311" s="3" t="s">
        <v>9906</v>
      </c>
      <c r="AI1311" s="5" t="s">
        <v>11417</v>
      </c>
      <c r="AJ1311" s="5" t="s">
        <v>11418</v>
      </c>
      <c r="AK1311" s="3" t="s">
        <v>45</v>
      </c>
      <c r="AL1311" s="3" t="s">
        <v>45</v>
      </c>
      <c r="AM1311" s="3" t="s">
        <v>45</v>
      </c>
      <c r="AN1311" s="3" t="s">
        <v>45</v>
      </c>
      <c r="AO1311" s="3" t="s">
        <v>45</v>
      </c>
      <c r="AP1311" s="3" t="s">
        <v>45</v>
      </c>
      <c r="AQ1311" s="4" t="s">
        <v>9934</v>
      </c>
      <c r="AR1311" s="4" t="s">
        <v>9908</v>
      </c>
    </row>
    <row r="1312">
      <c r="A1312" s="3" t="s">
        <v>11419</v>
      </c>
      <c r="B1312" s="3" t="s">
        <v>11420</v>
      </c>
      <c r="C1312" s="3" t="s">
        <v>3472</v>
      </c>
      <c r="D1312" s="3" t="s">
        <v>9900</v>
      </c>
      <c r="E1312" s="4" t="s">
        <v>11399</v>
      </c>
      <c r="F1312" s="3" t="s">
        <v>9928</v>
      </c>
      <c r="G1312" s="4" t="s">
        <v>11421</v>
      </c>
      <c r="H1312" s="4" t="s">
        <v>11422</v>
      </c>
      <c r="I1312" s="3" t="s">
        <v>49</v>
      </c>
      <c r="J1312" s="3" t="s">
        <v>126</v>
      </c>
      <c r="K1312" s="3" t="s">
        <v>45</v>
      </c>
      <c r="L1312" s="3" t="s">
        <v>45</v>
      </c>
      <c r="M1312" s="3" t="s">
        <v>45</v>
      </c>
      <c r="N1312" s="3" t="s">
        <v>45</v>
      </c>
      <c r="O1312" s="3" t="s">
        <v>74</v>
      </c>
      <c r="P1312" s="3" t="s">
        <v>45</v>
      </c>
      <c r="Q1312" s="3" t="s">
        <v>45</v>
      </c>
      <c r="R1312" s="3" t="s">
        <v>45</v>
      </c>
      <c r="S1312" s="3" t="s">
        <v>45</v>
      </c>
      <c r="T1312" s="3" t="s">
        <v>45</v>
      </c>
      <c r="U1312" s="3" t="s">
        <v>45</v>
      </c>
      <c r="V1312" s="4" t="s">
        <v>11423</v>
      </c>
      <c r="W1312" s="4" t="s">
        <v>1043</v>
      </c>
      <c r="X1312" s="3" t="s">
        <v>45</v>
      </c>
      <c r="Y1312" s="3" t="s">
        <v>45</v>
      </c>
      <c r="Z1312" s="3" t="s">
        <v>74</v>
      </c>
      <c r="AA1312" s="3" t="s">
        <v>45</v>
      </c>
      <c r="AB1312" s="3" t="s">
        <v>45</v>
      </c>
      <c r="AC1312" s="3" t="s">
        <v>45</v>
      </c>
      <c r="AD1312" s="3" t="s">
        <v>45</v>
      </c>
      <c r="AE1312" s="3" t="s">
        <v>45</v>
      </c>
      <c r="AF1312" s="3" t="s">
        <v>45</v>
      </c>
      <c r="AG1312" s="3" t="s">
        <v>45</v>
      </c>
      <c r="AH1312" s="3" t="s">
        <v>57</v>
      </c>
      <c r="AI1312" s="5" t="s">
        <v>11424</v>
      </c>
      <c r="AJ1312" s="5" t="s">
        <v>11425</v>
      </c>
      <c r="AK1312" s="3" t="s">
        <v>45</v>
      </c>
      <c r="AL1312" s="3" t="s">
        <v>45</v>
      </c>
      <c r="AM1312" s="3" t="s">
        <v>45</v>
      </c>
      <c r="AN1312" s="3" t="s">
        <v>45</v>
      </c>
      <c r="AO1312" s="3" t="s">
        <v>45</v>
      </c>
      <c r="AP1312" s="3" t="s">
        <v>45</v>
      </c>
      <c r="AQ1312" s="4" t="s">
        <v>2353</v>
      </c>
      <c r="AR1312" s="4" t="s">
        <v>2353</v>
      </c>
    </row>
    <row r="1313">
      <c r="A1313" s="3" t="s">
        <v>11426</v>
      </c>
      <c r="B1313" s="3" t="s">
        <v>11427</v>
      </c>
      <c r="C1313" s="3" t="s">
        <v>3472</v>
      </c>
      <c r="D1313" s="3" t="s">
        <v>9900</v>
      </c>
      <c r="E1313" s="4" t="s">
        <v>11399</v>
      </c>
      <c r="F1313" s="3" t="s">
        <v>9928</v>
      </c>
      <c r="G1313" s="4" t="s">
        <v>11428</v>
      </c>
      <c r="H1313" s="4" t="s">
        <v>11429</v>
      </c>
      <c r="I1313" s="3" t="s">
        <v>49</v>
      </c>
      <c r="J1313" s="3" t="s">
        <v>126</v>
      </c>
      <c r="K1313" s="3" t="s">
        <v>45</v>
      </c>
      <c r="L1313" s="3" t="s">
        <v>11430</v>
      </c>
      <c r="M1313" s="3" t="s">
        <v>45</v>
      </c>
      <c r="N1313" s="3" t="s">
        <v>45</v>
      </c>
      <c r="O1313" s="3" t="s">
        <v>74</v>
      </c>
      <c r="P1313" s="3" t="s">
        <v>45</v>
      </c>
      <c r="Q1313" s="3" t="s">
        <v>45</v>
      </c>
      <c r="R1313" s="3" t="s">
        <v>45</v>
      </c>
      <c r="S1313" s="4" t="s">
        <v>233</v>
      </c>
      <c r="T1313" s="3" t="s">
        <v>45</v>
      </c>
      <c r="U1313" s="3" t="s">
        <v>45</v>
      </c>
      <c r="V1313" s="3" t="s">
        <v>45</v>
      </c>
      <c r="W1313" s="4" t="s">
        <v>11431</v>
      </c>
      <c r="X1313" s="3" t="s">
        <v>45</v>
      </c>
      <c r="Y1313" s="3" t="s">
        <v>45</v>
      </c>
      <c r="Z1313" s="3" t="s">
        <v>74</v>
      </c>
      <c r="AA1313" s="3" t="s">
        <v>45</v>
      </c>
      <c r="AB1313" s="3" t="s">
        <v>45</v>
      </c>
      <c r="AC1313" s="3" t="s">
        <v>45</v>
      </c>
      <c r="AD1313" s="3" t="s">
        <v>45</v>
      </c>
      <c r="AE1313" s="3" t="s">
        <v>45</v>
      </c>
      <c r="AF1313" s="3" t="s">
        <v>45</v>
      </c>
      <c r="AG1313" s="3" t="s">
        <v>45</v>
      </c>
      <c r="AH1313" s="3" t="s">
        <v>57</v>
      </c>
      <c r="AI1313" s="5" t="s">
        <v>11432</v>
      </c>
      <c r="AJ1313" s="3" t="s">
        <v>45</v>
      </c>
      <c r="AK1313" s="3" t="s">
        <v>45</v>
      </c>
      <c r="AL1313" s="3" t="s">
        <v>45</v>
      </c>
      <c r="AM1313" s="3" t="s">
        <v>45</v>
      </c>
      <c r="AN1313" s="3" t="s">
        <v>45</v>
      </c>
      <c r="AO1313" s="3" t="s">
        <v>45</v>
      </c>
      <c r="AP1313" s="3" t="s">
        <v>45</v>
      </c>
      <c r="AQ1313" s="4" t="s">
        <v>1589</v>
      </c>
      <c r="AR1313" s="4" t="s">
        <v>1589</v>
      </c>
    </row>
    <row r="1314">
      <c r="A1314" s="3" t="s">
        <v>11433</v>
      </c>
      <c r="B1314" s="3" t="s">
        <v>11434</v>
      </c>
      <c r="C1314" s="3" t="s">
        <v>3472</v>
      </c>
      <c r="D1314" s="3" t="s">
        <v>9900</v>
      </c>
      <c r="E1314" s="4" t="s">
        <v>11399</v>
      </c>
      <c r="F1314" s="3" t="s">
        <v>9928</v>
      </c>
      <c r="G1314" s="4" t="s">
        <v>11435</v>
      </c>
      <c r="H1314" s="4" t="s">
        <v>11436</v>
      </c>
      <c r="I1314" s="3" t="s">
        <v>49</v>
      </c>
      <c r="J1314" s="3" t="s">
        <v>126</v>
      </c>
      <c r="K1314" s="3" t="s">
        <v>45</v>
      </c>
      <c r="L1314" s="3" t="s">
        <v>11437</v>
      </c>
      <c r="M1314" s="3" t="s">
        <v>45</v>
      </c>
      <c r="N1314" s="3" t="s">
        <v>45</v>
      </c>
      <c r="O1314" s="3" t="s">
        <v>74</v>
      </c>
      <c r="P1314" s="3" t="s">
        <v>45</v>
      </c>
      <c r="Q1314" s="3" t="s">
        <v>45</v>
      </c>
      <c r="R1314" s="3" t="s">
        <v>45</v>
      </c>
      <c r="S1314" s="3" t="s">
        <v>45</v>
      </c>
      <c r="T1314" s="3" t="s">
        <v>45</v>
      </c>
      <c r="U1314" s="3" t="s">
        <v>45</v>
      </c>
      <c r="V1314" s="4" t="s">
        <v>11438</v>
      </c>
      <c r="W1314" s="4" t="s">
        <v>10361</v>
      </c>
      <c r="X1314" s="3" t="s">
        <v>45</v>
      </c>
      <c r="Y1314" s="3" t="s">
        <v>45</v>
      </c>
      <c r="Z1314" s="3" t="s">
        <v>74</v>
      </c>
      <c r="AA1314" s="3" t="s">
        <v>45</v>
      </c>
      <c r="AB1314" s="3" t="s">
        <v>45</v>
      </c>
      <c r="AC1314" s="3" t="s">
        <v>45</v>
      </c>
      <c r="AD1314" s="3" t="s">
        <v>45</v>
      </c>
      <c r="AE1314" s="3" t="s">
        <v>45</v>
      </c>
      <c r="AF1314" s="3" t="s">
        <v>45</v>
      </c>
      <c r="AG1314" s="3" t="s">
        <v>11439</v>
      </c>
      <c r="AH1314" s="3" t="s">
        <v>9906</v>
      </c>
      <c r="AI1314" s="5" t="s">
        <v>11440</v>
      </c>
      <c r="AJ1314" s="5" t="s">
        <v>11441</v>
      </c>
      <c r="AK1314" s="3" t="s">
        <v>45</v>
      </c>
      <c r="AL1314" s="3" t="s">
        <v>45</v>
      </c>
      <c r="AM1314" s="3" t="s">
        <v>45</v>
      </c>
      <c r="AN1314" s="3" t="s">
        <v>45</v>
      </c>
      <c r="AO1314" s="3" t="s">
        <v>45</v>
      </c>
      <c r="AP1314" s="3" t="s">
        <v>45</v>
      </c>
      <c r="AQ1314" s="4" t="s">
        <v>212</v>
      </c>
      <c r="AR1314" s="4" t="s">
        <v>9908</v>
      </c>
    </row>
    <row r="1315">
      <c r="A1315" s="3" t="s">
        <v>11442</v>
      </c>
      <c r="B1315" s="3" t="s">
        <v>11443</v>
      </c>
      <c r="C1315" s="3" t="s">
        <v>3472</v>
      </c>
      <c r="D1315" s="3" t="s">
        <v>9900</v>
      </c>
      <c r="E1315" s="4" t="s">
        <v>11399</v>
      </c>
      <c r="F1315" s="3" t="s">
        <v>9928</v>
      </c>
      <c r="G1315" s="4" t="s">
        <v>11444</v>
      </c>
      <c r="H1315" s="4" t="s">
        <v>11445</v>
      </c>
      <c r="I1315" s="3" t="s">
        <v>408</v>
      </c>
      <c r="J1315" s="3" t="s">
        <v>126</v>
      </c>
      <c r="K1315" s="3" t="s">
        <v>45</v>
      </c>
      <c r="L1315" s="3" t="s">
        <v>11446</v>
      </c>
      <c r="M1315" s="3" t="s">
        <v>45</v>
      </c>
      <c r="N1315" s="3" t="s">
        <v>45</v>
      </c>
      <c r="O1315" s="3" t="s">
        <v>74</v>
      </c>
      <c r="P1315" s="3" t="s">
        <v>45</v>
      </c>
      <c r="Q1315" s="3" t="s">
        <v>45</v>
      </c>
      <c r="R1315" s="3" t="s">
        <v>45</v>
      </c>
      <c r="S1315" s="3" t="s">
        <v>45</v>
      </c>
      <c r="T1315" s="3" t="s">
        <v>45</v>
      </c>
      <c r="U1315" s="3" t="s">
        <v>45</v>
      </c>
      <c r="V1315" s="4" t="s">
        <v>11447</v>
      </c>
      <c r="W1315" s="4" t="s">
        <v>11448</v>
      </c>
      <c r="X1315" s="3" t="s">
        <v>45</v>
      </c>
      <c r="Y1315" s="3" t="s">
        <v>45</v>
      </c>
      <c r="Z1315" s="3" t="s">
        <v>74</v>
      </c>
      <c r="AA1315" s="3" t="s">
        <v>45</v>
      </c>
      <c r="AB1315" s="3" t="s">
        <v>45</v>
      </c>
      <c r="AC1315" s="3" t="s">
        <v>45</v>
      </c>
      <c r="AD1315" s="3" t="s">
        <v>45</v>
      </c>
      <c r="AE1315" s="3" t="s">
        <v>45</v>
      </c>
      <c r="AF1315" s="3" t="s">
        <v>45</v>
      </c>
      <c r="AG1315" s="3" t="s">
        <v>11449</v>
      </c>
      <c r="AH1315" s="3" t="s">
        <v>9906</v>
      </c>
      <c r="AI1315" s="5" t="s">
        <v>11450</v>
      </c>
      <c r="AJ1315" s="5" t="s">
        <v>11451</v>
      </c>
      <c r="AK1315" s="3" t="s">
        <v>45</v>
      </c>
      <c r="AL1315" s="3" t="s">
        <v>45</v>
      </c>
      <c r="AM1315" s="3" t="s">
        <v>45</v>
      </c>
      <c r="AN1315" s="3" t="s">
        <v>45</v>
      </c>
      <c r="AO1315" s="3" t="s">
        <v>45</v>
      </c>
      <c r="AP1315" s="3" t="s">
        <v>45</v>
      </c>
      <c r="AQ1315" s="4" t="s">
        <v>212</v>
      </c>
      <c r="AR1315" s="4" t="s">
        <v>224</v>
      </c>
    </row>
    <row r="1316">
      <c r="A1316" s="3" t="s">
        <v>11452</v>
      </c>
      <c r="B1316" s="3" t="s">
        <v>11453</v>
      </c>
      <c r="C1316" s="3" t="s">
        <v>3472</v>
      </c>
      <c r="D1316" s="3" t="s">
        <v>9900</v>
      </c>
      <c r="E1316" s="4" t="s">
        <v>11399</v>
      </c>
      <c r="F1316" s="3" t="s">
        <v>9928</v>
      </c>
      <c r="G1316" s="4" t="s">
        <v>11454</v>
      </c>
      <c r="H1316" s="4" t="s">
        <v>11455</v>
      </c>
      <c r="I1316" s="3" t="s">
        <v>85</v>
      </c>
      <c r="J1316" s="3" t="s">
        <v>126</v>
      </c>
      <c r="K1316" s="3" t="s">
        <v>45</v>
      </c>
      <c r="L1316" s="3" t="s">
        <v>409</v>
      </c>
      <c r="M1316" s="3" t="s">
        <v>45</v>
      </c>
      <c r="N1316" s="3" t="s">
        <v>45</v>
      </c>
      <c r="O1316" s="3" t="s">
        <v>74</v>
      </c>
      <c r="P1316" s="3" t="s">
        <v>45</v>
      </c>
      <c r="Q1316" s="3" t="s">
        <v>45</v>
      </c>
      <c r="R1316" s="3" t="s">
        <v>45</v>
      </c>
      <c r="S1316" s="3" t="s">
        <v>45</v>
      </c>
      <c r="T1316" s="3" t="s">
        <v>45</v>
      </c>
      <c r="U1316" s="3" t="s">
        <v>45</v>
      </c>
      <c r="V1316" s="4" t="s">
        <v>11456</v>
      </c>
      <c r="W1316" s="4" t="s">
        <v>6635</v>
      </c>
      <c r="X1316" s="3" t="s">
        <v>45</v>
      </c>
      <c r="Y1316" s="3" t="s">
        <v>45</v>
      </c>
      <c r="Z1316" s="3" t="s">
        <v>74</v>
      </c>
      <c r="AA1316" s="3" t="s">
        <v>45</v>
      </c>
      <c r="AB1316" s="3" t="s">
        <v>45</v>
      </c>
      <c r="AC1316" s="3" t="s">
        <v>45</v>
      </c>
      <c r="AD1316" s="3" t="s">
        <v>45</v>
      </c>
      <c r="AE1316" s="3" t="s">
        <v>45</v>
      </c>
      <c r="AF1316" s="3" t="s">
        <v>45</v>
      </c>
      <c r="AG1316" s="3" t="s">
        <v>9932</v>
      </c>
      <c r="AH1316" s="3" t="s">
        <v>9906</v>
      </c>
      <c r="AI1316" s="5" t="s">
        <v>11457</v>
      </c>
      <c r="AJ1316" s="3" t="s">
        <v>45</v>
      </c>
      <c r="AK1316" s="3" t="s">
        <v>45</v>
      </c>
      <c r="AL1316" s="3" t="s">
        <v>45</v>
      </c>
      <c r="AM1316" s="3" t="s">
        <v>45</v>
      </c>
      <c r="AN1316" s="3" t="s">
        <v>45</v>
      </c>
      <c r="AO1316" s="3" t="s">
        <v>45</v>
      </c>
      <c r="AP1316" s="3" t="s">
        <v>45</v>
      </c>
      <c r="AQ1316" s="4" t="s">
        <v>9934</v>
      </c>
      <c r="AR1316" s="4" t="s">
        <v>9908</v>
      </c>
    </row>
    <row r="1317">
      <c r="A1317" s="3" t="s">
        <v>11458</v>
      </c>
      <c r="B1317" s="3" t="s">
        <v>11459</v>
      </c>
      <c r="C1317" s="3" t="s">
        <v>3472</v>
      </c>
      <c r="D1317" s="3" t="s">
        <v>9900</v>
      </c>
      <c r="E1317" s="4" t="s">
        <v>11399</v>
      </c>
      <c r="F1317" s="3" t="s">
        <v>9928</v>
      </c>
      <c r="G1317" s="4" t="s">
        <v>11460</v>
      </c>
      <c r="H1317" s="4" t="s">
        <v>11461</v>
      </c>
      <c r="I1317" s="3" t="s">
        <v>49</v>
      </c>
      <c r="J1317" s="3" t="s">
        <v>126</v>
      </c>
      <c r="K1317" s="3" t="s">
        <v>45</v>
      </c>
      <c r="L1317" s="3" t="s">
        <v>479</v>
      </c>
      <c r="M1317" s="3" t="s">
        <v>45</v>
      </c>
      <c r="N1317" s="3" t="s">
        <v>45</v>
      </c>
      <c r="O1317" s="3" t="s">
        <v>74</v>
      </c>
      <c r="P1317" s="3" t="s">
        <v>45</v>
      </c>
      <c r="Q1317" s="3" t="s">
        <v>45</v>
      </c>
      <c r="R1317" s="3" t="s">
        <v>45</v>
      </c>
      <c r="S1317" s="3" t="s">
        <v>45</v>
      </c>
      <c r="T1317" s="3" t="s">
        <v>45</v>
      </c>
      <c r="U1317" s="3" t="s">
        <v>45</v>
      </c>
      <c r="V1317" s="3" t="s">
        <v>45</v>
      </c>
      <c r="W1317" s="4" t="s">
        <v>90</v>
      </c>
      <c r="X1317" s="3" t="s">
        <v>45</v>
      </c>
      <c r="Y1317" s="3" t="s">
        <v>45</v>
      </c>
      <c r="Z1317" s="3" t="s">
        <v>74</v>
      </c>
      <c r="AA1317" s="3" t="s">
        <v>45</v>
      </c>
      <c r="AB1317" s="3" t="s">
        <v>45</v>
      </c>
      <c r="AC1317" s="3" t="s">
        <v>45</v>
      </c>
      <c r="AD1317" s="3" t="s">
        <v>45</v>
      </c>
      <c r="AE1317" s="3" t="s">
        <v>45</v>
      </c>
      <c r="AF1317" s="3" t="s">
        <v>45</v>
      </c>
      <c r="AG1317" s="3" t="s">
        <v>45</v>
      </c>
      <c r="AH1317" s="3" t="s">
        <v>57</v>
      </c>
      <c r="AI1317" s="5" t="s">
        <v>11462</v>
      </c>
      <c r="AJ1317" s="3" t="s">
        <v>45</v>
      </c>
      <c r="AK1317" s="3" t="s">
        <v>45</v>
      </c>
      <c r="AL1317" s="3" t="s">
        <v>45</v>
      </c>
      <c r="AM1317" s="3" t="s">
        <v>45</v>
      </c>
      <c r="AN1317" s="3" t="s">
        <v>45</v>
      </c>
      <c r="AO1317" s="3" t="s">
        <v>45</v>
      </c>
      <c r="AP1317" s="3" t="s">
        <v>45</v>
      </c>
      <c r="AQ1317" s="4" t="s">
        <v>8996</v>
      </c>
      <c r="AR1317" s="4" t="s">
        <v>8996</v>
      </c>
    </row>
    <row r="1318">
      <c r="A1318" s="3" t="s">
        <v>11463</v>
      </c>
      <c r="B1318" s="3" t="s">
        <v>11464</v>
      </c>
      <c r="C1318" s="3" t="s">
        <v>3472</v>
      </c>
      <c r="D1318" s="3" t="s">
        <v>9900</v>
      </c>
      <c r="E1318" s="4" t="s">
        <v>11465</v>
      </c>
      <c r="F1318" s="3" t="s">
        <v>9928</v>
      </c>
      <c r="G1318" s="4" t="s">
        <v>11466</v>
      </c>
      <c r="H1318" s="4" t="s">
        <v>11467</v>
      </c>
      <c r="I1318" s="3" t="s">
        <v>49</v>
      </c>
      <c r="J1318" s="3" t="s">
        <v>126</v>
      </c>
      <c r="K1318" s="3" t="s">
        <v>45</v>
      </c>
      <c r="L1318" s="3" t="s">
        <v>176</v>
      </c>
      <c r="M1318" s="3" t="s">
        <v>45</v>
      </c>
      <c r="N1318" s="3" t="s">
        <v>45</v>
      </c>
      <c r="O1318" s="3" t="s">
        <v>74</v>
      </c>
      <c r="P1318" s="3" t="s">
        <v>45</v>
      </c>
      <c r="Q1318" s="3" t="s">
        <v>45</v>
      </c>
      <c r="R1318" s="3" t="s">
        <v>45</v>
      </c>
      <c r="S1318" s="3" t="s">
        <v>45</v>
      </c>
      <c r="T1318" s="3" t="s">
        <v>45</v>
      </c>
      <c r="U1318" s="3" t="s">
        <v>45</v>
      </c>
      <c r="V1318" s="4" t="s">
        <v>11468</v>
      </c>
      <c r="W1318" s="4" t="s">
        <v>764</v>
      </c>
      <c r="X1318" s="3" t="s">
        <v>45</v>
      </c>
      <c r="Y1318" s="3" t="s">
        <v>45</v>
      </c>
      <c r="Z1318" s="3" t="s">
        <v>74</v>
      </c>
      <c r="AA1318" s="3" t="s">
        <v>45</v>
      </c>
      <c r="AB1318" s="3" t="s">
        <v>45</v>
      </c>
      <c r="AC1318" s="3" t="s">
        <v>45</v>
      </c>
      <c r="AD1318" s="3" t="s">
        <v>45</v>
      </c>
      <c r="AE1318" s="3" t="s">
        <v>45</v>
      </c>
      <c r="AF1318" s="3" t="s">
        <v>45</v>
      </c>
      <c r="AG1318" s="3" t="s">
        <v>9916</v>
      </c>
      <c r="AH1318" s="3" t="s">
        <v>9906</v>
      </c>
      <c r="AI1318" s="5" t="s">
        <v>11469</v>
      </c>
      <c r="AJ1318" s="5" t="s">
        <v>11470</v>
      </c>
      <c r="AK1318" s="3" t="s">
        <v>45</v>
      </c>
      <c r="AL1318" s="3" t="s">
        <v>45</v>
      </c>
      <c r="AM1318" s="3" t="s">
        <v>45</v>
      </c>
      <c r="AN1318" s="3" t="s">
        <v>45</v>
      </c>
      <c r="AO1318" s="3" t="s">
        <v>45</v>
      </c>
      <c r="AP1318" s="3" t="s">
        <v>45</v>
      </c>
      <c r="AQ1318" s="4" t="s">
        <v>9934</v>
      </c>
      <c r="AR1318" s="4" t="s">
        <v>9908</v>
      </c>
    </row>
    <row r="1319">
      <c r="A1319" s="3" t="s">
        <v>11471</v>
      </c>
      <c r="B1319" s="3" t="s">
        <v>11472</v>
      </c>
      <c r="C1319" s="3" t="s">
        <v>3472</v>
      </c>
      <c r="D1319" s="3" t="s">
        <v>9900</v>
      </c>
      <c r="E1319" s="4" t="s">
        <v>11465</v>
      </c>
      <c r="F1319" s="3" t="s">
        <v>9928</v>
      </c>
      <c r="G1319" s="4" t="s">
        <v>11473</v>
      </c>
      <c r="H1319" s="4" t="s">
        <v>11474</v>
      </c>
      <c r="I1319" s="3" t="s">
        <v>49</v>
      </c>
      <c r="J1319" s="3" t="s">
        <v>126</v>
      </c>
      <c r="K1319" s="3" t="s">
        <v>45</v>
      </c>
      <c r="L1319" s="3" t="s">
        <v>45</v>
      </c>
      <c r="M1319" s="3" t="s">
        <v>45</v>
      </c>
      <c r="N1319" s="3" t="s">
        <v>45</v>
      </c>
      <c r="O1319" s="3" t="s">
        <v>74</v>
      </c>
      <c r="P1319" s="3" t="s">
        <v>45</v>
      </c>
      <c r="Q1319" s="3" t="s">
        <v>45</v>
      </c>
      <c r="R1319" s="3" t="s">
        <v>45</v>
      </c>
      <c r="S1319" s="4" t="s">
        <v>835</v>
      </c>
      <c r="T1319" s="3" t="s">
        <v>45</v>
      </c>
      <c r="U1319" s="3" t="s">
        <v>45</v>
      </c>
      <c r="V1319" s="4" t="s">
        <v>1227</v>
      </c>
      <c r="W1319" s="3" t="s">
        <v>45</v>
      </c>
      <c r="X1319" s="3" t="s">
        <v>45</v>
      </c>
      <c r="Y1319" s="3" t="s">
        <v>45</v>
      </c>
      <c r="Z1319" s="3" t="s">
        <v>55</v>
      </c>
      <c r="AA1319" s="3" t="s">
        <v>45</v>
      </c>
      <c r="AB1319" s="3" t="s">
        <v>45</v>
      </c>
      <c r="AC1319" s="3" t="s">
        <v>45</v>
      </c>
      <c r="AD1319" s="5" t="s">
        <v>11475</v>
      </c>
      <c r="AE1319" s="3" t="s">
        <v>45</v>
      </c>
      <c r="AF1319" s="3" t="s">
        <v>45</v>
      </c>
      <c r="AG1319" s="3" t="s">
        <v>45</v>
      </c>
      <c r="AH1319" s="3" t="s">
        <v>57</v>
      </c>
      <c r="AI1319" s="5" t="s">
        <v>11476</v>
      </c>
      <c r="AJ1319" s="3" t="s">
        <v>45</v>
      </c>
      <c r="AK1319" s="3" t="s">
        <v>45</v>
      </c>
      <c r="AL1319" s="3" t="s">
        <v>45</v>
      </c>
      <c r="AM1319" s="3" t="s">
        <v>45</v>
      </c>
      <c r="AN1319" s="3" t="s">
        <v>45</v>
      </c>
      <c r="AO1319" s="3" t="s">
        <v>45</v>
      </c>
      <c r="AP1319" s="3" t="s">
        <v>45</v>
      </c>
      <c r="AQ1319" s="4" t="s">
        <v>1589</v>
      </c>
      <c r="AR1319" s="4" t="s">
        <v>1589</v>
      </c>
    </row>
    <row r="1320">
      <c r="A1320" s="3" t="s">
        <v>11477</v>
      </c>
      <c r="B1320" s="3" t="s">
        <v>11478</v>
      </c>
      <c r="C1320" s="3" t="s">
        <v>3472</v>
      </c>
      <c r="D1320" s="3" t="s">
        <v>9900</v>
      </c>
      <c r="E1320" s="4" t="s">
        <v>11399</v>
      </c>
      <c r="F1320" s="3" t="s">
        <v>9928</v>
      </c>
      <c r="G1320" s="4" t="s">
        <v>11479</v>
      </c>
      <c r="H1320" s="4" t="s">
        <v>11480</v>
      </c>
      <c r="I1320" s="3" t="s">
        <v>85</v>
      </c>
      <c r="J1320" s="3" t="s">
        <v>126</v>
      </c>
      <c r="K1320" s="3" t="s">
        <v>45</v>
      </c>
      <c r="L1320" s="3" t="s">
        <v>10379</v>
      </c>
      <c r="M1320" s="3" t="s">
        <v>45</v>
      </c>
      <c r="N1320" s="4" t="s">
        <v>879</v>
      </c>
      <c r="O1320" s="3" t="s">
        <v>390</v>
      </c>
      <c r="P1320" s="3" t="s">
        <v>45</v>
      </c>
      <c r="Q1320" s="3" t="s">
        <v>45</v>
      </c>
      <c r="R1320" s="3" t="s">
        <v>45</v>
      </c>
      <c r="S1320" s="3" t="s">
        <v>45</v>
      </c>
      <c r="T1320" s="3" t="s">
        <v>45</v>
      </c>
      <c r="U1320" s="3" t="s">
        <v>45</v>
      </c>
      <c r="V1320" s="4" t="s">
        <v>11481</v>
      </c>
      <c r="W1320" s="4" t="s">
        <v>582</v>
      </c>
      <c r="X1320" s="3" t="s">
        <v>45</v>
      </c>
      <c r="Y1320" s="3" t="s">
        <v>45</v>
      </c>
      <c r="Z1320" s="3" t="s">
        <v>74</v>
      </c>
      <c r="AA1320" s="3" t="s">
        <v>45</v>
      </c>
      <c r="AB1320" s="3" t="s">
        <v>45</v>
      </c>
      <c r="AC1320" s="3" t="s">
        <v>45</v>
      </c>
      <c r="AD1320" s="3" t="s">
        <v>45</v>
      </c>
      <c r="AE1320" s="3" t="s">
        <v>45</v>
      </c>
      <c r="AF1320" s="3" t="s">
        <v>45</v>
      </c>
      <c r="AG1320" s="3" t="s">
        <v>11482</v>
      </c>
      <c r="AH1320" s="3" t="s">
        <v>9906</v>
      </c>
      <c r="AI1320" s="5" t="s">
        <v>11483</v>
      </c>
      <c r="AJ1320" s="5" t="s">
        <v>11484</v>
      </c>
      <c r="AK1320" s="3" t="s">
        <v>45</v>
      </c>
      <c r="AL1320" s="3" t="s">
        <v>45</v>
      </c>
      <c r="AM1320" s="3" t="s">
        <v>45</v>
      </c>
      <c r="AN1320" s="3" t="s">
        <v>45</v>
      </c>
      <c r="AO1320" s="3" t="s">
        <v>45</v>
      </c>
      <c r="AP1320" s="3" t="s">
        <v>45</v>
      </c>
      <c r="AQ1320" s="4" t="s">
        <v>807</v>
      </c>
      <c r="AR1320" s="4" t="s">
        <v>9908</v>
      </c>
    </row>
    <row r="1321">
      <c r="A1321" s="3" t="s">
        <v>11477</v>
      </c>
      <c r="B1321" s="3" t="s">
        <v>11485</v>
      </c>
      <c r="C1321" s="3" t="s">
        <v>3472</v>
      </c>
      <c r="D1321" s="3" t="s">
        <v>9900</v>
      </c>
      <c r="E1321" s="4" t="s">
        <v>11399</v>
      </c>
      <c r="F1321" s="3" t="s">
        <v>9928</v>
      </c>
      <c r="G1321" s="4" t="s">
        <v>11486</v>
      </c>
      <c r="H1321" s="4" t="s">
        <v>11487</v>
      </c>
      <c r="I1321" s="3" t="s">
        <v>85</v>
      </c>
      <c r="J1321" s="3" t="s">
        <v>126</v>
      </c>
      <c r="K1321" s="3" t="s">
        <v>45</v>
      </c>
      <c r="L1321" s="3" t="s">
        <v>10379</v>
      </c>
      <c r="M1321" s="3" t="s">
        <v>45</v>
      </c>
      <c r="N1321" s="4" t="s">
        <v>3085</v>
      </c>
      <c r="O1321" s="3" t="s">
        <v>390</v>
      </c>
      <c r="P1321" s="3" t="s">
        <v>45</v>
      </c>
      <c r="Q1321" s="3" t="s">
        <v>45</v>
      </c>
      <c r="R1321" s="3" t="s">
        <v>45</v>
      </c>
      <c r="S1321" s="3" t="s">
        <v>45</v>
      </c>
      <c r="T1321" s="3" t="s">
        <v>45</v>
      </c>
      <c r="U1321" s="3" t="s">
        <v>45</v>
      </c>
      <c r="V1321" s="4" t="s">
        <v>11488</v>
      </c>
      <c r="W1321" s="4" t="s">
        <v>922</v>
      </c>
      <c r="X1321" s="3" t="s">
        <v>45</v>
      </c>
      <c r="Y1321" s="3" t="s">
        <v>45</v>
      </c>
      <c r="Z1321" s="3" t="s">
        <v>74</v>
      </c>
      <c r="AA1321" s="3" t="s">
        <v>45</v>
      </c>
      <c r="AB1321" s="3" t="s">
        <v>45</v>
      </c>
      <c r="AC1321" s="3" t="s">
        <v>45</v>
      </c>
      <c r="AD1321" s="3" t="s">
        <v>45</v>
      </c>
      <c r="AE1321" s="3" t="s">
        <v>45</v>
      </c>
      <c r="AF1321" s="3" t="s">
        <v>45</v>
      </c>
      <c r="AG1321" s="3" t="s">
        <v>11489</v>
      </c>
      <c r="AH1321" s="3" t="s">
        <v>9906</v>
      </c>
      <c r="AI1321" s="5" t="s">
        <v>11483</v>
      </c>
      <c r="AJ1321" s="5" t="s">
        <v>11490</v>
      </c>
      <c r="AK1321" s="3" t="s">
        <v>45</v>
      </c>
      <c r="AL1321" s="3" t="s">
        <v>45</v>
      </c>
      <c r="AM1321" s="3" t="s">
        <v>45</v>
      </c>
      <c r="AN1321" s="3" t="s">
        <v>45</v>
      </c>
      <c r="AO1321" s="3" t="s">
        <v>45</v>
      </c>
      <c r="AP1321" s="3" t="s">
        <v>45</v>
      </c>
      <c r="AQ1321" s="4" t="s">
        <v>807</v>
      </c>
      <c r="AR1321" s="4" t="s">
        <v>9908</v>
      </c>
    </row>
    <row r="1322">
      <c r="A1322" s="3" t="s">
        <v>11491</v>
      </c>
      <c r="B1322" s="3" t="s">
        <v>11492</v>
      </c>
      <c r="C1322" s="3" t="s">
        <v>3472</v>
      </c>
      <c r="D1322" s="3" t="s">
        <v>9900</v>
      </c>
      <c r="E1322" s="4" t="s">
        <v>11399</v>
      </c>
      <c r="F1322" s="3" t="s">
        <v>9928</v>
      </c>
      <c r="G1322" s="4" t="s">
        <v>11493</v>
      </c>
      <c r="H1322" s="4" t="s">
        <v>11494</v>
      </c>
      <c r="I1322" s="3" t="s">
        <v>49</v>
      </c>
      <c r="J1322" s="3" t="s">
        <v>126</v>
      </c>
      <c r="K1322" s="3" t="s">
        <v>45</v>
      </c>
      <c r="L1322" s="3" t="s">
        <v>45</v>
      </c>
      <c r="M1322" s="3" t="s">
        <v>45</v>
      </c>
      <c r="N1322" s="3" t="s">
        <v>45</v>
      </c>
      <c r="O1322" s="3" t="s">
        <v>74</v>
      </c>
      <c r="P1322" s="3" t="s">
        <v>45</v>
      </c>
      <c r="Q1322" s="3" t="s">
        <v>45</v>
      </c>
      <c r="R1322" s="3" t="s">
        <v>45</v>
      </c>
      <c r="S1322" s="3" t="s">
        <v>45</v>
      </c>
      <c r="T1322" s="3" t="s">
        <v>45</v>
      </c>
      <c r="U1322" s="3" t="s">
        <v>45</v>
      </c>
      <c r="V1322" s="4" t="s">
        <v>2937</v>
      </c>
      <c r="W1322" s="4" t="s">
        <v>2600</v>
      </c>
      <c r="X1322" s="3" t="s">
        <v>45</v>
      </c>
      <c r="Y1322" s="3" t="s">
        <v>45</v>
      </c>
      <c r="Z1322" s="3" t="s">
        <v>74</v>
      </c>
      <c r="AA1322" s="3" t="s">
        <v>45</v>
      </c>
      <c r="AB1322" s="3" t="s">
        <v>45</v>
      </c>
      <c r="AC1322" s="3" t="s">
        <v>45</v>
      </c>
      <c r="AD1322" s="3" t="s">
        <v>45</v>
      </c>
      <c r="AE1322" s="3" t="s">
        <v>45</v>
      </c>
      <c r="AF1322" s="3" t="s">
        <v>45</v>
      </c>
      <c r="AG1322" s="3" t="s">
        <v>11495</v>
      </c>
      <c r="AH1322" s="3" t="s">
        <v>9906</v>
      </c>
      <c r="AI1322" s="5" t="s">
        <v>11496</v>
      </c>
      <c r="AJ1322" s="5" t="s">
        <v>11497</v>
      </c>
      <c r="AK1322" s="3" t="s">
        <v>45</v>
      </c>
      <c r="AL1322" s="3" t="s">
        <v>45</v>
      </c>
      <c r="AM1322" s="3" t="s">
        <v>45</v>
      </c>
      <c r="AN1322" s="3" t="s">
        <v>45</v>
      </c>
      <c r="AO1322" s="3" t="s">
        <v>45</v>
      </c>
      <c r="AP1322" s="3" t="s">
        <v>45</v>
      </c>
      <c r="AQ1322" s="4" t="s">
        <v>11498</v>
      </c>
      <c r="AR1322" s="4" t="s">
        <v>9908</v>
      </c>
    </row>
    <row r="1323">
      <c r="A1323" s="3" t="s">
        <v>11499</v>
      </c>
      <c r="B1323" s="3" t="s">
        <v>11500</v>
      </c>
      <c r="C1323" s="3" t="s">
        <v>3472</v>
      </c>
      <c r="D1323" s="3" t="s">
        <v>9900</v>
      </c>
      <c r="E1323" s="4" t="s">
        <v>11399</v>
      </c>
      <c r="F1323" s="3" t="s">
        <v>9928</v>
      </c>
      <c r="G1323" s="4" t="s">
        <v>11501</v>
      </c>
      <c r="H1323" s="4" t="s">
        <v>11502</v>
      </c>
      <c r="I1323" s="3" t="s">
        <v>49</v>
      </c>
      <c r="J1323" s="3" t="s">
        <v>126</v>
      </c>
      <c r="K1323" s="3" t="s">
        <v>45</v>
      </c>
      <c r="L1323" s="3" t="s">
        <v>11503</v>
      </c>
      <c r="M1323" s="3" t="s">
        <v>45</v>
      </c>
      <c r="N1323" s="3" t="s">
        <v>45</v>
      </c>
      <c r="O1323" s="3" t="s">
        <v>74</v>
      </c>
      <c r="P1323" s="3" t="s">
        <v>45</v>
      </c>
      <c r="Q1323" s="3" t="s">
        <v>45</v>
      </c>
      <c r="R1323" s="3" t="s">
        <v>45</v>
      </c>
      <c r="S1323" s="3" t="s">
        <v>45</v>
      </c>
      <c r="T1323" s="3" t="s">
        <v>45</v>
      </c>
      <c r="U1323" s="3" t="s">
        <v>45</v>
      </c>
      <c r="V1323" s="4" t="s">
        <v>11504</v>
      </c>
      <c r="W1323" s="4" t="s">
        <v>956</v>
      </c>
      <c r="X1323" s="3" t="s">
        <v>45</v>
      </c>
      <c r="Y1323" s="3" t="s">
        <v>45</v>
      </c>
      <c r="Z1323" s="3" t="s">
        <v>74</v>
      </c>
      <c r="AA1323" s="3" t="s">
        <v>45</v>
      </c>
      <c r="AB1323" s="3" t="s">
        <v>45</v>
      </c>
      <c r="AC1323" s="3" t="s">
        <v>45</v>
      </c>
      <c r="AD1323" s="3" t="s">
        <v>45</v>
      </c>
      <c r="AE1323" s="3" t="s">
        <v>45</v>
      </c>
      <c r="AF1323" s="3" t="s">
        <v>45</v>
      </c>
      <c r="AG1323" s="3" t="s">
        <v>45</v>
      </c>
      <c r="AH1323" s="3" t="s">
        <v>9906</v>
      </c>
      <c r="AI1323" s="5" t="s">
        <v>11505</v>
      </c>
      <c r="AJ1323" s="5" t="s">
        <v>11506</v>
      </c>
      <c r="AK1323" s="3" t="s">
        <v>45</v>
      </c>
      <c r="AL1323" s="3" t="s">
        <v>45</v>
      </c>
      <c r="AM1323" s="3" t="s">
        <v>45</v>
      </c>
      <c r="AN1323" s="3" t="s">
        <v>45</v>
      </c>
      <c r="AO1323" s="3" t="s">
        <v>45</v>
      </c>
      <c r="AP1323" s="3" t="s">
        <v>45</v>
      </c>
      <c r="AQ1323" s="4" t="s">
        <v>212</v>
      </c>
      <c r="AR1323" s="4" t="s">
        <v>9908</v>
      </c>
    </row>
    <row r="1324">
      <c r="A1324" s="3" t="s">
        <v>11507</v>
      </c>
      <c r="B1324" s="3" t="s">
        <v>11508</v>
      </c>
      <c r="C1324" s="3" t="s">
        <v>3472</v>
      </c>
      <c r="D1324" s="3" t="s">
        <v>9900</v>
      </c>
      <c r="E1324" s="4" t="s">
        <v>11399</v>
      </c>
      <c r="F1324" s="3" t="s">
        <v>9928</v>
      </c>
      <c r="G1324" s="4" t="s">
        <v>11509</v>
      </c>
      <c r="H1324" s="4" t="s">
        <v>11510</v>
      </c>
      <c r="I1324" s="3" t="s">
        <v>408</v>
      </c>
      <c r="J1324" s="3" t="s">
        <v>126</v>
      </c>
      <c r="K1324" s="3" t="s">
        <v>45</v>
      </c>
      <c r="L1324" s="3" t="s">
        <v>176</v>
      </c>
      <c r="M1324" s="3" t="s">
        <v>45</v>
      </c>
      <c r="N1324" s="3" t="s">
        <v>45</v>
      </c>
      <c r="O1324" s="3" t="s">
        <v>74</v>
      </c>
      <c r="P1324" s="3" t="s">
        <v>45</v>
      </c>
      <c r="Q1324" s="3" t="s">
        <v>45</v>
      </c>
      <c r="R1324" s="3" t="s">
        <v>45</v>
      </c>
      <c r="S1324" s="3" t="s">
        <v>45</v>
      </c>
      <c r="T1324" s="3" t="s">
        <v>45</v>
      </c>
      <c r="U1324" s="3" t="s">
        <v>45</v>
      </c>
      <c r="V1324" s="4" t="s">
        <v>11511</v>
      </c>
      <c r="W1324" s="4" t="s">
        <v>2106</v>
      </c>
      <c r="X1324" s="3" t="s">
        <v>45</v>
      </c>
      <c r="Y1324" s="3" t="s">
        <v>45</v>
      </c>
      <c r="Z1324" s="3" t="s">
        <v>74</v>
      </c>
      <c r="AA1324" s="3" t="s">
        <v>45</v>
      </c>
      <c r="AB1324" s="3" t="s">
        <v>45</v>
      </c>
      <c r="AC1324" s="3" t="s">
        <v>45</v>
      </c>
      <c r="AD1324" s="3" t="s">
        <v>45</v>
      </c>
      <c r="AE1324" s="3" t="s">
        <v>45</v>
      </c>
      <c r="AF1324" s="3" t="s">
        <v>45</v>
      </c>
      <c r="AG1324" s="3" t="s">
        <v>11512</v>
      </c>
      <c r="AH1324" s="3" t="s">
        <v>9906</v>
      </c>
      <c r="AI1324" s="5" t="s">
        <v>11513</v>
      </c>
      <c r="AJ1324" s="5" t="s">
        <v>11514</v>
      </c>
      <c r="AK1324" s="3" t="s">
        <v>45</v>
      </c>
      <c r="AL1324" s="3" t="s">
        <v>45</v>
      </c>
      <c r="AM1324" s="3" t="s">
        <v>45</v>
      </c>
      <c r="AN1324" s="3" t="s">
        <v>45</v>
      </c>
      <c r="AO1324" s="3" t="s">
        <v>45</v>
      </c>
      <c r="AP1324" s="3" t="s">
        <v>45</v>
      </c>
      <c r="AQ1324" s="4" t="s">
        <v>212</v>
      </c>
      <c r="AR1324" s="4" t="s">
        <v>224</v>
      </c>
    </row>
    <row r="1325">
      <c r="A1325" s="3" t="s">
        <v>11515</v>
      </c>
      <c r="B1325" s="3" t="s">
        <v>11516</v>
      </c>
      <c r="C1325" s="3" t="s">
        <v>3472</v>
      </c>
      <c r="D1325" s="3" t="s">
        <v>9900</v>
      </c>
      <c r="E1325" s="4" t="s">
        <v>11399</v>
      </c>
      <c r="F1325" s="3" t="s">
        <v>9928</v>
      </c>
      <c r="G1325" s="4" t="s">
        <v>11517</v>
      </c>
      <c r="H1325" s="4" t="s">
        <v>11518</v>
      </c>
      <c r="I1325" s="3" t="s">
        <v>408</v>
      </c>
      <c r="J1325" s="3" t="s">
        <v>126</v>
      </c>
      <c r="K1325" s="3" t="s">
        <v>45</v>
      </c>
      <c r="L1325" s="3" t="s">
        <v>176</v>
      </c>
      <c r="M1325" s="3" t="s">
        <v>45</v>
      </c>
      <c r="N1325" s="3" t="s">
        <v>45</v>
      </c>
      <c r="O1325" s="3" t="s">
        <v>74</v>
      </c>
      <c r="P1325" s="3" t="s">
        <v>45</v>
      </c>
      <c r="Q1325" s="3" t="s">
        <v>45</v>
      </c>
      <c r="R1325" s="3" t="s">
        <v>45</v>
      </c>
      <c r="S1325" s="3" t="s">
        <v>45</v>
      </c>
      <c r="T1325" s="3" t="s">
        <v>45</v>
      </c>
      <c r="U1325" s="3" t="s">
        <v>45</v>
      </c>
      <c r="V1325" s="4" t="s">
        <v>11519</v>
      </c>
      <c r="W1325" s="3" t="s">
        <v>45</v>
      </c>
      <c r="X1325" s="3" t="s">
        <v>45</v>
      </c>
      <c r="Y1325" s="3" t="s">
        <v>45</v>
      </c>
      <c r="Z1325" s="3" t="s">
        <v>74</v>
      </c>
      <c r="AA1325" s="3" t="s">
        <v>45</v>
      </c>
      <c r="AB1325" s="3" t="s">
        <v>45</v>
      </c>
      <c r="AC1325" s="3" t="s">
        <v>45</v>
      </c>
      <c r="AD1325" s="3" t="s">
        <v>45</v>
      </c>
      <c r="AE1325" s="3" t="s">
        <v>45</v>
      </c>
      <c r="AF1325" s="3" t="s">
        <v>45</v>
      </c>
      <c r="AG1325" s="3" t="s">
        <v>11520</v>
      </c>
      <c r="AH1325" s="3" t="s">
        <v>9906</v>
      </c>
      <c r="AI1325" s="5" t="s">
        <v>11513</v>
      </c>
      <c r="AJ1325" s="5" t="s">
        <v>11514</v>
      </c>
      <c r="AK1325" s="3" t="s">
        <v>45</v>
      </c>
      <c r="AL1325" s="3" t="s">
        <v>45</v>
      </c>
      <c r="AM1325" s="3" t="s">
        <v>45</v>
      </c>
      <c r="AN1325" s="3" t="s">
        <v>45</v>
      </c>
      <c r="AO1325" s="3" t="s">
        <v>45</v>
      </c>
      <c r="AP1325" s="3" t="s">
        <v>45</v>
      </c>
      <c r="AQ1325" s="4" t="s">
        <v>212</v>
      </c>
      <c r="AR1325" s="4" t="s">
        <v>224</v>
      </c>
    </row>
    <row r="1326">
      <c r="A1326" s="3" t="s">
        <v>11521</v>
      </c>
      <c r="B1326" s="3" t="s">
        <v>11522</v>
      </c>
      <c r="C1326" s="3" t="s">
        <v>3472</v>
      </c>
      <c r="D1326" s="3" t="s">
        <v>9900</v>
      </c>
      <c r="E1326" s="4" t="s">
        <v>11399</v>
      </c>
      <c r="F1326" s="3" t="s">
        <v>9928</v>
      </c>
      <c r="G1326" s="4" t="s">
        <v>11523</v>
      </c>
      <c r="H1326" s="4" t="s">
        <v>11524</v>
      </c>
      <c r="I1326" s="3" t="s">
        <v>49</v>
      </c>
      <c r="J1326" s="3" t="s">
        <v>126</v>
      </c>
      <c r="K1326" s="3" t="s">
        <v>45</v>
      </c>
      <c r="L1326" s="3" t="s">
        <v>10399</v>
      </c>
      <c r="M1326" s="3" t="s">
        <v>45</v>
      </c>
      <c r="N1326" s="3" t="s">
        <v>45</v>
      </c>
      <c r="O1326" s="3" t="s">
        <v>74</v>
      </c>
      <c r="P1326" s="3" t="s">
        <v>45</v>
      </c>
      <c r="Q1326" s="3" t="s">
        <v>45</v>
      </c>
      <c r="R1326" s="3" t="s">
        <v>45</v>
      </c>
      <c r="S1326" s="3" t="s">
        <v>45</v>
      </c>
      <c r="T1326" s="3" t="s">
        <v>45</v>
      </c>
      <c r="U1326" s="3" t="s">
        <v>45</v>
      </c>
      <c r="V1326" s="4" t="s">
        <v>11525</v>
      </c>
      <c r="W1326" s="4" t="s">
        <v>583</v>
      </c>
      <c r="X1326" s="3" t="s">
        <v>45</v>
      </c>
      <c r="Y1326" s="3" t="s">
        <v>45</v>
      </c>
      <c r="Z1326" s="3" t="s">
        <v>74</v>
      </c>
      <c r="AA1326" s="3" t="s">
        <v>45</v>
      </c>
      <c r="AB1326" s="3" t="s">
        <v>45</v>
      </c>
      <c r="AC1326" s="3" t="s">
        <v>45</v>
      </c>
      <c r="AD1326" s="3" t="s">
        <v>45</v>
      </c>
      <c r="AE1326" s="3" t="s">
        <v>45</v>
      </c>
      <c r="AF1326" s="3" t="s">
        <v>45</v>
      </c>
      <c r="AG1326" s="3" t="s">
        <v>11526</v>
      </c>
      <c r="AH1326" s="3" t="s">
        <v>9906</v>
      </c>
      <c r="AI1326" s="5" t="s">
        <v>11527</v>
      </c>
      <c r="AJ1326" s="5" t="s">
        <v>11528</v>
      </c>
      <c r="AK1326" s="5" t="s">
        <v>11529</v>
      </c>
      <c r="AL1326" s="3" t="s">
        <v>45</v>
      </c>
      <c r="AM1326" s="3" t="s">
        <v>45</v>
      </c>
      <c r="AN1326" s="3" t="s">
        <v>45</v>
      </c>
      <c r="AO1326" s="3" t="s">
        <v>45</v>
      </c>
      <c r="AP1326" s="3" t="s">
        <v>45</v>
      </c>
      <c r="AQ1326" s="4" t="s">
        <v>9934</v>
      </c>
      <c r="AR1326" s="4" t="s">
        <v>9908</v>
      </c>
    </row>
    <row r="1327">
      <c r="A1327" s="3" t="s">
        <v>11530</v>
      </c>
      <c r="B1327" s="3" t="s">
        <v>11531</v>
      </c>
      <c r="C1327" s="3" t="s">
        <v>3472</v>
      </c>
      <c r="D1327" s="3" t="s">
        <v>9900</v>
      </c>
      <c r="E1327" s="4" t="s">
        <v>11465</v>
      </c>
      <c r="F1327" s="3" t="s">
        <v>9928</v>
      </c>
      <c r="G1327" s="4" t="s">
        <v>11532</v>
      </c>
      <c r="H1327" s="4" t="s">
        <v>11533</v>
      </c>
      <c r="I1327" s="3" t="s">
        <v>49</v>
      </c>
      <c r="J1327" s="3" t="s">
        <v>126</v>
      </c>
      <c r="K1327" s="3" t="s">
        <v>45</v>
      </c>
      <c r="L1327" s="3" t="s">
        <v>10379</v>
      </c>
      <c r="M1327" s="3" t="s">
        <v>45</v>
      </c>
      <c r="N1327" s="3" t="s">
        <v>45</v>
      </c>
      <c r="O1327" s="3" t="s">
        <v>74</v>
      </c>
      <c r="P1327" s="3" t="s">
        <v>45</v>
      </c>
      <c r="Q1327" s="3" t="s">
        <v>45</v>
      </c>
      <c r="R1327" s="3" t="s">
        <v>45</v>
      </c>
      <c r="S1327" s="3" t="s">
        <v>45</v>
      </c>
      <c r="T1327" s="3" t="s">
        <v>45</v>
      </c>
      <c r="U1327" s="3" t="s">
        <v>45</v>
      </c>
      <c r="V1327" s="4" t="s">
        <v>1650</v>
      </c>
      <c r="W1327" s="4" t="s">
        <v>914</v>
      </c>
      <c r="X1327" s="3" t="s">
        <v>45</v>
      </c>
      <c r="Y1327" s="3" t="s">
        <v>45</v>
      </c>
      <c r="Z1327" s="3" t="s">
        <v>74</v>
      </c>
      <c r="AA1327" s="3" t="s">
        <v>45</v>
      </c>
      <c r="AB1327" s="3" t="s">
        <v>45</v>
      </c>
      <c r="AC1327" s="3" t="s">
        <v>45</v>
      </c>
      <c r="AD1327" s="3" t="s">
        <v>45</v>
      </c>
      <c r="AE1327" s="3" t="s">
        <v>45</v>
      </c>
      <c r="AF1327" s="3" t="s">
        <v>45</v>
      </c>
      <c r="AG1327" s="3" t="s">
        <v>9916</v>
      </c>
      <c r="AH1327" s="3" t="s">
        <v>9906</v>
      </c>
      <c r="AI1327" s="5" t="s">
        <v>11534</v>
      </c>
      <c r="AJ1327" s="5" t="s">
        <v>11535</v>
      </c>
      <c r="AK1327" s="3" t="s">
        <v>45</v>
      </c>
      <c r="AL1327" s="3" t="s">
        <v>45</v>
      </c>
      <c r="AM1327" s="3" t="s">
        <v>45</v>
      </c>
      <c r="AN1327" s="3" t="s">
        <v>45</v>
      </c>
      <c r="AO1327" s="3" t="s">
        <v>45</v>
      </c>
      <c r="AP1327" s="3" t="s">
        <v>45</v>
      </c>
      <c r="AQ1327" s="4" t="s">
        <v>807</v>
      </c>
      <c r="AR1327" s="4" t="s">
        <v>9908</v>
      </c>
    </row>
    <row r="1328">
      <c r="A1328" s="3" t="s">
        <v>11536</v>
      </c>
      <c r="B1328" s="3" t="s">
        <v>11537</v>
      </c>
      <c r="C1328" s="3" t="s">
        <v>11538</v>
      </c>
      <c r="D1328" s="3" t="s">
        <v>9900</v>
      </c>
      <c r="E1328" s="4" t="s">
        <v>11399</v>
      </c>
      <c r="F1328" s="3" t="s">
        <v>9928</v>
      </c>
      <c r="G1328" s="4" t="s">
        <v>11539</v>
      </c>
      <c r="H1328" s="4" t="s">
        <v>11540</v>
      </c>
      <c r="I1328" s="3" t="s">
        <v>49</v>
      </c>
      <c r="J1328" s="3" t="s">
        <v>126</v>
      </c>
      <c r="K1328" s="3" t="s">
        <v>45</v>
      </c>
      <c r="L1328" s="3" t="s">
        <v>45</v>
      </c>
      <c r="M1328" s="3" t="s">
        <v>45</v>
      </c>
      <c r="N1328" s="3" t="s">
        <v>45</v>
      </c>
      <c r="O1328" s="3" t="s">
        <v>74</v>
      </c>
      <c r="P1328" s="3" t="s">
        <v>45</v>
      </c>
      <c r="Q1328" s="3" t="s">
        <v>45</v>
      </c>
      <c r="R1328" s="3" t="s">
        <v>45</v>
      </c>
      <c r="S1328" s="3" t="s">
        <v>45</v>
      </c>
      <c r="T1328" s="3" t="s">
        <v>45</v>
      </c>
      <c r="U1328" s="3" t="s">
        <v>45</v>
      </c>
      <c r="V1328" s="4" t="s">
        <v>11541</v>
      </c>
      <c r="W1328" s="4" t="s">
        <v>11542</v>
      </c>
      <c r="X1328" s="3" t="s">
        <v>45</v>
      </c>
      <c r="Y1328" s="3" t="s">
        <v>45</v>
      </c>
      <c r="Z1328" s="3" t="s">
        <v>74</v>
      </c>
      <c r="AA1328" s="3" t="s">
        <v>45</v>
      </c>
      <c r="AB1328" s="3" t="s">
        <v>45</v>
      </c>
      <c r="AC1328" s="3" t="s">
        <v>45</v>
      </c>
      <c r="AD1328" s="3" t="s">
        <v>45</v>
      </c>
      <c r="AE1328" s="3" t="s">
        <v>45</v>
      </c>
      <c r="AF1328" s="3" t="s">
        <v>45</v>
      </c>
      <c r="AG1328" s="3" t="s">
        <v>11543</v>
      </c>
      <c r="AH1328" s="3" t="s">
        <v>9906</v>
      </c>
      <c r="AI1328" s="5" t="s">
        <v>11544</v>
      </c>
      <c r="AJ1328" s="5" t="s">
        <v>11545</v>
      </c>
      <c r="AK1328" s="3" t="s">
        <v>45</v>
      </c>
      <c r="AL1328" s="3" t="s">
        <v>45</v>
      </c>
      <c r="AM1328" s="3" t="s">
        <v>45</v>
      </c>
      <c r="AN1328" s="3" t="s">
        <v>45</v>
      </c>
      <c r="AO1328" s="3" t="s">
        <v>45</v>
      </c>
      <c r="AP1328" s="3" t="s">
        <v>45</v>
      </c>
      <c r="AQ1328" s="4" t="s">
        <v>807</v>
      </c>
      <c r="AR1328" s="4" t="s">
        <v>9908</v>
      </c>
    </row>
    <row r="1329">
      <c r="A1329" s="3" t="s">
        <v>11546</v>
      </c>
      <c r="B1329" s="3" t="s">
        <v>11547</v>
      </c>
      <c r="C1329" s="3" t="s">
        <v>11548</v>
      </c>
      <c r="D1329" s="3" t="s">
        <v>9900</v>
      </c>
      <c r="E1329" s="4" t="s">
        <v>11549</v>
      </c>
      <c r="F1329" s="3" t="s">
        <v>1255</v>
      </c>
      <c r="G1329" s="4" t="s">
        <v>11550</v>
      </c>
      <c r="H1329" s="4" t="s">
        <v>11551</v>
      </c>
      <c r="I1329" s="3" t="s">
        <v>49</v>
      </c>
      <c r="J1329" s="3" t="s">
        <v>126</v>
      </c>
      <c r="K1329" s="3" t="s">
        <v>45</v>
      </c>
      <c r="L1329" s="3" t="s">
        <v>479</v>
      </c>
      <c r="M1329" s="3" t="s">
        <v>45</v>
      </c>
      <c r="N1329" s="3" t="s">
        <v>45</v>
      </c>
      <c r="O1329" s="3" t="s">
        <v>74</v>
      </c>
      <c r="P1329" s="3" t="s">
        <v>45</v>
      </c>
      <c r="Q1329" s="3" t="s">
        <v>45</v>
      </c>
      <c r="R1329" s="3" t="s">
        <v>45</v>
      </c>
      <c r="S1329" s="3" t="s">
        <v>45</v>
      </c>
      <c r="T1329" s="3" t="s">
        <v>45</v>
      </c>
      <c r="U1329" s="3" t="s">
        <v>45</v>
      </c>
      <c r="V1329" s="4" t="s">
        <v>7193</v>
      </c>
      <c r="W1329" s="4" t="s">
        <v>11552</v>
      </c>
      <c r="X1329" s="3" t="s">
        <v>45</v>
      </c>
      <c r="Y1329" s="3" t="s">
        <v>45</v>
      </c>
      <c r="Z1329" s="3" t="s">
        <v>74</v>
      </c>
      <c r="AA1329" s="3" t="s">
        <v>45</v>
      </c>
      <c r="AB1329" s="3" t="s">
        <v>45</v>
      </c>
      <c r="AC1329" s="3" t="s">
        <v>45</v>
      </c>
      <c r="AD1329" s="3" t="s">
        <v>45</v>
      </c>
      <c r="AE1329" s="3" t="s">
        <v>45</v>
      </c>
      <c r="AF1329" s="3" t="s">
        <v>45</v>
      </c>
      <c r="AG1329" s="3" t="s">
        <v>10511</v>
      </c>
      <c r="AH1329" s="3" t="s">
        <v>9906</v>
      </c>
      <c r="AI1329" s="5" t="s">
        <v>11553</v>
      </c>
      <c r="AJ1329" s="5" t="s">
        <v>11554</v>
      </c>
      <c r="AK1329" s="3" t="s">
        <v>45</v>
      </c>
      <c r="AL1329" s="3" t="s">
        <v>45</v>
      </c>
      <c r="AM1329" s="3" t="s">
        <v>45</v>
      </c>
      <c r="AN1329" s="3" t="s">
        <v>45</v>
      </c>
      <c r="AO1329" s="3" t="s">
        <v>45</v>
      </c>
      <c r="AP1329" s="3" t="s">
        <v>45</v>
      </c>
      <c r="AQ1329" s="4" t="s">
        <v>9934</v>
      </c>
      <c r="AR1329" s="4" t="s">
        <v>9908</v>
      </c>
    </row>
    <row r="1330">
      <c r="A1330" s="3" t="s">
        <v>3611</v>
      </c>
      <c r="B1330" s="3" t="s">
        <v>11555</v>
      </c>
      <c r="C1330" s="3" t="s">
        <v>11556</v>
      </c>
      <c r="D1330" s="3" t="s">
        <v>9900</v>
      </c>
      <c r="E1330" s="4" t="s">
        <v>11557</v>
      </c>
      <c r="F1330" s="3" t="s">
        <v>11556</v>
      </c>
      <c r="G1330" s="4" t="s">
        <v>11558</v>
      </c>
      <c r="H1330" s="4" t="s">
        <v>11559</v>
      </c>
      <c r="I1330" s="3" t="s">
        <v>49</v>
      </c>
      <c r="J1330" s="3" t="s">
        <v>50</v>
      </c>
      <c r="K1330" s="3" t="s">
        <v>45</v>
      </c>
      <c r="L1330" s="3" t="s">
        <v>479</v>
      </c>
      <c r="M1330" s="3" t="s">
        <v>45</v>
      </c>
      <c r="N1330" s="3" t="s">
        <v>45</v>
      </c>
      <c r="O1330" s="3" t="s">
        <v>74</v>
      </c>
      <c r="P1330" s="3" t="s">
        <v>45</v>
      </c>
      <c r="Q1330" s="3" t="s">
        <v>45</v>
      </c>
      <c r="R1330" s="3" t="s">
        <v>45</v>
      </c>
      <c r="S1330" s="3" t="s">
        <v>45</v>
      </c>
      <c r="T1330" s="3" t="s">
        <v>45</v>
      </c>
      <c r="U1330" s="3" t="s">
        <v>45</v>
      </c>
      <c r="V1330" s="4" t="s">
        <v>11241</v>
      </c>
      <c r="W1330" s="4" t="s">
        <v>11560</v>
      </c>
      <c r="X1330" s="3" t="s">
        <v>45</v>
      </c>
      <c r="Y1330" s="3" t="s">
        <v>45</v>
      </c>
      <c r="Z1330" s="3" t="s">
        <v>74</v>
      </c>
      <c r="AA1330" s="3" t="s">
        <v>45</v>
      </c>
      <c r="AB1330" s="3" t="s">
        <v>45</v>
      </c>
      <c r="AC1330" s="3" t="s">
        <v>45</v>
      </c>
      <c r="AD1330" s="3" t="s">
        <v>45</v>
      </c>
      <c r="AE1330" s="3" t="s">
        <v>45</v>
      </c>
      <c r="AF1330" s="3" t="s">
        <v>45</v>
      </c>
      <c r="AG1330" s="3" t="s">
        <v>45</v>
      </c>
      <c r="AH1330" s="3" t="s">
        <v>57</v>
      </c>
      <c r="AI1330" s="5" t="s">
        <v>11561</v>
      </c>
      <c r="AJ1330" s="3" t="s">
        <v>45</v>
      </c>
      <c r="AK1330" s="3" t="s">
        <v>45</v>
      </c>
      <c r="AL1330" s="3" t="s">
        <v>45</v>
      </c>
      <c r="AM1330" s="3" t="s">
        <v>45</v>
      </c>
      <c r="AN1330" s="3" t="s">
        <v>45</v>
      </c>
      <c r="AO1330" s="3" t="s">
        <v>45</v>
      </c>
      <c r="AP1330" s="3" t="s">
        <v>45</v>
      </c>
      <c r="AQ1330" s="4" t="s">
        <v>11562</v>
      </c>
      <c r="AR1330" s="4" t="s">
        <v>11562</v>
      </c>
    </row>
    <row r="1331">
      <c r="A1331" s="3" t="s">
        <v>11563</v>
      </c>
      <c r="B1331" s="3" t="s">
        <v>11564</v>
      </c>
      <c r="C1331" s="3" t="s">
        <v>11556</v>
      </c>
      <c r="D1331" s="3" t="s">
        <v>9900</v>
      </c>
      <c r="E1331" s="4" t="s">
        <v>11557</v>
      </c>
      <c r="F1331" s="3" t="s">
        <v>11556</v>
      </c>
      <c r="G1331" s="4" t="s">
        <v>11565</v>
      </c>
      <c r="H1331" s="4" t="s">
        <v>11566</v>
      </c>
      <c r="I1331" s="3" t="s">
        <v>49</v>
      </c>
      <c r="J1331" s="3" t="s">
        <v>50</v>
      </c>
      <c r="K1331" s="3" t="s">
        <v>45</v>
      </c>
      <c r="L1331" s="3" t="s">
        <v>479</v>
      </c>
      <c r="M1331" s="3" t="s">
        <v>45</v>
      </c>
      <c r="N1331" s="3" t="s">
        <v>45</v>
      </c>
      <c r="O1331" s="3" t="s">
        <v>74</v>
      </c>
      <c r="P1331" s="3" t="s">
        <v>45</v>
      </c>
      <c r="Q1331" s="3" t="s">
        <v>45</v>
      </c>
      <c r="R1331" s="3" t="s">
        <v>45</v>
      </c>
      <c r="S1331" s="3" t="s">
        <v>45</v>
      </c>
      <c r="T1331" s="3" t="s">
        <v>45</v>
      </c>
      <c r="U1331" s="3" t="s">
        <v>45</v>
      </c>
      <c r="V1331" s="4" t="s">
        <v>11567</v>
      </c>
      <c r="W1331" s="4" t="s">
        <v>1219</v>
      </c>
      <c r="X1331" s="3" t="s">
        <v>45</v>
      </c>
      <c r="Y1331" s="3" t="s">
        <v>45</v>
      </c>
      <c r="Z1331" s="3" t="s">
        <v>74</v>
      </c>
      <c r="AA1331" s="3" t="s">
        <v>45</v>
      </c>
      <c r="AB1331" s="3" t="s">
        <v>45</v>
      </c>
      <c r="AC1331" s="3" t="s">
        <v>45</v>
      </c>
      <c r="AD1331" s="3" t="s">
        <v>45</v>
      </c>
      <c r="AE1331" s="3" t="s">
        <v>45</v>
      </c>
      <c r="AF1331" s="3" t="s">
        <v>45</v>
      </c>
      <c r="AG1331" s="3" t="s">
        <v>10511</v>
      </c>
      <c r="AH1331" s="3" t="s">
        <v>9906</v>
      </c>
      <c r="AI1331" s="5" t="s">
        <v>11568</v>
      </c>
      <c r="AJ1331" s="3" t="s">
        <v>45</v>
      </c>
      <c r="AK1331" s="3" t="s">
        <v>45</v>
      </c>
      <c r="AL1331" s="3" t="s">
        <v>45</v>
      </c>
      <c r="AM1331" s="3" t="s">
        <v>45</v>
      </c>
      <c r="AN1331" s="3" t="s">
        <v>45</v>
      </c>
      <c r="AO1331" s="3" t="s">
        <v>45</v>
      </c>
      <c r="AP1331" s="3" t="s">
        <v>45</v>
      </c>
      <c r="AQ1331" s="4" t="s">
        <v>9934</v>
      </c>
      <c r="AR1331" s="4" t="s">
        <v>9908</v>
      </c>
    </row>
    <row r="1332">
      <c r="A1332" s="3" t="s">
        <v>3611</v>
      </c>
      <c r="B1332" s="3" t="s">
        <v>11569</v>
      </c>
      <c r="C1332" s="3" t="s">
        <v>11570</v>
      </c>
      <c r="D1332" s="3" t="s">
        <v>9900</v>
      </c>
      <c r="E1332" s="4" t="s">
        <v>11571</v>
      </c>
      <c r="F1332" s="3" t="s">
        <v>11556</v>
      </c>
      <c r="G1332" s="4" t="s">
        <v>11572</v>
      </c>
      <c r="H1332" s="4" t="s">
        <v>11573</v>
      </c>
      <c r="I1332" s="3" t="s">
        <v>436</v>
      </c>
      <c r="J1332" s="3" t="s">
        <v>126</v>
      </c>
      <c r="K1332" s="3" t="s">
        <v>45</v>
      </c>
      <c r="L1332" s="3" t="s">
        <v>479</v>
      </c>
      <c r="M1332" s="3" t="s">
        <v>45</v>
      </c>
      <c r="N1332" s="3" t="s">
        <v>45</v>
      </c>
      <c r="O1332" s="3" t="s">
        <v>74</v>
      </c>
      <c r="P1332" s="3" t="s">
        <v>45</v>
      </c>
      <c r="Q1332" s="3" t="s">
        <v>45</v>
      </c>
      <c r="R1332" s="3" t="s">
        <v>45</v>
      </c>
      <c r="S1332" s="3" t="s">
        <v>45</v>
      </c>
      <c r="T1332" s="3" t="s">
        <v>45</v>
      </c>
      <c r="U1332" s="3" t="s">
        <v>45</v>
      </c>
      <c r="V1332" s="4" t="s">
        <v>11574</v>
      </c>
      <c r="W1332" s="4" t="s">
        <v>11575</v>
      </c>
      <c r="X1332" s="3" t="s">
        <v>45</v>
      </c>
      <c r="Y1332" s="3" t="s">
        <v>45</v>
      </c>
      <c r="Z1332" s="3" t="s">
        <v>74</v>
      </c>
      <c r="AA1332" s="3" t="s">
        <v>45</v>
      </c>
      <c r="AB1332" s="3" t="s">
        <v>45</v>
      </c>
      <c r="AC1332" s="3" t="s">
        <v>45</v>
      </c>
      <c r="AD1332" s="3" t="s">
        <v>45</v>
      </c>
      <c r="AE1332" s="3" t="s">
        <v>45</v>
      </c>
      <c r="AF1332" s="3" t="s">
        <v>45</v>
      </c>
      <c r="AG1332" s="3" t="s">
        <v>45</v>
      </c>
      <c r="AH1332" s="3" t="s">
        <v>57</v>
      </c>
      <c r="AI1332" s="5" t="s">
        <v>11576</v>
      </c>
      <c r="AJ1332" s="5" t="s">
        <v>11577</v>
      </c>
      <c r="AK1332" s="5" t="s">
        <v>11578</v>
      </c>
      <c r="AL1332" s="3" t="s">
        <v>45</v>
      </c>
      <c r="AM1332" s="3" t="s">
        <v>45</v>
      </c>
      <c r="AN1332" s="3" t="s">
        <v>45</v>
      </c>
      <c r="AO1332" s="3" t="s">
        <v>45</v>
      </c>
      <c r="AP1332" s="3" t="s">
        <v>45</v>
      </c>
      <c r="AQ1332" s="4" t="s">
        <v>4634</v>
      </c>
      <c r="AR1332" s="4" t="s">
        <v>4634</v>
      </c>
    </row>
    <row r="1333">
      <c r="A1333" s="3" t="s">
        <v>11579</v>
      </c>
      <c r="B1333" s="3" t="s">
        <v>11580</v>
      </c>
      <c r="C1333" s="3" t="s">
        <v>11570</v>
      </c>
      <c r="D1333" s="3" t="s">
        <v>9900</v>
      </c>
      <c r="E1333" s="4" t="s">
        <v>11557</v>
      </c>
      <c r="F1333" s="3" t="s">
        <v>11556</v>
      </c>
      <c r="G1333" s="4" t="s">
        <v>11581</v>
      </c>
      <c r="H1333" s="4" t="s">
        <v>11582</v>
      </c>
      <c r="I1333" s="3" t="s">
        <v>49</v>
      </c>
      <c r="J1333" s="3" t="s">
        <v>126</v>
      </c>
      <c r="K1333" s="3" t="s">
        <v>45</v>
      </c>
      <c r="L1333" s="3" t="s">
        <v>45</v>
      </c>
      <c r="M1333" s="3" t="s">
        <v>45</v>
      </c>
      <c r="N1333" s="3" t="s">
        <v>45</v>
      </c>
      <c r="O1333" s="3" t="s">
        <v>74</v>
      </c>
      <c r="P1333" s="3" t="s">
        <v>45</v>
      </c>
      <c r="Q1333" s="3" t="s">
        <v>45</v>
      </c>
      <c r="R1333" s="3" t="s">
        <v>45</v>
      </c>
      <c r="S1333" s="3" t="s">
        <v>45</v>
      </c>
      <c r="T1333" s="3" t="s">
        <v>45</v>
      </c>
      <c r="U1333" s="3" t="s">
        <v>45</v>
      </c>
      <c r="V1333" s="3" t="s">
        <v>45</v>
      </c>
      <c r="W1333" s="4" t="s">
        <v>6085</v>
      </c>
      <c r="X1333" s="3" t="s">
        <v>45</v>
      </c>
      <c r="Y1333" s="3" t="s">
        <v>45</v>
      </c>
      <c r="Z1333" s="3" t="s">
        <v>74</v>
      </c>
      <c r="AA1333" s="3" t="s">
        <v>45</v>
      </c>
      <c r="AB1333" s="3" t="s">
        <v>45</v>
      </c>
      <c r="AC1333" s="3" t="s">
        <v>45</v>
      </c>
      <c r="AD1333" s="3" t="s">
        <v>45</v>
      </c>
      <c r="AE1333" s="3" t="s">
        <v>45</v>
      </c>
      <c r="AF1333" s="3" t="s">
        <v>45</v>
      </c>
      <c r="AG1333" s="3" t="s">
        <v>45</v>
      </c>
      <c r="AH1333" s="3" t="s">
        <v>57</v>
      </c>
      <c r="AI1333" s="5" t="s">
        <v>11583</v>
      </c>
      <c r="AJ1333" s="3" t="s">
        <v>45</v>
      </c>
      <c r="AK1333" s="3" t="s">
        <v>45</v>
      </c>
      <c r="AL1333" s="3" t="s">
        <v>45</v>
      </c>
      <c r="AM1333" s="3" t="s">
        <v>45</v>
      </c>
      <c r="AN1333" s="3" t="s">
        <v>45</v>
      </c>
      <c r="AO1333" s="3" t="s">
        <v>45</v>
      </c>
      <c r="AP1333" s="3" t="s">
        <v>45</v>
      </c>
      <c r="AQ1333" s="4" t="s">
        <v>3419</v>
      </c>
      <c r="AR1333" s="4" t="s">
        <v>3419</v>
      </c>
    </row>
    <row r="1334">
      <c r="A1334" s="3" t="s">
        <v>1937</v>
      </c>
      <c r="B1334" s="3" t="s">
        <v>11584</v>
      </c>
      <c r="C1334" s="3" t="s">
        <v>11585</v>
      </c>
      <c r="D1334" s="3" t="s">
        <v>9900</v>
      </c>
      <c r="E1334" s="4" t="s">
        <v>11586</v>
      </c>
      <c r="F1334" s="3" t="s">
        <v>11587</v>
      </c>
      <c r="G1334" s="4" t="s">
        <v>11588</v>
      </c>
      <c r="H1334" s="4" t="s">
        <v>11589</v>
      </c>
      <c r="I1334" s="3" t="s">
        <v>436</v>
      </c>
      <c r="J1334" s="3" t="s">
        <v>126</v>
      </c>
      <c r="K1334" s="3" t="s">
        <v>45</v>
      </c>
      <c r="L1334" s="3" t="s">
        <v>45</v>
      </c>
      <c r="M1334" s="3" t="s">
        <v>45</v>
      </c>
      <c r="N1334" s="3" t="s">
        <v>45</v>
      </c>
      <c r="O1334" s="3" t="s">
        <v>74</v>
      </c>
      <c r="P1334" s="3" t="s">
        <v>45</v>
      </c>
      <c r="Q1334" s="3" t="s">
        <v>45</v>
      </c>
      <c r="R1334" s="3" t="s">
        <v>45</v>
      </c>
      <c r="S1334" s="4" t="s">
        <v>835</v>
      </c>
      <c r="T1334" s="3" t="s">
        <v>45</v>
      </c>
      <c r="U1334" s="3" t="s">
        <v>45</v>
      </c>
      <c r="V1334" s="4" t="s">
        <v>3357</v>
      </c>
      <c r="W1334" s="4" t="s">
        <v>1763</v>
      </c>
      <c r="X1334" s="3" t="s">
        <v>45</v>
      </c>
      <c r="Y1334" s="3" t="s">
        <v>45</v>
      </c>
      <c r="Z1334" s="3" t="s">
        <v>74</v>
      </c>
      <c r="AA1334" s="3" t="s">
        <v>45</v>
      </c>
      <c r="AB1334" s="3" t="s">
        <v>45</v>
      </c>
      <c r="AC1334" s="3" t="s">
        <v>45</v>
      </c>
      <c r="AD1334" s="3" t="s">
        <v>45</v>
      </c>
      <c r="AE1334" s="3" t="s">
        <v>45</v>
      </c>
      <c r="AF1334" s="3" t="s">
        <v>45</v>
      </c>
      <c r="AG1334" s="3" t="s">
        <v>11590</v>
      </c>
      <c r="AH1334" s="3" t="s">
        <v>57</v>
      </c>
      <c r="AI1334" s="5" t="s">
        <v>11591</v>
      </c>
      <c r="AJ1334" s="5" t="s">
        <v>11592</v>
      </c>
      <c r="AK1334" s="5" t="s">
        <v>11593</v>
      </c>
      <c r="AL1334" s="3" t="s">
        <v>45</v>
      </c>
      <c r="AM1334" s="3" t="s">
        <v>45</v>
      </c>
      <c r="AN1334" s="3" t="s">
        <v>45</v>
      </c>
      <c r="AO1334" s="3" t="s">
        <v>45</v>
      </c>
      <c r="AP1334" s="3" t="s">
        <v>45</v>
      </c>
      <c r="AQ1334" s="4" t="s">
        <v>3419</v>
      </c>
      <c r="AR1334" s="4" t="s">
        <v>1203</v>
      </c>
    </row>
    <row r="1335">
      <c r="A1335" s="3" t="s">
        <v>11594</v>
      </c>
      <c r="B1335" s="3" t="s">
        <v>11595</v>
      </c>
      <c r="C1335" s="3" t="s">
        <v>11596</v>
      </c>
      <c r="D1335" s="3" t="s">
        <v>9900</v>
      </c>
      <c r="E1335" s="4" t="s">
        <v>11192</v>
      </c>
      <c r="F1335" s="3" t="s">
        <v>10524</v>
      </c>
      <c r="G1335" s="4" t="s">
        <v>11597</v>
      </c>
      <c r="H1335" s="4" t="s">
        <v>11598</v>
      </c>
      <c r="I1335" s="3" t="s">
        <v>49</v>
      </c>
      <c r="J1335" s="3" t="s">
        <v>126</v>
      </c>
      <c r="K1335" s="3" t="s">
        <v>45</v>
      </c>
      <c r="L1335" s="3" t="s">
        <v>45</v>
      </c>
      <c r="M1335" s="3" t="s">
        <v>45</v>
      </c>
      <c r="N1335" s="3" t="s">
        <v>45</v>
      </c>
      <c r="O1335" s="3" t="s">
        <v>74</v>
      </c>
      <c r="P1335" s="3" t="s">
        <v>45</v>
      </c>
      <c r="Q1335" s="3" t="s">
        <v>45</v>
      </c>
      <c r="R1335" s="3" t="s">
        <v>45</v>
      </c>
      <c r="S1335" s="3" t="s">
        <v>45</v>
      </c>
      <c r="T1335" s="3" t="s">
        <v>45</v>
      </c>
      <c r="U1335" s="3" t="s">
        <v>45</v>
      </c>
      <c r="V1335" s="4" t="s">
        <v>11599</v>
      </c>
      <c r="W1335" s="4" t="s">
        <v>861</v>
      </c>
      <c r="X1335" s="3" t="s">
        <v>45</v>
      </c>
      <c r="Y1335" s="3" t="s">
        <v>45</v>
      </c>
      <c r="Z1335" s="3" t="s">
        <v>74</v>
      </c>
      <c r="AA1335" s="3" t="s">
        <v>45</v>
      </c>
      <c r="AB1335" s="3" t="s">
        <v>45</v>
      </c>
      <c r="AC1335" s="3" t="s">
        <v>45</v>
      </c>
      <c r="AD1335" s="3" t="s">
        <v>45</v>
      </c>
      <c r="AE1335" s="3" t="s">
        <v>45</v>
      </c>
      <c r="AF1335" s="3" t="s">
        <v>45</v>
      </c>
      <c r="AG1335" s="3" t="s">
        <v>45</v>
      </c>
      <c r="AH1335" s="3" t="s">
        <v>9906</v>
      </c>
      <c r="AI1335" s="5" t="s">
        <v>11600</v>
      </c>
      <c r="AJ1335" s="5" t="s">
        <v>11601</v>
      </c>
      <c r="AK1335" s="3" t="s">
        <v>45</v>
      </c>
      <c r="AL1335" s="3" t="s">
        <v>45</v>
      </c>
      <c r="AM1335" s="3" t="s">
        <v>45</v>
      </c>
      <c r="AN1335" s="3" t="s">
        <v>45</v>
      </c>
      <c r="AO1335" s="3" t="s">
        <v>45</v>
      </c>
      <c r="AP1335" s="3" t="s">
        <v>45</v>
      </c>
      <c r="AQ1335" s="4" t="s">
        <v>10577</v>
      </c>
      <c r="AR1335" s="4" t="s">
        <v>9908</v>
      </c>
    </row>
    <row r="1336">
      <c r="A1336" s="3" t="s">
        <v>11602</v>
      </c>
      <c r="B1336" s="3" t="s">
        <v>11603</v>
      </c>
      <c r="C1336" s="3" t="s">
        <v>11596</v>
      </c>
      <c r="D1336" s="3" t="s">
        <v>9900</v>
      </c>
      <c r="E1336" s="4" t="s">
        <v>11604</v>
      </c>
      <c r="F1336" s="3" t="s">
        <v>10524</v>
      </c>
      <c r="G1336" s="4" t="s">
        <v>11605</v>
      </c>
      <c r="H1336" s="4" t="s">
        <v>11606</v>
      </c>
      <c r="I1336" s="3" t="s">
        <v>85</v>
      </c>
      <c r="J1336" s="3" t="s">
        <v>126</v>
      </c>
      <c r="K1336" s="3" t="s">
        <v>45</v>
      </c>
      <c r="L1336" s="3" t="s">
        <v>11602</v>
      </c>
      <c r="M1336" s="3" t="s">
        <v>45</v>
      </c>
      <c r="N1336" s="3" t="s">
        <v>45</v>
      </c>
      <c r="O1336" s="3" t="s">
        <v>74</v>
      </c>
      <c r="P1336" s="3" t="s">
        <v>45</v>
      </c>
      <c r="Q1336" s="3" t="s">
        <v>45</v>
      </c>
      <c r="R1336" s="3" t="s">
        <v>45</v>
      </c>
      <c r="S1336" s="3" t="s">
        <v>45</v>
      </c>
      <c r="T1336" s="3" t="s">
        <v>45</v>
      </c>
      <c r="U1336" s="3" t="s">
        <v>45</v>
      </c>
      <c r="V1336" s="4" t="s">
        <v>11607</v>
      </c>
      <c r="W1336" s="4" t="s">
        <v>871</v>
      </c>
      <c r="X1336" s="3" t="s">
        <v>45</v>
      </c>
      <c r="Y1336" s="3" t="s">
        <v>45</v>
      </c>
      <c r="Z1336" s="3" t="s">
        <v>74</v>
      </c>
      <c r="AA1336" s="3" t="s">
        <v>45</v>
      </c>
      <c r="AB1336" s="3" t="s">
        <v>45</v>
      </c>
      <c r="AC1336" s="3" t="s">
        <v>45</v>
      </c>
      <c r="AD1336" s="3" t="s">
        <v>45</v>
      </c>
      <c r="AE1336" s="3" t="s">
        <v>45</v>
      </c>
      <c r="AF1336" s="3" t="s">
        <v>45</v>
      </c>
      <c r="AG1336" s="3" t="s">
        <v>45</v>
      </c>
      <c r="AH1336" s="3" t="s">
        <v>9906</v>
      </c>
      <c r="AI1336" s="5" t="s">
        <v>11608</v>
      </c>
      <c r="AJ1336" s="3" t="s">
        <v>45</v>
      </c>
      <c r="AK1336" s="3" t="s">
        <v>45</v>
      </c>
      <c r="AL1336" s="3" t="s">
        <v>45</v>
      </c>
      <c r="AM1336" s="3" t="s">
        <v>45</v>
      </c>
      <c r="AN1336" s="3" t="s">
        <v>45</v>
      </c>
      <c r="AO1336" s="3" t="s">
        <v>45</v>
      </c>
      <c r="AP1336" s="3" t="s">
        <v>45</v>
      </c>
      <c r="AQ1336" s="4" t="s">
        <v>9934</v>
      </c>
      <c r="AR1336" s="4" t="s">
        <v>9908</v>
      </c>
    </row>
    <row r="1337">
      <c r="A1337" s="3" t="s">
        <v>11609</v>
      </c>
      <c r="B1337" s="3" t="s">
        <v>11610</v>
      </c>
      <c r="C1337" s="3" t="s">
        <v>11596</v>
      </c>
      <c r="D1337" s="3" t="s">
        <v>9900</v>
      </c>
      <c r="E1337" s="4" t="s">
        <v>11604</v>
      </c>
      <c r="F1337" s="3" t="s">
        <v>10524</v>
      </c>
      <c r="G1337" s="4" t="s">
        <v>11611</v>
      </c>
      <c r="H1337" s="4" t="s">
        <v>11612</v>
      </c>
      <c r="I1337" s="3" t="s">
        <v>49</v>
      </c>
      <c r="J1337" s="3" t="s">
        <v>126</v>
      </c>
      <c r="K1337" s="3" t="s">
        <v>45</v>
      </c>
      <c r="L1337" s="3" t="s">
        <v>11613</v>
      </c>
      <c r="M1337" s="3" t="s">
        <v>45</v>
      </c>
      <c r="N1337" s="3" t="s">
        <v>45</v>
      </c>
      <c r="O1337" s="3" t="s">
        <v>74</v>
      </c>
      <c r="P1337" s="3" t="s">
        <v>45</v>
      </c>
      <c r="Q1337" s="3" t="s">
        <v>45</v>
      </c>
      <c r="R1337" s="3" t="s">
        <v>45</v>
      </c>
      <c r="S1337" s="3" t="s">
        <v>45</v>
      </c>
      <c r="T1337" s="3" t="s">
        <v>45</v>
      </c>
      <c r="U1337" s="3" t="s">
        <v>45</v>
      </c>
      <c r="V1337" s="4" t="s">
        <v>11614</v>
      </c>
      <c r="W1337" s="4" t="s">
        <v>471</v>
      </c>
      <c r="X1337" s="3" t="s">
        <v>45</v>
      </c>
      <c r="Y1337" s="3" t="s">
        <v>45</v>
      </c>
      <c r="Z1337" s="3" t="s">
        <v>74</v>
      </c>
      <c r="AA1337" s="3" t="s">
        <v>45</v>
      </c>
      <c r="AB1337" s="3" t="s">
        <v>45</v>
      </c>
      <c r="AC1337" s="3" t="s">
        <v>45</v>
      </c>
      <c r="AD1337" s="3" t="s">
        <v>45</v>
      </c>
      <c r="AE1337" s="3" t="s">
        <v>45</v>
      </c>
      <c r="AF1337" s="3" t="s">
        <v>45</v>
      </c>
      <c r="AG1337" s="3" t="s">
        <v>45</v>
      </c>
      <c r="AH1337" s="3" t="s">
        <v>9906</v>
      </c>
      <c r="AI1337" s="5" t="s">
        <v>11615</v>
      </c>
      <c r="AJ1337" s="5" t="s">
        <v>11615</v>
      </c>
      <c r="AK1337" s="3" t="s">
        <v>45</v>
      </c>
      <c r="AL1337" s="3" t="s">
        <v>45</v>
      </c>
      <c r="AM1337" s="3" t="s">
        <v>45</v>
      </c>
      <c r="AN1337" s="3" t="s">
        <v>45</v>
      </c>
      <c r="AO1337" s="3" t="s">
        <v>45</v>
      </c>
      <c r="AP1337" s="3" t="s">
        <v>45</v>
      </c>
      <c r="AQ1337" s="4" t="s">
        <v>9934</v>
      </c>
      <c r="AR1337" s="4" t="s">
        <v>9908</v>
      </c>
    </row>
    <row r="1338">
      <c r="A1338" s="3" t="s">
        <v>11616</v>
      </c>
      <c r="B1338" s="3" t="s">
        <v>11617</v>
      </c>
      <c r="C1338" s="3" t="s">
        <v>11596</v>
      </c>
      <c r="D1338" s="3" t="s">
        <v>9900</v>
      </c>
      <c r="E1338" s="4" t="s">
        <v>11604</v>
      </c>
      <c r="F1338" s="3" t="s">
        <v>10524</v>
      </c>
      <c r="G1338" s="4" t="s">
        <v>11618</v>
      </c>
      <c r="H1338" s="4" t="s">
        <v>11619</v>
      </c>
      <c r="I1338" s="3" t="s">
        <v>49</v>
      </c>
      <c r="J1338" s="3" t="s">
        <v>126</v>
      </c>
      <c r="K1338" s="3" t="s">
        <v>45</v>
      </c>
      <c r="L1338" s="3" t="s">
        <v>11620</v>
      </c>
      <c r="M1338" s="3" t="s">
        <v>45</v>
      </c>
      <c r="N1338" s="3" t="s">
        <v>45</v>
      </c>
      <c r="O1338" s="3" t="s">
        <v>74</v>
      </c>
      <c r="P1338" s="3" t="s">
        <v>45</v>
      </c>
      <c r="Q1338" s="3" t="s">
        <v>45</v>
      </c>
      <c r="R1338" s="3" t="s">
        <v>45</v>
      </c>
      <c r="S1338" s="3" t="s">
        <v>45</v>
      </c>
      <c r="T1338" s="3" t="s">
        <v>45</v>
      </c>
      <c r="U1338" s="3" t="s">
        <v>45</v>
      </c>
      <c r="V1338" s="3" t="s">
        <v>45</v>
      </c>
      <c r="W1338" s="4" t="s">
        <v>1872</v>
      </c>
      <c r="X1338" s="3" t="s">
        <v>45</v>
      </c>
      <c r="Y1338" s="3" t="s">
        <v>45</v>
      </c>
      <c r="Z1338" s="3" t="s">
        <v>74</v>
      </c>
      <c r="AA1338" s="3" t="s">
        <v>45</v>
      </c>
      <c r="AB1338" s="3" t="s">
        <v>45</v>
      </c>
      <c r="AC1338" s="3" t="s">
        <v>45</v>
      </c>
      <c r="AD1338" s="3" t="s">
        <v>45</v>
      </c>
      <c r="AE1338" s="3" t="s">
        <v>45</v>
      </c>
      <c r="AF1338" s="3" t="s">
        <v>45</v>
      </c>
      <c r="AG1338" s="3" t="s">
        <v>45</v>
      </c>
      <c r="AH1338" s="3" t="s">
        <v>9906</v>
      </c>
      <c r="AI1338" s="5" t="s">
        <v>11621</v>
      </c>
      <c r="AJ1338" s="3" t="s">
        <v>45</v>
      </c>
      <c r="AK1338" s="3" t="s">
        <v>45</v>
      </c>
      <c r="AL1338" s="3" t="s">
        <v>45</v>
      </c>
      <c r="AM1338" s="3" t="s">
        <v>45</v>
      </c>
      <c r="AN1338" s="3" t="s">
        <v>45</v>
      </c>
      <c r="AO1338" s="3" t="s">
        <v>45</v>
      </c>
      <c r="AP1338" s="3" t="s">
        <v>45</v>
      </c>
      <c r="AQ1338" s="4" t="s">
        <v>9934</v>
      </c>
      <c r="AR1338" s="4" t="s">
        <v>9908</v>
      </c>
    </row>
    <row r="1339">
      <c r="A1339" s="3" t="s">
        <v>11622</v>
      </c>
      <c r="B1339" s="3" t="s">
        <v>11623</v>
      </c>
      <c r="C1339" s="3" t="s">
        <v>11596</v>
      </c>
      <c r="D1339" s="3" t="s">
        <v>9900</v>
      </c>
      <c r="E1339" s="4" t="s">
        <v>11604</v>
      </c>
      <c r="F1339" s="3" t="s">
        <v>10524</v>
      </c>
      <c r="G1339" s="4" t="s">
        <v>11624</v>
      </c>
      <c r="H1339" s="4" t="s">
        <v>11625</v>
      </c>
      <c r="I1339" s="3" t="s">
        <v>49</v>
      </c>
      <c r="J1339" s="3" t="s">
        <v>126</v>
      </c>
      <c r="K1339" s="3" t="s">
        <v>45</v>
      </c>
      <c r="L1339" s="3" t="s">
        <v>11626</v>
      </c>
      <c r="M1339" s="3" t="s">
        <v>45</v>
      </c>
      <c r="N1339" s="3" t="s">
        <v>45</v>
      </c>
      <c r="O1339" s="3" t="s">
        <v>74</v>
      </c>
      <c r="P1339" s="3" t="s">
        <v>45</v>
      </c>
      <c r="Q1339" s="3" t="s">
        <v>45</v>
      </c>
      <c r="R1339" s="3" t="s">
        <v>45</v>
      </c>
      <c r="S1339" s="3" t="s">
        <v>45</v>
      </c>
      <c r="T1339" s="3" t="s">
        <v>45</v>
      </c>
      <c r="U1339" s="3" t="s">
        <v>45</v>
      </c>
      <c r="V1339" s="3" t="s">
        <v>45</v>
      </c>
      <c r="W1339" s="4" t="s">
        <v>472</v>
      </c>
      <c r="X1339" s="3" t="s">
        <v>45</v>
      </c>
      <c r="Y1339" s="3" t="s">
        <v>45</v>
      </c>
      <c r="Z1339" s="3" t="s">
        <v>74</v>
      </c>
      <c r="AA1339" s="3" t="s">
        <v>45</v>
      </c>
      <c r="AB1339" s="3" t="s">
        <v>45</v>
      </c>
      <c r="AC1339" s="3" t="s">
        <v>45</v>
      </c>
      <c r="AD1339" s="3" t="s">
        <v>45</v>
      </c>
      <c r="AE1339" s="3" t="s">
        <v>45</v>
      </c>
      <c r="AF1339" s="3" t="s">
        <v>45</v>
      </c>
      <c r="AG1339" s="3" t="s">
        <v>45</v>
      </c>
      <c r="AH1339" s="3" t="s">
        <v>9906</v>
      </c>
      <c r="AI1339" s="5" t="s">
        <v>11627</v>
      </c>
      <c r="AJ1339" s="5" t="s">
        <v>11627</v>
      </c>
      <c r="AK1339" s="3" t="s">
        <v>45</v>
      </c>
      <c r="AL1339" s="3" t="s">
        <v>45</v>
      </c>
      <c r="AM1339" s="3" t="s">
        <v>45</v>
      </c>
      <c r="AN1339" s="3" t="s">
        <v>45</v>
      </c>
      <c r="AO1339" s="3" t="s">
        <v>45</v>
      </c>
      <c r="AP1339" s="3" t="s">
        <v>45</v>
      </c>
      <c r="AQ1339" s="4" t="s">
        <v>9934</v>
      </c>
      <c r="AR1339" s="4" t="s">
        <v>9908</v>
      </c>
    </row>
    <row r="1340">
      <c r="A1340" s="3" t="s">
        <v>11628</v>
      </c>
      <c r="B1340" s="3" t="s">
        <v>11629</v>
      </c>
      <c r="C1340" s="3" t="s">
        <v>11596</v>
      </c>
      <c r="D1340" s="3" t="s">
        <v>9900</v>
      </c>
      <c r="E1340" s="4" t="s">
        <v>11192</v>
      </c>
      <c r="F1340" s="3" t="s">
        <v>10524</v>
      </c>
      <c r="G1340" s="4" t="s">
        <v>11630</v>
      </c>
      <c r="H1340" s="4" t="s">
        <v>11631</v>
      </c>
      <c r="I1340" s="3" t="s">
        <v>49</v>
      </c>
      <c r="J1340" s="3" t="s">
        <v>126</v>
      </c>
      <c r="K1340" s="3" t="s">
        <v>45</v>
      </c>
      <c r="L1340" s="3" t="s">
        <v>11632</v>
      </c>
      <c r="M1340" s="3" t="s">
        <v>45</v>
      </c>
      <c r="N1340" s="3" t="s">
        <v>45</v>
      </c>
      <c r="O1340" s="3" t="s">
        <v>74</v>
      </c>
      <c r="P1340" s="3" t="s">
        <v>45</v>
      </c>
      <c r="Q1340" s="3" t="s">
        <v>45</v>
      </c>
      <c r="R1340" s="3" t="s">
        <v>45</v>
      </c>
      <c r="S1340" s="3" t="s">
        <v>45</v>
      </c>
      <c r="T1340" s="3" t="s">
        <v>45</v>
      </c>
      <c r="U1340" s="3" t="s">
        <v>45</v>
      </c>
      <c r="V1340" s="4" t="s">
        <v>11633</v>
      </c>
      <c r="W1340" s="4" t="s">
        <v>871</v>
      </c>
      <c r="X1340" s="3" t="s">
        <v>45</v>
      </c>
      <c r="Y1340" s="3" t="s">
        <v>45</v>
      </c>
      <c r="Z1340" s="3" t="s">
        <v>74</v>
      </c>
      <c r="AA1340" s="3" t="s">
        <v>45</v>
      </c>
      <c r="AB1340" s="3" t="s">
        <v>45</v>
      </c>
      <c r="AC1340" s="3" t="s">
        <v>45</v>
      </c>
      <c r="AD1340" s="3" t="s">
        <v>45</v>
      </c>
      <c r="AE1340" s="3" t="s">
        <v>45</v>
      </c>
      <c r="AF1340" s="3" t="s">
        <v>45</v>
      </c>
      <c r="AG1340" s="3" t="s">
        <v>45</v>
      </c>
      <c r="AH1340" s="3" t="s">
        <v>9906</v>
      </c>
      <c r="AI1340" s="5" t="s">
        <v>11634</v>
      </c>
      <c r="AJ1340" s="5" t="s">
        <v>11635</v>
      </c>
      <c r="AK1340" s="3" t="s">
        <v>45</v>
      </c>
      <c r="AL1340" s="3" t="s">
        <v>45</v>
      </c>
      <c r="AM1340" s="3" t="s">
        <v>45</v>
      </c>
      <c r="AN1340" s="3" t="s">
        <v>45</v>
      </c>
      <c r="AO1340" s="3" t="s">
        <v>45</v>
      </c>
      <c r="AP1340" s="3" t="s">
        <v>45</v>
      </c>
      <c r="AQ1340" s="4" t="s">
        <v>9934</v>
      </c>
      <c r="AR1340" s="4" t="s">
        <v>9908</v>
      </c>
    </row>
    <row r="1341">
      <c r="A1341" s="3" t="s">
        <v>3611</v>
      </c>
      <c r="B1341" s="3" t="s">
        <v>11636</v>
      </c>
      <c r="C1341" s="3" t="s">
        <v>11596</v>
      </c>
      <c r="D1341" s="3" t="s">
        <v>9900</v>
      </c>
      <c r="E1341" s="4" t="s">
        <v>11192</v>
      </c>
      <c r="F1341" s="3" t="s">
        <v>10524</v>
      </c>
      <c r="G1341" s="4" t="s">
        <v>11637</v>
      </c>
      <c r="H1341" s="4" t="s">
        <v>11638</v>
      </c>
      <c r="I1341" s="3" t="s">
        <v>49</v>
      </c>
      <c r="J1341" s="3" t="s">
        <v>126</v>
      </c>
      <c r="K1341" s="3" t="s">
        <v>45</v>
      </c>
      <c r="L1341" s="3" t="s">
        <v>479</v>
      </c>
      <c r="M1341" s="3" t="s">
        <v>45</v>
      </c>
      <c r="N1341" s="3" t="s">
        <v>45</v>
      </c>
      <c r="O1341" s="3" t="s">
        <v>74</v>
      </c>
      <c r="P1341" s="3" t="s">
        <v>45</v>
      </c>
      <c r="Q1341" s="3" t="s">
        <v>45</v>
      </c>
      <c r="R1341" s="3" t="s">
        <v>45</v>
      </c>
      <c r="S1341" s="3" t="s">
        <v>45</v>
      </c>
      <c r="T1341" s="3" t="s">
        <v>45</v>
      </c>
      <c r="U1341" s="3" t="s">
        <v>45</v>
      </c>
      <c r="V1341" s="3" t="s">
        <v>45</v>
      </c>
      <c r="W1341" s="4" t="s">
        <v>956</v>
      </c>
      <c r="X1341" s="3" t="s">
        <v>45</v>
      </c>
      <c r="Y1341" s="3" t="s">
        <v>45</v>
      </c>
      <c r="Z1341" s="3" t="s">
        <v>74</v>
      </c>
      <c r="AA1341" s="3" t="s">
        <v>45</v>
      </c>
      <c r="AB1341" s="3" t="s">
        <v>45</v>
      </c>
      <c r="AC1341" s="3" t="s">
        <v>45</v>
      </c>
      <c r="AD1341" s="3" t="s">
        <v>45</v>
      </c>
      <c r="AE1341" s="3" t="s">
        <v>45</v>
      </c>
      <c r="AF1341" s="3" t="s">
        <v>45</v>
      </c>
      <c r="AG1341" s="3" t="s">
        <v>45</v>
      </c>
      <c r="AH1341" s="3" t="s">
        <v>9906</v>
      </c>
      <c r="AI1341" s="5" t="s">
        <v>11639</v>
      </c>
      <c r="AJ1341" s="5" t="s">
        <v>11640</v>
      </c>
      <c r="AK1341" s="3" t="s">
        <v>45</v>
      </c>
      <c r="AL1341" s="3" t="s">
        <v>45</v>
      </c>
      <c r="AM1341" s="3" t="s">
        <v>45</v>
      </c>
      <c r="AN1341" s="3" t="s">
        <v>45</v>
      </c>
      <c r="AO1341" s="3" t="s">
        <v>45</v>
      </c>
      <c r="AP1341" s="3" t="s">
        <v>45</v>
      </c>
      <c r="AQ1341" s="4" t="s">
        <v>9934</v>
      </c>
      <c r="AR1341" s="4" t="s">
        <v>9908</v>
      </c>
    </row>
    <row r="1342">
      <c r="A1342" s="3" t="s">
        <v>3611</v>
      </c>
      <c r="B1342" s="3" t="s">
        <v>11641</v>
      </c>
      <c r="C1342" s="3" t="s">
        <v>11596</v>
      </c>
      <c r="D1342" s="3" t="s">
        <v>9900</v>
      </c>
      <c r="E1342" s="4" t="s">
        <v>11192</v>
      </c>
      <c r="F1342" s="3" t="s">
        <v>10524</v>
      </c>
      <c r="G1342" s="4" t="s">
        <v>11642</v>
      </c>
      <c r="H1342" s="4" t="s">
        <v>11643</v>
      </c>
      <c r="I1342" s="3" t="s">
        <v>49</v>
      </c>
      <c r="J1342" s="3" t="s">
        <v>126</v>
      </c>
      <c r="K1342" s="3" t="s">
        <v>45</v>
      </c>
      <c r="L1342" s="3" t="s">
        <v>479</v>
      </c>
      <c r="M1342" s="3" t="s">
        <v>45</v>
      </c>
      <c r="N1342" s="3" t="s">
        <v>45</v>
      </c>
      <c r="O1342" s="3" t="s">
        <v>74</v>
      </c>
      <c r="P1342" s="3" t="s">
        <v>45</v>
      </c>
      <c r="Q1342" s="3" t="s">
        <v>45</v>
      </c>
      <c r="R1342" s="3" t="s">
        <v>45</v>
      </c>
      <c r="S1342" s="3" t="s">
        <v>45</v>
      </c>
      <c r="T1342" s="3" t="s">
        <v>45</v>
      </c>
      <c r="U1342" s="3" t="s">
        <v>45</v>
      </c>
      <c r="V1342" s="3" t="s">
        <v>45</v>
      </c>
      <c r="W1342" s="4" t="s">
        <v>2754</v>
      </c>
      <c r="X1342" s="3" t="s">
        <v>45</v>
      </c>
      <c r="Y1342" s="3" t="s">
        <v>45</v>
      </c>
      <c r="Z1342" s="3" t="s">
        <v>74</v>
      </c>
      <c r="AA1342" s="3" t="s">
        <v>45</v>
      </c>
      <c r="AB1342" s="3" t="s">
        <v>45</v>
      </c>
      <c r="AC1342" s="3" t="s">
        <v>45</v>
      </c>
      <c r="AD1342" s="3" t="s">
        <v>45</v>
      </c>
      <c r="AE1342" s="3" t="s">
        <v>45</v>
      </c>
      <c r="AF1342" s="3" t="s">
        <v>45</v>
      </c>
      <c r="AG1342" s="3" t="s">
        <v>45</v>
      </c>
      <c r="AH1342" s="3" t="s">
        <v>9906</v>
      </c>
      <c r="AI1342" s="5" t="s">
        <v>11639</v>
      </c>
      <c r="AJ1342" s="5" t="s">
        <v>11644</v>
      </c>
      <c r="AK1342" s="3" t="s">
        <v>45</v>
      </c>
      <c r="AL1342" s="3" t="s">
        <v>45</v>
      </c>
      <c r="AM1342" s="3" t="s">
        <v>45</v>
      </c>
      <c r="AN1342" s="3" t="s">
        <v>45</v>
      </c>
      <c r="AO1342" s="3" t="s">
        <v>45</v>
      </c>
      <c r="AP1342" s="3" t="s">
        <v>45</v>
      </c>
      <c r="AQ1342" s="4" t="s">
        <v>9934</v>
      </c>
      <c r="AR1342" s="4" t="s">
        <v>9908</v>
      </c>
    </row>
    <row r="1343">
      <c r="A1343" s="3" t="s">
        <v>3611</v>
      </c>
      <c r="B1343" s="3" t="s">
        <v>11645</v>
      </c>
      <c r="C1343" s="3" t="s">
        <v>11596</v>
      </c>
      <c r="D1343" s="3" t="s">
        <v>9900</v>
      </c>
      <c r="E1343" s="4" t="s">
        <v>11192</v>
      </c>
      <c r="F1343" s="3" t="s">
        <v>10524</v>
      </c>
      <c r="G1343" s="4" t="s">
        <v>11646</v>
      </c>
      <c r="H1343" s="4" t="s">
        <v>11647</v>
      </c>
      <c r="I1343" s="3" t="s">
        <v>49</v>
      </c>
      <c r="J1343" s="3" t="s">
        <v>126</v>
      </c>
      <c r="K1343" s="3" t="s">
        <v>45</v>
      </c>
      <c r="L1343" s="3" t="s">
        <v>479</v>
      </c>
      <c r="M1343" s="3" t="s">
        <v>45</v>
      </c>
      <c r="N1343" s="3" t="s">
        <v>45</v>
      </c>
      <c r="O1343" s="3" t="s">
        <v>74</v>
      </c>
      <c r="P1343" s="3" t="s">
        <v>45</v>
      </c>
      <c r="Q1343" s="3" t="s">
        <v>45</v>
      </c>
      <c r="R1343" s="3" t="s">
        <v>45</v>
      </c>
      <c r="S1343" s="3" t="s">
        <v>45</v>
      </c>
      <c r="T1343" s="3" t="s">
        <v>45</v>
      </c>
      <c r="U1343" s="3" t="s">
        <v>45</v>
      </c>
      <c r="V1343" s="3" t="s">
        <v>45</v>
      </c>
      <c r="W1343" s="4" t="s">
        <v>52</v>
      </c>
      <c r="X1343" s="3" t="s">
        <v>45</v>
      </c>
      <c r="Y1343" s="3" t="s">
        <v>45</v>
      </c>
      <c r="Z1343" s="3" t="s">
        <v>74</v>
      </c>
      <c r="AA1343" s="3" t="s">
        <v>45</v>
      </c>
      <c r="AB1343" s="3" t="s">
        <v>45</v>
      </c>
      <c r="AC1343" s="3" t="s">
        <v>45</v>
      </c>
      <c r="AD1343" s="3" t="s">
        <v>45</v>
      </c>
      <c r="AE1343" s="3" t="s">
        <v>45</v>
      </c>
      <c r="AF1343" s="3" t="s">
        <v>45</v>
      </c>
      <c r="AG1343" s="3" t="s">
        <v>45</v>
      </c>
      <c r="AH1343" s="3" t="s">
        <v>9906</v>
      </c>
      <c r="AI1343" s="5" t="s">
        <v>11648</v>
      </c>
      <c r="AJ1343" s="3" t="s">
        <v>45</v>
      </c>
      <c r="AK1343" s="3" t="s">
        <v>45</v>
      </c>
      <c r="AL1343" s="3" t="s">
        <v>45</v>
      </c>
      <c r="AM1343" s="3" t="s">
        <v>45</v>
      </c>
      <c r="AN1343" s="3" t="s">
        <v>45</v>
      </c>
      <c r="AO1343" s="3" t="s">
        <v>45</v>
      </c>
      <c r="AP1343" s="3" t="s">
        <v>45</v>
      </c>
      <c r="AQ1343" s="4" t="s">
        <v>9934</v>
      </c>
      <c r="AR1343" s="4" t="s">
        <v>9908</v>
      </c>
    </row>
    <row r="1344">
      <c r="A1344" s="3" t="s">
        <v>3611</v>
      </c>
      <c r="B1344" s="3" t="s">
        <v>45</v>
      </c>
      <c r="C1344" s="3" t="s">
        <v>11596</v>
      </c>
      <c r="D1344" s="3" t="s">
        <v>9900</v>
      </c>
      <c r="E1344" s="4" t="s">
        <v>11604</v>
      </c>
      <c r="F1344" s="3" t="s">
        <v>10524</v>
      </c>
      <c r="G1344" s="4" t="s">
        <v>11649</v>
      </c>
      <c r="H1344" s="4" t="s">
        <v>11650</v>
      </c>
      <c r="I1344" s="3" t="s">
        <v>49</v>
      </c>
      <c r="J1344" s="3" t="s">
        <v>50</v>
      </c>
      <c r="K1344" s="3" t="s">
        <v>45</v>
      </c>
      <c r="L1344" s="3" t="s">
        <v>479</v>
      </c>
      <c r="M1344" s="3" t="s">
        <v>45</v>
      </c>
      <c r="N1344" s="3" t="s">
        <v>45</v>
      </c>
      <c r="O1344" s="3" t="s">
        <v>74</v>
      </c>
      <c r="P1344" s="3" t="s">
        <v>45</v>
      </c>
      <c r="Q1344" s="3" t="s">
        <v>45</v>
      </c>
      <c r="R1344" s="3" t="s">
        <v>45</v>
      </c>
      <c r="S1344" s="3" t="s">
        <v>45</v>
      </c>
      <c r="T1344" s="3" t="s">
        <v>45</v>
      </c>
      <c r="U1344" s="3" t="s">
        <v>45</v>
      </c>
      <c r="V1344" s="3" t="s">
        <v>45</v>
      </c>
      <c r="W1344" s="3" t="s">
        <v>45</v>
      </c>
      <c r="X1344" s="3" t="s">
        <v>45</v>
      </c>
      <c r="Y1344" s="3" t="s">
        <v>45</v>
      </c>
      <c r="Z1344" s="3" t="s">
        <v>74</v>
      </c>
      <c r="AA1344" s="3" t="s">
        <v>45</v>
      </c>
      <c r="AB1344" s="3" t="s">
        <v>45</v>
      </c>
      <c r="AC1344" s="3" t="s">
        <v>45</v>
      </c>
      <c r="AD1344" s="3" t="s">
        <v>45</v>
      </c>
      <c r="AE1344" s="3" t="s">
        <v>45</v>
      </c>
      <c r="AF1344" s="3" t="s">
        <v>45</v>
      </c>
      <c r="AG1344" s="3" t="s">
        <v>45</v>
      </c>
      <c r="AH1344" s="3" t="s">
        <v>9906</v>
      </c>
      <c r="AI1344" s="5" t="s">
        <v>11651</v>
      </c>
      <c r="AJ1344" s="3" t="s">
        <v>45</v>
      </c>
      <c r="AK1344" s="3" t="s">
        <v>45</v>
      </c>
      <c r="AL1344" s="3" t="s">
        <v>45</v>
      </c>
      <c r="AM1344" s="3" t="s">
        <v>45</v>
      </c>
      <c r="AN1344" s="3" t="s">
        <v>45</v>
      </c>
      <c r="AO1344" s="3" t="s">
        <v>45</v>
      </c>
      <c r="AP1344" s="3" t="s">
        <v>45</v>
      </c>
      <c r="AQ1344" s="4" t="s">
        <v>9934</v>
      </c>
      <c r="AR1344" s="4" t="s">
        <v>9908</v>
      </c>
    </row>
    <row r="1345">
      <c r="A1345" s="3" t="s">
        <v>11296</v>
      </c>
      <c r="B1345" s="3" t="s">
        <v>11652</v>
      </c>
      <c r="C1345" s="3" t="s">
        <v>11596</v>
      </c>
      <c r="D1345" s="3" t="s">
        <v>9900</v>
      </c>
      <c r="E1345" s="4" t="s">
        <v>11192</v>
      </c>
      <c r="F1345" s="3" t="s">
        <v>10524</v>
      </c>
      <c r="G1345" s="4" t="s">
        <v>11653</v>
      </c>
      <c r="H1345" s="4" t="s">
        <v>11654</v>
      </c>
      <c r="I1345" s="3" t="s">
        <v>85</v>
      </c>
      <c r="J1345" s="3" t="s">
        <v>126</v>
      </c>
      <c r="K1345" s="3" t="s">
        <v>45</v>
      </c>
      <c r="L1345" s="3" t="s">
        <v>479</v>
      </c>
      <c r="M1345" s="3" t="s">
        <v>45</v>
      </c>
      <c r="N1345" s="3" t="s">
        <v>45</v>
      </c>
      <c r="O1345" s="3" t="s">
        <v>74</v>
      </c>
      <c r="P1345" s="3" t="s">
        <v>45</v>
      </c>
      <c r="Q1345" s="3" t="s">
        <v>45</v>
      </c>
      <c r="R1345" s="3" t="s">
        <v>45</v>
      </c>
      <c r="S1345" s="3" t="s">
        <v>45</v>
      </c>
      <c r="T1345" s="3" t="s">
        <v>45</v>
      </c>
      <c r="U1345" s="3" t="s">
        <v>45</v>
      </c>
      <c r="V1345" s="4" t="s">
        <v>11655</v>
      </c>
      <c r="W1345" s="4" t="s">
        <v>1610</v>
      </c>
      <c r="X1345" s="3" t="s">
        <v>45</v>
      </c>
      <c r="Y1345" s="3" t="s">
        <v>45</v>
      </c>
      <c r="Z1345" s="3" t="s">
        <v>74</v>
      </c>
      <c r="AA1345" s="3" t="s">
        <v>45</v>
      </c>
      <c r="AB1345" s="3" t="s">
        <v>45</v>
      </c>
      <c r="AC1345" s="3" t="s">
        <v>45</v>
      </c>
      <c r="AD1345" s="3" t="s">
        <v>45</v>
      </c>
      <c r="AE1345" s="3" t="s">
        <v>45</v>
      </c>
      <c r="AF1345" s="3" t="s">
        <v>45</v>
      </c>
      <c r="AG1345" s="3" t="s">
        <v>45</v>
      </c>
      <c r="AH1345" s="3" t="s">
        <v>9906</v>
      </c>
      <c r="AI1345" s="5" t="s">
        <v>11656</v>
      </c>
      <c r="AJ1345" s="3" t="s">
        <v>45</v>
      </c>
      <c r="AK1345" s="3" t="s">
        <v>45</v>
      </c>
      <c r="AL1345" s="3" t="s">
        <v>45</v>
      </c>
      <c r="AM1345" s="3" t="s">
        <v>45</v>
      </c>
      <c r="AN1345" s="3" t="s">
        <v>45</v>
      </c>
      <c r="AO1345" s="3" t="s">
        <v>45</v>
      </c>
      <c r="AP1345" s="3" t="s">
        <v>45</v>
      </c>
      <c r="AQ1345" s="4" t="s">
        <v>9934</v>
      </c>
      <c r="AR1345" s="4" t="s">
        <v>9908</v>
      </c>
    </row>
    <row r="1346">
      <c r="A1346" s="3" t="s">
        <v>11296</v>
      </c>
      <c r="B1346" s="3" t="s">
        <v>11657</v>
      </c>
      <c r="C1346" s="3" t="s">
        <v>11596</v>
      </c>
      <c r="D1346" s="3" t="s">
        <v>9900</v>
      </c>
      <c r="E1346" s="4" t="s">
        <v>11192</v>
      </c>
      <c r="F1346" s="3" t="s">
        <v>10524</v>
      </c>
      <c r="G1346" s="4" t="s">
        <v>11658</v>
      </c>
      <c r="H1346" s="4" t="s">
        <v>11659</v>
      </c>
      <c r="I1346" s="3" t="s">
        <v>85</v>
      </c>
      <c r="J1346" s="3" t="s">
        <v>126</v>
      </c>
      <c r="K1346" s="3" t="s">
        <v>45</v>
      </c>
      <c r="L1346" s="3" t="s">
        <v>479</v>
      </c>
      <c r="M1346" s="3" t="s">
        <v>45</v>
      </c>
      <c r="N1346" s="3" t="s">
        <v>45</v>
      </c>
      <c r="O1346" s="3" t="s">
        <v>74</v>
      </c>
      <c r="P1346" s="3" t="s">
        <v>45</v>
      </c>
      <c r="Q1346" s="3" t="s">
        <v>45</v>
      </c>
      <c r="R1346" s="3" t="s">
        <v>45</v>
      </c>
      <c r="S1346" s="3" t="s">
        <v>45</v>
      </c>
      <c r="T1346" s="3" t="s">
        <v>45</v>
      </c>
      <c r="U1346" s="3" t="s">
        <v>45</v>
      </c>
      <c r="V1346" s="4" t="s">
        <v>11660</v>
      </c>
      <c r="W1346" s="4" t="s">
        <v>52</v>
      </c>
      <c r="X1346" s="3" t="s">
        <v>45</v>
      </c>
      <c r="Y1346" s="3" t="s">
        <v>45</v>
      </c>
      <c r="Z1346" s="3" t="s">
        <v>74</v>
      </c>
      <c r="AA1346" s="3" t="s">
        <v>45</v>
      </c>
      <c r="AB1346" s="3" t="s">
        <v>45</v>
      </c>
      <c r="AC1346" s="3" t="s">
        <v>45</v>
      </c>
      <c r="AD1346" s="3" t="s">
        <v>45</v>
      </c>
      <c r="AE1346" s="3" t="s">
        <v>45</v>
      </c>
      <c r="AF1346" s="3" t="s">
        <v>45</v>
      </c>
      <c r="AG1346" s="3" t="s">
        <v>45</v>
      </c>
      <c r="AH1346" s="3" t="s">
        <v>9906</v>
      </c>
      <c r="AI1346" s="5" t="s">
        <v>11661</v>
      </c>
      <c r="AJ1346" s="3" t="s">
        <v>45</v>
      </c>
      <c r="AK1346" s="3" t="s">
        <v>45</v>
      </c>
      <c r="AL1346" s="3" t="s">
        <v>45</v>
      </c>
      <c r="AM1346" s="3" t="s">
        <v>45</v>
      </c>
      <c r="AN1346" s="3" t="s">
        <v>45</v>
      </c>
      <c r="AO1346" s="3" t="s">
        <v>45</v>
      </c>
      <c r="AP1346" s="3" t="s">
        <v>45</v>
      </c>
      <c r="AQ1346" s="4" t="s">
        <v>9934</v>
      </c>
      <c r="AR1346" s="4" t="s">
        <v>9908</v>
      </c>
    </row>
    <row r="1347">
      <c r="A1347" s="3" t="s">
        <v>11296</v>
      </c>
      <c r="B1347" s="3" t="s">
        <v>11662</v>
      </c>
      <c r="C1347" s="3" t="s">
        <v>11596</v>
      </c>
      <c r="D1347" s="3" t="s">
        <v>9900</v>
      </c>
      <c r="E1347" s="4" t="s">
        <v>11604</v>
      </c>
      <c r="F1347" s="3" t="s">
        <v>10524</v>
      </c>
      <c r="G1347" s="4" t="s">
        <v>11663</v>
      </c>
      <c r="H1347" s="4" t="s">
        <v>11664</v>
      </c>
      <c r="I1347" s="3" t="s">
        <v>85</v>
      </c>
      <c r="J1347" s="3" t="s">
        <v>126</v>
      </c>
      <c r="K1347" s="3" t="s">
        <v>45</v>
      </c>
      <c r="L1347" s="3" t="s">
        <v>479</v>
      </c>
      <c r="M1347" s="3" t="s">
        <v>45</v>
      </c>
      <c r="N1347" s="3" t="s">
        <v>45</v>
      </c>
      <c r="O1347" s="3" t="s">
        <v>74</v>
      </c>
      <c r="P1347" s="3" t="s">
        <v>45</v>
      </c>
      <c r="Q1347" s="3" t="s">
        <v>45</v>
      </c>
      <c r="R1347" s="3" t="s">
        <v>45</v>
      </c>
      <c r="S1347" s="3" t="s">
        <v>45</v>
      </c>
      <c r="T1347" s="3" t="s">
        <v>45</v>
      </c>
      <c r="U1347" s="3" t="s">
        <v>45</v>
      </c>
      <c r="V1347" s="3" t="s">
        <v>45</v>
      </c>
      <c r="W1347" s="4" t="s">
        <v>10545</v>
      </c>
      <c r="X1347" s="3" t="s">
        <v>45</v>
      </c>
      <c r="Y1347" s="3" t="s">
        <v>45</v>
      </c>
      <c r="Z1347" s="3" t="s">
        <v>74</v>
      </c>
      <c r="AA1347" s="3" t="s">
        <v>45</v>
      </c>
      <c r="AB1347" s="3" t="s">
        <v>45</v>
      </c>
      <c r="AC1347" s="3" t="s">
        <v>45</v>
      </c>
      <c r="AD1347" s="3" t="s">
        <v>45</v>
      </c>
      <c r="AE1347" s="3" t="s">
        <v>45</v>
      </c>
      <c r="AF1347" s="3" t="s">
        <v>45</v>
      </c>
      <c r="AG1347" s="3" t="s">
        <v>45</v>
      </c>
      <c r="AH1347" s="3" t="s">
        <v>9906</v>
      </c>
      <c r="AI1347" s="5" t="s">
        <v>11665</v>
      </c>
      <c r="AJ1347" s="3" t="s">
        <v>45</v>
      </c>
      <c r="AK1347" s="3" t="s">
        <v>45</v>
      </c>
      <c r="AL1347" s="3" t="s">
        <v>45</v>
      </c>
      <c r="AM1347" s="3" t="s">
        <v>45</v>
      </c>
      <c r="AN1347" s="3" t="s">
        <v>45</v>
      </c>
      <c r="AO1347" s="3" t="s">
        <v>45</v>
      </c>
      <c r="AP1347" s="3" t="s">
        <v>45</v>
      </c>
      <c r="AQ1347" s="4" t="s">
        <v>9934</v>
      </c>
      <c r="AR1347" s="4" t="s">
        <v>9908</v>
      </c>
    </row>
    <row r="1348">
      <c r="A1348" s="3" t="s">
        <v>11296</v>
      </c>
      <c r="B1348" s="3" t="s">
        <v>11666</v>
      </c>
      <c r="C1348" s="3" t="s">
        <v>11596</v>
      </c>
      <c r="D1348" s="3" t="s">
        <v>9900</v>
      </c>
      <c r="E1348" s="4" t="s">
        <v>11192</v>
      </c>
      <c r="F1348" s="3" t="s">
        <v>10524</v>
      </c>
      <c r="G1348" s="4" t="s">
        <v>11667</v>
      </c>
      <c r="H1348" s="4" t="s">
        <v>11668</v>
      </c>
      <c r="I1348" s="3" t="s">
        <v>85</v>
      </c>
      <c r="J1348" s="3" t="s">
        <v>126</v>
      </c>
      <c r="K1348" s="3" t="s">
        <v>45</v>
      </c>
      <c r="L1348" s="3" t="s">
        <v>479</v>
      </c>
      <c r="M1348" s="3" t="s">
        <v>45</v>
      </c>
      <c r="N1348" s="3" t="s">
        <v>45</v>
      </c>
      <c r="O1348" s="3" t="s">
        <v>74</v>
      </c>
      <c r="P1348" s="3" t="s">
        <v>45</v>
      </c>
      <c r="Q1348" s="3" t="s">
        <v>45</v>
      </c>
      <c r="R1348" s="3" t="s">
        <v>45</v>
      </c>
      <c r="S1348" s="3" t="s">
        <v>45</v>
      </c>
      <c r="T1348" s="3" t="s">
        <v>45</v>
      </c>
      <c r="U1348" s="3" t="s">
        <v>45</v>
      </c>
      <c r="V1348" s="4" t="s">
        <v>11669</v>
      </c>
      <c r="W1348" s="4" t="s">
        <v>1610</v>
      </c>
      <c r="X1348" s="3" t="s">
        <v>45</v>
      </c>
      <c r="Y1348" s="3" t="s">
        <v>45</v>
      </c>
      <c r="Z1348" s="3" t="s">
        <v>74</v>
      </c>
      <c r="AA1348" s="3" t="s">
        <v>45</v>
      </c>
      <c r="AB1348" s="3" t="s">
        <v>45</v>
      </c>
      <c r="AC1348" s="3" t="s">
        <v>45</v>
      </c>
      <c r="AD1348" s="3" t="s">
        <v>45</v>
      </c>
      <c r="AE1348" s="3" t="s">
        <v>45</v>
      </c>
      <c r="AF1348" s="3" t="s">
        <v>45</v>
      </c>
      <c r="AG1348" s="3" t="s">
        <v>45</v>
      </c>
      <c r="AH1348" s="3" t="s">
        <v>9906</v>
      </c>
      <c r="AI1348" s="5" t="s">
        <v>11670</v>
      </c>
      <c r="AJ1348" s="3" t="s">
        <v>45</v>
      </c>
      <c r="AK1348" s="3" t="s">
        <v>45</v>
      </c>
      <c r="AL1348" s="3" t="s">
        <v>45</v>
      </c>
      <c r="AM1348" s="3" t="s">
        <v>45</v>
      </c>
      <c r="AN1348" s="3" t="s">
        <v>45</v>
      </c>
      <c r="AO1348" s="3" t="s">
        <v>45</v>
      </c>
      <c r="AP1348" s="3" t="s">
        <v>45</v>
      </c>
      <c r="AQ1348" s="4" t="s">
        <v>9934</v>
      </c>
      <c r="AR1348" s="4" t="s">
        <v>9908</v>
      </c>
    </row>
    <row r="1349">
      <c r="A1349" s="3" t="s">
        <v>11671</v>
      </c>
      <c r="B1349" s="3" t="s">
        <v>11672</v>
      </c>
      <c r="C1349" s="3" t="s">
        <v>11596</v>
      </c>
      <c r="D1349" s="3" t="s">
        <v>9900</v>
      </c>
      <c r="E1349" s="4" t="s">
        <v>11604</v>
      </c>
      <c r="F1349" s="3" t="s">
        <v>10524</v>
      </c>
      <c r="G1349" s="4" t="s">
        <v>11673</v>
      </c>
      <c r="H1349" s="4" t="s">
        <v>11674</v>
      </c>
      <c r="I1349" s="3" t="s">
        <v>49</v>
      </c>
      <c r="J1349" s="3" t="s">
        <v>126</v>
      </c>
      <c r="K1349" s="3" t="s">
        <v>45</v>
      </c>
      <c r="L1349" s="3" t="s">
        <v>45</v>
      </c>
      <c r="M1349" s="3" t="s">
        <v>45</v>
      </c>
      <c r="N1349" s="3" t="s">
        <v>45</v>
      </c>
      <c r="O1349" s="3" t="s">
        <v>74</v>
      </c>
      <c r="P1349" s="3" t="s">
        <v>45</v>
      </c>
      <c r="Q1349" s="3" t="s">
        <v>45</v>
      </c>
      <c r="R1349" s="3" t="s">
        <v>45</v>
      </c>
      <c r="S1349" s="3" t="s">
        <v>45</v>
      </c>
      <c r="T1349" s="3" t="s">
        <v>45</v>
      </c>
      <c r="U1349" s="3" t="s">
        <v>45</v>
      </c>
      <c r="V1349" s="4" t="s">
        <v>4276</v>
      </c>
      <c r="W1349" s="4" t="s">
        <v>10361</v>
      </c>
      <c r="X1349" s="3" t="s">
        <v>45</v>
      </c>
      <c r="Y1349" s="3" t="s">
        <v>45</v>
      </c>
      <c r="Z1349" s="3" t="s">
        <v>74</v>
      </c>
      <c r="AA1349" s="3" t="s">
        <v>45</v>
      </c>
      <c r="AB1349" s="3" t="s">
        <v>45</v>
      </c>
      <c r="AC1349" s="3" t="s">
        <v>45</v>
      </c>
      <c r="AD1349" s="3" t="s">
        <v>45</v>
      </c>
      <c r="AE1349" s="3" t="s">
        <v>45</v>
      </c>
      <c r="AF1349" s="3" t="s">
        <v>45</v>
      </c>
      <c r="AG1349" s="3" t="s">
        <v>45</v>
      </c>
      <c r="AH1349" s="3" t="s">
        <v>9906</v>
      </c>
      <c r="AI1349" s="5" t="s">
        <v>11675</v>
      </c>
      <c r="AJ1349" s="5" t="s">
        <v>11676</v>
      </c>
      <c r="AK1349" s="3" t="s">
        <v>45</v>
      </c>
      <c r="AL1349" s="3" t="s">
        <v>45</v>
      </c>
      <c r="AM1349" s="3" t="s">
        <v>45</v>
      </c>
      <c r="AN1349" s="3" t="s">
        <v>45</v>
      </c>
      <c r="AO1349" s="3" t="s">
        <v>45</v>
      </c>
      <c r="AP1349" s="3" t="s">
        <v>45</v>
      </c>
      <c r="AQ1349" s="4" t="s">
        <v>10577</v>
      </c>
      <c r="AR1349" s="4" t="s">
        <v>9908</v>
      </c>
    </row>
    <row r="1350">
      <c r="A1350" s="3" t="s">
        <v>11677</v>
      </c>
      <c r="B1350" s="3" t="s">
        <v>11678</v>
      </c>
      <c r="C1350" s="3" t="s">
        <v>11596</v>
      </c>
      <c r="D1350" s="3" t="s">
        <v>9900</v>
      </c>
      <c r="E1350" s="4" t="s">
        <v>11604</v>
      </c>
      <c r="F1350" s="3" t="s">
        <v>11596</v>
      </c>
      <c r="G1350" s="4" t="s">
        <v>11679</v>
      </c>
      <c r="H1350" s="4" t="s">
        <v>11680</v>
      </c>
      <c r="I1350" s="3" t="s">
        <v>49</v>
      </c>
      <c r="J1350" s="3" t="s">
        <v>126</v>
      </c>
      <c r="K1350" s="3" t="s">
        <v>45</v>
      </c>
      <c r="L1350" s="3" t="s">
        <v>479</v>
      </c>
      <c r="M1350" s="3" t="s">
        <v>45</v>
      </c>
      <c r="N1350" s="3" t="s">
        <v>45</v>
      </c>
      <c r="O1350" s="3" t="s">
        <v>74</v>
      </c>
      <c r="P1350" s="3" t="s">
        <v>45</v>
      </c>
      <c r="Q1350" s="3" t="s">
        <v>45</v>
      </c>
      <c r="R1350" s="3" t="s">
        <v>45</v>
      </c>
      <c r="S1350" s="3" t="s">
        <v>45</v>
      </c>
      <c r="T1350" s="3" t="s">
        <v>45</v>
      </c>
      <c r="U1350" s="3" t="s">
        <v>45</v>
      </c>
      <c r="V1350" s="3" t="s">
        <v>45</v>
      </c>
      <c r="W1350" s="3" t="s">
        <v>45</v>
      </c>
      <c r="X1350" s="3" t="s">
        <v>45</v>
      </c>
      <c r="Y1350" s="3" t="s">
        <v>45</v>
      </c>
      <c r="Z1350" s="3" t="s">
        <v>74</v>
      </c>
      <c r="AA1350" s="3" t="s">
        <v>45</v>
      </c>
      <c r="AB1350" s="3" t="s">
        <v>45</v>
      </c>
      <c r="AC1350" s="3" t="s">
        <v>45</v>
      </c>
      <c r="AD1350" s="3" t="s">
        <v>45</v>
      </c>
      <c r="AE1350" s="3" t="s">
        <v>45</v>
      </c>
      <c r="AF1350" s="3" t="s">
        <v>45</v>
      </c>
      <c r="AG1350" s="3" t="s">
        <v>11681</v>
      </c>
      <c r="AH1350" s="3" t="s">
        <v>57</v>
      </c>
      <c r="AI1350" s="5" t="s">
        <v>11682</v>
      </c>
      <c r="AJ1350" s="3" t="s">
        <v>45</v>
      </c>
      <c r="AK1350" s="3" t="s">
        <v>45</v>
      </c>
      <c r="AL1350" s="3" t="s">
        <v>45</v>
      </c>
      <c r="AM1350" s="3" t="s">
        <v>45</v>
      </c>
      <c r="AN1350" s="3" t="s">
        <v>45</v>
      </c>
      <c r="AO1350" s="3" t="s">
        <v>45</v>
      </c>
      <c r="AP1350" s="3" t="s">
        <v>45</v>
      </c>
      <c r="AQ1350" s="4" t="s">
        <v>60</v>
      </c>
      <c r="AR1350" s="4" t="s">
        <v>60</v>
      </c>
    </row>
    <row r="1351">
      <c r="A1351" s="3" t="s">
        <v>11683</v>
      </c>
      <c r="B1351" s="3" t="s">
        <v>11684</v>
      </c>
      <c r="C1351" s="3" t="s">
        <v>11596</v>
      </c>
      <c r="D1351" s="3" t="s">
        <v>9900</v>
      </c>
      <c r="E1351" s="4" t="s">
        <v>11604</v>
      </c>
      <c r="F1351" s="3" t="s">
        <v>10524</v>
      </c>
      <c r="G1351" s="4" t="s">
        <v>11685</v>
      </c>
      <c r="H1351" s="4" t="s">
        <v>11686</v>
      </c>
      <c r="I1351" s="3" t="s">
        <v>85</v>
      </c>
      <c r="J1351" s="3" t="s">
        <v>126</v>
      </c>
      <c r="K1351" s="3" t="s">
        <v>45</v>
      </c>
      <c r="L1351" s="3" t="s">
        <v>7343</v>
      </c>
      <c r="M1351" s="3" t="s">
        <v>45</v>
      </c>
      <c r="N1351" s="3" t="s">
        <v>45</v>
      </c>
      <c r="O1351" s="3" t="s">
        <v>74</v>
      </c>
      <c r="P1351" s="3" t="s">
        <v>45</v>
      </c>
      <c r="Q1351" s="3" t="s">
        <v>45</v>
      </c>
      <c r="R1351" s="3" t="s">
        <v>45</v>
      </c>
      <c r="S1351" s="3" t="s">
        <v>45</v>
      </c>
      <c r="T1351" s="3" t="s">
        <v>45</v>
      </c>
      <c r="U1351" s="3" t="s">
        <v>45</v>
      </c>
      <c r="V1351" s="4" t="s">
        <v>11687</v>
      </c>
      <c r="W1351" s="4" t="s">
        <v>1951</v>
      </c>
      <c r="X1351" s="3" t="s">
        <v>45</v>
      </c>
      <c r="Y1351" s="3" t="s">
        <v>45</v>
      </c>
      <c r="Z1351" s="3" t="s">
        <v>74</v>
      </c>
      <c r="AA1351" s="3" t="s">
        <v>45</v>
      </c>
      <c r="AB1351" s="3" t="s">
        <v>45</v>
      </c>
      <c r="AC1351" s="3" t="s">
        <v>45</v>
      </c>
      <c r="AD1351" s="3" t="s">
        <v>45</v>
      </c>
      <c r="AE1351" s="3" t="s">
        <v>45</v>
      </c>
      <c r="AF1351" s="3" t="s">
        <v>45</v>
      </c>
      <c r="AG1351" s="3" t="s">
        <v>45</v>
      </c>
      <c r="AH1351" s="3" t="s">
        <v>9906</v>
      </c>
      <c r="AI1351" s="5" t="s">
        <v>11688</v>
      </c>
      <c r="AJ1351" s="3" t="s">
        <v>45</v>
      </c>
      <c r="AK1351" s="3" t="s">
        <v>45</v>
      </c>
      <c r="AL1351" s="3" t="s">
        <v>45</v>
      </c>
      <c r="AM1351" s="3" t="s">
        <v>45</v>
      </c>
      <c r="AN1351" s="3" t="s">
        <v>45</v>
      </c>
      <c r="AO1351" s="3" t="s">
        <v>45</v>
      </c>
      <c r="AP1351" s="3" t="s">
        <v>45</v>
      </c>
      <c r="AQ1351" s="4" t="s">
        <v>9934</v>
      </c>
      <c r="AR1351" s="4" t="s">
        <v>9908</v>
      </c>
    </row>
    <row r="1352">
      <c r="A1352" s="3" t="s">
        <v>11689</v>
      </c>
      <c r="B1352" s="3" t="s">
        <v>11690</v>
      </c>
      <c r="C1352" s="3" t="s">
        <v>11596</v>
      </c>
      <c r="D1352" s="3" t="s">
        <v>9900</v>
      </c>
      <c r="E1352" s="4" t="s">
        <v>11192</v>
      </c>
      <c r="F1352" s="3" t="s">
        <v>10524</v>
      </c>
      <c r="G1352" s="4" t="s">
        <v>11691</v>
      </c>
      <c r="H1352" s="4" t="s">
        <v>11692</v>
      </c>
      <c r="I1352" s="3" t="s">
        <v>85</v>
      </c>
      <c r="J1352" s="3" t="s">
        <v>126</v>
      </c>
      <c r="K1352" s="3" t="s">
        <v>45</v>
      </c>
      <c r="L1352" s="3" t="s">
        <v>11689</v>
      </c>
      <c r="M1352" s="3" t="s">
        <v>45</v>
      </c>
      <c r="N1352" s="3" t="s">
        <v>45</v>
      </c>
      <c r="O1352" s="3" t="s">
        <v>74</v>
      </c>
      <c r="P1352" s="3" t="s">
        <v>45</v>
      </c>
      <c r="Q1352" s="3" t="s">
        <v>45</v>
      </c>
      <c r="R1352" s="3" t="s">
        <v>45</v>
      </c>
      <c r="S1352" s="3" t="s">
        <v>45</v>
      </c>
      <c r="T1352" s="3" t="s">
        <v>45</v>
      </c>
      <c r="U1352" s="3" t="s">
        <v>45</v>
      </c>
      <c r="V1352" s="4" t="s">
        <v>11693</v>
      </c>
      <c r="W1352" s="4" t="s">
        <v>8439</v>
      </c>
      <c r="X1352" s="3" t="s">
        <v>45</v>
      </c>
      <c r="Y1352" s="3" t="s">
        <v>45</v>
      </c>
      <c r="Z1352" s="3" t="s">
        <v>74</v>
      </c>
      <c r="AA1352" s="3" t="s">
        <v>45</v>
      </c>
      <c r="AB1352" s="3" t="s">
        <v>45</v>
      </c>
      <c r="AC1352" s="3" t="s">
        <v>45</v>
      </c>
      <c r="AD1352" s="3" t="s">
        <v>45</v>
      </c>
      <c r="AE1352" s="3" t="s">
        <v>45</v>
      </c>
      <c r="AF1352" s="3" t="s">
        <v>45</v>
      </c>
      <c r="AG1352" s="3" t="s">
        <v>45</v>
      </c>
      <c r="AH1352" s="3" t="s">
        <v>9906</v>
      </c>
      <c r="AI1352" s="5" t="s">
        <v>11694</v>
      </c>
      <c r="AJ1352" s="3" t="s">
        <v>45</v>
      </c>
      <c r="AK1352" s="3" t="s">
        <v>45</v>
      </c>
      <c r="AL1352" s="3" t="s">
        <v>45</v>
      </c>
      <c r="AM1352" s="3" t="s">
        <v>45</v>
      </c>
      <c r="AN1352" s="3" t="s">
        <v>45</v>
      </c>
      <c r="AO1352" s="3" t="s">
        <v>45</v>
      </c>
      <c r="AP1352" s="3" t="s">
        <v>45</v>
      </c>
      <c r="AQ1352" s="4" t="s">
        <v>9934</v>
      </c>
      <c r="AR1352" s="4" t="s">
        <v>9908</v>
      </c>
    </row>
    <row r="1353">
      <c r="A1353" s="3" t="s">
        <v>11695</v>
      </c>
      <c r="B1353" s="3" t="s">
        <v>11696</v>
      </c>
      <c r="C1353" s="3" t="s">
        <v>11596</v>
      </c>
      <c r="D1353" s="3" t="s">
        <v>9900</v>
      </c>
      <c r="E1353" s="4" t="s">
        <v>11192</v>
      </c>
      <c r="F1353" s="3" t="s">
        <v>10524</v>
      </c>
      <c r="G1353" s="4" t="s">
        <v>11697</v>
      </c>
      <c r="H1353" s="4" t="s">
        <v>11698</v>
      </c>
      <c r="I1353" s="3" t="s">
        <v>85</v>
      </c>
      <c r="J1353" s="3" t="s">
        <v>126</v>
      </c>
      <c r="K1353" s="3" t="s">
        <v>45</v>
      </c>
      <c r="L1353" s="3" t="s">
        <v>11695</v>
      </c>
      <c r="M1353" s="3" t="s">
        <v>45</v>
      </c>
      <c r="N1353" s="3" t="s">
        <v>45</v>
      </c>
      <c r="O1353" s="3" t="s">
        <v>74</v>
      </c>
      <c r="P1353" s="3" t="s">
        <v>45</v>
      </c>
      <c r="Q1353" s="3" t="s">
        <v>45</v>
      </c>
      <c r="R1353" s="3" t="s">
        <v>45</v>
      </c>
      <c r="S1353" s="3" t="s">
        <v>45</v>
      </c>
      <c r="T1353" s="3" t="s">
        <v>45</v>
      </c>
      <c r="U1353" s="3" t="s">
        <v>45</v>
      </c>
      <c r="V1353" s="4" t="s">
        <v>11699</v>
      </c>
      <c r="W1353" s="4" t="s">
        <v>3085</v>
      </c>
      <c r="X1353" s="3" t="s">
        <v>45</v>
      </c>
      <c r="Y1353" s="3" t="s">
        <v>45</v>
      </c>
      <c r="Z1353" s="3" t="s">
        <v>74</v>
      </c>
      <c r="AA1353" s="3" t="s">
        <v>45</v>
      </c>
      <c r="AB1353" s="3" t="s">
        <v>45</v>
      </c>
      <c r="AC1353" s="3" t="s">
        <v>45</v>
      </c>
      <c r="AD1353" s="3" t="s">
        <v>45</v>
      </c>
      <c r="AE1353" s="3" t="s">
        <v>45</v>
      </c>
      <c r="AF1353" s="3" t="s">
        <v>45</v>
      </c>
      <c r="AG1353" s="3" t="s">
        <v>45</v>
      </c>
      <c r="AH1353" s="3" t="s">
        <v>9906</v>
      </c>
      <c r="AI1353" s="5" t="s">
        <v>11700</v>
      </c>
      <c r="AJ1353" s="3" t="s">
        <v>45</v>
      </c>
      <c r="AK1353" s="3" t="s">
        <v>45</v>
      </c>
      <c r="AL1353" s="3" t="s">
        <v>45</v>
      </c>
      <c r="AM1353" s="3" t="s">
        <v>45</v>
      </c>
      <c r="AN1353" s="3" t="s">
        <v>45</v>
      </c>
      <c r="AO1353" s="3" t="s">
        <v>45</v>
      </c>
      <c r="AP1353" s="3" t="s">
        <v>45</v>
      </c>
      <c r="AQ1353" s="4" t="s">
        <v>9934</v>
      </c>
      <c r="AR1353" s="4" t="s">
        <v>9908</v>
      </c>
    </row>
    <row r="1354">
      <c r="A1354" s="3" t="s">
        <v>11701</v>
      </c>
      <c r="B1354" s="3" t="s">
        <v>11702</v>
      </c>
      <c r="C1354" s="3" t="s">
        <v>11596</v>
      </c>
      <c r="D1354" s="3" t="s">
        <v>9900</v>
      </c>
      <c r="E1354" s="4" t="s">
        <v>11604</v>
      </c>
      <c r="F1354" s="3" t="s">
        <v>10524</v>
      </c>
      <c r="G1354" s="4" t="s">
        <v>11703</v>
      </c>
      <c r="H1354" s="4" t="s">
        <v>11704</v>
      </c>
      <c r="I1354" s="3" t="s">
        <v>49</v>
      </c>
      <c r="J1354" s="3" t="s">
        <v>126</v>
      </c>
      <c r="K1354" s="3" t="s">
        <v>45</v>
      </c>
      <c r="L1354" s="3" t="s">
        <v>11705</v>
      </c>
      <c r="M1354" s="3" t="s">
        <v>45</v>
      </c>
      <c r="N1354" s="3" t="s">
        <v>45</v>
      </c>
      <c r="O1354" s="3" t="s">
        <v>74</v>
      </c>
      <c r="P1354" s="3" t="s">
        <v>45</v>
      </c>
      <c r="Q1354" s="3" t="s">
        <v>45</v>
      </c>
      <c r="R1354" s="3" t="s">
        <v>45</v>
      </c>
      <c r="S1354" s="3" t="s">
        <v>45</v>
      </c>
      <c r="T1354" s="3" t="s">
        <v>45</v>
      </c>
      <c r="U1354" s="3" t="s">
        <v>45</v>
      </c>
      <c r="V1354" s="4" t="s">
        <v>11706</v>
      </c>
      <c r="W1354" s="4" t="s">
        <v>11707</v>
      </c>
      <c r="X1354" s="3" t="s">
        <v>45</v>
      </c>
      <c r="Y1354" s="3" t="s">
        <v>45</v>
      </c>
      <c r="Z1354" s="3" t="s">
        <v>74</v>
      </c>
      <c r="AA1354" s="3" t="s">
        <v>45</v>
      </c>
      <c r="AB1354" s="3" t="s">
        <v>45</v>
      </c>
      <c r="AC1354" s="3" t="s">
        <v>45</v>
      </c>
      <c r="AD1354" s="3" t="s">
        <v>45</v>
      </c>
      <c r="AE1354" s="3" t="s">
        <v>45</v>
      </c>
      <c r="AF1354" s="3" t="s">
        <v>45</v>
      </c>
      <c r="AG1354" s="3" t="s">
        <v>11708</v>
      </c>
      <c r="AH1354" s="3" t="s">
        <v>9906</v>
      </c>
      <c r="AI1354" s="5" t="s">
        <v>11709</v>
      </c>
      <c r="AJ1354" s="5" t="s">
        <v>11710</v>
      </c>
      <c r="AK1354" s="3" t="s">
        <v>45</v>
      </c>
      <c r="AL1354" s="3" t="s">
        <v>45</v>
      </c>
      <c r="AM1354" s="3" t="s">
        <v>45</v>
      </c>
      <c r="AN1354" s="3" t="s">
        <v>45</v>
      </c>
      <c r="AO1354" s="3" t="s">
        <v>45</v>
      </c>
      <c r="AP1354" s="3" t="s">
        <v>45</v>
      </c>
      <c r="AQ1354" s="4" t="s">
        <v>9934</v>
      </c>
      <c r="AR1354" s="4" t="s">
        <v>9908</v>
      </c>
    </row>
    <row r="1355">
      <c r="A1355" s="3" t="s">
        <v>11711</v>
      </c>
      <c r="B1355" s="3" t="s">
        <v>11712</v>
      </c>
      <c r="C1355" s="3" t="s">
        <v>11596</v>
      </c>
      <c r="D1355" s="3" t="s">
        <v>9900</v>
      </c>
      <c r="E1355" s="4" t="s">
        <v>11192</v>
      </c>
      <c r="F1355" s="3" t="s">
        <v>10524</v>
      </c>
      <c r="G1355" s="4" t="s">
        <v>11713</v>
      </c>
      <c r="H1355" s="4" t="s">
        <v>11714</v>
      </c>
      <c r="I1355" s="3" t="s">
        <v>85</v>
      </c>
      <c r="J1355" s="3" t="s">
        <v>126</v>
      </c>
      <c r="K1355" s="3" t="s">
        <v>45</v>
      </c>
      <c r="L1355" s="3" t="s">
        <v>855</v>
      </c>
      <c r="M1355" s="3" t="s">
        <v>45</v>
      </c>
      <c r="N1355" s="3" t="s">
        <v>45</v>
      </c>
      <c r="O1355" s="3" t="s">
        <v>74</v>
      </c>
      <c r="P1355" s="3" t="s">
        <v>45</v>
      </c>
      <c r="Q1355" s="3" t="s">
        <v>45</v>
      </c>
      <c r="R1355" s="3" t="s">
        <v>45</v>
      </c>
      <c r="S1355" s="3" t="s">
        <v>45</v>
      </c>
      <c r="T1355" s="3" t="s">
        <v>45</v>
      </c>
      <c r="U1355" s="3" t="s">
        <v>45</v>
      </c>
      <c r="V1355" s="4" t="s">
        <v>11715</v>
      </c>
      <c r="W1355" s="4" t="s">
        <v>1872</v>
      </c>
      <c r="X1355" s="3" t="s">
        <v>45</v>
      </c>
      <c r="Y1355" s="3" t="s">
        <v>45</v>
      </c>
      <c r="Z1355" s="3" t="s">
        <v>74</v>
      </c>
      <c r="AA1355" s="3" t="s">
        <v>45</v>
      </c>
      <c r="AB1355" s="3" t="s">
        <v>45</v>
      </c>
      <c r="AC1355" s="3" t="s">
        <v>45</v>
      </c>
      <c r="AD1355" s="3" t="s">
        <v>45</v>
      </c>
      <c r="AE1355" s="3" t="s">
        <v>45</v>
      </c>
      <c r="AF1355" s="3" t="s">
        <v>45</v>
      </c>
      <c r="AG1355" s="3" t="s">
        <v>45</v>
      </c>
      <c r="AH1355" s="3" t="s">
        <v>9906</v>
      </c>
      <c r="AI1355" s="5" t="s">
        <v>11716</v>
      </c>
      <c r="AJ1355" s="3" t="s">
        <v>45</v>
      </c>
      <c r="AK1355" s="3" t="s">
        <v>45</v>
      </c>
      <c r="AL1355" s="3" t="s">
        <v>45</v>
      </c>
      <c r="AM1355" s="3" t="s">
        <v>45</v>
      </c>
      <c r="AN1355" s="3" t="s">
        <v>45</v>
      </c>
      <c r="AO1355" s="3" t="s">
        <v>45</v>
      </c>
      <c r="AP1355" s="3" t="s">
        <v>45</v>
      </c>
      <c r="AQ1355" s="4" t="s">
        <v>9934</v>
      </c>
      <c r="AR1355" s="4" t="s">
        <v>9908</v>
      </c>
    </row>
    <row r="1356">
      <c r="A1356" s="3" t="s">
        <v>11717</v>
      </c>
      <c r="B1356" s="3" t="s">
        <v>11718</v>
      </c>
      <c r="C1356" s="3" t="s">
        <v>11596</v>
      </c>
      <c r="D1356" s="3" t="s">
        <v>9900</v>
      </c>
      <c r="E1356" s="4" t="s">
        <v>11192</v>
      </c>
      <c r="F1356" s="3" t="s">
        <v>10524</v>
      </c>
      <c r="G1356" s="4" t="s">
        <v>11719</v>
      </c>
      <c r="H1356" s="4" t="s">
        <v>11720</v>
      </c>
      <c r="I1356" s="3" t="s">
        <v>85</v>
      </c>
      <c r="J1356" s="3" t="s">
        <v>126</v>
      </c>
      <c r="K1356" s="3" t="s">
        <v>45</v>
      </c>
      <c r="L1356" s="3" t="s">
        <v>479</v>
      </c>
      <c r="M1356" s="3" t="s">
        <v>45</v>
      </c>
      <c r="N1356" s="3" t="s">
        <v>45</v>
      </c>
      <c r="O1356" s="3" t="s">
        <v>74</v>
      </c>
      <c r="P1356" s="3" t="s">
        <v>45</v>
      </c>
      <c r="Q1356" s="3" t="s">
        <v>45</v>
      </c>
      <c r="R1356" s="3" t="s">
        <v>45</v>
      </c>
      <c r="S1356" s="3" t="s">
        <v>45</v>
      </c>
      <c r="T1356" s="3" t="s">
        <v>45</v>
      </c>
      <c r="U1356" s="3" t="s">
        <v>45</v>
      </c>
      <c r="V1356" s="4" t="s">
        <v>862</v>
      </c>
      <c r="W1356" s="4" t="s">
        <v>52</v>
      </c>
      <c r="X1356" s="3" t="s">
        <v>45</v>
      </c>
      <c r="Y1356" s="3" t="s">
        <v>45</v>
      </c>
      <c r="Z1356" s="3" t="s">
        <v>74</v>
      </c>
      <c r="AA1356" s="3" t="s">
        <v>45</v>
      </c>
      <c r="AB1356" s="3" t="s">
        <v>45</v>
      </c>
      <c r="AC1356" s="3" t="s">
        <v>45</v>
      </c>
      <c r="AD1356" s="3" t="s">
        <v>45</v>
      </c>
      <c r="AE1356" s="3" t="s">
        <v>45</v>
      </c>
      <c r="AF1356" s="3" t="s">
        <v>45</v>
      </c>
      <c r="AG1356" s="3" t="s">
        <v>45</v>
      </c>
      <c r="AH1356" s="3" t="s">
        <v>9906</v>
      </c>
      <c r="AI1356" s="5" t="s">
        <v>11721</v>
      </c>
      <c r="AJ1356" s="3" t="s">
        <v>45</v>
      </c>
      <c r="AK1356" s="3" t="s">
        <v>45</v>
      </c>
      <c r="AL1356" s="3" t="s">
        <v>45</v>
      </c>
      <c r="AM1356" s="3" t="s">
        <v>45</v>
      </c>
      <c r="AN1356" s="3" t="s">
        <v>45</v>
      </c>
      <c r="AO1356" s="3" t="s">
        <v>45</v>
      </c>
      <c r="AP1356" s="3" t="s">
        <v>45</v>
      </c>
      <c r="AQ1356" s="4" t="s">
        <v>9934</v>
      </c>
      <c r="AR1356" s="4" t="s">
        <v>9908</v>
      </c>
    </row>
    <row r="1357">
      <c r="A1357" s="3" t="s">
        <v>11722</v>
      </c>
      <c r="B1357" s="3" t="s">
        <v>11723</v>
      </c>
      <c r="C1357" s="3" t="s">
        <v>11596</v>
      </c>
      <c r="D1357" s="3" t="s">
        <v>9900</v>
      </c>
      <c r="E1357" s="4" t="s">
        <v>11192</v>
      </c>
      <c r="F1357" s="3" t="s">
        <v>10524</v>
      </c>
      <c r="G1357" s="4" t="s">
        <v>11724</v>
      </c>
      <c r="H1357" s="4" t="s">
        <v>11725</v>
      </c>
      <c r="I1357" s="3" t="s">
        <v>49</v>
      </c>
      <c r="J1357" s="3" t="s">
        <v>126</v>
      </c>
      <c r="K1357" s="3" t="s">
        <v>45</v>
      </c>
      <c r="L1357" s="3" t="s">
        <v>11726</v>
      </c>
      <c r="M1357" s="3" t="s">
        <v>45</v>
      </c>
      <c r="N1357" s="3" t="s">
        <v>45</v>
      </c>
      <c r="O1357" s="3" t="s">
        <v>74</v>
      </c>
      <c r="P1357" s="3" t="s">
        <v>45</v>
      </c>
      <c r="Q1357" s="3" t="s">
        <v>45</v>
      </c>
      <c r="R1357" s="3" t="s">
        <v>45</v>
      </c>
      <c r="S1357" s="3" t="s">
        <v>45</v>
      </c>
      <c r="T1357" s="3" t="s">
        <v>45</v>
      </c>
      <c r="U1357" s="3" t="s">
        <v>45</v>
      </c>
      <c r="V1357" s="4" t="s">
        <v>11727</v>
      </c>
      <c r="W1357" s="3" t="s">
        <v>45</v>
      </c>
      <c r="X1357" s="3" t="s">
        <v>45</v>
      </c>
      <c r="Y1357" s="3" t="s">
        <v>45</v>
      </c>
      <c r="Z1357" s="3" t="s">
        <v>74</v>
      </c>
      <c r="AA1357" s="3" t="s">
        <v>45</v>
      </c>
      <c r="AB1357" s="3" t="s">
        <v>45</v>
      </c>
      <c r="AC1357" s="3" t="s">
        <v>45</v>
      </c>
      <c r="AD1357" s="3" t="s">
        <v>45</v>
      </c>
      <c r="AE1357" s="3" t="s">
        <v>45</v>
      </c>
      <c r="AF1357" s="3" t="s">
        <v>45</v>
      </c>
      <c r="AG1357" s="3" t="s">
        <v>45</v>
      </c>
      <c r="AH1357" s="3" t="s">
        <v>9906</v>
      </c>
      <c r="AI1357" s="5" t="s">
        <v>11728</v>
      </c>
      <c r="AJ1357" s="3" t="s">
        <v>45</v>
      </c>
      <c r="AK1357" s="3" t="s">
        <v>45</v>
      </c>
      <c r="AL1357" s="3" t="s">
        <v>45</v>
      </c>
      <c r="AM1357" s="3" t="s">
        <v>45</v>
      </c>
      <c r="AN1357" s="3" t="s">
        <v>45</v>
      </c>
      <c r="AO1357" s="3" t="s">
        <v>45</v>
      </c>
      <c r="AP1357" s="3" t="s">
        <v>45</v>
      </c>
      <c r="AQ1357" s="4" t="s">
        <v>9934</v>
      </c>
      <c r="AR1357" s="4" t="s">
        <v>9908</v>
      </c>
    </row>
    <row r="1358">
      <c r="A1358" s="3" t="s">
        <v>11729</v>
      </c>
      <c r="B1358" s="3" t="s">
        <v>11730</v>
      </c>
      <c r="C1358" s="3" t="s">
        <v>11596</v>
      </c>
      <c r="D1358" s="3" t="s">
        <v>9900</v>
      </c>
      <c r="E1358" s="4" t="s">
        <v>11192</v>
      </c>
      <c r="F1358" s="3" t="s">
        <v>10524</v>
      </c>
      <c r="G1358" s="4" t="s">
        <v>11731</v>
      </c>
      <c r="H1358" s="4" t="s">
        <v>11732</v>
      </c>
      <c r="I1358" s="3" t="s">
        <v>49</v>
      </c>
      <c r="J1358" s="3" t="s">
        <v>126</v>
      </c>
      <c r="K1358" s="3" t="s">
        <v>45</v>
      </c>
      <c r="L1358" s="3" t="s">
        <v>11733</v>
      </c>
      <c r="M1358" s="3" t="s">
        <v>45</v>
      </c>
      <c r="N1358" s="3" t="s">
        <v>45</v>
      </c>
      <c r="O1358" s="3" t="s">
        <v>74</v>
      </c>
      <c r="P1358" s="3" t="s">
        <v>45</v>
      </c>
      <c r="Q1358" s="3" t="s">
        <v>45</v>
      </c>
      <c r="R1358" s="3" t="s">
        <v>45</v>
      </c>
      <c r="S1358" s="3" t="s">
        <v>45</v>
      </c>
      <c r="T1358" s="3" t="s">
        <v>45</v>
      </c>
      <c r="U1358" s="3" t="s">
        <v>45</v>
      </c>
      <c r="V1358" s="4" t="s">
        <v>11734</v>
      </c>
      <c r="W1358" s="4" t="s">
        <v>3085</v>
      </c>
      <c r="X1358" s="3" t="s">
        <v>45</v>
      </c>
      <c r="Y1358" s="3" t="s">
        <v>45</v>
      </c>
      <c r="Z1358" s="3" t="s">
        <v>74</v>
      </c>
      <c r="AA1358" s="3" t="s">
        <v>45</v>
      </c>
      <c r="AB1358" s="3" t="s">
        <v>45</v>
      </c>
      <c r="AC1358" s="3" t="s">
        <v>45</v>
      </c>
      <c r="AD1358" s="3" t="s">
        <v>45</v>
      </c>
      <c r="AE1358" s="3" t="s">
        <v>45</v>
      </c>
      <c r="AF1358" s="3" t="s">
        <v>45</v>
      </c>
      <c r="AG1358" s="3" t="s">
        <v>45</v>
      </c>
      <c r="AH1358" s="3" t="s">
        <v>9906</v>
      </c>
      <c r="AI1358" s="5" t="s">
        <v>11735</v>
      </c>
      <c r="AJ1358" s="5" t="s">
        <v>11736</v>
      </c>
      <c r="AK1358" s="3" t="s">
        <v>45</v>
      </c>
      <c r="AL1358" s="3" t="s">
        <v>45</v>
      </c>
      <c r="AM1358" s="3" t="s">
        <v>45</v>
      </c>
      <c r="AN1358" s="3" t="s">
        <v>45</v>
      </c>
      <c r="AO1358" s="3" t="s">
        <v>45</v>
      </c>
      <c r="AP1358" s="3" t="s">
        <v>45</v>
      </c>
      <c r="AQ1358" s="4" t="s">
        <v>9934</v>
      </c>
      <c r="AR1358" s="4" t="s">
        <v>9908</v>
      </c>
    </row>
    <row r="1359">
      <c r="A1359" s="3" t="s">
        <v>11737</v>
      </c>
      <c r="B1359" s="3" t="s">
        <v>11738</v>
      </c>
      <c r="C1359" s="3" t="s">
        <v>11596</v>
      </c>
      <c r="D1359" s="3" t="s">
        <v>9900</v>
      </c>
      <c r="E1359" s="4" t="s">
        <v>11192</v>
      </c>
      <c r="F1359" s="3" t="s">
        <v>10524</v>
      </c>
      <c r="G1359" s="4" t="s">
        <v>11739</v>
      </c>
      <c r="H1359" s="4" t="s">
        <v>11740</v>
      </c>
      <c r="I1359" s="3" t="s">
        <v>85</v>
      </c>
      <c r="J1359" s="3" t="s">
        <v>126</v>
      </c>
      <c r="K1359" s="3" t="s">
        <v>45</v>
      </c>
      <c r="L1359" s="3" t="s">
        <v>45</v>
      </c>
      <c r="M1359" s="3" t="s">
        <v>45</v>
      </c>
      <c r="N1359" s="4" t="s">
        <v>3221</v>
      </c>
      <c r="O1359" s="3" t="s">
        <v>88</v>
      </c>
      <c r="P1359" s="3" t="s">
        <v>45</v>
      </c>
      <c r="Q1359" s="3" t="s">
        <v>45</v>
      </c>
      <c r="R1359" s="3" t="s">
        <v>45</v>
      </c>
      <c r="S1359" s="3" t="s">
        <v>45</v>
      </c>
      <c r="T1359" s="3" t="s">
        <v>45</v>
      </c>
      <c r="U1359" s="3" t="s">
        <v>45</v>
      </c>
      <c r="V1359" s="4" t="s">
        <v>11741</v>
      </c>
      <c r="W1359" s="4" t="s">
        <v>472</v>
      </c>
      <c r="X1359" s="3" t="s">
        <v>45</v>
      </c>
      <c r="Y1359" s="3" t="s">
        <v>45</v>
      </c>
      <c r="Z1359" s="3" t="s">
        <v>74</v>
      </c>
      <c r="AA1359" s="3" t="s">
        <v>45</v>
      </c>
      <c r="AB1359" s="3" t="s">
        <v>45</v>
      </c>
      <c r="AC1359" s="3" t="s">
        <v>45</v>
      </c>
      <c r="AD1359" s="3" t="s">
        <v>45</v>
      </c>
      <c r="AE1359" s="3" t="s">
        <v>45</v>
      </c>
      <c r="AF1359" s="3" t="s">
        <v>45</v>
      </c>
      <c r="AG1359" s="3" t="s">
        <v>45</v>
      </c>
      <c r="AH1359" s="3" t="s">
        <v>57</v>
      </c>
      <c r="AI1359" s="5" t="s">
        <v>11742</v>
      </c>
      <c r="AJ1359" s="5" t="s">
        <v>11743</v>
      </c>
      <c r="AK1359" s="3" t="s">
        <v>45</v>
      </c>
      <c r="AL1359" s="3" t="s">
        <v>45</v>
      </c>
      <c r="AM1359" s="3" t="s">
        <v>45</v>
      </c>
      <c r="AN1359" s="3" t="s">
        <v>45</v>
      </c>
      <c r="AO1359" s="3" t="s">
        <v>45</v>
      </c>
      <c r="AP1359" s="3" t="s">
        <v>45</v>
      </c>
      <c r="AQ1359" s="4" t="s">
        <v>2509</v>
      </c>
      <c r="AR1359" s="4" t="s">
        <v>2509</v>
      </c>
    </row>
    <row r="1360">
      <c r="A1360" s="3" t="s">
        <v>11744</v>
      </c>
      <c r="B1360" s="3" t="s">
        <v>11745</v>
      </c>
      <c r="C1360" s="3" t="s">
        <v>11596</v>
      </c>
      <c r="D1360" s="3" t="s">
        <v>9900</v>
      </c>
      <c r="E1360" s="4" t="s">
        <v>11192</v>
      </c>
      <c r="F1360" s="3" t="s">
        <v>10524</v>
      </c>
      <c r="G1360" s="4" t="s">
        <v>11746</v>
      </c>
      <c r="H1360" s="4" t="s">
        <v>11747</v>
      </c>
      <c r="I1360" s="3" t="s">
        <v>218</v>
      </c>
      <c r="J1360" s="3" t="s">
        <v>126</v>
      </c>
      <c r="K1360" s="3" t="s">
        <v>45</v>
      </c>
      <c r="L1360" s="3" t="s">
        <v>45</v>
      </c>
      <c r="M1360" s="3" t="s">
        <v>45</v>
      </c>
      <c r="N1360" s="3" t="s">
        <v>45</v>
      </c>
      <c r="O1360" s="3" t="s">
        <v>74</v>
      </c>
      <c r="P1360" s="3" t="s">
        <v>45</v>
      </c>
      <c r="Q1360" s="3" t="s">
        <v>45</v>
      </c>
      <c r="R1360" s="3" t="s">
        <v>45</v>
      </c>
      <c r="S1360" s="3" t="s">
        <v>45</v>
      </c>
      <c r="T1360" s="3" t="s">
        <v>45</v>
      </c>
      <c r="U1360" s="3" t="s">
        <v>45</v>
      </c>
      <c r="V1360" s="4" t="s">
        <v>11748</v>
      </c>
      <c r="W1360" s="4" t="s">
        <v>247</v>
      </c>
      <c r="X1360" s="3" t="s">
        <v>45</v>
      </c>
      <c r="Y1360" s="3" t="s">
        <v>45</v>
      </c>
      <c r="Z1360" s="3" t="s">
        <v>74</v>
      </c>
      <c r="AA1360" s="3" t="s">
        <v>45</v>
      </c>
      <c r="AB1360" s="3" t="s">
        <v>45</v>
      </c>
      <c r="AC1360" s="3" t="s">
        <v>45</v>
      </c>
      <c r="AD1360" s="3" t="s">
        <v>45</v>
      </c>
      <c r="AE1360" s="3" t="s">
        <v>45</v>
      </c>
      <c r="AF1360" s="3" t="s">
        <v>45</v>
      </c>
      <c r="AG1360" s="3" t="s">
        <v>45</v>
      </c>
      <c r="AH1360" s="3" t="s">
        <v>57</v>
      </c>
      <c r="AI1360" s="5" t="s">
        <v>11749</v>
      </c>
      <c r="AJ1360" s="5" t="s">
        <v>11750</v>
      </c>
      <c r="AK1360" s="5" t="s">
        <v>11751</v>
      </c>
      <c r="AL1360" s="3" t="s">
        <v>45</v>
      </c>
      <c r="AM1360" s="3" t="s">
        <v>45</v>
      </c>
      <c r="AN1360" s="3" t="s">
        <v>45</v>
      </c>
      <c r="AO1360" s="3" t="s">
        <v>45</v>
      </c>
      <c r="AP1360" s="3" t="s">
        <v>45</v>
      </c>
      <c r="AQ1360" s="4" t="s">
        <v>907</v>
      </c>
      <c r="AR1360" s="4" t="s">
        <v>907</v>
      </c>
    </row>
    <row r="1361">
      <c r="A1361" s="3" t="s">
        <v>11752</v>
      </c>
      <c r="B1361" s="3" t="s">
        <v>11753</v>
      </c>
      <c r="C1361" s="3" t="s">
        <v>11596</v>
      </c>
      <c r="D1361" s="3" t="s">
        <v>9900</v>
      </c>
      <c r="E1361" s="4" t="s">
        <v>11192</v>
      </c>
      <c r="F1361" s="3" t="s">
        <v>10524</v>
      </c>
      <c r="G1361" s="4" t="s">
        <v>11754</v>
      </c>
      <c r="H1361" s="4" t="s">
        <v>11755</v>
      </c>
      <c r="I1361" s="3" t="s">
        <v>85</v>
      </c>
      <c r="J1361" s="3" t="s">
        <v>126</v>
      </c>
      <c r="K1361" s="3" t="s">
        <v>45</v>
      </c>
      <c r="L1361" s="3" t="s">
        <v>11756</v>
      </c>
      <c r="M1361" s="3" t="s">
        <v>45</v>
      </c>
      <c r="N1361" s="3" t="s">
        <v>45</v>
      </c>
      <c r="O1361" s="3" t="s">
        <v>74</v>
      </c>
      <c r="P1361" s="3" t="s">
        <v>45</v>
      </c>
      <c r="Q1361" s="3" t="s">
        <v>45</v>
      </c>
      <c r="R1361" s="3" t="s">
        <v>45</v>
      </c>
      <c r="S1361" s="3" t="s">
        <v>45</v>
      </c>
      <c r="T1361" s="3" t="s">
        <v>45</v>
      </c>
      <c r="U1361" s="3" t="s">
        <v>45</v>
      </c>
      <c r="V1361" s="4" t="s">
        <v>11757</v>
      </c>
      <c r="W1361" s="4" t="s">
        <v>2754</v>
      </c>
      <c r="X1361" s="3" t="s">
        <v>45</v>
      </c>
      <c r="Y1361" s="3" t="s">
        <v>45</v>
      </c>
      <c r="Z1361" s="3" t="s">
        <v>74</v>
      </c>
      <c r="AA1361" s="3" t="s">
        <v>45</v>
      </c>
      <c r="AB1361" s="3" t="s">
        <v>45</v>
      </c>
      <c r="AC1361" s="3" t="s">
        <v>45</v>
      </c>
      <c r="AD1361" s="3" t="s">
        <v>45</v>
      </c>
      <c r="AE1361" s="3" t="s">
        <v>45</v>
      </c>
      <c r="AF1361" s="3" t="s">
        <v>45</v>
      </c>
      <c r="AG1361" s="3" t="s">
        <v>45</v>
      </c>
      <c r="AH1361" s="3" t="s">
        <v>9906</v>
      </c>
      <c r="AI1361" s="5" t="s">
        <v>11758</v>
      </c>
      <c r="AJ1361" s="5" t="s">
        <v>11759</v>
      </c>
      <c r="AK1361" s="3" t="s">
        <v>45</v>
      </c>
      <c r="AL1361" s="3" t="s">
        <v>45</v>
      </c>
      <c r="AM1361" s="3" t="s">
        <v>45</v>
      </c>
      <c r="AN1361" s="3" t="s">
        <v>45</v>
      </c>
      <c r="AO1361" s="3" t="s">
        <v>45</v>
      </c>
      <c r="AP1361" s="3" t="s">
        <v>45</v>
      </c>
      <c r="AQ1361" s="4" t="s">
        <v>9934</v>
      </c>
      <c r="AR1361" s="4" t="s">
        <v>9908</v>
      </c>
    </row>
    <row r="1362">
      <c r="A1362" s="3" t="s">
        <v>11760</v>
      </c>
      <c r="B1362" s="3" t="s">
        <v>11761</v>
      </c>
      <c r="C1362" s="3" t="s">
        <v>11596</v>
      </c>
      <c r="D1362" s="3" t="s">
        <v>9900</v>
      </c>
      <c r="E1362" s="4" t="s">
        <v>11192</v>
      </c>
      <c r="F1362" s="3" t="s">
        <v>10524</v>
      </c>
      <c r="G1362" s="4" t="s">
        <v>11762</v>
      </c>
      <c r="H1362" s="4" t="s">
        <v>11763</v>
      </c>
      <c r="I1362" s="3" t="s">
        <v>85</v>
      </c>
      <c r="J1362" s="3" t="s">
        <v>126</v>
      </c>
      <c r="K1362" s="3" t="s">
        <v>45</v>
      </c>
      <c r="L1362" s="3" t="s">
        <v>11760</v>
      </c>
      <c r="M1362" s="3" t="s">
        <v>45</v>
      </c>
      <c r="N1362" s="3" t="s">
        <v>45</v>
      </c>
      <c r="O1362" s="3" t="s">
        <v>74</v>
      </c>
      <c r="P1362" s="3" t="s">
        <v>45</v>
      </c>
      <c r="Q1362" s="3" t="s">
        <v>45</v>
      </c>
      <c r="R1362" s="3" t="s">
        <v>45</v>
      </c>
      <c r="S1362" s="3" t="s">
        <v>45</v>
      </c>
      <c r="T1362" s="3" t="s">
        <v>45</v>
      </c>
      <c r="U1362" s="3" t="s">
        <v>45</v>
      </c>
      <c r="V1362" s="4" t="s">
        <v>11764</v>
      </c>
      <c r="W1362" s="4" t="s">
        <v>776</v>
      </c>
      <c r="X1362" s="3" t="s">
        <v>45</v>
      </c>
      <c r="Y1362" s="3" t="s">
        <v>45</v>
      </c>
      <c r="Z1362" s="3" t="s">
        <v>74</v>
      </c>
      <c r="AA1362" s="3" t="s">
        <v>45</v>
      </c>
      <c r="AB1362" s="3" t="s">
        <v>45</v>
      </c>
      <c r="AC1362" s="3" t="s">
        <v>45</v>
      </c>
      <c r="AD1362" s="3" t="s">
        <v>45</v>
      </c>
      <c r="AE1362" s="3" t="s">
        <v>45</v>
      </c>
      <c r="AF1362" s="3" t="s">
        <v>45</v>
      </c>
      <c r="AG1362" s="3" t="s">
        <v>45</v>
      </c>
      <c r="AH1362" s="3" t="s">
        <v>9906</v>
      </c>
      <c r="AI1362" s="5" t="s">
        <v>11765</v>
      </c>
      <c r="AJ1362" s="3" t="s">
        <v>45</v>
      </c>
      <c r="AK1362" s="3" t="s">
        <v>45</v>
      </c>
      <c r="AL1362" s="3" t="s">
        <v>45</v>
      </c>
      <c r="AM1362" s="3" t="s">
        <v>45</v>
      </c>
      <c r="AN1362" s="3" t="s">
        <v>45</v>
      </c>
      <c r="AO1362" s="3" t="s">
        <v>45</v>
      </c>
      <c r="AP1362" s="3" t="s">
        <v>45</v>
      </c>
      <c r="AQ1362" s="4" t="s">
        <v>9934</v>
      </c>
      <c r="AR1362" s="4" t="s">
        <v>9908</v>
      </c>
    </row>
    <row r="1363">
      <c r="A1363" s="3" t="s">
        <v>11766</v>
      </c>
      <c r="B1363" s="3" t="s">
        <v>11767</v>
      </c>
      <c r="C1363" s="3" t="s">
        <v>11596</v>
      </c>
      <c r="D1363" s="3" t="s">
        <v>9900</v>
      </c>
      <c r="E1363" s="4" t="s">
        <v>11604</v>
      </c>
      <c r="F1363" s="3" t="s">
        <v>10524</v>
      </c>
      <c r="G1363" s="4" t="s">
        <v>11768</v>
      </c>
      <c r="H1363" s="4" t="s">
        <v>11769</v>
      </c>
      <c r="I1363" s="3" t="s">
        <v>49</v>
      </c>
      <c r="J1363" s="3" t="s">
        <v>126</v>
      </c>
      <c r="K1363" s="3" t="s">
        <v>45</v>
      </c>
      <c r="L1363" s="3" t="s">
        <v>11770</v>
      </c>
      <c r="M1363" s="3" t="s">
        <v>45</v>
      </c>
      <c r="N1363" s="3" t="s">
        <v>45</v>
      </c>
      <c r="O1363" s="3" t="s">
        <v>74</v>
      </c>
      <c r="P1363" s="3" t="s">
        <v>45</v>
      </c>
      <c r="Q1363" s="3" t="s">
        <v>45</v>
      </c>
      <c r="R1363" s="3" t="s">
        <v>45</v>
      </c>
      <c r="S1363" s="3" t="s">
        <v>45</v>
      </c>
      <c r="T1363" s="3" t="s">
        <v>45</v>
      </c>
      <c r="U1363" s="3" t="s">
        <v>45</v>
      </c>
      <c r="V1363" s="4" t="s">
        <v>11771</v>
      </c>
      <c r="W1363" s="3" t="s">
        <v>45</v>
      </c>
      <c r="X1363" s="3" t="s">
        <v>45</v>
      </c>
      <c r="Y1363" s="3" t="s">
        <v>45</v>
      </c>
      <c r="Z1363" s="3" t="s">
        <v>74</v>
      </c>
      <c r="AA1363" s="3" t="s">
        <v>45</v>
      </c>
      <c r="AB1363" s="3" t="s">
        <v>45</v>
      </c>
      <c r="AC1363" s="3" t="s">
        <v>45</v>
      </c>
      <c r="AD1363" s="3" t="s">
        <v>45</v>
      </c>
      <c r="AE1363" s="3" t="s">
        <v>45</v>
      </c>
      <c r="AF1363" s="3" t="s">
        <v>45</v>
      </c>
      <c r="AG1363" s="3" t="s">
        <v>45</v>
      </c>
      <c r="AH1363" s="3" t="s">
        <v>9906</v>
      </c>
      <c r="AI1363" s="5" t="s">
        <v>11772</v>
      </c>
      <c r="AJ1363" s="3" t="s">
        <v>45</v>
      </c>
      <c r="AK1363" s="3" t="s">
        <v>45</v>
      </c>
      <c r="AL1363" s="3" t="s">
        <v>45</v>
      </c>
      <c r="AM1363" s="3" t="s">
        <v>45</v>
      </c>
      <c r="AN1363" s="3" t="s">
        <v>45</v>
      </c>
      <c r="AO1363" s="3" t="s">
        <v>45</v>
      </c>
      <c r="AP1363" s="3" t="s">
        <v>45</v>
      </c>
      <c r="AQ1363" s="4" t="s">
        <v>9934</v>
      </c>
      <c r="AR1363" s="4" t="s">
        <v>9908</v>
      </c>
    </row>
    <row r="1364">
      <c r="A1364" s="3" t="s">
        <v>11773</v>
      </c>
      <c r="B1364" s="3" t="s">
        <v>11774</v>
      </c>
      <c r="C1364" s="3" t="s">
        <v>11596</v>
      </c>
      <c r="D1364" s="3" t="s">
        <v>9900</v>
      </c>
      <c r="E1364" s="4" t="s">
        <v>11604</v>
      </c>
      <c r="F1364" s="3" t="s">
        <v>10524</v>
      </c>
      <c r="G1364" s="4" t="s">
        <v>11775</v>
      </c>
      <c r="H1364" s="4" t="s">
        <v>11776</v>
      </c>
      <c r="I1364" s="3" t="s">
        <v>49</v>
      </c>
      <c r="J1364" s="3" t="s">
        <v>126</v>
      </c>
      <c r="K1364" s="3" t="s">
        <v>45</v>
      </c>
      <c r="L1364" s="3" t="s">
        <v>45</v>
      </c>
      <c r="M1364" s="3" t="s">
        <v>45</v>
      </c>
      <c r="N1364" s="3" t="s">
        <v>45</v>
      </c>
      <c r="O1364" s="3" t="s">
        <v>74</v>
      </c>
      <c r="P1364" s="3" t="s">
        <v>45</v>
      </c>
      <c r="Q1364" s="3" t="s">
        <v>45</v>
      </c>
      <c r="R1364" s="3" t="s">
        <v>45</v>
      </c>
      <c r="S1364" s="3" t="s">
        <v>45</v>
      </c>
      <c r="T1364" s="3" t="s">
        <v>45</v>
      </c>
      <c r="U1364" s="3" t="s">
        <v>45</v>
      </c>
      <c r="V1364" s="4" t="s">
        <v>11777</v>
      </c>
      <c r="W1364" s="4" t="s">
        <v>129</v>
      </c>
      <c r="X1364" s="3" t="s">
        <v>45</v>
      </c>
      <c r="Y1364" s="3" t="s">
        <v>45</v>
      </c>
      <c r="Z1364" s="3" t="s">
        <v>55</v>
      </c>
      <c r="AA1364" s="3" t="s">
        <v>45</v>
      </c>
      <c r="AB1364" s="3" t="s">
        <v>45</v>
      </c>
      <c r="AC1364" s="3" t="s">
        <v>45</v>
      </c>
      <c r="AD1364" s="5" t="s">
        <v>11778</v>
      </c>
      <c r="AE1364" s="3" t="s">
        <v>45</v>
      </c>
      <c r="AF1364" s="3" t="s">
        <v>45</v>
      </c>
      <c r="AG1364" s="3" t="s">
        <v>11779</v>
      </c>
      <c r="AH1364" s="3" t="s">
        <v>57</v>
      </c>
      <c r="AI1364" s="5" t="s">
        <v>11780</v>
      </c>
      <c r="AJ1364" s="5" t="s">
        <v>11781</v>
      </c>
      <c r="AK1364" s="5" t="s">
        <v>11782</v>
      </c>
      <c r="AL1364" s="5" t="s">
        <v>11783</v>
      </c>
      <c r="AM1364" s="3" t="s">
        <v>45</v>
      </c>
      <c r="AN1364" s="3" t="s">
        <v>45</v>
      </c>
      <c r="AO1364" s="3" t="s">
        <v>45</v>
      </c>
      <c r="AP1364" s="3" t="s">
        <v>45</v>
      </c>
      <c r="AQ1364" s="4" t="s">
        <v>10685</v>
      </c>
      <c r="AR1364" s="4" t="s">
        <v>8164</v>
      </c>
    </row>
    <row r="1365">
      <c r="A1365" s="3" t="s">
        <v>11784</v>
      </c>
      <c r="B1365" s="3" t="s">
        <v>11785</v>
      </c>
      <c r="C1365" s="3" t="s">
        <v>11596</v>
      </c>
      <c r="D1365" s="3" t="s">
        <v>9900</v>
      </c>
      <c r="E1365" s="4" t="s">
        <v>11604</v>
      </c>
      <c r="F1365" s="3" t="s">
        <v>10524</v>
      </c>
      <c r="G1365" s="4" t="s">
        <v>11786</v>
      </c>
      <c r="H1365" s="4" t="s">
        <v>11787</v>
      </c>
      <c r="I1365" s="3" t="s">
        <v>85</v>
      </c>
      <c r="J1365" s="3" t="s">
        <v>126</v>
      </c>
      <c r="K1365" s="3" t="s">
        <v>45</v>
      </c>
      <c r="L1365" s="3" t="s">
        <v>11784</v>
      </c>
      <c r="M1365" s="3" t="s">
        <v>45</v>
      </c>
      <c r="N1365" s="3" t="s">
        <v>45</v>
      </c>
      <c r="O1365" s="3" t="s">
        <v>74</v>
      </c>
      <c r="P1365" s="3" t="s">
        <v>45</v>
      </c>
      <c r="Q1365" s="3" t="s">
        <v>45</v>
      </c>
      <c r="R1365" s="3" t="s">
        <v>45</v>
      </c>
      <c r="S1365" s="3" t="s">
        <v>45</v>
      </c>
      <c r="T1365" s="3" t="s">
        <v>45</v>
      </c>
      <c r="U1365" s="3" t="s">
        <v>45</v>
      </c>
      <c r="V1365" s="4" t="s">
        <v>11788</v>
      </c>
      <c r="W1365" s="4" t="s">
        <v>6561</v>
      </c>
      <c r="X1365" s="3" t="s">
        <v>45</v>
      </c>
      <c r="Y1365" s="3" t="s">
        <v>45</v>
      </c>
      <c r="Z1365" s="3" t="s">
        <v>74</v>
      </c>
      <c r="AA1365" s="3" t="s">
        <v>45</v>
      </c>
      <c r="AB1365" s="3" t="s">
        <v>45</v>
      </c>
      <c r="AC1365" s="3" t="s">
        <v>45</v>
      </c>
      <c r="AD1365" s="3" t="s">
        <v>45</v>
      </c>
      <c r="AE1365" s="3" t="s">
        <v>45</v>
      </c>
      <c r="AF1365" s="3" t="s">
        <v>45</v>
      </c>
      <c r="AG1365" s="3" t="s">
        <v>45</v>
      </c>
      <c r="AH1365" s="3" t="s">
        <v>9906</v>
      </c>
      <c r="AI1365" s="5" t="s">
        <v>11789</v>
      </c>
      <c r="AJ1365" s="3" t="s">
        <v>45</v>
      </c>
      <c r="AK1365" s="3" t="s">
        <v>45</v>
      </c>
      <c r="AL1365" s="3" t="s">
        <v>45</v>
      </c>
      <c r="AM1365" s="3" t="s">
        <v>45</v>
      </c>
      <c r="AN1365" s="3" t="s">
        <v>45</v>
      </c>
      <c r="AO1365" s="3" t="s">
        <v>45</v>
      </c>
      <c r="AP1365" s="3" t="s">
        <v>45</v>
      </c>
      <c r="AQ1365" s="4" t="s">
        <v>9934</v>
      </c>
      <c r="AR1365" s="4" t="s">
        <v>9908</v>
      </c>
    </row>
    <row r="1366">
      <c r="A1366" s="3" t="s">
        <v>11790</v>
      </c>
      <c r="B1366" s="3" t="s">
        <v>11791</v>
      </c>
      <c r="C1366" s="3" t="s">
        <v>11596</v>
      </c>
      <c r="D1366" s="3" t="s">
        <v>9900</v>
      </c>
      <c r="E1366" s="4" t="s">
        <v>11192</v>
      </c>
      <c r="F1366" s="3" t="s">
        <v>10524</v>
      </c>
      <c r="G1366" s="4" t="s">
        <v>11792</v>
      </c>
      <c r="H1366" s="4" t="s">
        <v>11793</v>
      </c>
      <c r="I1366" s="3" t="s">
        <v>49</v>
      </c>
      <c r="J1366" s="3" t="s">
        <v>126</v>
      </c>
      <c r="K1366" s="3" t="s">
        <v>45</v>
      </c>
      <c r="L1366" s="3" t="s">
        <v>45</v>
      </c>
      <c r="M1366" s="3" t="s">
        <v>45</v>
      </c>
      <c r="N1366" s="3" t="s">
        <v>45</v>
      </c>
      <c r="O1366" s="3" t="s">
        <v>74</v>
      </c>
      <c r="P1366" s="3" t="s">
        <v>45</v>
      </c>
      <c r="Q1366" s="3" t="s">
        <v>45</v>
      </c>
      <c r="R1366" s="3" t="s">
        <v>45</v>
      </c>
      <c r="S1366" s="3" t="s">
        <v>45</v>
      </c>
      <c r="T1366" s="3" t="s">
        <v>45</v>
      </c>
      <c r="U1366" s="3" t="s">
        <v>45</v>
      </c>
      <c r="V1366" s="4" t="s">
        <v>11794</v>
      </c>
      <c r="W1366" s="4" t="s">
        <v>861</v>
      </c>
      <c r="X1366" s="3" t="s">
        <v>45</v>
      </c>
      <c r="Y1366" s="3" t="s">
        <v>45</v>
      </c>
      <c r="Z1366" s="3" t="s">
        <v>74</v>
      </c>
      <c r="AA1366" s="3" t="s">
        <v>45</v>
      </c>
      <c r="AB1366" s="3" t="s">
        <v>45</v>
      </c>
      <c r="AC1366" s="3" t="s">
        <v>45</v>
      </c>
      <c r="AD1366" s="3" t="s">
        <v>45</v>
      </c>
      <c r="AE1366" s="3" t="s">
        <v>45</v>
      </c>
      <c r="AF1366" s="3" t="s">
        <v>45</v>
      </c>
      <c r="AG1366" s="3" t="s">
        <v>11795</v>
      </c>
      <c r="AH1366" s="3" t="s">
        <v>9906</v>
      </c>
      <c r="AI1366" s="5" t="s">
        <v>11796</v>
      </c>
      <c r="AJ1366" s="5" t="s">
        <v>11797</v>
      </c>
      <c r="AK1366" s="3" t="s">
        <v>45</v>
      </c>
      <c r="AL1366" s="3" t="s">
        <v>45</v>
      </c>
      <c r="AM1366" s="3" t="s">
        <v>45</v>
      </c>
      <c r="AN1366" s="3" t="s">
        <v>45</v>
      </c>
      <c r="AO1366" s="3" t="s">
        <v>45</v>
      </c>
      <c r="AP1366" s="3" t="s">
        <v>45</v>
      </c>
      <c r="AQ1366" s="4" t="s">
        <v>10530</v>
      </c>
      <c r="AR1366" s="4" t="s">
        <v>9908</v>
      </c>
    </row>
    <row r="1367">
      <c r="A1367" s="3" t="s">
        <v>11798</v>
      </c>
      <c r="B1367" s="3" t="s">
        <v>11799</v>
      </c>
      <c r="C1367" s="3" t="s">
        <v>11596</v>
      </c>
      <c r="D1367" s="3" t="s">
        <v>9900</v>
      </c>
      <c r="E1367" s="4" t="s">
        <v>11192</v>
      </c>
      <c r="F1367" s="3" t="s">
        <v>10524</v>
      </c>
      <c r="G1367" s="4" t="s">
        <v>11800</v>
      </c>
      <c r="H1367" s="4" t="s">
        <v>11801</v>
      </c>
      <c r="I1367" s="3" t="s">
        <v>85</v>
      </c>
      <c r="J1367" s="3" t="s">
        <v>126</v>
      </c>
      <c r="K1367" s="3" t="s">
        <v>45</v>
      </c>
      <c r="L1367" s="3" t="s">
        <v>11798</v>
      </c>
      <c r="M1367" s="3" t="s">
        <v>45</v>
      </c>
      <c r="N1367" s="3" t="s">
        <v>45</v>
      </c>
      <c r="O1367" s="3" t="s">
        <v>74</v>
      </c>
      <c r="P1367" s="3" t="s">
        <v>45</v>
      </c>
      <c r="Q1367" s="3" t="s">
        <v>45</v>
      </c>
      <c r="R1367" s="3" t="s">
        <v>45</v>
      </c>
      <c r="S1367" s="3" t="s">
        <v>45</v>
      </c>
      <c r="T1367" s="3" t="s">
        <v>45</v>
      </c>
      <c r="U1367" s="3" t="s">
        <v>45</v>
      </c>
      <c r="V1367" s="4" t="s">
        <v>11802</v>
      </c>
      <c r="W1367" s="4" t="s">
        <v>1610</v>
      </c>
      <c r="X1367" s="3" t="s">
        <v>45</v>
      </c>
      <c r="Y1367" s="3" t="s">
        <v>45</v>
      </c>
      <c r="Z1367" s="3" t="s">
        <v>74</v>
      </c>
      <c r="AA1367" s="3" t="s">
        <v>45</v>
      </c>
      <c r="AB1367" s="3" t="s">
        <v>45</v>
      </c>
      <c r="AC1367" s="3" t="s">
        <v>45</v>
      </c>
      <c r="AD1367" s="3" t="s">
        <v>45</v>
      </c>
      <c r="AE1367" s="3" t="s">
        <v>45</v>
      </c>
      <c r="AF1367" s="3" t="s">
        <v>45</v>
      </c>
      <c r="AG1367" s="3" t="s">
        <v>45</v>
      </c>
      <c r="AH1367" s="3" t="s">
        <v>9906</v>
      </c>
      <c r="AI1367" s="5" t="s">
        <v>11803</v>
      </c>
      <c r="AJ1367" s="3" t="s">
        <v>45</v>
      </c>
      <c r="AK1367" s="3" t="s">
        <v>45</v>
      </c>
      <c r="AL1367" s="3" t="s">
        <v>45</v>
      </c>
      <c r="AM1367" s="3" t="s">
        <v>45</v>
      </c>
      <c r="AN1367" s="3" t="s">
        <v>45</v>
      </c>
      <c r="AO1367" s="3" t="s">
        <v>45</v>
      </c>
      <c r="AP1367" s="3" t="s">
        <v>45</v>
      </c>
      <c r="AQ1367" s="4" t="s">
        <v>9934</v>
      </c>
      <c r="AR1367" s="4" t="s">
        <v>9908</v>
      </c>
    </row>
    <row r="1368">
      <c r="A1368" s="3" t="s">
        <v>11804</v>
      </c>
      <c r="B1368" s="3" t="s">
        <v>11805</v>
      </c>
      <c r="C1368" s="3" t="s">
        <v>11596</v>
      </c>
      <c r="D1368" s="3" t="s">
        <v>9900</v>
      </c>
      <c r="E1368" s="4" t="s">
        <v>10600</v>
      </c>
      <c r="F1368" s="3" t="s">
        <v>10524</v>
      </c>
      <c r="G1368" s="4" t="s">
        <v>11806</v>
      </c>
      <c r="H1368" s="4" t="s">
        <v>11807</v>
      </c>
      <c r="I1368" s="3" t="s">
        <v>49</v>
      </c>
      <c r="J1368" s="3" t="s">
        <v>126</v>
      </c>
      <c r="K1368" s="3" t="s">
        <v>45</v>
      </c>
      <c r="L1368" s="3" t="s">
        <v>11808</v>
      </c>
      <c r="M1368" s="3" t="s">
        <v>45</v>
      </c>
      <c r="N1368" s="3" t="s">
        <v>45</v>
      </c>
      <c r="O1368" s="3" t="s">
        <v>74</v>
      </c>
      <c r="P1368" s="3" t="s">
        <v>45</v>
      </c>
      <c r="Q1368" s="3" t="s">
        <v>45</v>
      </c>
      <c r="R1368" s="3" t="s">
        <v>45</v>
      </c>
      <c r="S1368" s="3" t="s">
        <v>45</v>
      </c>
      <c r="T1368" s="3" t="s">
        <v>45</v>
      </c>
      <c r="U1368" s="3" t="s">
        <v>45</v>
      </c>
      <c r="V1368" s="4" t="s">
        <v>990</v>
      </c>
      <c r="W1368" s="4" t="s">
        <v>3085</v>
      </c>
      <c r="X1368" s="3" t="s">
        <v>45</v>
      </c>
      <c r="Y1368" s="3" t="s">
        <v>45</v>
      </c>
      <c r="Z1368" s="3" t="s">
        <v>74</v>
      </c>
      <c r="AA1368" s="3" t="s">
        <v>45</v>
      </c>
      <c r="AB1368" s="3" t="s">
        <v>45</v>
      </c>
      <c r="AC1368" s="3" t="s">
        <v>45</v>
      </c>
      <c r="AD1368" s="3" t="s">
        <v>45</v>
      </c>
      <c r="AE1368" s="3" t="s">
        <v>45</v>
      </c>
      <c r="AF1368" s="3" t="s">
        <v>45</v>
      </c>
      <c r="AG1368" s="3" t="s">
        <v>45</v>
      </c>
      <c r="AH1368" s="3" t="s">
        <v>9906</v>
      </c>
      <c r="AI1368" s="5" t="s">
        <v>11809</v>
      </c>
      <c r="AJ1368" s="5" t="s">
        <v>11810</v>
      </c>
      <c r="AK1368" s="3" t="s">
        <v>45</v>
      </c>
      <c r="AL1368" s="3" t="s">
        <v>45</v>
      </c>
      <c r="AM1368" s="3" t="s">
        <v>45</v>
      </c>
      <c r="AN1368" s="3" t="s">
        <v>45</v>
      </c>
      <c r="AO1368" s="3" t="s">
        <v>45</v>
      </c>
      <c r="AP1368" s="3" t="s">
        <v>45</v>
      </c>
      <c r="AQ1368" s="4" t="s">
        <v>9934</v>
      </c>
      <c r="AR1368" s="4" t="s">
        <v>9908</v>
      </c>
    </row>
    <row r="1369">
      <c r="A1369" s="3" t="s">
        <v>11811</v>
      </c>
      <c r="B1369" s="3" t="s">
        <v>11812</v>
      </c>
      <c r="C1369" s="3" t="s">
        <v>11596</v>
      </c>
      <c r="D1369" s="3" t="s">
        <v>9900</v>
      </c>
      <c r="E1369" s="4" t="s">
        <v>11192</v>
      </c>
      <c r="F1369" s="3" t="s">
        <v>10524</v>
      </c>
      <c r="G1369" s="4" t="s">
        <v>11813</v>
      </c>
      <c r="H1369" s="4" t="s">
        <v>11814</v>
      </c>
      <c r="I1369" s="3" t="s">
        <v>85</v>
      </c>
      <c r="J1369" s="3" t="s">
        <v>126</v>
      </c>
      <c r="K1369" s="3" t="s">
        <v>45</v>
      </c>
      <c r="L1369" s="3" t="s">
        <v>11811</v>
      </c>
      <c r="M1369" s="3" t="s">
        <v>45</v>
      </c>
      <c r="N1369" s="3" t="s">
        <v>45</v>
      </c>
      <c r="O1369" s="3" t="s">
        <v>74</v>
      </c>
      <c r="P1369" s="3" t="s">
        <v>45</v>
      </c>
      <c r="Q1369" s="3" t="s">
        <v>45</v>
      </c>
      <c r="R1369" s="3" t="s">
        <v>45</v>
      </c>
      <c r="S1369" s="3" t="s">
        <v>45</v>
      </c>
      <c r="T1369" s="3" t="s">
        <v>45</v>
      </c>
      <c r="U1369" s="3" t="s">
        <v>45</v>
      </c>
      <c r="V1369" s="4" t="s">
        <v>11220</v>
      </c>
      <c r="W1369" s="4" t="s">
        <v>2982</v>
      </c>
      <c r="X1369" s="3" t="s">
        <v>45</v>
      </c>
      <c r="Y1369" s="3" t="s">
        <v>45</v>
      </c>
      <c r="Z1369" s="3" t="s">
        <v>74</v>
      </c>
      <c r="AA1369" s="3" t="s">
        <v>45</v>
      </c>
      <c r="AB1369" s="3" t="s">
        <v>45</v>
      </c>
      <c r="AC1369" s="3" t="s">
        <v>45</v>
      </c>
      <c r="AD1369" s="3" t="s">
        <v>45</v>
      </c>
      <c r="AE1369" s="3" t="s">
        <v>45</v>
      </c>
      <c r="AF1369" s="3" t="s">
        <v>45</v>
      </c>
      <c r="AG1369" s="3" t="s">
        <v>45</v>
      </c>
      <c r="AH1369" s="3" t="s">
        <v>9906</v>
      </c>
      <c r="AI1369" s="5" t="s">
        <v>11815</v>
      </c>
      <c r="AJ1369" s="3" t="s">
        <v>45</v>
      </c>
      <c r="AK1369" s="3" t="s">
        <v>45</v>
      </c>
      <c r="AL1369" s="3" t="s">
        <v>45</v>
      </c>
      <c r="AM1369" s="3" t="s">
        <v>45</v>
      </c>
      <c r="AN1369" s="3" t="s">
        <v>45</v>
      </c>
      <c r="AO1369" s="3" t="s">
        <v>45</v>
      </c>
      <c r="AP1369" s="3" t="s">
        <v>45</v>
      </c>
      <c r="AQ1369" s="4" t="s">
        <v>9934</v>
      </c>
      <c r="AR1369" s="4" t="s">
        <v>9908</v>
      </c>
    </row>
    <row r="1370">
      <c r="A1370" s="3" t="s">
        <v>11816</v>
      </c>
      <c r="B1370" s="3" t="s">
        <v>11817</v>
      </c>
      <c r="C1370" s="3" t="s">
        <v>11596</v>
      </c>
      <c r="D1370" s="3" t="s">
        <v>9900</v>
      </c>
      <c r="E1370" s="4" t="s">
        <v>10600</v>
      </c>
      <c r="F1370" s="3" t="s">
        <v>10524</v>
      </c>
      <c r="G1370" s="4" t="s">
        <v>11818</v>
      </c>
      <c r="H1370" s="4" t="s">
        <v>11819</v>
      </c>
      <c r="I1370" s="3" t="s">
        <v>49</v>
      </c>
      <c r="J1370" s="3" t="s">
        <v>126</v>
      </c>
      <c r="K1370" s="3" t="s">
        <v>45</v>
      </c>
      <c r="L1370" s="3" t="s">
        <v>45</v>
      </c>
      <c r="M1370" s="3" t="s">
        <v>45</v>
      </c>
      <c r="N1370" s="3" t="s">
        <v>45</v>
      </c>
      <c r="O1370" s="3" t="s">
        <v>74</v>
      </c>
      <c r="P1370" s="3" t="s">
        <v>45</v>
      </c>
      <c r="Q1370" s="3" t="s">
        <v>45</v>
      </c>
      <c r="R1370" s="3" t="s">
        <v>45</v>
      </c>
      <c r="S1370" s="3" t="s">
        <v>45</v>
      </c>
      <c r="T1370" s="3" t="s">
        <v>45</v>
      </c>
      <c r="U1370" s="3" t="s">
        <v>45</v>
      </c>
      <c r="V1370" s="4" t="s">
        <v>11820</v>
      </c>
      <c r="W1370" s="4" t="s">
        <v>880</v>
      </c>
      <c r="X1370" s="3" t="s">
        <v>45</v>
      </c>
      <c r="Y1370" s="3" t="s">
        <v>45</v>
      </c>
      <c r="Z1370" s="3" t="s">
        <v>74</v>
      </c>
      <c r="AA1370" s="3" t="s">
        <v>45</v>
      </c>
      <c r="AB1370" s="3" t="s">
        <v>45</v>
      </c>
      <c r="AC1370" s="3" t="s">
        <v>45</v>
      </c>
      <c r="AD1370" s="3" t="s">
        <v>45</v>
      </c>
      <c r="AE1370" s="3" t="s">
        <v>45</v>
      </c>
      <c r="AF1370" s="3" t="s">
        <v>45</v>
      </c>
      <c r="AG1370" s="3" t="s">
        <v>11821</v>
      </c>
      <c r="AH1370" s="3" t="s">
        <v>9906</v>
      </c>
      <c r="AI1370" s="5" t="s">
        <v>11822</v>
      </c>
      <c r="AJ1370" s="5" t="s">
        <v>11823</v>
      </c>
      <c r="AK1370" s="3" t="s">
        <v>45</v>
      </c>
      <c r="AL1370" s="3" t="s">
        <v>45</v>
      </c>
      <c r="AM1370" s="3" t="s">
        <v>45</v>
      </c>
      <c r="AN1370" s="3" t="s">
        <v>45</v>
      </c>
      <c r="AO1370" s="3" t="s">
        <v>45</v>
      </c>
      <c r="AP1370" s="3" t="s">
        <v>45</v>
      </c>
      <c r="AQ1370" s="4" t="s">
        <v>11824</v>
      </c>
      <c r="AR1370" s="4" t="s">
        <v>9908</v>
      </c>
    </row>
    <row r="1371">
      <c r="A1371" s="3" t="s">
        <v>11825</v>
      </c>
      <c r="B1371" s="3" t="s">
        <v>11826</v>
      </c>
      <c r="C1371" s="3" t="s">
        <v>11596</v>
      </c>
      <c r="D1371" s="3" t="s">
        <v>9900</v>
      </c>
      <c r="E1371" s="4" t="s">
        <v>11192</v>
      </c>
      <c r="F1371" s="3" t="s">
        <v>10524</v>
      </c>
      <c r="G1371" s="4" t="s">
        <v>11827</v>
      </c>
      <c r="H1371" s="4" t="s">
        <v>11828</v>
      </c>
      <c r="I1371" s="3" t="s">
        <v>49</v>
      </c>
      <c r="J1371" s="3" t="s">
        <v>126</v>
      </c>
      <c r="K1371" s="3" t="s">
        <v>45</v>
      </c>
      <c r="L1371" s="3" t="s">
        <v>45</v>
      </c>
      <c r="M1371" s="3" t="s">
        <v>45</v>
      </c>
      <c r="N1371" s="3" t="s">
        <v>45</v>
      </c>
      <c r="O1371" s="3" t="s">
        <v>74</v>
      </c>
      <c r="P1371" s="3" t="s">
        <v>45</v>
      </c>
      <c r="Q1371" s="3" t="s">
        <v>45</v>
      </c>
      <c r="R1371" s="3" t="s">
        <v>45</v>
      </c>
      <c r="S1371" s="3" t="s">
        <v>45</v>
      </c>
      <c r="T1371" s="3" t="s">
        <v>45</v>
      </c>
      <c r="U1371" s="3" t="s">
        <v>45</v>
      </c>
      <c r="V1371" s="4" t="s">
        <v>11829</v>
      </c>
      <c r="W1371" s="4" t="s">
        <v>2034</v>
      </c>
      <c r="X1371" s="3" t="s">
        <v>45</v>
      </c>
      <c r="Y1371" s="3" t="s">
        <v>45</v>
      </c>
      <c r="Z1371" s="3" t="s">
        <v>74</v>
      </c>
      <c r="AA1371" s="3" t="s">
        <v>45</v>
      </c>
      <c r="AB1371" s="3" t="s">
        <v>45</v>
      </c>
      <c r="AC1371" s="3" t="s">
        <v>45</v>
      </c>
      <c r="AD1371" s="3" t="s">
        <v>45</v>
      </c>
      <c r="AE1371" s="3" t="s">
        <v>45</v>
      </c>
      <c r="AF1371" s="3" t="s">
        <v>45</v>
      </c>
      <c r="AG1371" s="3" t="s">
        <v>11830</v>
      </c>
      <c r="AH1371" s="3" t="s">
        <v>9906</v>
      </c>
      <c r="AI1371" s="5" t="s">
        <v>11831</v>
      </c>
      <c r="AJ1371" s="5" t="s">
        <v>11832</v>
      </c>
      <c r="AK1371" s="3" t="s">
        <v>45</v>
      </c>
      <c r="AL1371" s="3" t="s">
        <v>45</v>
      </c>
      <c r="AM1371" s="3" t="s">
        <v>45</v>
      </c>
      <c r="AN1371" s="3" t="s">
        <v>45</v>
      </c>
      <c r="AO1371" s="3" t="s">
        <v>45</v>
      </c>
      <c r="AP1371" s="3" t="s">
        <v>45</v>
      </c>
      <c r="AQ1371" s="4" t="s">
        <v>10530</v>
      </c>
      <c r="AR1371" s="4" t="s">
        <v>9908</v>
      </c>
    </row>
    <row r="1372">
      <c r="A1372" s="3" t="s">
        <v>11833</v>
      </c>
      <c r="B1372" s="3" t="s">
        <v>11834</v>
      </c>
      <c r="C1372" s="3" t="s">
        <v>11596</v>
      </c>
      <c r="D1372" s="3" t="s">
        <v>9900</v>
      </c>
      <c r="E1372" s="4" t="s">
        <v>11192</v>
      </c>
      <c r="F1372" s="3" t="s">
        <v>10524</v>
      </c>
      <c r="G1372" s="4" t="s">
        <v>11835</v>
      </c>
      <c r="H1372" s="4" t="s">
        <v>11836</v>
      </c>
      <c r="I1372" s="3" t="s">
        <v>49</v>
      </c>
      <c r="J1372" s="3" t="s">
        <v>126</v>
      </c>
      <c r="K1372" s="3" t="s">
        <v>45</v>
      </c>
      <c r="L1372" s="3" t="s">
        <v>10379</v>
      </c>
      <c r="M1372" s="3" t="s">
        <v>45</v>
      </c>
      <c r="N1372" s="4" t="s">
        <v>879</v>
      </c>
      <c r="O1372" s="3" t="s">
        <v>390</v>
      </c>
      <c r="P1372" s="3" t="s">
        <v>45</v>
      </c>
      <c r="Q1372" s="3" t="s">
        <v>45</v>
      </c>
      <c r="R1372" s="3" t="s">
        <v>45</v>
      </c>
      <c r="S1372" s="3" t="s">
        <v>45</v>
      </c>
      <c r="T1372" s="3" t="s">
        <v>45</v>
      </c>
      <c r="U1372" s="3" t="s">
        <v>45</v>
      </c>
      <c r="V1372" s="4" t="s">
        <v>904</v>
      </c>
      <c r="W1372" s="4" t="s">
        <v>389</v>
      </c>
      <c r="X1372" s="3" t="s">
        <v>45</v>
      </c>
      <c r="Y1372" s="3" t="s">
        <v>45</v>
      </c>
      <c r="Z1372" s="3" t="s">
        <v>74</v>
      </c>
      <c r="AA1372" s="3" t="s">
        <v>45</v>
      </c>
      <c r="AB1372" s="3" t="s">
        <v>45</v>
      </c>
      <c r="AC1372" s="3" t="s">
        <v>45</v>
      </c>
      <c r="AD1372" s="3" t="s">
        <v>45</v>
      </c>
      <c r="AE1372" s="3" t="s">
        <v>45</v>
      </c>
      <c r="AF1372" s="3" t="s">
        <v>45</v>
      </c>
      <c r="AG1372" s="3" t="s">
        <v>45</v>
      </c>
      <c r="AH1372" s="3" t="s">
        <v>9906</v>
      </c>
      <c r="AI1372" s="5" t="s">
        <v>11837</v>
      </c>
      <c r="AJ1372" s="5" t="s">
        <v>11838</v>
      </c>
      <c r="AK1372" s="3" t="s">
        <v>45</v>
      </c>
      <c r="AL1372" s="3" t="s">
        <v>45</v>
      </c>
      <c r="AM1372" s="3" t="s">
        <v>45</v>
      </c>
      <c r="AN1372" s="3" t="s">
        <v>45</v>
      </c>
      <c r="AO1372" s="3" t="s">
        <v>45</v>
      </c>
      <c r="AP1372" s="3" t="s">
        <v>45</v>
      </c>
      <c r="AQ1372" s="4" t="s">
        <v>9934</v>
      </c>
      <c r="AR1372" s="4" t="s">
        <v>9908</v>
      </c>
    </row>
    <row r="1373">
      <c r="A1373" s="3" t="s">
        <v>11839</v>
      </c>
      <c r="B1373" s="3" t="s">
        <v>11840</v>
      </c>
      <c r="C1373" s="3" t="s">
        <v>11596</v>
      </c>
      <c r="D1373" s="3" t="s">
        <v>9900</v>
      </c>
      <c r="E1373" s="4" t="s">
        <v>11192</v>
      </c>
      <c r="F1373" s="3" t="s">
        <v>10524</v>
      </c>
      <c r="G1373" s="4" t="s">
        <v>11841</v>
      </c>
      <c r="H1373" s="4" t="s">
        <v>11842</v>
      </c>
      <c r="I1373" s="3" t="s">
        <v>49</v>
      </c>
      <c r="J1373" s="3" t="s">
        <v>126</v>
      </c>
      <c r="K1373" s="3" t="s">
        <v>45</v>
      </c>
      <c r="L1373" s="3" t="s">
        <v>479</v>
      </c>
      <c r="M1373" s="3" t="s">
        <v>45</v>
      </c>
      <c r="N1373" s="4" t="s">
        <v>879</v>
      </c>
      <c r="O1373" s="3" t="s">
        <v>390</v>
      </c>
      <c r="P1373" s="3" t="s">
        <v>45</v>
      </c>
      <c r="Q1373" s="3" t="s">
        <v>45</v>
      </c>
      <c r="R1373" s="3" t="s">
        <v>45</v>
      </c>
      <c r="S1373" s="3" t="s">
        <v>45</v>
      </c>
      <c r="T1373" s="3" t="s">
        <v>45</v>
      </c>
      <c r="U1373" s="3" t="s">
        <v>45</v>
      </c>
      <c r="V1373" s="4" t="s">
        <v>904</v>
      </c>
      <c r="W1373" s="4" t="s">
        <v>2373</v>
      </c>
      <c r="X1373" s="3" t="s">
        <v>45</v>
      </c>
      <c r="Y1373" s="3" t="s">
        <v>45</v>
      </c>
      <c r="Z1373" s="3" t="s">
        <v>74</v>
      </c>
      <c r="AA1373" s="3" t="s">
        <v>45</v>
      </c>
      <c r="AB1373" s="3" t="s">
        <v>45</v>
      </c>
      <c r="AC1373" s="3" t="s">
        <v>45</v>
      </c>
      <c r="AD1373" s="3" t="s">
        <v>45</v>
      </c>
      <c r="AE1373" s="3" t="s">
        <v>45</v>
      </c>
      <c r="AF1373" s="3" t="s">
        <v>45</v>
      </c>
      <c r="AG1373" s="3" t="s">
        <v>45</v>
      </c>
      <c r="AH1373" s="3" t="s">
        <v>9906</v>
      </c>
      <c r="AI1373" s="5" t="s">
        <v>11837</v>
      </c>
      <c r="AJ1373" s="5" t="s">
        <v>11843</v>
      </c>
      <c r="AK1373" s="3" t="s">
        <v>45</v>
      </c>
      <c r="AL1373" s="3" t="s">
        <v>45</v>
      </c>
      <c r="AM1373" s="3" t="s">
        <v>45</v>
      </c>
      <c r="AN1373" s="3" t="s">
        <v>45</v>
      </c>
      <c r="AO1373" s="3" t="s">
        <v>45</v>
      </c>
      <c r="AP1373" s="3" t="s">
        <v>45</v>
      </c>
      <c r="AQ1373" s="4" t="s">
        <v>9934</v>
      </c>
      <c r="AR1373" s="4" t="s">
        <v>9908</v>
      </c>
    </row>
    <row r="1374">
      <c r="A1374" s="3" t="s">
        <v>11844</v>
      </c>
      <c r="B1374" s="3" t="s">
        <v>11845</v>
      </c>
      <c r="C1374" s="3" t="s">
        <v>11596</v>
      </c>
      <c r="D1374" s="3" t="s">
        <v>9900</v>
      </c>
      <c r="E1374" s="4" t="s">
        <v>10600</v>
      </c>
      <c r="F1374" s="3" t="s">
        <v>10524</v>
      </c>
      <c r="G1374" s="4" t="s">
        <v>11846</v>
      </c>
      <c r="H1374" s="4" t="s">
        <v>11847</v>
      </c>
      <c r="I1374" s="3" t="s">
        <v>49</v>
      </c>
      <c r="J1374" s="3" t="s">
        <v>126</v>
      </c>
      <c r="K1374" s="3" t="s">
        <v>45</v>
      </c>
      <c r="L1374" s="3" t="s">
        <v>45</v>
      </c>
      <c r="M1374" s="3" t="s">
        <v>45</v>
      </c>
      <c r="N1374" s="3" t="s">
        <v>45</v>
      </c>
      <c r="O1374" s="3" t="s">
        <v>74</v>
      </c>
      <c r="P1374" s="3" t="s">
        <v>45</v>
      </c>
      <c r="Q1374" s="3" t="s">
        <v>45</v>
      </c>
      <c r="R1374" s="3" t="s">
        <v>45</v>
      </c>
      <c r="S1374" s="3" t="s">
        <v>45</v>
      </c>
      <c r="T1374" s="3" t="s">
        <v>45</v>
      </c>
      <c r="U1374" s="3" t="s">
        <v>45</v>
      </c>
      <c r="V1374" s="4" t="s">
        <v>11848</v>
      </c>
      <c r="W1374" s="4" t="s">
        <v>11849</v>
      </c>
      <c r="X1374" s="3" t="s">
        <v>45</v>
      </c>
      <c r="Y1374" s="3" t="s">
        <v>45</v>
      </c>
      <c r="Z1374" s="3" t="s">
        <v>74</v>
      </c>
      <c r="AA1374" s="3" t="s">
        <v>45</v>
      </c>
      <c r="AB1374" s="3" t="s">
        <v>45</v>
      </c>
      <c r="AC1374" s="3" t="s">
        <v>45</v>
      </c>
      <c r="AD1374" s="3" t="s">
        <v>45</v>
      </c>
      <c r="AE1374" s="3" t="s">
        <v>45</v>
      </c>
      <c r="AF1374" s="3" t="s">
        <v>45</v>
      </c>
      <c r="AG1374" s="3" t="s">
        <v>11850</v>
      </c>
      <c r="AH1374" s="3" t="s">
        <v>9906</v>
      </c>
      <c r="AI1374" s="5" t="s">
        <v>11851</v>
      </c>
      <c r="AJ1374" s="5" t="s">
        <v>11852</v>
      </c>
      <c r="AK1374" s="3" t="s">
        <v>45</v>
      </c>
      <c r="AL1374" s="3" t="s">
        <v>45</v>
      </c>
      <c r="AM1374" s="3" t="s">
        <v>45</v>
      </c>
      <c r="AN1374" s="3" t="s">
        <v>45</v>
      </c>
      <c r="AO1374" s="3" t="s">
        <v>45</v>
      </c>
      <c r="AP1374" s="3" t="s">
        <v>45</v>
      </c>
      <c r="AQ1374" s="4" t="s">
        <v>11824</v>
      </c>
      <c r="AR1374" s="4" t="s">
        <v>9908</v>
      </c>
    </row>
    <row r="1375">
      <c r="A1375" s="3" t="s">
        <v>11853</v>
      </c>
      <c r="B1375" s="3" t="s">
        <v>11854</v>
      </c>
      <c r="C1375" s="3" t="s">
        <v>11596</v>
      </c>
      <c r="D1375" s="3" t="s">
        <v>9900</v>
      </c>
      <c r="E1375" s="4" t="s">
        <v>10600</v>
      </c>
      <c r="F1375" s="3" t="s">
        <v>10524</v>
      </c>
      <c r="G1375" s="4" t="s">
        <v>11855</v>
      </c>
      <c r="H1375" s="4" t="s">
        <v>11856</v>
      </c>
      <c r="I1375" s="3" t="s">
        <v>436</v>
      </c>
      <c r="J1375" s="3" t="s">
        <v>126</v>
      </c>
      <c r="K1375" s="3" t="s">
        <v>45</v>
      </c>
      <c r="L1375" s="3" t="s">
        <v>11857</v>
      </c>
      <c r="M1375" s="3" t="s">
        <v>45</v>
      </c>
      <c r="N1375" s="3" t="s">
        <v>45</v>
      </c>
      <c r="O1375" s="3" t="s">
        <v>74</v>
      </c>
      <c r="P1375" s="3" t="s">
        <v>45</v>
      </c>
      <c r="Q1375" s="3" t="s">
        <v>45</v>
      </c>
      <c r="R1375" s="3" t="s">
        <v>45</v>
      </c>
      <c r="S1375" s="3" t="s">
        <v>45</v>
      </c>
      <c r="T1375" s="3" t="s">
        <v>45</v>
      </c>
      <c r="U1375" s="3" t="s">
        <v>45</v>
      </c>
      <c r="V1375" s="4" t="s">
        <v>2342</v>
      </c>
      <c r="W1375" s="4" t="s">
        <v>9607</v>
      </c>
      <c r="X1375" s="3" t="s">
        <v>45</v>
      </c>
      <c r="Y1375" s="3" t="s">
        <v>45</v>
      </c>
      <c r="Z1375" s="3" t="s">
        <v>74</v>
      </c>
      <c r="AA1375" s="3" t="s">
        <v>45</v>
      </c>
      <c r="AB1375" s="3" t="s">
        <v>45</v>
      </c>
      <c r="AC1375" s="3" t="s">
        <v>45</v>
      </c>
      <c r="AD1375" s="3" t="s">
        <v>45</v>
      </c>
      <c r="AE1375" s="3" t="s">
        <v>45</v>
      </c>
      <c r="AF1375" s="3" t="s">
        <v>45</v>
      </c>
      <c r="AG1375" s="3" t="s">
        <v>11858</v>
      </c>
      <c r="AH1375" s="3" t="s">
        <v>9906</v>
      </c>
      <c r="AI1375" s="5" t="s">
        <v>11859</v>
      </c>
      <c r="AJ1375" s="5" t="s">
        <v>11860</v>
      </c>
      <c r="AK1375" s="5" t="s">
        <v>11861</v>
      </c>
      <c r="AL1375" s="3" t="s">
        <v>45</v>
      </c>
      <c r="AM1375" s="3" t="s">
        <v>45</v>
      </c>
      <c r="AN1375" s="3" t="s">
        <v>45</v>
      </c>
      <c r="AO1375" s="3" t="s">
        <v>45</v>
      </c>
      <c r="AP1375" s="3" t="s">
        <v>45</v>
      </c>
      <c r="AQ1375" s="4" t="s">
        <v>9934</v>
      </c>
      <c r="AR1375" s="4" t="s">
        <v>457</v>
      </c>
    </row>
    <row r="1376">
      <c r="A1376" s="3" t="s">
        <v>11862</v>
      </c>
      <c r="B1376" s="3" t="s">
        <v>11863</v>
      </c>
      <c r="C1376" s="3" t="s">
        <v>11596</v>
      </c>
      <c r="D1376" s="3" t="s">
        <v>9900</v>
      </c>
      <c r="E1376" s="4" t="s">
        <v>11192</v>
      </c>
      <c r="F1376" s="3" t="s">
        <v>10524</v>
      </c>
      <c r="G1376" s="4" t="s">
        <v>11864</v>
      </c>
      <c r="H1376" s="4" t="s">
        <v>11865</v>
      </c>
      <c r="I1376" s="3" t="s">
        <v>85</v>
      </c>
      <c r="J1376" s="3" t="s">
        <v>126</v>
      </c>
      <c r="K1376" s="3" t="s">
        <v>45</v>
      </c>
      <c r="L1376" s="3" t="s">
        <v>11862</v>
      </c>
      <c r="M1376" s="3" t="s">
        <v>45</v>
      </c>
      <c r="N1376" s="3" t="s">
        <v>45</v>
      </c>
      <c r="O1376" s="3" t="s">
        <v>74</v>
      </c>
      <c r="P1376" s="3" t="s">
        <v>45</v>
      </c>
      <c r="Q1376" s="3" t="s">
        <v>45</v>
      </c>
      <c r="R1376" s="3" t="s">
        <v>45</v>
      </c>
      <c r="S1376" s="3" t="s">
        <v>45</v>
      </c>
      <c r="T1376" s="3" t="s">
        <v>45</v>
      </c>
      <c r="U1376" s="3" t="s">
        <v>45</v>
      </c>
      <c r="V1376" s="4" t="s">
        <v>11866</v>
      </c>
      <c r="W1376" s="4" t="s">
        <v>2982</v>
      </c>
      <c r="X1376" s="3" t="s">
        <v>45</v>
      </c>
      <c r="Y1376" s="3" t="s">
        <v>45</v>
      </c>
      <c r="Z1376" s="3" t="s">
        <v>74</v>
      </c>
      <c r="AA1376" s="3" t="s">
        <v>45</v>
      </c>
      <c r="AB1376" s="3" t="s">
        <v>45</v>
      </c>
      <c r="AC1376" s="3" t="s">
        <v>45</v>
      </c>
      <c r="AD1376" s="3" t="s">
        <v>45</v>
      </c>
      <c r="AE1376" s="3" t="s">
        <v>45</v>
      </c>
      <c r="AF1376" s="3" t="s">
        <v>45</v>
      </c>
      <c r="AG1376" s="3" t="s">
        <v>45</v>
      </c>
      <c r="AH1376" s="3" t="s">
        <v>9906</v>
      </c>
      <c r="AI1376" s="5" t="s">
        <v>11867</v>
      </c>
      <c r="AJ1376" s="3" t="s">
        <v>45</v>
      </c>
      <c r="AK1376" s="3" t="s">
        <v>45</v>
      </c>
      <c r="AL1376" s="3" t="s">
        <v>45</v>
      </c>
      <c r="AM1376" s="3" t="s">
        <v>45</v>
      </c>
      <c r="AN1376" s="3" t="s">
        <v>45</v>
      </c>
      <c r="AO1376" s="3" t="s">
        <v>45</v>
      </c>
      <c r="AP1376" s="3" t="s">
        <v>45</v>
      </c>
      <c r="AQ1376" s="4" t="s">
        <v>9934</v>
      </c>
      <c r="AR1376" s="4" t="s">
        <v>9908</v>
      </c>
    </row>
    <row r="1377">
      <c r="A1377" s="3" t="s">
        <v>11868</v>
      </c>
      <c r="B1377" s="3" t="s">
        <v>11869</v>
      </c>
      <c r="C1377" s="3" t="s">
        <v>11596</v>
      </c>
      <c r="D1377" s="3" t="s">
        <v>9900</v>
      </c>
      <c r="E1377" s="4" t="s">
        <v>11192</v>
      </c>
      <c r="F1377" s="3" t="s">
        <v>10524</v>
      </c>
      <c r="G1377" s="4" t="s">
        <v>11870</v>
      </c>
      <c r="H1377" s="4" t="s">
        <v>11871</v>
      </c>
      <c r="I1377" s="3" t="s">
        <v>49</v>
      </c>
      <c r="J1377" s="3" t="s">
        <v>126</v>
      </c>
      <c r="K1377" s="3" t="s">
        <v>45</v>
      </c>
      <c r="L1377" s="3" t="s">
        <v>45</v>
      </c>
      <c r="M1377" s="3" t="s">
        <v>45</v>
      </c>
      <c r="N1377" s="3" t="s">
        <v>45</v>
      </c>
      <c r="O1377" s="3" t="s">
        <v>74</v>
      </c>
      <c r="P1377" s="3" t="s">
        <v>45</v>
      </c>
      <c r="Q1377" s="3" t="s">
        <v>45</v>
      </c>
      <c r="R1377" s="3" t="s">
        <v>45</v>
      </c>
      <c r="S1377" s="3" t="s">
        <v>45</v>
      </c>
      <c r="T1377" s="3" t="s">
        <v>45</v>
      </c>
      <c r="U1377" s="3" t="s">
        <v>45</v>
      </c>
      <c r="V1377" s="4" t="s">
        <v>11872</v>
      </c>
      <c r="W1377" s="4" t="s">
        <v>5990</v>
      </c>
      <c r="X1377" s="3" t="s">
        <v>45</v>
      </c>
      <c r="Y1377" s="3" t="s">
        <v>45</v>
      </c>
      <c r="Z1377" s="3" t="s">
        <v>74</v>
      </c>
      <c r="AA1377" s="3" t="s">
        <v>45</v>
      </c>
      <c r="AB1377" s="3" t="s">
        <v>45</v>
      </c>
      <c r="AC1377" s="3" t="s">
        <v>45</v>
      </c>
      <c r="AD1377" s="3" t="s">
        <v>45</v>
      </c>
      <c r="AE1377" s="3" t="s">
        <v>45</v>
      </c>
      <c r="AF1377" s="3" t="s">
        <v>45</v>
      </c>
      <c r="AG1377" s="3" t="s">
        <v>10511</v>
      </c>
      <c r="AH1377" s="3" t="s">
        <v>9906</v>
      </c>
      <c r="AI1377" s="5" t="s">
        <v>11873</v>
      </c>
      <c r="AJ1377" s="5" t="s">
        <v>11874</v>
      </c>
      <c r="AK1377" s="3" t="s">
        <v>45</v>
      </c>
      <c r="AL1377" s="3" t="s">
        <v>45</v>
      </c>
      <c r="AM1377" s="3" t="s">
        <v>45</v>
      </c>
      <c r="AN1377" s="3" t="s">
        <v>45</v>
      </c>
      <c r="AO1377" s="3" t="s">
        <v>45</v>
      </c>
      <c r="AP1377" s="3" t="s">
        <v>45</v>
      </c>
      <c r="AQ1377" s="4" t="s">
        <v>10577</v>
      </c>
      <c r="AR1377" s="4" t="s">
        <v>9908</v>
      </c>
    </row>
    <row r="1378">
      <c r="A1378" s="3" t="s">
        <v>11875</v>
      </c>
      <c r="B1378" s="3" t="s">
        <v>11876</v>
      </c>
      <c r="C1378" s="3" t="s">
        <v>11596</v>
      </c>
      <c r="D1378" s="3" t="s">
        <v>9900</v>
      </c>
      <c r="E1378" s="4" t="s">
        <v>11604</v>
      </c>
      <c r="F1378" s="3" t="s">
        <v>10524</v>
      </c>
      <c r="G1378" s="4" t="s">
        <v>11877</v>
      </c>
      <c r="H1378" s="4" t="s">
        <v>11878</v>
      </c>
      <c r="I1378" s="3" t="s">
        <v>85</v>
      </c>
      <c r="J1378" s="3" t="s">
        <v>126</v>
      </c>
      <c r="K1378" s="3" t="s">
        <v>45</v>
      </c>
      <c r="L1378" s="3" t="s">
        <v>11875</v>
      </c>
      <c r="M1378" s="3" t="s">
        <v>45</v>
      </c>
      <c r="N1378" s="3" t="s">
        <v>45</v>
      </c>
      <c r="O1378" s="3" t="s">
        <v>74</v>
      </c>
      <c r="P1378" s="3" t="s">
        <v>45</v>
      </c>
      <c r="Q1378" s="3" t="s">
        <v>45</v>
      </c>
      <c r="R1378" s="3" t="s">
        <v>45</v>
      </c>
      <c r="S1378" s="3" t="s">
        <v>45</v>
      </c>
      <c r="T1378" s="3" t="s">
        <v>45</v>
      </c>
      <c r="U1378" s="3" t="s">
        <v>45</v>
      </c>
      <c r="V1378" s="4" t="s">
        <v>11879</v>
      </c>
      <c r="W1378" s="4" t="s">
        <v>472</v>
      </c>
      <c r="X1378" s="3" t="s">
        <v>45</v>
      </c>
      <c r="Y1378" s="3" t="s">
        <v>45</v>
      </c>
      <c r="Z1378" s="3" t="s">
        <v>74</v>
      </c>
      <c r="AA1378" s="3" t="s">
        <v>45</v>
      </c>
      <c r="AB1378" s="3" t="s">
        <v>45</v>
      </c>
      <c r="AC1378" s="3" t="s">
        <v>45</v>
      </c>
      <c r="AD1378" s="3" t="s">
        <v>45</v>
      </c>
      <c r="AE1378" s="3" t="s">
        <v>45</v>
      </c>
      <c r="AF1378" s="3" t="s">
        <v>45</v>
      </c>
      <c r="AG1378" s="3" t="s">
        <v>45</v>
      </c>
      <c r="AH1378" s="3" t="s">
        <v>9906</v>
      </c>
      <c r="AI1378" s="5" t="s">
        <v>11880</v>
      </c>
      <c r="AJ1378" s="3" t="s">
        <v>45</v>
      </c>
      <c r="AK1378" s="3" t="s">
        <v>45</v>
      </c>
      <c r="AL1378" s="3" t="s">
        <v>45</v>
      </c>
      <c r="AM1378" s="3" t="s">
        <v>45</v>
      </c>
      <c r="AN1378" s="3" t="s">
        <v>45</v>
      </c>
      <c r="AO1378" s="3" t="s">
        <v>45</v>
      </c>
      <c r="AP1378" s="3" t="s">
        <v>45</v>
      </c>
      <c r="AQ1378" s="4" t="s">
        <v>9934</v>
      </c>
      <c r="AR1378" s="4" t="s">
        <v>9908</v>
      </c>
    </row>
    <row r="1379">
      <c r="A1379" s="3" t="s">
        <v>11881</v>
      </c>
      <c r="B1379" s="3" t="s">
        <v>11882</v>
      </c>
      <c r="C1379" s="3" t="s">
        <v>11596</v>
      </c>
      <c r="D1379" s="3" t="s">
        <v>9900</v>
      </c>
      <c r="E1379" s="4" t="s">
        <v>11192</v>
      </c>
      <c r="F1379" s="3" t="s">
        <v>10524</v>
      </c>
      <c r="G1379" s="4" t="s">
        <v>11883</v>
      </c>
      <c r="H1379" s="4" t="s">
        <v>11884</v>
      </c>
      <c r="I1379" s="3" t="s">
        <v>85</v>
      </c>
      <c r="J1379" s="3" t="s">
        <v>126</v>
      </c>
      <c r="K1379" s="3" t="s">
        <v>45</v>
      </c>
      <c r="L1379" s="3" t="s">
        <v>11881</v>
      </c>
      <c r="M1379" s="3" t="s">
        <v>45</v>
      </c>
      <c r="N1379" s="3" t="s">
        <v>45</v>
      </c>
      <c r="O1379" s="3" t="s">
        <v>74</v>
      </c>
      <c r="P1379" s="3" t="s">
        <v>45</v>
      </c>
      <c r="Q1379" s="3" t="s">
        <v>45</v>
      </c>
      <c r="R1379" s="3" t="s">
        <v>45</v>
      </c>
      <c r="S1379" s="3" t="s">
        <v>45</v>
      </c>
      <c r="T1379" s="3" t="s">
        <v>45</v>
      </c>
      <c r="U1379" s="3" t="s">
        <v>45</v>
      </c>
      <c r="V1379" s="4" t="s">
        <v>11885</v>
      </c>
      <c r="W1379" s="4" t="s">
        <v>1951</v>
      </c>
      <c r="X1379" s="3" t="s">
        <v>45</v>
      </c>
      <c r="Y1379" s="3" t="s">
        <v>45</v>
      </c>
      <c r="Z1379" s="3" t="s">
        <v>74</v>
      </c>
      <c r="AA1379" s="3" t="s">
        <v>45</v>
      </c>
      <c r="AB1379" s="3" t="s">
        <v>45</v>
      </c>
      <c r="AC1379" s="3" t="s">
        <v>45</v>
      </c>
      <c r="AD1379" s="3" t="s">
        <v>45</v>
      </c>
      <c r="AE1379" s="3" t="s">
        <v>45</v>
      </c>
      <c r="AF1379" s="3" t="s">
        <v>45</v>
      </c>
      <c r="AG1379" s="3" t="s">
        <v>45</v>
      </c>
      <c r="AH1379" s="3" t="s">
        <v>9906</v>
      </c>
      <c r="AI1379" s="5" t="s">
        <v>11886</v>
      </c>
      <c r="AJ1379" s="3" t="s">
        <v>45</v>
      </c>
      <c r="AK1379" s="3" t="s">
        <v>45</v>
      </c>
      <c r="AL1379" s="3" t="s">
        <v>45</v>
      </c>
      <c r="AM1379" s="3" t="s">
        <v>45</v>
      </c>
      <c r="AN1379" s="3" t="s">
        <v>45</v>
      </c>
      <c r="AO1379" s="3" t="s">
        <v>45</v>
      </c>
      <c r="AP1379" s="3" t="s">
        <v>45</v>
      </c>
      <c r="AQ1379" s="4" t="s">
        <v>9934</v>
      </c>
      <c r="AR1379" s="4" t="s">
        <v>9908</v>
      </c>
    </row>
    <row r="1380">
      <c r="A1380" s="3" t="s">
        <v>11887</v>
      </c>
      <c r="B1380" s="3" t="s">
        <v>11888</v>
      </c>
      <c r="C1380" s="3" t="s">
        <v>11596</v>
      </c>
      <c r="D1380" s="3" t="s">
        <v>9900</v>
      </c>
      <c r="E1380" s="4" t="s">
        <v>11604</v>
      </c>
      <c r="F1380" s="3" t="s">
        <v>10524</v>
      </c>
      <c r="G1380" s="4" t="s">
        <v>11889</v>
      </c>
      <c r="H1380" s="4" t="s">
        <v>11890</v>
      </c>
      <c r="I1380" s="3" t="s">
        <v>408</v>
      </c>
      <c r="J1380" s="3" t="s">
        <v>126</v>
      </c>
      <c r="K1380" s="3" t="s">
        <v>45</v>
      </c>
      <c r="L1380" s="3" t="s">
        <v>11887</v>
      </c>
      <c r="M1380" s="3" t="s">
        <v>45</v>
      </c>
      <c r="N1380" s="3" t="s">
        <v>45</v>
      </c>
      <c r="O1380" s="3" t="s">
        <v>74</v>
      </c>
      <c r="P1380" s="3" t="s">
        <v>45</v>
      </c>
      <c r="Q1380" s="3" t="s">
        <v>45</v>
      </c>
      <c r="R1380" s="3" t="s">
        <v>45</v>
      </c>
      <c r="S1380" s="3" t="s">
        <v>45</v>
      </c>
      <c r="T1380" s="3" t="s">
        <v>45</v>
      </c>
      <c r="U1380" s="3" t="s">
        <v>45</v>
      </c>
      <c r="V1380" s="4" t="s">
        <v>11891</v>
      </c>
      <c r="W1380" s="4" t="s">
        <v>389</v>
      </c>
      <c r="X1380" s="3" t="s">
        <v>45</v>
      </c>
      <c r="Y1380" s="3" t="s">
        <v>45</v>
      </c>
      <c r="Z1380" s="3" t="s">
        <v>74</v>
      </c>
      <c r="AA1380" s="3" t="s">
        <v>45</v>
      </c>
      <c r="AB1380" s="3" t="s">
        <v>45</v>
      </c>
      <c r="AC1380" s="3" t="s">
        <v>45</v>
      </c>
      <c r="AD1380" s="3" t="s">
        <v>45</v>
      </c>
      <c r="AE1380" s="3" t="s">
        <v>45</v>
      </c>
      <c r="AF1380" s="3" t="s">
        <v>45</v>
      </c>
      <c r="AG1380" s="3" t="s">
        <v>11892</v>
      </c>
      <c r="AH1380" s="3" t="s">
        <v>9906</v>
      </c>
      <c r="AI1380" s="5" t="s">
        <v>11893</v>
      </c>
      <c r="AJ1380" s="5" t="s">
        <v>11894</v>
      </c>
      <c r="AK1380" s="5" t="s">
        <v>11895</v>
      </c>
      <c r="AL1380" s="3" t="s">
        <v>45</v>
      </c>
      <c r="AM1380" s="3" t="s">
        <v>45</v>
      </c>
      <c r="AN1380" s="3" t="s">
        <v>45</v>
      </c>
      <c r="AO1380" s="3" t="s">
        <v>45</v>
      </c>
      <c r="AP1380" s="3" t="s">
        <v>45</v>
      </c>
      <c r="AQ1380" s="4" t="s">
        <v>9934</v>
      </c>
      <c r="AR1380" s="4" t="s">
        <v>224</v>
      </c>
    </row>
    <row r="1381">
      <c r="A1381" s="3" t="s">
        <v>11896</v>
      </c>
      <c r="B1381" s="3" t="s">
        <v>11897</v>
      </c>
      <c r="C1381" s="3" t="s">
        <v>11596</v>
      </c>
      <c r="D1381" s="3" t="s">
        <v>9900</v>
      </c>
      <c r="E1381" s="4" t="s">
        <v>11604</v>
      </c>
      <c r="F1381" s="3" t="s">
        <v>10524</v>
      </c>
      <c r="G1381" s="4" t="s">
        <v>11898</v>
      </c>
      <c r="H1381" s="4" t="s">
        <v>11899</v>
      </c>
      <c r="I1381" s="3" t="s">
        <v>408</v>
      </c>
      <c r="J1381" s="3" t="s">
        <v>126</v>
      </c>
      <c r="K1381" s="3" t="s">
        <v>45</v>
      </c>
      <c r="L1381" s="3" t="s">
        <v>11900</v>
      </c>
      <c r="M1381" s="3" t="s">
        <v>45</v>
      </c>
      <c r="N1381" s="3" t="s">
        <v>45</v>
      </c>
      <c r="O1381" s="3" t="s">
        <v>74</v>
      </c>
      <c r="P1381" s="3" t="s">
        <v>45</v>
      </c>
      <c r="Q1381" s="3" t="s">
        <v>45</v>
      </c>
      <c r="R1381" s="3" t="s">
        <v>45</v>
      </c>
      <c r="S1381" s="3" t="s">
        <v>45</v>
      </c>
      <c r="T1381" s="3" t="s">
        <v>45</v>
      </c>
      <c r="U1381" s="3" t="s">
        <v>45</v>
      </c>
      <c r="V1381" s="4" t="s">
        <v>11891</v>
      </c>
      <c r="W1381" s="3" t="s">
        <v>45</v>
      </c>
      <c r="X1381" s="3" t="s">
        <v>45</v>
      </c>
      <c r="Y1381" s="3" t="s">
        <v>45</v>
      </c>
      <c r="Z1381" s="3" t="s">
        <v>74</v>
      </c>
      <c r="AA1381" s="3" t="s">
        <v>45</v>
      </c>
      <c r="AB1381" s="3" t="s">
        <v>45</v>
      </c>
      <c r="AC1381" s="3" t="s">
        <v>45</v>
      </c>
      <c r="AD1381" s="3" t="s">
        <v>45</v>
      </c>
      <c r="AE1381" s="3" t="s">
        <v>45</v>
      </c>
      <c r="AF1381" s="3" t="s">
        <v>45</v>
      </c>
      <c r="AG1381" s="3" t="s">
        <v>45</v>
      </c>
      <c r="AH1381" s="3" t="s">
        <v>9906</v>
      </c>
      <c r="AI1381" s="5" t="s">
        <v>11901</v>
      </c>
      <c r="AJ1381" s="5" t="s">
        <v>11902</v>
      </c>
      <c r="AK1381" s="3" t="s">
        <v>45</v>
      </c>
      <c r="AL1381" s="3" t="s">
        <v>45</v>
      </c>
      <c r="AM1381" s="3" t="s">
        <v>45</v>
      </c>
      <c r="AN1381" s="3" t="s">
        <v>45</v>
      </c>
      <c r="AO1381" s="3" t="s">
        <v>45</v>
      </c>
      <c r="AP1381" s="3" t="s">
        <v>45</v>
      </c>
      <c r="AQ1381" s="4" t="s">
        <v>9934</v>
      </c>
      <c r="AR1381" s="4" t="s">
        <v>224</v>
      </c>
    </row>
    <row r="1382">
      <c r="A1382" s="3" t="s">
        <v>11903</v>
      </c>
      <c r="B1382" s="3" t="s">
        <v>11904</v>
      </c>
      <c r="C1382" s="3" t="s">
        <v>11596</v>
      </c>
      <c r="D1382" s="3" t="s">
        <v>9900</v>
      </c>
      <c r="E1382" s="4" t="s">
        <v>11192</v>
      </c>
      <c r="F1382" s="3" t="s">
        <v>10524</v>
      </c>
      <c r="G1382" s="4" t="s">
        <v>11905</v>
      </c>
      <c r="H1382" s="4" t="s">
        <v>11906</v>
      </c>
      <c r="I1382" s="3" t="s">
        <v>85</v>
      </c>
      <c r="J1382" s="3" t="s">
        <v>126</v>
      </c>
      <c r="K1382" s="3" t="s">
        <v>45</v>
      </c>
      <c r="L1382" s="3" t="s">
        <v>10379</v>
      </c>
      <c r="M1382" s="3" t="s">
        <v>45</v>
      </c>
      <c r="N1382" s="3" t="s">
        <v>45</v>
      </c>
      <c r="O1382" s="3" t="s">
        <v>74</v>
      </c>
      <c r="P1382" s="3" t="s">
        <v>45</v>
      </c>
      <c r="Q1382" s="3" t="s">
        <v>45</v>
      </c>
      <c r="R1382" s="3" t="s">
        <v>45</v>
      </c>
      <c r="S1382" s="3" t="s">
        <v>45</v>
      </c>
      <c r="T1382" s="3" t="s">
        <v>45</v>
      </c>
      <c r="U1382" s="3" t="s">
        <v>45</v>
      </c>
      <c r="V1382" s="4" t="s">
        <v>11907</v>
      </c>
      <c r="W1382" s="4" t="s">
        <v>472</v>
      </c>
      <c r="X1382" s="3" t="s">
        <v>45</v>
      </c>
      <c r="Y1382" s="3" t="s">
        <v>45</v>
      </c>
      <c r="Z1382" s="3" t="s">
        <v>74</v>
      </c>
      <c r="AA1382" s="3" t="s">
        <v>45</v>
      </c>
      <c r="AB1382" s="3" t="s">
        <v>45</v>
      </c>
      <c r="AC1382" s="3" t="s">
        <v>45</v>
      </c>
      <c r="AD1382" s="3" t="s">
        <v>45</v>
      </c>
      <c r="AE1382" s="3" t="s">
        <v>45</v>
      </c>
      <c r="AF1382" s="3" t="s">
        <v>45</v>
      </c>
      <c r="AG1382" s="3" t="s">
        <v>45</v>
      </c>
      <c r="AH1382" s="3" t="s">
        <v>9906</v>
      </c>
      <c r="AI1382" s="5" t="s">
        <v>11908</v>
      </c>
      <c r="AJ1382" s="3" t="s">
        <v>45</v>
      </c>
      <c r="AK1382" s="3" t="s">
        <v>45</v>
      </c>
      <c r="AL1382" s="3" t="s">
        <v>45</v>
      </c>
      <c r="AM1382" s="3" t="s">
        <v>45</v>
      </c>
      <c r="AN1382" s="3" t="s">
        <v>45</v>
      </c>
      <c r="AO1382" s="3" t="s">
        <v>45</v>
      </c>
      <c r="AP1382" s="3" t="s">
        <v>45</v>
      </c>
      <c r="AQ1382" s="4" t="s">
        <v>9934</v>
      </c>
      <c r="AR1382" s="4" t="s">
        <v>9908</v>
      </c>
    </row>
    <row r="1383">
      <c r="A1383" s="3" t="s">
        <v>11909</v>
      </c>
      <c r="B1383" s="3" t="s">
        <v>11910</v>
      </c>
      <c r="C1383" s="3" t="s">
        <v>11596</v>
      </c>
      <c r="D1383" s="3" t="s">
        <v>9900</v>
      </c>
      <c r="E1383" s="4" t="s">
        <v>11192</v>
      </c>
      <c r="F1383" s="3" t="s">
        <v>10524</v>
      </c>
      <c r="G1383" s="4" t="s">
        <v>11911</v>
      </c>
      <c r="H1383" s="4" t="s">
        <v>11912</v>
      </c>
      <c r="I1383" s="3" t="s">
        <v>85</v>
      </c>
      <c r="J1383" s="3" t="s">
        <v>126</v>
      </c>
      <c r="K1383" s="3" t="s">
        <v>45</v>
      </c>
      <c r="L1383" s="3" t="s">
        <v>10379</v>
      </c>
      <c r="M1383" s="3" t="s">
        <v>45</v>
      </c>
      <c r="N1383" s="3" t="s">
        <v>45</v>
      </c>
      <c r="O1383" s="3" t="s">
        <v>74</v>
      </c>
      <c r="P1383" s="3" t="s">
        <v>45</v>
      </c>
      <c r="Q1383" s="3" t="s">
        <v>45</v>
      </c>
      <c r="R1383" s="3" t="s">
        <v>45</v>
      </c>
      <c r="S1383" s="3" t="s">
        <v>45</v>
      </c>
      <c r="T1383" s="3" t="s">
        <v>45</v>
      </c>
      <c r="U1383" s="3" t="s">
        <v>45</v>
      </c>
      <c r="V1383" s="4" t="s">
        <v>11913</v>
      </c>
      <c r="W1383" s="4" t="s">
        <v>1843</v>
      </c>
      <c r="X1383" s="3" t="s">
        <v>45</v>
      </c>
      <c r="Y1383" s="3" t="s">
        <v>45</v>
      </c>
      <c r="Z1383" s="3" t="s">
        <v>74</v>
      </c>
      <c r="AA1383" s="3" t="s">
        <v>45</v>
      </c>
      <c r="AB1383" s="3" t="s">
        <v>45</v>
      </c>
      <c r="AC1383" s="3" t="s">
        <v>45</v>
      </c>
      <c r="AD1383" s="3" t="s">
        <v>45</v>
      </c>
      <c r="AE1383" s="3" t="s">
        <v>45</v>
      </c>
      <c r="AF1383" s="3" t="s">
        <v>45</v>
      </c>
      <c r="AG1383" s="3" t="s">
        <v>45</v>
      </c>
      <c r="AH1383" s="3" t="s">
        <v>9906</v>
      </c>
      <c r="AI1383" s="5" t="s">
        <v>11914</v>
      </c>
      <c r="AJ1383" s="3" t="s">
        <v>45</v>
      </c>
      <c r="AK1383" s="3" t="s">
        <v>45</v>
      </c>
      <c r="AL1383" s="3" t="s">
        <v>45</v>
      </c>
      <c r="AM1383" s="3" t="s">
        <v>45</v>
      </c>
      <c r="AN1383" s="3" t="s">
        <v>45</v>
      </c>
      <c r="AO1383" s="3" t="s">
        <v>45</v>
      </c>
      <c r="AP1383" s="3" t="s">
        <v>45</v>
      </c>
      <c r="AQ1383" s="4" t="s">
        <v>9934</v>
      </c>
      <c r="AR1383" s="4" t="s">
        <v>9908</v>
      </c>
    </row>
    <row r="1384">
      <c r="A1384" s="3" t="s">
        <v>11915</v>
      </c>
      <c r="B1384" s="3" t="s">
        <v>11916</v>
      </c>
      <c r="C1384" s="3" t="s">
        <v>11596</v>
      </c>
      <c r="D1384" s="3" t="s">
        <v>9900</v>
      </c>
      <c r="E1384" s="4" t="s">
        <v>11192</v>
      </c>
      <c r="F1384" s="3" t="s">
        <v>10524</v>
      </c>
      <c r="G1384" s="4" t="s">
        <v>11917</v>
      </c>
      <c r="H1384" s="4" t="s">
        <v>11918</v>
      </c>
      <c r="I1384" s="3" t="s">
        <v>85</v>
      </c>
      <c r="J1384" s="3" t="s">
        <v>126</v>
      </c>
      <c r="K1384" s="3" t="s">
        <v>45</v>
      </c>
      <c r="L1384" s="3" t="s">
        <v>10379</v>
      </c>
      <c r="M1384" s="3" t="s">
        <v>45</v>
      </c>
      <c r="N1384" s="3" t="s">
        <v>45</v>
      </c>
      <c r="O1384" s="3" t="s">
        <v>74</v>
      </c>
      <c r="P1384" s="3" t="s">
        <v>45</v>
      </c>
      <c r="Q1384" s="3" t="s">
        <v>45</v>
      </c>
      <c r="R1384" s="3" t="s">
        <v>45</v>
      </c>
      <c r="S1384" s="3" t="s">
        <v>45</v>
      </c>
      <c r="T1384" s="3" t="s">
        <v>45</v>
      </c>
      <c r="U1384" s="3" t="s">
        <v>45</v>
      </c>
      <c r="V1384" s="4" t="s">
        <v>11919</v>
      </c>
      <c r="W1384" s="4" t="s">
        <v>956</v>
      </c>
      <c r="X1384" s="3" t="s">
        <v>45</v>
      </c>
      <c r="Y1384" s="3" t="s">
        <v>45</v>
      </c>
      <c r="Z1384" s="3" t="s">
        <v>74</v>
      </c>
      <c r="AA1384" s="3" t="s">
        <v>45</v>
      </c>
      <c r="AB1384" s="3" t="s">
        <v>45</v>
      </c>
      <c r="AC1384" s="3" t="s">
        <v>45</v>
      </c>
      <c r="AD1384" s="3" t="s">
        <v>45</v>
      </c>
      <c r="AE1384" s="3" t="s">
        <v>45</v>
      </c>
      <c r="AF1384" s="3" t="s">
        <v>45</v>
      </c>
      <c r="AG1384" s="3" t="s">
        <v>45</v>
      </c>
      <c r="AH1384" s="3" t="s">
        <v>9906</v>
      </c>
      <c r="AI1384" s="5" t="s">
        <v>11920</v>
      </c>
      <c r="AJ1384" s="3" t="s">
        <v>45</v>
      </c>
      <c r="AK1384" s="3" t="s">
        <v>45</v>
      </c>
      <c r="AL1384" s="3" t="s">
        <v>45</v>
      </c>
      <c r="AM1384" s="3" t="s">
        <v>45</v>
      </c>
      <c r="AN1384" s="3" t="s">
        <v>45</v>
      </c>
      <c r="AO1384" s="3" t="s">
        <v>45</v>
      </c>
      <c r="AP1384" s="3" t="s">
        <v>45</v>
      </c>
      <c r="AQ1384" s="4" t="s">
        <v>9934</v>
      </c>
      <c r="AR1384" s="4" t="s">
        <v>9908</v>
      </c>
    </row>
    <row r="1385">
      <c r="A1385" s="3" t="s">
        <v>11921</v>
      </c>
      <c r="B1385" s="3" t="s">
        <v>11922</v>
      </c>
      <c r="C1385" s="3" t="s">
        <v>11596</v>
      </c>
      <c r="D1385" s="3" t="s">
        <v>9900</v>
      </c>
      <c r="E1385" s="4" t="s">
        <v>11604</v>
      </c>
      <c r="F1385" s="3" t="s">
        <v>10524</v>
      </c>
      <c r="G1385" s="4" t="s">
        <v>11923</v>
      </c>
      <c r="H1385" s="4" t="s">
        <v>11924</v>
      </c>
      <c r="I1385" s="3" t="s">
        <v>85</v>
      </c>
      <c r="J1385" s="3" t="s">
        <v>126</v>
      </c>
      <c r="K1385" s="3" t="s">
        <v>45</v>
      </c>
      <c r="L1385" s="3" t="s">
        <v>10379</v>
      </c>
      <c r="M1385" s="3" t="s">
        <v>45</v>
      </c>
      <c r="N1385" s="3" t="s">
        <v>45</v>
      </c>
      <c r="O1385" s="3" t="s">
        <v>74</v>
      </c>
      <c r="P1385" s="3" t="s">
        <v>45</v>
      </c>
      <c r="Q1385" s="3" t="s">
        <v>45</v>
      </c>
      <c r="R1385" s="3" t="s">
        <v>45</v>
      </c>
      <c r="S1385" s="3" t="s">
        <v>45</v>
      </c>
      <c r="T1385" s="3" t="s">
        <v>45</v>
      </c>
      <c r="U1385" s="3" t="s">
        <v>45</v>
      </c>
      <c r="V1385" s="4" t="s">
        <v>11925</v>
      </c>
      <c r="W1385" s="4" t="s">
        <v>2373</v>
      </c>
      <c r="X1385" s="3" t="s">
        <v>45</v>
      </c>
      <c r="Y1385" s="3" t="s">
        <v>45</v>
      </c>
      <c r="Z1385" s="3" t="s">
        <v>74</v>
      </c>
      <c r="AA1385" s="3" t="s">
        <v>45</v>
      </c>
      <c r="AB1385" s="3" t="s">
        <v>45</v>
      </c>
      <c r="AC1385" s="3" t="s">
        <v>45</v>
      </c>
      <c r="AD1385" s="3" t="s">
        <v>45</v>
      </c>
      <c r="AE1385" s="3" t="s">
        <v>45</v>
      </c>
      <c r="AF1385" s="3" t="s">
        <v>45</v>
      </c>
      <c r="AG1385" s="3" t="s">
        <v>45</v>
      </c>
      <c r="AH1385" s="3" t="s">
        <v>9906</v>
      </c>
      <c r="AI1385" s="5" t="s">
        <v>11926</v>
      </c>
      <c r="AJ1385" s="3" t="s">
        <v>45</v>
      </c>
      <c r="AK1385" s="3" t="s">
        <v>45</v>
      </c>
      <c r="AL1385" s="3" t="s">
        <v>45</v>
      </c>
      <c r="AM1385" s="3" t="s">
        <v>45</v>
      </c>
      <c r="AN1385" s="3" t="s">
        <v>45</v>
      </c>
      <c r="AO1385" s="3" t="s">
        <v>45</v>
      </c>
      <c r="AP1385" s="3" t="s">
        <v>45</v>
      </c>
      <c r="AQ1385" s="4" t="s">
        <v>9934</v>
      </c>
      <c r="AR1385" s="4" t="s">
        <v>9908</v>
      </c>
    </row>
    <row r="1386">
      <c r="A1386" s="3" t="s">
        <v>11927</v>
      </c>
      <c r="B1386" s="3" t="s">
        <v>11928</v>
      </c>
      <c r="C1386" s="3" t="s">
        <v>11596</v>
      </c>
      <c r="D1386" s="3" t="s">
        <v>9900</v>
      </c>
      <c r="E1386" s="4" t="s">
        <v>11604</v>
      </c>
      <c r="F1386" s="3" t="s">
        <v>10524</v>
      </c>
      <c r="G1386" s="4" t="s">
        <v>11929</v>
      </c>
      <c r="H1386" s="4" t="s">
        <v>11930</v>
      </c>
      <c r="I1386" s="3" t="s">
        <v>85</v>
      </c>
      <c r="J1386" s="3" t="s">
        <v>126</v>
      </c>
      <c r="K1386" s="3" t="s">
        <v>45</v>
      </c>
      <c r="L1386" s="3" t="s">
        <v>10379</v>
      </c>
      <c r="M1386" s="3" t="s">
        <v>45</v>
      </c>
      <c r="N1386" s="3" t="s">
        <v>45</v>
      </c>
      <c r="O1386" s="3" t="s">
        <v>74</v>
      </c>
      <c r="P1386" s="3" t="s">
        <v>45</v>
      </c>
      <c r="Q1386" s="3" t="s">
        <v>45</v>
      </c>
      <c r="R1386" s="3" t="s">
        <v>45</v>
      </c>
      <c r="S1386" s="3" t="s">
        <v>45</v>
      </c>
      <c r="T1386" s="3" t="s">
        <v>45</v>
      </c>
      <c r="U1386" s="3" t="s">
        <v>45</v>
      </c>
      <c r="V1386" s="4" t="s">
        <v>11931</v>
      </c>
      <c r="W1386" s="4" t="s">
        <v>789</v>
      </c>
      <c r="X1386" s="3" t="s">
        <v>45</v>
      </c>
      <c r="Y1386" s="3" t="s">
        <v>45</v>
      </c>
      <c r="Z1386" s="3" t="s">
        <v>74</v>
      </c>
      <c r="AA1386" s="3" t="s">
        <v>45</v>
      </c>
      <c r="AB1386" s="3" t="s">
        <v>45</v>
      </c>
      <c r="AC1386" s="3" t="s">
        <v>45</v>
      </c>
      <c r="AD1386" s="3" t="s">
        <v>45</v>
      </c>
      <c r="AE1386" s="3" t="s">
        <v>45</v>
      </c>
      <c r="AF1386" s="3" t="s">
        <v>45</v>
      </c>
      <c r="AG1386" s="3" t="s">
        <v>45</v>
      </c>
      <c r="AH1386" s="3" t="s">
        <v>9906</v>
      </c>
      <c r="AI1386" s="5" t="s">
        <v>11932</v>
      </c>
      <c r="AJ1386" s="3" t="s">
        <v>45</v>
      </c>
      <c r="AK1386" s="3" t="s">
        <v>45</v>
      </c>
      <c r="AL1386" s="3" t="s">
        <v>45</v>
      </c>
      <c r="AM1386" s="3" t="s">
        <v>45</v>
      </c>
      <c r="AN1386" s="3" t="s">
        <v>45</v>
      </c>
      <c r="AO1386" s="3" t="s">
        <v>45</v>
      </c>
      <c r="AP1386" s="3" t="s">
        <v>45</v>
      </c>
      <c r="AQ1386" s="4" t="s">
        <v>9934</v>
      </c>
      <c r="AR1386" s="4" t="s">
        <v>9908</v>
      </c>
    </row>
    <row r="1387">
      <c r="A1387" s="3" t="s">
        <v>11933</v>
      </c>
      <c r="B1387" s="3" t="s">
        <v>11934</v>
      </c>
      <c r="C1387" s="3" t="s">
        <v>11596</v>
      </c>
      <c r="D1387" s="3" t="s">
        <v>9900</v>
      </c>
      <c r="E1387" s="4" t="s">
        <v>11604</v>
      </c>
      <c r="F1387" s="3" t="s">
        <v>10524</v>
      </c>
      <c r="G1387" s="4" t="s">
        <v>11935</v>
      </c>
      <c r="H1387" s="4" t="s">
        <v>11936</v>
      </c>
      <c r="I1387" s="3" t="s">
        <v>85</v>
      </c>
      <c r="J1387" s="3" t="s">
        <v>126</v>
      </c>
      <c r="K1387" s="3" t="s">
        <v>45</v>
      </c>
      <c r="L1387" s="3" t="s">
        <v>10379</v>
      </c>
      <c r="M1387" s="3" t="s">
        <v>45</v>
      </c>
      <c r="N1387" s="3" t="s">
        <v>45</v>
      </c>
      <c r="O1387" s="3" t="s">
        <v>74</v>
      </c>
      <c r="P1387" s="3" t="s">
        <v>45</v>
      </c>
      <c r="Q1387" s="3" t="s">
        <v>45</v>
      </c>
      <c r="R1387" s="3" t="s">
        <v>45</v>
      </c>
      <c r="S1387" s="3" t="s">
        <v>45</v>
      </c>
      <c r="T1387" s="3" t="s">
        <v>45</v>
      </c>
      <c r="U1387" s="3" t="s">
        <v>45</v>
      </c>
      <c r="V1387" s="4" t="s">
        <v>11937</v>
      </c>
      <c r="W1387" s="4" t="s">
        <v>789</v>
      </c>
      <c r="X1387" s="3" t="s">
        <v>45</v>
      </c>
      <c r="Y1387" s="3" t="s">
        <v>45</v>
      </c>
      <c r="Z1387" s="3" t="s">
        <v>74</v>
      </c>
      <c r="AA1387" s="3" t="s">
        <v>45</v>
      </c>
      <c r="AB1387" s="3" t="s">
        <v>45</v>
      </c>
      <c r="AC1387" s="3" t="s">
        <v>45</v>
      </c>
      <c r="AD1387" s="3" t="s">
        <v>45</v>
      </c>
      <c r="AE1387" s="3" t="s">
        <v>45</v>
      </c>
      <c r="AF1387" s="3" t="s">
        <v>45</v>
      </c>
      <c r="AG1387" s="3" t="s">
        <v>45</v>
      </c>
      <c r="AH1387" s="3" t="s">
        <v>9906</v>
      </c>
      <c r="AI1387" s="5" t="s">
        <v>11938</v>
      </c>
      <c r="AJ1387" s="3" t="s">
        <v>45</v>
      </c>
      <c r="AK1387" s="3" t="s">
        <v>45</v>
      </c>
      <c r="AL1387" s="3" t="s">
        <v>45</v>
      </c>
      <c r="AM1387" s="3" t="s">
        <v>45</v>
      </c>
      <c r="AN1387" s="3" t="s">
        <v>45</v>
      </c>
      <c r="AO1387" s="3" t="s">
        <v>45</v>
      </c>
      <c r="AP1387" s="3" t="s">
        <v>45</v>
      </c>
      <c r="AQ1387" s="4" t="s">
        <v>9934</v>
      </c>
      <c r="AR1387" s="4" t="s">
        <v>9908</v>
      </c>
    </row>
    <row r="1388">
      <c r="A1388" s="3" t="s">
        <v>11939</v>
      </c>
      <c r="B1388" s="3" t="s">
        <v>11940</v>
      </c>
      <c r="C1388" s="3" t="s">
        <v>11596</v>
      </c>
      <c r="D1388" s="3" t="s">
        <v>9900</v>
      </c>
      <c r="E1388" s="4" t="s">
        <v>11604</v>
      </c>
      <c r="F1388" s="3" t="s">
        <v>10524</v>
      </c>
      <c r="G1388" s="4" t="s">
        <v>11941</v>
      </c>
      <c r="H1388" s="4" t="s">
        <v>11942</v>
      </c>
      <c r="I1388" s="3" t="s">
        <v>85</v>
      </c>
      <c r="J1388" s="3" t="s">
        <v>126</v>
      </c>
      <c r="K1388" s="3" t="s">
        <v>45</v>
      </c>
      <c r="L1388" s="3" t="s">
        <v>10379</v>
      </c>
      <c r="M1388" s="3" t="s">
        <v>45</v>
      </c>
      <c r="N1388" s="3" t="s">
        <v>45</v>
      </c>
      <c r="O1388" s="3" t="s">
        <v>74</v>
      </c>
      <c r="P1388" s="3" t="s">
        <v>45</v>
      </c>
      <c r="Q1388" s="3" t="s">
        <v>45</v>
      </c>
      <c r="R1388" s="3" t="s">
        <v>45</v>
      </c>
      <c r="S1388" s="3" t="s">
        <v>45</v>
      </c>
      <c r="T1388" s="3" t="s">
        <v>45</v>
      </c>
      <c r="U1388" s="3" t="s">
        <v>45</v>
      </c>
      <c r="V1388" s="4" t="s">
        <v>11943</v>
      </c>
      <c r="W1388" s="4" t="s">
        <v>789</v>
      </c>
      <c r="X1388" s="3" t="s">
        <v>45</v>
      </c>
      <c r="Y1388" s="3" t="s">
        <v>45</v>
      </c>
      <c r="Z1388" s="3" t="s">
        <v>74</v>
      </c>
      <c r="AA1388" s="3" t="s">
        <v>45</v>
      </c>
      <c r="AB1388" s="3" t="s">
        <v>45</v>
      </c>
      <c r="AC1388" s="3" t="s">
        <v>45</v>
      </c>
      <c r="AD1388" s="3" t="s">
        <v>45</v>
      </c>
      <c r="AE1388" s="3" t="s">
        <v>45</v>
      </c>
      <c r="AF1388" s="3" t="s">
        <v>45</v>
      </c>
      <c r="AG1388" s="3" t="s">
        <v>45</v>
      </c>
      <c r="AH1388" s="3" t="s">
        <v>9906</v>
      </c>
      <c r="AI1388" s="5" t="s">
        <v>11944</v>
      </c>
      <c r="AJ1388" s="3" t="s">
        <v>45</v>
      </c>
      <c r="AK1388" s="3" t="s">
        <v>45</v>
      </c>
      <c r="AL1388" s="3" t="s">
        <v>45</v>
      </c>
      <c r="AM1388" s="3" t="s">
        <v>45</v>
      </c>
      <c r="AN1388" s="3" t="s">
        <v>45</v>
      </c>
      <c r="AO1388" s="3" t="s">
        <v>45</v>
      </c>
      <c r="AP1388" s="3" t="s">
        <v>45</v>
      </c>
      <c r="AQ1388" s="4" t="s">
        <v>9934</v>
      </c>
      <c r="AR1388" s="4" t="s">
        <v>9908</v>
      </c>
    </row>
    <row r="1389">
      <c r="A1389" s="3" t="s">
        <v>11945</v>
      </c>
      <c r="B1389" s="3" t="s">
        <v>11946</v>
      </c>
      <c r="C1389" s="3" t="s">
        <v>11596</v>
      </c>
      <c r="D1389" s="3" t="s">
        <v>9900</v>
      </c>
      <c r="E1389" s="4" t="s">
        <v>11192</v>
      </c>
      <c r="F1389" s="3" t="s">
        <v>10524</v>
      </c>
      <c r="G1389" s="4" t="s">
        <v>11947</v>
      </c>
      <c r="H1389" s="4" t="s">
        <v>11948</v>
      </c>
      <c r="I1389" s="3" t="s">
        <v>49</v>
      </c>
      <c r="J1389" s="3" t="s">
        <v>126</v>
      </c>
      <c r="K1389" s="3" t="s">
        <v>45</v>
      </c>
      <c r="L1389" s="3" t="s">
        <v>11945</v>
      </c>
      <c r="M1389" s="3" t="s">
        <v>45</v>
      </c>
      <c r="N1389" s="3" t="s">
        <v>45</v>
      </c>
      <c r="O1389" s="3" t="s">
        <v>74</v>
      </c>
      <c r="P1389" s="3" t="s">
        <v>45</v>
      </c>
      <c r="Q1389" s="3" t="s">
        <v>45</v>
      </c>
      <c r="R1389" s="3" t="s">
        <v>45</v>
      </c>
      <c r="S1389" s="3" t="s">
        <v>45</v>
      </c>
      <c r="T1389" s="3" t="s">
        <v>45</v>
      </c>
      <c r="U1389" s="3" t="s">
        <v>45</v>
      </c>
      <c r="V1389" s="4" t="s">
        <v>11209</v>
      </c>
      <c r="W1389" s="4" t="s">
        <v>1043</v>
      </c>
      <c r="X1389" s="3" t="s">
        <v>45</v>
      </c>
      <c r="Y1389" s="3" t="s">
        <v>45</v>
      </c>
      <c r="Z1389" s="3" t="s">
        <v>74</v>
      </c>
      <c r="AA1389" s="3" t="s">
        <v>45</v>
      </c>
      <c r="AB1389" s="3" t="s">
        <v>45</v>
      </c>
      <c r="AC1389" s="3" t="s">
        <v>45</v>
      </c>
      <c r="AD1389" s="3" t="s">
        <v>45</v>
      </c>
      <c r="AE1389" s="3" t="s">
        <v>45</v>
      </c>
      <c r="AF1389" s="3" t="s">
        <v>45</v>
      </c>
      <c r="AG1389" s="3" t="s">
        <v>10511</v>
      </c>
      <c r="AH1389" s="3" t="s">
        <v>9906</v>
      </c>
      <c r="AI1389" s="5" t="s">
        <v>11949</v>
      </c>
      <c r="AJ1389" s="5" t="s">
        <v>11950</v>
      </c>
      <c r="AK1389" s="3" t="s">
        <v>45</v>
      </c>
      <c r="AL1389" s="3" t="s">
        <v>45</v>
      </c>
      <c r="AM1389" s="3" t="s">
        <v>45</v>
      </c>
      <c r="AN1389" s="3" t="s">
        <v>45</v>
      </c>
      <c r="AO1389" s="3" t="s">
        <v>45</v>
      </c>
      <c r="AP1389" s="3" t="s">
        <v>45</v>
      </c>
      <c r="AQ1389" s="4" t="s">
        <v>9934</v>
      </c>
      <c r="AR1389" s="4" t="s">
        <v>9908</v>
      </c>
    </row>
    <row r="1390">
      <c r="A1390" s="3" t="s">
        <v>11951</v>
      </c>
      <c r="B1390" s="3" t="s">
        <v>11952</v>
      </c>
      <c r="C1390" s="3" t="s">
        <v>11596</v>
      </c>
      <c r="D1390" s="3" t="s">
        <v>9900</v>
      </c>
      <c r="E1390" s="4" t="s">
        <v>11192</v>
      </c>
      <c r="F1390" s="3" t="s">
        <v>10524</v>
      </c>
      <c r="G1390" s="4" t="s">
        <v>11953</v>
      </c>
      <c r="H1390" s="4" t="s">
        <v>11954</v>
      </c>
      <c r="I1390" s="3" t="s">
        <v>49</v>
      </c>
      <c r="J1390" s="3" t="s">
        <v>126</v>
      </c>
      <c r="K1390" s="3" t="s">
        <v>45</v>
      </c>
      <c r="L1390" s="3" t="s">
        <v>45</v>
      </c>
      <c r="M1390" s="3" t="s">
        <v>45</v>
      </c>
      <c r="N1390" s="3" t="s">
        <v>45</v>
      </c>
      <c r="O1390" s="3" t="s">
        <v>74</v>
      </c>
      <c r="P1390" s="3" t="s">
        <v>45</v>
      </c>
      <c r="Q1390" s="3" t="s">
        <v>45</v>
      </c>
      <c r="R1390" s="3" t="s">
        <v>45</v>
      </c>
      <c r="S1390" s="3" t="s">
        <v>45</v>
      </c>
      <c r="T1390" s="3" t="s">
        <v>45</v>
      </c>
      <c r="U1390" s="3" t="s">
        <v>45</v>
      </c>
      <c r="V1390" s="4" t="s">
        <v>11955</v>
      </c>
      <c r="W1390" s="4" t="s">
        <v>472</v>
      </c>
      <c r="X1390" s="3" t="s">
        <v>45</v>
      </c>
      <c r="Y1390" s="3" t="s">
        <v>45</v>
      </c>
      <c r="Z1390" s="3" t="s">
        <v>74</v>
      </c>
      <c r="AA1390" s="3" t="s">
        <v>45</v>
      </c>
      <c r="AB1390" s="3" t="s">
        <v>45</v>
      </c>
      <c r="AC1390" s="3" t="s">
        <v>45</v>
      </c>
      <c r="AD1390" s="3" t="s">
        <v>45</v>
      </c>
      <c r="AE1390" s="3" t="s">
        <v>45</v>
      </c>
      <c r="AF1390" s="3" t="s">
        <v>45</v>
      </c>
      <c r="AG1390" s="3" t="s">
        <v>45</v>
      </c>
      <c r="AH1390" s="3" t="s">
        <v>9906</v>
      </c>
      <c r="AI1390" s="5" t="s">
        <v>11956</v>
      </c>
      <c r="AJ1390" s="5" t="s">
        <v>11957</v>
      </c>
      <c r="AK1390" s="3" t="s">
        <v>45</v>
      </c>
      <c r="AL1390" s="3" t="s">
        <v>45</v>
      </c>
      <c r="AM1390" s="3" t="s">
        <v>45</v>
      </c>
      <c r="AN1390" s="3" t="s">
        <v>45</v>
      </c>
      <c r="AO1390" s="3" t="s">
        <v>45</v>
      </c>
      <c r="AP1390" s="3" t="s">
        <v>45</v>
      </c>
      <c r="AQ1390" s="4" t="s">
        <v>11824</v>
      </c>
      <c r="AR1390" s="4" t="s">
        <v>9908</v>
      </c>
    </row>
    <row r="1391">
      <c r="A1391" s="3" t="s">
        <v>11958</v>
      </c>
      <c r="B1391" s="3" t="s">
        <v>11959</v>
      </c>
      <c r="C1391" s="3" t="s">
        <v>11596</v>
      </c>
      <c r="D1391" s="3" t="s">
        <v>9900</v>
      </c>
      <c r="E1391" s="4" t="s">
        <v>11604</v>
      </c>
      <c r="F1391" s="3" t="s">
        <v>10524</v>
      </c>
      <c r="G1391" s="4" t="s">
        <v>11960</v>
      </c>
      <c r="H1391" s="4" t="s">
        <v>11961</v>
      </c>
      <c r="I1391" s="3" t="s">
        <v>49</v>
      </c>
      <c r="J1391" s="3" t="s">
        <v>126</v>
      </c>
      <c r="K1391" s="3" t="s">
        <v>45</v>
      </c>
      <c r="L1391" s="3" t="s">
        <v>11770</v>
      </c>
      <c r="M1391" s="3" t="s">
        <v>45</v>
      </c>
      <c r="N1391" s="3" t="s">
        <v>45</v>
      </c>
      <c r="O1391" s="3" t="s">
        <v>74</v>
      </c>
      <c r="P1391" s="3" t="s">
        <v>45</v>
      </c>
      <c r="Q1391" s="3" t="s">
        <v>45</v>
      </c>
      <c r="R1391" s="3" t="s">
        <v>45</v>
      </c>
      <c r="S1391" s="3" t="s">
        <v>45</v>
      </c>
      <c r="T1391" s="3" t="s">
        <v>45</v>
      </c>
      <c r="U1391" s="3" t="s">
        <v>45</v>
      </c>
      <c r="V1391" s="4" t="s">
        <v>11962</v>
      </c>
      <c r="W1391" s="4" t="s">
        <v>2754</v>
      </c>
      <c r="X1391" s="3" t="s">
        <v>45</v>
      </c>
      <c r="Y1391" s="3" t="s">
        <v>45</v>
      </c>
      <c r="Z1391" s="3" t="s">
        <v>74</v>
      </c>
      <c r="AA1391" s="3" t="s">
        <v>45</v>
      </c>
      <c r="AB1391" s="3" t="s">
        <v>45</v>
      </c>
      <c r="AC1391" s="3" t="s">
        <v>45</v>
      </c>
      <c r="AD1391" s="3" t="s">
        <v>45</v>
      </c>
      <c r="AE1391" s="3" t="s">
        <v>45</v>
      </c>
      <c r="AF1391" s="3" t="s">
        <v>45</v>
      </c>
      <c r="AG1391" s="3" t="s">
        <v>45</v>
      </c>
      <c r="AH1391" s="3" t="s">
        <v>9906</v>
      </c>
      <c r="AI1391" s="5" t="s">
        <v>11963</v>
      </c>
      <c r="AJ1391" s="5" t="s">
        <v>11964</v>
      </c>
      <c r="AK1391" s="3" t="s">
        <v>45</v>
      </c>
      <c r="AL1391" s="3" t="s">
        <v>45</v>
      </c>
      <c r="AM1391" s="3" t="s">
        <v>45</v>
      </c>
      <c r="AN1391" s="3" t="s">
        <v>45</v>
      </c>
      <c r="AO1391" s="3" t="s">
        <v>45</v>
      </c>
      <c r="AP1391" s="3" t="s">
        <v>45</v>
      </c>
      <c r="AQ1391" s="4" t="s">
        <v>9934</v>
      </c>
      <c r="AR1391" s="4" t="s">
        <v>9908</v>
      </c>
    </row>
    <row r="1392">
      <c r="A1392" s="3" t="s">
        <v>11965</v>
      </c>
      <c r="B1392" s="3" t="s">
        <v>11966</v>
      </c>
      <c r="C1392" s="3" t="s">
        <v>11596</v>
      </c>
      <c r="D1392" s="3" t="s">
        <v>9900</v>
      </c>
      <c r="E1392" s="4" t="s">
        <v>11192</v>
      </c>
      <c r="F1392" s="3" t="s">
        <v>10524</v>
      </c>
      <c r="G1392" s="4" t="s">
        <v>11967</v>
      </c>
      <c r="H1392" s="4" t="s">
        <v>11968</v>
      </c>
      <c r="I1392" s="3" t="s">
        <v>85</v>
      </c>
      <c r="J1392" s="3" t="s">
        <v>126</v>
      </c>
      <c r="K1392" s="3" t="s">
        <v>45</v>
      </c>
      <c r="L1392" s="3" t="s">
        <v>11969</v>
      </c>
      <c r="M1392" s="3" t="s">
        <v>45</v>
      </c>
      <c r="N1392" s="3" t="s">
        <v>45</v>
      </c>
      <c r="O1392" s="3" t="s">
        <v>74</v>
      </c>
      <c r="P1392" s="3" t="s">
        <v>45</v>
      </c>
      <c r="Q1392" s="3" t="s">
        <v>45</v>
      </c>
      <c r="R1392" s="3" t="s">
        <v>45</v>
      </c>
      <c r="S1392" s="3" t="s">
        <v>45</v>
      </c>
      <c r="T1392" s="3" t="s">
        <v>45</v>
      </c>
      <c r="U1392" s="3" t="s">
        <v>45</v>
      </c>
      <c r="V1392" s="4" t="s">
        <v>11970</v>
      </c>
      <c r="W1392" s="4" t="s">
        <v>259</v>
      </c>
      <c r="X1392" s="3" t="s">
        <v>45</v>
      </c>
      <c r="Y1392" s="3" t="s">
        <v>45</v>
      </c>
      <c r="Z1392" s="3" t="s">
        <v>74</v>
      </c>
      <c r="AA1392" s="3" t="s">
        <v>45</v>
      </c>
      <c r="AB1392" s="3" t="s">
        <v>45</v>
      </c>
      <c r="AC1392" s="3" t="s">
        <v>45</v>
      </c>
      <c r="AD1392" s="3" t="s">
        <v>45</v>
      </c>
      <c r="AE1392" s="3" t="s">
        <v>45</v>
      </c>
      <c r="AF1392" s="3" t="s">
        <v>45</v>
      </c>
      <c r="AG1392" s="3" t="s">
        <v>45</v>
      </c>
      <c r="AH1392" s="3" t="s">
        <v>9906</v>
      </c>
      <c r="AI1392" s="5" t="s">
        <v>11971</v>
      </c>
      <c r="AJ1392" s="5" t="s">
        <v>11972</v>
      </c>
      <c r="AK1392" s="3" t="s">
        <v>45</v>
      </c>
      <c r="AL1392" s="3" t="s">
        <v>45</v>
      </c>
      <c r="AM1392" s="3" t="s">
        <v>45</v>
      </c>
      <c r="AN1392" s="3" t="s">
        <v>45</v>
      </c>
      <c r="AO1392" s="3" t="s">
        <v>45</v>
      </c>
      <c r="AP1392" s="3" t="s">
        <v>45</v>
      </c>
      <c r="AQ1392" s="4" t="s">
        <v>9934</v>
      </c>
      <c r="AR1392" s="4" t="s">
        <v>9908</v>
      </c>
    </row>
    <row r="1393">
      <c r="A1393" s="3" t="s">
        <v>11973</v>
      </c>
      <c r="B1393" s="3" t="s">
        <v>11974</v>
      </c>
      <c r="C1393" s="3" t="s">
        <v>11596</v>
      </c>
      <c r="D1393" s="3" t="s">
        <v>9900</v>
      </c>
      <c r="E1393" s="4" t="s">
        <v>11192</v>
      </c>
      <c r="F1393" s="3" t="s">
        <v>10524</v>
      </c>
      <c r="G1393" s="4" t="s">
        <v>11975</v>
      </c>
      <c r="H1393" s="4" t="s">
        <v>11976</v>
      </c>
      <c r="I1393" s="3" t="s">
        <v>49</v>
      </c>
      <c r="J1393" s="3" t="s">
        <v>126</v>
      </c>
      <c r="K1393" s="3" t="s">
        <v>45</v>
      </c>
      <c r="L1393" s="3" t="s">
        <v>479</v>
      </c>
      <c r="M1393" s="3" t="s">
        <v>45</v>
      </c>
      <c r="N1393" s="3" t="s">
        <v>45</v>
      </c>
      <c r="O1393" s="3" t="s">
        <v>74</v>
      </c>
      <c r="P1393" s="3" t="s">
        <v>45</v>
      </c>
      <c r="Q1393" s="3" t="s">
        <v>45</v>
      </c>
      <c r="R1393" s="3" t="s">
        <v>45</v>
      </c>
      <c r="S1393" s="3" t="s">
        <v>45</v>
      </c>
      <c r="T1393" s="3" t="s">
        <v>45</v>
      </c>
      <c r="U1393" s="3" t="s">
        <v>45</v>
      </c>
      <c r="V1393" s="4" t="s">
        <v>11977</v>
      </c>
      <c r="W1393" s="4" t="s">
        <v>9923</v>
      </c>
      <c r="X1393" s="3" t="s">
        <v>45</v>
      </c>
      <c r="Y1393" s="3" t="s">
        <v>45</v>
      </c>
      <c r="Z1393" s="3" t="s">
        <v>74</v>
      </c>
      <c r="AA1393" s="3" t="s">
        <v>45</v>
      </c>
      <c r="AB1393" s="3" t="s">
        <v>45</v>
      </c>
      <c r="AC1393" s="3" t="s">
        <v>45</v>
      </c>
      <c r="AD1393" s="3" t="s">
        <v>45</v>
      </c>
      <c r="AE1393" s="3" t="s">
        <v>45</v>
      </c>
      <c r="AF1393" s="3" t="s">
        <v>45</v>
      </c>
      <c r="AG1393" s="3" t="s">
        <v>10588</v>
      </c>
      <c r="AH1393" s="3" t="s">
        <v>9906</v>
      </c>
      <c r="AI1393" s="5" t="s">
        <v>11978</v>
      </c>
      <c r="AJ1393" s="5" t="s">
        <v>11979</v>
      </c>
      <c r="AK1393" s="3" t="s">
        <v>45</v>
      </c>
      <c r="AL1393" s="3" t="s">
        <v>45</v>
      </c>
      <c r="AM1393" s="3" t="s">
        <v>45</v>
      </c>
      <c r="AN1393" s="3" t="s">
        <v>45</v>
      </c>
      <c r="AO1393" s="3" t="s">
        <v>45</v>
      </c>
      <c r="AP1393" s="3" t="s">
        <v>45</v>
      </c>
      <c r="AQ1393" s="4" t="s">
        <v>9934</v>
      </c>
      <c r="AR1393" s="4" t="s">
        <v>9908</v>
      </c>
    </row>
    <row r="1394">
      <c r="A1394" s="3" t="s">
        <v>11980</v>
      </c>
      <c r="B1394" s="3" t="s">
        <v>11981</v>
      </c>
      <c r="C1394" s="3" t="s">
        <v>11596</v>
      </c>
      <c r="D1394" s="3" t="s">
        <v>9900</v>
      </c>
      <c r="E1394" s="4" t="s">
        <v>11192</v>
      </c>
      <c r="F1394" s="3" t="s">
        <v>10524</v>
      </c>
      <c r="G1394" s="4" t="s">
        <v>11982</v>
      </c>
      <c r="H1394" s="4" t="s">
        <v>11983</v>
      </c>
      <c r="I1394" s="3" t="s">
        <v>49</v>
      </c>
      <c r="J1394" s="3" t="s">
        <v>126</v>
      </c>
      <c r="K1394" s="3" t="s">
        <v>45</v>
      </c>
      <c r="L1394" s="3" t="s">
        <v>45</v>
      </c>
      <c r="M1394" s="3" t="s">
        <v>45</v>
      </c>
      <c r="N1394" s="3" t="s">
        <v>45</v>
      </c>
      <c r="O1394" s="3" t="s">
        <v>74</v>
      </c>
      <c r="P1394" s="3" t="s">
        <v>45</v>
      </c>
      <c r="Q1394" s="3" t="s">
        <v>45</v>
      </c>
      <c r="R1394" s="3" t="s">
        <v>45</v>
      </c>
      <c r="S1394" s="3" t="s">
        <v>45</v>
      </c>
      <c r="T1394" s="3" t="s">
        <v>45</v>
      </c>
      <c r="U1394" s="3" t="s">
        <v>45</v>
      </c>
      <c r="V1394" s="4" t="s">
        <v>10362</v>
      </c>
      <c r="W1394" s="4" t="s">
        <v>4166</v>
      </c>
      <c r="X1394" s="3" t="s">
        <v>45</v>
      </c>
      <c r="Y1394" s="3" t="s">
        <v>45</v>
      </c>
      <c r="Z1394" s="3" t="s">
        <v>74</v>
      </c>
      <c r="AA1394" s="3" t="s">
        <v>45</v>
      </c>
      <c r="AB1394" s="3" t="s">
        <v>45</v>
      </c>
      <c r="AC1394" s="3" t="s">
        <v>45</v>
      </c>
      <c r="AD1394" s="3" t="s">
        <v>45</v>
      </c>
      <c r="AE1394" s="3" t="s">
        <v>45</v>
      </c>
      <c r="AF1394" s="3" t="s">
        <v>45</v>
      </c>
      <c r="AG1394" s="3" t="s">
        <v>11984</v>
      </c>
      <c r="AH1394" s="3" t="s">
        <v>9906</v>
      </c>
      <c r="AI1394" s="5" t="s">
        <v>11985</v>
      </c>
      <c r="AJ1394" s="3" t="s">
        <v>45</v>
      </c>
      <c r="AK1394" s="3" t="s">
        <v>45</v>
      </c>
      <c r="AL1394" s="3" t="s">
        <v>45</v>
      </c>
      <c r="AM1394" s="3" t="s">
        <v>45</v>
      </c>
      <c r="AN1394" s="3" t="s">
        <v>45</v>
      </c>
      <c r="AO1394" s="3" t="s">
        <v>45</v>
      </c>
      <c r="AP1394" s="3" t="s">
        <v>45</v>
      </c>
      <c r="AQ1394" s="4" t="s">
        <v>10530</v>
      </c>
      <c r="AR1394" s="4" t="s">
        <v>9908</v>
      </c>
    </row>
    <row r="1395">
      <c r="A1395" s="3" t="s">
        <v>11986</v>
      </c>
      <c r="B1395" s="3" t="s">
        <v>11987</v>
      </c>
      <c r="C1395" s="3" t="s">
        <v>11596</v>
      </c>
      <c r="D1395" s="3" t="s">
        <v>9900</v>
      </c>
      <c r="E1395" s="4" t="s">
        <v>11192</v>
      </c>
      <c r="F1395" s="3" t="s">
        <v>10524</v>
      </c>
      <c r="G1395" s="4" t="s">
        <v>11988</v>
      </c>
      <c r="H1395" s="4" t="s">
        <v>11989</v>
      </c>
      <c r="I1395" s="3" t="s">
        <v>49</v>
      </c>
      <c r="J1395" s="3" t="s">
        <v>126</v>
      </c>
      <c r="K1395" s="3" t="s">
        <v>45</v>
      </c>
      <c r="L1395" s="3" t="s">
        <v>45</v>
      </c>
      <c r="M1395" s="3" t="s">
        <v>45</v>
      </c>
      <c r="N1395" s="3" t="s">
        <v>45</v>
      </c>
      <c r="O1395" s="3" t="s">
        <v>74</v>
      </c>
      <c r="P1395" s="3" t="s">
        <v>45</v>
      </c>
      <c r="Q1395" s="3" t="s">
        <v>45</v>
      </c>
      <c r="R1395" s="3" t="s">
        <v>45</v>
      </c>
      <c r="S1395" s="3" t="s">
        <v>45</v>
      </c>
      <c r="T1395" s="3" t="s">
        <v>45</v>
      </c>
      <c r="U1395" s="3" t="s">
        <v>45</v>
      </c>
      <c r="V1395" s="4" t="s">
        <v>11990</v>
      </c>
      <c r="W1395" s="4" t="s">
        <v>922</v>
      </c>
      <c r="X1395" s="3" t="s">
        <v>45</v>
      </c>
      <c r="Y1395" s="3" t="s">
        <v>45</v>
      </c>
      <c r="Z1395" s="3" t="s">
        <v>74</v>
      </c>
      <c r="AA1395" s="3" t="s">
        <v>45</v>
      </c>
      <c r="AB1395" s="3" t="s">
        <v>45</v>
      </c>
      <c r="AC1395" s="3" t="s">
        <v>45</v>
      </c>
      <c r="AD1395" s="3" t="s">
        <v>45</v>
      </c>
      <c r="AE1395" s="3" t="s">
        <v>45</v>
      </c>
      <c r="AF1395" s="3" t="s">
        <v>45</v>
      </c>
      <c r="AG1395" s="3" t="s">
        <v>10511</v>
      </c>
      <c r="AH1395" s="3" t="s">
        <v>9906</v>
      </c>
      <c r="AI1395" s="5" t="s">
        <v>11991</v>
      </c>
      <c r="AJ1395" s="3" t="s">
        <v>45</v>
      </c>
      <c r="AK1395" s="3" t="s">
        <v>45</v>
      </c>
      <c r="AL1395" s="3" t="s">
        <v>45</v>
      </c>
      <c r="AM1395" s="3" t="s">
        <v>45</v>
      </c>
      <c r="AN1395" s="3" t="s">
        <v>45</v>
      </c>
      <c r="AO1395" s="3" t="s">
        <v>45</v>
      </c>
      <c r="AP1395" s="3" t="s">
        <v>45</v>
      </c>
      <c r="AQ1395" s="4" t="s">
        <v>11824</v>
      </c>
      <c r="AR1395" s="4" t="s">
        <v>9908</v>
      </c>
    </row>
    <row r="1396">
      <c r="A1396" s="3" t="s">
        <v>11992</v>
      </c>
      <c r="B1396" s="3" t="s">
        <v>11993</v>
      </c>
      <c r="C1396" s="3" t="s">
        <v>11596</v>
      </c>
      <c r="D1396" s="3" t="s">
        <v>9900</v>
      </c>
      <c r="E1396" s="4" t="s">
        <v>11192</v>
      </c>
      <c r="F1396" s="3" t="s">
        <v>10524</v>
      </c>
      <c r="G1396" s="4" t="s">
        <v>11994</v>
      </c>
      <c r="H1396" s="4" t="s">
        <v>11995</v>
      </c>
      <c r="I1396" s="3" t="s">
        <v>49</v>
      </c>
      <c r="J1396" s="3" t="s">
        <v>126</v>
      </c>
      <c r="K1396" s="3" t="s">
        <v>45</v>
      </c>
      <c r="L1396" s="3" t="s">
        <v>409</v>
      </c>
      <c r="M1396" s="3" t="s">
        <v>45</v>
      </c>
      <c r="N1396" s="3" t="s">
        <v>45</v>
      </c>
      <c r="O1396" s="3" t="s">
        <v>74</v>
      </c>
      <c r="P1396" s="3" t="s">
        <v>45</v>
      </c>
      <c r="Q1396" s="3" t="s">
        <v>45</v>
      </c>
      <c r="R1396" s="3" t="s">
        <v>45</v>
      </c>
      <c r="S1396" s="3" t="s">
        <v>45</v>
      </c>
      <c r="T1396" s="3" t="s">
        <v>45</v>
      </c>
      <c r="U1396" s="3" t="s">
        <v>45</v>
      </c>
      <c r="V1396" s="4" t="s">
        <v>11996</v>
      </c>
      <c r="W1396" s="4" t="s">
        <v>861</v>
      </c>
      <c r="X1396" s="3" t="s">
        <v>45</v>
      </c>
      <c r="Y1396" s="3" t="s">
        <v>45</v>
      </c>
      <c r="Z1396" s="3" t="s">
        <v>74</v>
      </c>
      <c r="AA1396" s="3" t="s">
        <v>45</v>
      </c>
      <c r="AB1396" s="3" t="s">
        <v>45</v>
      </c>
      <c r="AC1396" s="3" t="s">
        <v>45</v>
      </c>
      <c r="AD1396" s="3" t="s">
        <v>45</v>
      </c>
      <c r="AE1396" s="3" t="s">
        <v>45</v>
      </c>
      <c r="AF1396" s="3" t="s">
        <v>45</v>
      </c>
      <c r="AG1396" s="3" t="s">
        <v>45</v>
      </c>
      <c r="AH1396" s="3" t="s">
        <v>9906</v>
      </c>
      <c r="AI1396" s="5" t="s">
        <v>11997</v>
      </c>
      <c r="AJ1396" s="5" t="s">
        <v>11998</v>
      </c>
      <c r="AK1396" s="3" t="s">
        <v>45</v>
      </c>
      <c r="AL1396" s="3" t="s">
        <v>45</v>
      </c>
      <c r="AM1396" s="3" t="s">
        <v>45</v>
      </c>
      <c r="AN1396" s="3" t="s">
        <v>45</v>
      </c>
      <c r="AO1396" s="3" t="s">
        <v>45</v>
      </c>
      <c r="AP1396" s="3" t="s">
        <v>45</v>
      </c>
      <c r="AQ1396" s="4" t="s">
        <v>9934</v>
      </c>
      <c r="AR1396" s="4" t="s">
        <v>9908</v>
      </c>
    </row>
    <row r="1397">
      <c r="A1397" s="3" t="s">
        <v>11999</v>
      </c>
      <c r="B1397" s="3" t="s">
        <v>12000</v>
      </c>
      <c r="C1397" s="3" t="s">
        <v>12001</v>
      </c>
      <c r="D1397" s="3" t="s">
        <v>9900</v>
      </c>
      <c r="E1397" s="4" t="s">
        <v>11192</v>
      </c>
      <c r="F1397" s="3" t="s">
        <v>10524</v>
      </c>
      <c r="G1397" s="4" t="s">
        <v>12002</v>
      </c>
      <c r="H1397" s="4" t="s">
        <v>12003</v>
      </c>
      <c r="I1397" s="3" t="s">
        <v>49</v>
      </c>
      <c r="J1397" s="3" t="s">
        <v>126</v>
      </c>
      <c r="K1397" s="3" t="s">
        <v>45</v>
      </c>
      <c r="L1397" s="3" t="s">
        <v>45</v>
      </c>
      <c r="M1397" s="3" t="s">
        <v>45</v>
      </c>
      <c r="N1397" s="3" t="s">
        <v>45</v>
      </c>
      <c r="O1397" s="3" t="s">
        <v>74</v>
      </c>
      <c r="P1397" s="3" t="s">
        <v>45</v>
      </c>
      <c r="Q1397" s="3" t="s">
        <v>45</v>
      </c>
      <c r="R1397" s="3" t="s">
        <v>45</v>
      </c>
      <c r="S1397" s="3" t="s">
        <v>45</v>
      </c>
      <c r="T1397" s="3" t="s">
        <v>45</v>
      </c>
      <c r="U1397" s="3" t="s">
        <v>45</v>
      </c>
      <c r="V1397" s="4" t="s">
        <v>12004</v>
      </c>
      <c r="W1397" s="4" t="s">
        <v>3085</v>
      </c>
      <c r="X1397" s="3" t="s">
        <v>45</v>
      </c>
      <c r="Y1397" s="3" t="s">
        <v>45</v>
      </c>
      <c r="Z1397" s="3" t="s">
        <v>74</v>
      </c>
      <c r="AA1397" s="3" t="s">
        <v>45</v>
      </c>
      <c r="AB1397" s="3" t="s">
        <v>45</v>
      </c>
      <c r="AC1397" s="3" t="s">
        <v>45</v>
      </c>
      <c r="AD1397" s="3" t="s">
        <v>45</v>
      </c>
      <c r="AE1397" s="3" t="s">
        <v>45</v>
      </c>
      <c r="AF1397" s="3" t="s">
        <v>45</v>
      </c>
      <c r="AG1397" s="3" t="s">
        <v>12005</v>
      </c>
      <c r="AH1397" s="3" t="s">
        <v>9906</v>
      </c>
      <c r="AI1397" s="5" t="s">
        <v>12006</v>
      </c>
      <c r="AJ1397" s="3" t="s">
        <v>45</v>
      </c>
      <c r="AK1397" s="3" t="s">
        <v>45</v>
      </c>
      <c r="AL1397" s="3" t="s">
        <v>45</v>
      </c>
      <c r="AM1397" s="3" t="s">
        <v>45</v>
      </c>
      <c r="AN1397" s="3" t="s">
        <v>45</v>
      </c>
      <c r="AO1397" s="3" t="s">
        <v>45</v>
      </c>
      <c r="AP1397" s="3" t="s">
        <v>45</v>
      </c>
      <c r="AQ1397" s="4" t="s">
        <v>10577</v>
      </c>
      <c r="AR1397" s="4" t="s">
        <v>9908</v>
      </c>
    </row>
    <row r="1398">
      <c r="A1398" s="3" t="s">
        <v>12007</v>
      </c>
      <c r="B1398" s="3" t="s">
        <v>12008</v>
      </c>
      <c r="C1398" s="3" t="s">
        <v>12009</v>
      </c>
      <c r="D1398" s="3" t="s">
        <v>9900</v>
      </c>
      <c r="E1398" s="4" t="s">
        <v>12010</v>
      </c>
      <c r="F1398" s="3" t="s">
        <v>2850</v>
      </c>
      <c r="G1398" s="4" t="s">
        <v>12011</v>
      </c>
      <c r="H1398" s="4" t="s">
        <v>12012</v>
      </c>
      <c r="I1398" s="3" t="s">
        <v>85</v>
      </c>
      <c r="J1398" s="3" t="s">
        <v>126</v>
      </c>
      <c r="K1398" s="3" t="s">
        <v>45</v>
      </c>
      <c r="L1398" s="3" t="s">
        <v>12013</v>
      </c>
      <c r="M1398" s="3" t="s">
        <v>45</v>
      </c>
      <c r="N1398" s="3" t="s">
        <v>45</v>
      </c>
      <c r="O1398" s="3" t="s">
        <v>74</v>
      </c>
      <c r="P1398" s="3" t="s">
        <v>45</v>
      </c>
      <c r="Q1398" s="3" t="s">
        <v>45</v>
      </c>
      <c r="R1398" s="3" t="s">
        <v>45</v>
      </c>
      <c r="S1398" s="3" t="s">
        <v>45</v>
      </c>
      <c r="T1398" s="3" t="s">
        <v>45</v>
      </c>
      <c r="U1398" s="3" t="s">
        <v>45</v>
      </c>
      <c r="V1398" s="4" t="s">
        <v>12014</v>
      </c>
      <c r="W1398" s="4" t="s">
        <v>104</v>
      </c>
      <c r="X1398" s="3" t="s">
        <v>45</v>
      </c>
      <c r="Y1398" s="3" t="s">
        <v>45</v>
      </c>
      <c r="Z1398" s="3" t="s">
        <v>74</v>
      </c>
      <c r="AA1398" s="3" t="s">
        <v>45</v>
      </c>
      <c r="AB1398" s="3" t="s">
        <v>45</v>
      </c>
      <c r="AC1398" s="3" t="s">
        <v>45</v>
      </c>
      <c r="AD1398" s="3" t="s">
        <v>45</v>
      </c>
      <c r="AE1398" s="3" t="s">
        <v>45</v>
      </c>
      <c r="AF1398" s="3" t="s">
        <v>45</v>
      </c>
      <c r="AG1398" s="3" t="s">
        <v>45</v>
      </c>
      <c r="AH1398" s="3" t="s">
        <v>9906</v>
      </c>
      <c r="AI1398" s="5" t="s">
        <v>10655</v>
      </c>
      <c r="AJ1398" s="5" t="s">
        <v>12015</v>
      </c>
      <c r="AK1398" s="3" t="s">
        <v>45</v>
      </c>
      <c r="AL1398" s="3" t="s">
        <v>45</v>
      </c>
      <c r="AM1398" s="3" t="s">
        <v>45</v>
      </c>
      <c r="AN1398" s="3" t="s">
        <v>45</v>
      </c>
      <c r="AO1398" s="3" t="s">
        <v>45</v>
      </c>
      <c r="AP1398" s="3" t="s">
        <v>45</v>
      </c>
      <c r="AQ1398" s="4" t="s">
        <v>9934</v>
      </c>
      <c r="AR1398" s="4" t="s">
        <v>9908</v>
      </c>
    </row>
    <row r="1399">
      <c r="A1399" s="3" t="s">
        <v>12016</v>
      </c>
      <c r="B1399" s="3" t="s">
        <v>12017</v>
      </c>
      <c r="C1399" s="3" t="s">
        <v>12018</v>
      </c>
      <c r="D1399" s="3" t="s">
        <v>9900</v>
      </c>
      <c r="E1399" s="4" t="s">
        <v>12019</v>
      </c>
      <c r="F1399" s="3" t="s">
        <v>4063</v>
      </c>
      <c r="G1399" s="4" t="s">
        <v>12020</v>
      </c>
      <c r="H1399" s="4" t="s">
        <v>12021</v>
      </c>
      <c r="I1399" s="3" t="s">
        <v>85</v>
      </c>
      <c r="J1399" s="3" t="s">
        <v>126</v>
      </c>
      <c r="K1399" s="3" t="s">
        <v>45</v>
      </c>
      <c r="L1399" s="3" t="s">
        <v>12022</v>
      </c>
      <c r="M1399" s="3" t="s">
        <v>45</v>
      </c>
      <c r="N1399" s="4" t="s">
        <v>9344</v>
      </c>
      <c r="O1399" s="3" t="s">
        <v>53</v>
      </c>
      <c r="P1399" s="3" t="s">
        <v>45</v>
      </c>
      <c r="Q1399" s="3" t="s">
        <v>45</v>
      </c>
      <c r="R1399" s="3" t="s">
        <v>45</v>
      </c>
      <c r="S1399" s="3" t="s">
        <v>45</v>
      </c>
      <c r="T1399" s="3" t="s">
        <v>45</v>
      </c>
      <c r="U1399" s="3" t="s">
        <v>45</v>
      </c>
      <c r="V1399" s="4" t="s">
        <v>12023</v>
      </c>
      <c r="W1399" s="4" t="s">
        <v>275</v>
      </c>
      <c r="X1399" s="3" t="s">
        <v>45</v>
      </c>
      <c r="Y1399" s="3" t="s">
        <v>45</v>
      </c>
      <c r="Z1399" s="3" t="s">
        <v>74</v>
      </c>
      <c r="AA1399" s="3" t="s">
        <v>45</v>
      </c>
      <c r="AB1399" s="3" t="s">
        <v>45</v>
      </c>
      <c r="AC1399" s="3" t="s">
        <v>45</v>
      </c>
      <c r="AD1399" s="3" t="s">
        <v>45</v>
      </c>
      <c r="AE1399" s="3" t="s">
        <v>45</v>
      </c>
      <c r="AF1399" s="3" t="s">
        <v>45</v>
      </c>
      <c r="AG1399" s="3" t="s">
        <v>45</v>
      </c>
      <c r="AH1399" s="3" t="s">
        <v>9906</v>
      </c>
      <c r="AI1399" s="5" t="s">
        <v>12024</v>
      </c>
      <c r="AJ1399" s="3" t="s">
        <v>45</v>
      </c>
      <c r="AK1399" s="3" t="s">
        <v>45</v>
      </c>
      <c r="AL1399" s="3" t="s">
        <v>45</v>
      </c>
      <c r="AM1399" s="3" t="s">
        <v>45</v>
      </c>
      <c r="AN1399" s="3" t="s">
        <v>45</v>
      </c>
      <c r="AO1399" s="3" t="s">
        <v>45</v>
      </c>
      <c r="AP1399" s="3" t="s">
        <v>45</v>
      </c>
      <c r="AQ1399" s="4" t="s">
        <v>9934</v>
      </c>
      <c r="AR1399" s="4" t="s">
        <v>9908</v>
      </c>
    </row>
    <row r="1400">
      <c r="A1400" s="3" t="s">
        <v>12025</v>
      </c>
      <c r="B1400" s="3" t="s">
        <v>12026</v>
      </c>
      <c r="C1400" s="3" t="s">
        <v>9130</v>
      </c>
      <c r="D1400" s="3" t="s">
        <v>9900</v>
      </c>
      <c r="E1400" s="4" t="s">
        <v>12027</v>
      </c>
      <c r="F1400" s="3" t="s">
        <v>10760</v>
      </c>
      <c r="G1400" s="4" t="s">
        <v>12028</v>
      </c>
      <c r="H1400" s="4" t="s">
        <v>12029</v>
      </c>
      <c r="I1400" s="3" t="s">
        <v>49</v>
      </c>
      <c r="J1400" s="3" t="s">
        <v>126</v>
      </c>
      <c r="K1400" s="3" t="s">
        <v>45</v>
      </c>
      <c r="L1400" s="3" t="s">
        <v>45</v>
      </c>
      <c r="M1400" s="3" t="s">
        <v>45</v>
      </c>
      <c r="N1400" s="3" t="s">
        <v>45</v>
      </c>
      <c r="O1400" s="3" t="s">
        <v>74</v>
      </c>
      <c r="P1400" s="3" t="s">
        <v>45</v>
      </c>
      <c r="Q1400" s="3" t="s">
        <v>45</v>
      </c>
      <c r="R1400" s="3" t="s">
        <v>45</v>
      </c>
      <c r="S1400" s="3" t="s">
        <v>45</v>
      </c>
      <c r="T1400" s="3" t="s">
        <v>45</v>
      </c>
      <c r="U1400" s="3" t="s">
        <v>45</v>
      </c>
      <c r="V1400" s="3" t="s">
        <v>45</v>
      </c>
      <c r="W1400" s="4" t="s">
        <v>2501</v>
      </c>
      <c r="X1400" s="3" t="s">
        <v>45</v>
      </c>
      <c r="Y1400" s="3" t="s">
        <v>45</v>
      </c>
      <c r="Z1400" s="3" t="s">
        <v>74</v>
      </c>
      <c r="AA1400" s="3" t="s">
        <v>45</v>
      </c>
      <c r="AB1400" s="3" t="s">
        <v>45</v>
      </c>
      <c r="AC1400" s="3" t="s">
        <v>45</v>
      </c>
      <c r="AD1400" s="3" t="s">
        <v>45</v>
      </c>
      <c r="AE1400" s="3" t="s">
        <v>45</v>
      </c>
      <c r="AF1400" s="3" t="s">
        <v>45</v>
      </c>
      <c r="AG1400" s="3" t="s">
        <v>12030</v>
      </c>
      <c r="AH1400" s="3" t="s">
        <v>9906</v>
      </c>
      <c r="AI1400" s="5" t="s">
        <v>12031</v>
      </c>
      <c r="AJ1400" s="5" t="s">
        <v>12032</v>
      </c>
      <c r="AK1400" s="3" t="s">
        <v>45</v>
      </c>
      <c r="AL1400" s="3" t="s">
        <v>45</v>
      </c>
      <c r="AM1400" s="3" t="s">
        <v>45</v>
      </c>
      <c r="AN1400" s="3" t="s">
        <v>45</v>
      </c>
      <c r="AO1400" s="3" t="s">
        <v>45</v>
      </c>
      <c r="AP1400" s="3" t="s">
        <v>45</v>
      </c>
      <c r="AQ1400" s="4" t="s">
        <v>9958</v>
      </c>
      <c r="AR1400" s="4" t="s">
        <v>9908</v>
      </c>
    </row>
    <row r="1401">
      <c r="A1401" s="3" t="s">
        <v>12033</v>
      </c>
      <c r="B1401" s="3" t="s">
        <v>12034</v>
      </c>
      <c r="C1401" s="3" t="s">
        <v>12035</v>
      </c>
      <c r="D1401" s="3" t="s">
        <v>9900</v>
      </c>
      <c r="E1401" s="4" t="s">
        <v>12036</v>
      </c>
      <c r="F1401" s="3" t="s">
        <v>12037</v>
      </c>
      <c r="G1401" s="4" t="s">
        <v>12038</v>
      </c>
      <c r="H1401" s="4" t="s">
        <v>12039</v>
      </c>
      <c r="I1401" s="3" t="s">
        <v>218</v>
      </c>
      <c r="J1401" s="3" t="s">
        <v>126</v>
      </c>
      <c r="K1401" s="3" t="s">
        <v>45</v>
      </c>
      <c r="L1401" s="3" t="s">
        <v>12040</v>
      </c>
      <c r="M1401" s="3" t="s">
        <v>45</v>
      </c>
      <c r="N1401" s="3" t="s">
        <v>12041</v>
      </c>
      <c r="O1401" s="3" t="s">
        <v>70</v>
      </c>
      <c r="P1401" s="3" t="s">
        <v>45</v>
      </c>
      <c r="Q1401" s="3" t="s">
        <v>45</v>
      </c>
      <c r="R1401" s="3" t="s">
        <v>45</v>
      </c>
      <c r="S1401" s="3" t="s">
        <v>45</v>
      </c>
      <c r="T1401" s="3" t="s">
        <v>45</v>
      </c>
      <c r="U1401" s="3" t="s">
        <v>45</v>
      </c>
      <c r="V1401" s="4" t="s">
        <v>420</v>
      </c>
      <c r="W1401" s="4" t="s">
        <v>535</v>
      </c>
      <c r="X1401" s="3" t="s">
        <v>45</v>
      </c>
      <c r="Y1401" s="3" t="s">
        <v>45</v>
      </c>
      <c r="Z1401" s="3" t="s">
        <v>74</v>
      </c>
      <c r="AA1401" s="3" t="s">
        <v>45</v>
      </c>
      <c r="AB1401" s="3" t="s">
        <v>45</v>
      </c>
      <c r="AC1401" s="3" t="s">
        <v>45</v>
      </c>
      <c r="AD1401" s="3" t="s">
        <v>45</v>
      </c>
      <c r="AE1401" s="3" t="s">
        <v>45</v>
      </c>
      <c r="AF1401" s="3" t="s">
        <v>45</v>
      </c>
      <c r="AG1401" s="3" t="s">
        <v>12042</v>
      </c>
      <c r="AH1401" s="3" t="s">
        <v>9906</v>
      </c>
      <c r="AI1401" s="5" t="s">
        <v>12043</v>
      </c>
      <c r="AJ1401" s="5" t="s">
        <v>12044</v>
      </c>
      <c r="AK1401" s="5" t="s">
        <v>12045</v>
      </c>
      <c r="AL1401" s="5" t="s">
        <v>12046</v>
      </c>
      <c r="AM1401" s="5" t="s">
        <v>12047</v>
      </c>
      <c r="AN1401" s="3" t="s">
        <v>45</v>
      </c>
      <c r="AO1401" s="3" t="s">
        <v>45</v>
      </c>
      <c r="AP1401" s="3" t="s">
        <v>45</v>
      </c>
      <c r="AQ1401" s="4" t="s">
        <v>12048</v>
      </c>
      <c r="AR1401" s="4" t="s">
        <v>5398</v>
      </c>
    </row>
    <row r="1402">
      <c r="A1402" s="3" t="s">
        <v>12049</v>
      </c>
      <c r="B1402" s="3" t="s">
        <v>12050</v>
      </c>
      <c r="C1402" s="3" t="s">
        <v>12051</v>
      </c>
      <c r="D1402" s="3" t="s">
        <v>9900</v>
      </c>
      <c r="E1402" s="4" t="s">
        <v>12027</v>
      </c>
      <c r="F1402" s="3" t="s">
        <v>10760</v>
      </c>
      <c r="G1402" s="4" t="s">
        <v>12052</v>
      </c>
      <c r="H1402" s="4" t="s">
        <v>12053</v>
      </c>
      <c r="I1402" s="3" t="s">
        <v>49</v>
      </c>
      <c r="J1402" s="3" t="s">
        <v>126</v>
      </c>
      <c r="K1402" s="3" t="s">
        <v>45</v>
      </c>
      <c r="L1402" s="3" t="s">
        <v>176</v>
      </c>
      <c r="M1402" s="3" t="s">
        <v>45</v>
      </c>
      <c r="N1402" s="3" t="s">
        <v>45</v>
      </c>
      <c r="O1402" s="3" t="s">
        <v>74</v>
      </c>
      <c r="P1402" s="3" t="s">
        <v>45</v>
      </c>
      <c r="Q1402" s="3" t="s">
        <v>45</v>
      </c>
      <c r="R1402" s="3" t="s">
        <v>45</v>
      </c>
      <c r="S1402" s="3" t="s">
        <v>45</v>
      </c>
      <c r="T1402" s="3" t="s">
        <v>45</v>
      </c>
      <c r="U1402" s="3" t="s">
        <v>45</v>
      </c>
      <c r="V1402" s="3" t="s">
        <v>45</v>
      </c>
      <c r="W1402" s="4" t="s">
        <v>4936</v>
      </c>
      <c r="X1402" s="3" t="s">
        <v>45</v>
      </c>
      <c r="Y1402" s="3" t="s">
        <v>45</v>
      </c>
      <c r="Z1402" s="3" t="s">
        <v>74</v>
      </c>
      <c r="AA1402" s="3" t="s">
        <v>45</v>
      </c>
      <c r="AB1402" s="3" t="s">
        <v>45</v>
      </c>
      <c r="AC1402" s="3" t="s">
        <v>45</v>
      </c>
      <c r="AD1402" s="3" t="s">
        <v>45</v>
      </c>
      <c r="AE1402" s="3" t="s">
        <v>45</v>
      </c>
      <c r="AF1402" s="3" t="s">
        <v>45</v>
      </c>
      <c r="AG1402" s="3" t="s">
        <v>45</v>
      </c>
      <c r="AH1402" s="3" t="s">
        <v>57</v>
      </c>
      <c r="AI1402" s="5" t="s">
        <v>12054</v>
      </c>
      <c r="AJ1402" s="5" t="s">
        <v>10766</v>
      </c>
      <c r="AK1402" s="3" t="s">
        <v>45</v>
      </c>
      <c r="AL1402" s="3" t="s">
        <v>45</v>
      </c>
      <c r="AM1402" s="3" t="s">
        <v>45</v>
      </c>
      <c r="AN1402" s="3" t="s">
        <v>45</v>
      </c>
      <c r="AO1402" s="3" t="s">
        <v>45</v>
      </c>
      <c r="AP1402" s="3" t="s">
        <v>45</v>
      </c>
      <c r="AQ1402" s="4" t="s">
        <v>182</v>
      </c>
      <c r="AR1402" s="4" t="s">
        <v>182</v>
      </c>
    </row>
    <row r="1403">
      <c r="A1403" s="3" t="s">
        <v>12055</v>
      </c>
      <c r="B1403" s="3" t="s">
        <v>12056</v>
      </c>
      <c r="C1403" s="3" t="s">
        <v>12057</v>
      </c>
      <c r="D1403" s="3" t="s">
        <v>9900</v>
      </c>
      <c r="E1403" s="4" t="s">
        <v>11571</v>
      </c>
      <c r="F1403" s="3" t="s">
        <v>11556</v>
      </c>
      <c r="G1403" s="4" t="s">
        <v>12058</v>
      </c>
      <c r="H1403" s="4" t="s">
        <v>12059</v>
      </c>
      <c r="I1403" s="3" t="s">
        <v>49</v>
      </c>
      <c r="J1403" s="3" t="s">
        <v>50</v>
      </c>
      <c r="K1403" s="3" t="s">
        <v>45</v>
      </c>
      <c r="L1403" s="3" t="s">
        <v>479</v>
      </c>
      <c r="M1403" s="3" t="s">
        <v>45</v>
      </c>
      <c r="N1403" s="3" t="s">
        <v>45</v>
      </c>
      <c r="O1403" s="3" t="s">
        <v>74</v>
      </c>
      <c r="P1403" s="3" t="s">
        <v>45</v>
      </c>
      <c r="Q1403" s="3" t="s">
        <v>45</v>
      </c>
      <c r="R1403" s="3" t="s">
        <v>45</v>
      </c>
      <c r="S1403" s="3" t="s">
        <v>45</v>
      </c>
      <c r="T1403" s="3" t="s">
        <v>45</v>
      </c>
      <c r="U1403" s="3" t="s">
        <v>45</v>
      </c>
      <c r="V1403" s="4" t="s">
        <v>1968</v>
      </c>
      <c r="W1403" s="4" t="s">
        <v>1962</v>
      </c>
      <c r="X1403" s="3" t="s">
        <v>45</v>
      </c>
      <c r="Y1403" s="3" t="s">
        <v>45</v>
      </c>
      <c r="Z1403" s="3" t="s">
        <v>74</v>
      </c>
      <c r="AA1403" s="3" t="s">
        <v>45</v>
      </c>
      <c r="AB1403" s="3" t="s">
        <v>45</v>
      </c>
      <c r="AC1403" s="3" t="s">
        <v>45</v>
      </c>
      <c r="AD1403" s="3" t="s">
        <v>45</v>
      </c>
      <c r="AE1403" s="3" t="s">
        <v>45</v>
      </c>
      <c r="AF1403" s="3" t="s">
        <v>45</v>
      </c>
      <c r="AG1403" s="3" t="s">
        <v>10511</v>
      </c>
      <c r="AH1403" s="3" t="s">
        <v>9906</v>
      </c>
      <c r="AI1403" s="5" t="s">
        <v>12060</v>
      </c>
      <c r="AJ1403" s="3" t="s">
        <v>45</v>
      </c>
      <c r="AK1403" s="3" t="s">
        <v>45</v>
      </c>
      <c r="AL1403" s="3" t="s">
        <v>45</v>
      </c>
      <c r="AM1403" s="3" t="s">
        <v>45</v>
      </c>
      <c r="AN1403" s="3" t="s">
        <v>45</v>
      </c>
      <c r="AO1403" s="3" t="s">
        <v>45</v>
      </c>
      <c r="AP1403" s="3" t="s">
        <v>45</v>
      </c>
      <c r="AQ1403" s="4" t="s">
        <v>9934</v>
      </c>
      <c r="AR1403" s="4" t="s">
        <v>9908</v>
      </c>
    </row>
    <row r="1404">
      <c r="A1404" s="3" t="s">
        <v>12061</v>
      </c>
      <c r="B1404" s="3" t="s">
        <v>12062</v>
      </c>
      <c r="C1404" s="3" t="s">
        <v>12063</v>
      </c>
      <c r="D1404" s="3" t="s">
        <v>9900</v>
      </c>
      <c r="E1404" s="4" t="s">
        <v>12064</v>
      </c>
      <c r="F1404" s="3" t="s">
        <v>10760</v>
      </c>
      <c r="G1404" s="4" t="s">
        <v>12065</v>
      </c>
      <c r="H1404" s="4" t="s">
        <v>12066</v>
      </c>
      <c r="I1404" s="3" t="s">
        <v>49</v>
      </c>
      <c r="J1404" s="3" t="s">
        <v>126</v>
      </c>
      <c r="K1404" s="3" t="s">
        <v>45</v>
      </c>
      <c r="L1404" s="3" t="s">
        <v>176</v>
      </c>
      <c r="M1404" s="3" t="s">
        <v>45</v>
      </c>
      <c r="N1404" s="3" t="s">
        <v>45</v>
      </c>
      <c r="O1404" s="3" t="s">
        <v>74</v>
      </c>
      <c r="P1404" s="3" t="s">
        <v>45</v>
      </c>
      <c r="Q1404" s="3" t="s">
        <v>45</v>
      </c>
      <c r="R1404" s="3" t="s">
        <v>45</v>
      </c>
      <c r="S1404" s="3" t="s">
        <v>45</v>
      </c>
      <c r="T1404" s="3" t="s">
        <v>45</v>
      </c>
      <c r="U1404" s="3" t="s">
        <v>45</v>
      </c>
      <c r="V1404" s="3" t="s">
        <v>45</v>
      </c>
      <c r="W1404" s="4" t="s">
        <v>8544</v>
      </c>
      <c r="X1404" s="3" t="s">
        <v>45</v>
      </c>
      <c r="Y1404" s="3" t="s">
        <v>45</v>
      </c>
      <c r="Z1404" s="3" t="s">
        <v>74</v>
      </c>
      <c r="AA1404" s="3" t="s">
        <v>45</v>
      </c>
      <c r="AB1404" s="3" t="s">
        <v>45</v>
      </c>
      <c r="AC1404" s="3" t="s">
        <v>45</v>
      </c>
      <c r="AD1404" s="3" t="s">
        <v>45</v>
      </c>
      <c r="AE1404" s="3" t="s">
        <v>45</v>
      </c>
      <c r="AF1404" s="3" t="s">
        <v>45</v>
      </c>
      <c r="AG1404" s="3" t="s">
        <v>45</v>
      </c>
      <c r="AH1404" s="3" t="s">
        <v>57</v>
      </c>
      <c r="AI1404" s="5" t="s">
        <v>12054</v>
      </c>
      <c r="AJ1404" s="5" t="s">
        <v>10766</v>
      </c>
      <c r="AK1404" s="3" t="s">
        <v>45</v>
      </c>
      <c r="AL1404" s="3" t="s">
        <v>45</v>
      </c>
      <c r="AM1404" s="3" t="s">
        <v>45</v>
      </c>
      <c r="AN1404" s="3" t="s">
        <v>45</v>
      </c>
      <c r="AO1404" s="3" t="s">
        <v>45</v>
      </c>
      <c r="AP1404" s="3" t="s">
        <v>45</v>
      </c>
      <c r="AQ1404" s="4" t="s">
        <v>182</v>
      </c>
      <c r="AR1404" s="4" t="s">
        <v>182</v>
      </c>
    </row>
    <row r="1405">
      <c r="A1405" s="3" t="s">
        <v>12067</v>
      </c>
      <c r="B1405" s="3" t="s">
        <v>12068</v>
      </c>
      <c r="C1405" s="3" t="s">
        <v>12063</v>
      </c>
      <c r="D1405" s="3" t="s">
        <v>9900</v>
      </c>
      <c r="E1405" s="4" t="s">
        <v>12064</v>
      </c>
      <c r="F1405" s="3" t="s">
        <v>10760</v>
      </c>
      <c r="G1405" s="4" t="s">
        <v>12069</v>
      </c>
      <c r="H1405" s="4" t="s">
        <v>12070</v>
      </c>
      <c r="I1405" s="3" t="s">
        <v>49</v>
      </c>
      <c r="J1405" s="3" t="s">
        <v>126</v>
      </c>
      <c r="K1405" s="3" t="s">
        <v>45</v>
      </c>
      <c r="L1405" s="3" t="s">
        <v>45</v>
      </c>
      <c r="M1405" s="3" t="s">
        <v>45</v>
      </c>
      <c r="N1405" s="3" t="s">
        <v>45</v>
      </c>
      <c r="O1405" s="3" t="s">
        <v>74</v>
      </c>
      <c r="P1405" s="3" t="s">
        <v>45</v>
      </c>
      <c r="Q1405" s="3" t="s">
        <v>45</v>
      </c>
      <c r="R1405" s="3" t="s">
        <v>45</v>
      </c>
      <c r="S1405" s="3" t="s">
        <v>45</v>
      </c>
      <c r="T1405" s="3" t="s">
        <v>45</v>
      </c>
      <c r="U1405" s="3" t="s">
        <v>45</v>
      </c>
      <c r="V1405" s="3" t="s">
        <v>45</v>
      </c>
      <c r="W1405" s="4" t="s">
        <v>10793</v>
      </c>
      <c r="X1405" s="3" t="s">
        <v>45</v>
      </c>
      <c r="Y1405" s="3" t="s">
        <v>45</v>
      </c>
      <c r="Z1405" s="3" t="s">
        <v>74</v>
      </c>
      <c r="AA1405" s="3" t="s">
        <v>45</v>
      </c>
      <c r="AB1405" s="3" t="s">
        <v>45</v>
      </c>
      <c r="AC1405" s="3" t="s">
        <v>45</v>
      </c>
      <c r="AD1405" s="3" t="s">
        <v>45</v>
      </c>
      <c r="AE1405" s="3" t="s">
        <v>45</v>
      </c>
      <c r="AF1405" s="3" t="s">
        <v>45</v>
      </c>
      <c r="AG1405" s="3" t="s">
        <v>10511</v>
      </c>
      <c r="AH1405" s="3" t="s">
        <v>9906</v>
      </c>
      <c r="AI1405" s="5" t="s">
        <v>12071</v>
      </c>
      <c r="AJ1405" s="5" t="s">
        <v>12072</v>
      </c>
      <c r="AK1405" s="3" t="s">
        <v>45</v>
      </c>
      <c r="AL1405" s="3" t="s">
        <v>45</v>
      </c>
      <c r="AM1405" s="3" t="s">
        <v>45</v>
      </c>
      <c r="AN1405" s="3" t="s">
        <v>45</v>
      </c>
      <c r="AO1405" s="3" t="s">
        <v>45</v>
      </c>
      <c r="AP1405" s="3" t="s">
        <v>45</v>
      </c>
      <c r="AQ1405" s="4" t="s">
        <v>12073</v>
      </c>
      <c r="AR1405" s="4" t="s">
        <v>9908</v>
      </c>
    </row>
    <row r="1406">
      <c r="A1406" s="3" t="s">
        <v>12074</v>
      </c>
      <c r="B1406" s="3" t="s">
        <v>12075</v>
      </c>
      <c r="C1406" s="3" t="s">
        <v>12063</v>
      </c>
      <c r="D1406" s="3" t="s">
        <v>9900</v>
      </c>
      <c r="E1406" s="4" t="s">
        <v>12064</v>
      </c>
      <c r="F1406" s="3" t="s">
        <v>10760</v>
      </c>
      <c r="G1406" s="4" t="s">
        <v>12076</v>
      </c>
      <c r="H1406" s="4" t="s">
        <v>12077</v>
      </c>
      <c r="I1406" s="3" t="s">
        <v>49</v>
      </c>
      <c r="J1406" s="3" t="s">
        <v>126</v>
      </c>
      <c r="K1406" s="3" t="s">
        <v>45</v>
      </c>
      <c r="L1406" s="3" t="s">
        <v>45</v>
      </c>
      <c r="M1406" s="3" t="s">
        <v>45</v>
      </c>
      <c r="N1406" s="3" t="s">
        <v>45</v>
      </c>
      <c r="O1406" s="3" t="s">
        <v>74</v>
      </c>
      <c r="P1406" s="3" t="s">
        <v>45</v>
      </c>
      <c r="Q1406" s="3" t="s">
        <v>45</v>
      </c>
      <c r="R1406" s="3" t="s">
        <v>45</v>
      </c>
      <c r="S1406" s="3" t="s">
        <v>45</v>
      </c>
      <c r="T1406" s="3" t="s">
        <v>45</v>
      </c>
      <c r="U1406" s="3" t="s">
        <v>45</v>
      </c>
      <c r="V1406" s="3" t="s">
        <v>45</v>
      </c>
      <c r="W1406" s="4" t="s">
        <v>12078</v>
      </c>
      <c r="X1406" s="3" t="s">
        <v>45</v>
      </c>
      <c r="Y1406" s="3" t="s">
        <v>45</v>
      </c>
      <c r="Z1406" s="3" t="s">
        <v>74</v>
      </c>
      <c r="AA1406" s="3" t="s">
        <v>45</v>
      </c>
      <c r="AB1406" s="3" t="s">
        <v>45</v>
      </c>
      <c r="AC1406" s="3" t="s">
        <v>45</v>
      </c>
      <c r="AD1406" s="3" t="s">
        <v>45</v>
      </c>
      <c r="AE1406" s="3" t="s">
        <v>45</v>
      </c>
      <c r="AF1406" s="3" t="s">
        <v>45</v>
      </c>
      <c r="AG1406" s="3" t="s">
        <v>10511</v>
      </c>
      <c r="AH1406" s="3" t="s">
        <v>9906</v>
      </c>
      <c r="AI1406" s="5" t="s">
        <v>12079</v>
      </c>
      <c r="AJ1406" s="5" t="s">
        <v>12080</v>
      </c>
      <c r="AK1406" s="3" t="s">
        <v>45</v>
      </c>
      <c r="AL1406" s="3" t="s">
        <v>45</v>
      </c>
      <c r="AM1406" s="3" t="s">
        <v>45</v>
      </c>
      <c r="AN1406" s="3" t="s">
        <v>45</v>
      </c>
      <c r="AO1406" s="3" t="s">
        <v>45</v>
      </c>
      <c r="AP1406" s="3" t="s">
        <v>45</v>
      </c>
      <c r="AQ1406" s="4" t="s">
        <v>12073</v>
      </c>
      <c r="AR1406" s="4" t="s">
        <v>9908</v>
      </c>
    </row>
    <row r="1407">
      <c r="A1407" s="3" t="s">
        <v>12081</v>
      </c>
      <c r="B1407" s="3" t="s">
        <v>12082</v>
      </c>
      <c r="C1407" s="3" t="s">
        <v>12083</v>
      </c>
      <c r="D1407" s="3" t="s">
        <v>9900</v>
      </c>
      <c r="E1407" s="4" t="s">
        <v>12084</v>
      </c>
      <c r="F1407" s="3" t="s">
        <v>12083</v>
      </c>
      <c r="G1407" s="4" t="s">
        <v>12085</v>
      </c>
      <c r="H1407" s="4" t="s">
        <v>12086</v>
      </c>
      <c r="I1407" s="3" t="s">
        <v>85</v>
      </c>
      <c r="J1407" s="3" t="s">
        <v>126</v>
      </c>
      <c r="K1407" s="3" t="s">
        <v>45</v>
      </c>
      <c r="L1407" s="3" t="s">
        <v>12087</v>
      </c>
      <c r="M1407" s="3" t="s">
        <v>45</v>
      </c>
      <c r="N1407" s="3" t="s">
        <v>45</v>
      </c>
      <c r="O1407" s="3" t="s">
        <v>74</v>
      </c>
      <c r="P1407" s="3" t="s">
        <v>45</v>
      </c>
      <c r="Q1407" s="3" t="s">
        <v>45</v>
      </c>
      <c r="R1407" s="3" t="s">
        <v>45</v>
      </c>
      <c r="S1407" s="3" t="s">
        <v>45</v>
      </c>
      <c r="T1407" s="3" t="s">
        <v>45</v>
      </c>
      <c r="U1407" s="3" t="s">
        <v>45</v>
      </c>
      <c r="V1407" s="4" t="s">
        <v>12088</v>
      </c>
      <c r="W1407" s="4" t="s">
        <v>582</v>
      </c>
      <c r="X1407" s="3" t="s">
        <v>45</v>
      </c>
      <c r="Y1407" s="3" t="s">
        <v>45</v>
      </c>
      <c r="Z1407" s="3" t="s">
        <v>74</v>
      </c>
      <c r="AA1407" s="3" t="s">
        <v>45</v>
      </c>
      <c r="AB1407" s="3" t="s">
        <v>45</v>
      </c>
      <c r="AC1407" s="3" t="s">
        <v>45</v>
      </c>
      <c r="AD1407" s="3" t="s">
        <v>45</v>
      </c>
      <c r="AE1407" s="3" t="s">
        <v>45</v>
      </c>
      <c r="AF1407" s="3" t="s">
        <v>45</v>
      </c>
      <c r="AG1407" s="3" t="s">
        <v>12089</v>
      </c>
      <c r="AH1407" s="3" t="s">
        <v>9906</v>
      </c>
      <c r="AI1407" s="5" t="s">
        <v>12090</v>
      </c>
      <c r="AJ1407" s="3" t="s">
        <v>45</v>
      </c>
      <c r="AK1407" s="3" t="s">
        <v>45</v>
      </c>
      <c r="AL1407" s="3" t="s">
        <v>45</v>
      </c>
      <c r="AM1407" s="3" t="s">
        <v>45</v>
      </c>
      <c r="AN1407" s="3" t="s">
        <v>45</v>
      </c>
      <c r="AO1407" s="3" t="s">
        <v>45</v>
      </c>
      <c r="AP1407" s="3" t="s">
        <v>45</v>
      </c>
      <c r="AQ1407" s="4" t="s">
        <v>9934</v>
      </c>
      <c r="AR1407" s="4" t="s">
        <v>9908</v>
      </c>
    </row>
    <row r="1408">
      <c r="A1408" s="3" t="s">
        <v>12091</v>
      </c>
      <c r="B1408" s="3" t="s">
        <v>12092</v>
      </c>
      <c r="C1408" s="3" t="s">
        <v>12093</v>
      </c>
      <c r="D1408" s="3" t="s">
        <v>9900</v>
      </c>
      <c r="E1408" s="4" t="s">
        <v>11348</v>
      </c>
      <c r="F1408" s="3" t="s">
        <v>2850</v>
      </c>
      <c r="G1408" s="4" t="s">
        <v>12094</v>
      </c>
      <c r="H1408" s="4" t="s">
        <v>12095</v>
      </c>
      <c r="I1408" s="3" t="s">
        <v>408</v>
      </c>
      <c r="J1408" s="3" t="s">
        <v>126</v>
      </c>
      <c r="K1408" s="3" t="s">
        <v>45</v>
      </c>
      <c r="L1408" s="3" t="s">
        <v>479</v>
      </c>
      <c r="M1408" s="3" t="s">
        <v>45</v>
      </c>
      <c r="N1408" s="3" t="s">
        <v>45</v>
      </c>
      <c r="O1408" s="3" t="s">
        <v>74</v>
      </c>
      <c r="P1408" s="3" t="s">
        <v>45</v>
      </c>
      <c r="Q1408" s="3" t="s">
        <v>45</v>
      </c>
      <c r="R1408" s="3" t="s">
        <v>45</v>
      </c>
      <c r="S1408" s="3" t="s">
        <v>45</v>
      </c>
      <c r="T1408" s="3" t="s">
        <v>45</v>
      </c>
      <c r="U1408" s="3" t="s">
        <v>45</v>
      </c>
      <c r="V1408" s="4" t="s">
        <v>12096</v>
      </c>
      <c r="W1408" s="4" t="s">
        <v>879</v>
      </c>
      <c r="X1408" s="3" t="s">
        <v>45</v>
      </c>
      <c r="Y1408" s="3" t="s">
        <v>45</v>
      </c>
      <c r="Z1408" s="3" t="s">
        <v>74</v>
      </c>
      <c r="AA1408" s="3" t="s">
        <v>45</v>
      </c>
      <c r="AB1408" s="3" t="s">
        <v>45</v>
      </c>
      <c r="AC1408" s="3" t="s">
        <v>45</v>
      </c>
      <c r="AD1408" s="3" t="s">
        <v>45</v>
      </c>
      <c r="AE1408" s="3" t="s">
        <v>45</v>
      </c>
      <c r="AF1408" s="3" t="s">
        <v>45</v>
      </c>
      <c r="AG1408" s="3" t="s">
        <v>12097</v>
      </c>
      <c r="AH1408" s="3" t="s">
        <v>9906</v>
      </c>
      <c r="AI1408" s="5" t="s">
        <v>10655</v>
      </c>
      <c r="AJ1408" s="5" t="s">
        <v>12098</v>
      </c>
      <c r="AK1408" s="3" t="s">
        <v>45</v>
      </c>
      <c r="AL1408" s="3" t="s">
        <v>45</v>
      </c>
      <c r="AM1408" s="3" t="s">
        <v>45</v>
      </c>
      <c r="AN1408" s="3" t="s">
        <v>45</v>
      </c>
      <c r="AO1408" s="3" t="s">
        <v>45</v>
      </c>
      <c r="AP1408" s="3" t="s">
        <v>45</v>
      </c>
      <c r="AQ1408" s="4" t="s">
        <v>9934</v>
      </c>
      <c r="AR1408" s="4" t="s">
        <v>224</v>
      </c>
    </row>
    <row r="1409">
      <c r="A1409" s="3" t="s">
        <v>12099</v>
      </c>
      <c r="B1409" s="3" t="s">
        <v>12100</v>
      </c>
      <c r="C1409" s="3" t="s">
        <v>12101</v>
      </c>
      <c r="D1409" s="3" t="s">
        <v>9900</v>
      </c>
      <c r="E1409" s="4" t="s">
        <v>12102</v>
      </c>
      <c r="F1409" s="3" t="s">
        <v>10628</v>
      </c>
      <c r="G1409" s="4" t="s">
        <v>12103</v>
      </c>
      <c r="H1409" s="4" t="s">
        <v>12104</v>
      </c>
      <c r="I1409" s="3" t="s">
        <v>49</v>
      </c>
      <c r="J1409" s="3" t="s">
        <v>126</v>
      </c>
      <c r="K1409" s="3" t="s">
        <v>45</v>
      </c>
      <c r="L1409" s="3" t="s">
        <v>12105</v>
      </c>
      <c r="M1409" s="3" t="s">
        <v>45</v>
      </c>
      <c r="N1409" s="3" t="s">
        <v>45</v>
      </c>
      <c r="O1409" s="3" t="s">
        <v>74</v>
      </c>
      <c r="P1409" s="3" t="s">
        <v>45</v>
      </c>
      <c r="Q1409" s="3" t="s">
        <v>45</v>
      </c>
      <c r="R1409" s="3" t="s">
        <v>45</v>
      </c>
      <c r="S1409" s="3" t="s">
        <v>45</v>
      </c>
      <c r="T1409" s="3" t="s">
        <v>45</v>
      </c>
      <c r="U1409" s="3" t="s">
        <v>45</v>
      </c>
      <c r="V1409" s="4" t="s">
        <v>12106</v>
      </c>
      <c r="W1409" s="4" t="s">
        <v>12107</v>
      </c>
      <c r="X1409" s="3" t="s">
        <v>45</v>
      </c>
      <c r="Y1409" s="3" t="s">
        <v>45</v>
      </c>
      <c r="Z1409" s="3" t="s">
        <v>74</v>
      </c>
      <c r="AA1409" s="3" t="s">
        <v>45</v>
      </c>
      <c r="AB1409" s="3" t="s">
        <v>45</v>
      </c>
      <c r="AC1409" s="3" t="s">
        <v>45</v>
      </c>
      <c r="AD1409" s="3" t="s">
        <v>45</v>
      </c>
      <c r="AE1409" s="3" t="s">
        <v>45</v>
      </c>
      <c r="AF1409" s="3" t="s">
        <v>45</v>
      </c>
      <c r="AG1409" s="3" t="s">
        <v>12108</v>
      </c>
      <c r="AH1409" s="3" t="s">
        <v>9906</v>
      </c>
      <c r="AI1409" s="5" t="s">
        <v>12109</v>
      </c>
      <c r="AJ1409" s="5" t="s">
        <v>12109</v>
      </c>
      <c r="AK1409" s="3" t="s">
        <v>45</v>
      </c>
      <c r="AL1409" s="3" t="s">
        <v>45</v>
      </c>
      <c r="AM1409" s="3" t="s">
        <v>45</v>
      </c>
      <c r="AN1409" s="3" t="s">
        <v>45</v>
      </c>
      <c r="AO1409" s="3" t="s">
        <v>45</v>
      </c>
      <c r="AP1409" s="3" t="s">
        <v>45</v>
      </c>
      <c r="AQ1409" s="4" t="s">
        <v>12048</v>
      </c>
      <c r="AR1409" s="4" t="s">
        <v>9908</v>
      </c>
    </row>
    <row r="1410">
      <c r="A1410" s="3" t="s">
        <v>12110</v>
      </c>
      <c r="B1410" s="3" t="s">
        <v>12111</v>
      </c>
      <c r="C1410" s="3" t="s">
        <v>12101</v>
      </c>
      <c r="D1410" s="3" t="s">
        <v>9900</v>
      </c>
      <c r="E1410" s="4" t="s">
        <v>12102</v>
      </c>
      <c r="F1410" s="3" t="s">
        <v>10628</v>
      </c>
      <c r="G1410" s="4" t="s">
        <v>12112</v>
      </c>
      <c r="H1410" s="4" t="s">
        <v>12113</v>
      </c>
      <c r="I1410" s="3" t="s">
        <v>245</v>
      </c>
      <c r="J1410" s="3" t="s">
        <v>126</v>
      </c>
      <c r="K1410" s="3" t="s">
        <v>45</v>
      </c>
      <c r="L1410" s="3" t="s">
        <v>45</v>
      </c>
      <c r="M1410" s="3" t="s">
        <v>45</v>
      </c>
      <c r="N1410" s="3" t="s">
        <v>45</v>
      </c>
      <c r="O1410" s="3" t="s">
        <v>74</v>
      </c>
      <c r="P1410" s="3" t="s">
        <v>45</v>
      </c>
      <c r="Q1410" s="3" t="s">
        <v>45</v>
      </c>
      <c r="R1410" s="3" t="s">
        <v>45</v>
      </c>
      <c r="S1410" s="3" t="s">
        <v>45</v>
      </c>
      <c r="T1410" s="3" t="s">
        <v>45</v>
      </c>
      <c r="U1410" s="3" t="s">
        <v>45</v>
      </c>
      <c r="V1410" s="4" t="s">
        <v>2140</v>
      </c>
      <c r="W1410" s="3" t="s">
        <v>45</v>
      </c>
      <c r="X1410" s="3" t="s">
        <v>45</v>
      </c>
      <c r="Y1410" s="3" t="s">
        <v>45</v>
      </c>
      <c r="Z1410" s="3" t="s">
        <v>74</v>
      </c>
      <c r="AA1410" s="3" t="s">
        <v>45</v>
      </c>
      <c r="AB1410" s="3" t="s">
        <v>45</v>
      </c>
      <c r="AC1410" s="3" t="s">
        <v>45</v>
      </c>
      <c r="AD1410" s="3" t="s">
        <v>45</v>
      </c>
      <c r="AE1410" s="3" t="s">
        <v>45</v>
      </c>
      <c r="AF1410" s="3" t="s">
        <v>45</v>
      </c>
      <c r="AG1410" s="3" t="s">
        <v>12114</v>
      </c>
      <c r="AH1410" s="3" t="s">
        <v>57</v>
      </c>
      <c r="AI1410" s="5" t="s">
        <v>12115</v>
      </c>
      <c r="AJ1410" s="5" t="s">
        <v>12116</v>
      </c>
      <c r="AK1410" s="3" t="s">
        <v>45</v>
      </c>
      <c r="AL1410" s="3" t="s">
        <v>45</v>
      </c>
      <c r="AM1410" s="3" t="s">
        <v>45</v>
      </c>
      <c r="AN1410" s="3" t="s">
        <v>45</v>
      </c>
      <c r="AO1410" s="3" t="s">
        <v>45</v>
      </c>
      <c r="AP1410" s="3" t="s">
        <v>45</v>
      </c>
      <c r="AQ1410" s="4" t="s">
        <v>3252</v>
      </c>
      <c r="AR1410" s="4" t="s">
        <v>3252</v>
      </c>
    </row>
    <row r="1411">
      <c r="A1411" s="3" t="s">
        <v>12117</v>
      </c>
      <c r="B1411" s="3" t="s">
        <v>12118</v>
      </c>
      <c r="C1411" s="3" t="s">
        <v>12101</v>
      </c>
      <c r="D1411" s="3" t="s">
        <v>9900</v>
      </c>
      <c r="E1411" s="4" t="s">
        <v>12102</v>
      </c>
      <c r="F1411" s="3" t="s">
        <v>10628</v>
      </c>
      <c r="G1411" s="4" t="s">
        <v>12119</v>
      </c>
      <c r="H1411" s="4" t="s">
        <v>12120</v>
      </c>
      <c r="I1411" s="3" t="s">
        <v>49</v>
      </c>
      <c r="J1411" s="3" t="s">
        <v>126</v>
      </c>
      <c r="K1411" s="3" t="s">
        <v>45</v>
      </c>
      <c r="L1411" s="3" t="s">
        <v>12121</v>
      </c>
      <c r="M1411" s="3" t="s">
        <v>45</v>
      </c>
      <c r="N1411" s="3" t="s">
        <v>45</v>
      </c>
      <c r="O1411" s="3" t="s">
        <v>74</v>
      </c>
      <c r="P1411" s="3" t="s">
        <v>45</v>
      </c>
      <c r="Q1411" s="3" t="s">
        <v>45</v>
      </c>
      <c r="R1411" s="3" t="s">
        <v>45</v>
      </c>
      <c r="S1411" s="3" t="s">
        <v>45</v>
      </c>
      <c r="T1411" s="3" t="s">
        <v>45</v>
      </c>
      <c r="U1411" s="3" t="s">
        <v>45</v>
      </c>
      <c r="V1411" s="4" t="s">
        <v>2342</v>
      </c>
      <c r="W1411" s="4" t="s">
        <v>1239</v>
      </c>
      <c r="X1411" s="3" t="s">
        <v>45</v>
      </c>
      <c r="Y1411" s="3" t="s">
        <v>45</v>
      </c>
      <c r="Z1411" s="3" t="s">
        <v>74</v>
      </c>
      <c r="AA1411" s="3" t="s">
        <v>45</v>
      </c>
      <c r="AB1411" s="3" t="s">
        <v>45</v>
      </c>
      <c r="AC1411" s="3" t="s">
        <v>45</v>
      </c>
      <c r="AD1411" s="3" t="s">
        <v>45</v>
      </c>
      <c r="AE1411" s="3" t="s">
        <v>45</v>
      </c>
      <c r="AF1411" s="3" t="s">
        <v>45</v>
      </c>
      <c r="AG1411" s="3" t="s">
        <v>9916</v>
      </c>
      <c r="AH1411" s="3" t="s">
        <v>9906</v>
      </c>
      <c r="AI1411" s="5" t="s">
        <v>12122</v>
      </c>
      <c r="AJ1411" s="5" t="s">
        <v>12123</v>
      </c>
      <c r="AK1411" s="3" t="s">
        <v>45</v>
      </c>
      <c r="AL1411" s="3" t="s">
        <v>45</v>
      </c>
      <c r="AM1411" s="3" t="s">
        <v>45</v>
      </c>
      <c r="AN1411" s="3" t="s">
        <v>45</v>
      </c>
      <c r="AO1411" s="3" t="s">
        <v>45</v>
      </c>
      <c r="AP1411" s="3" t="s">
        <v>45</v>
      </c>
      <c r="AQ1411" s="4" t="s">
        <v>9934</v>
      </c>
      <c r="AR1411" s="4" t="s">
        <v>9908</v>
      </c>
    </row>
    <row r="1412">
      <c r="A1412" s="3" t="s">
        <v>12124</v>
      </c>
      <c r="B1412" s="3" t="s">
        <v>12125</v>
      </c>
      <c r="C1412" s="3" t="s">
        <v>12101</v>
      </c>
      <c r="D1412" s="3" t="s">
        <v>9900</v>
      </c>
      <c r="E1412" s="4" t="s">
        <v>12102</v>
      </c>
      <c r="F1412" s="3" t="s">
        <v>10628</v>
      </c>
      <c r="G1412" s="4" t="s">
        <v>12126</v>
      </c>
      <c r="H1412" s="4" t="s">
        <v>12127</v>
      </c>
      <c r="I1412" s="3" t="s">
        <v>49</v>
      </c>
      <c r="J1412" s="3" t="s">
        <v>126</v>
      </c>
      <c r="K1412" s="3" t="s">
        <v>45</v>
      </c>
      <c r="L1412" s="3" t="s">
        <v>12128</v>
      </c>
      <c r="M1412" s="3" t="s">
        <v>45</v>
      </c>
      <c r="N1412" s="4" t="s">
        <v>156</v>
      </c>
      <c r="O1412" s="3" t="s">
        <v>88</v>
      </c>
      <c r="P1412" s="3" t="s">
        <v>45</v>
      </c>
      <c r="Q1412" s="3" t="s">
        <v>45</v>
      </c>
      <c r="R1412" s="3" t="s">
        <v>45</v>
      </c>
      <c r="S1412" s="3" t="s">
        <v>45</v>
      </c>
      <c r="T1412" s="3" t="s">
        <v>45</v>
      </c>
      <c r="U1412" s="3" t="s">
        <v>45</v>
      </c>
      <c r="V1412" s="4" t="s">
        <v>1968</v>
      </c>
      <c r="W1412" s="4" t="s">
        <v>10462</v>
      </c>
      <c r="X1412" s="3" t="s">
        <v>45</v>
      </c>
      <c r="Y1412" s="3" t="s">
        <v>45</v>
      </c>
      <c r="Z1412" s="3" t="s">
        <v>74</v>
      </c>
      <c r="AA1412" s="3" t="s">
        <v>45</v>
      </c>
      <c r="AB1412" s="3" t="s">
        <v>45</v>
      </c>
      <c r="AC1412" s="3" t="s">
        <v>45</v>
      </c>
      <c r="AD1412" s="3" t="s">
        <v>45</v>
      </c>
      <c r="AE1412" s="3" t="s">
        <v>45</v>
      </c>
      <c r="AF1412" s="3" t="s">
        <v>45</v>
      </c>
      <c r="AG1412" s="3" t="s">
        <v>45</v>
      </c>
      <c r="AH1412" s="3" t="s">
        <v>9906</v>
      </c>
      <c r="AI1412" s="5" t="s">
        <v>12129</v>
      </c>
      <c r="AJ1412" s="5" t="s">
        <v>12130</v>
      </c>
      <c r="AK1412" s="3" t="s">
        <v>45</v>
      </c>
      <c r="AL1412" s="3" t="s">
        <v>45</v>
      </c>
      <c r="AM1412" s="3" t="s">
        <v>45</v>
      </c>
      <c r="AN1412" s="3" t="s">
        <v>45</v>
      </c>
      <c r="AO1412" s="3" t="s">
        <v>45</v>
      </c>
      <c r="AP1412" s="3" t="s">
        <v>45</v>
      </c>
      <c r="AQ1412" s="4" t="s">
        <v>9934</v>
      </c>
      <c r="AR1412" s="4" t="s">
        <v>9908</v>
      </c>
    </row>
    <row r="1413">
      <c r="A1413" s="3" t="s">
        <v>12131</v>
      </c>
      <c r="B1413" s="3" t="s">
        <v>12132</v>
      </c>
      <c r="C1413" s="3" t="s">
        <v>12101</v>
      </c>
      <c r="D1413" s="3" t="s">
        <v>9900</v>
      </c>
      <c r="E1413" s="4" t="s">
        <v>12102</v>
      </c>
      <c r="F1413" s="3" t="s">
        <v>10628</v>
      </c>
      <c r="G1413" s="4" t="s">
        <v>12133</v>
      </c>
      <c r="H1413" s="4" t="s">
        <v>12134</v>
      </c>
      <c r="I1413" s="3" t="s">
        <v>49</v>
      </c>
      <c r="J1413" s="3" t="s">
        <v>126</v>
      </c>
      <c r="K1413" s="3" t="s">
        <v>45</v>
      </c>
      <c r="L1413" s="3" t="s">
        <v>12135</v>
      </c>
      <c r="M1413" s="3" t="s">
        <v>45</v>
      </c>
      <c r="N1413" s="3" t="s">
        <v>45</v>
      </c>
      <c r="O1413" s="3" t="s">
        <v>74</v>
      </c>
      <c r="P1413" s="3" t="s">
        <v>45</v>
      </c>
      <c r="Q1413" s="3" t="s">
        <v>45</v>
      </c>
      <c r="R1413" s="3" t="s">
        <v>45</v>
      </c>
      <c r="S1413" s="3" t="s">
        <v>45</v>
      </c>
      <c r="T1413" s="3" t="s">
        <v>45</v>
      </c>
      <c r="U1413" s="3" t="s">
        <v>45</v>
      </c>
      <c r="V1413" s="4" t="s">
        <v>11130</v>
      </c>
      <c r="W1413" s="4" t="s">
        <v>5932</v>
      </c>
      <c r="X1413" s="3" t="s">
        <v>45</v>
      </c>
      <c r="Y1413" s="3" t="s">
        <v>45</v>
      </c>
      <c r="Z1413" s="3" t="s">
        <v>74</v>
      </c>
      <c r="AA1413" s="3" t="s">
        <v>45</v>
      </c>
      <c r="AB1413" s="3" t="s">
        <v>45</v>
      </c>
      <c r="AC1413" s="3" t="s">
        <v>45</v>
      </c>
      <c r="AD1413" s="3" t="s">
        <v>45</v>
      </c>
      <c r="AE1413" s="3" t="s">
        <v>45</v>
      </c>
      <c r="AF1413" s="3" t="s">
        <v>45</v>
      </c>
      <c r="AG1413" s="3" t="s">
        <v>9916</v>
      </c>
      <c r="AH1413" s="3" t="s">
        <v>9906</v>
      </c>
      <c r="AI1413" s="5" t="s">
        <v>12136</v>
      </c>
      <c r="AJ1413" s="5" t="s">
        <v>12137</v>
      </c>
      <c r="AK1413" s="3" t="s">
        <v>45</v>
      </c>
      <c r="AL1413" s="3" t="s">
        <v>45</v>
      </c>
      <c r="AM1413" s="3" t="s">
        <v>45</v>
      </c>
      <c r="AN1413" s="3" t="s">
        <v>45</v>
      </c>
      <c r="AO1413" s="3" t="s">
        <v>45</v>
      </c>
      <c r="AP1413" s="3" t="s">
        <v>45</v>
      </c>
      <c r="AQ1413" s="4" t="s">
        <v>9934</v>
      </c>
      <c r="AR1413" s="4" t="s">
        <v>9908</v>
      </c>
    </row>
    <row r="1414">
      <c r="A1414" s="3" t="s">
        <v>12138</v>
      </c>
      <c r="B1414" s="3" t="s">
        <v>12139</v>
      </c>
      <c r="C1414" s="3" t="s">
        <v>12140</v>
      </c>
      <c r="D1414" s="3" t="s">
        <v>9900</v>
      </c>
      <c r="E1414" s="4" t="s">
        <v>12102</v>
      </c>
      <c r="F1414" s="3" t="s">
        <v>10628</v>
      </c>
      <c r="G1414" s="4" t="s">
        <v>12141</v>
      </c>
      <c r="H1414" s="4" t="s">
        <v>12142</v>
      </c>
      <c r="I1414" s="3" t="s">
        <v>49</v>
      </c>
      <c r="J1414" s="3" t="s">
        <v>126</v>
      </c>
      <c r="K1414" s="3" t="s">
        <v>45</v>
      </c>
      <c r="L1414" s="3" t="s">
        <v>45</v>
      </c>
      <c r="M1414" s="3" t="s">
        <v>45</v>
      </c>
      <c r="N1414" s="3" t="s">
        <v>45</v>
      </c>
      <c r="O1414" s="3" t="s">
        <v>74</v>
      </c>
      <c r="P1414" s="3" t="s">
        <v>45</v>
      </c>
      <c r="Q1414" s="3" t="s">
        <v>45</v>
      </c>
      <c r="R1414" s="3" t="s">
        <v>45</v>
      </c>
      <c r="S1414" s="3" t="s">
        <v>45</v>
      </c>
      <c r="T1414" s="3" t="s">
        <v>45</v>
      </c>
      <c r="U1414" s="3" t="s">
        <v>45</v>
      </c>
      <c r="V1414" s="4" t="s">
        <v>12143</v>
      </c>
      <c r="W1414" s="4" t="s">
        <v>12144</v>
      </c>
      <c r="X1414" s="3" t="s">
        <v>45</v>
      </c>
      <c r="Y1414" s="3" t="s">
        <v>45</v>
      </c>
      <c r="Z1414" s="3" t="s">
        <v>74</v>
      </c>
      <c r="AA1414" s="3" t="s">
        <v>45</v>
      </c>
      <c r="AB1414" s="3" t="s">
        <v>45</v>
      </c>
      <c r="AC1414" s="3" t="s">
        <v>45</v>
      </c>
      <c r="AD1414" s="3" t="s">
        <v>45</v>
      </c>
      <c r="AE1414" s="3" t="s">
        <v>45</v>
      </c>
      <c r="AF1414" s="3" t="s">
        <v>45</v>
      </c>
      <c r="AG1414" s="3" t="s">
        <v>12145</v>
      </c>
      <c r="AH1414" s="3" t="s">
        <v>9906</v>
      </c>
      <c r="AI1414" s="5" t="s">
        <v>12146</v>
      </c>
      <c r="AJ1414" s="5" t="s">
        <v>12147</v>
      </c>
      <c r="AK1414" s="3" t="s">
        <v>45</v>
      </c>
      <c r="AL1414" s="3" t="s">
        <v>45</v>
      </c>
      <c r="AM1414" s="3" t="s">
        <v>45</v>
      </c>
      <c r="AN1414" s="3" t="s">
        <v>45</v>
      </c>
      <c r="AO1414" s="3" t="s">
        <v>45</v>
      </c>
      <c r="AP1414" s="3" t="s">
        <v>45</v>
      </c>
      <c r="AQ1414" s="4" t="s">
        <v>8474</v>
      </c>
      <c r="AR1414" s="4" t="s">
        <v>9908</v>
      </c>
    </row>
    <row r="1415">
      <c r="A1415" s="3" t="s">
        <v>12148</v>
      </c>
      <c r="B1415" s="3" t="s">
        <v>12149</v>
      </c>
      <c r="C1415" s="3" t="s">
        <v>12150</v>
      </c>
      <c r="D1415" s="3" t="s">
        <v>9900</v>
      </c>
      <c r="E1415" s="4" t="s">
        <v>12151</v>
      </c>
      <c r="F1415" s="3" t="s">
        <v>2850</v>
      </c>
      <c r="G1415" s="4" t="s">
        <v>12152</v>
      </c>
      <c r="H1415" s="4" t="s">
        <v>12153</v>
      </c>
      <c r="I1415" s="3" t="s">
        <v>408</v>
      </c>
      <c r="J1415" s="3" t="s">
        <v>126</v>
      </c>
      <c r="K1415" s="3" t="s">
        <v>45</v>
      </c>
      <c r="L1415" s="3" t="s">
        <v>12154</v>
      </c>
      <c r="M1415" s="3" t="s">
        <v>45</v>
      </c>
      <c r="N1415" s="3" t="s">
        <v>45</v>
      </c>
      <c r="O1415" s="3" t="s">
        <v>74</v>
      </c>
      <c r="P1415" s="3" t="s">
        <v>45</v>
      </c>
      <c r="Q1415" s="3" t="s">
        <v>45</v>
      </c>
      <c r="R1415" s="3" t="s">
        <v>45</v>
      </c>
      <c r="S1415" s="3" t="s">
        <v>45</v>
      </c>
      <c r="T1415" s="3" t="s">
        <v>45</v>
      </c>
      <c r="U1415" s="3" t="s">
        <v>45</v>
      </c>
      <c r="V1415" s="4" t="s">
        <v>12155</v>
      </c>
      <c r="W1415" s="4" t="s">
        <v>1843</v>
      </c>
      <c r="X1415" s="3" t="s">
        <v>45</v>
      </c>
      <c r="Y1415" s="3" t="s">
        <v>45</v>
      </c>
      <c r="Z1415" s="3" t="s">
        <v>74</v>
      </c>
      <c r="AA1415" s="3" t="s">
        <v>45</v>
      </c>
      <c r="AB1415" s="3" t="s">
        <v>45</v>
      </c>
      <c r="AC1415" s="3" t="s">
        <v>45</v>
      </c>
      <c r="AD1415" s="3" t="s">
        <v>45</v>
      </c>
      <c r="AE1415" s="3" t="s">
        <v>45</v>
      </c>
      <c r="AF1415" s="3" t="s">
        <v>45</v>
      </c>
      <c r="AG1415" s="3" t="s">
        <v>12156</v>
      </c>
      <c r="AH1415" s="3" t="s">
        <v>9906</v>
      </c>
      <c r="AI1415" s="5" t="s">
        <v>10655</v>
      </c>
      <c r="AJ1415" s="5" t="s">
        <v>12157</v>
      </c>
      <c r="AK1415" s="3" t="s">
        <v>45</v>
      </c>
      <c r="AL1415" s="3" t="s">
        <v>45</v>
      </c>
      <c r="AM1415" s="3" t="s">
        <v>45</v>
      </c>
      <c r="AN1415" s="3" t="s">
        <v>45</v>
      </c>
      <c r="AO1415" s="3" t="s">
        <v>45</v>
      </c>
      <c r="AP1415" s="3" t="s">
        <v>45</v>
      </c>
      <c r="AQ1415" s="4" t="s">
        <v>9934</v>
      </c>
      <c r="AR1415" s="4" t="s">
        <v>224</v>
      </c>
    </row>
    <row r="1416">
      <c r="A1416" s="3" t="s">
        <v>12158</v>
      </c>
      <c r="B1416" s="3" t="s">
        <v>12159</v>
      </c>
      <c r="C1416" s="3" t="s">
        <v>12150</v>
      </c>
      <c r="D1416" s="3" t="s">
        <v>9900</v>
      </c>
      <c r="E1416" s="4" t="s">
        <v>12160</v>
      </c>
      <c r="F1416" s="3" t="s">
        <v>2850</v>
      </c>
      <c r="G1416" s="4" t="s">
        <v>12161</v>
      </c>
      <c r="H1416" s="4" t="s">
        <v>12162</v>
      </c>
      <c r="I1416" s="3" t="s">
        <v>85</v>
      </c>
      <c r="J1416" s="3" t="s">
        <v>126</v>
      </c>
      <c r="K1416" s="3" t="s">
        <v>45</v>
      </c>
      <c r="L1416" s="3" t="s">
        <v>921</v>
      </c>
      <c r="M1416" s="3" t="s">
        <v>45</v>
      </c>
      <c r="N1416" s="3" t="s">
        <v>45</v>
      </c>
      <c r="O1416" s="3" t="s">
        <v>74</v>
      </c>
      <c r="P1416" s="3" t="s">
        <v>45</v>
      </c>
      <c r="Q1416" s="3" t="s">
        <v>45</v>
      </c>
      <c r="R1416" s="3" t="s">
        <v>45</v>
      </c>
      <c r="S1416" s="3" t="s">
        <v>45</v>
      </c>
      <c r="T1416" s="3" t="s">
        <v>45</v>
      </c>
      <c r="U1416" s="3" t="s">
        <v>45</v>
      </c>
      <c r="V1416" s="4" t="s">
        <v>12163</v>
      </c>
      <c r="W1416" s="4" t="s">
        <v>922</v>
      </c>
      <c r="X1416" s="3" t="s">
        <v>45</v>
      </c>
      <c r="Y1416" s="3" t="s">
        <v>45</v>
      </c>
      <c r="Z1416" s="3" t="s">
        <v>74</v>
      </c>
      <c r="AA1416" s="3" t="s">
        <v>45</v>
      </c>
      <c r="AB1416" s="3" t="s">
        <v>45</v>
      </c>
      <c r="AC1416" s="3" t="s">
        <v>45</v>
      </c>
      <c r="AD1416" s="3" t="s">
        <v>45</v>
      </c>
      <c r="AE1416" s="3" t="s">
        <v>45</v>
      </c>
      <c r="AF1416" s="3" t="s">
        <v>45</v>
      </c>
      <c r="AG1416" s="3" t="s">
        <v>45</v>
      </c>
      <c r="AH1416" s="3" t="s">
        <v>9906</v>
      </c>
      <c r="AI1416" s="5" t="s">
        <v>10655</v>
      </c>
      <c r="AJ1416" s="5" t="s">
        <v>12164</v>
      </c>
      <c r="AK1416" s="3" t="s">
        <v>45</v>
      </c>
      <c r="AL1416" s="3" t="s">
        <v>45</v>
      </c>
      <c r="AM1416" s="3" t="s">
        <v>45</v>
      </c>
      <c r="AN1416" s="3" t="s">
        <v>45</v>
      </c>
      <c r="AO1416" s="3" t="s">
        <v>45</v>
      </c>
      <c r="AP1416" s="3" t="s">
        <v>45</v>
      </c>
      <c r="AQ1416" s="4" t="s">
        <v>9934</v>
      </c>
      <c r="AR1416" s="4" t="s">
        <v>9908</v>
      </c>
    </row>
    <row r="1417">
      <c r="A1417" s="3" t="s">
        <v>12165</v>
      </c>
      <c r="B1417" s="3" t="s">
        <v>12166</v>
      </c>
      <c r="C1417" s="3" t="s">
        <v>12150</v>
      </c>
      <c r="D1417" s="3" t="s">
        <v>9900</v>
      </c>
      <c r="E1417" s="4" t="s">
        <v>12160</v>
      </c>
      <c r="F1417" s="3" t="s">
        <v>2850</v>
      </c>
      <c r="G1417" s="4" t="s">
        <v>12167</v>
      </c>
      <c r="H1417" s="4" t="s">
        <v>12168</v>
      </c>
      <c r="I1417" s="3" t="s">
        <v>85</v>
      </c>
      <c r="J1417" s="3" t="s">
        <v>126</v>
      </c>
      <c r="K1417" s="3" t="s">
        <v>45</v>
      </c>
      <c r="L1417" s="3" t="s">
        <v>12169</v>
      </c>
      <c r="M1417" s="3" t="s">
        <v>45</v>
      </c>
      <c r="N1417" s="3" t="s">
        <v>45</v>
      </c>
      <c r="O1417" s="3" t="s">
        <v>74</v>
      </c>
      <c r="P1417" s="3" t="s">
        <v>45</v>
      </c>
      <c r="Q1417" s="3" t="s">
        <v>45</v>
      </c>
      <c r="R1417" s="3" t="s">
        <v>45</v>
      </c>
      <c r="S1417" s="3" t="s">
        <v>45</v>
      </c>
      <c r="T1417" s="3" t="s">
        <v>45</v>
      </c>
      <c r="U1417" s="3" t="s">
        <v>45</v>
      </c>
      <c r="V1417" s="4" t="s">
        <v>12170</v>
      </c>
      <c r="W1417" s="4" t="s">
        <v>233</v>
      </c>
      <c r="X1417" s="3" t="s">
        <v>45</v>
      </c>
      <c r="Y1417" s="3" t="s">
        <v>45</v>
      </c>
      <c r="Z1417" s="3" t="s">
        <v>74</v>
      </c>
      <c r="AA1417" s="3" t="s">
        <v>45</v>
      </c>
      <c r="AB1417" s="3" t="s">
        <v>45</v>
      </c>
      <c r="AC1417" s="3" t="s">
        <v>45</v>
      </c>
      <c r="AD1417" s="3" t="s">
        <v>45</v>
      </c>
      <c r="AE1417" s="3" t="s">
        <v>45</v>
      </c>
      <c r="AF1417" s="3" t="s">
        <v>45</v>
      </c>
      <c r="AG1417" s="3" t="s">
        <v>45</v>
      </c>
      <c r="AH1417" s="3" t="s">
        <v>9906</v>
      </c>
      <c r="AI1417" s="5" t="s">
        <v>12171</v>
      </c>
      <c r="AJ1417" s="3" t="s">
        <v>45</v>
      </c>
      <c r="AK1417" s="3" t="s">
        <v>45</v>
      </c>
      <c r="AL1417" s="3" t="s">
        <v>45</v>
      </c>
      <c r="AM1417" s="3" t="s">
        <v>45</v>
      </c>
      <c r="AN1417" s="3" t="s">
        <v>45</v>
      </c>
      <c r="AO1417" s="3" t="s">
        <v>45</v>
      </c>
      <c r="AP1417" s="3" t="s">
        <v>45</v>
      </c>
      <c r="AQ1417" s="4" t="s">
        <v>9934</v>
      </c>
      <c r="AR1417" s="4" t="s">
        <v>9908</v>
      </c>
    </row>
    <row r="1418">
      <c r="A1418" s="3" t="s">
        <v>12172</v>
      </c>
      <c r="B1418" s="3" t="s">
        <v>12173</v>
      </c>
      <c r="C1418" s="3" t="s">
        <v>12150</v>
      </c>
      <c r="D1418" s="3" t="s">
        <v>9900</v>
      </c>
      <c r="E1418" s="4" t="s">
        <v>12160</v>
      </c>
      <c r="F1418" s="3" t="s">
        <v>2850</v>
      </c>
      <c r="G1418" s="4" t="s">
        <v>12174</v>
      </c>
      <c r="H1418" s="4" t="s">
        <v>12175</v>
      </c>
      <c r="I1418" s="3" t="s">
        <v>85</v>
      </c>
      <c r="J1418" s="3" t="s">
        <v>126</v>
      </c>
      <c r="K1418" s="3" t="s">
        <v>45</v>
      </c>
      <c r="L1418" s="3" t="s">
        <v>12176</v>
      </c>
      <c r="M1418" s="3" t="s">
        <v>45</v>
      </c>
      <c r="N1418" s="3" t="s">
        <v>45</v>
      </c>
      <c r="O1418" s="3" t="s">
        <v>74</v>
      </c>
      <c r="P1418" s="3" t="s">
        <v>45</v>
      </c>
      <c r="Q1418" s="3" t="s">
        <v>45</v>
      </c>
      <c r="R1418" s="3" t="s">
        <v>45</v>
      </c>
      <c r="S1418" s="3" t="s">
        <v>45</v>
      </c>
      <c r="T1418" s="3" t="s">
        <v>45</v>
      </c>
      <c r="U1418" s="3" t="s">
        <v>45</v>
      </c>
      <c r="V1418" s="3" t="s">
        <v>45</v>
      </c>
      <c r="W1418" s="4" t="s">
        <v>275</v>
      </c>
      <c r="X1418" s="3" t="s">
        <v>45</v>
      </c>
      <c r="Y1418" s="3" t="s">
        <v>45</v>
      </c>
      <c r="Z1418" s="3" t="s">
        <v>74</v>
      </c>
      <c r="AA1418" s="3" t="s">
        <v>45</v>
      </c>
      <c r="AB1418" s="3" t="s">
        <v>45</v>
      </c>
      <c r="AC1418" s="3" t="s">
        <v>45</v>
      </c>
      <c r="AD1418" s="3" t="s">
        <v>45</v>
      </c>
      <c r="AE1418" s="3" t="s">
        <v>45</v>
      </c>
      <c r="AF1418" s="3" t="s">
        <v>45</v>
      </c>
      <c r="AG1418" s="3" t="s">
        <v>45</v>
      </c>
      <c r="AH1418" s="3" t="s">
        <v>9906</v>
      </c>
      <c r="AI1418" s="5" t="s">
        <v>12177</v>
      </c>
      <c r="AJ1418" s="3" t="s">
        <v>45</v>
      </c>
      <c r="AK1418" s="3" t="s">
        <v>45</v>
      </c>
      <c r="AL1418" s="3" t="s">
        <v>45</v>
      </c>
      <c r="AM1418" s="3" t="s">
        <v>45</v>
      </c>
      <c r="AN1418" s="3" t="s">
        <v>45</v>
      </c>
      <c r="AO1418" s="3" t="s">
        <v>45</v>
      </c>
      <c r="AP1418" s="3" t="s">
        <v>45</v>
      </c>
      <c r="AQ1418" s="4" t="s">
        <v>9934</v>
      </c>
      <c r="AR1418" s="4" t="s">
        <v>9908</v>
      </c>
    </row>
    <row r="1419">
      <c r="A1419" s="3" t="s">
        <v>12178</v>
      </c>
      <c r="B1419" s="3" t="s">
        <v>12179</v>
      </c>
      <c r="C1419" s="3" t="s">
        <v>12150</v>
      </c>
      <c r="D1419" s="3" t="s">
        <v>9900</v>
      </c>
      <c r="E1419" s="4" t="s">
        <v>12151</v>
      </c>
      <c r="F1419" s="3" t="s">
        <v>2850</v>
      </c>
      <c r="G1419" s="4" t="s">
        <v>12180</v>
      </c>
      <c r="H1419" s="4" t="s">
        <v>12181</v>
      </c>
      <c r="I1419" s="3" t="s">
        <v>85</v>
      </c>
      <c r="J1419" s="3" t="s">
        <v>126</v>
      </c>
      <c r="K1419" s="3" t="s">
        <v>45</v>
      </c>
      <c r="L1419" s="3" t="s">
        <v>12154</v>
      </c>
      <c r="M1419" s="3" t="s">
        <v>45</v>
      </c>
      <c r="N1419" s="3" t="s">
        <v>45</v>
      </c>
      <c r="O1419" s="3" t="s">
        <v>74</v>
      </c>
      <c r="P1419" s="3" t="s">
        <v>45</v>
      </c>
      <c r="Q1419" s="3" t="s">
        <v>45</v>
      </c>
      <c r="R1419" s="3" t="s">
        <v>45</v>
      </c>
      <c r="S1419" s="3" t="s">
        <v>45</v>
      </c>
      <c r="T1419" s="3" t="s">
        <v>45</v>
      </c>
      <c r="U1419" s="3" t="s">
        <v>45</v>
      </c>
      <c r="V1419" s="4" t="s">
        <v>12182</v>
      </c>
      <c r="W1419" s="4" t="s">
        <v>259</v>
      </c>
      <c r="X1419" s="3" t="s">
        <v>45</v>
      </c>
      <c r="Y1419" s="3" t="s">
        <v>45</v>
      </c>
      <c r="Z1419" s="3" t="s">
        <v>74</v>
      </c>
      <c r="AA1419" s="3" t="s">
        <v>45</v>
      </c>
      <c r="AB1419" s="3" t="s">
        <v>45</v>
      </c>
      <c r="AC1419" s="3" t="s">
        <v>45</v>
      </c>
      <c r="AD1419" s="3" t="s">
        <v>45</v>
      </c>
      <c r="AE1419" s="3" t="s">
        <v>45</v>
      </c>
      <c r="AF1419" s="3" t="s">
        <v>45</v>
      </c>
      <c r="AG1419" s="3" t="s">
        <v>10983</v>
      </c>
      <c r="AH1419" s="3" t="s">
        <v>9906</v>
      </c>
      <c r="AI1419" s="5" t="s">
        <v>10655</v>
      </c>
      <c r="AJ1419" s="5" t="s">
        <v>12183</v>
      </c>
      <c r="AK1419" s="3" t="s">
        <v>45</v>
      </c>
      <c r="AL1419" s="3" t="s">
        <v>45</v>
      </c>
      <c r="AM1419" s="3" t="s">
        <v>45</v>
      </c>
      <c r="AN1419" s="3" t="s">
        <v>45</v>
      </c>
      <c r="AO1419" s="3" t="s">
        <v>45</v>
      </c>
      <c r="AP1419" s="3" t="s">
        <v>45</v>
      </c>
      <c r="AQ1419" s="4" t="s">
        <v>9934</v>
      </c>
      <c r="AR1419" s="4" t="s">
        <v>9908</v>
      </c>
    </row>
    <row r="1420">
      <c r="A1420" s="3" t="s">
        <v>12184</v>
      </c>
      <c r="B1420" s="3" t="s">
        <v>12185</v>
      </c>
      <c r="C1420" s="3" t="s">
        <v>1700</v>
      </c>
      <c r="D1420" s="3" t="s">
        <v>9900</v>
      </c>
      <c r="E1420" s="4" t="s">
        <v>12186</v>
      </c>
      <c r="F1420" s="3" t="s">
        <v>11256</v>
      </c>
      <c r="G1420" s="4" t="s">
        <v>12187</v>
      </c>
      <c r="H1420" s="4" t="s">
        <v>12188</v>
      </c>
      <c r="I1420" s="3" t="s">
        <v>49</v>
      </c>
      <c r="J1420" s="3" t="s">
        <v>126</v>
      </c>
      <c r="K1420" s="3" t="s">
        <v>45</v>
      </c>
      <c r="L1420" s="3" t="s">
        <v>12189</v>
      </c>
      <c r="M1420" s="3" t="s">
        <v>45</v>
      </c>
      <c r="N1420" s="4" t="s">
        <v>52</v>
      </c>
      <c r="O1420" s="3" t="s">
        <v>53</v>
      </c>
      <c r="P1420" s="3" t="s">
        <v>45</v>
      </c>
      <c r="Q1420" s="3" t="s">
        <v>45</v>
      </c>
      <c r="R1420" s="3" t="s">
        <v>45</v>
      </c>
      <c r="S1420" s="3" t="s">
        <v>45</v>
      </c>
      <c r="T1420" s="3" t="s">
        <v>45</v>
      </c>
      <c r="U1420" s="3" t="s">
        <v>45</v>
      </c>
      <c r="V1420" s="4" t="s">
        <v>12190</v>
      </c>
      <c r="W1420" s="4" t="s">
        <v>2373</v>
      </c>
      <c r="X1420" s="3" t="s">
        <v>45</v>
      </c>
      <c r="Y1420" s="3" t="s">
        <v>45</v>
      </c>
      <c r="Z1420" s="3" t="s">
        <v>74</v>
      </c>
      <c r="AA1420" s="3" t="s">
        <v>45</v>
      </c>
      <c r="AB1420" s="3" t="s">
        <v>45</v>
      </c>
      <c r="AC1420" s="3" t="s">
        <v>45</v>
      </c>
      <c r="AD1420" s="3" t="s">
        <v>45</v>
      </c>
      <c r="AE1420" s="3" t="s">
        <v>45</v>
      </c>
      <c r="AF1420" s="3" t="s">
        <v>45</v>
      </c>
      <c r="AG1420" s="3" t="s">
        <v>12191</v>
      </c>
      <c r="AH1420" s="3" t="s">
        <v>9906</v>
      </c>
      <c r="AI1420" s="5" t="s">
        <v>12192</v>
      </c>
      <c r="AJ1420" s="5" t="s">
        <v>12193</v>
      </c>
      <c r="AK1420" s="3" t="s">
        <v>45</v>
      </c>
      <c r="AL1420" s="3" t="s">
        <v>45</v>
      </c>
      <c r="AM1420" s="3" t="s">
        <v>45</v>
      </c>
      <c r="AN1420" s="3" t="s">
        <v>45</v>
      </c>
      <c r="AO1420" s="3" t="s">
        <v>45</v>
      </c>
      <c r="AP1420" s="3" t="s">
        <v>45</v>
      </c>
      <c r="AQ1420" s="4" t="s">
        <v>11498</v>
      </c>
      <c r="AR1420" s="4" t="s">
        <v>9908</v>
      </c>
    </row>
    <row r="1421">
      <c r="A1421" s="3" t="s">
        <v>12194</v>
      </c>
      <c r="B1421" s="3" t="s">
        <v>12195</v>
      </c>
      <c r="C1421" s="3" t="s">
        <v>1700</v>
      </c>
      <c r="D1421" s="3" t="s">
        <v>9900</v>
      </c>
      <c r="E1421" s="4" t="s">
        <v>11313</v>
      </c>
      <c r="F1421" s="3" t="s">
        <v>11256</v>
      </c>
      <c r="G1421" s="4" t="s">
        <v>12196</v>
      </c>
      <c r="H1421" s="4" t="s">
        <v>12197</v>
      </c>
      <c r="I1421" s="3" t="s">
        <v>85</v>
      </c>
      <c r="J1421" s="3" t="s">
        <v>126</v>
      </c>
      <c r="K1421" s="3" t="s">
        <v>45</v>
      </c>
      <c r="L1421" s="3" t="s">
        <v>12198</v>
      </c>
      <c r="M1421" s="3" t="s">
        <v>45</v>
      </c>
      <c r="N1421" s="3" t="s">
        <v>45</v>
      </c>
      <c r="O1421" s="3" t="s">
        <v>74</v>
      </c>
      <c r="P1421" s="3" t="s">
        <v>45</v>
      </c>
      <c r="Q1421" s="3" t="s">
        <v>45</v>
      </c>
      <c r="R1421" s="3" t="s">
        <v>45</v>
      </c>
      <c r="S1421" s="3" t="s">
        <v>45</v>
      </c>
      <c r="T1421" s="3" t="s">
        <v>45</v>
      </c>
      <c r="U1421" s="3" t="s">
        <v>45</v>
      </c>
      <c r="V1421" s="4" t="s">
        <v>12199</v>
      </c>
      <c r="W1421" s="4" t="s">
        <v>480</v>
      </c>
      <c r="X1421" s="3" t="s">
        <v>45</v>
      </c>
      <c r="Y1421" s="3" t="s">
        <v>45</v>
      </c>
      <c r="Z1421" s="3" t="s">
        <v>74</v>
      </c>
      <c r="AA1421" s="3" t="s">
        <v>45</v>
      </c>
      <c r="AB1421" s="3" t="s">
        <v>45</v>
      </c>
      <c r="AC1421" s="3" t="s">
        <v>45</v>
      </c>
      <c r="AD1421" s="3" t="s">
        <v>45</v>
      </c>
      <c r="AE1421" s="3" t="s">
        <v>45</v>
      </c>
      <c r="AF1421" s="3" t="s">
        <v>45</v>
      </c>
      <c r="AG1421" s="3" t="s">
        <v>45</v>
      </c>
      <c r="AH1421" s="3" t="s">
        <v>9906</v>
      </c>
      <c r="AI1421" s="5" t="s">
        <v>12200</v>
      </c>
      <c r="AJ1421" s="3" t="s">
        <v>45</v>
      </c>
      <c r="AK1421" s="3" t="s">
        <v>45</v>
      </c>
      <c r="AL1421" s="3" t="s">
        <v>45</v>
      </c>
      <c r="AM1421" s="3" t="s">
        <v>45</v>
      </c>
      <c r="AN1421" s="3" t="s">
        <v>45</v>
      </c>
      <c r="AO1421" s="3" t="s">
        <v>45</v>
      </c>
      <c r="AP1421" s="3" t="s">
        <v>45</v>
      </c>
      <c r="AQ1421" s="4" t="s">
        <v>9934</v>
      </c>
      <c r="AR1421" s="4" t="s">
        <v>9908</v>
      </c>
    </row>
    <row r="1422">
      <c r="A1422" s="3" t="s">
        <v>12201</v>
      </c>
      <c r="B1422" s="3" t="s">
        <v>12202</v>
      </c>
      <c r="C1422" s="3" t="s">
        <v>1700</v>
      </c>
      <c r="D1422" s="3" t="s">
        <v>9900</v>
      </c>
      <c r="E1422" s="4" t="s">
        <v>12186</v>
      </c>
      <c r="F1422" s="3" t="s">
        <v>11256</v>
      </c>
      <c r="G1422" s="4" t="s">
        <v>12203</v>
      </c>
      <c r="H1422" s="4" t="s">
        <v>12204</v>
      </c>
      <c r="I1422" s="3" t="s">
        <v>85</v>
      </c>
      <c r="J1422" s="3" t="s">
        <v>126</v>
      </c>
      <c r="K1422" s="3" t="s">
        <v>45</v>
      </c>
      <c r="L1422" s="3" t="s">
        <v>11323</v>
      </c>
      <c r="M1422" s="3" t="s">
        <v>45</v>
      </c>
      <c r="N1422" s="3" t="s">
        <v>45</v>
      </c>
      <c r="O1422" s="3" t="s">
        <v>74</v>
      </c>
      <c r="P1422" s="3" t="s">
        <v>45</v>
      </c>
      <c r="Q1422" s="3" t="s">
        <v>45</v>
      </c>
      <c r="R1422" s="3" t="s">
        <v>45</v>
      </c>
      <c r="S1422" s="3" t="s">
        <v>45</v>
      </c>
      <c r="T1422" s="3" t="s">
        <v>45</v>
      </c>
      <c r="U1422" s="3" t="s">
        <v>45</v>
      </c>
      <c r="V1422" s="4" t="s">
        <v>12205</v>
      </c>
      <c r="W1422" s="4" t="s">
        <v>275</v>
      </c>
      <c r="X1422" s="3" t="s">
        <v>45</v>
      </c>
      <c r="Y1422" s="3" t="s">
        <v>45</v>
      </c>
      <c r="Z1422" s="3" t="s">
        <v>74</v>
      </c>
      <c r="AA1422" s="3" t="s">
        <v>45</v>
      </c>
      <c r="AB1422" s="3" t="s">
        <v>45</v>
      </c>
      <c r="AC1422" s="3" t="s">
        <v>45</v>
      </c>
      <c r="AD1422" s="3" t="s">
        <v>45</v>
      </c>
      <c r="AE1422" s="3" t="s">
        <v>45</v>
      </c>
      <c r="AF1422" s="3" t="s">
        <v>45</v>
      </c>
      <c r="AG1422" s="3" t="s">
        <v>45</v>
      </c>
      <c r="AH1422" s="3" t="s">
        <v>9906</v>
      </c>
      <c r="AI1422" s="5" t="s">
        <v>12206</v>
      </c>
      <c r="AJ1422" s="3" t="s">
        <v>45</v>
      </c>
      <c r="AK1422" s="3" t="s">
        <v>45</v>
      </c>
      <c r="AL1422" s="3" t="s">
        <v>45</v>
      </c>
      <c r="AM1422" s="3" t="s">
        <v>45</v>
      </c>
      <c r="AN1422" s="3" t="s">
        <v>45</v>
      </c>
      <c r="AO1422" s="3" t="s">
        <v>45</v>
      </c>
      <c r="AP1422" s="3" t="s">
        <v>45</v>
      </c>
      <c r="AQ1422" s="4" t="s">
        <v>9934</v>
      </c>
      <c r="AR1422" s="4" t="s">
        <v>9908</v>
      </c>
    </row>
    <row r="1423">
      <c r="A1423" s="3" t="s">
        <v>12207</v>
      </c>
      <c r="B1423" s="3" t="s">
        <v>12208</v>
      </c>
      <c r="C1423" s="3" t="s">
        <v>1700</v>
      </c>
      <c r="D1423" s="3" t="s">
        <v>9900</v>
      </c>
      <c r="E1423" s="4" t="s">
        <v>12186</v>
      </c>
      <c r="F1423" s="3" t="s">
        <v>11256</v>
      </c>
      <c r="G1423" s="4" t="s">
        <v>12209</v>
      </c>
      <c r="H1423" s="4" t="s">
        <v>12210</v>
      </c>
      <c r="I1423" s="3" t="s">
        <v>85</v>
      </c>
      <c r="J1423" s="3" t="s">
        <v>126</v>
      </c>
      <c r="K1423" s="3" t="s">
        <v>45</v>
      </c>
      <c r="L1423" s="3" t="s">
        <v>45</v>
      </c>
      <c r="M1423" s="3" t="s">
        <v>45</v>
      </c>
      <c r="N1423" s="3" t="s">
        <v>45</v>
      </c>
      <c r="O1423" s="3" t="s">
        <v>74</v>
      </c>
      <c r="P1423" s="3" t="s">
        <v>45</v>
      </c>
      <c r="Q1423" s="3" t="s">
        <v>45</v>
      </c>
      <c r="R1423" s="3" t="s">
        <v>45</v>
      </c>
      <c r="S1423" s="3" t="s">
        <v>45</v>
      </c>
      <c r="T1423" s="3" t="s">
        <v>45</v>
      </c>
      <c r="U1423" s="3" t="s">
        <v>45</v>
      </c>
      <c r="V1423" s="4" t="s">
        <v>12211</v>
      </c>
      <c r="W1423" s="3" t="s">
        <v>45</v>
      </c>
      <c r="X1423" s="3" t="s">
        <v>45</v>
      </c>
      <c r="Y1423" s="3" t="s">
        <v>45</v>
      </c>
      <c r="Z1423" s="3" t="s">
        <v>74</v>
      </c>
      <c r="AA1423" s="3" t="s">
        <v>45</v>
      </c>
      <c r="AB1423" s="3" t="s">
        <v>45</v>
      </c>
      <c r="AC1423" s="3" t="s">
        <v>45</v>
      </c>
      <c r="AD1423" s="3" t="s">
        <v>45</v>
      </c>
      <c r="AE1423" s="3" t="s">
        <v>45</v>
      </c>
      <c r="AF1423" s="3" t="s">
        <v>45</v>
      </c>
      <c r="AG1423" s="3" t="s">
        <v>45</v>
      </c>
      <c r="AH1423" s="3" t="s">
        <v>57</v>
      </c>
      <c r="AI1423" s="5" t="s">
        <v>12212</v>
      </c>
      <c r="AJ1423" s="3" t="s">
        <v>45</v>
      </c>
      <c r="AK1423" s="3" t="s">
        <v>45</v>
      </c>
      <c r="AL1423" s="3" t="s">
        <v>45</v>
      </c>
      <c r="AM1423" s="3" t="s">
        <v>45</v>
      </c>
      <c r="AN1423" s="3" t="s">
        <v>45</v>
      </c>
      <c r="AO1423" s="3" t="s">
        <v>45</v>
      </c>
      <c r="AP1423" s="3" t="s">
        <v>45</v>
      </c>
      <c r="AQ1423" s="4" t="s">
        <v>364</v>
      </c>
      <c r="AR1423" s="4" t="s">
        <v>364</v>
      </c>
    </row>
    <row r="1424">
      <c r="A1424" s="3" t="s">
        <v>12213</v>
      </c>
      <c r="B1424" s="3" t="s">
        <v>12214</v>
      </c>
      <c r="C1424" s="3" t="s">
        <v>1700</v>
      </c>
      <c r="D1424" s="3" t="s">
        <v>9900</v>
      </c>
      <c r="E1424" s="4" t="s">
        <v>12215</v>
      </c>
      <c r="F1424" s="3" t="s">
        <v>11256</v>
      </c>
      <c r="G1424" s="4" t="s">
        <v>12216</v>
      </c>
      <c r="H1424" s="4" t="s">
        <v>12217</v>
      </c>
      <c r="I1424" s="3" t="s">
        <v>245</v>
      </c>
      <c r="J1424" s="3" t="s">
        <v>50</v>
      </c>
      <c r="K1424" s="3" t="s">
        <v>45</v>
      </c>
      <c r="L1424" s="3" t="s">
        <v>45</v>
      </c>
      <c r="M1424" s="3" t="s">
        <v>45</v>
      </c>
      <c r="N1424" s="3" t="s">
        <v>45</v>
      </c>
      <c r="O1424" s="3" t="s">
        <v>74</v>
      </c>
      <c r="P1424" s="3" t="s">
        <v>45</v>
      </c>
      <c r="Q1424" s="3" t="s">
        <v>45</v>
      </c>
      <c r="R1424" s="3" t="s">
        <v>45</v>
      </c>
      <c r="S1424" s="4" t="s">
        <v>1610</v>
      </c>
      <c r="T1424" s="3" t="s">
        <v>45</v>
      </c>
      <c r="U1424" s="3" t="s">
        <v>45</v>
      </c>
      <c r="V1424" s="3" t="s">
        <v>45</v>
      </c>
      <c r="W1424" s="4" t="s">
        <v>1921</v>
      </c>
      <c r="X1424" s="3" t="s">
        <v>45</v>
      </c>
      <c r="Y1424" s="3" t="s">
        <v>45</v>
      </c>
      <c r="Z1424" s="3" t="s">
        <v>74</v>
      </c>
      <c r="AA1424" s="3" t="s">
        <v>45</v>
      </c>
      <c r="AB1424" s="3" t="s">
        <v>45</v>
      </c>
      <c r="AC1424" s="3" t="s">
        <v>45</v>
      </c>
      <c r="AD1424" s="3" t="s">
        <v>45</v>
      </c>
      <c r="AE1424" s="3" t="s">
        <v>45</v>
      </c>
      <c r="AF1424" s="3" t="s">
        <v>45</v>
      </c>
      <c r="AG1424" s="3" t="s">
        <v>12218</v>
      </c>
      <c r="AH1424" s="3" t="s">
        <v>57</v>
      </c>
      <c r="AI1424" s="5" t="s">
        <v>12219</v>
      </c>
      <c r="AJ1424" s="3" t="s">
        <v>45</v>
      </c>
      <c r="AK1424" s="3" t="s">
        <v>45</v>
      </c>
      <c r="AL1424" s="3" t="s">
        <v>45</v>
      </c>
      <c r="AM1424" s="3" t="s">
        <v>45</v>
      </c>
      <c r="AN1424" s="3" t="s">
        <v>45</v>
      </c>
      <c r="AO1424" s="3" t="s">
        <v>45</v>
      </c>
      <c r="AP1424" s="3" t="s">
        <v>45</v>
      </c>
      <c r="AQ1424" s="4" t="s">
        <v>147</v>
      </c>
      <c r="AR1424" s="4" t="s">
        <v>147</v>
      </c>
    </row>
    <row r="1425">
      <c r="A1425" s="3" t="s">
        <v>12220</v>
      </c>
      <c r="B1425" s="3" t="s">
        <v>12221</v>
      </c>
      <c r="C1425" s="3" t="s">
        <v>12222</v>
      </c>
      <c r="D1425" s="3" t="s">
        <v>9900</v>
      </c>
      <c r="E1425" s="4" t="s">
        <v>12223</v>
      </c>
      <c r="F1425" s="3" t="s">
        <v>12222</v>
      </c>
      <c r="G1425" s="4" t="s">
        <v>12224</v>
      </c>
      <c r="H1425" s="4" t="s">
        <v>12225</v>
      </c>
      <c r="I1425" s="3" t="s">
        <v>49</v>
      </c>
      <c r="J1425" s="3" t="s">
        <v>126</v>
      </c>
      <c r="K1425" s="3" t="s">
        <v>45</v>
      </c>
      <c r="L1425" s="3" t="s">
        <v>176</v>
      </c>
      <c r="M1425" s="3" t="s">
        <v>45</v>
      </c>
      <c r="N1425" s="3" t="s">
        <v>45</v>
      </c>
      <c r="O1425" s="3" t="s">
        <v>74</v>
      </c>
      <c r="P1425" s="3" t="s">
        <v>45</v>
      </c>
      <c r="Q1425" s="3" t="s">
        <v>45</v>
      </c>
      <c r="R1425" s="3" t="s">
        <v>45</v>
      </c>
      <c r="S1425" s="3" t="s">
        <v>45</v>
      </c>
      <c r="T1425" s="3" t="s">
        <v>45</v>
      </c>
      <c r="U1425" s="3" t="s">
        <v>45</v>
      </c>
      <c r="V1425" s="3" t="s">
        <v>45</v>
      </c>
      <c r="W1425" s="3" t="s">
        <v>45</v>
      </c>
      <c r="X1425" s="3" t="s">
        <v>45</v>
      </c>
      <c r="Y1425" s="3" t="s">
        <v>45</v>
      </c>
      <c r="Z1425" s="3" t="s">
        <v>74</v>
      </c>
      <c r="AA1425" s="3" t="s">
        <v>45</v>
      </c>
      <c r="AB1425" s="3" t="s">
        <v>45</v>
      </c>
      <c r="AC1425" s="3" t="s">
        <v>45</v>
      </c>
      <c r="AD1425" s="3" t="s">
        <v>45</v>
      </c>
      <c r="AE1425" s="3" t="s">
        <v>45</v>
      </c>
      <c r="AF1425" s="3" t="s">
        <v>45</v>
      </c>
      <c r="AG1425" s="3" t="s">
        <v>45</v>
      </c>
      <c r="AH1425" s="3" t="s">
        <v>57</v>
      </c>
      <c r="AI1425" s="5" t="s">
        <v>12226</v>
      </c>
      <c r="AJ1425" s="5" t="s">
        <v>12227</v>
      </c>
      <c r="AK1425" s="3" t="s">
        <v>45</v>
      </c>
      <c r="AL1425" s="3" t="s">
        <v>45</v>
      </c>
      <c r="AM1425" s="3" t="s">
        <v>45</v>
      </c>
      <c r="AN1425" s="3" t="s">
        <v>45</v>
      </c>
      <c r="AO1425" s="3" t="s">
        <v>45</v>
      </c>
      <c r="AP1425" s="3" t="s">
        <v>45</v>
      </c>
      <c r="AQ1425" s="4" t="s">
        <v>7223</v>
      </c>
      <c r="AR1425" s="4" t="s">
        <v>7223</v>
      </c>
    </row>
    <row r="1426">
      <c r="A1426" s="3" t="s">
        <v>12228</v>
      </c>
      <c r="B1426" s="3" t="s">
        <v>12229</v>
      </c>
      <c r="C1426" s="3" t="s">
        <v>12230</v>
      </c>
      <c r="D1426" s="3" t="s">
        <v>9900</v>
      </c>
      <c r="E1426" s="4" t="s">
        <v>12231</v>
      </c>
      <c r="F1426" s="3" t="s">
        <v>3772</v>
      </c>
      <c r="G1426" s="4" t="s">
        <v>12232</v>
      </c>
      <c r="H1426" s="4" t="s">
        <v>12233</v>
      </c>
      <c r="I1426" s="3" t="s">
        <v>49</v>
      </c>
      <c r="J1426" s="3" t="s">
        <v>50</v>
      </c>
      <c r="K1426" s="3" t="s">
        <v>45</v>
      </c>
      <c r="L1426" s="3" t="s">
        <v>4918</v>
      </c>
      <c r="M1426" s="3" t="s">
        <v>176</v>
      </c>
      <c r="N1426" s="4" t="s">
        <v>90</v>
      </c>
      <c r="O1426" s="3" t="s">
        <v>88</v>
      </c>
      <c r="P1426" s="3" t="s">
        <v>45</v>
      </c>
      <c r="Q1426" s="3" t="s">
        <v>45</v>
      </c>
      <c r="R1426" s="3" t="s">
        <v>45</v>
      </c>
      <c r="S1426" s="3" t="s">
        <v>45</v>
      </c>
      <c r="T1426" s="3" t="s">
        <v>45</v>
      </c>
      <c r="U1426" s="3" t="s">
        <v>45</v>
      </c>
      <c r="V1426" s="3" t="s">
        <v>45</v>
      </c>
      <c r="W1426" s="4" t="s">
        <v>1962</v>
      </c>
      <c r="X1426" s="3" t="s">
        <v>45</v>
      </c>
      <c r="Y1426" s="3" t="s">
        <v>45</v>
      </c>
      <c r="Z1426" s="3" t="s">
        <v>74</v>
      </c>
      <c r="AA1426" s="3" t="s">
        <v>45</v>
      </c>
      <c r="AB1426" s="3" t="s">
        <v>45</v>
      </c>
      <c r="AC1426" s="3" t="s">
        <v>45</v>
      </c>
      <c r="AD1426" s="3" t="s">
        <v>45</v>
      </c>
      <c r="AE1426" s="3" t="s">
        <v>45</v>
      </c>
      <c r="AF1426" s="3" t="s">
        <v>45</v>
      </c>
      <c r="AG1426" s="3" t="s">
        <v>45</v>
      </c>
      <c r="AH1426" s="3" t="s">
        <v>57</v>
      </c>
      <c r="AI1426" s="5" t="s">
        <v>12226</v>
      </c>
      <c r="AJ1426" s="5" t="s">
        <v>12234</v>
      </c>
      <c r="AK1426" s="5" t="s">
        <v>12235</v>
      </c>
      <c r="AL1426" s="3" t="s">
        <v>45</v>
      </c>
      <c r="AM1426" s="3" t="s">
        <v>45</v>
      </c>
      <c r="AN1426" s="3" t="s">
        <v>45</v>
      </c>
      <c r="AO1426" s="3" t="s">
        <v>45</v>
      </c>
      <c r="AP1426" s="3" t="s">
        <v>45</v>
      </c>
      <c r="AQ1426" s="4" t="s">
        <v>7223</v>
      </c>
      <c r="AR1426" s="4" t="s">
        <v>712</v>
      </c>
    </row>
    <row r="1427">
      <c r="A1427" s="3" t="s">
        <v>12236</v>
      </c>
      <c r="B1427" s="3" t="s">
        <v>12237</v>
      </c>
      <c r="C1427" s="3" t="s">
        <v>12238</v>
      </c>
      <c r="D1427" s="3" t="s">
        <v>9900</v>
      </c>
      <c r="E1427" s="4" t="s">
        <v>12239</v>
      </c>
      <c r="F1427" s="3" t="s">
        <v>12240</v>
      </c>
      <c r="G1427" s="4" t="s">
        <v>12241</v>
      </c>
      <c r="H1427" s="4" t="s">
        <v>12242</v>
      </c>
      <c r="I1427" s="3" t="s">
        <v>49</v>
      </c>
      <c r="J1427" s="3" t="s">
        <v>50</v>
      </c>
      <c r="K1427" s="3" t="s">
        <v>45</v>
      </c>
      <c r="L1427" s="3" t="s">
        <v>12243</v>
      </c>
      <c r="M1427" s="3" t="s">
        <v>45</v>
      </c>
      <c r="N1427" s="3" t="s">
        <v>45</v>
      </c>
      <c r="O1427" s="3" t="s">
        <v>74</v>
      </c>
      <c r="P1427" s="3" t="s">
        <v>45</v>
      </c>
      <c r="Q1427" s="3" t="s">
        <v>45</v>
      </c>
      <c r="R1427" s="3" t="s">
        <v>45</v>
      </c>
      <c r="S1427" s="3" t="s">
        <v>45</v>
      </c>
      <c r="T1427" s="3" t="s">
        <v>45</v>
      </c>
      <c r="U1427" s="3" t="s">
        <v>45</v>
      </c>
      <c r="V1427" s="3" t="s">
        <v>45</v>
      </c>
      <c r="W1427" s="4" t="s">
        <v>12244</v>
      </c>
      <c r="X1427" s="3" t="s">
        <v>45</v>
      </c>
      <c r="Y1427" s="3" t="s">
        <v>45</v>
      </c>
      <c r="Z1427" s="3" t="s">
        <v>74</v>
      </c>
      <c r="AA1427" s="3" t="s">
        <v>45</v>
      </c>
      <c r="AB1427" s="3" t="s">
        <v>45</v>
      </c>
      <c r="AC1427" s="3" t="s">
        <v>45</v>
      </c>
      <c r="AD1427" s="3" t="s">
        <v>45</v>
      </c>
      <c r="AE1427" s="3" t="s">
        <v>45</v>
      </c>
      <c r="AF1427" s="3" t="s">
        <v>45</v>
      </c>
      <c r="AG1427" s="3" t="s">
        <v>10511</v>
      </c>
      <c r="AH1427" s="3" t="s">
        <v>9906</v>
      </c>
      <c r="AI1427" s="5" t="s">
        <v>12245</v>
      </c>
      <c r="AJ1427" s="3" t="s">
        <v>45</v>
      </c>
      <c r="AK1427" s="3" t="s">
        <v>45</v>
      </c>
      <c r="AL1427" s="3" t="s">
        <v>45</v>
      </c>
      <c r="AM1427" s="3" t="s">
        <v>45</v>
      </c>
      <c r="AN1427" s="3" t="s">
        <v>45</v>
      </c>
      <c r="AO1427" s="3" t="s">
        <v>45</v>
      </c>
      <c r="AP1427" s="3" t="s">
        <v>45</v>
      </c>
      <c r="AQ1427" s="4" t="s">
        <v>9934</v>
      </c>
      <c r="AR1427" s="4" t="s">
        <v>9908</v>
      </c>
    </row>
    <row r="1428">
      <c r="A1428" s="3" t="s">
        <v>12246</v>
      </c>
      <c r="B1428" s="3" t="s">
        <v>12247</v>
      </c>
      <c r="C1428" s="3" t="s">
        <v>12248</v>
      </c>
      <c r="D1428" s="3" t="s">
        <v>9900</v>
      </c>
      <c r="E1428" s="4" t="s">
        <v>9901</v>
      </c>
      <c r="F1428" s="3" t="s">
        <v>9902</v>
      </c>
      <c r="G1428" s="4" t="s">
        <v>12249</v>
      </c>
      <c r="H1428" s="4" t="s">
        <v>12250</v>
      </c>
      <c r="I1428" s="3" t="s">
        <v>49</v>
      </c>
      <c r="J1428" s="3" t="s">
        <v>126</v>
      </c>
      <c r="K1428" s="3" t="s">
        <v>45</v>
      </c>
      <c r="L1428" s="3" t="s">
        <v>45</v>
      </c>
      <c r="M1428" s="3" t="s">
        <v>45</v>
      </c>
      <c r="N1428" s="3" t="s">
        <v>45</v>
      </c>
      <c r="O1428" s="3" t="s">
        <v>74</v>
      </c>
      <c r="P1428" s="3" t="s">
        <v>45</v>
      </c>
      <c r="Q1428" s="3" t="s">
        <v>45</v>
      </c>
      <c r="R1428" s="3" t="s">
        <v>45</v>
      </c>
      <c r="S1428" s="3" t="s">
        <v>45</v>
      </c>
      <c r="T1428" s="3" t="s">
        <v>45</v>
      </c>
      <c r="U1428" s="3" t="s">
        <v>45</v>
      </c>
      <c r="V1428" s="4" t="s">
        <v>2342</v>
      </c>
      <c r="W1428" s="4" t="s">
        <v>6085</v>
      </c>
      <c r="X1428" s="3" t="s">
        <v>45</v>
      </c>
      <c r="Y1428" s="3" t="s">
        <v>45</v>
      </c>
      <c r="Z1428" s="3" t="s">
        <v>74</v>
      </c>
      <c r="AA1428" s="3" t="s">
        <v>45</v>
      </c>
      <c r="AB1428" s="3" t="s">
        <v>45</v>
      </c>
      <c r="AC1428" s="3" t="s">
        <v>45</v>
      </c>
      <c r="AD1428" s="3" t="s">
        <v>45</v>
      </c>
      <c r="AE1428" s="3" t="s">
        <v>45</v>
      </c>
      <c r="AF1428" s="3" t="s">
        <v>45</v>
      </c>
      <c r="AG1428" s="3" t="s">
        <v>45</v>
      </c>
      <c r="AH1428" s="3" t="s">
        <v>9906</v>
      </c>
      <c r="AI1428" s="5" t="s">
        <v>12251</v>
      </c>
      <c r="AJ1428" s="3" t="s">
        <v>45</v>
      </c>
      <c r="AK1428" s="3" t="s">
        <v>45</v>
      </c>
      <c r="AL1428" s="3" t="s">
        <v>45</v>
      </c>
      <c r="AM1428" s="3" t="s">
        <v>45</v>
      </c>
      <c r="AN1428" s="3" t="s">
        <v>45</v>
      </c>
      <c r="AO1428" s="3" t="s">
        <v>45</v>
      </c>
      <c r="AP1428" s="3" t="s">
        <v>45</v>
      </c>
      <c r="AQ1428" s="4" t="s">
        <v>6913</v>
      </c>
      <c r="AR1428" s="4" t="s">
        <v>9908</v>
      </c>
    </row>
    <row r="1429">
      <c r="A1429" s="3" t="s">
        <v>12252</v>
      </c>
      <c r="B1429" s="3" t="s">
        <v>12253</v>
      </c>
      <c r="C1429" s="3" t="s">
        <v>12248</v>
      </c>
      <c r="D1429" s="3" t="s">
        <v>9900</v>
      </c>
      <c r="E1429" s="4" t="s">
        <v>9901</v>
      </c>
      <c r="F1429" s="3" t="s">
        <v>9902</v>
      </c>
      <c r="G1429" s="4" t="s">
        <v>12254</v>
      </c>
      <c r="H1429" s="4" t="s">
        <v>12255</v>
      </c>
      <c r="I1429" s="3" t="s">
        <v>49</v>
      </c>
      <c r="J1429" s="3" t="s">
        <v>126</v>
      </c>
      <c r="K1429" s="3" t="s">
        <v>45</v>
      </c>
      <c r="L1429" s="3" t="s">
        <v>45</v>
      </c>
      <c r="M1429" s="3" t="s">
        <v>45</v>
      </c>
      <c r="N1429" s="3" t="s">
        <v>45</v>
      </c>
      <c r="O1429" s="3" t="s">
        <v>74</v>
      </c>
      <c r="P1429" s="3" t="s">
        <v>45</v>
      </c>
      <c r="Q1429" s="3" t="s">
        <v>45</v>
      </c>
      <c r="R1429" s="3" t="s">
        <v>45</v>
      </c>
      <c r="S1429" s="3" t="s">
        <v>45</v>
      </c>
      <c r="T1429" s="3" t="s">
        <v>45</v>
      </c>
      <c r="U1429" s="3" t="s">
        <v>45</v>
      </c>
      <c r="V1429" s="4" t="s">
        <v>1152</v>
      </c>
      <c r="W1429" s="4" t="s">
        <v>12256</v>
      </c>
      <c r="X1429" s="3" t="s">
        <v>45</v>
      </c>
      <c r="Y1429" s="3" t="s">
        <v>45</v>
      </c>
      <c r="Z1429" s="3" t="s">
        <v>74</v>
      </c>
      <c r="AA1429" s="3" t="s">
        <v>45</v>
      </c>
      <c r="AB1429" s="3" t="s">
        <v>45</v>
      </c>
      <c r="AC1429" s="3" t="s">
        <v>45</v>
      </c>
      <c r="AD1429" s="3" t="s">
        <v>45</v>
      </c>
      <c r="AE1429" s="3" t="s">
        <v>45</v>
      </c>
      <c r="AF1429" s="3" t="s">
        <v>45</v>
      </c>
      <c r="AG1429" s="3" t="s">
        <v>9916</v>
      </c>
      <c r="AH1429" s="3" t="s">
        <v>9906</v>
      </c>
      <c r="AI1429" s="5" t="s">
        <v>12257</v>
      </c>
      <c r="AJ1429" s="3" t="s">
        <v>45</v>
      </c>
      <c r="AK1429" s="3" t="s">
        <v>45</v>
      </c>
      <c r="AL1429" s="3" t="s">
        <v>45</v>
      </c>
      <c r="AM1429" s="3" t="s">
        <v>45</v>
      </c>
      <c r="AN1429" s="3" t="s">
        <v>45</v>
      </c>
      <c r="AO1429" s="3" t="s">
        <v>45</v>
      </c>
      <c r="AP1429" s="3" t="s">
        <v>45</v>
      </c>
      <c r="AQ1429" s="4" t="s">
        <v>6913</v>
      </c>
      <c r="AR1429" s="4" t="s">
        <v>9908</v>
      </c>
    </row>
    <row r="1430">
      <c r="A1430" s="3" t="s">
        <v>12258</v>
      </c>
      <c r="B1430" s="3" t="s">
        <v>12259</v>
      </c>
      <c r="C1430" s="3" t="s">
        <v>12248</v>
      </c>
      <c r="D1430" s="3" t="s">
        <v>9900</v>
      </c>
      <c r="E1430" s="4" t="s">
        <v>9901</v>
      </c>
      <c r="F1430" s="3" t="s">
        <v>9902</v>
      </c>
      <c r="G1430" s="4" t="s">
        <v>12260</v>
      </c>
      <c r="H1430" s="4" t="s">
        <v>12261</v>
      </c>
      <c r="I1430" s="3" t="s">
        <v>49</v>
      </c>
      <c r="J1430" s="3" t="s">
        <v>50</v>
      </c>
      <c r="K1430" s="3" t="s">
        <v>45</v>
      </c>
      <c r="L1430" s="3" t="s">
        <v>12262</v>
      </c>
      <c r="M1430" s="3" t="s">
        <v>45</v>
      </c>
      <c r="N1430" s="3" t="s">
        <v>45</v>
      </c>
      <c r="O1430" s="3" t="s">
        <v>74</v>
      </c>
      <c r="P1430" s="3" t="s">
        <v>45</v>
      </c>
      <c r="Q1430" s="3" t="s">
        <v>45</v>
      </c>
      <c r="R1430" s="3" t="s">
        <v>45</v>
      </c>
      <c r="S1430" s="3" t="s">
        <v>45</v>
      </c>
      <c r="T1430" s="3" t="s">
        <v>45</v>
      </c>
      <c r="U1430" s="3" t="s">
        <v>45</v>
      </c>
      <c r="V1430" s="4" t="s">
        <v>2342</v>
      </c>
      <c r="W1430" s="4" t="s">
        <v>5582</v>
      </c>
      <c r="X1430" s="3" t="s">
        <v>45</v>
      </c>
      <c r="Y1430" s="3" t="s">
        <v>45</v>
      </c>
      <c r="Z1430" s="3" t="s">
        <v>74</v>
      </c>
      <c r="AA1430" s="3" t="s">
        <v>45</v>
      </c>
      <c r="AB1430" s="3" t="s">
        <v>45</v>
      </c>
      <c r="AC1430" s="3" t="s">
        <v>45</v>
      </c>
      <c r="AD1430" s="3" t="s">
        <v>45</v>
      </c>
      <c r="AE1430" s="3" t="s">
        <v>45</v>
      </c>
      <c r="AF1430" s="3" t="s">
        <v>45</v>
      </c>
      <c r="AG1430" s="3" t="s">
        <v>9916</v>
      </c>
      <c r="AH1430" s="3" t="s">
        <v>9906</v>
      </c>
      <c r="AI1430" s="5" t="s">
        <v>12263</v>
      </c>
      <c r="AJ1430" s="3" t="s">
        <v>45</v>
      </c>
      <c r="AK1430" s="3" t="s">
        <v>45</v>
      </c>
      <c r="AL1430" s="3" t="s">
        <v>45</v>
      </c>
      <c r="AM1430" s="3" t="s">
        <v>45</v>
      </c>
      <c r="AN1430" s="3" t="s">
        <v>45</v>
      </c>
      <c r="AO1430" s="3" t="s">
        <v>45</v>
      </c>
      <c r="AP1430" s="3" t="s">
        <v>45</v>
      </c>
      <c r="AQ1430" s="4" t="s">
        <v>9934</v>
      </c>
      <c r="AR1430" s="4" t="s">
        <v>9908</v>
      </c>
    </row>
    <row r="1431">
      <c r="A1431" s="3" t="s">
        <v>12264</v>
      </c>
      <c r="B1431" s="3" t="s">
        <v>12265</v>
      </c>
      <c r="C1431" s="3" t="s">
        <v>12248</v>
      </c>
      <c r="D1431" s="3" t="s">
        <v>9900</v>
      </c>
      <c r="E1431" s="4" t="s">
        <v>9901</v>
      </c>
      <c r="F1431" s="3" t="s">
        <v>9902</v>
      </c>
      <c r="G1431" s="4" t="s">
        <v>12266</v>
      </c>
      <c r="H1431" s="4" t="s">
        <v>12267</v>
      </c>
      <c r="I1431" s="3" t="s">
        <v>49</v>
      </c>
      <c r="J1431" s="3" t="s">
        <v>50</v>
      </c>
      <c r="K1431" s="3" t="s">
        <v>45</v>
      </c>
      <c r="L1431" s="3" t="s">
        <v>45</v>
      </c>
      <c r="M1431" s="3" t="s">
        <v>45</v>
      </c>
      <c r="N1431" s="3" t="s">
        <v>45</v>
      </c>
      <c r="O1431" s="3" t="s">
        <v>74</v>
      </c>
      <c r="P1431" s="3" t="s">
        <v>45</v>
      </c>
      <c r="Q1431" s="3" t="s">
        <v>45</v>
      </c>
      <c r="R1431" s="3" t="s">
        <v>45</v>
      </c>
      <c r="S1431" s="3" t="s">
        <v>45</v>
      </c>
      <c r="T1431" s="3" t="s">
        <v>45</v>
      </c>
      <c r="U1431" s="3" t="s">
        <v>45</v>
      </c>
      <c r="V1431" s="4" t="s">
        <v>12268</v>
      </c>
      <c r="W1431" s="4" t="s">
        <v>12269</v>
      </c>
      <c r="X1431" s="3" t="s">
        <v>45</v>
      </c>
      <c r="Y1431" s="3" t="s">
        <v>45</v>
      </c>
      <c r="Z1431" s="3" t="s">
        <v>74</v>
      </c>
      <c r="AA1431" s="3" t="s">
        <v>45</v>
      </c>
      <c r="AB1431" s="3" t="s">
        <v>45</v>
      </c>
      <c r="AC1431" s="3" t="s">
        <v>45</v>
      </c>
      <c r="AD1431" s="3" t="s">
        <v>45</v>
      </c>
      <c r="AE1431" s="3" t="s">
        <v>45</v>
      </c>
      <c r="AF1431" s="3" t="s">
        <v>45</v>
      </c>
      <c r="AG1431" s="3" t="s">
        <v>9916</v>
      </c>
      <c r="AH1431" s="3" t="s">
        <v>9906</v>
      </c>
      <c r="AI1431" s="5" t="s">
        <v>12270</v>
      </c>
      <c r="AJ1431" s="3" t="s">
        <v>45</v>
      </c>
      <c r="AK1431" s="3" t="s">
        <v>45</v>
      </c>
      <c r="AL1431" s="3" t="s">
        <v>45</v>
      </c>
      <c r="AM1431" s="3" t="s">
        <v>45</v>
      </c>
      <c r="AN1431" s="3" t="s">
        <v>45</v>
      </c>
      <c r="AO1431" s="3" t="s">
        <v>45</v>
      </c>
      <c r="AP1431" s="3" t="s">
        <v>45</v>
      </c>
      <c r="AQ1431" s="4" t="s">
        <v>6913</v>
      </c>
      <c r="AR1431" s="4" t="s">
        <v>9908</v>
      </c>
    </row>
    <row r="1432">
      <c r="A1432" s="3" t="s">
        <v>12271</v>
      </c>
      <c r="B1432" s="3" t="s">
        <v>12272</v>
      </c>
      <c r="C1432" s="3" t="s">
        <v>12248</v>
      </c>
      <c r="D1432" s="3" t="s">
        <v>9900</v>
      </c>
      <c r="E1432" s="4" t="s">
        <v>9901</v>
      </c>
      <c r="F1432" s="3" t="s">
        <v>9902</v>
      </c>
      <c r="G1432" s="4" t="s">
        <v>12273</v>
      </c>
      <c r="H1432" s="4" t="s">
        <v>12274</v>
      </c>
      <c r="I1432" s="3" t="s">
        <v>49</v>
      </c>
      <c r="J1432" s="3" t="s">
        <v>126</v>
      </c>
      <c r="K1432" s="3" t="s">
        <v>45</v>
      </c>
      <c r="L1432" s="3" t="s">
        <v>45</v>
      </c>
      <c r="M1432" s="3" t="s">
        <v>45</v>
      </c>
      <c r="N1432" s="3" t="s">
        <v>45</v>
      </c>
      <c r="O1432" s="3" t="s">
        <v>74</v>
      </c>
      <c r="P1432" s="3" t="s">
        <v>45</v>
      </c>
      <c r="Q1432" s="3" t="s">
        <v>45</v>
      </c>
      <c r="R1432" s="3" t="s">
        <v>45</v>
      </c>
      <c r="S1432" s="3" t="s">
        <v>45</v>
      </c>
      <c r="T1432" s="3" t="s">
        <v>45</v>
      </c>
      <c r="U1432" s="3" t="s">
        <v>45</v>
      </c>
      <c r="V1432" s="4" t="s">
        <v>260</v>
      </c>
      <c r="W1432" s="4" t="s">
        <v>12275</v>
      </c>
      <c r="X1432" s="3" t="s">
        <v>45</v>
      </c>
      <c r="Y1432" s="3" t="s">
        <v>45</v>
      </c>
      <c r="Z1432" s="3" t="s">
        <v>74</v>
      </c>
      <c r="AA1432" s="3" t="s">
        <v>45</v>
      </c>
      <c r="AB1432" s="3" t="s">
        <v>45</v>
      </c>
      <c r="AC1432" s="3" t="s">
        <v>45</v>
      </c>
      <c r="AD1432" s="3" t="s">
        <v>45</v>
      </c>
      <c r="AE1432" s="3" t="s">
        <v>45</v>
      </c>
      <c r="AF1432" s="3" t="s">
        <v>45</v>
      </c>
      <c r="AG1432" s="3" t="s">
        <v>9916</v>
      </c>
      <c r="AH1432" s="3" t="s">
        <v>9906</v>
      </c>
      <c r="AI1432" s="5" t="s">
        <v>12276</v>
      </c>
      <c r="AJ1432" s="3" t="s">
        <v>45</v>
      </c>
      <c r="AK1432" s="3" t="s">
        <v>45</v>
      </c>
      <c r="AL1432" s="3" t="s">
        <v>45</v>
      </c>
      <c r="AM1432" s="3" t="s">
        <v>45</v>
      </c>
      <c r="AN1432" s="3" t="s">
        <v>45</v>
      </c>
      <c r="AO1432" s="3" t="s">
        <v>45</v>
      </c>
      <c r="AP1432" s="3" t="s">
        <v>45</v>
      </c>
      <c r="AQ1432" s="4" t="s">
        <v>6913</v>
      </c>
      <c r="AR1432" s="4" t="s">
        <v>9908</v>
      </c>
    </row>
    <row r="1433">
      <c r="A1433" s="3" t="s">
        <v>12277</v>
      </c>
      <c r="B1433" s="3" t="s">
        <v>12278</v>
      </c>
      <c r="C1433" s="3" t="s">
        <v>12248</v>
      </c>
      <c r="D1433" s="3" t="s">
        <v>9900</v>
      </c>
      <c r="E1433" s="4" t="s">
        <v>9901</v>
      </c>
      <c r="F1433" s="3" t="s">
        <v>9902</v>
      </c>
      <c r="G1433" s="4" t="s">
        <v>12279</v>
      </c>
      <c r="H1433" s="4" t="s">
        <v>12280</v>
      </c>
      <c r="I1433" s="3" t="s">
        <v>49</v>
      </c>
      <c r="J1433" s="3" t="s">
        <v>126</v>
      </c>
      <c r="K1433" s="3" t="s">
        <v>45</v>
      </c>
      <c r="L1433" s="3" t="s">
        <v>45</v>
      </c>
      <c r="M1433" s="3" t="s">
        <v>45</v>
      </c>
      <c r="N1433" s="3" t="s">
        <v>45</v>
      </c>
      <c r="O1433" s="3" t="s">
        <v>74</v>
      </c>
      <c r="P1433" s="3" t="s">
        <v>45</v>
      </c>
      <c r="Q1433" s="3" t="s">
        <v>45</v>
      </c>
      <c r="R1433" s="3" t="s">
        <v>45</v>
      </c>
      <c r="S1433" s="3" t="s">
        <v>45</v>
      </c>
      <c r="T1433" s="3" t="s">
        <v>45</v>
      </c>
      <c r="U1433" s="3" t="s">
        <v>45</v>
      </c>
      <c r="V1433" s="4" t="s">
        <v>1152</v>
      </c>
      <c r="W1433" s="4" t="s">
        <v>234</v>
      </c>
      <c r="X1433" s="3" t="s">
        <v>45</v>
      </c>
      <c r="Y1433" s="3" t="s">
        <v>45</v>
      </c>
      <c r="Z1433" s="3" t="s">
        <v>74</v>
      </c>
      <c r="AA1433" s="3" t="s">
        <v>45</v>
      </c>
      <c r="AB1433" s="3" t="s">
        <v>45</v>
      </c>
      <c r="AC1433" s="3" t="s">
        <v>45</v>
      </c>
      <c r="AD1433" s="3" t="s">
        <v>45</v>
      </c>
      <c r="AE1433" s="3" t="s">
        <v>45</v>
      </c>
      <c r="AF1433" s="3" t="s">
        <v>45</v>
      </c>
      <c r="AG1433" s="3" t="s">
        <v>45</v>
      </c>
      <c r="AH1433" s="3" t="s">
        <v>9906</v>
      </c>
      <c r="AI1433" s="5" t="s">
        <v>12281</v>
      </c>
      <c r="AJ1433" s="3" t="s">
        <v>45</v>
      </c>
      <c r="AK1433" s="3" t="s">
        <v>45</v>
      </c>
      <c r="AL1433" s="3" t="s">
        <v>45</v>
      </c>
      <c r="AM1433" s="3" t="s">
        <v>45</v>
      </c>
      <c r="AN1433" s="3" t="s">
        <v>45</v>
      </c>
      <c r="AO1433" s="3" t="s">
        <v>45</v>
      </c>
      <c r="AP1433" s="3" t="s">
        <v>45</v>
      </c>
      <c r="AQ1433" s="4" t="s">
        <v>6913</v>
      </c>
      <c r="AR1433" s="4" t="s">
        <v>9908</v>
      </c>
    </row>
    <row r="1434">
      <c r="A1434" s="3" t="s">
        <v>12282</v>
      </c>
      <c r="B1434" s="3" t="s">
        <v>12283</v>
      </c>
      <c r="C1434" s="3" t="s">
        <v>12248</v>
      </c>
      <c r="D1434" s="3" t="s">
        <v>9900</v>
      </c>
      <c r="E1434" s="4" t="s">
        <v>9901</v>
      </c>
      <c r="F1434" s="3" t="s">
        <v>9902</v>
      </c>
      <c r="G1434" s="4" t="s">
        <v>12284</v>
      </c>
      <c r="H1434" s="4" t="s">
        <v>12285</v>
      </c>
      <c r="I1434" s="3" t="s">
        <v>218</v>
      </c>
      <c r="J1434" s="3" t="s">
        <v>126</v>
      </c>
      <c r="K1434" s="3" t="s">
        <v>45</v>
      </c>
      <c r="L1434" s="3" t="s">
        <v>8604</v>
      </c>
      <c r="M1434" s="3" t="s">
        <v>45</v>
      </c>
      <c r="N1434" s="3" t="s">
        <v>8427</v>
      </c>
      <c r="O1434" s="3" t="s">
        <v>88</v>
      </c>
      <c r="P1434" s="3" t="s">
        <v>45</v>
      </c>
      <c r="Q1434" s="3" t="s">
        <v>45</v>
      </c>
      <c r="R1434" s="3" t="s">
        <v>45</v>
      </c>
      <c r="S1434" s="4" t="s">
        <v>835</v>
      </c>
      <c r="T1434" s="3" t="s">
        <v>45</v>
      </c>
      <c r="U1434" s="3" t="s">
        <v>221</v>
      </c>
      <c r="V1434" s="3" t="s">
        <v>45</v>
      </c>
      <c r="W1434" s="4" t="s">
        <v>7840</v>
      </c>
      <c r="X1434" s="3" t="s">
        <v>5016</v>
      </c>
      <c r="Y1434" s="4" t="s">
        <v>317</v>
      </c>
      <c r="Z1434" s="3" t="s">
        <v>74</v>
      </c>
      <c r="AA1434" s="3" t="s">
        <v>45</v>
      </c>
      <c r="AB1434" s="3" t="s">
        <v>45</v>
      </c>
      <c r="AC1434" s="3" t="s">
        <v>45</v>
      </c>
      <c r="AD1434" s="3" t="s">
        <v>45</v>
      </c>
      <c r="AE1434" s="3" t="s">
        <v>45</v>
      </c>
      <c r="AF1434" s="3" t="s">
        <v>45</v>
      </c>
      <c r="AG1434" s="3" t="s">
        <v>45</v>
      </c>
      <c r="AH1434" s="3" t="s">
        <v>57</v>
      </c>
      <c r="AI1434" s="5" t="s">
        <v>12286</v>
      </c>
      <c r="AJ1434" s="5" t="s">
        <v>12287</v>
      </c>
      <c r="AK1434" s="5" t="s">
        <v>12288</v>
      </c>
      <c r="AL1434" s="3" t="s">
        <v>45</v>
      </c>
      <c r="AM1434" s="3" t="s">
        <v>45</v>
      </c>
      <c r="AN1434" s="3" t="s">
        <v>45</v>
      </c>
      <c r="AO1434" s="3" t="s">
        <v>45</v>
      </c>
      <c r="AP1434" s="3" t="s">
        <v>45</v>
      </c>
      <c r="AQ1434" s="4" t="s">
        <v>3419</v>
      </c>
      <c r="AR1434" s="4" t="s">
        <v>2052</v>
      </c>
    </row>
    <row r="1435">
      <c r="A1435" s="3" t="s">
        <v>12289</v>
      </c>
      <c r="B1435" s="3" t="s">
        <v>12290</v>
      </c>
      <c r="C1435" s="3" t="s">
        <v>12248</v>
      </c>
      <c r="D1435" s="3" t="s">
        <v>9900</v>
      </c>
      <c r="E1435" s="4" t="s">
        <v>9901</v>
      </c>
      <c r="F1435" s="3" t="s">
        <v>9902</v>
      </c>
      <c r="G1435" s="4" t="s">
        <v>12291</v>
      </c>
      <c r="H1435" s="4" t="s">
        <v>12292</v>
      </c>
      <c r="I1435" s="3" t="s">
        <v>49</v>
      </c>
      <c r="J1435" s="3" t="s">
        <v>126</v>
      </c>
      <c r="K1435" s="3" t="s">
        <v>45</v>
      </c>
      <c r="L1435" s="3" t="s">
        <v>45</v>
      </c>
      <c r="M1435" s="3" t="s">
        <v>45</v>
      </c>
      <c r="N1435" s="3" t="s">
        <v>45</v>
      </c>
      <c r="O1435" s="3" t="s">
        <v>74</v>
      </c>
      <c r="P1435" s="3" t="s">
        <v>45</v>
      </c>
      <c r="Q1435" s="3" t="s">
        <v>45</v>
      </c>
      <c r="R1435" s="3" t="s">
        <v>45</v>
      </c>
      <c r="S1435" s="3" t="s">
        <v>45</v>
      </c>
      <c r="T1435" s="3" t="s">
        <v>45</v>
      </c>
      <c r="U1435" s="3" t="s">
        <v>45</v>
      </c>
      <c r="V1435" s="4" t="s">
        <v>10461</v>
      </c>
      <c r="W1435" s="4" t="s">
        <v>12293</v>
      </c>
      <c r="X1435" s="3" t="s">
        <v>45</v>
      </c>
      <c r="Y1435" s="3" t="s">
        <v>45</v>
      </c>
      <c r="Z1435" s="3" t="s">
        <v>74</v>
      </c>
      <c r="AA1435" s="3" t="s">
        <v>45</v>
      </c>
      <c r="AB1435" s="3" t="s">
        <v>45</v>
      </c>
      <c r="AC1435" s="3" t="s">
        <v>45</v>
      </c>
      <c r="AD1435" s="3" t="s">
        <v>45</v>
      </c>
      <c r="AE1435" s="3" t="s">
        <v>45</v>
      </c>
      <c r="AF1435" s="3" t="s">
        <v>45</v>
      </c>
      <c r="AG1435" s="3" t="s">
        <v>12294</v>
      </c>
      <c r="AH1435" s="3" t="s">
        <v>9906</v>
      </c>
      <c r="AI1435" s="5" t="s">
        <v>12295</v>
      </c>
      <c r="AJ1435" s="3" t="s">
        <v>45</v>
      </c>
      <c r="AK1435" s="3" t="s">
        <v>45</v>
      </c>
      <c r="AL1435" s="3" t="s">
        <v>45</v>
      </c>
      <c r="AM1435" s="3" t="s">
        <v>45</v>
      </c>
      <c r="AN1435" s="3" t="s">
        <v>45</v>
      </c>
      <c r="AO1435" s="3" t="s">
        <v>45</v>
      </c>
      <c r="AP1435" s="3" t="s">
        <v>45</v>
      </c>
      <c r="AQ1435" s="4" t="s">
        <v>6913</v>
      </c>
      <c r="AR1435" s="4" t="s">
        <v>9908</v>
      </c>
    </row>
    <row r="1436">
      <c r="A1436" s="3" t="s">
        <v>12296</v>
      </c>
      <c r="B1436" s="3" t="s">
        <v>12297</v>
      </c>
      <c r="C1436" s="3" t="s">
        <v>12248</v>
      </c>
      <c r="D1436" s="3" t="s">
        <v>9900</v>
      </c>
      <c r="E1436" s="4" t="s">
        <v>9901</v>
      </c>
      <c r="F1436" s="3" t="s">
        <v>9902</v>
      </c>
      <c r="G1436" s="4" t="s">
        <v>12298</v>
      </c>
      <c r="H1436" s="4" t="s">
        <v>12299</v>
      </c>
      <c r="I1436" s="3" t="s">
        <v>49</v>
      </c>
      <c r="J1436" s="3" t="s">
        <v>50</v>
      </c>
      <c r="K1436" s="3" t="s">
        <v>45</v>
      </c>
      <c r="L1436" s="3" t="s">
        <v>12300</v>
      </c>
      <c r="M1436" s="3" t="s">
        <v>45</v>
      </c>
      <c r="N1436" s="3" t="s">
        <v>45</v>
      </c>
      <c r="O1436" s="3" t="s">
        <v>74</v>
      </c>
      <c r="P1436" s="3" t="s">
        <v>45</v>
      </c>
      <c r="Q1436" s="3" t="s">
        <v>45</v>
      </c>
      <c r="R1436" s="3" t="s">
        <v>45</v>
      </c>
      <c r="S1436" s="3" t="s">
        <v>45</v>
      </c>
      <c r="T1436" s="3" t="s">
        <v>45</v>
      </c>
      <c r="U1436" s="3" t="s">
        <v>45</v>
      </c>
      <c r="V1436" s="4" t="s">
        <v>12301</v>
      </c>
      <c r="W1436" s="4" t="s">
        <v>10510</v>
      </c>
      <c r="X1436" s="3" t="s">
        <v>45</v>
      </c>
      <c r="Y1436" s="3" t="s">
        <v>45</v>
      </c>
      <c r="Z1436" s="3" t="s">
        <v>74</v>
      </c>
      <c r="AA1436" s="3" t="s">
        <v>45</v>
      </c>
      <c r="AB1436" s="3" t="s">
        <v>45</v>
      </c>
      <c r="AC1436" s="3" t="s">
        <v>45</v>
      </c>
      <c r="AD1436" s="3" t="s">
        <v>45</v>
      </c>
      <c r="AE1436" s="3" t="s">
        <v>45</v>
      </c>
      <c r="AF1436" s="3" t="s">
        <v>45</v>
      </c>
      <c r="AG1436" s="3" t="s">
        <v>9916</v>
      </c>
      <c r="AH1436" s="3" t="s">
        <v>9906</v>
      </c>
      <c r="AI1436" s="5" t="s">
        <v>12302</v>
      </c>
      <c r="AJ1436" s="3" t="s">
        <v>45</v>
      </c>
      <c r="AK1436" s="3" t="s">
        <v>45</v>
      </c>
      <c r="AL1436" s="3" t="s">
        <v>45</v>
      </c>
      <c r="AM1436" s="3" t="s">
        <v>45</v>
      </c>
      <c r="AN1436" s="3" t="s">
        <v>45</v>
      </c>
      <c r="AO1436" s="3" t="s">
        <v>45</v>
      </c>
      <c r="AP1436" s="3" t="s">
        <v>45</v>
      </c>
      <c r="AQ1436" s="4" t="s">
        <v>9934</v>
      </c>
      <c r="AR1436" s="4" t="s">
        <v>9908</v>
      </c>
    </row>
    <row r="1437">
      <c r="A1437" s="3" t="s">
        <v>12296</v>
      </c>
      <c r="B1437" s="3" t="s">
        <v>12303</v>
      </c>
      <c r="C1437" s="3" t="s">
        <v>12248</v>
      </c>
      <c r="D1437" s="3" t="s">
        <v>9900</v>
      </c>
      <c r="E1437" s="4" t="s">
        <v>9901</v>
      </c>
      <c r="F1437" s="3" t="s">
        <v>9902</v>
      </c>
      <c r="G1437" s="4" t="s">
        <v>12304</v>
      </c>
      <c r="H1437" s="4" t="s">
        <v>12305</v>
      </c>
      <c r="I1437" s="3" t="s">
        <v>49</v>
      </c>
      <c r="J1437" s="3" t="s">
        <v>126</v>
      </c>
      <c r="K1437" s="3" t="s">
        <v>45</v>
      </c>
      <c r="L1437" s="3" t="s">
        <v>45</v>
      </c>
      <c r="M1437" s="3" t="s">
        <v>45</v>
      </c>
      <c r="N1437" s="3" t="s">
        <v>45</v>
      </c>
      <c r="O1437" s="3" t="s">
        <v>88</v>
      </c>
      <c r="P1437" s="3" t="s">
        <v>45</v>
      </c>
      <c r="Q1437" s="3" t="s">
        <v>45</v>
      </c>
      <c r="R1437" s="3" t="s">
        <v>45</v>
      </c>
      <c r="S1437" s="4" t="s">
        <v>52</v>
      </c>
      <c r="T1437" s="3" t="s">
        <v>45</v>
      </c>
      <c r="U1437" s="3" t="s">
        <v>45</v>
      </c>
      <c r="V1437" s="4" t="s">
        <v>2565</v>
      </c>
      <c r="W1437" s="4" t="s">
        <v>10510</v>
      </c>
      <c r="X1437" s="3" t="s">
        <v>45</v>
      </c>
      <c r="Y1437" s="3" t="s">
        <v>45</v>
      </c>
      <c r="Z1437" s="3" t="s">
        <v>74</v>
      </c>
      <c r="AA1437" s="3" t="s">
        <v>45</v>
      </c>
      <c r="AB1437" s="3" t="s">
        <v>45</v>
      </c>
      <c r="AC1437" s="3" t="s">
        <v>45</v>
      </c>
      <c r="AD1437" s="3" t="s">
        <v>45</v>
      </c>
      <c r="AE1437" s="3" t="s">
        <v>45</v>
      </c>
      <c r="AF1437" s="3" t="s">
        <v>45</v>
      </c>
      <c r="AG1437" s="3" t="s">
        <v>12306</v>
      </c>
      <c r="AH1437" s="3" t="s">
        <v>57</v>
      </c>
      <c r="AI1437" s="5" t="s">
        <v>11022</v>
      </c>
      <c r="AJ1437" s="3" t="s">
        <v>45</v>
      </c>
      <c r="AK1437" s="3" t="s">
        <v>45</v>
      </c>
      <c r="AL1437" s="3" t="s">
        <v>45</v>
      </c>
      <c r="AM1437" s="3" t="s">
        <v>45</v>
      </c>
      <c r="AN1437" s="3" t="s">
        <v>45</v>
      </c>
      <c r="AO1437" s="3" t="s">
        <v>45</v>
      </c>
      <c r="AP1437" s="3" t="s">
        <v>45</v>
      </c>
      <c r="AQ1437" s="4" t="s">
        <v>12307</v>
      </c>
      <c r="AR1437" s="4" t="s">
        <v>12307</v>
      </c>
    </row>
    <row r="1438">
      <c r="A1438" s="3" t="s">
        <v>12308</v>
      </c>
      <c r="B1438" s="3" t="s">
        <v>12309</v>
      </c>
      <c r="C1438" s="3" t="s">
        <v>12248</v>
      </c>
      <c r="D1438" s="3" t="s">
        <v>9900</v>
      </c>
      <c r="E1438" s="4" t="s">
        <v>9901</v>
      </c>
      <c r="F1438" s="3" t="s">
        <v>2850</v>
      </c>
      <c r="G1438" s="4" t="s">
        <v>12310</v>
      </c>
      <c r="H1438" s="4" t="s">
        <v>12311</v>
      </c>
      <c r="I1438" s="3" t="s">
        <v>85</v>
      </c>
      <c r="J1438" s="3" t="s">
        <v>126</v>
      </c>
      <c r="K1438" s="3" t="s">
        <v>45</v>
      </c>
      <c r="L1438" s="3" t="s">
        <v>12312</v>
      </c>
      <c r="M1438" s="3" t="s">
        <v>45</v>
      </c>
      <c r="N1438" s="3" t="s">
        <v>45</v>
      </c>
      <c r="O1438" s="3" t="s">
        <v>74</v>
      </c>
      <c r="P1438" s="3" t="s">
        <v>45</v>
      </c>
      <c r="Q1438" s="3" t="s">
        <v>45</v>
      </c>
      <c r="R1438" s="3" t="s">
        <v>45</v>
      </c>
      <c r="S1438" s="3" t="s">
        <v>45</v>
      </c>
      <c r="T1438" s="3" t="s">
        <v>45</v>
      </c>
      <c r="U1438" s="3" t="s">
        <v>45</v>
      </c>
      <c r="V1438" s="4" t="s">
        <v>12313</v>
      </c>
      <c r="W1438" s="4" t="s">
        <v>2754</v>
      </c>
      <c r="X1438" s="3" t="s">
        <v>45</v>
      </c>
      <c r="Y1438" s="3" t="s">
        <v>45</v>
      </c>
      <c r="Z1438" s="3" t="s">
        <v>74</v>
      </c>
      <c r="AA1438" s="3" t="s">
        <v>45</v>
      </c>
      <c r="AB1438" s="3" t="s">
        <v>45</v>
      </c>
      <c r="AC1438" s="3" t="s">
        <v>45</v>
      </c>
      <c r="AD1438" s="3" t="s">
        <v>45</v>
      </c>
      <c r="AE1438" s="3" t="s">
        <v>45</v>
      </c>
      <c r="AF1438" s="3" t="s">
        <v>45</v>
      </c>
      <c r="AG1438" s="3" t="s">
        <v>45</v>
      </c>
      <c r="AH1438" s="3" t="s">
        <v>9906</v>
      </c>
      <c r="AI1438" s="5" t="s">
        <v>12314</v>
      </c>
      <c r="AJ1438" s="3" t="s">
        <v>45</v>
      </c>
      <c r="AK1438" s="3" t="s">
        <v>45</v>
      </c>
      <c r="AL1438" s="3" t="s">
        <v>45</v>
      </c>
      <c r="AM1438" s="3" t="s">
        <v>45</v>
      </c>
      <c r="AN1438" s="3" t="s">
        <v>45</v>
      </c>
      <c r="AO1438" s="3" t="s">
        <v>45</v>
      </c>
      <c r="AP1438" s="3" t="s">
        <v>45</v>
      </c>
      <c r="AQ1438" s="4" t="s">
        <v>9934</v>
      </c>
      <c r="AR1438" s="4" t="s">
        <v>9908</v>
      </c>
    </row>
    <row r="1439">
      <c r="A1439" s="3" t="s">
        <v>169</v>
      </c>
      <c r="B1439" s="3" t="s">
        <v>12315</v>
      </c>
      <c r="C1439" s="3" t="s">
        <v>6998</v>
      </c>
      <c r="D1439" s="3" t="s">
        <v>9900</v>
      </c>
      <c r="E1439" s="4" t="s">
        <v>12316</v>
      </c>
      <c r="F1439" s="3" t="s">
        <v>12222</v>
      </c>
      <c r="G1439" s="4" t="s">
        <v>12317</v>
      </c>
      <c r="H1439" s="4" t="s">
        <v>12318</v>
      </c>
      <c r="I1439" s="3" t="s">
        <v>49</v>
      </c>
      <c r="J1439" s="3" t="s">
        <v>50</v>
      </c>
      <c r="K1439" s="3" t="s">
        <v>45</v>
      </c>
      <c r="L1439" s="3" t="s">
        <v>176</v>
      </c>
      <c r="M1439" s="3" t="s">
        <v>45</v>
      </c>
      <c r="N1439" s="3" t="s">
        <v>45</v>
      </c>
      <c r="O1439" s="3" t="s">
        <v>74</v>
      </c>
      <c r="P1439" s="3" t="s">
        <v>45</v>
      </c>
      <c r="Q1439" s="3" t="s">
        <v>45</v>
      </c>
      <c r="R1439" s="3" t="s">
        <v>45</v>
      </c>
      <c r="S1439" s="3" t="s">
        <v>45</v>
      </c>
      <c r="T1439" s="3" t="s">
        <v>45</v>
      </c>
      <c r="U1439" s="3" t="s">
        <v>45</v>
      </c>
      <c r="V1439" s="3" t="s">
        <v>45</v>
      </c>
      <c r="W1439" s="3" t="s">
        <v>45</v>
      </c>
      <c r="X1439" s="3" t="s">
        <v>45</v>
      </c>
      <c r="Y1439" s="3" t="s">
        <v>45</v>
      </c>
      <c r="Z1439" s="3" t="s">
        <v>74</v>
      </c>
      <c r="AA1439" s="3" t="s">
        <v>45</v>
      </c>
      <c r="AB1439" s="3" t="s">
        <v>45</v>
      </c>
      <c r="AC1439" s="3" t="s">
        <v>45</v>
      </c>
      <c r="AD1439" s="3" t="s">
        <v>45</v>
      </c>
      <c r="AE1439" s="3" t="s">
        <v>45</v>
      </c>
      <c r="AF1439" s="3" t="s">
        <v>45</v>
      </c>
      <c r="AG1439" s="3" t="s">
        <v>45</v>
      </c>
      <c r="AH1439" s="3" t="s">
        <v>57</v>
      </c>
      <c r="AI1439" s="5" t="s">
        <v>12226</v>
      </c>
      <c r="AJ1439" s="3" t="s">
        <v>45</v>
      </c>
      <c r="AK1439" s="3" t="s">
        <v>45</v>
      </c>
      <c r="AL1439" s="3" t="s">
        <v>45</v>
      </c>
      <c r="AM1439" s="3" t="s">
        <v>45</v>
      </c>
      <c r="AN1439" s="3" t="s">
        <v>45</v>
      </c>
      <c r="AO1439" s="3" t="s">
        <v>45</v>
      </c>
      <c r="AP1439" s="3" t="s">
        <v>45</v>
      </c>
      <c r="AQ1439" s="4" t="s">
        <v>7223</v>
      </c>
      <c r="AR1439" s="4" t="s">
        <v>7223</v>
      </c>
    </row>
    <row r="1440">
      <c r="A1440" s="3" t="s">
        <v>12319</v>
      </c>
      <c r="B1440" s="3" t="s">
        <v>12320</v>
      </c>
      <c r="C1440" s="3" t="s">
        <v>12321</v>
      </c>
      <c r="D1440" s="3" t="s">
        <v>9900</v>
      </c>
      <c r="E1440" s="4" t="s">
        <v>12322</v>
      </c>
      <c r="F1440" s="3" t="s">
        <v>11256</v>
      </c>
      <c r="G1440" s="4" t="s">
        <v>12323</v>
      </c>
      <c r="H1440" s="4" t="s">
        <v>12324</v>
      </c>
      <c r="I1440" s="3" t="s">
        <v>49</v>
      </c>
      <c r="J1440" s="3" t="s">
        <v>126</v>
      </c>
      <c r="K1440" s="3" t="s">
        <v>45</v>
      </c>
      <c r="L1440" s="3" t="s">
        <v>12325</v>
      </c>
      <c r="M1440" s="3" t="s">
        <v>45</v>
      </c>
      <c r="N1440" s="3" t="s">
        <v>45</v>
      </c>
      <c r="O1440" s="3" t="s">
        <v>74</v>
      </c>
      <c r="P1440" s="3" t="s">
        <v>45</v>
      </c>
      <c r="Q1440" s="3" t="s">
        <v>45</v>
      </c>
      <c r="R1440" s="3" t="s">
        <v>45</v>
      </c>
      <c r="S1440" s="3" t="s">
        <v>45</v>
      </c>
      <c r="T1440" s="3" t="s">
        <v>45</v>
      </c>
      <c r="U1440" s="3" t="s">
        <v>45</v>
      </c>
      <c r="V1440" s="3" t="s">
        <v>45</v>
      </c>
      <c r="W1440" s="4" t="s">
        <v>12326</v>
      </c>
      <c r="X1440" s="3" t="s">
        <v>45</v>
      </c>
      <c r="Y1440" s="3" t="s">
        <v>45</v>
      </c>
      <c r="Z1440" s="3" t="s">
        <v>74</v>
      </c>
      <c r="AA1440" s="3" t="s">
        <v>45</v>
      </c>
      <c r="AB1440" s="3" t="s">
        <v>45</v>
      </c>
      <c r="AC1440" s="3" t="s">
        <v>45</v>
      </c>
      <c r="AD1440" s="3" t="s">
        <v>45</v>
      </c>
      <c r="AE1440" s="3" t="s">
        <v>45</v>
      </c>
      <c r="AF1440" s="3" t="s">
        <v>45</v>
      </c>
      <c r="AG1440" s="3" t="s">
        <v>45</v>
      </c>
      <c r="AH1440" s="3" t="s">
        <v>9906</v>
      </c>
      <c r="AI1440" s="5" t="s">
        <v>12327</v>
      </c>
      <c r="AJ1440" s="5" t="s">
        <v>12328</v>
      </c>
      <c r="AK1440" s="3" t="s">
        <v>45</v>
      </c>
      <c r="AL1440" s="3" t="s">
        <v>45</v>
      </c>
      <c r="AM1440" s="3" t="s">
        <v>45</v>
      </c>
      <c r="AN1440" s="3" t="s">
        <v>45</v>
      </c>
      <c r="AO1440" s="3" t="s">
        <v>45</v>
      </c>
      <c r="AP1440" s="3" t="s">
        <v>45</v>
      </c>
      <c r="AQ1440" s="4" t="s">
        <v>12329</v>
      </c>
      <c r="AR1440" s="4" t="s">
        <v>9908</v>
      </c>
    </row>
    <row r="1441">
      <c r="A1441" s="3" t="s">
        <v>12330</v>
      </c>
      <c r="B1441" s="3" t="s">
        <v>12331</v>
      </c>
      <c r="C1441" s="3" t="s">
        <v>12321</v>
      </c>
      <c r="D1441" s="3" t="s">
        <v>9900</v>
      </c>
      <c r="E1441" s="4" t="s">
        <v>12322</v>
      </c>
      <c r="F1441" s="3" t="s">
        <v>11256</v>
      </c>
      <c r="G1441" s="4" t="s">
        <v>12332</v>
      </c>
      <c r="H1441" s="4" t="s">
        <v>12333</v>
      </c>
      <c r="I1441" s="3" t="s">
        <v>85</v>
      </c>
      <c r="J1441" s="3" t="s">
        <v>126</v>
      </c>
      <c r="K1441" s="3" t="s">
        <v>45</v>
      </c>
      <c r="L1441" s="3" t="s">
        <v>12330</v>
      </c>
      <c r="M1441" s="3" t="s">
        <v>45</v>
      </c>
      <c r="N1441" s="3" t="s">
        <v>45</v>
      </c>
      <c r="O1441" s="3" t="s">
        <v>74</v>
      </c>
      <c r="P1441" s="3" t="s">
        <v>45</v>
      </c>
      <c r="Q1441" s="3" t="s">
        <v>45</v>
      </c>
      <c r="R1441" s="3" t="s">
        <v>45</v>
      </c>
      <c r="S1441" s="3" t="s">
        <v>45</v>
      </c>
      <c r="T1441" s="3" t="s">
        <v>45</v>
      </c>
      <c r="U1441" s="3" t="s">
        <v>45</v>
      </c>
      <c r="V1441" s="4" t="s">
        <v>12334</v>
      </c>
      <c r="W1441" s="4" t="s">
        <v>1012</v>
      </c>
      <c r="X1441" s="3" t="s">
        <v>45</v>
      </c>
      <c r="Y1441" s="3" t="s">
        <v>45</v>
      </c>
      <c r="Z1441" s="3" t="s">
        <v>74</v>
      </c>
      <c r="AA1441" s="3" t="s">
        <v>45</v>
      </c>
      <c r="AB1441" s="3" t="s">
        <v>45</v>
      </c>
      <c r="AC1441" s="3" t="s">
        <v>45</v>
      </c>
      <c r="AD1441" s="3" t="s">
        <v>45</v>
      </c>
      <c r="AE1441" s="3" t="s">
        <v>45</v>
      </c>
      <c r="AF1441" s="3" t="s">
        <v>45</v>
      </c>
      <c r="AG1441" s="3" t="s">
        <v>45</v>
      </c>
      <c r="AH1441" s="3" t="s">
        <v>9906</v>
      </c>
      <c r="AI1441" s="5" t="s">
        <v>12335</v>
      </c>
      <c r="AJ1441" s="3" t="s">
        <v>45</v>
      </c>
      <c r="AK1441" s="3" t="s">
        <v>45</v>
      </c>
      <c r="AL1441" s="3" t="s">
        <v>45</v>
      </c>
      <c r="AM1441" s="3" t="s">
        <v>45</v>
      </c>
      <c r="AN1441" s="3" t="s">
        <v>45</v>
      </c>
      <c r="AO1441" s="3" t="s">
        <v>45</v>
      </c>
      <c r="AP1441" s="3" t="s">
        <v>45</v>
      </c>
      <c r="AQ1441" s="4" t="s">
        <v>9934</v>
      </c>
      <c r="AR1441" s="4" t="s">
        <v>9908</v>
      </c>
    </row>
    <row r="1442">
      <c r="A1442" s="3" t="s">
        <v>12336</v>
      </c>
      <c r="B1442" s="3" t="s">
        <v>12337</v>
      </c>
      <c r="C1442" s="3" t="s">
        <v>12321</v>
      </c>
      <c r="D1442" s="3" t="s">
        <v>9900</v>
      </c>
      <c r="E1442" s="4" t="s">
        <v>12322</v>
      </c>
      <c r="F1442" s="3" t="s">
        <v>11256</v>
      </c>
      <c r="G1442" s="4" t="s">
        <v>12338</v>
      </c>
      <c r="H1442" s="4" t="s">
        <v>12339</v>
      </c>
      <c r="I1442" s="3" t="s">
        <v>85</v>
      </c>
      <c r="J1442" s="3" t="s">
        <v>126</v>
      </c>
      <c r="K1442" s="3" t="s">
        <v>45</v>
      </c>
      <c r="L1442" s="3" t="s">
        <v>210</v>
      </c>
      <c r="M1442" s="3" t="s">
        <v>45</v>
      </c>
      <c r="N1442" s="3" t="s">
        <v>45</v>
      </c>
      <c r="O1442" s="3" t="s">
        <v>74</v>
      </c>
      <c r="P1442" s="3" t="s">
        <v>45</v>
      </c>
      <c r="Q1442" s="3" t="s">
        <v>45</v>
      </c>
      <c r="R1442" s="3" t="s">
        <v>45</v>
      </c>
      <c r="S1442" s="3" t="s">
        <v>45</v>
      </c>
      <c r="T1442" s="3" t="s">
        <v>45</v>
      </c>
      <c r="U1442" s="3" t="s">
        <v>45</v>
      </c>
      <c r="V1442" s="4" t="s">
        <v>12340</v>
      </c>
      <c r="W1442" s="4" t="s">
        <v>4447</v>
      </c>
      <c r="X1442" s="3" t="s">
        <v>45</v>
      </c>
      <c r="Y1442" s="3" t="s">
        <v>45</v>
      </c>
      <c r="Z1442" s="3" t="s">
        <v>74</v>
      </c>
      <c r="AA1442" s="3" t="s">
        <v>45</v>
      </c>
      <c r="AB1442" s="3" t="s">
        <v>45</v>
      </c>
      <c r="AC1442" s="3" t="s">
        <v>45</v>
      </c>
      <c r="AD1442" s="3" t="s">
        <v>45</v>
      </c>
      <c r="AE1442" s="3" t="s">
        <v>45</v>
      </c>
      <c r="AF1442" s="3" t="s">
        <v>45</v>
      </c>
      <c r="AG1442" s="3" t="s">
        <v>12341</v>
      </c>
      <c r="AH1442" s="3" t="s">
        <v>9906</v>
      </c>
      <c r="AI1442" s="5" t="s">
        <v>12342</v>
      </c>
      <c r="AJ1442" s="3" t="s">
        <v>45</v>
      </c>
      <c r="AK1442" s="3" t="s">
        <v>45</v>
      </c>
      <c r="AL1442" s="3" t="s">
        <v>45</v>
      </c>
      <c r="AM1442" s="3" t="s">
        <v>45</v>
      </c>
      <c r="AN1442" s="3" t="s">
        <v>45</v>
      </c>
      <c r="AO1442" s="3" t="s">
        <v>45</v>
      </c>
      <c r="AP1442" s="3" t="s">
        <v>45</v>
      </c>
      <c r="AQ1442" s="4" t="s">
        <v>9934</v>
      </c>
      <c r="AR1442" s="4" t="s">
        <v>9908</v>
      </c>
    </row>
    <row r="1443">
      <c r="A1443" s="3" t="s">
        <v>12343</v>
      </c>
      <c r="B1443" s="3" t="s">
        <v>12344</v>
      </c>
      <c r="C1443" s="3" t="s">
        <v>12321</v>
      </c>
      <c r="D1443" s="3" t="s">
        <v>9900</v>
      </c>
      <c r="E1443" s="4" t="s">
        <v>12322</v>
      </c>
      <c r="F1443" s="3" t="s">
        <v>11256</v>
      </c>
      <c r="G1443" s="4" t="s">
        <v>12345</v>
      </c>
      <c r="H1443" s="4" t="s">
        <v>12346</v>
      </c>
      <c r="I1443" s="3" t="s">
        <v>85</v>
      </c>
      <c r="J1443" s="3" t="s">
        <v>126</v>
      </c>
      <c r="K1443" s="3" t="s">
        <v>45</v>
      </c>
      <c r="L1443" s="3" t="s">
        <v>210</v>
      </c>
      <c r="M1443" s="3" t="s">
        <v>45</v>
      </c>
      <c r="N1443" s="3" t="s">
        <v>45</v>
      </c>
      <c r="O1443" s="3" t="s">
        <v>74</v>
      </c>
      <c r="P1443" s="3" t="s">
        <v>45</v>
      </c>
      <c r="Q1443" s="3" t="s">
        <v>45</v>
      </c>
      <c r="R1443" s="3" t="s">
        <v>45</v>
      </c>
      <c r="S1443" s="3" t="s">
        <v>45</v>
      </c>
      <c r="T1443" s="3" t="s">
        <v>45</v>
      </c>
      <c r="U1443" s="3" t="s">
        <v>45</v>
      </c>
      <c r="V1443" s="4" t="s">
        <v>12347</v>
      </c>
      <c r="W1443" s="4" t="s">
        <v>5288</v>
      </c>
      <c r="X1443" s="3" t="s">
        <v>45</v>
      </c>
      <c r="Y1443" s="3" t="s">
        <v>45</v>
      </c>
      <c r="Z1443" s="3" t="s">
        <v>74</v>
      </c>
      <c r="AA1443" s="3" t="s">
        <v>45</v>
      </c>
      <c r="AB1443" s="3" t="s">
        <v>45</v>
      </c>
      <c r="AC1443" s="3" t="s">
        <v>45</v>
      </c>
      <c r="AD1443" s="3" t="s">
        <v>45</v>
      </c>
      <c r="AE1443" s="3" t="s">
        <v>45</v>
      </c>
      <c r="AF1443" s="3" t="s">
        <v>45</v>
      </c>
      <c r="AG1443" s="3" t="s">
        <v>45</v>
      </c>
      <c r="AH1443" s="3" t="s">
        <v>9906</v>
      </c>
      <c r="AI1443" s="5" t="s">
        <v>12348</v>
      </c>
      <c r="AJ1443" s="3" t="s">
        <v>45</v>
      </c>
      <c r="AK1443" s="3" t="s">
        <v>45</v>
      </c>
      <c r="AL1443" s="3" t="s">
        <v>45</v>
      </c>
      <c r="AM1443" s="3" t="s">
        <v>45</v>
      </c>
      <c r="AN1443" s="3" t="s">
        <v>45</v>
      </c>
      <c r="AO1443" s="3" t="s">
        <v>45</v>
      </c>
      <c r="AP1443" s="3" t="s">
        <v>45</v>
      </c>
      <c r="AQ1443" s="4" t="s">
        <v>9934</v>
      </c>
      <c r="AR1443" s="4" t="s">
        <v>9908</v>
      </c>
    </row>
    <row r="1444">
      <c r="A1444" s="3" t="s">
        <v>12349</v>
      </c>
      <c r="B1444" s="3" t="s">
        <v>12350</v>
      </c>
      <c r="C1444" s="3" t="s">
        <v>12321</v>
      </c>
      <c r="D1444" s="3" t="s">
        <v>9900</v>
      </c>
      <c r="E1444" s="4" t="s">
        <v>12322</v>
      </c>
      <c r="F1444" s="3" t="s">
        <v>11256</v>
      </c>
      <c r="G1444" s="4" t="s">
        <v>12351</v>
      </c>
      <c r="H1444" s="4" t="s">
        <v>12352</v>
      </c>
      <c r="I1444" s="3" t="s">
        <v>408</v>
      </c>
      <c r="J1444" s="3" t="s">
        <v>126</v>
      </c>
      <c r="K1444" s="3" t="s">
        <v>45</v>
      </c>
      <c r="L1444" s="3" t="s">
        <v>210</v>
      </c>
      <c r="M1444" s="3" t="s">
        <v>45</v>
      </c>
      <c r="N1444" s="3" t="s">
        <v>45</v>
      </c>
      <c r="O1444" s="3" t="s">
        <v>74</v>
      </c>
      <c r="P1444" s="3" t="s">
        <v>45</v>
      </c>
      <c r="Q1444" s="3" t="s">
        <v>45</v>
      </c>
      <c r="R1444" s="3" t="s">
        <v>45</v>
      </c>
      <c r="S1444" s="3" t="s">
        <v>45</v>
      </c>
      <c r="T1444" s="3" t="s">
        <v>45</v>
      </c>
      <c r="U1444" s="3" t="s">
        <v>45</v>
      </c>
      <c r="V1444" s="4" t="s">
        <v>12353</v>
      </c>
      <c r="W1444" s="4" t="s">
        <v>3192</v>
      </c>
      <c r="X1444" s="3" t="s">
        <v>45</v>
      </c>
      <c r="Y1444" s="3" t="s">
        <v>45</v>
      </c>
      <c r="Z1444" s="3" t="s">
        <v>74</v>
      </c>
      <c r="AA1444" s="3" t="s">
        <v>45</v>
      </c>
      <c r="AB1444" s="3" t="s">
        <v>45</v>
      </c>
      <c r="AC1444" s="3" t="s">
        <v>45</v>
      </c>
      <c r="AD1444" s="3" t="s">
        <v>45</v>
      </c>
      <c r="AE1444" s="3" t="s">
        <v>45</v>
      </c>
      <c r="AF1444" s="3" t="s">
        <v>45</v>
      </c>
      <c r="AG1444" s="3" t="s">
        <v>12354</v>
      </c>
      <c r="AH1444" s="3" t="s">
        <v>9906</v>
      </c>
      <c r="AI1444" s="5" t="s">
        <v>12355</v>
      </c>
      <c r="AJ1444" s="5" t="s">
        <v>12356</v>
      </c>
      <c r="AK1444" s="3" t="s">
        <v>45</v>
      </c>
      <c r="AL1444" s="3" t="s">
        <v>45</v>
      </c>
      <c r="AM1444" s="3" t="s">
        <v>45</v>
      </c>
      <c r="AN1444" s="3" t="s">
        <v>45</v>
      </c>
      <c r="AO1444" s="3" t="s">
        <v>45</v>
      </c>
      <c r="AP1444" s="3" t="s">
        <v>45</v>
      </c>
      <c r="AQ1444" s="4" t="s">
        <v>9934</v>
      </c>
      <c r="AR1444" s="4" t="s">
        <v>224</v>
      </c>
    </row>
    <row r="1445">
      <c r="A1445" s="3" t="s">
        <v>12357</v>
      </c>
      <c r="B1445" s="3" t="s">
        <v>12358</v>
      </c>
      <c r="C1445" s="3" t="s">
        <v>12321</v>
      </c>
      <c r="D1445" s="3" t="s">
        <v>9900</v>
      </c>
      <c r="E1445" s="4" t="s">
        <v>12322</v>
      </c>
      <c r="F1445" s="3" t="s">
        <v>11256</v>
      </c>
      <c r="G1445" s="4" t="s">
        <v>12359</v>
      </c>
      <c r="H1445" s="4" t="s">
        <v>12360</v>
      </c>
      <c r="I1445" s="3" t="s">
        <v>85</v>
      </c>
      <c r="J1445" s="3" t="s">
        <v>126</v>
      </c>
      <c r="K1445" s="3" t="s">
        <v>45</v>
      </c>
      <c r="L1445" s="3" t="s">
        <v>45</v>
      </c>
      <c r="M1445" s="3" t="s">
        <v>45</v>
      </c>
      <c r="N1445" s="4" t="s">
        <v>419</v>
      </c>
      <c r="O1445" s="3" t="s">
        <v>88</v>
      </c>
      <c r="P1445" s="3" t="s">
        <v>45</v>
      </c>
      <c r="Q1445" s="3" t="s">
        <v>45</v>
      </c>
      <c r="R1445" s="3" t="s">
        <v>45</v>
      </c>
      <c r="S1445" s="3" t="s">
        <v>45</v>
      </c>
      <c r="T1445" s="3" t="s">
        <v>45</v>
      </c>
      <c r="U1445" s="3" t="s">
        <v>45</v>
      </c>
      <c r="V1445" s="4" t="s">
        <v>106</v>
      </c>
      <c r="W1445" s="4" t="s">
        <v>612</v>
      </c>
      <c r="X1445" s="3" t="s">
        <v>45</v>
      </c>
      <c r="Y1445" s="3" t="s">
        <v>45</v>
      </c>
      <c r="Z1445" s="3" t="s">
        <v>74</v>
      </c>
      <c r="AA1445" s="3" t="s">
        <v>45</v>
      </c>
      <c r="AB1445" s="3" t="s">
        <v>45</v>
      </c>
      <c r="AC1445" s="3" t="s">
        <v>45</v>
      </c>
      <c r="AD1445" s="3" t="s">
        <v>45</v>
      </c>
      <c r="AE1445" s="3" t="s">
        <v>45</v>
      </c>
      <c r="AF1445" s="3" t="s">
        <v>45</v>
      </c>
      <c r="AG1445" s="3" t="s">
        <v>45</v>
      </c>
      <c r="AH1445" s="3" t="s">
        <v>57</v>
      </c>
      <c r="AI1445" s="5" t="s">
        <v>11742</v>
      </c>
      <c r="AJ1445" s="5" t="s">
        <v>12361</v>
      </c>
      <c r="AK1445" s="3" t="s">
        <v>45</v>
      </c>
      <c r="AL1445" s="3" t="s">
        <v>45</v>
      </c>
      <c r="AM1445" s="3" t="s">
        <v>45</v>
      </c>
      <c r="AN1445" s="3" t="s">
        <v>45</v>
      </c>
      <c r="AO1445" s="3" t="s">
        <v>45</v>
      </c>
      <c r="AP1445" s="3" t="s">
        <v>45</v>
      </c>
      <c r="AQ1445" s="4" t="s">
        <v>2509</v>
      </c>
      <c r="AR1445" s="4" t="s">
        <v>413</v>
      </c>
    </row>
    <row r="1446">
      <c r="A1446" s="3" t="s">
        <v>12362</v>
      </c>
      <c r="B1446" s="3" t="s">
        <v>12363</v>
      </c>
      <c r="C1446" s="3" t="s">
        <v>12321</v>
      </c>
      <c r="D1446" s="3" t="s">
        <v>9900</v>
      </c>
      <c r="E1446" s="4" t="s">
        <v>12322</v>
      </c>
      <c r="F1446" s="3" t="s">
        <v>11256</v>
      </c>
      <c r="G1446" s="4" t="s">
        <v>12364</v>
      </c>
      <c r="H1446" s="4" t="s">
        <v>12365</v>
      </c>
      <c r="I1446" s="3" t="s">
        <v>85</v>
      </c>
      <c r="J1446" s="3" t="s">
        <v>126</v>
      </c>
      <c r="K1446" s="3" t="s">
        <v>45</v>
      </c>
      <c r="L1446" s="3" t="s">
        <v>557</v>
      </c>
      <c r="M1446" s="3" t="s">
        <v>45</v>
      </c>
      <c r="N1446" s="3" t="s">
        <v>45</v>
      </c>
      <c r="O1446" s="3" t="s">
        <v>88</v>
      </c>
      <c r="P1446" s="3" t="s">
        <v>45</v>
      </c>
      <c r="Q1446" s="3" t="s">
        <v>45</v>
      </c>
      <c r="R1446" s="3" t="s">
        <v>45</v>
      </c>
      <c r="S1446" s="3" t="s">
        <v>45</v>
      </c>
      <c r="T1446" s="3" t="s">
        <v>45</v>
      </c>
      <c r="U1446" s="3" t="s">
        <v>45</v>
      </c>
      <c r="V1446" s="4" t="s">
        <v>12366</v>
      </c>
      <c r="W1446" s="4" t="s">
        <v>12367</v>
      </c>
      <c r="X1446" s="3" t="s">
        <v>45</v>
      </c>
      <c r="Y1446" s="3" t="s">
        <v>45</v>
      </c>
      <c r="Z1446" s="3" t="s">
        <v>74</v>
      </c>
      <c r="AA1446" s="3" t="s">
        <v>45</v>
      </c>
      <c r="AB1446" s="3" t="s">
        <v>45</v>
      </c>
      <c r="AC1446" s="3" t="s">
        <v>45</v>
      </c>
      <c r="AD1446" s="3" t="s">
        <v>45</v>
      </c>
      <c r="AE1446" s="3" t="s">
        <v>45</v>
      </c>
      <c r="AF1446" s="3" t="s">
        <v>45</v>
      </c>
      <c r="AG1446" s="3" t="s">
        <v>45</v>
      </c>
      <c r="AH1446" s="3" t="s">
        <v>9906</v>
      </c>
      <c r="AI1446" s="5" t="s">
        <v>12368</v>
      </c>
      <c r="AJ1446" s="5" t="s">
        <v>12369</v>
      </c>
      <c r="AK1446" s="5" t="s">
        <v>12361</v>
      </c>
      <c r="AL1446" s="3" t="s">
        <v>45</v>
      </c>
      <c r="AM1446" s="3" t="s">
        <v>45</v>
      </c>
      <c r="AN1446" s="3" t="s">
        <v>45</v>
      </c>
      <c r="AO1446" s="3" t="s">
        <v>45</v>
      </c>
      <c r="AP1446" s="3" t="s">
        <v>45</v>
      </c>
      <c r="AQ1446" s="4" t="s">
        <v>9934</v>
      </c>
      <c r="AR1446" s="4" t="s">
        <v>413</v>
      </c>
    </row>
    <row r="1447">
      <c r="A1447" s="3" t="s">
        <v>12370</v>
      </c>
      <c r="B1447" s="3" t="s">
        <v>12371</v>
      </c>
      <c r="C1447" s="3" t="s">
        <v>12372</v>
      </c>
      <c r="D1447" s="3" t="s">
        <v>9900</v>
      </c>
      <c r="E1447" s="4" t="s">
        <v>12373</v>
      </c>
      <c r="F1447" s="3" t="s">
        <v>5095</v>
      </c>
      <c r="G1447" s="4" t="s">
        <v>12374</v>
      </c>
      <c r="H1447" s="4" t="s">
        <v>12375</v>
      </c>
      <c r="I1447" s="3" t="s">
        <v>49</v>
      </c>
      <c r="J1447" s="3" t="s">
        <v>126</v>
      </c>
      <c r="K1447" s="3" t="s">
        <v>45</v>
      </c>
      <c r="L1447" s="3" t="s">
        <v>409</v>
      </c>
      <c r="M1447" s="3" t="s">
        <v>45</v>
      </c>
      <c r="N1447" s="3" t="s">
        <v>45</v>
      </c>
      <c r="O1447" s="3" t="s">
        <v>74</v>
      </c>
      <c r="P1447" s="3" t="s">
        <v>45</v>
      </c>
      <c r="Q1447" s="3" t="s">
        <v>45</v>
      </c>
      <c r="R1447" s="3" t="s">
        <v>45</v>
      </c>
      <c r="S1447" s="3" t="s">
        <v>45</v>
      </c>
      <c r="T1447" s="3" t="s">
        <v>45</v>
      </c>
      <c r="U1447" s="3" t="s">
        <v>45</v>
      </c>
      <c r="V1447" s="3" t="s">
        <v>45</v>
      </c>
      <c r="W1447" s="4" t="s">
        <v>12376</v>
      </c>
      <c r="X1447" s="3" t="s">
        <v>45</v>
      </c>
      <c r="Y1447" s="3" t="s">
        <v>45</v>
      </c>
      <c r="Z1447" s="3" t="s">
        <v>74</v>
      </c>
      <c r="AA1447" s="3" t="s">
        <v>45</v>
      </c>
      <c r="AB1447" s="3" t="s">
        <v>45</v>
      </c>
      <c r="AC1447" s="3" t="s">
        <v>45</v>
      </c>
      <c r="AD1447" s="3" t="s">
        <v>45</v>
      </c>
      <c r="AE1447" s="3" t="s">
        <v>45</v>
      </c>
      <c r="AF1447" s="3" t="s">
        <v>45</v>
      </c>
      <c r="AG1447" s="3" t="s">
        <v>10511</v>
      </c>
      <c r="AH1447" s="3" t="s">
        <v>9906</v>
      </c>
      <c r="AI1447" s="5" t="s">
        <v>12377</v>
      </c>
      <c r="AJ1447" s="5" t="s">
        <v>12378</v>
      </c>
      <c r="AK1447" s="3" t="s">
        <v>45</v>
      </c>
      <c r="AL1447" s="3" t="s">
        <v>45</v>
      </c>
      <c r="AM1447" s="3" t="s">
        <v>45</v>
      </c>
      <c r="AN1447" s="3" t="s">
        <v>45</v>
      </c>
      <c r="AO1447" s="3" t="s">
        <v>45</v>
      </c>
      <c r="AP1447" s="3" t="s">
        <v>45</v>
      </c>
      <c r="AQ1447" s="4" t="s">
        <v>9934</v>
      </c>
      <c r="AR1447" s="4" t="s">
        <v>9908</v>
      </c>
    </row>
    <row r="1448">
      <c r="A1448" s="3" t="s">
        <v>409</v>
      </c>
      <c r="B1448" s="3" t="s">
        <v>12379</v>
      </c>
      <c r="C1448" s="3" t="s">
        <v>12372</v>
      </c>
      <c r="D1448" s="3" t="s">
        <v>9900</v>
      </c>
      <c r="E1448" s="4" t="s">
        <v>12373</v>
      </c>
      <c r="F1448" s="3" t="s">
        <v>5095</v>
      </c>
      <c r="G1448" s="4" t="s">
        <v>12380</v>
      </c>
      <c r="H1448" s="4" t="s">
        <v>12381</v>
      </c>
      <c r="I1448" s="3" t="s">
        <v>218</v>
      </c>
      <c r="J1448" s="3" t="s">
        <v>126</v>
      </c>
      <c r="K1448" s="3" t="s">
        <v>45</v>
      </c>
      <c r="L1448" s="3" t="s">
        <v>409</v>
      </c>
      <c r="M1448" s="3" t="s">
        <v>45</v>
      </c>
      <c r="N1448" s="3" t="s">
        <v>45</v>
      </c>
      <c r="O1448" s="3" t="s">
        <v>74</v>
      </c>
      <c r="P1448" s="3" t="s">
        <v>45</v>
      </c>
      <c r="Q1448" s="3" t="s">
        <v>45</v>
      </c>
      <c r="R1448" s="3" t="s">
        <v>45</v>
      </c>
      <c r="S1448" s="3" t="s">
        <v>45</v>
      </c>
      <c r="T1448" s="3" t="s">
        <v>45</v>
      </c>
      <c r="U1448" s="3" t="s">
        <v>45</v>
      </c>
      <c r="V1448" s="3" t="s">
        <v>45</v>
      </c>
      <c r="W1448" s="3" t="s">
        <v>45</v>
      </c>
      <c r="X1448" s="3" t="s">
        <v>45</v>
      </c>
      <c r="Y1448" s="3" t="s">
        <v>45</v>
      </c>
      <c r="Z1448" s="3" t="s">
        <v>74</v>
      </c>
      <c r="AA1448" s="3" t="s">
        <v>45</v>
      </c>
      <c r="AB1448" s="3" t="s">
        <v>45</v>
      </c>
      <c r="AC1448" s="3" t="s">
        <v>45</v>
      </c>
      <c r="AD1448" s="3" t="s">
        <v>45</v>
      </c>
      <c r="AE1448" s="3" t="s">
        <v>45</v>
      </c>
      <c r="AF1448" s="3" t="s">
        <v>45</v>
      </c>
      <c r="AG1448" s="3" t="s">
        <v>45</v>
      </c>
      <c r="AH1448" s="3" t="s">
        <v>840</v>
      </c>
      <c r="AI1448" s="5" t="s">
        <v>411</v>
      </c>
      <c r="AJ1448" s="3" t="s">
        <v>45</v>
      </c>
      <c r="AK1448" s="3" t="s">
        <v>45</v>
      </c>
      <c r="AL1448" s="3" t="s">
        <v>45</v>
      </c>
      <c r="AM1448" s="3" t="s">
        <v>45</v>
      </c>
      <c r="AN1448" s="3" t="s">
        <v>45</v>
      </c>
      <c r="AO1448" s="3" t="s">
        <v>45</v>
      </c>
      <c r="AP1448" s="3" t="s">
        <v>45</v>
      </c>
      <c r="AQ1448" s="4" t="s">
        <v>147</v>
      </c>
      <c r="AR1448" s="4" t="s">
        <v>147</v>
      </c>
    </row>
    <row r="1449">
      <c r="A1449" s="3" t="s">
        <v>12382</v>
      </c>
      <c r="B1449" s="3" t="s">
        <v>12383</v>
      </c>
      <c r="C1449" s="3" t="s">
        <v>12372</v>
      </c>
      <c r="D1449" s="3" t="s">
        <v>9900</v>
      </c>
      <c r="E1449" s="4" t="s">
        <v>12373</v>
      </c>
      <c r="F1449" s="3" t="s">
        <v>5095</v>
      </c>
      <c r="G1449" s="4" t="s">
        <v>12384</v>
      </c>
      <c r="H1449" s="4" t="s">
        <v>12385</v>
      </c>
      <c r="I1449" s="3" t="s">
        <v>49</v>
      </c>
      <c r="J1449" s="3" t="s">
        <v>50</v>
      </c>
      <c r="K1449" s="3" t="s">
        <v>45</v>
      </c>
      <c r="L1449" s="3" t="s">
        <v>409</v>
      </c>
      <c r="M1449" s="3" t="s">
        <v>45</v>
      </c>
      <c r="N1449" s="3" t="s">
        <v>45</v>
      </c>
      <c r="O1449" s="3" t="s">
        <v>74</v>
      </c>
      <c r="P1449" s="3" t="s">
        <v>45</v>
      </c>
      <c r="Q1449" s="3" t="s">
        <v>45</v>
      </c>
      <c r="R1449" s="3" t="s">
        <v>45</v>
      </c>
      <c r="S1449" s="3" t="s">
        <v>45</v>
      </c>
      <c r="T1449" s="3" t="s">
        <v>45</v>
      </c>
      <c r="U1449" s="3" t="s">
        <v>45</v>
      </c>
      <c r="V1449" s="3" t="s">
        <v>45</v>
      </c>
      <c r="W1449" s="4" t="s">
        <v>2995</v>
      </c>
      <c r="X1449" s="3" t="s">
        <v>45</v>
      </c>
      <c r="Y1449" s="3" t="s">
        <v>45</v>
      </c>
      <c r="Z1449" s="3" t="s">
        <v>74</v>
      </c>
      <c r="AA1449" s="3" t="s">
        <v>45</v>
      </c>
      <c r="AB1449" s="3" t="s">
        <v>45</v>
      </c>
      <c r="AC1449" s="3" t="s">
        <v>45</v>
      </c>
      <c r="AD1449" s="3" t="s">
        <v>45</v>
      </c>
      <c r="AE1449" s="3" t="s">
        <v>45</v>
      </c>
      <c r="AF1449" s="3" t="s">
        <v>45</v>
      </c>
      <c r="AG1449" s="3" t="s">
        <v>45</v>
      </c>
      <c r="AH1449" s="3" t="s">
        <v>57</v>
      </c>
      <c r="AI1449" s="5" t="s">
        <v>10808</v>
      </c>
      <c r="AJ1449" s="3" t="s">
        <v>45</v>
      </c>
      <c r="AK1449" s="3" t="s">
        <v>45</v>
      </c>
      <c r="AL1449" s="3" t="s">
        <v>45</v>
      </c>
      <c r="AM1449" s="3" t="s">
        <v>45</v>
      </c>
      <c r="AN1449" s="3" t="s">
        <v>45</v>
      </c>
      <c r="AO1449" s="3" t="s">
        <v>45</v>
      </c>
      <c r="AP1449" s="3" t="s">
        <v>45</v>
      </c>
      <c r="AQ1449" s="4" t="s">
        <v>295</v>
      </c>
      <c r="AR1449" s="4" t="s">
        <v>295</v>
      </c>
    </row>
    <row r="1450">
      <c r="A1450" s="3" t="s">
        <v>12386</v>
      </c>
      <c r="B1450" s="3" t="s">
        <v>12387</v>
      </c>
      <c r="C1450" s="3" t="s">
        <v>12388</v>
      </c>
      <c r="D1450" s="3" t="s">
        <v>9900</v>
      </c>
      <c r="E1450" s="4" t="s">
        <v>10702</v>
      </c>
      <c r="F1450" s="3" t="s">
        <v>9928</v>
      </c>
      <c r="G1450" s="4" t="s">
        <v>12389</v>
      </c>
      <c r="H1450" s="4" t="s">
        <v>12390</v>
      </c>
      <c r="I1450" s="3" t="s">
        <v>408</v>
      </c>
      <c r="J1450" s="3" t="s">
        <v>126</v>
      </c>
      <c r="K1450" s="3" t="s">
        <v>45</v>
      </c>
      <c r="L1450" s="3" t="s">
        <v>479</v>
      </c>
      <c r="M1450" s="3" t="s">
        <v>45</v>
      </c>
      <c r="N1450" s="3" t="s">
        <v>45</v>
      </c>
      <c r="O1450" s="3" t="s">
        <v>74</v>
      </c>
      <c r="P1450" s="3" t="s">
        <v>45</v>
      </c>
      <c r="Q1450" s="3" t="s">
        <v>45</v>
      </c>
      <c r="R1450" s="3" t="s">
        <v>45</v>
      </c>
      <c r="S1450" s="3" t="s">
        <v>45</v>
      </c>
      <c r="T1450" s="3" t="s">
        <v>45</v>
      </c>
      <c r="U1450" s="3" t="s">
        <v>45</v>
      </c>
      <c r="V1450" s="4" t="s">
        <v>12391</v>
      </c>
      <c r="W1450" s="4" t="s">
        <v>7320</v>
      </c>
      <c r="X1450" s="3" t="s">
        <v>45</v>
      </c>
      <c r="Y1450" s="3" t="s">
        <v>45</v>
      </c>
      <c r="Z1450" s="3" t="s">
        <v>74</v>
      </c>
      <c r="AA1450" s="3" t="s">
        <v>45</v>
      </c>
      <c r="AB1450" s="3" t="s">
        <v>45</v>
      </c>
      <c r="AC1450" s="3" t="s">
        <v>45</v>
      </c>
      <c r="AD1450" s="3" t="s">
        <v>45</v>
      </c>
      <c r="AE1450" s="3" t="s">
        <v>45</v>
      </c>
      <c r="AF1450" s="3" t="s">
        <v>45</v>
      </c>
      <c r="AG1450" s="3" t="s">
        <v>12392</v>
      </c>
      <c r="AH1450" s="3" t="s">
        <v>9906</v>
      </c>
      <c r="AI1450" s="5" t="s">
        <v>12393</v>
      </c>
      <c r="AJ1450" s="5" t="s">
        <v>12394</v>
      </c>
      <c r="AK1450" s="5" t="s">
        <v>12395</v>
      </c>
      <c r="AL1450" s="3" t="s">
        <v>45</v>
      </c>
      <c r="AM1450" s="3" t="s">
        <v>45</v>
      </c>
      <c r="AN1450" s="3" t="s">
        <v>45</v>
      </c>
      <c r="AO1450" s="3" t="s">
        <v>45</v>
      </c>
      <c r="AP1450" s="3" t="s">
        <v>45</v>
      </c>
      <c r="AQ1450" s="4" t="s">
        <v>807</v>
      </c>
      <c r="AR1450" s="4" t="s">
        <v>224</v>
      </c>
    </row>
    <row r="1451">
      <c r="A1451" s="3" t="s">
        <v>12396</v>
      </c>
      <c r="B1451" s="3" t="s">
        <v>12397</v>
      </c>
      <c r="C1451" s="3" t="s">
        <v>12388</v>
      </c>
      <c r="D1451" s="3" t="s">
        <v>9900</v>
      </c>
      <c r="E1451" s="4" t="s">
        <v>10702</v>
      </c>
      <c r="F1451" s="3" t="s">
        <v>9928</v>
      </c>
      <c r="G1451" s="4" t="s">
        <v>12398</v>
      </c>
      <c r="H1451" s="4" t="s">
        <v>12399</v>
      </c>
      <c r="I1451" s="3" t="s">
        <v>49</v>
      </c>
      <c r="J1451" s="3" t="s">
        <v>126</v>
      </c>
      <c r="K1451" s="3" t="s">
        <v>45</v>
      </c>
      <c r="L1451" s="3" t="s">
        <v>12400</v>
      </c>
      <c r="M1451" s="3" t="s">
        <v>45</v>
      </c>
      <c r="N1451" s="3" t="s">
        <v>45</v>
      </c>
      <c r="O1451" s="3" t="s">
        <v>74</v>
      </c>
      <c r="P1451" s="3" t="s">
        <v>45</v>
      </c>
      <c r="Q1451" s="3" t="s">
        <v>45</v>
      </c>
      <c r="R1451" s="3" t="s">
        <v>45</v>
      </c>
      <c r="S1451" s="3" t="s">
        <v>45</v>
      </c>
      <c r="T1451" s="3" t="s">
        <v>45</v>
      </c>
      <c r="U1451" s="3" t="s">
        <v>45</v>
      </c>
      <c r="V1451" s="4" t="s">
        <v>12401</v>
      </c>
      <c r="W1451" s="4" t="s">
        <v>129</v>
      </c>
      <c r="X1451" s="3" t="s">
        <v>45</v>
      </c>
      <c r="Y1451" s="3" t="s">
        <v>45</v>
      </c>
      <c r="Z1451" s="3" t="s">
        <v>74</v>
      </c>
      <c r="AA1451" s="3" t="s">
        <v>45</v>
      </c>
      <c r="AB1451" s="3" t="s">
        <v>45</v>
      </c>
      <c r="AC1451" s="3" t="s">
        <v>45</v>
      </c>
      <c r="AD1451" s="3" t="s">
        <v>45</v>
      </c>
      <c r="AE1451" s="3" t="s">
        <v>45</v>
      </c>
      <c r="AF1451" s="3" t="s">
        <v>45</v>
      </c>
      <c r="AG1451" s="3" t="s">
        <v>45</v>
      </c>
      <c r="AH1451" s="3" t="s">
        <v>9906</v>
      </c>
      <c r="AI1451" s="5" t="s">
        <v>12402</v>
      </c>
      <c r="AJ1451" s="5" t="s">
        <v>12403</v>
      </c>
      <c r="AK1451" s="3" t="s">
        <v>45</v>
      </c>
      <c r="AL1451" s="3" t="s">
        <v>45</v>
      </c>
      <c r="AM1451" s="3" t="s">
        <v>45</v>
      </c>
      <c r="AN1451" s="3" t="s">
        <v>45</v>
      </c>
      <c r="AO1451" s="3" t="s">
        <v>45</v>
      </c>
      <c r="AP1451" s="3" t="s">
        <v>45</v>
      </c>
      <c r="AQ1451" s="4" t="s">
        <v>9934</v>
      </c>
      <c r="AR1451" s="4" t="s">
        <v>9908</v>
      </c>
    </row>
    <row r="1452">
      <c r="A1452" s="3" t="s">
        <v>12404</v>
      </c>
      <c r="B1452" s="3" t="s">
        <v>12405</v>
      </c>
      <c r="C1452" s="3" t="s">
        <v>12388</v>
      </c>
      <c r="D1452" s="3" t="s">
        <v>9900</v>
      </c>
      <c r="E1452" s="4" t="s">
        <v>10702</v>
      </c>
      <c r="F1452" s="3" t="s">
        <v>9928</v>
      </c>
      <c r="G1452" s="4" t="s">
        <v>12406</v>
      </c>
      <c r="H1452" s="4" t="s">
        <v>12407</v>
      </c>
      <c r="I1452" s="3" t="s">
        <v>85</v>
      </c>
      <c r="J1452" s="3" t="s">
        <v>126</v>
      </c>
      <c r="K1452" s="3" t="s">
        <v>45</v>
      </c>
      <c r="L1452" s="3" t="s">
        <v>479</v>
      </c>
      <c r="M1452" s="3" t="s">
        <v>45</v>
      </c>
      <c r="N1452" s="3" t="s">
        <v>45</v>
      </c>
      <c r="O1452" s="3" t="s">
        <v>74</v>
      </c>
      <c r="P1452" s="3" t="s">
        <v>45</v>
      </c>
      <c r="Q1452" s="3" t="s">
        <v>45</v>
      </c>
      <c r="R1452" s="3" t="s">
        <v>45</v>
      </c>
      <c r="S1452" s="3" t="s">
        <v>45</v>
      </c>
      <c r="T1452" s="3" t="s">
        <v>45</v>
      </c>
      <c r="U1452" s="3" t="s">
        <v>45</v>
      </c>
      <c r="V1452" s="4" t="s">
        <v>11504</v>
      </c>
      <c r="W1452" s="4" t="s">
        <v>487</v>
      </c>
      <c r="X1452" s="3" t="s">
        <v>45</v>
      </c>
      <c r="Y1452" s="3" t="s">
        <v>45</v>
      </c>
      <c r="Z1452" s="3" t="s">
        <v>74</v>
      </c>
      <c r="AA1452" s="3" t="s">
        <v>45</v>
      </c>
      <c r="AB1452" s="3" t="s">
        <v>45</v>
      </c>
      <c r="AC1452" s="3" t="s">
        <v>45</v>
      </c>
      <c r="AD1452" s="3" t="s">
        <v>45</v>
      </c>
      <c r="AE1452" s="3" t="s">
        <v>45</v>
      </c>
      <c r="AF1452" s="3" t="s">
        <v>45</v>
      </c>
      <c r="AG1452" s="3" t="s">
        <v>10016</v>
      </c>
      <c r="AH1452" s="3" t="s">
        <v>9906</v>
      </c>
      <c r="AI1452" s="5" t="s">
        <v>12408</v>
      </c>
      <c r="AJ1452" s="3" t="s">
        <v>45</v>
      </c>
      <c r="AK1452" s="3" t="s">
        <v>45</v>
      </c>
      <c r="AL1452" s="3" t="s">
        <v>45</v>
      </c>
      <c r="AM1452" s="3" t="s">
        <v>45</v>
      </c>
      <c r="AN1452" s="3" t="s">
        <v>45</v>
      </c>
      <c r="AO1452" s="3" t="s">
        <v>45</v>
      </c>
      <c r="AP1452" s="3" t="s">
        <v>45</v>
      </c>
      <c r="AQ1452" s="4" t="s">
        <v>9934</v>
      </c>
      <c r="AR1452" s="4" t="s">
        <v>9908</v>
      </c>
    </row>
    <row r="1453">
      <c r="A1453" s="3" t="s">
        <v>12409</v>
      </c>
      <c r="B1453" s="3" t="s">
        <v>12410</v>
      </c>
      <c r="C1453" s="3" t="s">
        <v>11019</v>
      </c>
      <c r="D1453" s="3" t="s">
        <v>9900</v>
      </c>
      <c r="E1453" s="4" t="s">
        <v>12411</v>
      </c>
      <c r="F1453" s="3" t="s">
        <v>11019</v>
      </c>
      <c r="G1453" s="4" t="s">
        <v>12412</v>
      </c>
      <c r="H1453" s="4" t="s">
        <v>12413</v>
      </c>
      <c r="I1453" s="3" t="s">
        <v>49</v>
      </c>
      <c r="J1453" s="3" t="s">
        <v>126</v>
      </c>
      <c r="K1453" s="3" t="s">
        <v>45</v>
      </c>
      <c r="L1453" s="3" t="s">
        <v>45</v>
      </c>
      <c r="M1453" s="3" t="s">
        <v>45</v>
      </c>
      <c r="N1453" s="3" t="s">
        <v>45</v>
      </c>
      <c r="O1453" s="3" t="s">
        <v>74</v>
      </c>
      <c r="P1453" s="3" t="s">
        <v>45</v>
      </c>
      <c r="Q1453" s="3" t="s">
        <v>45</v>
      </c>
      <c r="R1453" s="3" t="s">
        <v>45</v>
      </c>
      <c r="S1453" s="3" t="s">
        <v>45</v>
      </c>
      <c r="T1453" s="3" t="s">
        <v>45</v>
      </c>
      <c r="U1453" s="3" t="s">
        <v>45</v>
      </c>
      <c r="V1453" s="4" t="s">
        <v>2140</v>
      </c>
      <c r="W1453" s="4" t="s">
        <v>12414</v>
      </c>
      <c r="X1453" s="3" t="s">
        <v>45</v>
      </c>
      <c r="Y1453" s="3" t="s">
        <v>45</v>
      </c>
      <c r="Z1453" s="3" t="s">
        <v>74</v>
      </c>
      <c r="AA1453" s="3" t="s">
        <v>45</v>
      </c>
      <c r="AB1453" s="3" t="s">
        <v>45</v>
      </c>
      <c r="AC1453" s="3" t="s">
        <v>45</v>
      </c>
      <c r="AD1453" s="3" t="s">
        <v>45</v>
      </c>
      <c r="AE1453" s="3" t="s">
        <v>45</v>
      </c>
      <c r="AF1453" s="3" t="s">
        <v>45</v>
      </c>
      <c r="AG1453" s="3" t="s">
        <v>10511</v>
      </c>
      <c r="AH1453" s="3" t="s">
        <v>9906</v>
      </c>
      <c r="AI1453" s="5" t="s">
        <v>12415</v>
      </c>
      <c r="AJ1453" s="5" t="s">
        <v>12416</v>
      </c>
      <c r="AK1453" s="3" t="s">
        <v>45</v>
      </c>
      <c r="AL1453" s="3" t="s">
        <v>45</v>
      </c>
      <c r="AM1453" s="3" t="s">
        <v>45</v>
      </c>
      <c r="AN1453" s="3" t="s">
        <v>45</v>
      </c>
      <c r="AO1453" s="3" t="s">
        <v>45</v>
      </c>
      <c r="AP1453" s="3" t="s">
        <v>45</v>
      </c>
      <c r="AQ1453" s="4" t="s">
        <v>7223</v>
      </c>
      <c r="AR1453" s="4" t="s">
        <v>9908</v>
      </c>
    </row>
    <row r="1454">
      <c r="A1454" s="3" t="s">
        <v>12417</v>
      </c>
      <c r="B1454" s="3" t="s">
        <v>12418</v>
      </c>
      <c r="C1454" s="3" t="s">
        <v>12419</v>
      </c>
      <c r="D1454" s="3" t="s">
        <v>9900</v>
      </c>
      <c r="E1454" s="4" t="s">
        <v>12411</v>
      </c>
      <c r="F1454" s="3" t="s">
        <v>11019</v>
      </c>
      <c r="G1454" s="4" t="s">
        <v>12420</v>
      </c>
      <c r="H1454" s="4" t="s">
        <v>12421</v>
      </c>
      <c r="I1454" s="3" t="s">
        <v>49</v>
      </c>
      <c r="J1454" s="3" t="s">
        <v>126</v>
      </c>
      <c r="K1454" s="3" t="s">
        <v>45</v>
      </c>
      <c r="L1454" s="3" t="s">
        <v>45</v>
      </c>
      <c r="M1454" s="3" t="s">
        <v>45</v>
      </c>
      <c r="N1454" s="4" t="s">
        <v>4277</v>
      </c>
      <c r="O1454" s="3" t="s">
        <v>88</v>
      </c>
      <c r="P1454" s="3" t="s">
        <v>45</v>
      </c>
      <c r="Q1454" s="3" t="s">
        <v>45</v>
      </c>
      <c r="R1454" s="3" t="s">
        <v>45</v>
      </c>
      <c r="S1454" s="4" t="s">
        <v>922</v>
      </c>
      <c r="T1454" s="3" t="s">
        <v>45</v>
      </c>
      <c r="U1454" s="3" t="s">
        <v>45</v>
      </c>
      <c r="V1454" s="4" t="s">
        <v>3137</v>
      </c>
      <c r="W1454" s="4" t="s">
        <v>2045</v>
      </c>
      <c r="X1454" s="3" t="s">
        <v>45</v>
      </c>
      <c r="Y1454" s="4" t="s">
        <v>957</v>
      </c>
      <c r="Z1454" s="3" t="s">
        <v>74</v>
      </c>
      <c r="AA1454" s="3" t="s">
        <v>45</v>
      </c>
      <c r="AB1454" s="3" t="s">
        <v>45</v>
      </c>
      <c r="AC1454" s="3" t="s">
        <v>45</v>
      </c>
      <c r="AD1454" s="3" t="s">
        <v>45</v>
      </c>
      <c r="AE1454" s="3" t="s">
        <v>45</v>
      </c>
      <c r="AF1454" s="3" t="s">
        <v>45</v>
      </c>
      <c r="AG1454" s="3" t="s">
        <v>45</v>
      </c>
      <c r="AH1454" s="3" t="s">
        <v>57</v>
      </c>
      <c r="AI1454" s="5" t="s">
        <v>12422</v>
      </c>
      <c r="AJ1454" s="5" t="s">
        <v>11122</v>
      </c>
      <c r="AK1454" s="3" t="s">
        <v>45</v>
      </c>
      <c r="AL1454" s="3" t="s">
        <v>45</v>
      </c>
      <c r="AM1454" s="3" t="s">
        <v>45</v>
      </c>
      <c r="AN1454" s="3" t="s">
        <v>45</v>
      </c>
      <c r="AO1454" s="3" t="s">
        <v>45</v>
      </c>
      <c r="AP1454" s="3" t="s">
        <v>45</v>
      </c>
      <c r="AQ1454" s="4" t="s">
        <v>12307</v>
      </c>
      <c r="AR1454" s="4" t="s">
        <v>12307</v>
      </c>
    </row>
    <row r="1455">
      <c r="A1455" s="3" t="s">
        <v>12423</v>
      </c>
      <c r="B1455" s="3" t="s">
        <v>12424</v>
      </c>
      <c r="C1455" s="3" t="s">
        <v>5484</v>
      </c>
      <c r="D1455" s="3" t="s">
        <v>9900</v>
      </c>
      <c r="E1455" s="4" t="s">
        <v>12425</v>
      </c>
      <c r="F1455" s="3" t="s">
        <v>2850</v>
      </c>
      <c r="G1455" s="4" t="s">
        <v>12426</v>
      </c>
      <c r="H1455" s="4" t="s">
        <v>12427</v>
      </c>
      <c r="I1455" s="3" t="s">
        <v>49</v>
      </c>
      <c r="J1455" s="3" t="s">
        <v>126</v>
      </c>
      <c r="K1455" s="3" t="s">
        <v>45</v>
      </c>
      <c r="L1455" s="3" t="s">
        <v>479</v>
      </c>
      <c r="M1455" s="3" t="s">
        <v>45</v>
      </c>
      <c r="N1455" s="3" t="s">
        <v>45</v>
      </c>
      <c r="O1455" s="3" t="s">
        <v>74</v>
      </c>
      <c r="P1455" s="3" t="s">
        <v>45</v>
      </c>
      <c r="Q1455" s="3" t="s">
        <v>45</v>
      </c>
      <c r="R1455" s="3" t="s">
        <v>45</v>
      </c>
      <c r="S1455" s="3" t="s">
        <v>45</v>
      </c>
      <c r="T1455" s="3" t="s">
        <v>45</v>
      </c>
      <c r="U1455" s="3" t="s">
        <v>45</v>
      </c>
      <c r="V1455" s="4" t="s">
        <v>2272</v>
      </c>
      <c r="W1455" s="4" t="s">
        <v>1951</v>
      </c>
      <c r="X1455" s="3" t="s">
        <v>45</v>
      </c>
      <c r="Y1455" s="3" t="s">
        <v>45</v>
      </c>
      <c r="Z1455" s="3" t="s">
        <v>74</v>
      </c>
      <c r="AA1455" s="3" t="s">
        <v>45</v>
      </c>
      <c r="AB1455" s="3" t="s">
        <v>45</v>
      </c>
      <c r="AC1455" s="3" t="s">
        <v>45</v>
      </c>
      <c r="AD1455" s="3" t="s">
        <v>45</v>
      </c>
      <c r="AE1455" s="3" t="s">
        <v>45</v>
      </c>
      <c r="AF1455" s="3" t="s">
        <v>45</v>
      </c>
      <c r="AG1455" s="3" t="s">
        <v>45</v>
      </c>
      <c r="AH1455" s="3" t="s">
        <v>9906</v>
      </c>
      <c r="AI1455" s="5" t="s">
        <v>10655</v>
      </c>
      <c r="AJ1455" s="5" t="s">
        <v>12428</v>
      </c>
      <c r="AK1455" s="3" t="s">
        <v>45</v>
      </c>
      <c r="AL1455" s="3" t="s">
        <v>45</v>
      </c>
      <c r="AM1455" s="3" t="s">
        <v>45</v>
      </c>
      <c r="AN1455" s="3" t="s">
        <v>45</v>
      </c>
      <c r="AO1455" s="3" t="s">
        <v>45</v>
      </c>
      <c r="AP1455" s="3" t="s">
        <v>45</v>
      </c>
      <c r="AQ1455" s="4" t="s">
        <v>9934</v>
      </c>
      <c r="AR1455" s="4" t="s">
        <v>9908</v>
      </c>
    </row>
    <row r="1456">
      <c r="A1456" s="3" t="s">
        <v>12429</v>
      </c>
      <c r="B1456" s="3" t="s">
        <v>12430</v>
      </c>
      <c r="C1456" s="3" t="s">
        <v>5484</v>
      </c>
      <c r="D1456" s="3" t="s">
        <v>9900</v>
      </c>
      <c r="E1456" s="4" t="s">
        <v>12431</v>
      </c>
      <c r="F1456" s="3" t="s">
        <v>2850</v>
      </c>
      <c r="G1456" s="4" t="s">
        <v>12432</v>
      </c>
      <c r="H1456" s="4" t="s">
        <v>12433</v>
      </c>
      <c r="I1456" s="3" t="s">
        <v>85</v>
      </c>
      <c r="J1456" s="3" t="s">
        <v>126</v>
      </c>
      <c r="K1456" s="3" t="s">
        <v>45</v>
      </c>
      <c r="L1456" s="3" t="s">
        <v>12429</v>
      </c>
      <c r="M1456" s="3" t="s">
        <v>45</v>
      </c>
      <c r="N1456" s="3" t="s">
        <v>45</v>
      </c>
      <c r="O1456" s="3" t="s">
        <v>74</v>
      </c>
      <c r="P1456" s="3" t="s">
        <v>45</v>
      </c>
      <c r="Q1456" s="3" t="s">
        <v>45</v>
      </c>
      <c r="R1456" s="3" t="s">
        <v>45</v>
      </c>
      <c r="S1456" s="3" t="s">
        <v>45</v>
      </c>
      <c r="T1456" s="3" t="s">
        <v>45</v>
      </c>
      <c r="U1456" s="3" t="s">
        <v>45</v>
      </c>
      <c r="V1456" s="4" t="s">
        <v>12434</v>
      </c>
      <c r="W1456" s="4" t="s">
        <v>104</v>
      </c>
      <c r="X1456" s="3" t="s">
        <v>45</v>
      </c>
      <c r="Y1456" s="3" t="s">
        <v>45</v>
      </c>
      <c r="Z1456" s="3" t="s">
        <v>74</v>
      </c>
      <c r="AA1456" s="3" t="s">
        <v>45</v>
      </c>
      <c r="AB1456" s="3" t="s">
        <v>45</v>
      </c>
      <c r="AC1456" s="3" t="s">
        <v>45</v>
      </c>
      <c r="AD1456" s="3" t="s">
        <v>45</v>
      </c>
      <c r="AE1456" s="3" t="s">
        <v>45</v>
      </c>
      <c r="AF1456" s="3" t="s">
        <v>45</v>
      </c>
      <c r="AG1456" s="3" t="s">
        <v>45</v>
      </c>
      <c r="AH1456" s="3" t="s">
        <v>9906</v>
      </c>
      <c r="AI1456" s="5" t="s">
        <v>12435</v>
      </c>
      <c r="AJ1456" s="3" t="s">
        <v>45</v>
      </c>
      <c r="AK1456" s="3" t="s">
        <v>45</v>
      </c>
      <c r="AL1456" s="3" t="s">
        <v>45</v>
      </c>
      <c r="AM1456" s="3" t="s">
        <v>45</v>
      </c>
      <c r="AN1456" s="3" t="s">
        <v>45</v>
      </c>
      <c r="AO1456" s="3" t="s">
        <v>45</v>
      </c>
      <c r="AP1456" s="3" t="s">
        <v>45</v>
      </c>
      <c r="AQ1456" s="4" t="s">
        <v>9934</v>
      </c>
      <c r="AR1456" s="4" t="s">
        <v>9908</v>
      </c>
    </row>
    <row r="1457">
      <c r="A1457" s="3" t="s">
        <v>12436</v>
      </c>
      <c r="B1457" s="3" t="s">
        <v>12437</v>
      </c>
      <c r="C1457" s="3" t="s">
        <v>12438</v>
      </c>
      <c r="D1457" s="3" t="s">
        <v>9900</v>
      </c>
      <c r="E1457" s="4" t="s">
        <v>12439</v>
      </c>
      <c r="F1457" s="3" t="s">
        <v>12438</v>
      </c>
      <c r="G1457" s="4" t="s">
        <v>12440</v>
      </c>
      <c r="H1457" s="4" t="s">
        <v>12441</v>
      </c>
      <c r="I1457" s="3" t="s">
        <v>49</v>
      </c>
      <c r="J1457" s="3" t="s">
        <v>50</v>
      </c>
      <c r="K1457" s="3" t="s">
        <v>45</v>
      </c>
      <c r="L1457" s="3" t="s">
        <v>45</v>
      </c>
      <c r="M1457" s="3" t="s">
        <v>45</v>
      </c>
      <c r="N1457" s="3" t="s">
        <v>45</v>
      </c>
      <c r="O1457" s="3" t="s">
        <v>74</v>
      </c>
      <c r="P1457" s="3" t="s">
        <v>45</v>
      </c>
      <c r="Q1457" s="3" t="s">
        <v>45</v>
      </c>
      <c r="R1457" s="3" t="s">
        <v>45</v>
      </c>
      <c r="S1457" s="3" t="s">
        <v>45</v>
      </c>
      <c r="T1457" s="3" t="s">
        <v>45</v>
      </c>
      <c r="U1457" s="3" t="s">
        <v>45</v>
      </c>
      <c r="V1457" s="4" t="s">
        <v>12442</v>
      </c>
      <c r="W1457" s="4" t="s">
        <v>157</v>
      </c>
      <c r="X1457" s="3" t="s">
        <v>45</v>
      </c>
      <c r="Y1457" s="3" t="s">
        <v>45</v>
      </c>
      <c r="Z1457" s="3" t="s">
        <v>74</v>
      </c>
      <c r="AA1457" s="3" t="s">
        <v>45</v>
      </c>
      <c r="AB1457" s="3" t="s">
        <v>45</v>
      </c>
      <c r="AC1457" s="3" t="s">
        <v>45</v>
      </c>
      <c r="AD1457" s="3" t="s">
        <v>45</v>
      </c>
      <c r="AE1457" s="3" t="s">
        <v>45</v>
      </c>
      <c r="AF1457" s="3" t="s">
        <v>45</v>
      </c>
      <c r="AG1457" s="3" t="s">
        <v>10511</v>
      </c>
      <c r="AH1457" s="3" t="s">
        <v>9906</v>
      </c>
      <c r="AI1457" s="5" t="s">
        <v>12443</v>
      </c>
      <c r="AJ1457" s="5" t="s">
        <v>12444</v>
      </c>
      <c r="AK1457" s="3" t="s">
        <v>45</v>
      </c>
      <c r="AL1457" s="3" t="s">
        <v>45</v>
      </c>
      <c r="AM1457" s="3" t="s">
        <v>45</v>
      </c>
      <c r="AN1457" s="3" t="s">
        <v>45</v>
      </c>
      <c r="AO1457" s="3" t="s">
        <v>45</v>
      </c>
      <c r="AP1457" s="3" t="s">
        <v>45</v>
      </c>
      <c r="AQ1457" s="4" t="s">
        <v>11040</v>
      </c>
      <c r="AR1457" s="4" t="s">
        <v>9908</v>
      </c>
    </row>
    <row r="1458">
      <c r="A1458" s="3" t="s">
        <v>12445</v>
      </c>
      <c r="B1458" s="3" t="s">
        <v>12446</v>
      </c>
      <c r="C1458" s="3" t="s">
        <v>12438</v>
      </c>
      <c r="D1458" s="3" t="s">
        <v>9900</v>
      </c>
      <c r="E1458" s="4" t="s">
        <v>12439</v>
      </c>
      <c r="F1458" s="3" t="s">
        <v>12438</v>
      </c>
      <c r="G1458" s="4" t="s">
        <v>12447</v>
      </c>
      <c r="H1458" s="4" t="s">
        <v>12448</v>
      </c>
      <c r="I1458" s="3" t="s">
        <v>49</v>
      </c>
      <c r="J1458" s="3" t="s">
        <v>50</v>
      </c>
      <c r="K1458" s="3" t="s">
        <v>45</v>
      </c>
      <c r="L1458" s="3" t="s">
        <v>45</v>
      </c>
      <c r="M1458" s="3" t="s">
        <v>45</v>
      </c>
      <c r="N1458" s="3" t="s">
        <v>45</v>
      </c>
      <c r="O1458" s="3" t="s">
        <v>74</v>
      </c>
      <c r="P1458" s="3" t="s">
        <v>45</v>
      </c>
      <c r="Q1458" s="3" t="s">
        <v>45</v>
      </c>
      <c r="R1458" s="3" t="s">
        <v>45</v>
      </c>
      <c r="S1458" s="3" t="s">
        <v>45</v>
      </c>
      <c r="T1458" s="3" t="s">
        <v>45</v>
      </c>
      <c r="U1458" s="3" t="s">
        <v>45</v>
      </c>
      <c r="V1458" s="4" t="s">
        <v>2342</v>
      </c>
      <c r="W1458" s="4" t="s">
        <v>5974</v>
      </c>
      <c r="X1458" s="3" t="s">
        <v>45</v>
      </c>
      <c r="Y1458" s="3" t="s">
        <v>45</v>
      </c>
      <c r="Z1458" s="3" t="s">
        <v>74</v>
      </c>
      <c r="AA1458" s="3" t="s">
        <v>45</v>
      </c>
      <c r="AB1458" s="3" t="s">
        <v>45</v>
      </c>
      <c r="AC1458" s="3" t="s">
        <v>45</v>
      </c>
      <c r="AD1458" s="3" t="s">
        <v>45</v>
      </c>
      <c r="AE1458" s="3" t="s">
        <v>45</v>
      </c>
      <c r="AF1458" s="3" t="s">
        <v>45</v>
      </c>
      <c r="AG1458" s="3" t="s">
        <v>10511</v>
      </c>
      <c r="AH1458" s="3" t="s">
        <v>9906</v>
      </c>
      <c r="AI1458" s="5" t="s">
        <v>11053</v>
      </c>
      <c r="AJ1458" s="5" t="s">
        <v>12449</v>
      </c>
      <c r="AK1458" s="3" t="s">
        <v>45</v>
      </c>
      <c r="AL1458" s="3" t="s">
        <v>45</v>
      </c>
      <c r="AM1458" s="3" t="s">
        <v>45</v>
      </c>
      <c r="AN1458" s="3" t="s">
        <v>45</v>
      </c>
      <c r="AO1458" s="3" t="s">
        <v>45</v>
      </c>
      <c r="AP1458" s="3" t="s">
        <v>45</v>
      </c>
      <c r="AQ1458" s="4" t="s">
        <v>11040</v>
      </c>
      <c r="AR1458" s="4" t="s">
        <v>9908</v>
      </c>
    </row>
    <row r="1459">
      <c r="A1459" s="3" t="s">
        <v>12450</v>
      </c>
      <c r="B1459" s="3" t="s">
        <v>12451</v>
      </c>
      <c r="C1459" s="3" t="s">
        <v>12438</v>
      </c>
      <c r="D1459" s="3" t="s">
        <v>9900</v>
      </c>
      <c r="E1459" s="4" t="s">
        <v>12439</v>
      </c>
      <c r="F1459" s="3" t="s">
        <v>12438</v>
      </c>
      <c r="G1459" s="4" t="s">
        <v>12452</v>
      </c>
      <c r="H1459" s="4" t="s">
        <v>12453</v>
      </c>
      <c r="I1459" s="3" t="s">
        <v>49</v>
      </c>
      <c r="J1459" s="3" t="s">
        <v>50</v>
      </c>
      <c r="K1459" s="3" t="s">
        <v>45</v>
      </c>
      <c r="L1459" s="3" t="s">
        <v>45</v>
      </c>
      <c r="M1459" s="3" t="s">
        <v>45</v>
      </c>
      <c r="N1459" s="3" t="s">
        <v>45</v>
      </c>
      <c r="O1459" s="3" t="s">
        <v>74</v>
      </c>
      <c r="P1459" s="3" t="s">
        <v>45</v>
      </c>
      <c r="Q1459" s="3" t="s">
        <v>45</v>
      </c>
      <c r="R1459" s="3" t="s">
        <v>45</v>
      </c>
      <c r="S1459" s="3" t="s">
        <v>45</v>
      </c>
      <c r="T1459" s="3" t="s">
        <v>45</v>
      </c>
      <c r="U1459" s="3" t="s">
        <v>45</v>
      </c>
      <c r="V1459" s="4" t="s">
        <v>11075</v>
      </c>
      <c r="W1459" s="4" t="s">
        <v>11076</v>
      </c>
      <c r="X1459" s="3" t="s">
        <v>45</v>
      </c>
      <c r="Y1459" s="3" t="s">
        <v>45</v>
      </c>
      <c r="Z1459" s="3" t="s">
        <v>74</v>
      </c>
      <c r="AA1459" s="3" t="s">
        <v>45</v>
      </c>
      <c r="AB1459" s="3" t="s">
        <v>45</v>
      </c>
      <c r="AC1459" s="3" t="s">
        <v>45</v>
      </c>
      <c r="AD1459" s="3" t="s">
        <v>45</v>
      </c>
      <c r="AE1459" s="3" t="s">
        <v>45</v>
      </c>
      <c r="AF1459" s="3" t="s">
        <v>45</v>
      </c>
      <c r="AG1459" s="3" t="s">
        <v>12454</v>
      </c>
      <c r="AH1459" s="3" t="s">
        <v>9906</v>
      </c>
      <c r="AI1459" s="5" t="s">
        <v>12455</v>
      </c>
      <c r="AJ1459" s="5" t="s">
        <v>12456</v>
      </c>
      <c r="AK1459" s="3" t="s">
        <v>45</v>
      </c>
      <c r="AL1459" s="3" t="s">
        <v>45</v>
      </c>
      <c r="AM1459" s="3" t="s">
        <v>45</v>
      </c>
      <c r="AN1459" s="3" t="s">
        <v>45</v>
      </c>
      <c r="AO1459" s="3" t="s">
        <v>45</v>
      </c>
      <c r="AP1459" s="3" t="s">
        <v>45</v>
      </c>
      <c r="AQ1459" s="4" t="s">
        <v>2096</v>
      </c>
      <c r="AR1459" s="4" t="s">
        <v>9908</v>
      </c>
    </row>
    <row r="1460">
      <c r="A1460" s="3" t="s">
        <v>12457</v>
      </c>
      <c r="B1460" s="3" t="s">
        <v>12458</v>
      </c>
      <c r="C1460" s="3" t="s">
        <v>12438</v>
      </c>
      <c r="D1460" s="3" t="s">
        <v>9900</v>
      </c>
      <c r="E1460" s="4" t="s">
        <v>12439</v>
      </c>
      <c r="F1460" s="3" t="s">
        <v>12438</v>
      </c>
      <c r="G1460" s="4" t="s">
        <v>12459</v>
      </c>
      <c r="H1460" s="4" t="s">
        <v>12460</v>
      </c>
      <c r="I1460" s="3" t="s">
        <v>49</v>
      </c>
      <c r="J1460" s="3" t="s">
        <v>50</v>
      </c>
      <c r="K1460" s="3" t="s">
        <v>45</v>
      </c>
      <c r="L1460" s="3" t="s">
        <v>45</v>
      </c>
      <c r="M1460" s="3" t="s">
        <v>45</v>
      </c>
      <c r="N1460" s="3" t="s">
        <v>45</v>
      </c>
      <c r="O1460" s="3" t="s">
        <v>74</v>
      </c>
      <c r="P1460" s="3" t="s">
        <v>45</v>
      </c>
      <c r="Q1460" s="3" t="s">
        <v>45</v>
      </c>
      <c r="R1460" s="3" t="s">
        <v>45</v>
      </c>
      <c r="S1460" s="3" t="s">
        <v>45</v>
      </c>
      <c r="T1460" s="3" t="s">
        <v>45</v>
      </c>
      <c r="U1460" s="3" t="s">
        <v>45</v>
      </c>
      <c r="V1460" s="4" t="s">
        <v>12461</v>
      </c>
      <c r="W1460" s="4" t="s">
        <v>709</v>
      </c>
      <c r="X1460" s="3" t="s">
        <v>45</v>
      </c>
      <c r="Y1460" s="3" t="s">
        <v>45</v>
      </c>
      <c r="Z1460" s="3" t="s">
        <v>74</v>
      </c>
      <c r="AA1460" s="3" t="s">
        <v>45</v>
      </c>
      <c r="AB1460" s="3" t="s">
        <v>45</v>
      </c>
      <c r="AC1460" s="3" t="s">
        <v>45</v>
      </c>
      <c r="AD1460" s="3" t="s">
        <v>45</v>
      </c>
      <c r="AE1460" s="3" t="s">
        <v>45</v>
      </c>
      <c r="AF1460" s="3" t="s">
        <v>45</v>
      </c>
      <c r="AG1460" s="3" t="s">
        <v>45</v>
      </c>
      <c r="AH1460" s="3" t="s">
        <v>9906</v>
      </c>
      <c r="AI1460" s="5" t="s">
        <v>12462</v>
      </c>
      <c r="AJ1460" s="3" t="s">
        <v>45</v>
      </c>
      <c r="AK1460" s="3" t="s">
        <v>45</v>
      </c>
      <c r="AL1460" s="3" t="s">
        <v>45</v>
      </c>
      <c r="AM1460" s="3" t="s">
        <v>45</v>
      </c>
      <c r="AN1460" s="3" t="s">
        <v>45</v>
      </c>
      <c r="AO1460" s="3" t="s">
        <v>45</v>
      </c>
      <c r="AP1460" s="3" t="s">
        <v>45</v>
      </c>
      <c r="AQ1460" s="4" t="s">
        <v>9934</v>
      </c>
      <c r="AR1460" s="4" t="s">
        <v>9908</v>
      </c>
    </row>
    <row r="1461">
      <c r="A1461" s="3" t="s">
        <v>12463</v>
      </c>
      <c r="B1461" s="3" t="s">
        <v>12464</v>
      </c>
      <c r="C1461" s="3" t="s">
        <v>12438</v>
      </c>
      <c r="D1461" s="3" t="s">
        <v>9900</v>
      </c>
      <c r="E1461" s="4" t="s">
        <v>12439</v>
      </c>
      <c r="F1461" s="3" t="s">
        <v>12438</v>
      </c>
      <c r="G1461" s="4" t="s">
        <v>12465</v>
      </c>
      <c r="H1461" s="4" t="s">
        <v>12466</v>
      </c>
      <c r="I1461" s="3" t="s">
        <v>49</v>
      </c>
      <c r="J1461" s="3" t="s">
        <v>126</v>
      </c>
      <c r="K1461" s="3" t="s">
        <v>45</v>
      </c>
      <c r="L1461" s="3" t="s">
        <v>45</v>
      </c>
      <c r="M1461" s="3" t="s">
        <v>45</v>
      </c>
      <c r="N1461" s="4" t="s">
        <v>11377</v>
      </c>
      <c r="O1461" s="3" t="s">
        <v>70</v>
      </c>
      <c r="P1461" s="3" t="s">
        <v>45</v>
      </c>
      <c r="Q1461" s="3" t="s">
        <v>45</v>
      </c>
      <c r="R1461" s="3" t="s">
        <v>45</v>
      </c>
      <c r="S1461" s="4" t="s">
        <v>6561</v>
      </c>
      <c r="T1461" s="3" t="s">
        <v>45</v>
      </c>
      <c r="U1461" s="3" t="s">
        <v>45</v>
      </c>
      <c r="V1461" s="3" t="s">
        <v>45</v>
      </c>
      <c r="W1461" s="4" t="s">
        <v>102</v>
      </c>
      <c r="X1461" s="3" t="s">
        <v>45</v>
      </c>
      <c r="Y1461" s="3" t="s">
        <v>45</v>
      </c>
      <c r="Z1461" s="3" t="s">
        <v>74</v>
      </c>
      <c r="AA1461" s="3" t="s">
        <v>45</v>
      </c>
      <c r="AB1461" s="3" t="s">
        <v>45</v>
      </c>
      <c r="AC1461" s="3" t="s">
        <v>45</v>
      </c>
      <c r="AD1461" s="3" t="s">
        <v>45</v>
      </c>
      <c r="AE1461" s="3" t="s">
        <v>45</v>
      </c>
      <c r="AF1461" s="3" t="s">
        <v>45</v>
      </c>
      <c r="AG1461" s="3" t="s">
        <v>12467</v>
      </c>
      <c r="AH1461" s="3" t="s">
        <v>57</v>
      </c>
      <c r="AI1461" s="5" t="s">
        <v>12468</v>
      </c>
      <c r="AJ1461" s="3" t="s">
        <v>45</v>
      </c>
      <c r="AK1461" s="3" t="s">
        <v>45</v>
      </c>
      <c r="AL1461" s="3" t="s">
        <v>45</v>
      </c>
      <c r="AM1461" s="3" t="s">
        <v>45</v>
      </c>
      <c r="AN1461" s="3" t="s">
        <v>45</v>
      </c>
      <c r="AO1461" s="3" t="s">
        <v>45</v>
      </c>
      <c r="AP1461" s="3" t="s">
        <v>45</v>
      </c>
      <c r="AQ1461" s="4" t="s">
        <v>10685</v>
      </c>
      <c r="AR1461" s="4" t="s">
        <v>10685</v>
      </c>
    </row>
    <row r="1462">
      <c r="A1462" s="3" t="s">
        <v>12469</v>
      </c>
      <c r="B1462" s="3" t="s">
        <v>12470</v>
      </c>
      <c r="C1462" s="3" t="s">
        <v>12438</v>
      </c>
      <c r="D1462" s="3" t="s">
        <v>9900</v>
      </c>
      <c r="E1462" s="4" t="s">
        <v>12439</v>
      </c>
      <c r="F1462" s="3" t="s">
        <v>12438</v>
      </c>
      <c r="G1462" s="4" t="s">
        <v>12471</v>
      </c>
      <c r="H1462" s="4" t="s">
        <v>12472</v>
      </c>
      <c r="I1462" s="3" t="s">
        <v>49</v>
      </c>
      <c r="J1462" s="3" t="s">
        <v>50</v>
      </c>
      <c r="K1462" s="3" t="s">
        <v>45</v>
      </c>
      <c r="L1462" s="3" t="s">
        <v>45</v>
      </c>
      <c r="M1462" s="3" t="s">
        <v>45</v>
      </c>
      <c r="N1462" s="4" t="s">
        <v>3136</v>
      </c>
      <c r="O1462" s="3" t="s">
        <v>70</v>
      </c>
      <c r="P1462" s="3" t="s">
        <v>45</v>
      </c>
      <c r="Q1462" s="3" t="s">
        <v>45</v>
      </c>
      <c r="R1462" s="3" t="s">
        <v>45</v>
      </c>
      <c r="S1462" s="3" t="s">
        <v>45</v>
      </c>
      <c r="T1462" s="3" t="s">
        <v>45</v>
      </c>
      <c r="U1462" s="3" t="s">
        <v>45</v>
      </c>
      <c r="V1462" s="4" t="s">
        <v>9669</v>
      </c>
      <c r="W1462" s="4" t="s">
        <v>12473</v>
      </c>
      <c r="X1462" s="3" t="s">
        <v>45</v>
      </c>
      <c r="Y1462" s="3" t="s">
        <v>45</v>
      </c>
      <c r="Z1462" s="3" t="s">
        <v>74</v>
      </c>
      <c r="AA1462" s="3" t="s">
        <v>45</v>
      </c>
      <c r="AB1462" s="3" t="s">
        <v>45</v>
      </c>
      <c r="AC1462" s="3" t="s">
        <v>45</v>
      </c>
      <c r="AD1462" s="3" t="s">
        <v>45</v>
      </c>
      <c r="AE1462" s="3" t="s">
        <v>45</v>
      </c>
      <c r="AF1462" s="3" t="s">
        <v>45</v>
      </c>
      <c r="AG1462" s="3" t="s">
        <v>10511</v>
      </c>
      <c r="AH1462" s="3" t="s">
        <v>9906</v>
      </c>
      <c r="AI1462" s="5" t="s">
        <v>12462</v>
      </c>
      <c r="AJ1462" s="3" t="s">
        <v>45</v>
      </c>
      <c r="AK1462" s="3" t="s">
        <v>45</v>
      </c>
      <c r="AL1462" s="3" t="s">
        <v>45</v>
      </c>
      <c r="AM1462" s="3" t="s">
        <v>45</v>
      </c>
      <c r="AN1462" s="3" t="s">
        <v>45</v>
      </c>
      <c r="AO1462" s="3" t="s">
        <v>45</v>
      </c>
      <c r="AP1462" s="3" t="s">
        <v>45</v>
      </c>
      <c r="AQ1462" s="4" t="s">
        <v>9934</v>
      </c>
      <c r="AR1462" s="4" t="s">
        <v>9908</v>
      </c>
    </row>
    <row r="1463">
      <c r="A1463" s="3" t="s">
        <v>12474</v>
      </c>
      <c r="B1463" s="3" t="s">
        <v>12475</v>
      </c>
      <c r="C1463" s="3" t="s">
        <v>1088</v>
      </c>
      <c r="D1463" s="3" t="s">
        <v>9900</v>
      </c>
      <c r="E1463" s="4" t="s">
        <v>10097</v>
      </c>
      <c r="F1463" s="3" t="s">
        <v>9928</v>
      </c>
      <c r="G1463" s="4" t="s">
        <v>12476</v>
      </c>
      <c r="H1463" s="4" t="s">
        <v>12477</v>
      </c>
      <c r="I1463" s="3" t="s">
        <v>49</v>
      </c>
      <c r="J1463" s="3" t="s">
        <v>126</v>
      </c>
      <c r="K1463" s="3" t="s">
        <v>45</v>
      </c>
      <c r="L1463" s="3" t="s">
        <v>882</v>
      </c>
      <c r="M1463" s="3" t="s">
        <v>45</v>
      </c>
      <c r="N1463" s="3" t="s">
        <v>45</v>
      </c>
      <c r="O1463" s="3" t="s">
        <v>74</v>
      </c>
      <c r="P1463" s="3" t="s">
        <v>45</v>
      </c>
      <c r="Q1463" s="3" t="s">
        <v>45</v>
      </c>
      <c r="R1463" s="3" t="s">
        <v>45</v>
      </c>
      <c r="S1463" s="3" t="s">
        <v>45</v>
      </c>
      <c r="T1463" s="3" t="s">
        <v>45</v>
      </c>
      <c r="U1463" s="3" t="s">
        <v>45</v>
      </c>
      <c r="V1463" s="4" t="s">
        <v>492</v>
      </c>
      <c r="W1463" s="4" t="s">
        <v>922</v>
      </c>
      <c r="X1463" s="3" t="s">
        <v>45</v>
      </c>
      <c r="Y1463" s="3" t="s">
        <v>45</v>
      </c>
      <c r="Z1463" s="3" t="s">
        <v>74</v>
      </c>
      <c r="AA1463" s="3" t="s">
        <v>45</v>
      </c>
      <c r="AB1463" s="3" t="s">
        <v>45</v>
      </c>
      <c r="AC1463" s="3" t="s">
        <v>45</v>
      </c>
      <c r="AD1463" s="3" t="s">
        <v>45</v>
      </c>
      <c r="AE1463" s="3" t="s">
        <v>45</v>
      </c>
      <c r="AF1463" s="3" t="s">
        <v>45</v>
      </c>
      <c r="AG1463" s="3" t="s">
        <v>12478</v>
      </c>
      <c r="AH1463" s="3" t="s">
        <v>9906</v>
      </c>
      <c r="AI1463" s="5" t="s">
        <v>12479</v>
      </c>
      <c r="AJ1463" s="5" t="s">
        <v>12480</v>
      </c>
      <c r="AK1463" s="3" t="s">
        <v>45</v>
      </c>
      <c r="AL1463" s="3" t="s">
        <v>45</v>
      </c>
      <c r="AM1463" s="3" t="s">
        <v>45</v>
      </c>
      <c r="AN1463" s="3" t="s">
        <v>45</v>
      </c>
      <c r="AO1463" s="3" t="s">
        <v>45</v>
      </c>
      <c r="AP1463" s="3" t="s">
        <v>45</v>
      </c>
      <c r="AQ1463" s="4" t="s">
        <v>9934</v>
      </c>
      <c r="AR1463" s="4" t="s">
        <v>9908</v>
      </c>
    </row>
    <row r="1464">
      <c r="A1464" s="3" t="s">
        <v>12481</v>
      </c>
      <c r="B1464" s="3" t="s">
        <v>12481</v>
      </c>
      <c r="C1464" s="3" t="s">
        <v>1088</v>
      </c>
      <c r="D1464" s="3" t="s">
        <v>9900</v>
      </c>
      <c r="E1464" s="4" t="s">
        <v>10097</v>
      </c>
      <c r="F1464" s="3" t="s">
        <v>9928</v>
      </c>
      <c r="G1464" s="4" t="s">
        <v>12482</v>
      </c>
      <c r="H1464" s="4" t="s">
        <v>12483</v>
      </c>
      <c r="I1464" s="3" t="s">
        <v>85</v>
      </c>
      <c r="J1464" s="3" t="s">
        <v>126</v>
      </c>
      <c r="K1464" s="3" t="s">
        <v>45</v>
      </c>
      <c r="L1464" s="3" t="s">
        <v>12484</v>
      </c>
      <c r="M1464" s="3" t="s">
        <v>45</v>
      </c>
      <c r="N1464" s="3" t="s">
        <v>45</v>
      </c>
      <c r="O1464" s="3" t="s">
        <v>74</v>
      </c>
      <c r="P1464" s="3" t="s">
        <v>45</v>
      </c>
      <c r="Q1464" s="3" t="s">
        <v>45</v>
      </c>
      <c r="R1464" s="3" t="s">
        <v>45</v>
      </c>
      <c r="S1464" s="3" t="s">
        <v>45</v>
      </c>
      <c r="T1464" s="3" t="s">
        <v>45</v>
      </c>
      <c r="U1464" s="3" t="s">
        <v>45</v>
      </c>
      <c r="V1464" s="4" t="s">
        <v>12485</v>
      </c>
      <c r="W1464" s="4" t="s">
        <v>835</v>
      </c>
      <c r="X1464" s="3" t="s">
        <v>45</v>
      </c>
      <c r="Y1464" s="3" t="s">
        <v>45</v>
      </c>
      <c r="Z1464" s="3" t="s">
        <v>74</v>
      </c>
      <c r="AA1464" s="3" t="s">
        <v>45</v>
      </c>
      <c r="AB1464" s="3" t="s">
        <v>45</v>
      </c>
      <c r="AC1464" s="3" t="s">
        <v>45</v>
      </c>
      <c r="AD1464" s="3" t="s">
        <v>45</v>
      </c>
      <c r="AE1464" s="3" t="s">
        <v>45</v>
      </c>
      <c r="AF1464" s="3" t="s">
        <v>45</v>
      </c>
      <c r="AG1464" s="3" t="s">
        <v>10016</v>
      </c>
      <c r="AH1464" s="3" t="s">
        <v>9906</v>
      </c>
      <c r="AI1464" s="5" t="s">
        <v>12486</v>
      </c>
      <c r="AJ1464" s="5" t="s">
        <v>12486</v>
      </c>
      <c r="AK1464" s="3" t="s">
        <v>45</v>
      </c>
      <c r="AL1464" s="3" t="s">
        <v>45</v>
      </c>
      <c r="AM1464" s="3" t="s">
        <v>45</v>
      </c>
      <c r="AN1464" s="3" t="s">
        <v>45</v>
      </c>
      <c r="AO1464" s="3" t="s">
        <v>45</v>
      </c>
      <c r="AP1464" s="3" t="s">
        <v>45</v>
      </c>
      <c r="AQ1464" s="4" t="s">
        <v>9934</v>
      </c>
      <c r="AR1464" s="4" t="s">
        <v>9908</v>
      </c>
    </row>
    <row r="1465">
      <c r="A1465" s="3" t="s">
        <v>12487</v>
      </c>
      <c r="B1465" s="3" t="s">
        <v>12487</v>
      </c>
      <c r="C1465" s="3" t="s">
        <v>1088</v>
      </c>
      <c r="D1465" s="3" t="s">
        <v>9900</v>
      </c>
      <c r="E1465" s="4" t="s">
        <v>10097</v>
      </c>
      <c r="F1465" s="3" t="s">
        <v>9928</v>
      </c>
      <c r="G1465" s="4" t="s">
        <v>12488</v>
      </c>
      <c r="H1465" s="4" t="s">
        <v>12489</v>
      </c>
      <c r="I1465" s="3" t="s">
        <v>49</v>
      </c>
      <c r="J1465" s="3" t="s">
        <v>126</v>
      </c>
      <c r="K1465" s="3" t="s">
        <v>45</v>
      </c>
      <c r="L1465" s="3" t="s">
        <v>12490</v>
      </c>
      <c r="M1465" s="3" t="s">
        <v>45</v>
      </c>
      <c r="N1465" s="3" t="s">
        <v>45</v>
      </c>
      <c r="O1465" s="3" t="s">
        <v>74</v>
      </c>
      <c r="P1465" s="3" t="s">
        <v>45</v>
      </c>
      <c r="Q1465" s="3" t="s">
        <v>45</v>
      </c>
      <c r="R1465" s="3" t="s">
        <v>45</v>
      </c>
      <c r="S1465" s="3" t="s">
        <v>45</v>
      </c>
      <c r="T1465" s="3" t="s">
        <v>45</v>
      </c>
      <c r="U1465" s="3" t="s">
        <v>45</v>
      </c>
      <c r="V1465" s="4" t="s">
        <v>9255</v>
      </c>
      <c r="W1465" s="4" t="s">
        <v>1610</v>
      </c>
      <c r="X1465" s="3" t="s">
        <v>45</v>
      </c>
      <c r="Y1465" s="3" t="s">
        <v>45</v>
      </c>
      <c r="Z1465" s="3" t="s">
        <v>74</v>
      </c>
      <c r="AA1465" s="3" t="s">
        <v>45</v>
      </c>
      <c r="AB1465" s="3" t="s">
        <v>45</v>
      </c>
      <c r="AC1465" s="3" t="s">
        <v>45</v>
      </c>
      <c r="AD1465" s="3" t="s">
        <v>45</v>
      </c>
      <c r="AE1465" s="3" t="s">
        <v>45</v>
      </c>
      <c r="AF1465" s="3" t="s">
        <v>45</v>
      </c>
      <c r="AG1465" s="3" t="s">
        <v>45</v>
      </c>
      <c r="AH1465" s="3" t="s">
        <v>9906</v>
      </c>
      <c r="AI1465" s="5" t="s">
        <v>12491</v>
      </c>
      <c r="AJ1465" s="5" t="s">
        <v>12492</v>
      </c>
      <c r="AK1465" s="3" t="s">
        <v>45</v>
      </c>
      <c r="AL1465" s="3" t="s">
        <v>45</v>
      </c>
      <c r="AM1465" s="3" t="s">
        <v>45</v>
      </c>
      <c r="AN1465" s="3" t="s">
        <v>45</v>
      </c>
      <c r="AO1465" s="3" t="s">
        <v>45</v>
      </c>
      <c r="AP1465" s="3" t="s">
        <v>45</v>
      </c>
      <c r="AQ1465" s="4" t="s">
        <v>9934</v>
      </c>
      <c r="AR1465" s="4" t="s">
        <v>9908</v>
      </c>
    </row>
    <row r="1466">
      <c r="A1466" s="3" t="s">
        <v>12493</v>
      </c>
      <c r="B1466" s="3" t="s">
        <v>12493</v>
      </c>
      <c r="C1466" s="3" t="s">
        <v>1088</v>
      </c>
      <c r="D1466" s="3" t="s">
        <v>9900</v>
      </c>
      <c r="E1466" s="4" t="s">
        <v>10097</v>
      </c>
      <c r="F1466" s="3" t="s">
        <v>9928</v>
      </c>
      <c r="G1466" s="4" t="s">
        <v>12494</v>
      </c>
      <c r="H1466" s="4" t="s">
        <v>12495</v>
      </c>
      <c r="I1466" s="3" t="s">
        <v>85</v>
      </c>
      <c r="J1466" s="3" t="s">
        <v>126</v>
      </c>
      <c r="K1466" s="3" t="s">
        <v>45</v>
      </c>
      <c r="L1466" s="3" t="s">
        <v>479</v>
      </c>
      <c r="M1466" s="3" t="s">
        <v>45</v>
      </c>
      <c r="N1466" s="3" t="s">
        <v>45</v>
      </c>
      <c r="O1466" s="3" t="s">
        <v>74</v>
      </c>
      <c r="P1466" s="3" t="s">
        <v>45</v>
      </c>
      <c r="Q1466" s="3" t="s">
        <v>45</v>
      </c>
      <c r="R1466" s="3" t="s">
        <v>45</v>
      </c>
      <c r="S1466" s="3" t="s">
        <v>45</v>
      </c>
      <c r="T1466" s="3" t="s">
        <v>45</v>
      </c>
      <c r="U1466" s="3" t="s">
        <v>45</v>
      </c>
      <c r="V1466" s="4" t="s">
        <v>12496</v>
      </c>
      <c r="W1466" s="4" t="s">
        <v>5740</v>
      </c>
      <c r="X1466" s="3" t="s">
        <v>45</v>
      </c>
      <c r="Y1466" s="3" t="s">
        <v>45</v>
      </c>
      <c r="Z1466" s="3" t="s">
        <v>74</v>
      </c>
      <c r="AA1466" s="3" t="s">
        <v>45</v>
      </c>
      <c r="AB1466" s="3" t="s">
        <v>45</v>
      </c>
      <c r="AC1466" s="3" t="s">
        <v>45</v>
      </c>
      <c r="AD1466" s="3" t="s">
        <v>45</v>
      </c>
      <c r="AE1466" s="3" t="s">
        <v>45</v>
      </c>
      <c r="AF1466" s="3" t="s">
        <v>45</v>
      </c>
      <c r="AG1466" s="3" t="s">
        <v>10016</v>
      </c>
      <c r="AH1466" s="3" t="s">
        <v>9906</v>
      </c>
      <c r="AI1466" s="5" t="s">
        <v>12497</v>
      </c>
      <c r="AJ1466" s="3" t="s">
        <v>45</v>
      </c>
      <c r="AK1466" s="3" t="s">
        <v>45</v>
      </c>
      <c r="AL1466" s="3" t="s">
        <v>45</v>
      </c>
      <c r="AM1466" s="3" t="s">
        <v>45</v>
      </c>
      <c r="AN1466" s="3" t="s">
        <v>45</v>
      </c>
      <c r="AO1466" s="3" t="s">
        <v>45</v>
      </c>
      <c r="AP1466" s="3" t="s">
        <v>45</v>
      </c>
      <c r="AQ1466" s="4" t="s">
        <v>9934</v>
      </c>
      <c r="AR1466" s="4" t="s">
        <v>9908</v>
      </c>
    </row>
    <row r="1467">
      <c r="A1467" s="3" t="s">
        <v>12498</v>
      </c>
      <c r="B1467" s="3" t="s">
        <v>12499</v>
      </c>
      <c r="C1467" s="3" t="s">
        <v>1088</v>
      </c>
      <c r="D1467" s="3" t="s">
        <v>9900</v>
      </c>
      <c r="E1467" s="4" t="s">
        <v>10097</v>
      </c>
      <c r="F1467" s="3" t="s">
        <v>9928</v>
      </c>
      <c r="G1467" s="4" t="s">
        <v>12500</v>
      </c>
      <c r="H1467" s="4" t="s">
        <v>12501</v>
      </c>
      <c r="I1467" s="3" t="s">
        <v>85</v>
      </c>
      <c r="J1467" s="3" t="s">
        <v>126</v>
      </c>
      <c r="K1467" s="3" t="s">
        <v>45</v>
      </c>
      <c r="L1467" s="3" t="s">
        <v>479</v>
      </c>
      <c r="M1467" s="3" t="s">
        <v>45</v>
      </c>
      <c r="N1467" s="3" t="s">
        <v>45</v>
      </c>
      <c r="O1467" s="3" t="s">
        <v>74</v>
      </c>
      <c r="P1467" s="3" t="s">
        <v>45</v>
      </c>
      <c r="Q1467" s="3" t="s">
        <v>45</v>
      </c>
      <c r="R1467" s="3" t="s">
        <v>45</v>
      </c>
      <c r="S1467" s="3" t="s">
        <v>45</v>
      </c>
      <c r="T1467" s="3" t="s">
        <v>45</v>
      </c>
      <c r="U1467" s="3" t="s">
        <v>45</v>
      </c>
      <c r="V1467" s="4" t="s">
        <v>12502</v>
      </c>
      <c r="W1467" s="4" t="s">
        <v>956</v>
      </c>
      <c r="X1467" s="3" t="s">
        <v>45</v>
      </c>
      <c r="Y1467" s="3" t="s">
        <v>45</v>
      </c>
      <c r="Z1467" s="3" t="s">
        <v>74</v>
      </c>
      <c r="AA1467" s="3" t="s">
        <v>45</v>
      </c>
      <c r="AB1467" s="3" t="s">
        <v>45</v>
      </c>
      <c r="AC1467" s="3" t="s">
        <v>45</v>
      </c>
      <c r="AD1467" s="3" t="s">
        <v>45</v>
      </c>
      <c r="AE1467" s="3" t="s">
        <v>45</v>
      </c>
      <c r="AF1467" s="3" t="s">
        <v>45</v>
      </c>
      <c r="AG1467" s="3" t="s">
        <v>10016</v>
      </c>
      <c r="AH1467" s="3" t="s">
        <v>9906</v>
      </c>
      <c r="AI1467" s="5" t="s">
        <v>12503</v>
      </c>
      <c r="AJ1467" s="3" t="s">
        <v>45</v>
      </c>
      <c r="AK1467" s="3" t="s">
        <v>45</v>
      </c>
      <c r="AL1467" s="3" t="s">
        <v>45</v>
      </c>
      <c r="AM1467" s="3" t="s">
        <v>45</v>
      </c>
      <c r="AN1467" s="3" t="s">
        <v>45</v>
      </c>
      <c r="AO1467" s="3" t="s">
        <v>45</v>
      </c>
      <c r="AP1467" s="3" t="s">
        <v>45</v>
      </c>
      <c r="AQ1467" s="4" t="s">
        <v>9934</v>
      </c>
      <c r="AR1467" s="4" t="s">
        <v>9908</v>
      </c>
    </row>
    <row r="1468">
      <c r="A1468" s="3" t="s">
        <v>12504</v>
      </c>
      <c r="B1468" s="3" t="s">
        <v>12505</v>
      </c>
      <c r="C1468" s="3" t="s">
        <v>1088</v>
      </c>
      <c r="D1468" s="3" t="s">
        <v>9900</v>
      </c>
      <c r="E1468" s="4" t="s">
        <v>10097</v>
      </c>
      <c r="F1468" s="3" t="s">
        <v>9928</v>
      </c>
      <c r="G1468" s="4" t="s">
        <v>12506</v>
      </c>
      <c r="H1468" s="4" t="s">
        <v>12507</v>
      </c>
      <c r="I1468" s="3" t="s">
        <v>85</v>
      </c>
      <c r="J1468" s="3" t="s">
        <v>126</v>
      </c>
      <c r="K1468" s="3" t="s">
        <v>45</v>
      </c>
      <c r="L1468" s="3" t="s">
        <v>479</v>
      </c>
      <c r="M1468" s="3" t="s">
        <v>45</v>
      </c>
      <c r="N1468" s="3" t="s">
        <v>45</v>
      </c>
      <c r="O1468" s="3" t="s">
        <v>74</v>
      </c>
      <c r="P1468" s="3" t="s">
        <v>45</v>
      </c>
      <c r="Q1468" s="3" t="s">
        <v>45</v>
      </c>
      <c r="R1468" s="3" t="s">
        <v>45</v>
      </c>
      <c r="S1468" s="3" t="s">
        <v>45</v>
      </c>
      <c r="T1468" s="3" t="s">
        <v>45</v>
      </c>
      <c r="U1468" s="3" t="s">
        <v>45</v>
      </c>
      <c r="V1468" s="4" t="s">
        <v>12502</v>
      </c>
      <c r="W1468" s="4" t="s">
        <v>259</v>
      </c>
      <c r="X1468" s="3" t="s">
        <v>45</v>
      </c>
      <c r="Y1468" s="3" t="s">
        <v>45</v>
      </c>
      <c r="Z1468" s="3" t="s">
        <v>74</v>
      </c>
      <c r="AA1468" s="3" t="s">
        <v>45</v>
      </c>
      <c r="AB1468" s="3" t="s">
        <v>45</v>
      </c>
      <c r="AC1468" s="3" t="s">
        <v>45</v>
      </c>
      <c r="AD1468" s="3" t="s">
        <v>45</v>
      </c>
      <c r="AE1468" s="3" t="s">
        <v>45</v>
      </c>
      <c r="AF1468" s="3" t="s">
        <v>45</v>
      </c>
      <c r="AG1468" s="3" t="s">
        <v>10016</v>
      </c>
      <c r="AH1468" s="3" t="s">
        <v>9906</v>
      </c>
      <c r="AI1468" s="5" t="s">
        <v>12508</v>
      </c>
      <c r="AJ1468" s="3" t="s">
        <v>45</v>
      </c>
      <c r="AK1468" s="3" t="s">
        <v>45</v>
      </c>
      <c r="AL1468" s="3" t="s">
        <v>45</v>
      </c>
      <c r="AM1468" s="3" t="s">
        <v>45</v>
      </c>
      <c r="AN1468" s="3" t="s">
        <v>45</v>
      </c>
      <c r="AO1468" s="3" t="s">
        <v>45</v>
      </c>
      <c r="AP1468" s="3" t="s">
        <v>45</v>
      </c>
      <c r="AQ1468" s="4" t="s">
        <v>9934</v>
      </c>
      <c r="AR1468" s="4" t="s">
        <v>9908</v>
      </c>
    </row>
    <row r="1469">
      <c r="A1469" s="3" t="s">
        <v>12509</v>
      </c>
      <c r="B1469" s="3" t="s">
        <v>12510</v>
      </c>
      <c r="C1469" s="3" t="s">
        <v>1088</v>
      </c>
      <c r="D1469" s="3" t="s">
        <v>9900</v>
      </c>
      <c r="E1469" s="4" t="s">
        <v>10097</v>
      </c>
      <c r="F1469" s="3" t="s">
        <v>9928</v>
      </c>
      <c r="G1469" s="4" t="s">
        <v>12511</v>
      </c>
      <c r="H1469" s="4" t="s">
        <v>12512</v>
      </c>
      <c r="I1469" s="3" t="s">
        <v>49</v>
      </c>
      <c r="J1469" s="3" t="s">
        <v>126</v>
      </c>
      <c r="K1469" s="3" t="s">
        <v>45</v>
      </c>
      <c r="L1469" s="3" t="s">
        <v>882</v>
      </c>
      <c r="M1469" s="3" t="s">
        <v>45</v>
      </c>
      <c r="N1469" s="3" t="s">
        <v>45</v>
      </c>
      <c r="O1469" s="3" t="s">
        <v>74</v>
      </c>
      <c r="P1469" s="3" t="s">
        <v>45</v>
      </c>
      <c r="Q1469" s="3" t="s">
        <v>45</v>
      </c>
      <c r="R1469" s="3" t="s">
        <v>45</v>
      </c>
      <c r="S1469" s="3" t="s">
        <v>45</v>
      </c>
      <c r="T1469" s="3" t="s">
        <v>45</v>
      </c>
      <c r="U1469" s="3" t="s">
        <v>45</v>
      </c>
      <c r="V1469" s="3" t="s">
        <v>45</v>
      </c>
      <c r="W1469" s="4" t="s">
        <v>1610</v>
      </c>
      <c r="X1469" s="3" t="s">
        <v>45</v>
      </c>
      <c r="Y1469" s="3" t="s">
        <v>45</v>
      </c>
      <c r="Z1469" s="3" t="s">
        <v>74</v>
      </c>
      <c r="AA1469" s="3" t="s">
        <v>45</v>
      </c>
      <c r="AB1469" s="3" t="s">
        <v>45</v>
      </c>
      <c r="AC1469" s="3" t="s">
        <v>45</v>
      </c>
      <c r="AD1469" s="3" t="s">
        <v>45</v>
      </c>
      <c r="AE1469" s="3" t="s">
        <v>45</v>
      </c>
      <c r="AF1469" s="3" t="s">
        <v>45</v>
      </c>
      <c r="AG1469" s="3" t="s">
        <v>12513</v>
      </c>
      <c r="AH1469" s="3" t="s">
        <v>9906</v>
      </c>
      <c r="AI1469" s="5" t="s">
        <v>12479</v>
      </c>
      <c r="AJ1469" s="5" t="s">
        <v>12514</v>
      </c>
      <c r="AK1469" s="3" t="s">
        <v>45</v>
      </c>
      <c r="AL1469" s="3" t="s">
        <v>45</v>
      </c>
      <c r="AM1469" s="3" t="s">
        <v>45</v>
      </c>
      <c r="AN1469" s="3" t="s">
        <v>45</v>
      </c>
      <c r="AO1469" s="3" t="s">
        <v>45</v>
      </c>
      <c r="AP1469" s="3" t="s">
        <v>45</v>
      </c>
      <c r="AQ1469" s="4" t="s">
        <v>9934</v>
      </c>
      <c r="AR1469" s="4" t="s">
        <v>9908</v>
      </c>
    </row>
    <row r="1470">
      <c r="A1470" s="3" t="s">
        <v>12515</v>
      </c>
      <c r="B1470" s="3" t="s">
        <v>12516</v>
      </c>
      <c r="C1470" s="3" t="s">
        <v>1088</v>
      </c>
      <c r="D1470" s="3" t="s">
        <v>9900</v>
      </c>
      <c r="E1470" s="4" t="s">
        <v>10097</v>
      </c>
      <c r="F1470" s="3" t="s">
        <v>9928</v>
      </c>
      <c r="G1470" s="4" t="s">
        <v>12517</v>
      </c>
      <c r="H1470" s="4" t="s">
        <v>12518</v>
      </c>
      <c r="I1470" s="3" t="s">
        <v>85</v>
      </c>
      <c r="J1470" s="3" t="s">
        <v>126</v>
      </c>
      <c r="K1470" s="3" t="s">
        <v>45</v>
      </c>
      <c r="L1470" s="3" t="s">
        <v>479</v>
      </c>
      <c r="M1470" s="3" t="s">
        <v>45</v>
      </c>
      <c r="N1470" s="3" t="s">
        <v>45</v>
      </c>
      <c r="O1470" s="3" t="s">
        <v>74</v>
      </c>
      <c r="P1470" s="3" t="s">
        <v>45</v>
      </c>
      <c r="Q1470" s="3" t="s">
        <v>45</v>
      </c>
      <c r="R1470" s="3" t="s">
        <v>45</v>
      </c>
      <c r="S1470" s="3" t="s">
        <v>45</v>
      </c>
      <c r="T1470" s="3" t="s">
        <v>45</v>
      </c>
      <c r="U1470" s="3" t="s">
        <v>45</v>
      </c>
      <c r="V1470" s="4" t="s">
        <v>12519</v>
      </c>
      <c r="W1470" s="4" t="s">
        <v>2754</v>
      </c>
      <c r="X1470" s="3" t="s">
        <v>45</v>
      </c>
      <c r="Y1470" s="3" t="s">
        <v>45</v>
      </c>
      <c r="Z1470" s="3" t="s">
        <v>74</v>
      </c>
      <c r="AA1470" s="3" t="s">
        <v>45</v>
      </c>
      <c r="AB1470" s="3" t="s">
        <v>45</v>
      </c>
      <c r="AC1470" s="3" t="s">
        <v>45</v>
      </c>
      <c r="AD1470" s="3" t="s">
        <v>45</v>
      </c>
      <c r="AE1470" s="3" t="s">
        <v>45</v>
      </c>
      <c r="AF1470" s="3" t="s">
        <v>45</v>
      </c>
      <c r="AG1470" s="3" t="s">
        <v>10016</v>
      </c>
      <c r="AH1470" s="3" t="s">
        <v>9906</v>
      </c>
      <c r="AI1470" s="5" t="s">
        <v>12520</v>
      </c>
      <c r="AJ1470" s="3" t="s">
        <v>45</v>
      </c>
      <c r="AK1470" s="3" t="s">
        <v>45</v>
      </c>
      <c r="AL1470" s="3" t="s">
        <v>45</v>
      </c>
      <c r="AM1470" s="3" t="s">
        <v>45</v>
      </c>
      <c r="AN1470" s="3" t="s">
        <v>45</v>
      </c>
      <c r="AO1470" s="3" t="s">
        <v>45</v>
      </c>
      <c r="AP1470" s="3" t="s">
        <v>45</v>
      </c>
      <c r="AQ1470" s="4" t="s">
        <v>9934</v>
      </c>
      <c r="AR1470" s="4" t="s">
        <v>9908</v>
      </c>
    </row>
    <row r="1471">
      <c r="A1471" s="3" t="s">
        <v>12521</v>
      </c>
      <c r="B1471" s="3" t="s">
        <v>12521</v>
      </c>
      <c r="C1471" s="3" t="s">
        <v>1088</v>
      </c>
      <c r="D1471" s="3" t="s">
        <v>9900</v>
      </c>
      <c r="E1471" s="4" t="s">
        <v>10097</v>
      </c>
      <c r="F1471" s="3" t="s">
        <v>9928</v>
      </c>
      <c r="G1471" s="4" t="s">
        <v>12522</v>
      </c>
      <c r="H1471" s="4" t="s">
        <v>12523</v>
      </c>
      <c r="I1471" s="3" t="s">
        <v>85</v>
      </c>
      <c r="J1471" s="3" t="s">
        <v>126</v>
      </c>
      <c r="K1471" s="3" t="s">
        <v>45</v>
      </c>
      <c r="L1471" s="3" t="s">
        <v>12524</v>
      </c>
      <c r="M1471" s="3" t="s">
        <v>45</v>
      </c>
      <c r="N1471" s="3" t="s">
        <v>45</v>
      </c>
      <c r="O1471" s="3" t="s">
        <v>74</v>
      </c>
      <c r="P1471" s="3" t="s">
        <v>45</v>
      </c>
      <c r="Q1471" s="3" t="s">
        <v>45</v>
      </c>
      <c r="R1471" s="3" t="s">
        <v>45</v>
      </c>
      <c r="S1471" s="3" t="s">
        <v>45</v>
      </c>
      <c r="T1471" s="3" t="s">
        <v>45</v>
      </c>
      <c r="U1471" s="3" t="s">
        <v>45</v>
      </c>
      <c r="V1471" s="4" t="s">
        <v>12525</v>
      </c>
      <c r="W1471" s="4" t="s">
        <v>1610</v>
      </c>
      <c r="X1471" s="3" t="s">
        <v>45</v>
      </c>
      <c r="Y1471" s="3" t="s">
        <v>45</v>
      </c>
      <c r="Z1471" s="3" t="s">
        <v>74</v>
      </c>
      <c r="AA1471" s="3" t="s">
        <v>45</v>
      </c>
      <c r="AB1471" s="3" t="s">
        <v>45</v>
      </c>
      <c r="AC1471" s="3" t="s">
        <v>45</v>
      </c>
      <c r="AD1471" s="3" t="s">
        <v>45</v>
      </c>
      <c r="AE1471" s="3" t="s">
        <v>45</v>
      </c>
      <c r="AF1471" s="3" t="s">
        <v>45</v>
      </c>
      <c r="AG1471" s="3" t="s">
        <v>10016</v>
      </c>
      <c r="AH1471" s="3" t="s">
        <v>9906</v>
      </c>
      <c r="AI1471" s="5" t="s">
        <v>12526</v>
      </c>
      <c r="AJ1471" s="3" t="s">
        <v>45</v>
      </c>
      <c r="AK1471" s="3" t="s">
        <v>45</v>
      </c>
      <c r="AL1471" s="3" t="s">
        <v>45</v>
      </c>
      <c r="AM1471" s="3" t="s">
        <v>45</v>
      </c>
      <c r="AN1471" s="3" t="s">
        <v>45</v>
      </c>
      <c r="AO1471" s="3" t="s">
        <v>45</v>
      </c>
      <c r="AP1471" s="3" t="s">
        <v>45</v>
      </c>
      <c r="AQ1471" s="4" t="s">
        <v>9934</v>
      </c>
      <c r="AR1471" s="4" t="s">
        <v>9908</v>
      </c>
    </row>
    <row r="1472">
      <c r="A1472" s="3" t="s">
        <v>12527</v>
      </c>
      <c r="B1472" s="3" t="s">
        <v>12527</v>
      </c>
      <c r="C1472" s="3" t="s">
        <v>1088</v>
      </c>
      <c r="D1472" s="3" t="s">
        <v>9900</v>
      </c>
      <c r="E1472" s="4" t="s">
        <v>10097</v>
      </c>
      <c r="F1472" s="3" t="s">
        <v>9928</v>
      </c>
      <c r="G1472" s="4" t="s">
        <v>12528</v>
      </c>
      <c r="H1472" s="4" t="s">
        <v>12529</v>
      </c>
      <c r="I1472" s="3" t="s">
        <v>85</v>
      </c>
      <c r="J1472" s="3" t="s">
        <v>126</v>
      </c>
      <c r="K1472" s="3" t="s">
        <v>45</v>
      </c>
      <c r="L1472" s="3" t="s">
        <v>12530</v>
      </c>
      <c r="M1472" s="3" t="s">
        <v>45</v>
      </c>
      <c r="N1472" s="3" t="s">
        <v>45</v>
      </c>
      <c r="O1472" s="3" t="s">
        <v>74</v>
      </c>
      <c r="P1472" s="3" t="s">
        <v>45</v>
      </c>
      <c r="Q1472" s="3" t="s">
        <v>45</v>
      </c>
      <c r="R1472" s="3" t="s">
        <v>45</v>
      </c>
      <c r="S1472" s="3" t="s">
        <v>45</v>
      </c>
      <c r="T1472" s="3" t="s">
        <v>45</v>
      </c>
      <c r="U1472" s="3" t="s">
        <v>45</v>
      </c>
      <c r="V1472" s="4" t="s">
        <v>12531</v>
      </c>
      <c r="W1472" s="4" t="s">
        <v>275</v>
      </c>
      <c r="X1472" s="3" t="s">
        <v>45</v>
      </c>
      <c r="Y1472" s="3" t="s">
        <v>45</v>
      </c>
      <c r="Z1472" s="3" t="s">
        <v>74</v>
      </c>
      <c r="AA1472" s="3" t="s">
        <v>45</v>
      </c>
      <c r="AB1472" s="3" t="s">
        <v>45</v>
      </c>
      <c r="AC1472" s="3" t="s">
        <v>45</v>
      </c>
      <c r="AD1472" s="3" t="s">
        <v>45</v>
      </c>
      <c r="AE1472" s="3" t="s">
        <v>45</v>
      </c>
      <c r="AF1472" s="3" t="s">
        <v>45</v>
      </c>
      <c r="AG1472" s="3" t="s">
        <v>10016</v>
      </c>
      <c r="AH1472" s="3" t="s">
        <v>9906</v>
      </c>
      <c r="AI1472" s="5" t="s">
        <v>12532</v>
      </c>
      <c r="AJ1472" s="5" t="s">
        <v>12533</v>
      </c>
      <c r="AK1472" s="3" t="s">
        <v>45</v>
      </c>
      <c r="AL1472" s="3" t="s">
        <v>45</v>
      </c>
      <c r="AM1472" s="3" t="s">
        <v>45</v>
      </c>
      <c r="AN1472" s="3" t="s">
        <v>45</v>
      </c>
      <c r="AO1472" s="3" t="s">
        <v>45</v>
      </c>
      <c r="AP1472" s="3" t="s">
        <v>45</v>
      </c>
      <c r="AQ1472" s="4" t="s">
        <v>9934</v>
      </c>
      <c r="AR1472" s="4" t="s">
        <v>9908</v>
      </c>
    </row>
    <row r="1473">
      <c r="A1473" s="3" t="s">
        <v>12534</v>
      </c>
      <c r="B1473" s="3" t="s">
        <v>12535</v>
      </c>
      <c r="C1473" s="3" t="s">
        <v>1088</v>
      </c>
      <c r="D1473" s="3" t="s">
        <v>9900</v>
      </c>
      <c r="E1473" s="4" t="s">
        <v>10097</v>
      </c>
      <c r="F1473" s="3" t="s">
        <v>9928</v>
      </c>
      <c r="G1473" s="4" t="s">
        <v>12536</v>
      </c>
      <c r="H1473" s="4" t="s">
        <v>12537</v>
      </c>
      <c r="I1473" s="3" t="s">
        <v>85</v>
      </c>
      <c r="J1473" s="3" t="s">
        <v>126</v>
      </c>
      <c r="K1473" s="3" t="s">
        <v>45</v>
      </c>
      <c r="L1473" s="3" t="s">
        <v>12538</v>
      </c>
      <c r="M1473" s="3" t="s">
        <v>45</v>
      </c>
      <c r="N1473" s="4" t="s">
        <v>945</v>
      </c>
      <c r="O1473" s="3" t="s">
        <v>722</v>
      </c>
      <c r="P1473" s="3" t="s">
        <v>45</v>
      </c>
      <c r="Q1473" s="3" t="s">
        <v>45</v>
      </c>
      <c r="R1473" s="3" t="s">
        <v>45</v>
      </c>
      <c r="S1473" s="3" t="s">
        <v>45</v>
      </c>
      <c r="T1473" s="3" t="s">
        <v>45</v>
      </c>
      <c r="U1473" s="3" t="s">
        <v>45</v>
      </c>
      <c r="V1473" s="4" t="s">
        <v>931</v>
      </c>
      <c r="W1473" s="4" t="s">
        <v>52</v>
      </c>
      <c r="X1473" s="3" t="s">
        <v>45</v>
      </c>
      <c r="Y1473" s="3" t="s">
        <v>45</v>
      </c>
      <c r="Z1473" s="3" t="s">
        <v>74</v>
      </c>
      <c r="AA1473" s="3" t="s">
        <v>45</v>
      </c>
      <c r="AB1473" s="3" t="s">
        <v>45</v>
      </c>
      <c r="AC1473" s="3" t="s">
        <v>45</v>
      </c>
      <c r="AD1473" s="3" t="s">
        <v>45</v>
      </c>
      <c r="AE1473" s="3" t="s">
        <v>45</v>
      </c>
      <c r="AF1473" s="3" t="s">
        <v>45</v>
      </c>
      <c r="AG1473" s="3" t="s">
        <v>12539</v>
      </c>
      <c r="AH1473" s="3" t="s">
        <v>57</v>
      </c>
      <c r="AI1473" s="5" t="s">
        <v>12540</v>
      </c>
      <c r="AJ1473" s="5" t="s">
        <v>12541</v>
      </c>
      <c r="AK1473" s="5" t="s">
        <v>12542</v>
      </c>
      <c r="AL1473" s="3" t="s">
        <v>45</v>
      </c>
      <c r="AM1473" s="3" t="s">
        <v>45</v>
      </c>
      <c r="AN1473" s="3" t="s">
        <v>45</v>
      </c>
      <c r="AO1473" s="3" t="s">
        <v>45</v>
      </c>
      <c r="AP1473" s="3" t="s">
        <v>45</v>
      </c>
      <c r="AQ1473" s="4" t="s">
        <v>661</v>
      </c>
      <c r="AR1473" s="4" t="s">
        <v>661</v>
      </c>
    </row>
    <row r="1474">
      <c r="A1474" s="3" t="s">
        <v>12543</v>
      </c>
      <c r="B1474" s="3" t="s">
        <v>12544</v>
      </c>
      <c r="C1474" s="3" t="s">
        <v>1088</v>
      </c>
      <c r="D1474" s="3" t="s">
        <v>9900</v>
      </c>
      <c r="E1474" s="4" t="s">
        <v>10097</v>
      </c>
      <c r="F1474" s="3" t="s">
        <v>9928</v>
      </c>
      <c r="G1474" s="4" t="s">
        <v>12545</v>
      </c>
      <c r="H1474" s="4" t="s">
        <v>12546</v>
      </c>
      <c r="I1474" s="3" t="s">
        <v>85</v>
      </c>
      <c r="J1474" s="3" t="s">
        <v>126</v>
      </c>
      <c r="K1474" s="3" t="s">
        <v>45</v>
      </c>
      <c r="L1474" s="3" t="s">
        <v>45</v>
      </c>
      <c r="M1474" s="3" t="s">
        <v>45</v>
      </c>
      <c r="N1474" s="3" t="s">
        <v>45</v>
      </c>
      <c r="O1474" s="3" t="s">
        <v>74</v>
      </c>
      <c r="P1474" s="3" t="s">
        <v>45</v>
      </c>
      <c r="Q1474" s="3" t="s">
        <v>45</v>
      </c>
      <c r="R1474" s="3" t="s">
        <v>45</v>
      </c>
      <c r="S1474" s="3" t="s">
        <v>45</v>
      </c>
      <c r="T1474" s="3" t="s">
        <v>45</v>
      </c>
      <c r="U1474" s="3" t="s">
        <v>45</v>
      </c>
      <c r="V1474" s="4" t="s">
        <v>12547</v>
      </c>
      <c r="W1474" s="4" t="s">
        <v>2754</v>
      </c>
      <c r="X1474" s="3" t="s">
        <v>45</v>
      </c>
      <c r="Y1474" s="3" t="s">
        <v>45</v>
      </c>
      <c r="Z1474" s="3" t="s">
        <v>74</v>
      </c>
      <c r="AA1474" s="3" t="s">
        <v>45</v>
      </c>
      <c r="AB1474" s="3" t="s">
        <v>45</v>
      </c>
      <c r="AC1474" s="3" t="s">
        <v>45</v>
      </c>
      <c r="AD1474" s="3" t="s">
        <v>45</v>
      </c>
      <c r="AE1474" s="3" t="s">
        <v>45</v>
      </c>
      <c r="AF1474" s="3" t="s">
        <v>45</v>
      </c>
      <c r="AG1474" s="3" t="s">
        <v>10016</v>
      </c>
      <c r="AH1474" s="3" t="s">
        <v>57</v>
      </c>
      <c r="AI1474" s="5" t="s">
        <v>12540</v>
      </c>
      <c r="AJ1474" s="5" t="s">
        <v>12548</v>
      </c>
      <c r="AK1474" s="3" t="s">
        <v>45</v>
      </c>
      <c r="AL1474" s="3" t="s">
        <v>45</v>
      </c>
      <c r="AM1474" s="3" t="s">
        <v>45</v>
      </c>
      <c r="AN1474" s="3" t="s">
        <v>45</v>
      </c>
      <c r="AO1474" s="3" t="s">
        <v>45</v>
      </c>
      <c r="AP1474" s="3" t="s">
        <v>45</v>
      </c>
      <c r="AQ1474" s="4" t="s">
        <v>661</v>
      </c>
      <c r="AR1474" s="4" t="s">
        <v>661</v>
      </c>
    </row>
    <row r="1475">
      <c r="A1475" s="3" t="s">
        <v>12549</v>
      </c>
      <c r="B1475" s="3" t="s">
        <v>12550</v>
      </c>
      <c r="C1475" s="3" t="s">
        <v>1088</v>
      </c>
      <c r="D1475" s="3" t="s">
        <v>9900</v>
      </c>
      <c r="E1475" s="4" t="s">
        <v>10097</v>
      </c>
      <c r="F1475" s="3" t="s">
        <v>9928</v>
      </c>
      <c r="G1475" s="4" t="s">
        <v>12551</v>
      </c>
      <c r="H1475" s="4" t="s">
        <v>12552</v>
      </c>
      <c r="I1475" s="3" t="s">
        <v>85</v>
      </c>
      <c r="J1475" s="3" t="s">
        <v>126</v>
      </c>
      <c r="K1475" s="3" t="s">
        <v>45</v>
      </c>
      <c r="L1475" s="3" t="s">
        <v>3213</v>
      </c>
      <c r="M1475" s="3" t="s">
        <v>45</v>
      </c>
      <c r="N1475" s="4" t="s">
        <v>879</v>
      </c>
      <c r="O1475" s="3" t="s">
        <v>390</v>
      </c>
      <c r="P1475" s="3" t="s">
        <v>45</v>
      </c>
      <c r="Q1475" s="3" t="s">
        <v>45</v>
      </c>
      <c r="R1475" s="3" t="s">
        <v>45</v>
      </c>
      <c r="S1475" s="3" t="s">
        <v>45</v>
      </c>
      <c r="T1475" s="3" t="s">
        <v>45</v>
      </c>
      <c r="U1475" s="3" t="s">
        <v>45</v>
      </c>
      <c r="V1475" s="4" t="s">
        <v>12553</v>
      </c>
      <c r="W1475" s="4" t="s">
        <v>259</v>
      </c>
      <c r="X1475" s="3" t="s">
        <v>45</v>
      </c>
      <c r="Y1475" s="3" t="s">
        <v>45</v>
      </c>
      <c r="Z1475" s="3" t="s">
        <v>74</v>
      </c>
      <c r="AA1475" s="3" t="s">
        <v>45</v>
      </c>
      <c r="AB1475" s="3" t="s">
        <v>45</v>
      </c>
      <c r="AC1475" s="3" t="s">
        <v>45</v>
      </c>
      <c r="AD1475" s="3" t="s">
        <v>45</v>
      </c>
      <c r="AE1475" s="3" t="s">
        <v>45</v>
      </c>
      <c r="AF1475" s="3" t="s">
        <v>45</v>
      </c>
      <c r="AG1475" s="3" t="s">
        <v>12554</v>
      </c>
      <c r="AH1475" s="3" t="s">
        <v>9906</v>
      </c>
      <c r="AI1475" s="5" t="s">
        <v>12555</v>
      </c>
      <c r="AJ1475" s="3" t="s">
        <v>45</v>
      </c>
      <c r="AK1475" s="3" t="s">
        <v>45</v>
      </c>
      <c r="AL1475" s="3" t="s">
        <v>45</v>
      </c>
      <c r="AM1475" s="3" t="s">
        <v>45</v>
      </c>
      <c r="AN1475" s="3" t="s">
        <v>45</v>
      </c>
      <c r="AO1475" s="3" t="s">
        <v>45</v>
      </c>
      <c r="AP1475" s="3" t="s">
        <v>45</v>
      </c>
      <c r="AQ1475" s="4" t="s">
        <v>9934</v>
      </c>
      <c r="AR1475" s="4" t="s">
        <v>9908</v>
      </c>
    </row>
    <row r="1476">
      <c r="A1476" s="3" t="s">
        <v>12556</v>
      </c>
      <c r="B1476" s="3" t="s">
        <v>12557</v>
      </c>
      <c r="C1476" s="3" t="s">
        <v>1088</v>
      </c>
      <c r="D1476" s="3" t="s">
        <v>9900</v>
      </c>
      <c r="E1476" s="4" t="s">
        <v>10097</v>
      </c>
      <c r="F1476" s="3" t="s">
        <v>9928</v>
      </c>
      <c r="G1476" s="4" t="s">
        <v>12558</v>
      </c>
      <c r="H1476" s="4" t="s">
        <v>12559</v>
      </c>
      <c r="I1476" s="3" t="s">
        <v>49</v>
      </c>
      <c r="J1476" s="3" t="s">
        <v>126</v>
      </c>
      <c r="K1476" s="3" t="s">
        <v>45</v>
      </c>
      <c r="L1476" s="3" t="s">
        <v>45</v>
      </c>
      <c r="M1476" s="3" t="s">
        <v>45</v>
      </c>
      <c r="N1476" s="3" t="s">
        <v>45</v>
      </c>
      <c r="O1476" s="3" t="s">
        <v>74</v>
      </c>
      <c r="P1476" s="3" t="s">
        <v>45</v>
      </c>
      <c r="Q1476" s="3" t="s">
        <v>45</v>
      </c>
      <c r="R1476" s="3" t="s">
        <v>45</v>
      </c>
      <c r="S1476" s="3" t="s">
        <v>45</v>
      </c>
      <c r="T1476" s="3" t="s">
        <v>45</v>
      </c>
      <c r="U1476" s="3" t="s">
        <v>45</v>
      </c>
      <c r="V1476" s="4" t="s">
        <v>6708</v>
      </c>
      <c r="W1476" s="4" t="s">
        <v>3085</v>
      </c>
      <c r="X1476" s="3" t="s">
        <v>45</v>
      </c>
      <c r="Y1476" s="3" t="s">
        <v>45</v>
      </c>
      <c r="Z1476" s="3" t="s">
        <v>74</v>
      </c>
      <c r="AA1476" s="3" t="s">
        <v>45</v>
      </c>
      <c r="AB1476" s="3" t="s">
        <v>45</v>
      </c>
      <c r="AC1476" s="3" t="s">
        <v>45</v>
      </c>
      <c r="AD1476" s="3" t="s">
        <v>45</v>
      </c>
      <c r="AE1476" s="3" t="s">
        <v>45</v>
      </c>
      <c r="AF1476" s="3" t="s">
        <v>45</v>
      </c>
      <c r="AG1476" s="3" t="s">
        <v>12560</v>
      </c>
      <c r="AH1476" s="3" t="s">
        <v>9906</v>
      </c>
      <c r="AI1476" s="5" t="s">
        <v>12561</v>
      </c>
      <c r="AJ1476" s="5" t="s">
        <v>12562</v>
      </c>
      <c r="AK1476" s="3" t="s">
        <v>45</v>
      </c>
      <c r="AL1476" s="3" t="s">
        <v>45</v>
      </c>
      <c r="AM1476" s="3" t="s">
        <v>45</v>
      </c>
      <c r="AN1476" s="3" t="s">
        <v>45</v>
      </c>
      <c r="AO1476" s="3" t="s">
        <v>45</v>
      </c>
      <c r="AP1476" s="3" t="s">
        <v>45</v>
      </c>
      <c r="AQ1476" s="4" t="s">
        <v>10118</v>
      </c>
      <c r="AR1476" s="4" t="s">
        <v>9908</v>
      </c>
    </row>
    <row r="1477">
      <c r="A1477" s="3" t="s">
        <v>12563</v>
      </c>
      <c r="B1477" s="3" t="s">
        <v>12564</v>
      </c>
      <c r="C1477" s="3" t="s">
        <v>1088</v>
      </c>
      <c r="D1477" s="3" t="s">
        <v>9900</v>
      </c>
      <c r="E1477" s="4" t="s">
        <v>12565</v>
      </c>
      <c r="F1477" s="3" t="s">
        <v>9928</v>
      </c>
      <c r="G1477" s="4" t="s">
        <v>12566</v>
      </c>
      <c r="H1477" s="4" t="s">
        <v>12567</v>
      </c>
      <c r="I1477" s="3" t="s">
        <v>85</v>
      </c>
      <c r="J1477" s="3" t="s">
        <v>126</v>
      </c>
      <c r="K1477" s="3" t="s">
        <v>45</v>
      </c>
      <c r="L1477" s="3" t="s">
        <v>12563</v>
      </c>
      <c r="M1477" s="3" t="s">
        <v>45</v>
      </c>
      <c r="N1477" s="3" t="s">
        <v>45</v>
      </c>
      <c r="O1477" s="3" t="s">
        <v>74</v>
      </c>
      <c r="P1477" s="3" t="s">
        <v>45</v>
      </c>
      <c r="Q1477" s="3" t="s">
        <v>45</v>
      </c>
      <c r="R1477" s="3" t="s">
        <v>45</v>
      </c>
      <c r="S1477" s="3" t="s">
        <v>45</v>
      </c>
      <c r="T1477" s="3" t="s">
        <v>45</v>
      </c>
      <c r="U1477" s="3" t="s">
        <v>45</v>
      </c>
      <c r="V1477" s="4" t="s">
        <v>12568</v>
      </c>
      <c r="W1477" s="4" t="s">
        <v>4563</v>
      </c>
      <c r="X1477" s="3" t="s">
        <v>45</v>
      </c>
      <c r="Y1477" s="3" t="s">
        <v>45</v>
      </c>
      <c r="Z1477" s="3" t="s">
        <v>74</v>
      </c>
      <c r="AA1477" s="3" t="s">
        <v>45</v>
      </c>
      <c r="AB1477" s="3" t="s">
        <v>45</v>
      </c>
      <c r="AC1477" s="3" t="s">
        <v>45</v>
      </c>
      <c r="AD1477" s="3" t="s">
        <v>45</v>
      </c>
      <c r="AE1477" s="3" t="s">
        <v>45</v>
      </c>
      <c r="AF1477" s="3" t="s">
        <v>45</v>
      </c>
      <c r="AG1477" s="3" t="s">
        <v>10016</v>
      </c>
      <c r="AH1477" s="3" t="s">
        <v>9906</v>
      </c>
      <c r="AI1477" s="5" t="s">
        <v>12569</v>
      </c>
      <c r="AJ1477" s="3" t="s">
        <v>45</v>
      </c>
      <c r="AK1477" s="3" t="s">
        <v>45</v>
      </c>
      <c r="AL1477" s="3" t="s">
        <v>45</v>
      </c>
      <c r="AM1477" s="3" t="s">
        <v>45</v>
      </c>
      <c r="AN1477" s="3" t="s">
        <v>45</v>
      </c>
      <c r="AO1477" s="3" t="s">
        <v>45</v>
      </c>
      <c r="AP1477" s="3" t="s">
        <v>45</v>
      </c>
      <c r="AQ1477" s="4" t="s">
        <v>9934</v>
      </c>
      <c r="AR1477" s="4" t="s">
        <v>9908</v>
      </c>
    </row>
    <row r="1478">
      <c r="A1478" s="3" t="s">
        <v>12570</v>
      </c>
      <c r="B1478" s="3" t="s">
        <v>12571</v>
      </c>
      <c r="C1478" s="3" t="s">
        <v>1088</v>
      </c>
      <c r="D1478" s="3" t="s">
        <v>9900</v>
      </c>
      <c r="E1478" s="4" t="s">
        <v>10097</v>
      </c>
      <c r="F1478" s="3" t="s">
        <v>9928</v>
      </c>
      <c r="G1478" s="4" t="s">
        <v>12572</v>
      </c>
      <c r="H1478" s="4" t="s">
        <v>12573</v>
      </c>
      <c r="I1478" s="3" t="s">
        <v>85</v>
      </c>
      <c r="J1478" s="3" t="s">
        <v>126</v>
      </c>
      <c r="K1478" s="3" t="s">
        <v>45</v>
      </c>
      <c r="L1478" s="3" t="s">
        <v>12530</v>
      </c>
      <c r="M1478" s="3" t="s">
        <v>45</v>
      </c>
      <c r="N1478" s="3" t="s">
        <v>45</v>
      </c>
      <c r="O1478" s="3" t="s">
        <v>74</v>
      </c>
      <c r="P1478" s="3" t="s">
        <v>45</v>
      </c>
      <c r="Q1478" s="3" t="s">
        <v>45</v>
      </c>
      <c r="R1478" s="3" t="s">
        <v>45</v>
      </c>
      <c r="S1478" s="3" t="s">
        <v>45</v>
      </c>
      <c r="T1478" s="3" t="s">
        <v>45</v>
      </c>
      <c r="U1478" s="3" t="s">
        <v>45</v>
      </c>
      <c r="V1478" s="4" t="s">
        <v>12574</v>
      </c>
      <c r="W1478" s="4" t="s">
        <v>1610</v>
      </c>
      <c r="X1478" s="3" t="s">
        <v>45</v>
      </c>
      <c r="Y1478" s="3" t="s">
        <v>45</v>
      </c>
      <c r="Z1478" s="3" t="s">
        <v>74</v>
      </c>
      <c r="AA1478" s="3" t="s">
        <v>45</v>
      </c>
      <c r="AB1478" s="3" t="s">
        <v>45</v>
      </c>
      <c r="AC1478" s="3" t="s">
        <v>45</v>
      </c>
      <c r="AD1478" s="3" t="s">
        <v>45</v>
      </c>
      <c r="AE1478" s="3" t="s">
        <v>45</v>
      </c>
      <c r="AF1478" s="3" t="s">
        <v>45</v>
      </c>
      <c r="AG1478" s="3" t="s">
        <v>10016</v>
      </c>
      <c r="AH1478" s="3" t="s">
        <v>9906</v>
      </c>
      <c r="AI1478" s="5" t="s">
        <v>12575</v>
      </c>
      <c r="AJ1478" s="5" t="s">
        <v>12576</v>
      </c>
      <c r="AK1478" s="3" t="s">
        <v>45</v>
      </c>
      <c r="AL1478" s="3" t="s">
        <v>45</v>
      </c>
      <c r="AM1478" s="3" t="s">
        <v>45</v>
      </c>
      <c r="AN1478" s="3" t="s">
        <v>45</v>
      </c>
      <c r="AO1478" s="3" t="s">
        <v>45</v>
      </c>
      <c r="AP1478" s="3" t="s">
        <v>45</v>
      </c>
      <c r="AQ1478" s="4" t="s">
        <v>9934</v>
      </c>
      <c r="AR1478" s="4" t="s">
        <v>9908</v>
      </c>
    </row>
    <row r="1479">
      <c r="A1479" s="3" t="s">
        <v>12577</v>
      </c>
      <c r="B1479" s="3" t="s">
        <v>12578</v>
      </c>
      <c r="C1479" s="3" t="s">
        <v>1088</v>
      </c>
      <c r="D1479" s="3" t="s">
        <v>9900</v>
      </c>
      <c r="E1479" s="4" t="s">
        <v>10097</v>
      </c>
      <c r="F1479" s="3" t="s">
        <v>9928</v>
      </c>
      <c r="G1479" s="4" t="s">
        <v>12579</v>
      </c>
      <c r="H1479" s="4" t="s">
        <v>12580</v>
      </c>
      <c r="I1479" s="3" t="s">
        <v>85</v>
      </c>
      <c r="J1479" s="3" t="s">
        <v>126</v>
      </c>
      <c r="K1479" s="3" t="s">
        <v>45</v>
      </c>
      <c r="L1479" s="3" t="s">
        <v>12530</v>
      </c>
      <c r="M1479" s="3" t="s">
        <v>45</v>
      </c>
      <c r="N1479" s="3" t="s">
        <v>45</v>
      </c>
      <c r="O1479" s="3" t="s">
        <v>74</v>
      </c>
      <c r="P1479" s="3" t="s">
        <v>45</v>
      </c>
      <c r="Q1479" s="3" t="s">
        <v>45</v>
      </c>
      <c r="R1479" s="3" t="s">
        <v>45</v>
      </c>
      <c r="S1479" s="3" t="s">
        <v>45</v>
      </c>
      <c r="T1479" s="3" t="s">
        <v>45</v>
      </c>
      <c r="U1479" s="3" t="s">
        <v>45</v>
      </c>
      <c r="V1479" s="4" t="s">
        <v>12581</v>
      </c>
      <c r="W1479" s="4" t="s">
        <v>275</v>
      </c>
      <c r="X1479" s="3" t="s">
        <v>45</v>
      </c>
      <c r="Y1479" s="3" t="s">
        <v>45</v>
      </c>
      <c r="Z1479" s="3" t="s">
        <v>74</v>
      </c>
      <c r="AA1479" s="3" t="s">
        <v>45</v>
      </c>
      <c r="AB1479" s="3" t="s">
        <v>45</v>
      </c>
      <c r="AC1479" s="3" t="s">
        <v>45</v>
      </c>
      <c r="AD1479" s="3" t="s">
        <v>45</v>
      </c>
      <c r="AE1479" s="3" t="s">
        <v>45</v>
      </c>
      <c r="AF1479" s="3" t="s">
        <v>45</v>
      </c>
      <c r="AG1479" s="3" t="s">
        <v>10016</v>
      </c>
      <c r="AH1479" s="3" t="s">
        <v>9906</v>
      </c>
      <c r="AI1479" s="5" t="s">
        <v>12582</v>
      </c>
      <c r="AJ1479" s="5" t="s">
        <v>12583</v>
      </c>
      <c r="AK1479" s="3" t="s">
        <v>45</v>
      </c>
      <c r="AL1479" s="3" t="s">
        <v>45</v>
      </c>
      <c r="AM1479" s="3" t="s">
        <v>45</v>
      </c>
      <c r="AN1479" s="3" t="s">
        <v>45</v>
      </c>
      <c r="AO1479" s="3" t="s">
        <v>45</v>
      </c>
      <c r="AP1479" s="3" t="s">
        <v>45</v>
      </c>
      <c r="AQ1479" s="4" t="s">
        <v>9934</v>
      </c>
      <c r="AR1479" s="4" t="s">
        <v>9908</v>
      </c>
    </row>
    <row r="1480">
      <c r="A1480" s="3" t="s">
        <v>12584</v>
      </c>
      <c r="B1480" s="3" t="s">
        <v>12585</v>
      </c>
      <c r="C1480" s="3" t="s">
        <v>1088</v>
      </c>
      <c r="D1480" s="3" t="s">
        <v>9900</v>
      </c>
      <c r="E1480" s="4" t="s">
        <v>10097</v>
      </c>
      <c r="F1480" s="3" t="s">
        <v>9928</v>
      </c>
      <c r="G1480" s="4" t="s">
        <v>12586</v>
      </c>
      <c r="H1480" s="4" t="s">
        <v>12587</v>
      </c>
      <c r="I1480" s="3" t="s">
        <v>85</v>
      </c>
      <c r="J1480" s="3" t="s">
        <v>126</v>
      </c>
      <c r="K1480" s="3" t="s">
        <v>45</v>
      </c>
      <c r="L1480" s="3" t="s">
        <v>12588</v>
      </c>
      <c r="M1480" s="3" t="s">
        <v>45</v>
      </c>
      <c r="N1480" s="3" t="s">
        <v>45</v>
      </c>
      <c r="O1480" s="3" t="s">
        <v>74</v>
      </c>
      <c r="P1480" s="3" t="s">
        <v>45</v>
      </c>
      <c r="Q1480" s="3" t="s">
        <v>45</v>
      </c>
      <c r="R1480" s="3" t="s">
        <v>45</v>
      </c>
      <c r="S1480" s="3" t="s">
        <v>45</v>
      </c>
      <c r="T1480" s="3" t="s">
        <v>45</v>
      </c>
      <c r="U1480" s="3" t="s">
        <v>45</v>
      </c>
      <c r="V1480" s="4" t="s">
        <v>12589</v>
      </c>
      <c r="W1480" s="4" t="s">
        <v>1872</v>
      </c>
      <c r="X1480" s="3" t="s">
        <v>45</v>
      </c>
      <c r="Y1480" s="3" t="s">
        <v>45</v>
      </c>
      <c r="Z1480" s="3" t="s">
        <v>74</v>
      </c>
      <c r="AA1480" s="3" t="s">
        <v>45</v>
      </c>
      <c r="AB1480" s="3" t="s">
        <v>45</v>
      </c>
      <c r="AC1480" s="3" t="s">
        <v>45</v>
      </c>
      <c r="AD1480" s="3" t="s">
        <v>45</v>
      </c>
      <c r="AE1480" s="3" t="s">
        <v>45</v>
      </c>
      <c r="AF1480" s="3" t="s">
        <v>45</v>
      </c>
      <c r="AG1480" s="3" t="s">
        <v>10016</v>
      </c>
      <c r="AH1480" s="3" t="s">
        <v>9906</v>
      </c>
      <c r="AI1480" s="5" t="s">
        <v>12590</v>
      </c>
      <c r="AJ1480" s="3" t="s">
        <v>45</v>
      </c>
      <c r="AK1480" s="3" t="s">
        <v>45</v>
      </c>
      <c r="AL1480" s="3" t="s">
        <v>45</v>
      </c>
      <c r="AM1480" s="3" t="s">
        <v>45</v>
      </c>
      <c r="AN1480" s="3" t="s">
        <v>45</v>
      </c>
      <c r="AO1480" s="3" t="s">
        <v>45</v>
      </c>
      <c r="AP1480" s="3" t="s">
        <v>45</v>
      </c>
      <c r="AQ1480" s="4" t="s">
        <v>9934</v>
      </c>
      <c r="AR1480" s="4" t="s">
        <v>9908</v>
      </c>
    </row>
    <row r="1481">
      <c r="A1481" s="3" t="s">
        <v>12591</v>
      </c>
      <c r="B1481" s="3" t="s">
        <v>12592</v>
      </c>
      <c r="C1481" s="3" t="s">
        <v>1088</v>
      </c>
      <c r="D1481" s="3" t="s">
        <v>9900</v>
      </c>
      <c r="E1481" s="4" t="s">
        <v>10097</v>
      </c>
      <c r="F1481" s="3" t="s">
        <v>9928</v>
      </c>
      <c r="G1481" s="4" t="s">
        <v>12593</v>
      </c>
      <c r="H1481" s="4" t="s">
        <v>12594</v>
      </c>
      <c r="I1481" s="3" t="s">
        <v>85</v>
      </c>
      <c r="J1481" s="3" t="s">
        <v>126</v>
      </c>
      <c r="K1481" s="3" t="s">
        <v>45</v>
      </c>
      <c r="L1481" s="3" t="s">
        <v>12595</v>
      </c>
      <c r="M1481" s="3" t="s">
        <v>45</v>
      </c>
      <c r="N1481" s="3" t="s">
        <v>45</v>
      </c>
      <c r="O1481" s="3" t="s">
        <v>74</v>
      </c>
      <c r="P1481" s="3" t="s">
        <v>45</v>
      </c>
      <c r="Q1481" s="3" t="s">
        <v>45</v>
      </c>
      <c r="R1481" s="3" t="s">
        <v>45</v>
      </c>
      <c r="S1481" s="3" t="s">
        <v>45</v>
      </c>
      <c r="T1481" s="3" t="s">
        <v>45</v>
      </c>
      <c r="U1481" s="3" t="s">
        <v>45</v>
      </c>
      <c r="V1481" s="4" t="s">
        <v>12596</v>
      </c>
      <c r="W1481" s="4" t="s">
        <v>3085</v>
      </c>
      <c r="X1481" s="3" t="s">
        <v>45</v>
      </c>
      <c r="Y1481" s="3" t="s">
        <v>45</v>
      </c>
      <c r="Z1481" s="3" t="s">
        <v>74</v>
      </c>
      <c r="AA1481" s="3" t="s">
        <v>45</v>
      </c>
      <c r="AB1481" s="3" t="s">
        <v>45</v>
      </c>
      <c r="AC1481" s="3" t="s">
        <v>45</v>
      </c>
      <c r="AD1481" s="3" t="s">
        <v>45</v>
      </c>
      <c r="AE1481" s="3" t="s">
        <v>45</v>
      </c>
      <c r="AF1481" s="3" t="s">
        <v>45</v>
      </c>
      <c r="AG1481" s="3" t="s">
        <v>10016</v>
      </c>
      <c r="AH1481" s="3" t="s">
        <v>9906</v>
      </c>
      <c r="AI1481" s="5" t="s">
        <v>12597</v>
      </c>
      <c r="AJ1481" s="3" t="s">
        <v>45</v>
      </c>
      <c r="AK1481" s="3" t="s">
        <v>45</v>
      </c>
      <c r="AL1481" s="3" t="s">
        <v>45</v>
      </c>
      <c r="AM1481" s="3" t="s">
        <v>45</v>
      </c>
      <c r="AN1481" s="3" t="s">
        <v>45</v>
      </c>
      <c r="AO1481" s="3" t="s">
        <v>45</v>
      </c>
      <c r="AP1481" s="3" t="s">
        <v>45</v>
      </c>
      <c r="AQ1481" s="4" t="s">
        <v>9934</v>
      </c>
      <c r="AR1481" s="4" t="s">
        <v>9908</v>
      </c>
    </row>
    <row r="1482">
      <c r="A1482" s="3" t="s">
        <v>12598</v>
      </c>
      <c r="B1482" s="3" t="s">
        <v>12599</v>
      </c>
      <c r="C1482" s="3" t="s">
        <v>1088</v>
      </c>
      <c r="D1482" s="3" t="s">
        <v>9900</v>
      </c>
      <c r="E1482" s="4" t="s">
        <v>10097</v>
      </c>
      <c r="F1482" s="3" t="s">
        <v>9928</v>
      </c>
      <c r="G1482" s="4" t="s">
        <v>12600</v>
      </c>
      <c r="H1482" s="4" t="s">
        <v>12601</v>
      </c>
      <c r="I1482" s="3" t="s">
        <v>85</v>
      </c>
      <c r="J1482" s="3" t="s">
        <v>126</v>
      </c>
      <c r="K1482" s="3" t="s">
        <v>45</v>
      </c>
      <c r="L1482" s="3" t="s">
        <v>12602</v>
      </c>
      <c r="M1482" s="3" t="s">
        <v>45</v>
      </c>
      <c r="N1482" s="3" t="s">
        <v>45</v>
      </c>
      <c r="O1482" s="3" t="s">
        <v>74</v>
      </c>
      <c r="P1482" s="3" t="s">
        <v>45</v>
      </c>
      <c r="Q1482" s="3" t="s">
        <v>45</v>
      </c>
      <c r="R1482" s="3" t="s">
        <v>45</v>
      </c>
      <c r="S1482" s="3" t="s">
        <v>45</v>
      </c>
      <c r="T1482" s="3" t="s">
        <v>45</v>
      </c>
      <c r="U1482" s="3" t="s">
        <v>45</v>
      </c>
      <c r="V1482" s="4" t="s">
        <v>12603</v>
      </c>
      <c r="W1482" s="4" t="s">
        <v>1951</v>
      </c>
      <c r="X1482" s="3" t="s">
        <v>45</v>
      </c>
      <c r="Y1482" s="3" t="s">
        <v>45</v>
      </c>
      <c r="Z1482" s="3" t="s">
        <v>74</v>
      </c>
      <c r="AA1482" s="3" t="s">
        <v>45</v>
      </c>
      <c r="AB1482" s="3" t="s">
        <v>45</v>
      </c>
      <c r="AC1482" s="3" t="s">
        <v>45</v>
      </c>
      <c r="AD1482" s="3" t="s">
        <v>45</v>
      </c>
      <c r="AE1482" s="3" t="s">
        <v>45</v>
      </c>
      <c r="AF1482" s="3" t="s">
        <v>45</v>
      </c>
      <c r="AG1482" s="3" t="s">
        <v>12604</v>
      </c>
      <c r="AH1482" s="3" t="s">
        <v>9906</v>
      </c>
      <c r="AI1482" s="5" t="s">
        <v>12605</v>
      </c>
      <c r="AJ1482" s="5" t="s">
        <v>12606</v>
      </c>
      <c r="AK1482" s="3" t="s">
        <v>45</v>
      </c>
      <c r="AL1482" s="3" t="s">
        <v>45</v>
      </c>
      <c r="AM1482" s="3" t="s">
        <v>45</v>
      </c>
      <c r="AN1482" s="3" t="s">
        <v>45</v>
      </c>
      <c r="AO1482" s="3" t="s">
        <v>45</v>
      </c>
      <c r="AP1482" s="3" t="s">
        <v>45</v>
      </c>
      <c r="AQ1482" s="4" t="s">
        <v>10103</v>
      </c>
      <c r="AR1482" s="4" t="s">
        <v>9908</v>
      </c>
    </row>
    <row r="1483">
      <c r="A1483" s="3" t="s">
        <v>12607</v>
      </c>
      <c r="B1483" s="3" t="s">
        <v>12608</v>
      </c>
      <c r="C1483" s="3" t="s">
        <v>1088</v>
      </c>
      <c r="D1483" s="3" t="s">
        <v>9900</v>
      </c>
      <c r="E1483" s="4" t="s">
        <v>10097</v>
      </c>
      <c r="F1483" s="3" t="s">
        <v>9928</v>
      </c>
      <c r="G1483" s="4" t="s">
        <v>12609</v>
      </c>
      <c r="H1483" s="4" t="s">
        <v>12610</v>
      </c>
      <c r="I1483" s="3" t="s">
        <v>49</v>
      </c>
      <c r="J1483" s="3" t="s">
        <v>126</v>
      </c>
      <c r="K1483" s="3" t="s">
        <v>45</v>
      </c>
      <c r="L1483" s="3" t="s">
        <v>12602</v>
      </c>
      <c r="M1483" s="3" t="s">
        <v>45</v>
      </c>
      <c r="N1483" s="3" t="s">
        <v>45</v>
      </c>
      <c r="O1483" s="3" t="s">
        <v>74</v>
      </c>
      <c r="P1483" s="3" t="s">
        <v>45</v>
      </c>
      <c r="Q1483" s="3" t="s">
        <v>45</v>
      </c>
      <c r="R1483" s="3" t="s">
        <v>45</v>
      </c>
      <c r="S1483" s="3" t="s">
        <v>45</v>
      </c>
      <c r="T1483" s="3" t="s">
        <v>45</v>
      </c>
      <c r="U1483" s="3" t="s">
        <v>45</v>
      </c>
      <c r="V1483" s="4" t="s">
        <v>12611</v>
      </c>
      <c r="W1483" s="3" t="s">
        <v>45</v>
      </c>
      <c r="X1483" s="3" t="s">
        <v>45</v>
      </c>
      <c r="Y1483" s="3" t="s">
        <v>45</v>
      </c>
      <c r="Z1483" s="3" t="s">
        <v>74</v>
      </c>
      <c r="AA1483" s="3" t="s">
        <v>45</v>
      </c>
      <c r="AB1483" s="3" t="s">
        <v>45</v>
      </c>
      <c r="AC1483" s="3" t="s">
        <v>45</v>
      </c>
      <c r="AD1483" s="3" t="s">
        <v>45</v>
      </c>
      <c r="AE1483" s="3" t="s">
        <v>45</v>
      </c>
      <c r="AF1483" s="3" t="s">
        <v>45</v>
      </c>
      <c r="AG1483" s="3" t="s">
        <v>12612</v>
      </c>
      <c r="AH1483" s="3" t="s">
        <v>9906</v>
      </c>
      <c r="AI1483" s="5" t="s">
        <v>12605</v>
      </c>
      <c r="AJ1483" s="5" t="s">
        <v>12613</v>
      </c>
      <c r="AK1483" s="3" t="s">
        <v>45</v>
      </c>
      <c r="AL1483" s="3" t="s">
        <v>45</v>
      </c>
      <c r="AM1483" s="3" t="s">
        <v>45</v>
      </c>
      <c r="AN1483" s="3" t="s">
        <v>45</v>
      </c>
      <c r="AO1483" s="3" t="s">
        <v>45</v>
      </c>
      <c r="AP1483" s="3" t="s">
        <v>45</v>
      </c>
      <c r="AQ1483" s="4" t="s">
        <v>10103</v>
      </c>
      <c r="AR1483" s="4" t="s">
        <v>9908</v>
      </c>
    </row>
    <row r="1484">
      <c r="A1484" s="3" t="s">
        <v>12607</v>
      </c>
      <c r="B1484" s="3" t="s">
        <v>12614</v>
      </c>
      <c r="C1484" s="3" t="s">
        <v>1088</v>
      </c>
      <c r="D1484" s="3" t="s">
        <v>9900</v>
      </c>
      <c r="E1484" s="4" t="s">
        <v>10097</v>
      </c>
      <c r="F1484" s="3" t="s">
        <v>9928</v>
      </c>
      <c r="G1484" s="4" t="s">
        <v>12615</v>
      </c>
      <c r="H1484" s="4" t="s">
        <v>12616</v>
      </c>
      <c r="I1484" s="3" t="s">
        <v>85</v>
      </c>
      <c r="J1484" s="3" t="s">
        <v>126</v>
      </c>
      <c r="K1484" s="3" t="s">
        <v>45</v>
      </c>
      <c r="L1484" s="3" t="s">
        <v>12602</v>
      </c>
      <c r="M1484" s="3" t="s">
        <v>45</v>
      </c>
      <c r="N1484" s="3" t="s">
        <v>45</v>
      </c>
      <c r="O1484" s="3" t="s">
        <v>74</v>
      </c>
      <c r="P1484" s="3" t="s">
        <v>45</v>
      </c>
      <c r="Q1484" s="3" t="s">
        <v>45</v>
      </c>
      <c r="R1484" s="3" t="s">
        <v>45</v>
      </c>
      <c r="S1484" s="3" t="s">
        <v>45</v>
      </c>
      <c r="T1484" s="3" t="s">
        <v>45</v>
      </c>
      <c r="U1484" s="3" t="s">
        <v>45</v>
      </c>
      <c r="V1484" s="4" t="s">
        <v>12617</v>
      </c>
      <c r="W1484" s="4" t="s">
        <v>6561</v>
      </c>
      <c r="X1484" s="3" t="s">
        <v>45</v>
      </c>
      <c r="Y1484" s="3" t="s">
        <v>45</v>
      </c>
      <c r="Z1484" s="3" t="s">
        <v>74</v>
      </c>
      <c r="AA1484" s="3" t="s">
        <v>45</v>
      </c>
      <c r="AB1484" s="3" t="s">
        <v>45</v>
      </c>
      <c r="AC1484" s="3" t="s">
        <v>45</v>
      </c>
      <c r="AD1484" s="3" t="s">
        <v>45</v>
      </c>
      <c r="AE1484" s="3" t="s">
        <v>45</v>
      </c>
      <c r="AF1484" s="3" t="s">
        <v>45</v>
      </c>
      <c r="AG1484" s="3" t="s">
        <v>12618</v>
      </c>
      <c r="AH1484" s="3" t="s">
        <v>9906</v>
      </c>
      <c r="AI1484" s="5" t="s">
        <v>12613</v>
      </c>
      <c r="AJ1484" s="3" t="s">
        <v>45</v>
      </c>
      <c r="AK1484" s="3" t="s">
        <v>45</v>
      </c>
      <c r="AL1484" s="3" t="s">
        <v>45</v>
      </c>
      <c r="AM1484" s="3" t="s">
        <v>45</v>
      </c>
      <c r="AN1484" s="3" t="s">
        <v>45</v>
      </c>
      <c r="AO1484" s="3" t="s">
        <v>45</v>
      </c>
      <c r="AP1484" s="3" t="s">
        <v>45</v>
      </c>
      <c r="AQ1484" s="4" t="s">
        <v>10103</v>
      </c>
      <c r="AR1484" s="4" t="s">
        <v>9908</v>
      </c>
    </row>
    <row r="1485">
      <c r="A1485" s="3" t="s">
        <v>12619</v>
      </c>
      <c r="B1485" s="3" t="s">
        <v>12620</v>
      </c>
      <c r="C1485" s="3" t="s">
        <v>1088</v>
      </c>
      <c r="D1485" s="3" t="s">
        <v>9900</v>
      </c>
      <c r="E1485" s="4" t="s">
        <v>10097</v>
      </c>
      <c r="F1485" s="3" t="s">
        <v>9928</v>
      </c>
      <c r="G1485" s="4" t="s">
        <v>12621</v>
      </c>
      <c r="H1485" s="4" t="s">
        <v>12622</v>
      </c>
      <c r="I1485" s="3" t="s">
        <v>85</v>
      </c>
      <c r="J1485" s="3" t="s">
        <v>126</v>
      </c>
      <c r="K1485" s="3" t="s">
        <v>45</v>
      </c>
      <c r="L1485" s="3" t="s">
        <v>12588</v>
      </c>
      <c r="M1485" s="3" t="s">
        <v>45</v>
      </c>
      <c r="N1485" s="3" t="s">
        <v>45</v>
      </c>
      <c r="O1485" s="3" t="s">
        <v>74</v>
      </c>
      <c r="P1485" s="3" t="s">
        <v>45</v>
      </c>
      <c r="Q1485" s="3" t="s">
        <v>45</v>
      </c>
      <c r="R1485" s="3" t="s">
        <v>45</v>
      </c>
      <c r="S1485" s="3" t="s">
        <v>45</v>
      </c>
      <c r="T1485" s="3" t="s">
        <v>45</v>
      </c>
      <c r="U1485" s="3" t="s">
        <v>45</v>
      </c>
      <c r="V1485" s="4" t="s">
        <v>12623</v>
      </c>
      <c r="W1485" s="4" t="s">
        <v>275</v>
      </c>
      <c r="X1485" s="3" t="s">
        <v>45</v>
      </c>
      <c r="Y1485" s="3" t="s">
        <v>45</v>
      </c>
      <c r="Z1485" s="3" t="s">
        <v>74</v>
      </c>
      <c r="AA1485" s="3" t="s">
        <v>45</v>
      </c>
      <c r="AB1485" s="3" t="s">
        <v>45</v>
      </c>
      <c r="AC1485" s="3" t="s">
        <v>45</v>
      </c>
      <c r="AD1485" s="3" t="s">
        <v>45</v>
      </c>
      <c r="AE1485" s="3" t="s">
        <v>45</v>
      </c>
      <c r="AF1485" s="3" t="s">
        <v>45</v>
      </c>
      <c r="AG1485" s="3" t="s">
        <v>10016</v>
      </c>
      <c r="AH1485" s="3" t="s">
        <v>9906</v>
      </c>
      <c r="AI1485" s="5" t="s">
        <v>12624</v>
      </c>
      <c r="AJ1485" s="3" t="s">
        <v>45</v>
      </c>
      <c r="AK1485" s="3" t="s">
        <v>45</v>
      </c>
      <c r="AL1485" s="3" t="s">
        <v>45</v>
      </c>
      <c r="AM1485" s="3" t="s">
        <v>45</v>
      </c>
      <c r="AN1485" s="3" t="s">
        <v>45</v>
      </c>
      <c r="AO1485" s="3" t="s">
        <v>45</v>
      </c>
      <c r="AP1485" s="3" t="s">
        <v>45</v>
      </c>
      <c r="AQ1485" s="4" t="s">
        <v>10103</v>
      </c>
      <c r="AR1485" s="4" t="s">
        <v>9908</v>
      </c>
    </row>
    <row r="1486">
      <c r="A1486" s="3" t="s">
        <v>12625</v>
      </c>
      <c r="B1486" s="3" t="s">
        <v>12626</v>
      </c>
      <c r="C1486" s="3" t="s">
        <v>1088</v>
      </c>
      <c r="D1486" s="3" t="s">
        <v>9900</v>
      </c>
      <c r="E1486" s="4" t="s">
        <v>10097</v>
      </c>
      <c r="F1486" s="3" t="s">
        <v>9928</v>
      </c>
      <c r="G1486" s="4" t="s">
        <v>12627</v>
      </c>
      <c r="H1486" s="4" t="s">
        <v>12628</v>
      </c>
      <c r="I1486" s="3" t="s">
        <v>85</v>
      </c>
      <c r="J1486" s="3" t="s">
        <v>126</v>
      </c>
      <c r="K1486" s="3" t="s">
        <v>45</v>
      </c>
      <c r="L1486" s="3" t="s">
        <v>12629</v>
      </c>
      <c r="M1486" s="3" t="s">
        <v>45</v>
      </c>
      <c r="N1486" s="3" t="s">
        <v>45</v>
      </c>
      <c r="O1486" s="3" t="s">
        <v>74</v>
      </c>
      <c r="P1486" s="3" t="s">
        <v>45</v>
      </c>
      <c r="Q1486" s="3" t="s">
        <v>45</v>
      </c>
      <c r="R1486" s="3" t="s">
        <v>45</v>
      </c>
      <c r="S1486" s="3" t="s">
        <v>45</v>
      </c>
      <c r="T1486" s="3" t="s">
        <v>45</v>
      </c>
      <c r="U1486" s="3" t="s">
        <v>45</v>
      </c>
      <c r="V1486" s="4" t="s">
        <v>12630</v>
      </c>
      <c r="W1486" s="4" t="s">
        <v>259</v>
      </c>
      <c r="X1486" s="3" t="s">
        <v>45</v>
      </c>
      <c r="Y1486" s="3" t="s">
        <v>45</v>
      </c>
      <c r="Z1486" s="3" t="s">
        <v>74</v>
      </c>
      <c r="AA1486" s="3" t="s">
        <v>45</v>
      </c>
      <c r="AB1486" s="3" t="s">
        <v>45</v>
      </c>
      <c r="AC1486" s="3" t="s">
        <v>45</v>
      </c>
      <c r="AD1486" s="3" t="s">
        <v>45</v>
      </c>
      <c r="AE1486" s="3" t="s">
        <v>45</v>
      </c>
      <c r="AF1486" s="3" t="s">
        <v>45</v>
      </c>
      <c r="AG1486" s="3" t="s">
        <v>10016</v>
      </c>
      <c r="AH1486" s="3" t="s">
        <v>9906</v>
      </c>
      <c r="AI1486" s="5" t="s">
        <v>12631</v>
      </c>
      <c r="AJ1486" s="3" t="s">
        <v>45</v>
      </c>
      <c r="AK1486" s="3" t="s">
        <v>45</v>
      </c>
      <c r="AL1486" s="3" t="s">
        <v>45</v>
      </c>
      <c r="AM1486" s="3" t="s">
        <v>45</v>
      </c>
      <c r="AN1486" s="3" t="s">
        <v>45</v>
      </c>
      <c r="AO1486" s="3" t="s">
        <v>45</v>
      </c>
      <c r="AP1486" s="3" t="s">
        <v>45</v>
      </c>
      <c r="AQ1486" s="4" t="s">
        <v>9934</v>
      </c>
      <c r="AR1486" s="4" t="s">
        <v>9908</v>
      </c>
    </row>
    <row r="1487">
      <c r="A1487" s="3" t="s">
        <v>12632</v>
      </c>
      <c r="B1487" s="3" t="s">
        <v>45</v>
      </c>
      <c r="C1487" s="3" t="s">
        <v>1088</v>
      </c>
      <c r="D1487" s="3" t="s">
        <v>9900</v>
      </c>
      <c r="E1487" s="4" t="s">
        <v>10097</v>
      </c>
      <c r="F1487" s="3" t="s">
        <v>9928</v>
      </c>
      <c r="G1487" s="4" t="s">
        <v>12633</v>
      </c>
      <c r="H1487" s="4" t="s">
        <v>12634</v>
      </c>
      <c r="I1487" s="3" t="s">
        <v>49</v>
      </c>
      <c r="J1487" s="3" t="s">
        <v>50</v>
      </c>
      <c r="K1487" s="3" t="s">
        <v>45</v>
      </c>
      <c r="L1487" s="3" t="s">
        <v>12635</v>
      </c>
      <c r="M1487" s="3" t="s">
        <v>45</v>
      </c>
      <c r="N1487" s="3" t="s">
        <v>45</v>
      </c>
      <c r="O1487" s="3" t="s">
        <v>74</v>
      </c>
      <c r="P1487" s="3" t="s">
        <v>45</v>
      </c>
      <c r="Q1487" s="3" t="s">
        <v>45</v>
      </c>
      <c r="R1487" s="3" t="s">
        <v>45</v>
      </c>
      <c r="S1487" s="3" t="s">
        <v>45</v>
      </c>
      <c r="T1487" s="3" t="s">
        <v>45</v>
      </c>
      <c r="U1487" s="3" t="s">
        <v>45</v>
      </c>
      <c r="V1487" s="4" t="s">
        <v>12636</v>
      </c>
      <c r="W1487" s="4" t="s">
        <v>247</v>
      </c>
      <c r="X1487" s="3" t="s">
        <v>45</v>
      </c>
      <c r="Y1487" s="3" t="s">
        <v>45</v>
      </c>
      <c r="Z1487" s="3" t="s">
        <v>74</v>
      </c>
      <c r="AA1487" s="3" t="s">
        <v>45</v>
      </c>
      <c r="AB1487" s="3" t="s">
        <v>45</v>
      </c>
      <c r="AC1487" s="3" t="s">
        <v>45</v>
      </c>
      <c r="AD1487" s="3" t="s">
        <v>45</v>
      </c>
      <c r="AE1487" s="3" t="s">
        <v>45</v>
      </c>
      <c r="AF1487" s="3" t="s">
        <v>45</v>
      </c>
      <c r="AG1487" s="3" t="s">
        <v>12637</v>
      </c>
      <c r="AH1487" s="3" t="s">
        <v>9906</v>
      </c>
      <c r="AI1487" s="5" t="s">
        <v>12638</v>
      </c>
      <c r="AJ1487" s="5" t="s">
        <v>12639</v>
      </c>
      <c r="AK1487" s="3" t="s">
        <v>45</v>
      </c>
      <c r="AL1487" s="3" t="s">
        <v>45</v>
      </c>
      <c r="AM1487" s="3" t="s">
        <v>45</v>
      </c>
      <c r="AN1487" s="3" t="s">
        <v>45</v>
      </c>
      <c r="AO1487" s="3" t="s">
        <v>45</v>
      </c>
      <c r="AP1487" s="3" t="s">
        <v>45</v>
      </c>
      <c r="AQ1487" s="4" t="s">
        <v>9934</v>
      </c>
      <c r="AR1487" s="4" t="s">
        <v>9908</v>
      </c>
    </row>
    <row r="1488">
      <c r="A1488" s="3" t="s">
        <v>12640</v>
      </c>
      <c r="B1488" s="3" t="s">
        <v>12641</v>
      </c>
      <c r="C1488" s="3" t="s">
        <v>1088</v>
      </c>
      <c r="D1488" s="3" t="s">
        <v>9900</v>
      </c>
      <c r="E1488" s="4" t="s">
        <v>10097</v>
      </c>
      <c r="F1488" s="3" t="s">
        <v>9928</v>
      </c>
      <c r="G1488" s="4" t="s">
        <v>12642</v>
      </c>
      <c r="H1488" s="4" t="s">
        <v>12643</v>
      </c>
      <c r="I1488" s="3" t="s">
        <v>49</v>
      </c>
      <c r="J1488" s="3" t="s">
        <v>126</v>
      </c>
      <c r="K1488" s="3" t="s">
        <v>45</v>
      </c>
      <c r="L1488" s="3" t="s">
        <v>10399</v>
      </c>
      <c r="M1488" s="3" t="s">
        <v>45</v>
      </c>
      <c r="N1488" s="3" t="s">
        <v>45</v>
      </c>
      <c r="O1488" s="3" t="s">
        <v>74</v>
      </c>
      <c r="P1488" s="3" t="s">
        <v>45</v>
      </c>
      <c r="Q1488" s="3" t="s">
        <v>45</v>
      </c>
      <c r="R1488" s="3" t="s">
        <v>45</v>
      </c>
      <c r="S1488" s="3" t="s">
        <v>45</v>
      </c>
      <c r="T1488" s="3" t="s">
        <v>45</v>
      </c>
      <c r="U1488" s="3" t="s">
        <v>45</v>
      </c>
      <c r="V1488" s="4" t="s">
        <v>12644</v>
      </c>
      <c r="W1488" s="4" t="s">
        <v>2600</v>
      </c>
      <c r="X1488" s="3" t="s">
        <v>45</v>
      </c>
      <c r="Y1488" s="3" t="s">
        <v>45</v>
      </c>
      <c r="Z1488" s="3" t="s">
        <v>74</v>
      </c>
      <c r="AA1488" s="3" t="s">
        <v>45</v>
      </c>
      <c r="AB1488" s="3" t="s">
        <v>45</v>
      </c>
      <c r="AC1488" s="3" t="s">
        <v>45</v>
      </c>
      <c r="AD1488" s="3" t="s">
        <v>45</v>
      </c>
      <c r="AE1488" s="3" t="s">
        <v>45</v>
      </c>
      <c r="AF1488" s="3" t="s">
        <v>45</v>
      </c>
      <c r="AG1488" s="3" t="s">
        <v>9916</v>
      </c>
      <c r="AH1488" s="3" t="s">
        <v>9906</v>
      </c>
      <c r="AI1488" s="5" t="s">
        <v>12645</v>
      </c>
      <c r="AJ1488" s="5" t="s">
        <v>12646</v>
      </c>
      <c r="AK1488" s="3" t="s">
        <v>45</v>
      </c>
      <c r="AL1488" s="3" t="s">
        <v>45</v>
      </c>
      <c r="AM1488" s="3" t="s">
        <v>45</v>
      </c>
      <c r="AN1488" s="3" t="s">
        <v>45</v>
      </c>
      <c r="AO1488" s="3" t="s">
        <v>45</v>
      </c>
      <c r="AP1488" s="3" t="s">
        <v>45</v>
      </c>
      <c r="AQ1488" s="4" t="s">
        <v>807</v>
      </c>
      <c r="AR1488" s="4" t="s">
        <v>9908</v>
      </c>
    </row>
    <row r="1489">
      <c r="A1489" s="3" t="s">
        <v>12647</v>
      </c>
      <c r="B1489" s="3" t="s">
        <v>12648</v>
      </c>
      <c r="C1489" s="3" t="s">
        <v>1088</v>
      </c>
      <c r="D1489" s="3" t="s">
        <v>9900</v>
      </c>
      <c r="E1489" s="4" t="s">
        <v>10097</v>
      </c>
      <c r="F1489" s="3" t="s">
        <v>9928</v>
      </c>
      <c r="G1489" s="4" t="s">
        <v>12649</v>
      </c>
      <c r="H1489" s="4" t="s">
        <v>12650</v>
      </c>
      <c r="I1489" s="3" t="s">
        <v>408</v>
      </c>
      <c r="J1489" s="3" t="s">
        <v>126</v>
      </c>
      <c r="K1489" s="3" t="s">
        <v>45</v>
      </c>
      <c r="L1489" s="3" t="s">
        <v>12651</v>
      </c>
      <c r="M1489" s="3" t="s">
        <v>45</v>
      </c>
      <c r="N1489" s="3" t="s">
        <v>45</v>
      </c>
      <c r="O1489" s="3" t="s">
        <v>74</v>
      </c>
      <c r="P1489" s="3" t="s">
        <v>45</v>
      </c>
      <c r="Q1489" s="3" t="s">
        <v>45</v>
      </c>
      <c r="R1489" s="3" t="s">
        <v>45</v>
      </c>
      <c r="S1489" s="3" t="s">
        <v>45</v>
      </c>
      <c r="T1489" s="3" t="s">
        <v>45</v>
      </c>
      <c r="U1489" s="3" t="s">
        <v>45</v>
      </c>
      <c r="V1489" s="4" t="s">
        <v>12652</v>
      </c>
      <c r="W1489" s="4" t="s">
        <v>2754</v>
      </c>
      <c r="X1489" s="3" t="s">
        <v>45</v>
      </c>
      <c r="Y1489" s="3" t="s">
        <v>45</v>
      </c>
      <c r="Z1489" s="3" t="s">
        <v>74</v>
      </c>
      <c r="AA1489" s="3" t="s">
        <v>45</v>
      </c>
      <c r="AB1489" s="3" t="s">
        <v>45</v>
      </c>
      <c r="AC1489" s="3" t="s">
        <v>45</v>
      </c>
      <c r="AD1489" s="3" t="s">
        <v>45</v>
      </c>
      <c r="AE1489" s="3" t="s">
        <v>45</v>
      </c>
      <c r="AF1489" s="3" t="s">
        <v>45</v>
      </c>
      <c r="AG1489" s="3" t="s">
        <v>45</v>
      </c>
      <c r="AH1489" s="3" t="s">
        <v>9906</v>
      </c>
      <c r="AI1489" s="5" t="s">
        <v>12653</v>
      </c>
      <c r="AJ1489" s="5" t="s">
        <v>12654</v>
      </c>
      <c r="AK1489" s="3" t="s">
        <v>45</v>
      </c>
      <c r="AL1489" s="3" t="s">
        <v>45</v>
      </c>
      <c r="AM1489" s="3" t="s">
        <v>45</v>
      </c>
      <c r="AN1489" s="3" t="s">
        <v>45</v>
      </c>
      <c r="AO1489" s="3" t="s">
        <v>45</v>
      </c>
      <c r="AP1489" s="3" t="s">
        <v>45</v>
      </c>
      <c r="AQ1489" s="4" t="s">
        <v>807</v>
      </c>
      <c r="AR1489" s="4" t="s">
        <v>224</v>
      </c>
    </row>
    <row r="1490">
      <c r="A1490" s="3" t="s">
        <v>12655</v>
      </c>
      <c r="B1490" s="3" t="s">
        <v>12656</v>
      </c>
      <c r="C1490" s="3" t="s">
        <v>1088</v>
      </c>
      <c r="D1490" s="3" t="s">
        <v>9900</v>
      </c>
      <c r="E1490" s="4" t="s">
        <v>10097</v>
      </c>
      <c r="F1490" s="3" t="s">
        <v>9928</v>
      </c>
      <c r="G1490" s="4" t="s">
        <v>12657</v>
      </c>
      <c r="H1490" s="4" t="s">
        <v>12658</v>
      </c>
      <c r="I1490" s="3" t="s">
        <v>85</v>
      </c>
      <c r="J1490" s="3" t="s">
        <v>126</v>
      </c>
      <c r="K1490" s="3" t="s">
        <v>45</v>
      </c>
      <c r="L1490" s="3" t="s">
        <v>12655</v>
      </c>
      <c r="M1490" s="3" t="s">
        <v>45</v>
      </c>
      <c r="N1490" s="3" t="s">
        <v>45</v>
      </c>
      <c r="O1490" s="3" t="s">
        <v>74</v>
      </c>
      <c r="P1490" s="3" t="s">
        <v>45</v>
      </c>
      <c r="Q1490" s="3" t="s">
        <v>45</v>
      </c>
      <c r="R1490" s="3" t="s">
        <v>45</v>
      </c>
      <c r="S1490" s="3" t="s">
        <v>45</v>
      </c>
      <c r="T1490" s="3" t="s">
        <v>45</v>
      </c>
      <c r="U1490" s="3" t="s">
        <v>45</v>
      </c>
      <c r="V1490" s="4" t="s">
        <v>12659</v>
      </c>
      <c r="W1490" s="4" t="s">
        <v>1843</v>
      </c>
      <c r="X1490" s="3" t="s">
        <v>45</v>
      </c>
      <c r="Y1490" s="3" t="s">
        <v>45</v>
      </c>
      <c r="Z1490" s="3" t="s">
        <v>74</v>
      </c>
      <c r="AA1490" s="3" t="s">
        <v>45</v>
      </c>
      <c r="AB1490" s="3" t="s">
        <v>45</v>
      </c>
      <c r="AC1490" s="3" t="s">
        <v>45</v>
      </c>
      <c r="AD1490" s="3" t="s">
        <v>45</v>
      </c>
      <c r="AE1490" s="3" t="s">
        <v>45</v>
      </c>
      <c r="AF1490" s="3" t="s">
        <v>45</v>
      </c>
      <c r="AG1490" s="3" t="s">
        <v>10016</v>
      </c>
      <c r="AH1490" s="3" t="s">
        <v>9906</v>
      </c>
      <c r="AI1490" s="5" t="s">
        <v>12660</v>
      </c>
      <c r="AJ1490" s="3" t="s">
        <v>45</v>
      </c>
      <c r="AK1490" s="3" t="s">
        <v>45</v>
      </c>
      <c r="AL1490" s="3" t="s">
        <v>45</v>
      </c>
      <c r="AM1490" s="3" t="s">
        <v>45</v>
      </c>
      <c r="AN1490" s="3" t="s">
        <v>45</v>
      </c>
      <c r="AO1490" s="3" t="s">
        <v>45</v>
      </c>
      <c r="AP1490" s="3" t="s">
        <v>45</v>
      </c>
      <c r="AQ1490" s="4" t="s">
        <v>9934</v>
      </c>
      <c r="AR1490" s="4" t="s">
        <v>9908</v>
      </c>
    </row>
    <row r="1491">
      <c r="A1491" s="3" t="s">
        <v>12661</v>
      </c>
      <c r="B1491" s="3" t="s">
        <v>45</v>
      </c>
      <c r="C1491" s="3" t="s">
        <v>1088</v>
      </c>
      <c r="D1491" s="3" t="s">
        <v>9900</v>
      </c>
      <c r="E1491" s="4" t="s">
        <v>10097</v>
      </c>
      <c r="F1491" s="3" t="s">
        <v>9928</v>
      </c>
      <c r="G1491" s="4" t="s">
        <v>12662</v>
      </c>
      <c r="H1491" s="4" t="s">
        <v>12663</v>
      </c>
      <c r="I1491" s="3" t="s">
        <v>49</v>
      </c>
      <c r="J1491" s="3" t="s">
        <v>50</v>
      </c>
      <c r="K1491" s="3" t="s">
        <v>45</v>
      </c>
      <c r="L1491" s="3" t="s">
        <v>12664</v>
      </c>
      <c r="M1491" s="3" t="s">
        <v>45</v>
      </c>
      <c r="N1491" s="3" t="s">
        <v>45</v>
      </c>
      <c r="O1491" s="3" t="s">
        <v>74</v>
      </c>
      <c r="P1491" s="3" t="s">
        <v>45</v>
      </c>
      <c r="Q1491" s="3" t="s">
        <v>45</v>
      </c>
      <c r="R1491" s="3" t="s">
        <v>45</v>
      </c>
      <c r="S1491" s="3" t="s">
        <v>45</v>
      </c>
      <c r="T1491" s="3" t="s">
        <v>45</v>
      </c>
      <c r="U1491" s="3" t="s">
        <v>45</v>
      </c>
      <c r="V1491" s="4" t="s">
        <v>12665</v>
      </c>
      <c r="W1491" s="4" t="s">
        <v>52</v>
      </c>
      <c r="X1491" s="3" t="s">
        <v>45</v>
      </c>
      <c r="Y1491" s="3" t="s">
        <v>45</v>
      </c>
      <c r="Z1491" s="3" t="s">
        <v>74</v>
      </c>
      <c r="AA1491" s="3" t="s">
        <v>45</v>
      </c>
      <c r="AB1491" s="3" t="s">
        <v>45</v>
      </c>
      <c r="AC1491" s="3" t="s">
        <v>45</v>
      </c>
      <c r="AD1491" s="3" t="s">
        <v>45</v>
      </c>
      <c r="AE1491" s="3" t="s">
        <v>45</v>
      </c>
      <c r="AF1491" s="3" t="s">
        <v>45</v>
      </c>
      <c r="AG1491" s="3" t="s">
        <v>45</v>
      </c>
      <c r="AH1491" s="3" t="s">
        <v>9906</v>
      </c>
      <c r="AI1491" s="5" t="s">
        <v>12666</v>
      </c>
      <c r="AJ1491" s="5" t="s">
        <v>12667</v>
      </c>
      <c r="AK1491" s="3" t="s">
        <v>45</v>
      </c>
      <c r="AL1491" s="3" t="s">
        <v>45</v>
      </c>
      <c r="AM1491" s="3" t="s">
        <v>45</v>
      </c>
      <c r="AN1491" s="3" t="s">
        <v>45</v>
      </c>
      <c r="AO1491" s="3" t="s">
        <v>45</v>
      </c>
      <c r="AP1491" s="3" t="s">
        <v>45</v>
      </c>
      <c r="AQ1491" s="4" t="s">
        <v>9934</v>
      </c>
      <c r="AR1491" s="4" t="s">
        <v>9908</v>
      </c>
    </row>
    <row r="1492">
      <c r="A1492" s="3" t="s">
        <v>12668</v>
      </c>
      <c r="B1492" s="3" t="s">
        <v>12669</v>
      </c>
      <c r="C1492" s="3" t="s">
        <v>1088</v>
      </c>
      <c r="D1492" s="3" t="s">
        <v>9900</v>
      </c>
      <c r="E1492" s="4" t="s">
        <v>10097</v>
      </c>
      <c r="F1492" s="3" t="s">
        <v>9928</v>
      </c>
      <c r="G1492" s="4" t="s">
        <v>12670</v>
      </c>
      <c r="H1492" s="4" t="s">
        <v>10952</v>
      </c>
      <c r="I1492" s="3" t="s">
        <v>49</v>
      </c>
      <c r="J1492" s="3" t="s">
        <v>126</v>
      </c>
      <c r="K1492" s="3" t="s">
        <v>45</v>
      </c>
      <c r="L1492" s="3" t="s">
        <v>12671</v>
      </c>
      <c r="M1492" s="3" t="s">
        <v>45</v>
      </c>
      <c r="N1492" s="3" t="s">
        <v>45</v>
      </c>
      <c r="O1492" s="3" t="s">
        <v>74</v>
      </c>
      <c r="P1492" s="3" t="s">
        <v>45</v>
      </c>
      <c r="Q1492" s="3" t="s">
        <v>45</v>
      </c>
      <c r="R1492" s="3" t="s">
        <v>45</v>
      </c>
      <c r="S1492" s="3" t="s">
        <v>45</v>
      </c>
      <c r="T1492" s="3" t="s">
        <v>45</v>
      </c>
      <c r="U1492" s="3" t="s">
        <v>45</v>
      </c>
      <c r="V1492" s="4" t="s">
        <v>12672</v>
      </c>
      <c r="W1492" s="4" t="s">
        <v>247</v>
      </c>
      <c r="X1492" s="3" t="s">
        <v>45</v>
      </c>
      <c r="Y1492" s="3" t="s">
        <v>45</v>
      </c>
      <c r="Z1492" s="3" t="s">
        <v>74</v>
      </c>
      <c r="AA1492" s="3" t="s">
        <v>45</v>
      </c>
      <c r="AB1492" s="3" t="s">
        <v>45</v>
      </c>
      <c r="AC1492" s="3" t="s">
        <v>45</v>
      </c>
      <c r="AD1492" s="3" t="s">
        <v>45</v>
      </c>
      <c r="AE1492" s="3" t="s">
        <v>45</v>
      </c>
      <c r="AF1492" s="3" t="s">
        <v>45</v>
      </c>
      <c r="AG1492" s="3" t="s">
        <v>45</v>
      </c>
      <c r="AH1492" s="3" t="s">
        <v>9906</v>
      </c>
      <c r="AI1492" s="5" t="s">
        <v>12673</v>
      </c>
      <c r="AJ1492" s="5" t="s">
        <v>12674</v>
      </c>
      <c r="AK1492" s="3" t="s">
        <v>45</v>
      </c>
      <c r="AL1492" s="3" t="s">
        <v>45</v>
      </c>
      <c r="AM1492" s="3" t="s">
        <v>45</v>
      </c>
      <c r="AN1492" s="3" t="s">
        <v>45</v>
      </c>
      <c r="AO1492" s="3" t="s">
        <v>45</v>
      </c>
      <c r="AP1492" s="3" t="s">
        <v>45</v>
      </c>
      <c r="AQ1492" s="4" t="s">
        <v>9934</v>
      </c>
      <c r="AR1492" s="4" t="s">
        <v>9908</v>
      </c>
    </row>
    <row r="1493">
      <c r="A1493" s="3" t="s">
        <v>12675</v>
      </c>
      <c r="B1493" s="3" t="s">
        <v>12676</v>
      </c>
      <c r="C1493" s="3" t="s">
        <v>1088</v>
      </c>
      <c r="D1493" s="3" t="s">
        <v>9900</v>
      </c>
      <c r="E1493" s="4" t="s">
        <v>10097</v>
      </c>
      <c r="F1493" s="3" t="s">
        <v>9928</v>
      </c>
      <c r="G1493" s="4" t="s">
        <v>12677</v>
      </c>
      <c r="H1493" s="4" t="s">
        <v>12678</v>
      </c>
      <c r="I1493" s="3" t="s">
        <v>85</v>
      </c>
      <c r="J1493" s="3" t="s">
        <v>126</v>
      </c>
      <c r="K1493" s="3" t="s">
        <v>45</v>
      </c>
      <c r="L1493" s="3" t="s">
        <v>12679</v>
      </c>
      <c r="M1493" s="3" t="s">
        <v>45</v>
      </c>
      <c r="N1493" s="3" t="s">
        <v>45</v>
      </c>
      <c r="O1493" s="3" t="s">
        <v>74</v>
      </c>
      <c r="P1493" s="3" t="s">
        <v>45</v>
      </c>
      <c r="Q1493" s="3" t="s">
        <v>45</v>
      </c>
      <c r="R1493" s="3" t="s">
        <v>45</v>
      </c>
      <c r="S1493" s="3" t="s">
        <v>45</v>
      </c>
      <c r="T1493" s="3" t="s">
        <v>45</v>
      </c>
      <c r="U1493" s="3" t="s">
        <v>45</v>
      </c>
      <c r="V1493" s="4" t="s">
        <v>12680</v>
      </c>
      <c r="W1493" s="4" t="s">
        <v>52</v>
      </c>
      <c r="X1493" s="3" t="s">
        <v>45</v>
      </c>
      <c r="Y1493" s="3" t="s">
        <v>45</v>
      </c>
      <c r="Z1493" s="3" t="s">
        <v>74</v>
      </c>
      <c r="AA1493" s="3" t="s">
        <v>45</v>
      </c>
      <c r="AB1493" s="3" t="s">
        <v>45</v>
      </c>
      <c r="AC1493" s="3" t="s">
        <v>45</v>
      </c>
      <c r="AD1493" s="3" t="s">
        <v>45</v>
      </c>
      <c r="AE1493" s="3" t="s">
        <v>45</v>
      </c>
      <c r="AF1493" s="3" t="s">
        <v>45</v>
      </c>
      <c r="AG1493" s="3" t="s">
        <v>10016</v>
      </c>
      <c r="AH1493" s="3" t="s">
        <v>9906</v>
      </c>
      <c r="AI1493" s="5" t="s">
        <v>12681</v>
      </c>
      <c r="AJ1493" s="3" t="s">
        <v>45</v>
      </c>
      <c r="AK1493" s="3" t="s">
        <v>45</v>
      </c>
      <c r="AL1493" s="3" t="s">
        <v>45</v>
      </c>
      <c r="AM1493" s="3" t="s">
        <v>45</v>
      </c>
      <c r="AN1493" s="3" t="s">
        <v>45</v>
      </c>
      <c r="AO1493" s="3" t="s">
        <v>45</v>
      </c>
      <c r="AP1493" s="3" t="s">
        <v>45</v>
      </c>
      <c r="AQ1493" s="4" t="s">
        <v>9934</v>
      </c>
      <c r="AR1493" s="4" t="s">
        <v>9908</v>
      </c>
    </row>
    <row r="1494">
      <c r="A1494" s="3" t="s">
        <v>12682</v>
      </c>
      <c r="B1494" s="3" t="s">
        <v>12683</v>
      </c>
      <c r="C1494" s="3" t="s">
        <v>1088</v>
      </c>
      <c r="D1494" s="3" t="s">
        <v>9900</v>
      </c>
      <c r="E1494" s="4" t="s">
        <v>10097</v>
      </c>
      <c r="F1494" s="3" t="s">
        <v>9928</v>
      </c>
      <c r="G1494" s="4" t="s">
        <v>12684</v>
      </c>
      <c r="H1494" s="4" t="s">
        <v>12685</v>
      </c>
      <c r="I1494" s="3" t="s">
        <v>85</v>
      </c>
      <c r="J1494" s="3" t="s">
        <v>126</v>
      </c>
      <c r="K1494" s="3" t="s">
        <v>45</v>
      </c>
      <c r="L1494" s="3" t="s">
        <v>12682</v>
      </c>
      <c r="M1494" s="3" t="s">
        <v>45</v>
      </c>
      <c r="N1494" s="3" t="s">
        <v>45</v>
      </c>
      <c r="O1494" s="3" t="s">
        <v>74</v>
      </c>
      <c r="P1494" s="3" t="s">
        <v>45</v>
      </c>
      <c r="Q1494" s="3" t="s">
        <v>45</v>
      </c>
      <c r="R1494" s="3" t="s">
        <v>45</v>
      </c>
      <c r="S1494" s="3" t="s">
        <v>45</v>
      </c>
      <c r="T1494" s="3" t="s">
        <v>45</v>
      </c>
      <c r="U1494" s="3" t="s">
        <v>45</v>
      </c>
      <c r="V1494" s="4" t="s">
        <v>12686</v>
      </c>
      <c r="W1494" s="4" t="s">
        <v>1610</v>
      </c>
      <c r="X1494" s="3" t="s">
        <v>45</v>
      </c>
      <c r="Y1494" s="3" t="s">
        <v>45</v>
      </c>
      <c r="Z1494" s="3" t="s">
        <v>74</v>
      </c>
      <c r="AA1494" s="3" t="s">
        <v>45</v>
      </c>
      <c r="AB1494" s="3" t="s">
        <v>45</v>
      </c>
      <c r="AC1494" s="3" t="s">
        <v>45</v>
      </c>
      <c r="AD1494" s="3" t="s">
        <v>45</v>
      </c>
      <c r="AE1494" s="3" t="s">
        <v>45</v>
      </c>
      <c r="AF1494" s="3" t="s">
        <v>45</v>
      </c>
      <c r="AG1494" s="3" t="s">
        <v>10016</v>
      </c>
      <c r="AH1494" s="3" t="s">
        <v>9906</v>
      </c>
      <c r="AI1494" s="5" t="s">
        <v>12687</v>
      </c>
      <c r="AJ1494" s="3" t="s">
        <v>45</v>
      </c>
      <c r="AK1494" s="3" t="s">
        <v>45</v>
      </c>
      <c r="AL1494" s="3" t="s">
        <v>45</v>
      </c>
      <c r="AM1494" s="3" t="s">
        <v>45</v>
      </c>
      <c r="AN1494" s="3" t="s">
        <v>45</v>
      </c>
      <c r="AO1494" s="3" t="s">
        <v>45</v>
      </c>
      <c r="AP1494" s="3" t="s">
        <v>45</v>
      </c>
      <c r="AQ1494" s="4" t="s">
        <v>9934</v>
      </c>
      <c r="AR1494" s="4" t="s">
        <v>9908</v>
      </c>
    </row>
    <row r="1495">
      <c r="A1495" s="3" t="s">
        <v>12688</v>
      </c>
      <c r="B1495" s="3" t="s">
        <v>12689</v>
      </c>
      <c r="C1495" s="3" t="s">
        <v>1088</v>
      </c>
      <c r="D1495" s="3" t="s">
        <v>9900</v>
      </c>
      <c r="E1495" s="4" t="s">
        <v>10097</v>
      </c>
      <c r="F1495" s="3" t="s">
        <v>9928</v>
      </c>
      <c r="G1495" s="4" t="s">
        <v>12690</v>
      </c>
      <c r="H1495" s="4" t="s">
        <v>12691</v>
      </c>
      <c r="I1495" s="3" t="s">
        <v>49</v>
      </c>
      <c r="J1495" s="3" t="s">
        <v>126</v>
      </c>
      <c r="K1495" s="3" t="s">
        <v>45</v>
      </c>
      <c r="L1495" s="3" t="s">
        <v>45</v>
      </c>
      <c r="M1495" s="3" t="s">
        <v>45</v>
      </c>
      <c r="N1495" s="3" t="s">
        <v>45</v>
      </c>
      <c r="O1495" s="3" t="s">
        <v>74</v>
      </c>
      <c r="P1495" s="3" t="s">
        <v>45</v>
      </c>
      <c r="Q1495" s="3" t="s">
        <v>45</v>
      </c>
      <c r="R1495" s="3" t="s">
        <v>45</v>
      </c>
      <c r="S1495" s="3" t="s">
        <v>45</v>
      </c>
      <c r="T1495" s="3" t="s">
        <v>45</v>
      </c>
      <c r="U1495" s="3" t="s">
        <v>45</v>
      </c>
      <c r="V1495" s="4" t="s">
        <v>12692</v>
      </c>
      <c r="W1495" s="4" t="s">
        <v>956</v>
      </c>
      <c r="X1495" s="3" t="s">
        <v>45</v>
      </c>
      <c r="Y1495" s="3" t="s">
        <v>45</v>
      </c>
      <c r="Z1495" s="3" t="s">
        <v>74</v>
      </c>
      <c r="AA1495" s="3" t="s">
        <v>45</v>
      </c>
      <c r="AB1495" s="3" t="s">
        <v>45</v>
      </c>
      <c r="AC1495" s="3" t="s">
        <v>45</v>
      </c>
      <c r="AD1495" s="3" t="s">
        <v>45</v>
      </c>
      <c r="AE1495" s="3" t="s">
        <v>45</v>
      </c>
      <c r="AF1495" s="3" t="s">
        <v>45</v>
      </c>
      <c r="AG1495" s="3" t="s">
        <v>45</v>
      </c>
      <c r="AH1495" s="3" t="s">
        <v>9906</v>
      </c>
      <c r="AI1495" s="5" t="s">
        <v>12693</v>
      </c>
      <c r="AJ1495" s="5" t="s">
        <v>12694</v>
      </c>
      <c r="AK1495" s="3" t="s">
        <v>45</v>
      </c>
      <c r="AL1495" s="3" t="s">
        <v>45</v>
      </c>
      <c r="AM1495" s="3" t="s">
        <v>45</v>
      </c>
      <c r="AN1495" s="3" t="s">
        <v>45</v>
      </c>
      <c r="AO1495" s="3" t="s">
        <v>45</v>
      </c>
      <c r="AP1495" s="3" t="s">
        <v>45</v>
      </c>
      <c r="AQ1495" s="4" t="s">
        <v>10118</v>
      </c>
      <c r="AR1495" s="4" t="s">
        <v>9908</v>
      </c>
    </row>
    <row r="1496">
      <c r="A1496" s="3" t="s">
        <v>12695</v>
      </c>
      <c r="B1496" s="3" t="s">
        <v>12696</v>
      </c>
      <c r="C1496" s="3" t="s">
        <v>1088</v>
      </c>
      <c r="D1496" s="3" t="s">
        <v>9900</v>
      </c>
      <c r="E1496" s="4" t="s">
        <v>10097</v>
      </c>
      <c r="F1496" s="3" t="s">
        <v>9928</v>
      </c>
      <c r="G1496" s="4" t="s">
        <v>12697</v>
      </c>
      <c r="H1496" s="4" t="s">
        <v>12698</v>
      </c>
      <c r="I1496" s="3" t="s">
        <v>85</v>
      </c>
      <c r="J1496" s="3" t="s">
        <v>126</v>
      </c>
      <c r="K1496" s="3" t="s">
        <v>45</v>
      </c>
      <c r="L1496" s="3" t="s">
        <v>659</v>
      </c>
      <c r="M1496" s="3" t="s">
        <v>45</v>
      </c>
      <c r="N1496" s="3" t="s">
        <v>45</v>
      </c>
      <c r="O1496" s="3" t="s">
        <v>74</v>
      </c>
      <c r="P1496" s="3" t="s">
        <v>45</v>
      </c>
      <c r="Q1496" s="3" t="s">
        <v>45</v>
      </c>
      <c r="R1496" s="3" t="s">
        <v>45</v>
      </c>
      <c r="S1496" s="3" t="s">
        <v>45</v>
      </c>
      <c r="T1496" s="3" t="s">
        <v>45</v>
      </c>
      <c r="U1496" s="3" t="s">
        <v>45</v>
      </c>
      <c r="V1496" s="4" t="s">
        <v>12699</v>
      </c>
      <c r="W1496" s="4" t="s">
        <v>1843</v>
      </c>
      <c r="X1496" s="3" t="s">
        <v>45</v>
      </c>
      <c r="Y1496" s="3" t="s">
        <v>45</v>
      </c>
      <c r="Z1496" s="3" t="s">
        <v>74</v>
      </c>
      <c r="AA1496" s="3" t="s">
        <v>45</v>
      </c>
      <c r="AB1496" s="3" t="s">
        <v>45</v>
      </c>
      <c r="AC1496" s="3" t="s">
        <v>45</v>
      </c>
      <c r="AD1496" s="3" t="s">
        <v>45</v>
      </c>
      <c r="AE1496" s="3" t="s">
        <v>45</v>
      </c>
      <c r="AF1496" s="3" t="s">
        <v>45</v>
      </c>
      <c r="AG1496" s="3" t="s">
        <v>12700</v>
      </c>
      <c r="AH1496" s="3" t="s">
        <v>9906</v>
      </c>
      <c r="AI1496" s="5" t="s">
        <v>12701</v>
      </c>
      <c r="AJ1496" s="5" t="s">
        <v>12702</v>
      </c>
      <c r="AK1496" s="3" t="s">
        <v>45</v>
      </c>
      <c r="AL1496" s="3" t="s">
        <v>45</v>
      </c>
      <c r="AM1496" s="3" t="s">
        <v>45</v>
      </c>
      <c r="AN1496" s="3" t="s">
        <v>45</v>
      </c>
      <c r="AO1496" s="3" t="s">
        <v>45</v>
      </c>
      <c r="AP1496" s="3" t="s">
        <v>45</v>
      </c>
      <c r="AQ1496" s="4" t="s">
        <v>807</v>
      </c>
      <c r="AR1496" s="4" t="s">
        <v>9908</v>
      </c>
    </row>
    <row r="1497">
      <c r="A1497" s="3" t="s">
        <v>12703</v>
      </c>
      <c r="B1497" s="3" t="s">
        <v>12704</v>
      </c>
      <c r="C1497" s="3" t="s">
        <v>1088</v>
      </c>
      <c r="D1497" s="3" t="s">
        <v>9900</v>
      </c>
      <c r="E1497" s="4" t="s">
        <v>10097</v>
      </c>
      <c r="F1497" s="3" t="s">
        <v>9928</v>
      </c>
      <c r="G1497" s="4" t="s">
        <v>12705</v>
      </c>
      <c r="H1497" s="4" t="s">
        <v>12706</v>
      </c>
      <c r="I1497" s="3" t="s">
        <v>85</v>
      </c>
      <c r="J1497" s="3" t="s">
        <v>126</v>
      </c>
      <c r="K1497" s="3" t="s">
        <v>45</v>
      </c>
      <c r="L1497" s="3" t="s">
        <v>45</v>
      </c>
      <c r="M1497" s="3" t="s">
        <v>45</v>
      </c>
      <c r="N1497" s="3" t="s">
        <v>45</v>
      </c>
      <c r="O1497" s="3" t="s">
        <v>74</v>
      </c>
      <c r="P1497" s="3" t="s">
        <v>45</v>
      </c>
      <c r="Q1497" s="3" t="s">
        <v>45</v>
      </c>
      <c r="R1497" s="3" t="s">
        <v>45</v>
      </c>
      <c r="S1497" s="3" t="s">
        <v>45</v>
      </c>
      <c r="T1497" s="3" t="s">
        <v>45</v>
      </c>
      <c r="U1497" s="3" t="s">
        <v>45</v>
      </c>
      <c r="V1497" s="4" t="s">
        <v>12707</v>
      </c>
      <c r="W1497" s="4" t="s">
        <v>2754</v>
      </c>
      <c r="X1497" s="3" t="s">
        <v>45</v>
      </c>
      <c r="Y1497" s="3" t="s">
        <v>45</v>
      </c>
      <c r="Z1497" s="3" t="s">
        <v>74</v>
      </c>
      <c r="AA1497" s="3" t="s">
        <v>45</v>
      </c>
      <c r="AB1497" s="3" t="s">
        <v>45</v>
      </c>
      <c r="AC1497" s="3" t="s">
        <v>45</v>
      </c>
      <c r="AD1497" s="3" t="s">
        <v>45</v>
      </c>
      <c r="AE1497" s="3" t="s">
        <v>45</v>
      </c>
      <c r="AF1497" s="3" t="s">
        <v>45</v>
      </c>
      <c r="AG1497" s="3" t="s">
        <v>45</v>
      </c>
      <c r="AH1497" s="3" t="s">
        <v>9906</v>
      </c>
      <c r="AI1497" s="5" t="s">
        <v>12708</v>
      </c>
      <c r="AJ1497" s="3" t="s">
        <v>45</v>
      </c>
      <c r="AK1497" s="3" t="s">
        <v>45</v>
      </c>
      <c r="AL1497" s="3" t="s">
        <v>45</v>
      </c>
      <c r="AM1497" s="3" t="s">
        <v>45</v>
      </c>
      <c r="AN1497" s="3" t="s">
        <v>45</v>
      </c>
      <c r="AO1497" s="3" t="s">
        <v>45</v>
      </c>
      <c r="AP1497" s="3" t="s">
        <v>45</v>
      </c>
      <c r="AQ1497" s="4" t="s">
        <v>4424</v>
      </c>
      <c r="AR1497" s="4" t="s">
        <v>9908</v>
      </c>
    </row>
    <row r="1498">
      <c r="A1498" s="3" t="s">
        <v>12709</v>
      </c>
      <c r="B1498" s="3" t="s">
        <v>12710</v>
      </c>
      <c r="C1498" s="3" t="s">
        <v>1088</v>
      </c>
      <c r="D1498" s="3" t="s">
        <v>9900</v>
      </c>
      <c r="E1498" s="4" t="s">
        <v>10097</v>
      </c>
      <c r="F1498" s="3" t="s">
        <v>9928</v>
      </c>
      <c r="G1498" s="4" t="s">
        <v>12711</v>
      </c>
      <c r="H1498" s="4" t="s">
        <v>12712</v>
      </c>
      <c r="I1498" s="3" t="s">
        <v>85</v>
      </c>
      <c r="J1498" s="3" t="s">
        <v>126</v>
      </c>
      <c r="K1498" s="3" t="s">
        <v>45</v>
      </c>
      <c r="L1498" s="3" t="s">
        <v>12713</v>
      </c>
      <c r="M1498" s="3" t="s">
        <v>45</v>
      </c>
      <c r="N1498" s="3" t="s">
        <v>45</v>
      </c>
      <c r="O1498" s="3" t="s">
        <v>74</v>
      </c>
      <c r="P1498" s="3" t="s">
        <v>45</v>
      </c>
      <c r="Q1498" s="3" t="s">
        <v>45</v>
      </c>
      <c r="R1498" s="3" t="s">
        <v>45</v>
      </c>
      <c r="S1498" s="3" t="s">
        <v>45</v>
      </c>
      <c r="T1498" s="3" t="s">
        <v>45</v>
      </c>
      <c r="U1498" s="3" t="s">
        <v>45</v>
      </c>
      <c r="V1498" s="4" t="s">
        <v>12714</v>
      </c>
      <c r="W1498" s="4" t="s">
        <v>472</v>
      </c>
      <c r="X1498" s="3" t="s">
        <v>45</v>
      </c>
      <c r="Y1498" s="3" t="s">
        <v>45</v>
      </c>
      <c r="Z1498" s="3" t="s">
        <v>74</v>
      </c>
      <c r="AA1498" s="3" t="s">
        <v>45</v>
      </c>
      <c r="AB1498" s="3" t="s">
        <v>45</v>
      </c>
      <c r="AC1498" s="3" t="s">
        <v>45</v>
      </c>
      <c r="AD1498" s="3" t="s">
        <v>45</v>
      </c>
      <c r="AE1498" s="3" t="s">
        <v>45</v>
      </c>
      <c r="AF1498" s="3" t="s">
        <v>45</v>
      </c>
      <c r="AG1498" s="3" t="s">
        <v>10016</v>
      </c>
      <c r="AH1498" s="3" t="s">
        <v>9906</v>
      </c>
      <c r="AI1498" s="5" t="s">
        <v>12715</v>
      </c>
      <c r="AJ1498" s="5" t="s">
        <v>12716</v>
      </c>
      <c r="AK1498" s="3" t="s">
        <v>45</v>
      </c>
      <c r="AL1498" s="3" t="s">
        <v>45</v>
      </c>
      <c r="AM1498" s="3" t="s">
        <v>45</v>
      </c>
      <c r="AN1498" s="3" t="s">
        <v>45</v>
      </c>
      <c r="AO1498" s="3" t="s">
        <v>45</v>
      </c>
      <c r="AP1498" s="3" t="s">
        <v>45</v>
      </c>
      <c r="AQ1498" s="4" t="s">
        <v>9934</v>
      </c>
      <c r="AR1498" s="4" t="s">
        <v>9908</v>
      </c>
    </row>
    <row r="1499">
      <c r="A1499" s="3" t="s">
        <v>12717</v>
      </c>
      <c r="B1499" s="3" t="s">
        <v>12718</v>
      </c>
      <c r="C1499" s="3" t="s">
        <v>1088</v>
      </c>
      <c r="D1499" s="3" t="s">
        <v>9900</v>
      </c>
      <c r="E1499" s="4" t="s">
        <v>10097</v>
      </c>
      <c r="F1499" s="3" t="s">
        <v>9928</v>
      </c>
      <c r="G1499" s="4" t="s">
        <v>12719</v>
      </c>
      <c r="H1499" s="4" t="s">
        <v>12720</v>
      </c>
      <c r="I1499" s="3" t="s">
        <v>85</v>
      </c>
      <c r="J1499" s="3" t="s">
        <v>126</v>
      </c>
      <c r="K1499" s="3" t="s">
        <v>45</v>
      </c>
      <c r="L1499" s="3" t="s">
        <v>12721</v>
      </c>
      <c r="M1499" s="3" t="s">
        <v>45</v>
      </c>
      <c r="N1499" s="3" t="s">
        <v>45</v>
      </c>
      <c r="O1499" s="3" t="s">
        <v>74</v>
      </c>
      <c r="P1499" s="3" t="s">
        <v>45</v>
      </c>
      <c r="Q1499" s="3" t="s">
        <v>45</v>
      </c>
      <c r="R1499" s="3" t="s">
        <v>45</v>
      </c>
      <c r="S1499" s="3" t="s">
        <v>45</v>
      </c>
      <c r="T1499" s="3" t="s">
        <v>45</v>
      </c>
      <c r="U1499" s="3" t="s">
        <v>45</v>
      </c>
      <c r="V1499" s="4" t="s">
        <v>12722</v>
      </c>
      <c r="W1499" s="4" t="s">
        <v>472</v>
      </c>
      <c r="X1499" s="3" t="s">
        <v>45</v>
      </c>
      <c r="Y1499" s="3" t="s">
        <v>45</v>
      </c>
      <c r="Z1499" s="3" t="s">
        <v>74</v>
      </c>
      <c r="AA1499" s="3" t="s">
        <v>45</v>
      </c>
      <c r="AB1499" s="3" t="s">
        <v>45</v>
      </c>
      <c r="AC1499" s="3" t="s">
        <v>45</v>
      </c>
      <c r="AD1499" s="3" t="s">
        <v>45</v>
      </c>
      <c r="AE1499" s="3" t="s">
        <v>45</v>
      </c>
      <c r="AF1499" s="3" t="s">
        <v>45</v>
      </c>
      <c r="AG1499" s="3" t="s">
        <v>10016</v>
      </c>
      <c r="AH1499" s="3" t="s">
        <v>9906</v>
      </c>
      <c r="AI1499" s="5" t="s">
        <v>12723</v>
      </c>
      <c r="AJ1499" s="3" t="s">
        <v>45</v>
      </c>
      <c r="AK1499" s="3" t="s">
        <v>45</v>
      </c>
      <c r="AL1499" s="3" t="s">
        <v>45</v>
      </c>
      <c r="AM1499" s="3" t="s">
        <v>45</v>
      </c>
      <c r="AN1499" s="3" t="s">
        <v>45</v>
      </c>
      <c r="AO1499" s="3" t="s">
        <v>45</v>
      </c>
      <c r="AP1499" s="3" t="s">
        <v>45</v>
      </c>
      <c r="AQ1499" s="4" t="s">
        <v>9934</v>
      </c>
      <c r="AR1499" s="4" t="s">
        <v>9908</v>
      </c>
    </row>
    <row r="1500">
      <c r="A1500" s="3" t="s">
        <v>12724</v>
      </c>
      <c r="B1500" s="3" t="s">
        <v>12725</v>
      </c>
      <c r="C1500" s="3" t="s">
        <v>1088</v>
      </c>
      <c r="D1500" s="3" t="s">
        <v>9900</v>
      </c>
      <c r="E1500" s="4" t="s">
        <v>10097</v>
      </c>
      <c r="F1500" s="3" t="s">
        <v>9928</v>
      </c>
      <c r="G1500" s="4" t="s">
        <v>12726</v>
      </c>
      <c r="H1500" s="4" t="s">
        <v>12727</v>
      </c>
      <c r="I1500" s="3" t="s">
        <v>85</v>
      </c>
      <c r="J1500" s="3" t="s">
        <v>126</v>
      </c>
      <c r="K1500" s="3" t="s">
        <v>45</v>
      </c>
      <c r="L1500" s="3" t="s">
        <v>45</v>
      </c>
      <c r="M1500" s="3" t="s">
        <v>45</v>
      </c>
      <c r="N1500" s="3" t="s">
        <v>45</v>
      </c>
      <c r="O1500" s="3" t="s">
        <v>74</v>
      </c>
      <c r="P1500" s="3" t="s">
        <v>45</v>
      </c>
      <c r="Q1500" s="3" t="s">
        <v>45</v>
      </c>
      <c r="R1500" s="3" t="s">
        <v>45</v>
      </c>
      <c r="S1500" s="3" t="s">
        <v>45</v>
      </c>
      <c r="T1500" s="3" t="s">
        <v>45</v>
      </c>
      <c r="U1500" s="3" t="s">
        <v>45</v>
      </c>
      <c r="V1500" s="3" t="s">
        <v>45</v>
      </c>
      <c r="W1500" s="3" t="s">
        <v>45</v>
      </c>
      <c r="X1500" s="3" t="s">
        <v>45</v>
      </c>
      <c r="Y1500" s="3" t="s">
        <v>45</v>
      </c>
      <c r="Z1500" s="3" t="s">
        <v>74</v>
      </c>
      <c r="AA1500" s="3" t="s">
        <v>45</v>
      </c>
      <c r="AB1500" s="3" t="s">
        <v>45</v>
      </c>
      <c r="AC1500" s="3" t="s">
        <v>45</v>
      </c>
      <c r="AD1500" s="3" t="s">
        <v>45</v>
      </c>
      <c r="AE1500" s="3" t="s">
        <v>45</v>
      </c>
      <c r="AF1500" s="3" t="s">
        <v>45</v>
      </c>
      <c r="AG1500" s="3" t="s">
        <v>45</v>
      </c>
      <c r="AH1500" s="3" t="s">
        <v>57</v>
      </c>
      <c r="AI1500" s="5" t="s">
        <v>12540</v>
      </c>
      <c r="AJ1500" s="3" t="s">
        <v>45</v>
      </c>
      <c r="AK1500" s="3" t="s">
        <v>45</v>
      </c>
      <c r="AL1500" s="3" t="s">
        <v>45</v>
      </c>
      <c r="AM1500" s="3" t="s">
        <v>45</v>
      </c>
      <c r="AN1500" s="3" t="s">
        <v>45</v>
      </c>
      <c r="AO1500" s="3" t="s">
        <v>45</v>
      </c>
      <c r="AP1500" s="3" t="s">
        <v>45</v>
      </c>
      <c r="AQ1500" s="4" t="s">
        <v>661</v>
      </c>
      <c r="AR1500" s="4" t="s">
        <v>661</v>
      </c>
    </row>
    <row r="1501">
      <c r="A1501" s="3" t="s">
        <v>12728</v>
      </c>
      <c r="B1501" s="3" t="s">
        <v>12729</v>
      </c>
      <c r="C1501" s="3" t="s">
        <v>1088</v>
      </c>
      <c r="D1501" s="3" t="s">
        <v>9900</v>
      </c>
      <c r="E1501" s="4" t="s">
        <v>10097</v>
      </c>
      <c r="F1501" s="3" t="s">
        <v>9928</v>
      </c>
      <c r="G1501" s="4" t="s">
        <v>12730</v>
      </c>
      <c r="H1501" s="4" t="s">
        <v>12731</v>
      </c>
      <c r="I1501" s="3" t="s">
        <v>85</v>
      </c>
      <c r="J1501" s="3" t="s">
        <v>126</v>
      </c>
      <c r="K1501" s="3" t="s">
        <v>45</v>
      </c>
      <c r="L1501" s="3" t="s">
        <v>12732</v>
      </c>
      <c r="M1501" s="3" t="s">
        <v>45</v>
      </c>
      <c r="N1501" s="3" t="s">
        <v>45</v>
      </c>
      <c r="O1501" s="3" t="s">
        <v>74</v>
      </c>
      <c r="P1501" s="3" t="s">
        <v>45</v>
      </c>
      <c r="Q1501" s="3" t="s">
        <v>45</v>
      </c>
      <c r="R1501" s="3" t="s">
        <v>45</v>
      </c>
      <c r="S1501" s="3" t="s">
        <v>45</v>
      </c>
      <c r="T1501" s="3" t="s">
        <v>45</v>
      </c>
      <c r="U1501" s="3" t="s">
        <v>45</v>
      </c>
      <c r="V1501" s="4" t="s">
        <v>12733</v>
      </c>
      <c r="W1501" s="4" t="s">
        <v>259</v>
      </c>
      <c r="X1501" s="3" t="s">
        <v>45</v>
      </c>
      <c r="Y1501" s="3" t="s">
        <v>45</v>
      </c>
      <c r="Z1501" s="3" t="s">
        <v>74</v>
      </c>
      <c r="AA1501" s="3" t="s">
        <v>45</v>
      </c>
      <c r="AB1501" s="3" t="s">
        <v>45</v>
      </c>
      <c r="AC1501" s="3" t="s">
        <v>45</v>
      </c>
      <c r="AD1501" s="3" t="s">
        <v>45</v>
      </c>
      <c r="AE1501" s="3" t="s">
        <v>45</v>
      </c>
      <c r="AF1501" s="3" t="s">
        <v>45</v>
      </c>
      <c r="AG1501" s="3" t="s">
        <v>10016</v>
      </c>
      <c r="AH1501" s="3" t="s">
        <v>9906</v>
      </c>
      <c r="AI1501" s="5" t="s">
        <v>12734</v>
      </c>
      <c r="AJ1501" s="3" t="s">
        <v>45</v>
      </c>
      <c r="AK1501" s="3" t="s">
        <v>45</v>
      </c>
      <c r="AL1501" s="3" t="s">
        <v>45</v>
      </c>
      <c r="AM1501" s="3" t="s">
        <v>45</v>
      </c>
      <c r="AN1501" s="3" t="s">
        <v>45</v>
      </c>
      <c r="AO1501" s="3" t="s">
        <v>45</v>
      </c>
      <c r="AP1501" s="3" t="s">
        <v>45</v>
      </c>
      <c r="AQ1501" s="4" t="s">
        <v>9934</v>
      </c>
      <c r="AR1501" s="4" t="s">
        <v>9908</v>
      </c>
    </row>
    <row r="1502">
      <c r="A1502" s="3" t="s">
        <v>12735</v>
      </c>
      <c r="B1502" s="3" t="s">
        <v>12736</v>
      </c>
      <c r="C1502" s="3" t="s">
        <v>1088</v>
      </c>
      <c r="D1502" s="3" t="s">
        <v>9900</v>
      </c>
      <c r="E1502" s="4" t="s">
        <v>10097</v>
      </c>
      <c r="F1502" s="3" t="s">
        <v>9928</v>
      </c>
      <c r="G1502" s="4" t="s">
        <v>12737</v>
      </c>
      <c r="H1502" s="4" t="s">
        <v>12738</v>
      </c>
      <c r="I1502" s="3" t="s">
        <v>49</v>
      </c>
      <c r="J1502" s="3" t="s">
        <v>126</v>
      </c>
      <c r="K1502" s="3" t="s">
        <v>45</v>
      </c>
      <c r="L1502" s="3" t="s">
        <v>45</v>
      </c>
      <c r="M1502" s="3" t="s">
        <v>45</v>
      </c>
      <c r="N1502" s="3" t="s">
        <v>45</v>
      </c>
      <c r="O1502" s="3" t="s">
        <v>74</v>
      </c>
      <c r="P1502" s="3" t="s">
        <v>45</v>
      </c>
      <c r="Q1502" s="3" t="s">
        <v>45</v>
      </c>
      <c r="R1502" s="3" t="s">
        <v>45</v>
      </c>
      <c r="S1502" s="3" t="s">
        <v>45</v>
      </c>
      <c r="T1502" s="3" t="s">
        <v>45</v>
      </c>
      <c r="U1502" s="3" t="s">
        <v>45</v>
      </c>
      <c r="V1502" s="4" t="s">
        <v>12739</v>
      </c>
      <c r="W1502" s="4" t="s">
        <v>8439</v>
      </c>
      <c r="X1502" s="3" t="s">
        <v>45</v>
      </c>
      <c r="Y1502" s="3" t="s">
        <v>45</v>
      </c>
      <c r="Z1502" s="3" t="s">
        <v>74</v>
      </c>
      <c r="AA1502" s="3" t="s">
        <v>45</v>
      </c>
      <c r="AB1502" s="3" t="s">
        <v>45</v>
      </c>
      <c r="AC1502" s="3" t="s">
        <v>45</v>
      </c>
      <c r="AD1502" s="3" t="s">
        <v>45</v>
      </c>
      <c r="AE1502" s="3" t="s">
        <v>45</v>
      </c>
      <c r="AF1502" s="3" t="s">
        <v>45</v>
      </c>
      <c r="AG1502" s="3" t="s">
        <v>45</v>
      </c>
      <c r="AH1502" s="3" t="s">
        <v>9906</v>
      </c>
      <c r="AI1502" s="5" t="s">
        <v>12740</v>
      </c>
      <c r="AJ1502" s="5" t="s">
        <v>12741</v>
      </c>
      <c r="AK1502" s="3" t="s">
        <v>45</v>
      </c>
      <c r="AL1502" s="3" t="s">
        <v>45</v>
      </c>
      <c r="AM1502" s="3" t="s">
        <v>45</v>
      </c>
      <c r="AN1502" s="3" t="s">
        <v>45</v>
      </c>
      <c r="AO1502" s="3" t="s">
        <v>45</v>
      </c>
      <c r="AP1502" s="3" t="s">
        <v>45</v>
      </c>
      <c r="AQ1502" s="4" t="s">
        <v>807</v>
      </c>
      <c r="AR1502" s="4" t="s">
        <v>9908</v>
      </c>
    </row>
    <row r="1503">
      <c r="A1503" s="3" t="s">
        <v>12742</v>
      </c>
      <c r="B1503" s="3" t="s">
        <v>12743</v>
      </c>
      <c r="C1503" s="3" t="s">
        <v>1088</v>
      </c>
      <c r="D1503" s="3" t="s">
        <v>9900</v>
      </c>
      <c r="E1503" s="4" t="s">
        <v>10097</v>
      </c>
      <c r="F1503" s="3" t="s">
        <v>9928</v>
      </c>
      <c r="G1503" s="4" t="s">
        <v>12744</v>
      </c>
      <c r="H1503" s="4" t="s">
        <v>12745</v>
      </c>
      <c r="I1503" s="3" t="s">
        <v>49</v>
      </c>
      <c r="J1503" s="3" t="s">
        <v>126</v>
      </c>
      <c r="K1503" s="3" t="s">
        <v>45</v>
      </c>
      <c r="L1503" s="3" t="s">
        <v>479</v>
      </c>
      <c r="M1503" s="3" t="s">
        <v>45</v>
      </c>
      <c r="N1503" s="3" t="s">
        <v>45</v>
      </c>
      <c r="O1503" s="3" t="s">
        <v>74</v>
      </c>
      <c r="P1503" s="3" t="s">
        <v>45</v>
      </c>
      <c r="Q1503" s="3" t="s">
        <v>45</v>
      </c>
      <c r="R1503" s="3" t="s">
        <v>45</v>
      </c>
      <c r="S1503" s="3" t="s">
        <v>45</v>
      </c>
      <c r="T1503" s="3" t="s">
        <v>45</v>
      </c>
      <c r="U1503" s="3" t="s">
        <v>45</v>
      </c>
      <c r="V1503" s="4" t="s">
        <v>12746</v>
      </c>
      <c r="W1503" s="4" t="s">
        <v>259</v>
      </c>
      <c r="X1503" s="3" t="s">
        <v>45</v>
      </c>
      <c r="Y1503" s="3" t="s">
        <v>45</v>
      </c>
      <c r="Z1503" s="3" t="s">
        <v>74</v>
      </c>
      <c r="AA1503" s="3" t="s">
        <v>45</v>
      </c>
      <c r="AB1503" s="3" t="s">
        <v>45</v>
      </c>
      <c r="AC1503" s="3" t="s">
        <v>45</v>
      </c>
      <c r="AD1503" s="3" t="s">
        <v>45</v>
      </c>
      <c r="AE1503" s="3" t="s">
        <v>45</v>
      </c>
      <c r="AF1503" s="3" t="s">
        <v>45</v>
      </c>
      <c r="AG1503" s="3" t="s">
        <v>9916</v>
      </c>
      <c r="AH1503" s="3" t="s">
        <v>9906</v>
      </c>
      <c r="AI1503" s="5" t="s">
        <v>12747</v>
      </c>
      <c r="AJ1503" s="5" t="s">
        <v>12748</v>
      </c>
      <c r="AK1503" s="3" t="s">
        <v>45</v>
      </c>
      <c r="AL1503" s="3" t="s">
        <v>45</v>
      </c>
      <c r="AM1503" s="3" t="s">
        <v>45</v>
      </c>
      <c r="AN1503" s="3" t="s">
        <v>45</v>
      </c>
      <c r="AO1503" s="3" t="s">
        <v>45</v>
      </c>
      <c r="AP1503" s="3" t="s">
        <v>45</v>
      </c>
      <c r="AQ1503" s="4" t="s">
        <v>9934</v>
      </c>
      <c r="AR1503" s="4" t="s">
        <v>9908</v>
      </c>
    </row>
    <row r="1504">
      <c r="A1504" s="3" t="s">
        <v>12749</v>
      </c>
      <c r="B1504" s="3" t="s">
        <v>12750</v>
      </c>
      <c r="C1504" s="3" t="s">
        <v>1088</v>
      </c>
      <c r="D1504" s="3" t="s">
        <v>9900</v>
      </c>
      <c r="E1504" s="4" t="s">
        <v>10097</v>
      </c>
      <c r="F1504" s="3" t="s">
        <v>9928</v>
      </c>
      <c r="G1504" s="4" t="s">
        <v>12751</v>
      </c>
      <c r="H1504" s="4" t="s">
        <v>12752</v>
      </c>
      <c r="I1504" s="3" t="s">
        <v>49</v>
      </c>
      <c r="J1504" s="3" t="s">
        <v>126</v>
      </c>
      <c r="K1504" s="3" t="s">
        <v>45</v>
      </c>
      <c r="L1504" s="3" t="s">
        <v>479</v>
      </c>
      <c r="M1504" s="3" t="s">
        <v>45</v>
      </c>
      <c r="N1504" s="3" t="s">
        <v>45</v>
      </c>
      <c r="O1504" s="3" t="s">
        <v>74</v>
      </c>
      <c r="P1504" s="3" t="s">
        <v>45</v>
      </c>
      <c r="Q1504" s="3" t="s">
        <v>45</v>
      </c>
      <c r="R1504" s="3" t="s">
        <v>45</v>
      </c>
      <c r="S1504" s="3" t="s">
        <v>45</v>
      </c>
      <c r="T1504" s="3" t="s">
        <v>45</v>
      </c>
      <c r="U1504" s="3" t="s">
        <v>45</v>
      </c>
      <c r="V1504" s="4" t="s">
        <v>2298</v>
      </c>
      <c r="W1504" s="4" t="s">
        <v>1872</v>
      </c>
      <c r="X1504" s="3" t="s">
        <v>45</v>
      </c>
      <c r="Y1504" s="3" t="s">
        <v>45</v>
      </c>
      <c r="Z1504" s="3" t="s">
        <v>74</v>
      </c>
      <c r="AA1504" s="3" t="s">
        <v>45</v>
      </c>
      <c r="AB1504" s="3" t="s">
        <v>45</v>
      </c>
      <c r="AC1504" s="3" t="s">
        <v>45</v>
      </c>
      <c r="AD1504" s="3" t="s">
        <v>45</v>
      </c>
      <c r="AE1504" s="3" t="s">
        <v>45</v>
      </c>
      <c r="AF1504" s="3" t="s">
        <v>45</v>
      </c>
      <c r="AG1504" s="3" t="s">
        <v>9916</v>
      </c>
      <c r="AH1504" s="3" t="s">
        <v>9906</v>
      </c>
      <c r="AI1504" s="5" t="s">
        <v>12747</v>
      </c>
      <c r="AJ1504" s="5" t="s">
        <v>12753</v>
      </c>
      <c r="AK1504" s="3" t="s">
        <v>45</v>
      </c>
      <c r="AL1504" s="3" t="s">
        <v>45</v>
      </c>
      <c r="AM1504" s="3" t="s">
        <v>45</v>
      </c>
      <c r="AN1504" s="3" t="s">
        <v>45</v>
      </c>
      <c r="AO1504" s="3" t="s">
        <v>45</v>
      </c>
      <c r="AP1504" s="3" t="s">
        <v>45</v>
      </c>
      <c r="AQ1504" s="4" t="s">
        <v>9934</v>
      </c>
      <c r="AR1504" s="4" t="s">
        <v>9908</v>
      </c>
    </row>
    <row r="1505">
      <c r="A1505" s="3" t="s">
        <v>12754</v>
      </c>
      <c r="B1505" s="3" t="s">
        <v>12755</v>
      </c>
      <c r="C1505" s="3" t="s">
        <v>1088</v>
      </c>
      <c r="D1505" s="3" t="s">
        <v>9900</v>
      </c>
      <c r="E1505" s="4" t="s">
        <v>10097</v>
      </c>
      <c r="F1505" s="3" t="s">
        <v>9928</v>
      </c>
      <c r="G1505" s="4" t="s">
        <v>12756</v>
      </c>
      <c r="H1505" s="4" t="s">
        <v>12757</v>
      </c>
      <c r="I1505" s="3" t="s">
        <v>85</v>
      </c>
      <c r="J1505" s="3" t="s">
        <v>126</v>
      </c>
      <c r="K1505" s="3" t="s">
        <v>45</v>
      </c>
      <c r="L1505" s="3" t="s">
        <v>479</v>
      </c>
      <c r="M1505" s="3" t="s">
        <v>45</v>
      </c>
      <c r="N1505" s="3" t="s">
        <v>45</v>
      </c>
      <c r="O1505" s="3" t="s">
        <v>74</v>
      </c>
      <c r="P1505" s="3" t="s">
        <v>45</v>
      </c>
      <c r="Q1505" s="3" t="s">
        <v>45</v>
      </c>
      <c r="R1505" s="3" t="s">
        <v>45</v>
      </c>
      <c r="S1505" s="3" t="s">
        <v>45</v>
      </c>
      <c r="T1505" s="3" t="s">
        <v>45</v>
      </c>
      <c r="U1505" s="3" t="s">
        <v>45</v>
      </c>
      <c r="V1505" s="4" t="s">
        <v>12758</v>
      </c>
      <c r="W1505" s="4" t="s">
        <v>2982</v>
      </c>
      <c r="X1505" s="3" t="s">
        <v>45</v>
      </c>
      <c r="Y1505" s="3" t="s">
        <v>45</v>
      </c>
      <c r="Z1505" s="3" t="s">
        <v>74</v>
      </c>
      <c r="AA1505" s="3" t="s">
        <v>45</v>
      </c>
      <c r="AB1505" s="3" t="s">
        <v>45</v>
      </c>
      <c r="AC1505" s="3" t="s">
        <v>45</v>
      </c>
      <c r="AD1505" s="3" t="s">
        <v>45</v>
      </c>
      <c r="AE1505" s="3" t="s">
        <v>45</v>
      </c>
      <c r="AF1505" s="3" t="s">
        <v>45</v>
      </c>
      <c r="AG1505" s="3" t="s">
        <v>10016</v>
      </c>
      <c r="AH1505" s="3" t="s">
        <v>9906</v>
      </c>
      <c r="AI1505" s="5" t="s">
        <v>12759</v>
      </c>
      <c r="AJ1505" s="3" t="s">
        <v>45</v>
      </c>
      <c r="AK1505" s="3" t="s">
        <v>45</v>
      </c>
      <c r="AL1505" s="3" t="s">
        <v>45</v>
      </c>
      <c r="AM1505" s="3" t="s">
        <v>45</v>
      </c>
      <c r="AN1505" s="3" t="s">
        <v>45</v>
      </c>
      <c r="AO1505" s="3" t="s">
        <v>45</v>
      </c>
      <c r="AP1505" s="3" t="s">
        <v>45</v>
      </c>
      <c r="AQ1505" s="4" t="s">
        <v>9934</v>
      </c>
      <c r="AR1505" s="4" t="s">
        <v>9908</v>
      </c>
    </row>
    <row r="1506">
      <c r="A1506" s="3" t="s">
        <v>12760</v>
      </c>
      <c r="B1506" s="3" t="s">
        <v>12761</v>
      </c>
      <c r="C1506" s="3" t="s">
        <v>1088</v>
      </c>
      <c r="D1506" s="3" t="s">
        <v>9900</v>
      </c>
      <c r="E1506" s="4" t="s">
        <v>10097</v>
      </c>
      <c r="F1506" s="3" t="s">
        <v>9928</v>
      </c>
      <c r="G1506" s="4" t="s">
        <v>12762</v>
      </c>
      <c r="H1506" s="4" t="s">
        <v>12763</v>
      </c>
      <c r="I1506" s="3" t="s">
        <v>85</v>
      </c>
      <c r="J1506" s="3" t="s">
        <v>126</v>
      </c>
      <c r="K1506" s="3" t="s">
        <v>45</v>
      </c>
      <c r="L1506" s="3" t="s">
        <v>45</v>
      </c>
      <c r="M1506" s="3" t="s">
        <v>45</v>
      </c>
      <c r="N1506" s="3" t="s">
        <v>45</v>
      </c>
      <c r="O1506" s="3" t="s">
        <v>74</v>
      </c>
      <c r="P1506" s="3" t="s">
        <v>45</v>
      </c>
      <c r="Q1506" s="3" t="s">
        <v>45</v>
      </c>
      <c r="R1506" s="3" t="s">
        <v>45</v>
      </c>
      <c r="S1506" s="3" t="s">
        <v>45</v>
      </c>
      <c r="T1506" s="3" t="s">
        <v>45</v>
      </c>
      <c r="U1506" s="3" t="s">
        <v>45</v>
      </c>
      <c r="V1506" s="4" t="s">
        <v>12764</v>
      </c>
      <c r="W1506" s="4" t="s">
        <v>275</v>
      </c>
      <c r="X1506" s="3" t="s">
        <v>45</v>
      </c>
      <c r="Y1506" s="3" t="s">
        <v>45</v>
      </c>
      <c r="Z1506" s="3" t="s">
        <v>74</v>
      </c>
      <c r="AA1506" s="3" t="s">
        <v>45</v>
      </c>
      <c r="AB1506" s="3" t="s">
        <v>45</v>
      </c>
      <c r="AC1506" s="3" t="s">
        <v>45</v>
      </c>
      <c r="AD1506" s="3" t="s">
        <v>45</v>
      </c>
      <c r="AE1506" s="3" t="s">
        <v>45</v>
      </c>
      <c r="AF1506" s="3" t="s">
        <v>45</v>
      </c>
      <c r="AG1506" s="3" t="s">
        <v>10016</v>
      </c>
      <c r="AH1506" s="3" t="s">
        <v>9906</v>
      </c>
      <c r="AI1506" s="5" t="s">
        <v>12765</v>
      </c>
      <c r="AJ1506" s="5" t="s">
        <v>12765</v>
      </c>
      <c r="AK1506" s="3" t="s">
        <v>45</v>
      </c>
      <c r="AL1506" s="3" t="s">
        <v>45</v>
      </c>
      <c r="AM1506" s="3" t="s">
        <v>45</v>
      </c>
      <c r="AN1506" s="3" t="s">
        <v>45</v>
      </c>
      <c r="AO1506" s="3" t="s">
        <v>45</v>
      </c>
      <c r="AP1506" s="3" t="s">
        <v>45</v>
      </c>
      <c r="AQ1506" s="4" t="s">
        <v>12766</v>
      </c>
      <c r="AR1506" s="4" t="s">
        <v>9908</v>
      </c>
    </row>
    <row r="1507">
      <c r="A1507" s="3" t="s">
        <v>12767</v>
      </c>
      <c r="B1507" s="3" t="s">
        <v>12768</v>
      </c>
      <c r="C1507" s="3" t="s">
        <v>1088</v>
      </c>
      <c r="D1507" s="3" t="s">
        <v>9900</v>
      </c>
      <c r="E1507" s="4" t="s">
        <v>10097</v>
      </c>
      <c r="F1507" s="3" t="s">
        <v>9928</v>
      </c>
      <c r="G1507" s="4" t="s">
        <v>12769</v>
      </c>
      <c r="H1507" s="4" t="s">
        <v>12770</v>
      </c>
      <c r="I1507" s="3" t="s">
        <v>49</v>
      </c>
      <c r="J1507" s="3" t="s">
        <v>126</v>
      </c>
      <c r="K1507" s="3" t="s">
        <v>45</v>
      </c>
      <c r="L1507" s="3" t="s">
        <v>12490</v>
      </c>
      <c r="M1507" s="3" t="s">
        <v>45</v>
      </c>
      <c r="N1507" s="3" t="s">
        <v>45</v>
      </c>
      <c r="O1507" s="3" t="s">
        <v>74</v>
      </c>
      <c r="P1507" s="3" t="s">
        <v>45</v>
      </c>
      <c r="Q1507" s="3" t="s">
        <v>45</v>
      </c>
      <c r="R1507" s="3" t="s">
        <v>45</v>
      </c>
      <c r="S1507" s="3" t="s">
        <v>45</v>
      </c>
      <c r="T1507" s="3" t="s">
        <v>45</v>
      </c>
      <c r="U1507" s="3" t="s">
        <v>45</v>
      </c>
      <c r="V1507" s="4" t="s">
        <v>12771</v>
      </c>
      <c r="W1507" s="4" t="s">
        <v>52</v>
      </c>
      <c r="X1507" s="3" t="s">
        <v>45</v>
      </c>
      <c r="Y1507" s="3" t="s">
        <v>45</v>
      </c>
      <c r="Z1507" s="3" t="s">
        <v>74</v>
      </c>
      <c r="AA1507" s="3" t="s">
        <v>45</v>
      </c>
      <c r="AB1507" s="3" t="s">
        <v>45</v>
      </c>
      <c r="AC1507" s="3" t="s">
        <v>45</v>
      </c>
      <c r="AD1507" s="3" t="s">
        <v>45</v>
      </c>
      <c r="AE1507" s="3" t="s">
        <v>45</v>
      </c>
      <c r="AF1507" s="3" t="s">
        <v>45</v>
      </c>
      <c r="AG1507" s="3" t="s">
        <v>45</v>
      </c>
      <c r="AH1507" s="3" t="s">
        <v>9906</v>
      </c>
      <c r="AI1507" s="5" t="s">
        <v>12772</v>
      </c>
      <c r="AJ1507" s="5" t="s">
        <v>12773</v>
      </c>
      <c r="AK1507" s="3" t="s">
        <v>45</v>
      </c>
      <c r="AL1507" s="3" t="s">
        <v>45</v>
      </c>
      <c r="AM1507" s="3" t="s">
        <v>45</v>
      </c>
      <c r="AN1507" s="3" t="s">
        <v>45</v>
      </c>
      <c r="AO1507" s="3" t="s">
        <v>45</v>
      </c>
      <c r="AP1507" s="3" t="s">
        <v>45</v>
      </c>
      <c r="AQ1507" s="4" t="s">
        <v>603</v>
      </c>
      <c r="AR1507" s="4" t="s">
        <v>9908</v>
      </c>
    </row>
    <row r="1508">
      <c r="A1508" s="3" t="s">
        <v>12774</v>
      </c>
      <c r="B1508" s="3" t="s">
        <v>12775</v>
      </c>
      <c r="C1508" s="3" t="s">
        <v>1088</v>
      </c>
      <c r="D1508" s="3" t="s">
        <v>9900</v>
      </c>
      <c r="E1508" s="4" t="s">
        <v>10097</v>
      </c>
      <c r="F1508" s="3" t="s">
        <v>9928</v>
      </c>
      <c r="G1508" s="4" t="s">
        <v>12776</v>
      </c>
      <c r="H1508" s="4" t="s">
        <v>12777</v>
      </c>
      <c r="I1508" s="3" t="s">
        <v>85</v>
      </c>
      <c r="J1508" s="3" t="s">
        <v>126</v>
      </c>
      <c r="K1508" s="3" t="s">
        <v>45</v>
      </c>
      <c r="L1508" s="3" t="s">
        <v>45</v>
      </c>
      <c r="M1508" s="3" t="s">
        <v>45</v>
      </c>
      <c r="N1508" s="3" t="s">
        <v>45</v>
      </c>
      <c r="O1508" s="3" t="s">
        <v>74</v>
      </c>
      <c r="P1508" s="3" t="s">
        <v>45</v>
      </c>
      <c r="Q1508" s="3" t="s">
        <v>45</v>
      </c>
      <c r="R1508" s="3" t="s">
        <v>45</v>
      </c>
      <c r="S1508" s="3" t="s">
        <v>45</v>
      </c>
      <c r="T1508" s="3" t="s">
        <v>45</v>
      </c>
      <c r="U1508" s="3" t="s">
        <v>45</v>
      </c>
      <c r="V1508" s="4" t="s">
        <v>12764</v>
      </c>
      <c r="W1508" s="4" t="s">
        <v>275</v>
      </c>
      <c r="X1508" s="3" t="s">
        <v>45</v>
      </c>
      <c r="Y1508" s="3" t="s">
        <v>45</v>
      </c>
      <c r="Z1508" s="3" t="s">
        <v>74</v>
      </c>
      <c r="AA1508" s="3" t="s">
        <v>45</v>
      </c>
      <c r="AB1508" s="3" t="s">
        <v>45</v>
      </c>
      <c r="AC1508" s="3" t="s">
        <v>45</v>
      </c>
      <c r="AD1508" s="3" t="s">
        <v>45</v>
      </c>
      <c r="AE1508" s="3" t="s">
        <v>45</v>
      </c>
      <c r="AF1508" s="3" t="s">
        <v>45</v>
      </c>
      <c r="AG1508" s="3" t="s">
        <v>10016</v>
      </c>
      <c r="AH1508" s="3" t="s">
        <v>9906</v>
      </c>
      <c r="AI1508" s="5" t="s">
        <v>12778</v>
      </c>
      <c r="AJ1508" s="5" t="s">
        <v>12778</v>
      </c>
      <c r="AK1508" s="3" t="s">
        <v>45</v>
      </c>
      <c r="AL1508" s="3" t="s">
        <v>45</v>
      </c>
      <c r="AM1508" s="3" t="s">
        <v>45</v>
      </c>
      <c r="AN1508" s="3" t="s">
        <v>45</v>
      </c>
      <c r="AO1508" s="3" t="s">
        <v>45</v>
      </c>
      <c r="AP1508" s="3" t="s">
        <v>45</v>
      </c>
      <c r="AQ1508" s="4" t="s">
        <v>12766</v>
      </c>
      <c r="AR1508" s="4" t="s">
        <v>9908</v>
      </c>
    </row>
    <row r="1509">
      <c r="A1509" s="3" t="s">
        <v>12779</v>
      </c>
      <c r="B1509" s="3" t="s">
        <v>12780</v>
      </c>
      <c r="C1509" s="3" t="s">
        <v>1088</v>
      </c>
      <c r="D1509" s="3" t="s">
        <v>9900</v>
      </c>
      <c r="E1509" s="4" t="s">
        <v>10097</v>
      </c>
      <c r="F1509" s="3" t="s">
        <v>9928</v>
      </c>
      <c r="G1509" s="4" t="s">
        <v>12781</v>
      </c>
      <c r="H1509" s="4" t="s">
        <v>12782</v>
      </c>
      <c r="I1509" s="3" t="s">
        <v>85</v>
      </c>
      <c r="J1509" s="3" t="s">
        <v>126</v>
      </c>
      <c r="K1509" s="3" t="s">
        <v>45</v>
      </c>
      <c r="L1509" s="3" t="s">
        <v>45</v>
      </c>
      <c r="M1509" s="3" t="s">
        <v>45</v>
      </c>
      <c r="N1509" s="3" t="s">
        <v>45</v>
      </c>
      <c r="O1509" s="3" t="s">
        <v>74</v>
      </c>
      <c r="P1509" s="3" t="s">
        <v>45</v>
      </c>
      <c r="Q1509" s="3" t="s">
        <v>45</v>
      </c>
      <c r="R1509" s="3" t="s">
        <v>45</v>
      </c>
      <c r="S1509" s="3" t="s">
        <v>45</v>
      </c>
      <c r="T1509" s="3" t="s">
        <v>45</v>
      </c>
      <c r="U1509" s="3" t="s">
        <v>45</v>
      </c>
      <c r="V1509" s="4" t="s">
        <v>12764</v>
      </c>
      <c r="W1509" s="4" t="s">
        <v>275</v>
      </c>
      <c r="X1509" s="3" t="s">
        <v>45</v>
      </c>
      <c r="Y1509" s="3" t="s">
        <v>45</v>
      </c>
      <c r="Z1509" s="3" t="s">
        <v>74</v>
      </c>
      <c r="AA1509" s="3" t="s">
        <v>45</v>
      </c>
      <c r="AB1509" s="3" t="s">
        <v>45</v>
      </c>
      <c r="AC1509" s="3" t="s">
        <v>45</v>
      </c>
      <c r="AD1509" s="3" t="s">
        <v>45</v>
      </c>
      <c r="AE1509" s="3" t="s">
        <v>45</v>
      </c>
      <c r="AF1509" s="3" t="s">
        <v>45</v>
      </c>
      <c r="AG1509" s="3" t="s">
        <v>10016</v>
      </c>
      <c r="AH1509" s="3" t="s">
        <v>9906</v>
      </c>
      <c r="AI1509" s="5" t="s">
        <v>12783</v>
      </c>
      <c r="AJ1509" s="5" t="s">
        <v>12783</v>
      </c>
      <c r="AK1509" s="3" t="s">
        <v>45</v>
      </c>
      <c r="AL1509" s="3" t="s">
        <v>45</v>
      </c>
      <c r="AM1509" s="3" t="s">
        <v>45</v>
      </c>
      <c r="AN1509" s="3" t="s">
        <v>45</v>
      </c>
      <c r="AO1509" s="3" t="s">
        <v>45</v>
      </c>
      <c r="AP1509" s="3" t="s">
        <v>45</v>
      </c>
      <c r="AQ1509" s="4" t="s">
        <v>807</v>
      </c>
      <c r="AR1509" s="4" t="s">
        <v>9908</v>
      </c>
    </row>
    <row r="1510">
      <c r="A1510" s="3" t="s">
        <v>12784</v>
      </c>
      <c r="B1510" s="3" t="s">
        <v>12785</v>
      </c>
      <c r="C1510" s="3" t="s">
        <v>1088</v>
      </c>
      <c r="D1510" s="3" t="s">
        <v>9900</v>
      </c>
      <c r="E1510" s="4" t="s">
        <v>10097</v>
      </c>
      <c r="F1510" s="3" t="s">
        <v>9928</v>
      </c>
      <c r="G1510" s="4" t="s">
        <v>12786</v>
      </c>
      <c r="H1510" s="4" t="s">
        <v>12787</v>
      </c>
      <c r="I1510" s="3" t="s">
        <v>49</v>
      </c>
      <c r="J1510" s="3" t="s">
        <v>126</v>
      </c>
      <c r="K1510" s="3" t="s">
        <v>45</v>
      </c>
      <c r="L1510" s="3" t="s">
        <v>45</v>
      </c>
      <c r="M1510" s="3" t="s">
        <v>45</v>
      </c>
      <c r="N1510" s="3" t="s">
        <v>45</v>
      </c>
      <c r="O1510" s="3" t="s">
        <v>74</v>
      </c>
      <c r="P1510" s="3" t="s">
        <v>45</v>
      </c>
      <c r="Q1510" s="3" t="s">
        <v>45</v>
      </c>
      <c r="R1510" s="3" t="s">
        <v>45</v>
      </c>
      <c r="S1510" s="3" t="s">
        <v>45</v>
      </c>
      <c r="T1510" s="3" t="s">
        <v>45</v>
      </c>
      <c r="U1510" s="3" t="s">
        <v>45</v>
      </c>
      <c r="V1510" s="4" t="s">
        <v>12788</v>
      </c>
      <c r="W1510" s="4" t="s">
        <v>4563</v>
      </c>
      <c r="X1510" s="3" t="s">
        <v>45</v>
      </c>
      <c r="Y1510" s="3" t="s">
        <v>45</v>
      </c>
      <c r="Z1510" s="3" t="s">
        <v>74</v>
      </c>
      <c r="AA1510" s="3" t="s">
        <v>45</v>
      </c>
      <c r="AB1510" s="3" t="s">
        <v>45</v>
      </c>
      <c r="AC1510" s="3" t="s">
        <v>45</v>
      </c>
      <c r="AD1510" s="3" t="s">
        <v>45</v>
      </c>
      <c r="AE1510" s="3" t="s">
        <v>45</v>
      </c>
      <c r="AF1510" s="3" t="s">
        <v>45</v>
      </c>
      <c r="AG1510" s="3" t="s">
        <v>9916</v>
      </c>
      <c r="AH1510" s="3" t="s">
        <v>9906</v>
      </c>
      <c r="AI1510" s="5" t="s">
        <v>12789</v>
      </c>
      <c r="AJ1510" s="5" t="s">
        <v>12790</v>
      </c>
      <c r="AK1510" s="3" t="s">
        <v>45</v>
      </c>
      <c r="AL1510" s="3" t="s">
        <v>45</v>
      </c>
      <c r="AM1510" s="3" t="s">
        <v>45</v>
      </c>
      <c r="AN1510" s="3" t="s">
        <v>45</v>
      </c>
      <c r="AO1510" s="3" t="s">
        <v>45</v>
      </c>
      <c r="AP1510" s="3" t="s">
        <v>45</v>
      </c>
      <c r="AQ1510" s="4" t="s">
        <v>10103</v>
      </c>
      <c r="AR1510" s="4" t="s">
        <v>9908</v>
      </c>
    </row>
    <row r="1511">
      <c r="A1511" s="3" t="s">
        <v>12791</v>
      </c>
      <c r="B1511" s="3" t="s">
        <v>12792</v>
      </c>
      <c r="C1511" s="3" t="s">
        <v>1088</v>
      </c>
      <c r="D1511" s="3" t="s">
        <v>9900</v>
      </c>
      <c r="E1511" s="4" t="s">
        <v>10097</v>
      </c>
      <c r="F1511" s="3" t="s">
        <v>9928</v>
      </c>
      <c r="G1511" s="4" t="s">
        <v>12793</v>
      </c>
      <c r="H1511" s="4" t="s">
        <v>12794</v>
      </c>
      <c r="I1511" s="3" t="s">
        <v>85</v>
      </c>
      <c r="J1511" s="3" t="s">
        <v>126</v>
      </c>
      <c r="K1511" s="3" t="s">
        <v>45</v>
      </c>
      <c r="L1511" s="3" t="s">
        <v>12795</v>
      </c>
      <c r="M1511" s="3" t="s">
        <v>45</v>
      </c>
      <c r="N1511" s="4" t="s">
        <v>1843</v>
      </c>
      <c r="O1511" s="3" t="s">
        <v>390</v>
      </c>
      <c r="P1511" s="3" t="s">
        <v>45</v>
      </c>
      <c r="Q1511" s="3" t="s">
        <v>45</v>
      </c>
      <c r="R1511" s="3" t="s">
        <v>45</v>
      </c>
      <c r="S1511" s="3" t="s">
        <v>45</v>
      </c>
      <c r="T1511" s="3" t="s">
        <v>45</v>
      </c>
      <c r="U1511" s="3" t="s">
        <v>45</v>
      </c>
      <c r="V1511" s="4" t="s">
        <v>12796</v>
      </c>
      <c r="W1511" s="4" t="s">
        <v>52</v>
      </c>
      <c r="X1511" s="3" t="s">
        <v>45</v>
      </c>
      <c r="Y1511" s="3" t="s">
        <v>45</v>
      </c>
      <c r="Z1511" s="3" t="s">
        <v>74</v>
      </c>
      <c r="AA1511" s="3" t="s">
        <v>45</v>
      </c>
      <c r="AB1511" s="3" t="s">
        <v>45</v>
      </c>
      <c r="AC1511" s="3" t="s">
        <v>45</v>
      </c>
      <c r="AD1511" s="3" t="s">
        <v>45</v>
      </c>
      <c r="AE1511" s="3" t="s">
        <v>45</v>
      </c>
      <c r="AF1511" s="3" t="s">
        <v>45</v>
      </c>
      <c r="AG1511" s="3" t="s">
        <v>9932</v>
      </c>
      <c r="AH1511" s="3" t="s">
        <v>9906</v>
      </c>
      <c r="AI1511" s="5" t="s">
        <v>12797</v>
      </c>
      <c r="AJ1511" s="3" t="s">
        <v>45</v>
      </c>
      <c r="AK1511" s="3" t="s">
        <v>45</v>
      </c>
      <c r="AL1511" s="3" t="s">
        <v>45</v>
      </c>
      <c r="AM1511" s="3" t="s">
        <v>45</v>
      </c>
      <c r="AN1511" s="3" t="s">
        <v>45</v>
      </c>
      <c r="AO1511" s="3" t="s">
        <v>45</v>
      </c>
      <c r="AP1511" s="3" t="s">
        <v>45</v>
      </c>
      <c r="AQ1511" s="4" t="s">
        <v>9934</v>
      </c>
      <c r="AR1511" s="4" t="s">
        <v>9908</v>
      </c>
    </row>
    <row r="1512">
      <c r="A1512" s="3" t="s">
        <v>12798</v>
      </c>
      <c r="B1512" s="3" t="s">
        <v>12799</v>
      </c>
      <c r="C1512" s="3" t="s">
        <v>1088</v>
      </c>
      <c r="D1512" s="3" t="s">
        <v>9900</v>
      </c>
      <c r="E1512" s="4" t="s">
        <v>10097</v>
      </c>
      <c r="F1512" s="3" t="s">
        <v>9928</v>
      </c>
      <c r="G1512" s="4" t="s">
        <v>12800</v>
      </c>
      <c r="H1512" s="4" t="s">
        <v>12801</v>
      </c>
      <c r="I1512" s="3" t="s">
        <v>85</v>
      </c>
      <c r="J1512" s="3" t="s">
        <v>126</v>
      </c>
      <c r="K1512" s="3" t="s">
        <v>45</v>
      </c>
      <c r="L1512" s="3" t="s">
        <v>12802</v>
      </c>
      <c r="M1512" s="3" t="s">
        <v>45</v>
      </c>
      <c r="N1512" s="3" t="s">
        <v>45</v>
      </c>
      <c r="O1512" s="3" t="s">
        <v>74</v>
      </c>
      <c r="P1512" s="3" t="s">
        <v>45</v>
      </c>
      <c r="Q1512" s="3" t="s">
        <v>45</v>
      </c>
      <c r="R1512" s="3" t="s">
        <v>45</v>
      </c>
      <c r="S1512" s="3" t="s">
        <v>45</v>
      </c>
      <c r="T1512" s="3" t="s">
        <v>45</v>
      </c>
      <c r="U1512" s="3" t="s">
        <v>45</v>
      </c>
      <c r="V1512" s="4" t="s">
        <v>12803</v>
      </c>
      <c r="W1512" s="4" t="s">
        <v>52</v>
      </c>
      <c r="X1512" s="3" t="s">
        <v>45</v>
      </c>
      <c r="Y1512" s="3" t="s">
        <v>45</v>
      </c>
      <c r="Z1512" s="3" t="s">
        <v>74</v>
      </c>
      <c r="AA1512" s="3" t="s">
        <v>45</v>
      </c>
      <c r="AB1512" s="3" t="s">
        <v>45</v>
      </c>
      <c r="AC1512" s="3" t="s">
        <v>45</v>
      </c>
      <c r="AD1512" s="3" t="s">
        <v>45</v>
      </c>
      <c r="AE1512" s="3" t="s">
        <v>45</v>
      </c>
      <c r="AF1512" s="3" t="s">
        <v>45</v>
      </c>
      <c r="AG1512" s="3" t="s">
        <v>9932</v>
      </c>
      <c r="AH1512" s="3" t="s">
        <v>9906</v>
      </c>
      <c r="AI1512" s="5" t="s">
        <v>12804</v>
      </c>
      <c r="AJ1512" s="3" t="s">
        <v>45</v>
      </c>
      <c r="AK1512" s="3" t="s">
        <v>45</v>
      </c>
      <c r="AL1512" s="3" t="s">
        <v>45</v>
      </c>
      <c r="AM1512" s="3" t="s">
        <v>45</v>
      </c>
      <c r="AN1512" s="3" t="s">
        <v>45</v>
      </c>
      <c r="AO1512" s="3" t="s">
        <v>45</v>
      </c>
      <c r="AP1512" s="3" t="s">
        <v>45</v>
      </c>
      <c r="AQ1512" s="4" t="s">
        <v>9934</v>
      </c>
      <c r="AR1512" s="4" t="s">
        <v>9908</v>
      </c>
    </row>
    <row r="1513">
      <c r="A1513" s="3" t="s">
        <v>12805</v>
      </c>
      <c r="B1513" s="3" t="s">
        <v>12806</v>
      </c>
      <c r="C1513" s="3" t="s">
        <v>1088</v>
      </c>
      <c r="D1513" s="3" t="s">
        <v>9900</v>
      </c>
      <c r="E1513" s="4" t="s">
        <v>10097</v>
      </c>
      <c r="F1513" s="3" t="s">
        <v>9928</v>
      </c>
      <c r="G1513" s="4" t="s">
        <v>12807</v>
      </c>
      <c r="H1513" s="4" t="s">
        <v>12808</v>
      </c>
      <c r="I1513" s="3" t="s">
        <v>408</v>
      </c>
      <c r="J1513" s="3" t="s">
        <v>126</v>
      </c>
      <c r="K1513" s="3" t="s">
        <v>45</v>
      </c>
      <c r="L1513" s="3" t="s">
        <v>12809</v>
      </c>
      <c r="M1513" s="3" t="s">
        <v>45</v>
      </c>
      <c r="N1513" s="4" t="s">
        <v>277</v>
      </c>
      <c r="O1513" s="3" t="s">
        <v>88</v>
      </c>
      <c r="P1513" s="3" t="s">
        <v>45</v>
      </c>
      <c r="Q1513" s="3" t="s">
        <v>45</v>
      </c>
      <c r="R1513" s="3" t="s">
        <v>45</v>
      </c>
      <c r="S1513" s="3" t="s">
        <v>45</v>
      </c>
      <c r="T1513" s="3" t="s">
        <v>45</v>
      </c>
      <c r="U1513" s="3" t="s">
        <v>45</v>
      </c>
      <c r="V1513" s="4" t="s">
        <v>12810</v>
      </c>
      <c r="W1513" s="4" t="s">
        <v>861</v>
      </c>
      <c r="X1513" s="3" t="s">
        <v>45</v>
      </c>
      <c r="Y1513" s="3" t="s">
        <v>45</v>
      </c>
      <c r="Z1513" s="3" t="s">
        <v>74</v>
      </c>
      <c r="AA1513" s="3" t="s">
        <v>45</v>
      </c>
      <c r="AB1513" s="3" t="s">
        <v>45</v>
      </c>
      <c r="AC1513" s="3" t="s">
        <v>45</v>
      </c>
      <c r="AD1513" s="3" t="s">
        <v>45</v>
      </c>
      <c r="AE1513" s="3" t="s">
        <v>45</v>
      </c>
      <c r="AF1513" s="3" t="s">
        <v>45</v>
      </c>
      <c r="AG1513" s="3" t="s">
        <v>12811</v>
      </c>
      <c r="AH1513" s="3" t="s">
        <v>9906</v>
      </c>
      <c r="AI1513" s="5" t="s">
        <v>12812</v>
      </c>
      <c r="AJ1513" s="5" t="s">
        <v>12813</v>
      </c>
      <c r="AK1513" s="3" t="s">
        <v>45</v>
      </c>
      <c r="AL1513" s="3" t="s">
        <v>45</v>
      </c>
      <c r="AM1513" s="3" t="s">
        <v>45</v>
      </c>
      <c r="AN1513" s="3" t="s">
        <v>45</v>
      </c>
      <c r="AO1513" s="3" t="s">
        <v>45</v>
      </c>
      <c r="AP1513" s="3" t="s">
        <v>45</v>
      </c>
      <c r="AQ1513" s="4" t="s">
        <v>807</v>
      </c>
      <c r="AR1513" s="4" t="s">
        <v>224</v>
      </c>
    </row>
    <row r="1514">
      <c r="A1514" s="3" t="s">
        <v>12814</v>
      </c>
      <c r="B1514" s="3" t="s">
        <v>12815</v>
      </c>
      <c r="C1514" s="3" t="s">
        <v>1088</v>
      </c>
      <c r="D1514" s="3" t="s">
        <v>9900</v>
      </c>
      <c r="E1514" s="4" t="s">
        <v>10097</v>
      </c>
      <c r="F1514" s="3" t="s">
        <v>9928</v>
      </c>
      <c r="G1514" s="4" t="s">
        <v>12816</v>
      </c>
      <c r="H1514" s="4" t="s">
        <v>12817</v>
      </c>
      <c r="I1514" s="3" t="s">
        <v>85</v>
      </c>
      <c r="J1514" s="3" t="s">
        <v>126</v>
      </c>
      <c r="K1514" s="3" t="s">
        <v>45</v>
      </c>
      <c r="L1514" s="3" t="s">
        <v>12818</v>
      </c>
      <c r="M1514" s="3" t="s">
        <v>45</v>
      </c>
      <c r="N1514" s="3" t="s">
        <v>45</v>
      </c>
      <c r="O1514" s="3" t="s">
        <v>74</v>
      </c>
      <c r="P1514" s="3" t="s">
        <v>45</v>
      </c>
      <c r="Q1514" s="3" t="s">
        <v>45</v>
      </c>
      <c r="R1514" s="3" t="s">
        <v>45</v>
      </c>
      <c r="S1514" s="3" t="s">
        <v>45</v>
      </c>
      <c r="T1514" s="3" t="s">
        <v>45</v>
      </c>
      <c r="U1514" s="3" t="s">
        <v>45</v>
      </c>
      <c r="V1514" s="4" t="s">
        <v>680</v>
      </c>
      <c r="W1514" s="4" t="s">
        <v>789</v>
      </c>
      <c r="X1514" s="3" t="s">
        <v>45</v>
      </c>
      <c r="Y1514" s="3" t="s">
        <v>45</v>
      </c>
      <c r="Z1514" s="3" t="s">
        <v>74</v>
      </c>
      <c r="AA1514" s="3" t="s">
        <v>45</v>
      </c>
      <c r="AB1514" s="3" t="s">
        <v>45</v>
      </c>
      <c r="AC1514" s="3" t="s">
        <v>45</v>
      </c>
      <c r="AD1514" s="3" t="s">
        <v>45</v>
      </c>
      <c r="AE1514" s="3" t="s">
        <v>45</v>
      </c>
      <c r="AF1514" s="3" t="s">
        <v>45</v>
      </c>
      <c r="AG1514" s="3" t="s">
        <v>9932</v>
      </c>
      <c r="AH1514" s="3" t="s">
        <v>9906</v>
      </c>
      <c r="AI1514" s="5" t="s">
        <v>12819</v>
      </c>
      <c r="AJ1514" s="3" t="s">
        <v>45</v>
      </c>
      <c r="AK1514" s="3" t="s">
        <v>45</v>
      </c>
      <c r="AL1514" s="3" t="s">
        <v>45</v>
      </c>
      <c r="AM1514" s="3" t="s">
        <v>45</v>
      </c>
      <c r="AN1514" s="3" t="s">
        <v>45</v>
      </c>
      <c r="AO1514" s="3" t="s">
        <v>45</v>
      </c>
      <c r="AP1514" s="3" t="s">
        <v>45</v>
      </c>
      <c r="AQ1514" s="4" t="s">
        <v>9934</v>
      </c>
      <c r="AR1514" s="4" t="s">
        <v>9908</v>
      </c>
    </row>
    <row r="1515">
      <c r="A1515" s="3" t="s">
        <v>12820</v>
      </c>
      <c r="B1515" s="3" t="s">
        <v>12821</v>
      </c>
      <c r="C1515" s="3" t="s">
        <v>1088</v>
      </c>
      <c r="D1515" s="3" t="s">
        <v>9900</v>
      </c>
      <c r="E1515" s="4" t="s">
        <v>10097</v>
      </c>
      <c r="F1515" s="3" t="s">
        <v>9928</v>
      </c>
      <c r="G1515" s="4" t="s">
        <v>12822</v>
      </c>
      <c r="H1515" s="4" t="s">
        <v>12823</v>
      </c>
      <c r="I1515" s="3" t="s">
        <v>49</v>
      </c>
      <c r="J1515" s="3" t="s">
        <v>50</v>
      </c>
      <c r="K1515" s="3" t="s">
        <v>45</v>
      </c>
      <c r="L1515" s="3" t="s">
        <v>10399</v>
      </c>
      <c r="M1515" s="3" t="s">
        <v>45</v>
      </c>
      <c r="N1515" s="3" t="s">
        <v>45</v>
      </c>
      <c r="O1515" s="3" t="s">
        <v>74</v>
      </c>
      <c r="P1515" s="3" t="s">
        <v>45</v>
      </c>
      <c r="Q1515" s="3" t="s">
        <v>45</v>
      </c>
      <c r="R1515" s="3" t="s">
        <v>45</v>
      </c>
      <c r="S1515" s="3" t="s">
        <v>45</v>
      </c>
      <c r="T1515" s="3" t="s">
        <v>45</v>
      </c>
      <c r="U1515" s="3" t="s">
        <v>45</v>
      </c>
      <c r="V1515" s="4" t="s">
        <v>12824</v>
      </c>
      <c r="W1515" s="4" t="s">
        <v>709</v>
      </c>
      <c r="X1515" s="3" t="s">
        <v>45</v>
      </c>
      <c r="Y1515" s="3" t="s">
        <v>45</v>
      </c>
      <c r="Z1515" s="3" t="s">
        <v>74</v>
      </c>
      <c r="AA1515" s="3" t="s">
        <v>45</v>
      </c>
      <c r="AB1515" s="3" t="s">
        <v>45</v>
      </c>
      <c r="AC1515" s="3" t="s">
        <v>45</v>
      </c>
      <c r="AD1515" s="3" t="s">
        <v>45</v>
      </c>
      <c r="AE1515" s="3" t="s">
        <v>45</v>
      </c>
      <c r="AF1515" s="3" t="s">
        <v>45</v>
      </c>
      <c r="AG1515" s="3" t="s">
        <v>45</v>
      </c>
      <c r="AH1515" s="3" t="s">
        <v>9906</v>
      </c>
      <c r="AI1515" s="5" t="s">
        <v>12825</v>
      </c>
      <c r="AJ1515" s="5" t="s">
        <v>12826</v>
      </c>
      <c r="AK1515" s="3" t="s">
        <v>45</v>
      </c>
      <c r="AL1515" s="3" t="s">
        <v>45</v>
      </c>
      <c r="AM1515" s="3" t="s">
        <v>45</v>
      </c>
      <c r="AN1515" s="3" t="s">
        <v>45</v>
      </c>
      <c r="AO1515" s="3" t="s">
        <v>45</v>
      </c>
      <c r="AP1515" s="3" t="s">
        <v>45</v>
      </c>
      <c r="AQ1515" s="4" t="s">
        <v>807</v>
      </c>
      <c r="AR1515" s="4" t="s">
        <v>9908</v>
      </c>
    </row>
    <row r="1516">
      <c r="A1516" s="3" t="s">
        <v>12827</v>
      </c>
      <c r="B1516" s="3" t="s">
        <v>12828</v>
      </c>
      <c r="C1516" s="3" t="s">
        <v>1088</v>
      </c>
      <c r="D1516" s="3" t="s">
        <v>9900</v>
      </c>
      <c r="E1516" s="4" t="s">
        <v>10097</v>
      </c>
      <c r="F1516" s="3" t="s">
        <v>9928</v>
      </c>
      <c r="G1516" s="4" t="s">
        <v>12829</v>
      </c>
      <c r="H1516" s="4" t="s">
        <v>12830</v>
      </c>
      <c r="I1516" s="3" t="s">
        <v>408</v>
      </c>
      <c r="J1516" s="3" t="s">
        <v>126</v>
      </c>
      <c r="K1516" s="3" t="s">
        <v>45</v>
      </c>
      <c r="L1516" s="3" t="s">
        <v>45</v>
      </c>
      <c r="M1516" s="3" t="s">
        <v>45</v>
      </c>
      <c r="N1516" s="3" t="s">
        <v>45</v>
      </c>
      <c r="O1516" s="3" t="s">
        <v>74</v>
      </c>
      <c r="P1516" s="3" t="s">
        <v>45</v>
      </c>
      <c r="Q1516" s="3" t="s">
        <v>45</v>
      </c>
      <c r="R1516" s="3" t="s">
        <v>45</v>
      </c>
      <c r="S1516" s="3" t="s">
        <v>45</v>
      </c>
      <c r="T1516" s="3" t="s">
        <v>45</v>
      </c>
      <c r="U1516" s="3" t="s">
        <v>45</v>
      </c>
      <c r="V1516" s="4" t="s">
        <v>12831</v>
      </c>
      <c r="W1516" s="4" t="s">
        <v>861</v>
      </c>
      <c r="X1516" s="3" t="s">
        <v>45</v>
      </c>
      <c r="Y1516" s="3" t="s">
        <v>45</v>
      </c>
      <c r="Z1516" s="3" t="s">
        <v>74</v>
      </c>
      <c r="AA1516" s="3" t="s">
        <v>45</v>
      </c>
      <c r="AB1516" s="3" t="s">
        <v>45</v>
      </c>
      <c r="AC1516" s="3" t="s">
        <v>45</v>
      </c>
      <c r="AD1516" s="3" t="s">
        <v>45</v>
      </c>
      <c r="AE1516" s="3" t="s">
        <v>45</v>
      </c>
      <c r="AF1516" s="3" t="s">
        <v>45</v>
      </c>
      <c r="AG1516" s="3" t="s">
        <v>45</v>
      </c>
      <c r="AH1516" s="3" t="s">
        <v>9906</v>
      </c>
      <c r="AI1516" s="5" t="s">
        <v>12653</v>
      </c>
      <c r="AJ1516" s="5" t="s">
        <v>12832</v>
      </c>
      <c r="AK1516" s="3" t="s">
        <v>45</v>
      </c>
      <c r="AL1516" s="3" t="s">
        <v>45</v>
      </c>
      <c r="AM1516" s="3" t="s">
        <v>45</v>
      </c>
      <c r="AN1516" s="3" t="s">
        <v>45</v>
      </c>
      <c r="AO1516" s="3" t="s">
        <v>45</v>
      </c>
      <c r="AP1516" s="3" t="s">
        <v>45</v>
      </c>
      <c r="AQ1516" s="4" t="s">
        <v>807</v>
      </c>
      <c r="AR1516" s="4" t="s">
        <v>224</v>
      </c>
    </row>
    <row r="1517">
      <c r="A1517" s="3" t="s">
        <v>12827</v>
      </c>
      <c r="B1517" s="3" t="s">
        <v>12833</v>
      </c>
      <c r="C1517" s="3" t="s">
        <v>1088</v>
      </c>
      <c r="D1517" s="3" t="s">
        <v>9900</v>
      </c>
      <c r="E1517" s="4" t="s">
        <v>10097</v>
      </c>
      <c r="F1517" s="3" t="s">
        <v>9928</v>
      </c>
      <c r="G1517" s="4" t="s">
        <v>12834</v>
      </c>
      <c r="H1517" s="4" t="s">
        <v>12835</v>
      </c>
      <c r="I1517" s="3" t="s">
        <v>408</v>
      </c>
      <c r="J1517" s="3" t="s">
        <v>126</v>
      </c>
      <c r="K1517" s="3" t="s">
        <v>45</v>
      </c>
      <c r="L1517" s="3" t="s">
        <v>12651</v>
      </c>
      <c r="M1517" s="3" t="s">
        <v>45</v>
      </c>
      <c r="N1517" s="3" t="s">
        <v>45</v>
      </c>
      <c r="O1517" s="3" t="s">
        <v>74</v>
      </c>
      <c r="P1517" s="3" t="s">
        <v>45</v>
      </c>
      <c r="Q1517" s="3" t="s">
        <v>45</v>
      </c>
      <c r="R1517" s="3" t="s">
        <v>45</v>
      </c>
      <c r="S1517" s="3" t="s">
        <v>45</v>
      </c>
      <c r="T1517" s="3" t="s">
        <v>45</v>
      </c>
      <c r="U1517" s="3" t="s">
        <v>45</v>
      </c>
      <c r="V1517" s="4" t="s">
        <v>12836</v>
      </c>
      <c r="W1517" s="4" t="s">
        <v>583</v>
      </c>
      <c r="X1517" s="3" t="s">
        <v>45</v>
      </c>
      <c r="Y1517" s="3" t="s">
        <v>45</v>
      </c>
      <c r="Z1517" s="3" t="s">
        <v>74</v>
      </c>
      <c r="AA1517" s="3" t="s">
        <v>45</v>
      </c>
      <c r="AB1517" s="3" t="s">
        <v>45</v>
      </c>
      <c r="AC1517" s="3" t="s">
        <v>45</v>
      </c>
      <c r="AD1517" s="3" t="s">
        <v>45</v>
      </c>
      <c r="AE1517" s="3" t="s">
        <v>45</v>
      </c>
      <c r="AF1517" s="3" t="s">
        <v>45</v>
      </c>
      <c r="AG1517" s="3" t="s">
        <v>10016</v>
      </c>
      <c r="AH1517" s="3" t="s">
        <v>9906</v>
      </c>
      <c r="AI1517" s="5" t="s">
        <v>12837</v>
      </c>
      <c r="AJ1517" s="3" t="s">
        <v>45</v>
      </c>
      <c r="AK1517" s="3" t="s">
        <v>45</v>
      </c>
      <c r="AL1517" s="3" t="s">
        <v>45</v>
      </c>
      <c r="AM1517" s="3" t="s">
        <v>45</v>
      </c>
      <c r="AN1517" s="3" t="s">
        <v>45</v>
      </c>
      <c r="AO1517" s="3" t="s">
        <v>45</v>
      </c>
      <c r="AP1517" s="3" t="s">
        <v>45</v>
      </c>
      <c r="AQ1517" s="4" t="s">
        <v>807</v>
      </c>
      <c r="AR1517" s="4" t="s">
        <v>224</v>
      </c>
    </row>
    <row r="1518">
      <c r="A1518" s="3" t="s">
        <v>12838</v>
      </c>
      <c r="B1518" s="3" t="s">
        <v>12839</v>
      </c>
      <c r="C1518" s="3" t="s">
        <v>1088</v>
      </c>
      <c r="D1518" s="3" t="s">
        <v>9900</v>
      </c>
      <c r="E1518" s="4" t="s">
        <v>10097</v>
      </c>
      <c r="F1518" s="3" t="s">
        <v>9928</v>
      </c>
      <c r="G1518" s="4" t="s">
        <v>12840</v>
      </c>
      <c r="H1518" s="4" t="s">
        <v>12841</v>
      </c>
      <c r="I1518" s="3" t="s">
        <v>408</v>
      </c>
      <c r="J1518" s="3" t="s">
        <v>126</v>
      </c>
      <c r="K1518" s="3" t="s">
        <v>45</v>
      </c>
      <c r="L1518" s="3" t="s">
        <v>882</v>
      </c>
      <c r="M1518" s="3" t="s">
        <v>45</v>
      </c>
      <c r="N1518" s="3" t="s">
        <v>45</v>
      </c>
      <c r="O1518" s="3" t="s">
        <v>74</v>
      </c>
      <c r="P1518" s="3" t="s">
        <v>45</v>
      </c>
      <c r="Q1518" s="3" t="s">
        <v>45</v>
      </c>
      <c r="R1518" s="3" t="s">
        <v>45</v>
      </c>
      <c r="S1518" s="3" t="s">
        <v>45</v>
      </c>
      <c r="T1518" s="3" t="s">
        <v>45</v>
      </c>
      <c r="U1518" s="3" t="s">
        <v>45</v>
      </c>
      <c r="V1518" s="4" t="s">
        <v>2656</v>
      </c>
      <c r="W1518" s="4" t="s">
        <v>2982</v>
      </c>
      <c r="X1518" s="3" t="s">
        <v>45</v>
      </c>
      <c r="Y1518" s="3" t="s">
        <v>45</v>
      </c>
      <c r="Z1518" s="3" t="s">
        <v>74</v>
      </c>
      <c r="AA1518" s="3" t="s">
        <v>45</v>
      </c>
      <c r="AB1518" s="3" t="s">
        <v>45</v>
      </c>
      <c r="AC1518" s="3" t="s">
        <v>45</v>
      </c>
      <c r="AD1518" s="3" t="s">
        <v>45</v>
      </c>
      <c r="AE1518" s="3" t="s">
        <v>45</v>
      </c>
      <c r="AF1518" s="3" t="s">
        <v>45</v>
      </c>
      <c r="AG1518" s="3" t="s">
        <v>12842</v>
      </c>
      <c r="AH1518" s="3" t="s">
        <v>9906</v>
      </c>
      <c r="AI1518" s="5" t="s">
        <v>12843</v>
      </c>
      <c r="AJ1518" s="5" t="s">
        <v>12844</v>
      </c>
      <c r="AK1518" s="3" t="s">
        <v>45</v>
      </c>
      <c r="AL1518" s="3" t="s">
        <v>45</v>
      </c>
      <c r="AM1518" s="3" t="s">
        <v>45</v>
      </c>
      <c r="AN1518" s="3" t="s">
        <v>45</v>
      </c>
      <c r="AO1518" s="3" t="s">
        <v>45</v>
      </c>
      <c r="AP1518" s="3" t="s">
        <v>45</v>
      </c>
      <c r="AQ1518" s="4" t="s">
        <v>9934</v>
      </c>
      <c r="AR1518" s="4" t="s">
        <v>224</v>
      </c>
    </row>
    <row r="1519">
      <c r="A1519" s="3" t="s">
        <v>12845</v>
      </c>
      <c r="B1519" s="3" t="s">
        <v>12846</v>
      </c>
      <c r="C1519" s="3" t="s">
        <v>1088</v>
      </c>
      <c r="D1519" s="3" t="s">
        <v>9900</v>
      </c>
      <c r="E1519" s="4" t="s">
        <v>10097</v>
      </c>
      <c r="F1519" s="3" t="s">
        <v>9928</v>
      </c>
      <c r="G1519" s="4" t="s">
        <v>12847</v>
      </c>
      <c r="H1519" s="4" t="s">
        <v>12848</v>
      </c>
      <c r="I1519" s="3" t="s">
        <v>49</v>
      </c>
      <c r="J1519" s="3" t="s">
        <v>126</v>
      </c>
      <c r="K1519" s="3" t="s">
        <v>45</v>
      </c>
      <c r="L1519" s="3" t="s">
        <v>882</v>
      </c>
      <c r="M1519" s="3" t="s">
        <v>45</v>
      </c>
      <c r="N1519" s="3" t="s">
        <v>45</v>
      </c>
      <c r="O1519" s="3" t="s">
        <v>74</v>
      </c>
      <c r="P1519" s="3" t="s">
        <v>45</v>
      </c>
      <c r="Q1519" s="3" t="s">
        <v>45</v>
      </c>
      <c r="R1519" s="3" t="s">
        <v>45</v>
      </c>
      <c r="S1519" s="3" t="s">
        <v>45</v>
      </c>
      <c r="T1519" s="3" t="s">
        <v>45</v>
      </c>
      <c r="U1519" s="3" t="s">
        <v>45</v>
      </c>
      <c r="V1519" s="4" t="s">
        <v>12849</v>
      </c>
      <c r="W1519" s="4" t="s">
        <v>956</v>
      </c>
      <c r="X1519" s="3" t="s">
        <v>45</v>
      </c>
      <c r="Y1519" s="3" t="s">
        <v>45</v>
      </c>
      <c r="Z1519" s="3" t="s">
        <v>74</v>
      </c>
      <c r="AA1519" s="3" t="s">
        <v>45</v>
      </c>
      <c r="AB1519" s="3" t="s">
        <v>45</v>
      </c>
      <c r="AC1519" s="3" t="s">
        <v>45</v>
      </c>
      <c r="AD1519" s="3" t="s">
        <v>45</v>
      </c>
      <c r="AE1519" s="3" t="s">
        <v>45</v>
      </c>
      <c r="AF1519" s="3" t="s">
        <v>45</v>
      </c>
      <c r="AG1519" s="3" t="s">
        <v>12478</v>
      </c>
      <c r="AH1519" s="3" t="s">
        <v>9906</v>
      </c>
      <c r="AI1519" s="5" t="s">
        <v>12479</v>
      </c>
      <c r="AJ1519" s="5" t="s">
        <v>12850</v>
      </c>
      <c r="AK1519" s="3" t="s">
        <v>45</v>
      </c>
      <c r="AL1519" s="3" t="s">
        <v>45</v>
      </c>
      <c r="AM1519" s="3" t="s">
        <v>45</v>
      </c>
      <c r="AN1519" s="3" t="s">
        <v>45</v>
      </c>
      <c r="AO1519" s="3" t="s">
        <v>45</v>
      </c>
      <c r="AP1519" s="3" t="s">
        <v>45</v>
      </c>
      <c r="AQ1519" s="4" t="s">
        <v>9934</v>
      </c>
      <c r="AR1519" s="4" t="s">
        <v>9908</v>
      </c>
    </row>
    <row r="1520">
      <c r="A1520" s="3" t="s">
        <v>12851</v>
      </c>
      <c r="B1520" s="3" t="s">
        <v>12852</v>
      </c>
      <c r="C1520" s="3" t="s">
        <v>1088</v>
      </c>
      <c r="D1520" s="3" t="s">
        <v>9900</v>
      </c>
      <c r="E1520" s="4" t="s">
        <v>10097</v>
      </c>
      <c r="F1520" s="3" t="s">
        <v>9928</v>
      </c>
      <c r="G1520" s="4" t="s">
        <v>12853</v>
      </c>
      <c r="H1520" s="4" t="s">
        <v>12854</v>
      </c>
      <c r="I1520" s="3" t="s">
        <v>85</v>
      </c>
      <c r="J1520" s="3" t="s">
        <v>126</v>
      </c>
      <c r="K1520" s="3" t="s">
        <v>45</v>
      </c>
      <c r="L1520" s="3" t="s">
        <v>12855</v>
      </c>
      <c r="M1520" s="3" t="s">
        <v>45</v>
      </c>
      <c r="N1520" s="3" t="s">
        <v>45</v>
      </c>
      <c r="O1520" s="3" t="s">
        <v>74</v>
      </c>
      <c r="P1520" s="3" t="s">
        <v>45</v>
      </c>
      <c r="Q1520" s="3" t="s">
        <v>45</v>
      </c>
      <c r="R1520" s="3" t="s">
        <v>45</v>
      </c>
      <c r="S1520" s="3" t="s">
        <v>45</v>
      </c>
      <c r="T1520" s="3" t="s">
        <v>45</v>
      </c>
      <c r="U1520" s="3" t="s">
        <v>45</v>
      </c>
      <c r="V1520" s="4" t="s">
        <v>12856</v>
      </c>
      <c r="W1520" s="4" t="s">
        <v>835</v>
      </c>
      <c r="X1520" s="3" t="s">
        <v>45</v>
      </c>
      <c r="Y1520" s="3" t="s">
        <v>45</v>
      </c>
      <c r="Z1520" s="3" t="s">
        <v>74</v>
      </c>
      <c r="AA1520" s="3" t="s">
        <v>45</v>
      </c>
      <c r="AB1520" s="3" t="s">
        <v>45</v>
      </c>
      <c r="AC1520" s="3" t="s">
        <v>45</v>
      </c>
      <c r="AD1520" s="3" t="s">
        <v>45</v>
      </c>
      <c r="AE1520" s="3" t="s">
        <v>45</v>
      </c>
      <c r="AF1520" s="3" t="s">
        <v>45</v>
      </c>
      <c r="AG1520" s="3" t="s">
        <v>9932</v>
      </c>
      <c r="AH1520" s="3" t="s">
        <v>9906</v>
      </c>
      <c r="AI1520" s="5" t="s">
        <v>12857</v>
      </c>
      <c r="AJ1520" s="3" t="s">
        <v>45</v>
      </c>
      <c r="AK1520" s="3" t="s">
        <v>45</v>
      </c>
      <c r="AL1520" s="3" t="s">
        <v>45</v>
      </c>
      <c r="AM1520" s="3" t="s">
        <v>45</v>
      </c>
      <c r="AN1520" s="3" t="s">
        <v>45</v>
      </c>
      <c r="AO1520" s="3" t="s">
        <v>45</v>
      </c>
      <c r="AP1520" s="3" t="s">
        <v>45</v>
      </c>
      <c r="AQ1520" s="4" t="s">
        <v>9934</v>
      </c>
      <c r="AR1520" s="4" t="s">
        <v>9908</v>
      </c>
    </row>
    <row r="1521">
      <c r="A1521" s="3" t="s">
        <v>12858</v>
      </c>
      <c r="B1521" s="3" t="s">
        <v>12859</v>
      </c>
      <c r="C1521" s="3" t="s">
        <v>1088</v>
      </c>
      <c r="D1521" s="3" t="s">
        <v>9900</v>
      </c>
      <c r="E1521" s="4" t="s">
        <v>10097</v>
      </c>
      <c r="F1521" s="3" t="s">
        <v>9928</v>
      </c>
      <c r="G1521" s="4" t="s">
        <v>12860</v>
      </c>
      <c r="H1521" s="4" t="s">
        <v>12861</v>
      </c>
      <c r="I1521" s="3" t="s">
        <v>85</v>
      </c>
      <c r="J1521" s="3" t="s">
        <v>126</v>
      </c>
      <c r="K1521" s="3" t="s">
        <v>45</v>
      </c>
      <c r="L1521" s="3" t="s">
        <v>12862</v>
      </c>
      <c r="M1521" s="3" t="s">
        <v>45</v>
      </c>
      <c r="N1521" s="3" t="s">
        <v>45</v>
      </c>
      <c r="O1521" s="3" t="s">
        <v>74</v>
      </c>
      <c r="P1521" s="3" t="s">
        <v>45</v>
      </c>
      <c r="Q1521" s="3" t="s">
        <v>45</v>
      </c>
      <c r="R1521" s="3" t="s">
        <v>45</v>
      </c>
      <c r="S1521" s="3" t="s">
        <v>45</v>
      </c>
      <c r="T1521" s="3" t="s">
        <v>45</v>
      </c>
      <c r="U1521" s="3" t="s">
        <v>45</v>
      </c>
      <c r="V1521" s="4" t="s">
        <v>12863</v>
      </c>
      <c r="W1521" s="4" t="s">
        <v>789</v>
      </c>
      <c r="X1521" s="3" t="s">
        <v>45</v>
      </c>
      <c r="Y1521" s="3" t="s">
        <v>45</v>
      </c>
      <c r="Z1521" s="3" t="s">
        <v>74</v>
      </c>
      <c r="AA1521" s="3" t="s">
        <v>45</v>
      </c>
      <c r="AB1521" s="3" t="s">
        <v>45</v>
      </c>
      <c r="AC1521" s="3" t="s">
        <v>45</v>
      </c>
      <c r="AD1521" s="3" t="s">
        <v>45</v>
      </c>
      <c r="AE1521" s="3" t="s">
        <v>45</v>
      </c>
      <c r="AF1521" s="3" t="s">
        <v>45</v>
      </c>
      <c r="AG1521" s="3" t="s">
        <v>9932</v>
      </c>
      <c r="AH1521" s="3" t="s">
        <v>9906</v>
      </c>
      <c r="AI1521" s="5" t="s">
        <v>12864</v>
      </c>
      <c r="AJ1521" s="3" t="s">
        <v>45</v>
      </c>
      <c r="AK1521" s="3" t="s">
        <v>45</v>
      </c>
      <c r="AL1521" s="3" t="s">
        <v>45</v>
      </c>
      <c r="AM1521" s="3" t="s">
        <v>45</v>
      </c>
      <c r="AN1521" s="3" t="s">
        <v>45</v>
      </c>
      <c r="AO1521" s="3" t="s">
        <v>45</v>
      </c>
      <c r="AP1521" s="3" t="s">
        <v>45</v>
      </c>
      <c r="AQ1521" s="4" t="s">
        <v>9934</v>
      </c>
      <c r="AR1521" s="4" t="s">
        <v>9908</v>
      </c>
    </row>
    <row r="1522">
      <c r="A1522" s="3" t="s">
        <v>12865</v>
      </c>
      <c r="B1522" s="3" t="s">
        <v>12866</v>
      </c>
      <c r="C1522" s="3" t="s">
        <v>1088</v>
      </c>
      <c r="D1522" s="3" t="s">
        <v>9900</v>
      </c>
      <c r="E1522" s="4" t="s">
        <v>10097</v>
      </c>
      <c r="F1522" s="3" t="s">
        <v>9928</v>
      </c>
      <c r="G1522" s="4" t="s">
        <v>12867</v>
      </c>
      <c r="H1522" s="4" t="s">
        <v>12868</v>
      </c>
      <c r="I1522" s="3" t="s">
        <v>85</v>
      </c>
      <c r="J1522" s="3" t="s">
        <v>126</v>
      </c>
      <c r="K1522" s="3" t="s">
        <v>45</v>
      </c>
      <c r="L1522" s="3" t="s">
        <v>12869</v>
      </c>
      <c r="M1522" s="3" t="s">
        <v>45</v>
      </c>
      <c r="N1522" s="3" t="s">
        <v>45</v>
      </c>
      <c r="O1522" s="3" t="s">
        <v>74</v>
      </c>
      <c r="P1522" s="3" t="s">
        <v>45</v>
      </c>
      <c r="Q1522" s="3" t="s">
        <v>45</v>
      </c>
      <c r="R1522" s="3" t="s">
        <v>45</v>
      </c>
      <c r="S1522" s="3" t="s">
        <v>45</v>
      </c>
      <c r="T1522" s="3" t="s">
        <v>45</v>
      </c>
      <c r="U1522" s="3" t="s">
        <v>45</v>
      </c>
      <c r="V1522" s="4" t="s">
        <v>12870</v>
      </c>
      <c r="W1522" s="4" t="s">
        <v>259</v>
      </c>
      <c r="X1522" s="3" t="s">
        <v>45</v>
      </c>
      <c r="Y1522" s="3" t="s">
        <v>45</v>
      </c>
      <c r="Z1522" s="3" t="s">
        <v>74</v>
      </c>
      <c r="AA1522" s="3" t="s">
        <v>45</v>
      </c>
      <c r="AB1522" s="3" t="s">
        <v>45</v>
      </c>
      <c r="AC1522" s="3" t="s">
        <v>45</v>
      </c>
      <c r="AD1522" s="3" t="s">
        <v>45</v>
      </c>
      <c r="AE1522" s="3" t="s">
        <v>45</v>
      </c>
      <c r="AF1522" s="3" t="s">
        <v>45</v>
      </c>
      <c r="AG1522" s="3" t="s">
        <v>9932</v>
      </c>
      <c r="AH1522" s="3" t="s">
        <v>9906</v>
      </c>
      <c r="AI1522" s="5" t="s">
        <v>12871</v>
      </c>
      <c r="AJ1522" s="3" t="s">
        <v>45</v>
      </c>
      <c r="AK1522" s="3" t="s">
        <v>45</v>
      </c>
      <c r="AL1522" s="3" t="s">
        <v>45</v>
      </c>
      <c r="AM1522" s="3" t="s">
        <v>45</v>
      </c>
      <c r="AN1522" s="3" t="s">
        <v>45</v>
      </c>
      <c r="AO1522" s="3" t="s">
        <v>45</v>
      </c>
      <c r="AP1522" s="3" t="s">
        <v>45</v>
      </c>
      <c r="AQ1522" s="4" t="s">
        <v>9934</v>
      </c>
      <c r="AR1522" s="4" t="s">
        <v>9908</v>
      </c>
    </row>
    <row r="1523">
      <c r="A1523" s="3" t="s">
        <v>12872</v>
      </c>
      <c r="B1523" s="3" t="s">
        <v>12873</v>
      </c>
      <c r="C1523" s="3" t="s">
        <v>1088</v>
      </c>
      <c r="D1523" s="3" t="s">
        <v>9900</v>
      </c>
      <c r="E1523" s="4" t="s">
        <v>10097</v>
      </c>
      <c r="F1523" s="3" t="s">
        <v>9928</v>
      </c>
      <c r="G1523" s="4" t="s">
        <v>12874</v>
      </c>
      <c r="H1523" s="4" t="s">
        <v>12875</v>
      </c>
      <c r="I1523" s="3" t="s">
        <v>85</v>
      </c>
      <c r="J1523" s="3" t="s">
        <v>126</v>
      </c>
      <c r="K1523" s="3" t="s">
        <v>45</v>
      </c>
      <c r="L1523" s="3" t="s">
        <v>557</v>
      </c>
      <c r="M1523" s="3" t="s">
        <v>45</v>
      </c>
      <c r="N1523" s="3" t="s">
        <v>45</v>
      </c>
      <c r="O1523" s="3" t="s">
        <v>74</v>
      </c>
      <c r="P1523" s="3" t="s">
        <v>45</v>
      </c>
      <c r="Q1523" s="3" t="s">
        <v>45</v>
      </c>
      <c r="R1523" s="3" t="s">
        <v>45</v>
      </c>
      <c r="S1523" s="3" t="s">
        <v>45</v>
      </c>
      <c r="T1523" s="3" t="s">
        <v>45</v>
      </c>
      <c r="U1523" s="3" t="s">
        <v>45</v>
      </c>
      <c r="V1523" s="4" t="s">
        <v>12876</v>
      </c>
      <c r="W1523" s="4" t="s">
        <v>922</v>
      </c>
      <c r="X1523" s="3" t="s">
        <v>45</v>
      </c>
      <c r="Y1523" s="3" t="s">
        <v>45</v>
      </c>
      <c r="Z1523" s="3" t="s">
        <v>74</v>
      </c>
      <c r="AA1523" s="3" t="s">
        <v>45</v>
      </c>
      <c r="AB1523" s="3" t="s">
        <v>45</v>
      </c>
      <c r="AC1523" s="3" t="s">
        <v>45</v>
      </c>
      <c r="AD1523" s="3" t="s">
        <v>45</v>
      </c>
      <c r="AE1523" s="3" t="s">
        <v>45</v>
      </c>
      <c r="AF1523" s="3" t="s">
        <v>45</v>
      </c>
      <c r="AG1523" s="3" t="s">
        <v>9932</v>
      </c>
      <c r="AH1523" s="3" t="s">
        <v>9906</v>
      </c>
      <c r="AI1523" s="5" t="s">
        <v>12877</v>
      </c>
      <c r="AJ1523" s="3" t="s">
        <v>45</v>
      </c>
      <c r="AK1523" s="3" t="s">
        <v>45</v>
      </c>
      <c r="AL1523" s="3" t="s">
        <v>45</v>
      </c>
      <c r="AM1523" s="3" t="s">
        <v>45</v>
      </c>
      <c r="AN1523" s="3" t="s">
        <v>45</v>
      </c>
      <c r="AO1523" s="3" t="s">
        <v>45</v>
      </c>
      <c r="AP1523" s="3" t="s">
        <v>45</v>
      </c>
      <c r="AQ1523" s="4" t="s">
        <v>9934</v>
      </c>
      <c r="AR1523" s="4" t="s">
        <v>9908</v>
      </c>
    </row>
    <row r="1524">
      <c r="A1524" s="3" t="s">
        <v>12878</v>
      </c>
      <c r="B1524" s="3" t="s">
        <v>12879</v>
      </c>
      <c r="C1524" s="3" t="s">
        <v>1088</v>
      </c>
      <c r="D1524" s="3" t="s">
        <v>9900</v>
      </c>
      <c r="E1524" s="4" t="s">
        <v>10097</v>
      </c>
      <c r="F1524" s="3" t="s">
        <v>9928</v>
      </c>
      <c r="G1524" s="4" t="s">
        <v>12880</v>
      </c>
      <c r="H1524" s="4" t="s">
        <v>12881</v>
      </c>
      <c r="I1524" s="3" t="s">
        <v>49</v>
      </c>
      <c r="J1524" s="3" t="s">
        <v>126</v>
      </c>
      <c r="K1524" s="3" t="s">
        <v>45</v>
      </c>
      <c r="L1524" s="3" t="s">
        <v>45</v>
      </c>
      <c r="M1524" s="3" t="s">
        <v>45</v>
      </c>
      <c r="N1524" s="3" t="s">
        <v>45</v>
      </c>
      <c r="O1524" s="3" t="s">
        <v>74</v>
      </c>
      <c r="P1524" s="3" t="s">
        <v>45</v>
      </c>
      <c r="Q1524" s="3" t="s">
        <v>45</v>
      </c>
      <c r="R1524" s="3" t="s">
        <v>45</v>
      </c>
      <c r="S1524" s="3" t="s">
        <v>45</v>
      </c>
      <c r="T1524" s="3" t="s">
        <v>45</v>
      </c>
      <c r="U1524" s="3" t="s">
        <v>45</v>
      </c>
      <c r="V1524" s="4" t="s">
        <v>12882</v>
      </c>
      <c r="W1524" s="4" t="s">
        <v>472</v>
      </c>
      <c r="X1524" s="3" t="s">
        <v>45</v>
      </c>
      <c r="Y1524" s="3" t="s">
        <v>45</v>
      </c>
      <c r="Z1524" s="3" t="s">
        <v>74</v>
      </c>
      <c r="AA1524" s="3" t="s">
        <v>45</v>
      </c>
      <c r="AB1524" s="3" t="s">
        <v>45</v>
      </c>
      <c r="AC1524" s="3" t="s">
        <v>45</v>
      </c>
      <c r="AD1524" s="3" t="s">
        <v>45</v>
      </c>
      <c r="AE1524" s="3" t="s">
        <v>45</v>
      </c>
      <c r="AF1524" s="3" t="s">
        <v>45</v>
      </c>
      <c r="AG1524" s="3" t="s">
        <v>45</v>
      </c>
      <c r="AH1524" s="3" t="s">
        <v>9906</v>
      </c>
      <c r="AI1524" s="5" t="s">
        <v>12883</v>
      </c>
      <c r="AJ1524" s="5" t="s">
        <v>12884</v>
      </c>
      <c r="AK1524" s="3" t="s">
        <v>45</v>
      </c>
      <c r="AL1524" s="3" t="s">
        <v>45</v>
      </c>
      <c r="AM1524" s="3" t="s">
        <v>45</v>
      </c>
      <c r="AN1524" s="3" t="s">
        <v>45</v>
      </c>
      <c r="AO1524" s="3" t="s">
        <v>45</v>
      </c>
      <c r="AP1524" s="3" t="s">
        <v>45</v>
      </c>
      <c r="AQ1524" s="4" t="s">
        <v>10118</v>
      </c>
      <c r="AR1524" s="4" t="s">
        <v>9908</v>
      </c>
    </row>
    <row r="1525">
      <c r="A1525" s="3" t="s">
        <v>12885</v>
      </c>
      <c r="B1525" s="3" t="s">
        <v>12886</v>
      </c>
      <c r="C1525" s="3" t="s">
        <v>1088</v>
      </c>
      <c r="D1525" s="3" t="s">
        <v>9900</v>
      </c>
      <c r="E1525" s="4" t="s">
        <v>10097</v>
      </c>
      <c r="F1525" s="3" t="s">
        <v>9928</v>
      </c>
      <c r="G1525" s="4" t="s">
        <v>12887</v>
      </c>
      <c r="H1525" s="4" t="s">
        <v>12888</v>
      </c>
      <c r="I1525" s="3" t="s">
        <v>49</v>
      </c>
      <c r="J1525" s="3" t="s">
        <v>126</v>
      </c>
      <c r="K1525" s="3" t="s">
        <v>45</v>
      </c>
      <c r="L1525" s="3" t="s">
        <v>45</v>
      </c>
      <c r="M1525" s="3" t="s">
        <v>45</v>
      </c>
      <c r="N1525" s="3" t="s">
        <v>45</v>
      </c>
      <c r="O1525" s="3" t="s">
        <v>74</v>
      </c>
      <c r="P1525" s="3" t="s">
        <v>45</v>
      </c>
      <c r="Q1525" s="3" t="s">
        <v>45</v>
      </c>
      <c r="R1525" s="3" t="s">
        <v>45</v>
      </c>
      <c r="S1525" s="3" t="s">
        <v>45</v>
      </c>
      <c r="T1525" s="3" t="s">
        <v>45</v>
      </c>
      <c r="U1525" s="3" t="s">
        <v>45</v>
      </c>
      <c r="V1525" s="3" t="s">
        <v>45</v>
      </c>
      <c r="W1525" s="4" t="s">
        <v>52</v>
      </c>
      <c r="X1525" s="3" t="s">
        <v>45</v>
      </c>
      <c r="Y1525" s="3" t="s">
        <v>45</v>
      </c>
      <c r="Z1525" s="3" t="s">
        <v>74</v>
      </c>
      <c r="AA1525" s="3" t="s">
        <v>45</v>
      </c>
      <c r="AB1525" s="3" t="s">
        <v>45</v>
      </c>
      <c r="AC1525" s="3" t="s">
        <v>45</v>
      </c>
      <c r="AD1525" s="3" t="s">
        <v>45</v>
      </c>
      <c r="AE1525" s="3" t="s">
        <v>45</v>
      </c>
      <c r="AF1525" s="3" t="s">
        <v>45</v>
      </c>
      <c r="AG1525" s="3" t="s">
        <v>12889</v>
      </c>
      <c r="AH1525" s="3" t="s">
        <v>9906</v>
      </c>
      <c r="AI1525" s="5" t="s">
        <v>12890</v>
      </c>
      <c r="AJ1525" s="5" t="s">
        <v>12891</v>
      </c>
      <c r="AK1525" s="3" t="s">
        <v>45</v>
      </c>
      <c r="AL1525" s="3" t="s">
        <v>45</v>
      </c>
      <c r="AM1525" s="3" t="s">
        <v>45</v>
      </c>
      <c r="AN1525" s="3" t="s">
        <v>45</v>
      </c>
      <c r="AO1525" s="3" t="s">
        <v>45</v>
      </c>
      <c r="AP1525" s="3" t="s">
        <v>45</v>
      </c>
      <c r="AQ1525" s="4" t="s">
        <v>807</v>
      </c>
      <c r="AR1525" s="4" t="s">
        <v>9908</v>
      </c>
    </row>
    <row r="1526">
      <c r="A1526" s="3" t="s">
        <v>1086</v>
      </c>
      <c r="B1526" s="3" t="s">
        <v>12892</v>
      </c>
      <c r="C1526" s="3" t="s">
        <v>1088</v>
      </c>
      <c r="D1526" s="3" t="s">
        <v>9900</v>
      </c>
      <c r="E1526" s="4" t="s">
        <v>10097</v>
      </c>
      <c r="F1526" s="3" t="s">
        <v>9928</v>
      </c>
      <c r="G1526" s="4" t="s">
        <v>12893</v>
      </c>
      <c r="H1526" s="4" t="s">
        <v>12894</v>
      </c>
      <c r="I1526" s="3" t="s">
        <v>85</v>
      </c>
      <c r="J1526" s="3" t="s">
        <v>126</v>
      </c>
      <c r="K1526" s="3" t="s">
        <v>45</v>
      </c>
      <c r="L1526" s="3" t="s">
        <v>45</v>
      </c>
      <c r="M1526" s="3" t="s">
        <v>45</v>
      </c>
      <c r="N1526" s="3" t="s">
        <v>45</v>
      </c>
      <c r="O1526" s="3" t="s">
        <v>74</v>
      </c>
      <c r="P1526" s="3" t="s">
        <v>45</v>
      </c>
      <c r="Q1526" s="3" t="s">
        <v>45</v>
      </c>
      <c r="R1526" s="3" t="s">
        <v>45</v>
      </c>
      <c r="S1526" s="3" t="s">
        <v>45</v>
      </c>
      <c r="T1526" s="3" t="s">
        <v>45</v>
      </c>
      <c r="U1526" s="3" t="s">
        <v>45</v>
      </c>
      <c r="V1526" s="3" t="s">
        <v>45</v>
      </c>
      <c r="W1526" s="3" t="s">
        <v>45</v>
      </c>
      <c r="X1526" s="3" t="s">
        <v>45</v>
      </c>
      <c r="Y1526" s="3" t="s">
        <v>45</v>
      </c>
      <c r="Z1526" s="3" t="s">
        <v>74</v>
      </c>
      <c r="AA1526" s="3" t="s">
        <v>45</v>
      </c>
      <c r="AB1526" s="3" t="s">
        <v>45</v>
      </c>
      <c r="AC1526" s="3" t="s">
        <v>45</v>
      </c>
      <c r="AD1526" s="3" t="s">
        <v>45</v>
      </c>
      <c r="AE1526" s="3" t="s">
        <v>45</v>
      </c>
      <c r="AF1526" s="3" t="s">
        <v>45</v>
      </c>
      <c r="AG1526" s="3" t="s">
        <v>45</v>
      </c>
      <c r="AH1526" s="3" t="s">
        <v>57</v>
      </c>
      <c r="AI1526" s="5" t="s">
        <v>12540</v>
      </c>
      <c r="AJ1526" s="3" t="s">
        <v>45</v>
      </c>
      <c r="AK1526" s="3" t="s">
        <v>45</v>
      </c>
      <c r="AL1526" s="3" t="s">
        <v>45</v>
      </c>
      <c r="AM1526" s="3" t="s">
        <v>45</v>
      </c>
      <c r="AN1526" s="3" t="s">
        <v>45</v>
      </c>
      <c r="AO1526" s="3" t="s">
        <v>45</v>
      </c>
      <c r="AP1526" s="3" t="s">
        <v>45</v>
      </c>
      <c r="AQ1526" s="4" t="s">
        <v>661</v>
      </c>
      <c r="AR1526" s="4" t="s">
        <v>661</v>
      </c>
    </row>
    <row r="1527">
      <c r="A1527" s="3" t="s">
        <v>12895</v>
      </c>
      <c r="B1527" s="3" t="s">
        <v>12896</v>
      </c>
      <c r="C1527" s="3" t="s">
        <v>1088</v>
      </c>
      <c r="D1527" s="3" t="s">
        <v>9900</v>
      </c>
      <c r="E1527" s="4" t="s">
        <v>10097</v>
      </c>
      <c r="F1527" s="3" t="s">
        <v>9928</v>
      </c>
      <c r="G1527" s="4" t="s">
        <v>12897</v>
      </c>
      <c r="H1527" s="4" t="s">
        <v>12898</v>
      </c>
      <c r="I1527" s="3" t="s">
        <v>85</v>
      </c>
      <c r="J1527" s="3" t="s">
        <v>126</v>
      </c>
      <c r="K1527" s="3" t="s">
        <v>45</v>
      </c>
      <c r="L1527" s="3" t="s">
        <v>45</v>
      </c>
      <c r="M1527" s="3" t="s">
        <v>45</v>
      </c>
      <c r="N1527" s="3" t="s">
        <v>45</v>
      </c>
      <c r="O1527" s="3" t="s">
        <v>74</v>
      </c>
      <c r="P1527" s="3" t="s">
        <v>45</v>
      </c>
      <c r="Q1527" s="3" t="s">
        <v>45</v>
      </c>
      <c r="R1527" s="3" t="s">
        <v>45</v>
      </c>
      <c r="S1527" s="3" t="s">
        <v>45</v>
      </c>
      <c r="T1527" s="3" t="s">
        <v>45</v>
      </c>
      <c r="U1527" s="3" t="s">
        <v>45</v>
      </c>
      <c r="V1527" s="4" t="s">
        <v>12899</v>
      </c>
      <c r="W1527" s="4" t="s">
        <v>1580</v>
      </c>
      <c r="X1527" s="3" t="s">
        <v>45</v>
      </c>
      <c r="Y1527" s="3" t="s">
        <v>45</v>
      </c>
      <c r="Z1527" s="3" t="s">
        <v>74</v>
      </c>
      <c r="AA1527" s="3" t="s">
        <v>45</v>
      </c>
      <c r="AB1527" s="3" t="s">
        <v>45</v>
      </c>
      <c r="AC1527" s="3" t="s">
        <v>45</v>
      </c>
      <c r="AD1527" s="3" t="s">
        <v>45</v>
      </c>
      <c r="AE1527" s="3" t="s">
        <v>45</v>
      </c>
      <c r="AF1527" s="3" t="s">
        <v>45</v>
      </c>
      <c r="AG1527" s="3" t="s">
        <v>9916</v>
      </c>
      <c r="AH1527" s="3" t="s">
        <v>9906</v>
      </c>
      <c r="AI1527" s="5" t="s">
        <v>12900</v>
      </c>
      <c r="AJ1527" s="3" t="s">
        <v>45</v>
      </c>
      <c r="AK1527" s="3" t="s">
        <v>45</v>
      </c>
      <c r="AL1527" s="3" t="s">
        <v>45</v>
      </c>
      <c r="AM1527" s="3" t="s">
        <v>45</v>
      </c>
      <c r="AN1527" s="3" t="s">
        <v>45</v>
      </c>
      <c r="AO1527" s="3" t="s">
        <v>45</v>
      </c>
      <c r="AP1527" s="3" t="s">
        <v>45</v>
      </c>
      <c r="AQ1527" s="4" t="s">
        <v>10118</v>
      </c>
      <c r="AR1527" s="4" t="s">
        <v>9908</v>
      </c>
    </row>
    <row r="1528">
      <c r="A1528" s="3" t="s">
        <v>12901</v>
      </c>
      <c r="B1528" s="3" t="s">
        <v>12902</v>
      </c>
      <c r="C1528" s="3" t="s">
        <v>1088</v>
      </c>
      <c r="D1528" s="3" t="s">
        <v>9900</v>
      </c>
      <c r="E1528" s="4" t="s">
        <v>10097</v>
      </c>
      <c r="F1528" s="3" t="s">
        <v>9928</v>
      </c>
      <c r="G1528" s="4" t="s">
        <v>12903</v>
      </c>
      <c r="H1528" s="4" t="s">
        <v>12904</v>
      </c>
      <c r="I1528" s="3" t="s">
        <v>49</v>
      </c>
      <c r="J1528" s="3" t="s">
        <v>126</v>
      </c>
      <c r="K1528" s="3" t="s">
        <v>45</v>
      </c>
      <c r="L1528" s="3" t="s">
        <v>45</v>
      </c>
      <c r="M1528" s="3" t="s">
        <v>45</v>
      </c>
      <c r="N1528" s="3" t="s">
        <v>45</v>
      </c>
      <c r="O1528" s="3" t="s">
        <v>74</v>
      </c>
      <c r="P1528" s="3" t="s">
        <v>45</v>
      </c>
      <c r="Q1528" s="3" t="s">
        <v>45</v>
      </c>
      <c r="R1528" s="3" t="s">
        <v>45</v>
      </c>
      <c r="S1528" s="3" t="s">
        <v>45</v>
      </c>
      <c r="T1528" s="3" t="s">
        <v>45</v>
      </c>
      <c r="U1528" s="3" t="s">
        <v>45</v>
      </c>
      <c r="V1528" s="4" t="s">
        <v>12905</v>
      </c>
      <c r="W1528" s="4" t="s">
        <v>52</v>
      </c>
      <c r="X1528" s="3" t="s">
        <v>45</v>
      </c>
      <c r="Y1528" s="3" t="s">
        <v>45</v>
      </c>
      <c r="Z1528" s="3" t="s">
        <v>74</v>
      </c>
      <c r="AA1528" s="3" t="s">
        <v>45</v>
      </c>
      <c r="AB1528" s="3" t="s">
        <v>45</v>
      </c>
      <c r="AC1528" s="3" t="s">
        <v>45</v>
      </c>
      <c r="AD1528" s="3" t="s">
        <v>45</v>
      </c>
      <c r="AE1528" s="3" t="s">
        <v>45</v>
      </c>
      <c r="AF1528" s="3" t="s">
        <v>45</v>
      </c>
      <c r="AG1528" s="3" t="s">
        <v>45</v>
      </c>
      <c r="AH1528" s="3" t="s">
        <v>9906</v>
      </c>
      <c r="AI1528" s="5" t="s">
        <v>12906</v>
      </c>
      <c r="AJ1528" s="5" t="s">
        <v>12907</v>
      </c>
      <c r="AK1528" s="5" t="s">
        <v>12908</v>
      </c>
      <c r="AL1528" s="3" t="s">
        <v>45</v>
      </c>
      <c r="AM1528" s="3" t="s">
        <v>45</v>
      </c>
      <c r="AN1528" s="3" t="s">
        <v>45</v>
      </c>
      <c r="AO1528" s="3" t="s">
        <v>45</v>
      </c>
      <c r="AP1528" s="3" t="s">
        <v>45</v>
      </c>
      <c r="AQ1528" s="4" t="s">
        <v>10118</v>
      </c>
      <c r="AR1528" s="4" t="s">
        <v>1016</v>
      </c>
    </row>
    <row r="1529">
      <c r="A1529" s="3" t="s">
        <v>12909</v>
      </c>
      <c r="B1529" s="3" t="s">
        <v>12910</v>
      </c>
      <c r="C1529" s="3" t="s">
        <v>1088</v>
      </c>
      <c r="D1529" s="3" t="s">
        <v>9900</v>
      </c>
      <c r="E1529" s="4" t="s">
        <v>10097</v>
      </c>
      <c r="F1529" s="3" t="s">
        <v>9928</v>
      </c>
      <c r="G1529" s="4" t="s">
        <v>12911</v>
      </c>
      <c r="H1529" s="4" t="s">
        <v>12912</v>
      </c>
      <c r="I1529" s="3" t="s">
        <v>85</v>
      </c>
      <c r="J1529" s="3" t="s">
        <v>126</v>
      </c>
      <c r="K1529" s="3" t="s">
        <v>45</v>
      </c>
      <c r="L1529" s="3" t="s">
        <v>12913</v>
      </c>
      <c r="M1529" s="3" t="s">
        <v>45</v>
      </c>
      <c r="N1529" s="3" t="s">
        <v>45</v>
      </c>
      <c r="O1529" s="3" t="s">
        <v>74</v>
      </c>
      <c r="P1529" s="3" t="s">
        <v>45</v>
      </c>
      <c r="Q1529" s="3" t="s">
        <v>45</v>
      </c>
      <c r="R1529" s="3" t="s">
        <v>45</v>
      </c>
      <c r="S1529" s="3" t="s">
        <v>45</v>
      </c>
      <c r="T1529" s="3" t="s">
        <v>45</v>
      </c>
      <c r="U1529" s="3" t="s">
        <v>45</v>
      </c>
      <c r="V1529" s="4" t="s">
        <v>12914</v>
      </c>
      <c r="W1529" s="4" t="s">
        <v>129</v>
      </c>
      <c r="X1529" s="3" t="s">
        <v>45</v>
      </c>
      <c r="Y1529" s="3" t="s">
        <v>45</v>
      </c>
      <c r="Z1529" s="3" t="s">
        <v>74</v>
      </c>
      <c r="AA1529" s="3" t="s">
        <v>45</v>
      </c>
      <c r="AB1529" s="3" t="s">
        <v>45</v>
      </c>
      <c r="AC1529" s="3" t="s">
        <v>45</v>
      </c>
      <c r="AD1529" s="3" t="s">
        <v>45</v>
      </c>
      <c r="AE1529" s="3" t="s">
        <v>45</v>
      </c>
      <c r="AF1529" s="3" t="s">
        <v>45</v>
      </c>
      <c r="AG1529" s="3" t="s">
        <v>9932</v>
      </c>
      <c r="AH1529" s="3" t="s">
        <v>9906</v>
      </c>
      <c r="AI1529" s="5" t="s">
        <v>12915</v>
      </c>
      <c r="AJ1529" s="5" t="s">
        <v>12916</v>
      </c>
      <c r="AK1529" s="3" t="s">
        <v>45</v>
      </c>
      <c r="AL1529" s="3" t="s">
        <v>45</v>
      </c>
      <c r="AM1529" s="3" t="s">
        <v>45</v>
      </c>
      <c r="AN1529" s="3" t="s">
        <v>45</v>
      </c>
      <c r="AO1529" s="3" t="s">
        <v>45</v>
      </c>
      <c r="AP1529" s="3" t="s">
        <v>45</v>
      </c>
      <c r="AQ1529" s="4" t="s">
        <v>9934</v>
      </c>
      <c r="AR1529" s="4" t="s">
        <v>9908</v>
      </c>
    </row>
    <row r="1530">
      <c r="A1530" s="3" t="s">
        <v>12917</v>
      </c>
      <c r="B1530" s="3" t="s">
        <v>12918</v>
      </c>
      <c r="C1530" s="3" t="s">
        <v>1088</v>
      </c>
      <c r="D1530" s="3" t="s">
        <v>9900</v>
      </c>
      <c r="E1530" s="4" t="s">
        <v>10097</v>
      </c>
      <c r="F1530" s="3" t="s">
        <v>9928</v>
      </c>
      <c r="G1530" s="4" t="s">
        <v>12919</v>
      </c>
      <c r="H1530" s="4" t="s">
        <v>12920</v>
      </c>
      <c r="I1530" s="3" t="s">
        <v>85</v>
      </c>
      <c r="J1530" s="3" t="s">
        <v>126</v>
      </c>
      <c r="K1530" s="3" t="s">
        <v>45</v>
      </c>
      <c r="L1530" s="3" t="s">
        <v>12921</v>
      </c>
      <c r="M1530" s="3" t="s">
        <v>45</v>
      </c>
      <c r="N1530" s="3" t="s">
        <v>45</v>
      </c>
      <c r="O1530" s="3" t="s">
        <v>74</v>
      </c>
      <c r="P1530" s="3" t="s">
        <v>45</v>
      </c>
      <c r="Q1530" s="3" t="s">
        <v>45</v>
      </c>
      <c r="R1530" s="3" t="s">
        <v>45</v>
      </c>
      <c r="S1530" s="3" t="s">
        <v>45</v>
      </c>
      <c r="T1530" s="3" t="s">
        <v>45</v>
      </c>
      <c r="U1530" s="3" t="s">
        <v>45</v>
      </c>
      <c r="V1530" s="4" t="s">
        <v>12922</v>
      </c>
      <c r="W1530" s="4" t="s">
        <v>6561</v>
      </c>
      <c r="X1530" s="3" t="s">
        <v>45</v>
      </c>
      <c r="Y1530" s="3" t="s">
        <v>45</v>
      </c>
      <c r="Z1530" s="3" t="s">
        <v>74</v>
      </c>
      <c r="AA1530" s="3" t="s">
        <v>45</v>
      </c>
      <c r="AB1530" s="3" t="s">
        <v>45</v>
      </c>
      <c r="AC1530" s="3" t="s">
        <v>45</v>
      </c>
      <c r="AD1530" s="3" t="s">
        <v>45</v>
      </c>
      <c r="AE1530" s="3" t="s">
        <v>45</v>
      </c>
      <c r="AF1530" s="3" t="s">
        <v>45</v>
      </c>
      <c r="AG1530" s="3" t="s">
        <v>9932</v>
      </c>
      <c r="AH1530" s="3" t="s">
        <v>9906</v>
      </c>
      <c r="AI1530" s="5" t="s">
        <v>12923</v>
      </c>
      <c r="AJ1530" s="3" t="s">
        <v>45</v>
      </c>
      <c r="AK1530" s="3" t="s">
        <v>45</v>
      </c>
      <c r="AL1530" s="3" t="s">
        <v>45</v>
      </c>
      <c r="AM1530" s="3" t="s">
        <v>45</v>
      </c>
      <c r="AN1530" s="3" t="s">
        <v>45</v>
      </c>
      <c r="AO1530" s="3" t="s">
        <v>45</v>
      </c>
      <c r="AP1530" s="3" t="s">
        <v>45</v>
      </c>
      <c r="AQ1530" s="4" t="s">
        <v>9934</v>
      </c>
      <c r="AR1530" s="4" t="s">
        <v>9908</v>
      </c>
    </row>
    <row r="1531">
      <c r="A1531" s="3" t="s">
        <v>12924</v>
      </c>
      <c r="B1531" s="3" t="s">
        <v>12925</v>
      </c>
      <c r="C1531" s="3" t="s">
        <v>1088</v>
      </c>
      <c r="D1531" s="3" t="s">
        <v>9900</v>
      </c>
      <c r="E1531" s="4" t="s">
        <v>12565</v>
      </c>
      <c r="F1531" s="3" t="s">
        <v>9928</v>
      </c>
      <c r="G1531" s="4" t="s">
        <v>12926</v>
      </c>
      <c r="H1531" s="4" t="s">
        <v>12927</v>
      </c>
      <c r="I1531" s="3" t="s">
        <v>85</v>
      </c>
      <c r="J1531" s="3" t="s">
        <v>126</v>
      </c>
      <c r="K1531" s="3" t="s">
        <v>45</v>
      </c>
      <c r="L1531" s="3" t="s">
        <v>12928</v>
      </c>
      <c r="M1531" s="3" t="s">
        <v>45</v>
      </c>
      <c r="N1531" s="3" t="s">
        <v>45</v>
      </c>
      <c r="O1531" s="3" t="s">
        <v>74</v>
      </c>
      <c r="P1531" s="3" t="s">
        <v>45</v>
      </c>
      <c r="Q1531" s="3" t="s">
        <v>45</v>
      </c>
      <c r="R1531" s="3" t="s">
        <v>45</v>
      </c>
      <c r="S1531" s="3" t="s">
        <v>45</v>
      </c>
      <c r="T1531" s="3" t="s">
        <v>45</v>
      </c>
      <c r="U1531" s="3" t="s">
        <v>45</v>
      </c>
      <c r="V1531" s="4" t="s">
        <v>12929</v>
      </c>
      <c r="W1531" s="4" t="s">
        <v>129</v>
      </c>
      <c r="X1531" s="3" t="s">
        <v>45</v>
      </c>
      <c r="Y1531" s="3" t="s">
        <v>45</v>
      </c>
      <c r="Z1531" s="3" t="s">
        <v>74</v>
      </c>
      <c r="AA1531" s="3" t="s">
        <v>45</v>
      </c>
      <c r="AB1531" s="3" t="s">
        <v>45</v>
      </c>
      <c r="AC1531" s="3" t="s">
        <v>45</v>
      </c>
      <c r="AD1531" s="3" t="s">
        <v>45</v>
      </c>
      <c r="AE1531" s="3" t="s">
        <v>45</v>
      </c>
      <c r="AF1531" s="3" t="s">
        <v>45</v>
      </c>
      <c r="AG1531" s="3" t="s">
        <v>12930</v>
      </c>
      <c r="AH1531" s="3" t="s">
        <v>9906</v>
      </c>
      <c r="AI1531" s="5" t="s">
        <v>12931</v>
      </c>
      <c r="AJ1531" s="5" t="s">
        <v>12932</v>
      </c>
      <c r="AK1531" s="3" t="s">
        <v>45</v>
      </c>
      <c r="AL1531" s="3" t="s">
        <v>45</v>
      </c>
      <c r="AM1531" s="3" t="s">
        <v>45</v>
      </c>
      <c r="AN1531" s="3" t="s">
        <v>45</v>
      </c>
      <c r="AO1531" s="3" t="s">
        <v>45</v>
      </c>
      <c r="AP1531" s="3" t="s">
        <v>45</v>
      </c>
      <c r="AQ1531" s="4" t="s">
        <v>603</v>
      </c>
      <c r="AR1531" s="4" t="s">
        <v>9908</v>
      </c>
    </row>
    <row r="1532">
      <c r="A1532" s="3" t="s">
        <v>12933</v>
      </c>
      <c r="B1532" s="3" t="s">
        <v>12934</v>
      </c>
      <c r="C1532" s="3" t="s">
        <v>1088</v>
      </c>
      <c r="D1532" s="3" t="s">
        <v>9900</v>
      </c>
      <c r="E1532" s="4" t="s">
        <v>10097</v>
      </c>
      <c r="F1532" s="3" t="s">
        <v>9928</v>
      </c>
      <c r="G1532" s="4" t="s">
        <v>12935</v>
      </c>
      <c r="H1532" s="4" t="s">
        <v>12936</v>
      </c>
      <c r="I1532" s="3" t="s">
        <v>85</v>
      </c>
      <c r="J1532" s="3" t="s">
        <v>126</v>
      </c>
      <c r="K1532" s="3" t="s">
        <v>45</v>
      </c>
      <c r="L1532" s="3" t="s">
        <v>12933</v>
      </c>
      <c r="M1532" s="3" t="s">
        <v>45</v>
      </c>
      <c r="N1532" s="3" t="s">
        <v>45</v>
      </c>
      <c r="O1532" s="3" t="s">
        <v>74</v>
      </c>
      <c r="P1532" s="3" t="s">
        <v>45</v>
      </c>
      <c r="Q1532" s="3" t="s">
        <v>45</v>
      </c>
      <c r="R1532" s="3" t="s">
        <v>45</v>
      </c>
      <c r="S1532" s="3" t="s">
        <v>45</v>
      </c>
      <c r="T1532" s="3" t="s">
        <v>45</v>
      </c>
      <c r="U1532" s="3" t="s">
        <v>45</v>
      </c>
      <c r="V1532" s="4" t="s">
        <v>12937</v>
      </c>
      <c r="W1532" s="4" t="s">
        <v>259</v>
      </c>
      <c r="X1532" s="3" t="s">
        <v>45</v>
      </c>
      <c r="Y1532" s="3" t="s">
        <v>45</v>
      </c>
      <c r="Z1532" s="3" t="s">
        <v>74</v>
      </c>
      <c r="AA1532" s="3" t="s">
        <v>45</v>
      </c>
      <c r="AB1532" s="3" t="s">
        <v>45</v>
      </c>
      <c r="AC1532" s="3" t="s">
        <v>45</v>
      </c>
      <c r="AD1532" s="3" t="s">
        <v>45</v>
      </c>
      <c r="AE1532" s="3" t="s">
        <v>45</v>
      </c>
      <c r="AF1532" s="3" t="s">
        <v>45</v>
      </c>
      <c r="AG1532" s="3" t="s">
        <v>9932</v>
      </c>
      <c r="AH1532" s="3" t="s">
        <v>9906</v>
      </c>
      <c r="AI1532" s="5" t="s">
        <v>12938</v>
      </c>
      <c r="AJ1532" s="3" t="s">
        <v>45</v>
      </c>
      <c r="AK1532" s="3" t="s">
        <v>45</v>
      </c>
      <c r="AL1532" s="3" t="s">
        <v>45</v>
      </c>
      <c r="AM1532" s="3" t="s">
        <v>45</v>
      </c>
      <c r="AN1532" s="3" t="s">
        <v>45</v>
      </c>
      <c r="AO1532" s="3" t="s">
        <v>45</v>
      </c>
      <c r="AP1532" s="3" t="s">
        <v>45</v>
      </c>
      <c r="AQ1532" s="4" t="s">
        <v>9934</v>
      </c>
      <c r="AR1532" s="4" t="s">
        <v>9908</v>
      </c>
    </row>
    <row r="1533">
      <c r="A1533" s="3" t="s">
        <v>12939</v>
      </c>
      <c r="B1533" s="3" t="s">
        <v>12940</v>
      </c>
      <c r="C1533" s="3" t="s">
        <v>1088</v>
      </c>
      <c r="D1533" s="3" t="s">
        <v>9900</v>
      </c>
      <c r="E1533" s="4" t="s">
        <v>10097</v>
      </c>
      <c r="F1533" s="3" t="s">
        <v>9928</v>
      </c>
      <c r="G1533" s="4" t="s">
        <v>12941</v>
      </c>
      <c r="H1533" s="4" t="s">
        <v>12942</v>
      </c>
      <c r="I1533" s="3" t="s">
        <v>49</v>
      </c>
      <c r="J1533" s="3" t="s">
        <v>126</v>
      </c>
      <c r="K1533" s="3" t="s">
        <v>45</v>
      </c>
      <c r="L1533" s="3" t="s">
        <v>921</v>
      </c>
      <c r="M1533" s="3" t="s">
        <v>45</v>
      </c>
      <c r="N1533" s="3" t="s">
        <v>45</v>
      </c>
      <c r="O1533" s="3" t="s">
        <v>74</v>
      </c>
      <c r="P1533" s="3" t="s">
        <v>45</v>
      </c>
      <c r="Q1533" s="3" t="s">
        <v>45</v>
      </c>
      <c r="R1533" s="3" t="s">
        <v>45</v>
      </c>
      <c r="S1533" s="3" t="s">
        <v>45</v>
      </c>
      <c r="T1533" s="3" t="s">
        <v>45</v>
      </c>
      <c r="U1533" s="3" t="s">
        <v>45</v>
      </c>
      <c r="V1533" s="4" t="s">
        <v>12943</v>
      </c>
      <c r="W1533" s="4" t="s">
        <v>6560</v>
      </c>
      <c r="X1533" s="3" t="s">
        <v>45</v>
      </c>
      <c r="Y1533" s="3" t="s">
        <v>45</v>
      </c>
      <c r="Z1533" s="3" t="s">
        <v>74</v>
      </c>
      <c r="AA1533" s="3" t="s">
        <v>45</v>
      </c>
      <c r="AB1533" s="3" t="s">
        <v>45</v>
      </c>
      <c r="AC1533" s="3" t="s">
        <v>45</v>
      </c>
      <c r="AD1533" s="3" t="s">
        <v>45</v>
      </c>
      <c r="AE1533" s="3" t="s">
        <v>45</v>
      </c>
      <c r="AF1533" s="3" t="s">
        <v>45</v>
      </c>
      <c r="AG1533" s="3" t="s">
        <v>12944</v>
      </c>
      <c r="AH1533" s="3" t="s">
        <v>9906</v>
      </c>
      <c r="AI1533" s="5" t="s">
        <v>12945</v>
      </c>
      <c r="AJ1533" s="5" t="s">
        <v>12946</v>
      </c>
      <c r="AK1533" s="3" t="s">
        <v>45</v>
      </c>
      <c r="AL1533" s="3" t="s">
        <v>45</v>
      </c>
      <c r="AM1533" s="3" t="s">
        <v>45</v>
      </c>
      <c r="AN1533" s="3" t="s">
        <v>45</v>
      </c>
      <c r="AO1533" s="3" t="s">
        <v>45</v>
      </c>
      <c r="AP1533" s="3" t="s">
        <v>45</v>
      </c>
      <c r="AQ1533" s="4" t="s">
        <v>807</v>
      </c>
      <c r="AR1533" s="4" t="s">
        <v>9908</v>
      </c>
    </row>
    <row r="1534">
      <c r="A1534" s="3" t="s">
        <v>12947</v>
      </c>
      <c r="B1534" s="3" t="s">
        <v>12948</v>
      </c>
      <c r="C1534" s="3" t="s">
        <v>12949</v>
      </c>
      <c r="D1534" s="3" t="s">
        <v>9900</v>
      </c>
      <c r="E1534" s="4" t="s">
        <v>12565</v>
      </c>
      <c r="F1534" s="3" t="s">
        <v>9928</v>
      </c>
      <c r="G1534" s="4" t="s">
        <v>12950</v>
      </c>
      <c r="H1534" s="4" t="s">
        <v>12951</v>
      </c>
      <c r="I1534" s="3" t="s">
        <v>49</v>
      </c>
      <c r="J1534" s="3" t="s">
        <v>126</v>
      </c>
      <c r="K1534" s="3" t="s">
        <v>45</v>
      </c>
      <c r="L1534" s="3" t="s">
        <v>45</v>
      </c>
      <c r="M1534" s="3" t="s">
        <v>45</v>
      </c>
      <c r="N1534" s="3" t="s">
        <v>45</v>
      </c>
      <c r="O1534" s="3" t="s">
        <v>74</v>
      </c>
      <c r="P1534" s="3" t="s">
        <v>45</v>
      </c>
      <c r="Q1534" s="3" t="s">
        <v>45</v>
      </c>
      <c r="R1534" s="3" t="s">
        <v>45</v>
      </c>
      <c r="S1534" s="3" t="s">
        <v>45</v>
      </c>
      <c r="T1534" s="3" t="s">
        <v>45</v>
      </c>
      <c r="U1534" s="3" t="s">
        <v>45</v>
      </c>
      <c r="V1534" s="4" t="s">
        <v>12952</v>
      </c>
      <c r="W1534" s="4" t="s">
        <v>835</v>
      </c>
      <c r="X1534" s="3" t="s">
        <v>45</v>
      </c>
      <c r="Y1534" s="3" t="s">
        <v>45</v>
      </c>
      <c r="Z1534" s="3" t="s">
        <v>74</v>
      </c>
      <c r="AA1534" s="3" t="s">
        <v>45</v>
      </c>
      <c r="AB1534" s="3" t="s">
        <v>45</v>
      </c>
      <c r="AC1534" s="3" t="s">
        <v>45</v>
      </c>
      <c r="AD1534" s="3" t="s">
        <v>45</v>
      </c>
      <c r="AE1534" s="3" t="s">
        <v>45</v>
      </c>
      <c r="AF1534" s="3" t="s">
        <v>45</v>
      </c>
      <c r="AG1534" s="3" t="s">
        <v>45</v>
      </c>
      <c r="AH1534" s="3" t="s">
        <v>9906</v>
      </c>
      <c r="AI1534" s="5" t="s">
        <v>12953</v>
      </c>
      <c r="AJ1534" s="5" t="s">
        <v>12954</v>
      </c>
      <c r="AK1534" s="3" t="s">
        <v>45</v>
      </c>
      <c r="AL1534" s="3" t="s">
        <v>45</v>
      </c>
      <c r="AM1534" s="3" t="s">
        <v>45</v>
      </c>
      <c r="AN1534" s="3" t="s">
        <v>45</v>
      </c>
      <c r="AO1534" s="3" t="s">
        <v>45</v>
      </c>
      <c r="AP1534" s="3" t="s">
        <v>45</v>
      </c>
      <c r="AQ1534" s="4" t="s">
        <v>4424</v>
      </c>
      <c r="AR1534" s="4" t="s">
        <v>9908</v>
      </c>
    </row>
    <row r="1535">
      <c r="A1535" s="3" t="s">
        <v>12955</v>
      </c>
      <c r="B1535" s="3" t="s">
        <v>45</v>
      </c>
      <c r="C1535" s="3" t="s">
        <v>12949</v>
      </c>
      <c r="D1535" s="3" t="s">
        <v>9900</v>
      </c>
      <c r="E1535" s="4" t="s">
        <v>10097</v>
      </c>
      <c r="F1535" s="3" t="s">
        <v>9928</v>
      </c>
      <c r="G1535" s="4" t="s">
        <v>12956</v>
      </c>
      <c r="H1535" s="4" t="s">
        <v>12957</v>
      </c>
      <c r="I1535" s="3" t="s">
        <v>49</v>
      </c>
      <c r="J1535" s="3" t="s">
        <v>50</v>
      </c>
      <c r="K1535" s="3" t="s">
        <v>45</v>
      </c>
      <c r="L1535" s="3" t="s">
        <v>3078</v>
      </c>
      <c r="M1535" s="3" t="s">
        <v>45</v>
      </c>
      <c r="N1535" s="3" t="s">
        <v>45</v>
      </c>
      <c r="O1535" s="3" t="s">
        <v>74</v>
      </c>
      <c r="P1535" s="3" t="s">
        <v>45</v>
      </c>
      <c r="Q1535" s="3" t="s">
        <v>45</v>
      </c>
      <c r="R1535" s="3" t="s">
        <v>45</v>
      </c>
      <c r="S1535" s="3" t="s">
        <v>45</v>
      </c>
      <c r="T1535" s="3" t="s">
        <v>45</v>
      </c>
      <c r="U1535" s="3" t="s">
        <v>45</v>
      </c>
      <c r="V1535" s="4" t="s">
        <v>12958</v>
      </c>
      <c r="W1535" s="4" t="s">
        <v>2608</v>
      </c>
      <c r="X1535" s="3" t="s">
        <v>45</v>
      </c>
      <c r="Y1535" s="3" t="s">
        <v>45</v>
      </c>
      <c r="Z1535" s="3" t="s">
        <v>74</v>
      </c>
      <c r="AA1535" s="3" t="s">
        <v>45</v>
      </c>
      <c r="AB1535" s="3" t="s">
        <v>45</v>
      </c>
      <c r="AC1535" s="3" t="s">
        <v>45</v>
      </c>
      <c r="AD1535" s="3" t="s">
        <v>45</v>
      </c>
      <c r="AE1535" s="3" t="s">
        <v>45</v>
      </c>
      <c r="AF1535" s="3" t="s">
        <v>45</v>
      </c>
      <c r="AG1535" s="3" t="s">
        <v>9916</v>
      </c>
      <c r="AH1535" s="3" t="s">
        <v>9906</v>
      </c>
      <c r="AI1535" s="5" t="s">
        <v>12959</v>
      </c>
      <c r="AJ1535" s="5" t="s">
        <v>12960</v>
      </c>
      <c r="AK1535" s="3" t="s">
        <v>45</v>
      </c>
      <c r="AL1535" s="3" t="s">
        <v>45</v>
      </c>
      <c r="AM1535" s="3" t="s">
        <v>45</v>
      </c>
      <c r="AN1535" s="3" t="s">
        <v>45</v>
      </c>
      <c r="AO1535" s="3" t="s">
        <v>45</v>
      </c>
      <c r="AP1535" s="3" t="s">
        <v>45</v>
      </c>
      <c r="AQ1535" s="4" t="s">
        <v>9934</v>
      </c>
      <c r="AR1535" s="4" t="s">
        <v>9908</v>
      </c>
    </row>
    <row r="1536">
      <c r="A1536" s="3" t="s">
        <v>12961</v>
      </c>
      <c r="B1536" s="3" t="s">
        <v>12962</v>
      </c>
      <c r="C1536" s="3" t="s">
        <v>12949</v>
      </c>
      <c r="D1536" s="3" t="s">
        <v>9900</v>
      </c>
      <c r="E1536" s="4" t="s">
        <v>10097</v>
      </c>
      <c r="F1536" s="3" t="s">
        <v>9928</v>
      </c>
      <c r="G1536" s="4" t="s">
        <v>12963</v>
      </c>
      <c r="H1536" s="4" t="s">
        <v>12964</v>
      </c>
      <c r="I1536" s="3" t="s">
        <v>49</v>
      </c>
      <c r="J1536" s="3" t="s">
        <v>126</v>
      </c>
      <c r="K1536" s="3" t="s">
        <v>45</v>
      </c>
      <c r="L1536" s="3" t="s">
        <v>3078</v>
      </c>
      <c r="M1536" s="3" t="s">
        <v>45</v>
      </c>
      <c r="N1536" s="3" t="s">
        <v>45</v>
      </c>
      <c r="O1536" s="3" t="s">
        <v>74</v>
      </c>
      <c r="P1536" s="3" t="s">
        <v>45</v>
      </c>
      <c r="Q1536" s="3" t="s">
        <v>45</v>
      </c>
      <c r="R1536" s="3" t="s">
        <v>45</v>
      </c>
      <c r="S1536" s="3" t="s">
        <v>45</v>
      </c>
      <c r="T1536" s="3" t="s">
        <v>45</v>
      </c>
      <c r="U1536" s="3" t="s">
        <v>45</v>
      </c>
      <c r="V1536" s="4" t="s">
        <v>4074</v>
      </c>
      <c r="W1536" s="4" t="s">
        <v>487</v>
      </c>
      <c r="X1536" s="3" t="s">
        <v>45</v>
      </c>
      <c r="Y1536" s="3" t="s">
        <v>45</v>
      </c>
      <c r="Z1536" s="3" t="s">
        <v>74</v>
      </c>
      <c r="AA1536" s="3" t="s">
        <v>45</v>
      </c>
      <c r="AB1536" s="3" t="s">
        <v>45</v>
      </c>
      <c r="AC1536" s="3" t="s">
        <v>45</v>
      </c>
      <c r="AD1536" s="3" t="s">
        <v>45</v>
      </c>
      <c r="AE1536" s="3" t="s">
        <v>45</v>
      </c>
      <c r="AF1536" s="3" t="s">
        <v>45</v>
      </c>
      <c r="AG1536" s="3" t="s">
        <v>45</v>
      </c>
      <c r="AH1536" s="3" t="s">
        <v>9906</v>
      </c>
      <c r="AI1536" s="5" t="s">
        <v>12965</v>
      </c>
      <c r="AJ1536" s="5" t="s">
        <v>12966</v>
      </c>
      <c r="AK1536" s="3" t="s">
        <v>45</v>
      </c>
      <c r="AL1536" s="3" t="s">
        <v>45</v>
      </c>
      <c r="AM1536" s="3" t="s">
        <v>45</v>
      </c>
      <c r="AN1536" s="3" t="s">
        <v>45</v>
      </c>
      <c r="AO1536" s="3" t="s">
        <v>45</v>
      </c>
      <c r="AP1536" s="3" t="s">
        <v>45</v>
      </c>
      <c r="AQ1536" s="4" t="s">
        <v>9934</v>
      </c>
      <c r="AR1536" s="4" t="s">
        <v>9908</v>
      </c>
    </row>
    <row r="1537">
      <c r="A1537" s="3" t="s">
        <v>12967</v>
      </c>
      <c r="B1537" s="3" t="s">
        <v>12968</v>
      </c>
      <c r="C1537" s="3" t="s">
        <v>12949</v>
      </c>
      <c r="D1537" s="3" t="s">
        <v>9900</v>
      </c>
      <c r="E1537" s="4" t="s">
        <v>10097</v>
      </c>
      <c r="F1537" s="3" t="s">
        <v>9928</v>
      </c>
      <c r="G1537" s="4" t="s">
        <v>12969</v>
      </c>
      <c r="H1537" s="4" t="s">
        <v>12970</v>
      </c>
      <c r="I1537" s="3" t="s">
        <v>49</v>
      </c>
      <c r="J1537" s="3" t="s">
        <v>126</v>
      </c>
      <c r="K1537" s="3" t="s">
        <v>45</v>
      </c>
      <c r="L1537" s="3" t="s">
        <v>45</v>
      </c>
      <c r="M1537" s="3" t="s">
        <v>45</v>
      </c>
      <c r="N1537" s="3" t="s">
        <v>45</v>
      </c>
      <c r="O1537" s="3" t="s">
        <v>74</v>
      </c>
      <c r="P1537" s="3" t="s">
        <v>45</v>
      </c>
      <c r="Q1537" s="3" t="s">
        <v>45</v>
      </c>
      <c r="R1537" s="3" t="s">
        <v>45</v>
      </c>
      <c r="S1537" s="3" t="s">
        <v>45</v>
      </c>
      <c r="T1537" s="3" t="s">
        <v>45</v>
      </c>
      <c r="U1537" s="3" t="s">
        <v>45</v>
      </c>
      <c r="V1537" s="4" t="s">
        <v>12971</v>
      </c>
      <c r="W1537" s="4" t="s">
        <v>789</v>
      </c>
      <c r="X1537" s="3" t="s">
        <v>45</v>
      </c>
      <c r="Y1537" s="3" t="s">
        <v>45</v>
      </c>
      <c r="Z1537" s="3" t="s">
        <v>74</v>
      </c>
      <c r="AA1537" s="3" t="s">
        <v>45</v>
      </c>
      <c r="AB1537" s="3" t="s">
        <v>45</v>
      </c>
      <c r="AC1537" s="3" t="s">
        <v>45</v>
      </c>
      <c r="AD1537" s="3" t="s">
        <v>45</v>
      </c>
      <c r="AE1537" s="3" t="s">
        <v>45</v>
      </c>
      <c r="AF1537" s="3" t="s">
        <v>45</v>
      </c>
      <c r="AG1537" s="3" t="s">
        <v>12972</v>
      </c>
      <c r="AH1537" s="3" t="s">
        <v>9906</v>
      </c>
      <c r="AI1537" s="5" t="s">
        <v>12973</v>
      </c>
      <c r="AJ1537" s="5" t="s">
        <v>12974</v>
      </c>
      <c r="AK1537" s="3" t="s">
        <v>45</v>
      </c>
      <c r="AL1537" s="3" t="s">
        <v>45</v>
      </c>
      <c r="AM1537" s="3" t="s">
        <v>45</v>
      </c>
      <c r="AN1537" s="3" t="s">
        <v>45</v>
      </c>
      <c r="AO1537" s="3" t="s">
        <v>45</v>
      </c>
      <c r="AP1537" s="3" t="s">
        <v>45</v>
      </c>
      <c r="AQ1537" s="4" t="s">
        <v>10103</v>
      </c>
      <c r="AR1537" s="4" t="s">
        <v>9908</v>
      </c>
    </row>
    <row r="1538">
      <c r="A1538" s="3" t="s">
        <v>12975</v>
      </c>
      <c r="B1538" s="3" t="s">
        <v>12976</v>
      </c>
      <c r="C1538" s="3" t="s">
        <v>12949</v>
      </c>
      <c r="D1538" s="3" t="s">
        <v>9900</v>
      </c>
      <c r="E1538" s="4" t="s">
        <v>10097</v>
      </c>
      <c r="F1538" s="3" t="s">
        <v>9928</v>
      </c>
      <c r="G1538" s="4" t="s">
        <v>12977</v>
      </c>
      <c r="H1538" s="4" t="s">
        <v>12546</v>
      </c>
      <c r="I1538" s="3" t="s">
        <v>49</v>
      </c>
      <c r="J1538" s="3" t="s">
        <v>126</v>
      </c>
      <c r="K1538" s="3" t="s">
        <v>45</v>
      </c>
      <c r="L1538" s="3" t="s">
        <v>45</v>
      </c>
      <c r="M1538" s="3" t="s">
        <v>45</v>
      </c>
      <c r="N1538" s="3" t="s">
        <v>45</v>
      </c>
      <c r="O1538" s="3" t="s">
        <v>74</v>
      </c>
      <c r="P1538" s="3" t="s">
        <v>45</v>
      </c>
      <c r="Q1538" s="3" t="s">
        <v>45</v>
      </c>
      <c r="R1538" s="3" t="s">
        <v>45</v>
      </c>
      <c r="S1538" s="3" t="s">
        <v>45</v>
      </c>
      <c r="T1538" s="3" t="s">
        <v>45</v>
      </c>
      <c r="U1538" s="3" t="s">
        <v>45</v>
      </c>
      <c r="V1538" s="4" t="s">
        <v>12978</v>
      </c>
      <c r="W1538" s="4" t="s">
        <v>789</v>
      </c>
      <c r="X1538" s="3" t="s">
        <v>45</v>
      </c>
      <c r="Y1538" s="3" t="s">
        <v>45</v>
      </c>
      <c r="Z1538" s="3" t="s">
        <v>74</v>
      </c>
      <c r="AA1538" s="3" t="s">
        <v>45</v>
      </c>
      <c r="AB1538" s="3" t="s">
        <v>45</v>
      </c>
      <c r="AC1538" s="3" t="s">
        <v>45</v>
      </c>
      <c r="AD1538" s="3" t="s">
        <v>45</v>
      </c>
      <c r="AE1538" s="3" t="s">
        <v>45</v>
      </c>
      <c r="AF1538" s="3" t="s">
        <v>45</v>
      </c>
      <c r="AG1538" s="3" t="s">
        <v>45</v>
      </c>
      <c r="AH1538" s="3" t="s">
        <v>9906</v>
      </c>
      <c r="AI1538" s="5" t="s">
        <v>12973</v>
      </c>
      <c r="AJ1538" s="5" t="s">
        <v>12979</v>
      </c>
      <c r="AK1538" s="3" t="s">
        <v>45</v>
      </c>
      <c r="AL1538" s="3" t="s">
        <v>45</v>
      </c>
      <c r="AM1538" s="3" t="s">
        <v>45</v>
      </c>
      <c r="AN1538" s="3" t="s">
        <v>45</v>
      </c>
      <c r="AO1538" s="3" t="s">
        <v>45</v>
      </c>
      <c r="AP1538" s="3" t="s">
        <v>45</v>
      </c>
      <c r="AQ1538" s="4" t="s">
        <v>10103</v>
      </c>
      <c r="AR1538" s="4" t="s">
        <v>9908</v>
      </c>
    </row>
    <row r="1539">
      <c r="A1539" s="3" t="s">
        <v>12980</v>
      </c>
      <c r="B1539" s="3" t="s">
        <v>12981</v>
      </c>
      <c r="C1539" s="3" t="s">
        <v>12949</v>
      </c>
      <c r="D1539" s="3" t="s">
        <v>9900</v>
      </c>
      <c r="E1539" s="4" t="s">
        <v>10097</v>
      </c>
      <c r="F1539" s="3" t="s">
        <v>9928</v>
      </c>
      <c r="G1539" s="4" t="s">
        <v>12982</v>
      </c>
      <c r="H1539" s="4" t="s">
        <v>12983</v>
      </c>
      <c r="I1539" s="3" t="s">
        <v>49</v>
      </c>
      <c r="J1539" s="3" t="s">
        <v>126</v>
      </c>
      <c r="K1539" s="3" t="s">
        <v>45</v>
      </c>
      <c r="L1539" s="3" t="s">
        <v>45</v>
      </c>
      <c r="M1539" s="3" t="s">
        <v>45</v>
      </c>
      <c r="N1539" s="3" t="s">
        <v>45</v>
      </c>
      <c r="O1539" s="3" t="s">
        <v>74</v>
      </c>
      <c r="P1539" s="3" t="s">
        <v>45</v>
      </c>
      <c r="Q1539" s="3" t="s">
        <v>45</v>
      </c>
      <c r="R1539" s="3" t="s">
        <v>45</v>
      </c>
      <c r="S1539" s="3" t="s">
        <v>45</v>
      </c>
      <c r="T1539" s="3" t="s">
        <v>45</v>
      </c>
      <c r="U1539" s="3" t="s">
        <v>45</v>
      </c>
      <c r="V1539" s="4" t="s">
        <v>12984</v>
      </c>
      <c r="W1539" s="4" t="s">
        <v>2754</v>
      </c>
      <c r="X1539" s="3" t="s">
        <v>45</v>
      </c>
      <c r="Y1539" s="3" t="s">
        <v>45</v>
      </c>
      <c r="Z1539" s="3" t="s">
        <v>74</v>
      </c>
      <c r="AA1539" s="3" t="s">
        <v>45</v>
      </c>
      <c r="AB1539" s="3" t="s">
        <v>45</v>
      </c>
      <c r="AC1539" s="3" t="s">
        <v>45</v>
      </c>
      <c r="AD1539" s="3" t="s">
        <v>45</v>
      </c>
      <c r="AE1539" s="3" t="s">
        <v>45</v>
      </c>
      <c r="AF1539" s="3" t="s">
        <v>45</v>
      </c>
      <c r="AG1539" s="3" t="s">
        <v>9916</v>
      </c>
      <c r="AH1539" s="3" t="s">
        <v>9906</v>
      </c>
      <c r="AI1539" s="5" t="s">
        <v>12985</v>
      </c>
      <c r="AJ1539" s="5" t="s">
        <v>12986</v>
      </c>
      <c r="AK1539" s="3" t="s">
        <v>45</v>
      </c>
      <c r="AL1539" s="3" t="s">
        <v>45</v>
      </c>
      <c r="AM1539" s="3" t="s">
        <v>45</v>
      </c>
      <c r="AN1539" s="3" t="s">
        <v>45</v>
      </c>
      <c r="AO1539" s="3" t="s">
        <v>45</v>
      </c>
      <c r="AP1539" s="3" t="s">
        <v>45</v>
      </c>
      <c r="AQ1539" s="4" t="s">
        <v>4424</v>
      </c>
      <c r="AR1539" s="4" t="s">
        <v>9908</v>
      </c>
    </row>
    <row r="1540">
      <c r="A1540" s="3" t="s">
        <v>12987</v>
      </c>
      <c r="B1540" s="3" t="s">
        <v>12988</v>
      </c>
      <c r="C1540" s="3" t="s">
        <v>12949</v>
      </c>
      <c r="D1540" s="3" t="s">
        <v>9900</v>
      </c>
      <c r="E1540" s="4" t="s">
        <v>12565</v>
      </c>
      <c r="F1540" s="3" t="s">
        <v>9928</v>
      </c>
      <c r="G1540" s="4" t="s">
        <v>12989</v>
      </c>
      <c r="H1540" s="4" t="s">
        <v>12990</v>
      </c>
      <c r="I1540" s="3" t="s">
        <v>49</v>
      </c>
      <c r="J1540" s="3" t="s">
        <v>126</v>
      </c>
      <c r="K1540" s="3" t="s">
        <v>45</v>
      </c>
      <c r="L1540" s="3" t="s">
        <v>45</v>
      </c>
      <c r="M1540" s="3" t="s">
        <v>45</v>
      </c>
      <c r="N1540" s="3" t="s">
        <v>45</v>
      </c>
      <c r="O1540" s="3" t="s">
        <v>74</v>
      </c>
      <c r="P1540" s="3" t="s">
        <v>45</v>
      </c>
      <c r="Q1540" s="3" t="s">
        <v>45</v>
      </c>
      <c r="R1540" s="3" t="s">
        <v>45</v>
      </c>
      <c r="S1540" s="3" t="s">
        <v>45</v>
      </c>
      <c r="T1540" s="3" t="s">
        <v>45</v>
      </c>
      <c r="U1540" s="3" t="s">
        <v>45</v>
      </c>
      <c r="V1540" s="4" t="s">
        <v>12991</v>
      </c>
      <c r="W1540" s="4" t="s">
        <v>564</v>
      </c>
      <c r="X1540" s="3" t="s">
        <v>45</v>
      </c>
      <c r="Y1540" s="3" t="s">
        <v>45</v>
      </c>
      <c r="Z1540" s="3" t="s">
        <v>74</v>
      </c>
      <c r="AA1540" s="3" t="s">
        <v>45</v>
      </c>
      <c r="AB1540" s="3" t="s">
        <v>45</v>
      </c>
      <c r="AC1540" s="3" t="s">
        <v>45</v>
      </c>
      <c r="AD1540" s="3" t="s">
        <v>45</v>
      </c>
      <c r="AE1540" s="3" t="s">
        <v>45</v>
      </c>
      <c r="AF1540" s="3" t="s">
        <v>45</v>
      </c>
      <c r="AG1540" s="3" t="s">
        <v>9916</v>
      </c>
      <c r="AH1540" s="3" t="s">
        <v>9906</v>
      </c>
      <c r="AI1540" s="5" t="s">
        <v>12992</v>
      </c>
      <c r="AJ1540" s="5" t="s">
        <v>12993</v>
      </c>
      <c r="AK1540" s="3" t="s">
        <v>45</v>
      </c>
      <c r="AL1540" s="3" t="s">
        <v>45</v>
      </c>
      <c r="AM1540" s="3" t="s">
        <v>45</v>
      </c>
      <c r="AN1540" s="3" t="s">
        <v>45</v>
      </c>
      <c r="AO1540" s="3" t="s">
        <v>45</v>
      </c>
      <c r="AP1540" s="3" t="s">
        <v>45</v>
      </c>
      <c r="AQ1540" s="4" t="s">
        <v>4424</v>
      </c>
      <c r="AR1540" s="4" t="s">
        <v>9908</v>
      </c>
    </row>
    <row r="1541">
      <c r="A1541" s="3" t="s">
        <v>12994</v>
      </c>
      <c r="B1541" s="3" t="s">
        <v>12995</v>
      </c>
      <c r="C1541" s="3" t="s">
        <v>12949</v>
      </c>
      <c r="D1541" s="3" t="s">
        <v>9900</v>
      </c>
      <c r="E1541" s="4" t="s">
        <v>10097</v>
      </c>
      <c r="F1541" s="3" t="s">
        <v>9928</v>
      </c>
      <c r="G1541" s="4" t="s">
        <v>12996</v>
      </c>
      <c r="H1541" s="4" t="s">
        <v>12997</v>
      </c>
      <c r="I1541" s="3" t="s">
        <v>49</v>
      </c>
      <c r="J1541" s="3" t="s">
        <v>126</v>
      </c>
      <c r="K1541" s="3" t="s">
        <v>45</v>
      </c>
      <c r="L1541" s="3" t="s">
        <v>45</v>
      </c>
      <c r="M1541" s="3" t="s">
        <v>45</v>
      </c>
      <c r="N1541" s="3" t="s">
        <v>45</v>
      </c>
      <c r="O1541" s="3" t="s">
        <v>74</v>
      </c>
      <c r="P1541" s="3" t="s">
        <v>45</v>
      </c>
      <c r="Q1541" s="3" t="s">
        <v>45</v>
      </c>
      <c r="R1541" s="3" t="s">
        <v>45</v>
      </c>
      <c r="S1541" s="3" t="s">
        <v>45</v>
      </c>
      <c r="T1541" s="3" t="s">
        <v>45</v>
      </c>
      <c r="U1541" s="3" t="s">
        <v>45</v>
      </c>
      <c r="V1541" s="4" t="s">
        <v>12998</v>
      </c>
      <c r="W1541" s="4" t="s">
        <v>582</v>
      </c>
      <c r="X1541" s="3" t="s">
        <v>45</v>
      </c>
      <c r="Y1541" s="3" t="s">
        <v>45</v>
      </c>
      <c r="Z1541" s="3" t="s">
        <v>74</v>
      </c>
      <c r="AA1541" s="3" t="s">
        <v>45</v>
      </c>
      <c r="AB1541" s="3" t="s">
        <v>45</v>
      </c>
      <c r="AC1541" s="3" t="s">
        <v>45</v>
      </c>
      <c r="AD1541" s="3" t="s">
        <v>45</v>
      </c>
      <c r="AE1541" s="3" t="s">
        <v>45</v>
      </c>
      <c r="AF1541" s="3" t="s">
        <v>45</v>
      </c>
      <c r="AG1541" s="3" t="s">
        <v>12999</v>
      </c>
      <c r="AH1541" s="3" t="s">
        <v>9906</v>
      </c>
      <c r="AI1541" s="5" t="s">
        <v>13000</v>
      </c>
      <c r="AJ1541" s="5" t="s">
        <v>13001</v>
      </c>
      <c r="AK1541" s="3" t="s">
        <v>45</v>
      </c>
      <c r="AL1541" s="3" t="s">
        <v>45</v>
      </c>
      <c r="AM1541" s="3" t="s">
        <v>45</v>
      </c>
      <c r="AN1541" s="3" t="s">
        <v>45</v>
      </c>
      <c r="AO1541" s="3" t="s">
        <v>45</v>
      </c>
      <c r="AP1541" s="3" t="s">
        <v>45</v>
      </c>
      <c r="AQ1541" s="4" t="s">
        <v>807</v>
      </c>
      <c r="AR1541" s="4" t="s">
        <v>9908</v>
      </c>
    </row>
    <row r="1542">
      <c r="A1542" s="3" t="s">
        <v>13002</v>
      </c>
      <c r="B1542" s="3" t="s">
        <v>13003</v>
      </c>
      <c r="C1542" s="3" t="s">
        <v>12949</v>
      </c>
      <c r="D1542" s="3" t="s">
        <v>9900</v>
      </c>
      <c r="E1542" s="4" t="s">
        <v>10097</v>
      </c>
      <c r="F1542" s="3" t="s">
        <v>9928</v>
      </c>
      <c r="G1542" s="4" t="s">
        <v>13004</v>
      </c>
      <c r="H1542" s="4" t="s">
        <v>13005</v>
      </c>
      <c r="I1542" s="3" t="s">
        <v>49</v>
      </c>
      <c r="J1542" s="3" t="s">
        <v>126</v>
      </c>
      <c r="K1542" s="3" t="s">
        <v>45</v>
      </c>
      <c r="L1542" s="3" t="s">
        <v>45</v>
      </c>
      <c r="M1542" s="3" t="s">
        <v>45</v>
      </c>
      <c r="N1542" s="3" t="s">
        <v>45</v>
      </c>
      <c r="O1542" s="3" t="s">
        <v>74</v>
      </c>
      <c r="P1542" s="3" t="s">
        <v>45</v>
      </c>
      <c r="Q1542" s="3" t="s">
        <v>45</v>
      </c>
      <c r="R1542" s="3" t="s">
        <v>45</v>
      </c>
      <c r="S1542" s="3" t="s">
        <v>45</v>
      </c>
      <c r="T1542" s="3" t="s">
        <v>45</v>
      </c>
      <c r="U1542" s="3" t="s">
        <v>45</v>
      </c>
      <c r="V1542" s="4" t="s">
        <v>13006</v>
      </c>
      <c r="W1542" s="4" t="s">
        <v>275</v>
      </c>
      <c r="X1542" s="3" t="s">
        <v>45</v>
      </c>
      <c r="Y1542" s="3" t="s">
        <v>45</v>
      </c>
      <c r="Z1542" s="3" t="s">
        <v>74</v>
      </c>
      <c r="AA1542" s="3" t="s">
        <v>45</v>
      </c>
      <c r="AB1542" s="3" t="s">
        <v>45</v>
      </c>
      <c r="AC1542" s="3" t="s">
        <v>45</v>
      </c>
      <c r="AD1542" s="3" t="s">
        <v>45</v>
      </c>
      <c r="AE1542" s="3" t="s">
        <v>45</v>
      </c>
      <c r="AF1542" s="3" t="s">
        <v>45</v>
      </c>
      <c r="AG1542" s="3" t="s">
        <v>12889</v>
      </c>
      <c r="AH1542" s="3" t="s">
        <v>9906</v>
      </c>
      <c r="AI1542" s="5" t="s">
        <v>13007</v>
      </c>
      <c r="AJ1542" s="5" t="s">
        <v>13008</v>
      </c>
      <c r="AK1542" s="3" t="s">
        <v>45</v>
      </c>
      <c r="AL1542" s="3" t="s">
        <v>45</v>
      </c>
      <c r="AM1542" s="3" t="s">
        <v>45</v>
      </c>
      <c r="AN1542" s="3" t="s">
        <v>45</v>
      </c>
      <c r="AO1542" s="3" t="s">
        <v>45</v>
      </c>
      <c r="AP1542" s="3" t="s">
        <v>45</v>
      </c>
      <c r="AQ1542" s="4" t="s">
        <v>807</v>
      </c>
      <c r="AR1542" s="4" t="s">
        <v>9908</v>
      </c>
    </row>
    <row r="1543">
      <c r="A1543" s="3" t="s">
        <v>13009</v>
      </c>
      <c r="B1543" s="3" t="s">
        <v>13010</v>
      </c>
      <c r="C1543" s="3" t="s">
        <v>12949</v>
      </c>
      <c r="D1543" s="3" t="s">
        <v>9900</v>
      </c>
      <c r="E1543" s="4" t="s">
        <v>10097</v>
      </c>
      <c r="F1543" s="3" t="s">
        <v>9928</v>
      </c>
      <c r="G1543" s="4" t="s">
        <v>13011</v>
      </c>
      <c r="H1543" s="4" t="s">
        <v>13012</v>
      </c>
      <c r="I1543" s="3" t="s">
        <v>49</v>
      </c>
      <c r="J1543" s="3" t="s">
        <v>126</v>
      </c>
      <c r="K1543" s="3" t="s">
        <v>45</v>
      </c>
      <c r="L1543" s="3" t="s">
        <v>45</v>
      </c>
      <c r="M1543" s="3" t="s">
        <v>45</v>
      </c>
      <c r="N1543" s="3" t="s">
        <v>45</v>
      </c>
      <c r="O1543" s="3" t="s">
        <v>74</v>
      </c>
      <c r="P1543" s="3" t="s">
        <v>45</v>
      </c>
      <c r="Q1543" s="3" t="s">
        <v>45</v>
      </c>
      <c r="R1543" s="3" t="s">
        <v>45</v>
      </c>
      <c r="S1543" s="3" t="s">
        <v>45</v>
      </c>
      <c r="T1543" s="3" t="s">
        <v>45</v>
      </c>
      <c r="U1543" s="3" t="s">
        <v>45</v>
      </c>
      <c r="V1543" s="4" t="s">
        <v>13013</v>
      </c>
      <c r="W1543" s="4" t="s">
        <v>956</v>
      </c>
      <c r="X1543" s="3" t="s">
        <v>45</v>
      </c>
      <c r="Y1543" s="3" t="s">
        <v>45</v>
      </c>
      <c r="Z1543" s="3" t="s">
        <v>74</v>
      </c>
      <c r="AA1543" s="3" t="s">
        <v>45</v>
      </c>
      <c r="AB1543" s="3" t="s">
        <v>45</v>
      </c>
      <c r="AC1543" s="3" t="s">
        <v>45</v>
      </c>
      <c r="AD1543" s="3" t="s">
        <v>45</v>
      </c>
      <c r="AE1543" s="3" t="s">
        <v>45</v>
      </c>
      <c r="AF1543" s="3" t="s">
        <v>45</v>
      </c>
      <c r="AG1543" s="3" t="s">
        <v>13014</v>
      </c>
      <c r="AH1543" s="3" t="s">
        <v>9906</v>
      </c>
      <c r="AI1543" s="5" t="s">
        <v>13015</v>
      </c>
      <c r="AJ1543" s="5" t="s">
        <v>13016</v>
      </c>
      <c r="AK1543" s="3" t="s">
        <v>45</v>
      </c>
      <c r="AL1543" s="3" t="s">
        <v>45</v>
      </c>
      <c r="AM1543" s="3" t="s">
        <v>45</v>
      </c>
      <c r="AN1543" s="3" t="s">
        <v>45</v>
      </c>
      <c r="AO1543" s="3" t="s">
        <v>45</v>
      </c>
      <c r="AP1543" s="3" t="s">
        <v>45</v>
      </c>
      <c r="AQ1543" s="4" t="s">
        <v>807</v>
      </c>
      <c r="AR1543" s="4" t="s">
        <v>9908</v>
      </c>
    </row>
    <row r="1544">
      <c r="A1544" s="3" t="s">
        <v>13017</v>
      </c>
      <c r="B1544" s="3" t="s">
        <v>13018</v>
      </c>
      <c r="C1544" s="3" t="s">
        <v>12949</v>
      </c>
      <c r="D1544" s="3" t="s">
        <v>9900</v>
      </c>
      <c r="E1544" s="4" t="s">
        <v>10097</v>
      </c>
      <c r="F1544" s="3" t="s">
        <v>9928</v>
      </c>
      <c r="G1544" s="4" t="s">
        <v>13019</v>
      </c>
      <c r="H1544" s="4" t="s">
        <v>13020</v>
      </c>
      <c r="I1544" s="3" t="s">
        <v>85</v>
      </c>
      <c r="J1544" s="3" t="s">
        <v>126</v>
      </c>
      <c r="K1544" s="3" t="s">
        <v>45</v>
      </c>
      <c r="L1544" s="3" t="s">
        <v>45</v>
      </c>
      <c r="M1544" s="3" t="s">
        <v>45</v>
      </c>
      <c r="N1544" s="3" t="s">
        <v>45</v>
      </c>
      <c r="O1544" s="3" t="s">
        <v>74</v>
      </c>
      <c r="P1544" s="3" t="s">
        <v>45</v>
      </c>
      <c r="Q1544" s="3" t="s">
        <v>45</v>
      </c>
      <c r="R1544" s="3" t="s">
        <v>45</v>
      </c>
      <c r="S1544" s="3" t="s">
        <v>45</v>
      </c>
      <c r="T1544" s="3" t="s">
        <v>45</v>
      </c>
      <c r="U1544" s="3" t="s">
        <v>45</v>
      </c>
      <c r="V1544" s="4" t="s">
        <v>13021</v>
      </c>
      <c r="W1544" s="4" t="s">
        <v>52</v>
      </c>
      <c r="X1544" s="3" t="s">
        <v>45</v>
      </c>
      <c r="Y1544" s="3" t="s">
        <v>45</v>
      </c>
      <c r="Z1544" s="3" t="s">
        <v>74</v>
      </c>
      <c r="AA1544" s="3" t="s">
        <v>45</v>
      </c>
      <c r="AB1544" s="3" t="s">
        <v>45</v>
      </c>
      <c r="AC1544" s="3" t="s">
        <v>45</v>
      </c>
      <c r="AD1544" s="3" t="s">
        <v>45</v>
      </c>
      <c r="AE1544" s="3" t="s">
        <v>45</v>
      </c>
      <c r="AF1544" s="3" t="s">
        <v>45</v>
      </c>
      <c r="AG1544" s="3" t="s">
        <v>45</v>
      </c>
      <c r="AH1544" s="3" t="s">
        <v>9906</v>
      </c>
      <c r="AI1544" s="5" t="s">
        <v>13022</v>
      </c>
      <c r="AJ1544" s="5" t="s">
        <v>13023</v>
      </c>
      <c r="AK1544" s="3" t="s">
        <v>45</v>
      </c>
      <c r="AL1544" s="3" t="s">
        <v>45</v>
      </c>
      <c r="AM1544" s="3" t="s">
        <v>45</v>
      </c>
      <c r="AN1544" s="3" t="s">
        <v>45</v>
      </c>
      <c r="AO1544" s="3" t="s">
        <v>45</v>
      </c>
      <c r="AP1544" s="3" t="s">
        <v>45</v>
      </c>
      <c r="AQ1544" s="4" t="s">
        <v>10103</v>
      </c>
      <c r="AR1544" s="4" t="s">
        <v>9908</v>
      </c>
    </row>
    <row r="1545">
      <c r="A1545" s="3" t="s">
        <v>13024</v>
      </c>
      <c r="B1545" s="3" t="s">
        <v>13025</v>
      </c>
      <c r="C1545" s="3" t="s">
        <v>13026</v>
      </c>
      <c r="D1545" s="3" t="s">
        <v>9900</v>
      </c>
      <c r="E1545" s="4" t="s">
        <v>13027</v>
      </c>
      <c r="F1545" s="3" t="s">
        <v>10809</v>
      </c>
      <c r="G1545" s="4" t="s">
        <v>13028</v>
      </c>
      <c r="H1545" s="4" t="s">
        <v>13029</v>
      </c>
      <c r="I1545" s="3" t="s">
        <v>49</v>
      </c>
      <c r="J1545" s="3" t="s">
        <v>126</v>
      </c>
      <c r="K1545" s="3" t="s">
        <v>45</v>
      </c>
      <c r="L1545" s="3" t="s">
        <v>479</v>
      </c>
      <c r="M1545" s="3" t="s">
        <v>45</v>
      </c>
      <c r="N1545" s="3" t="s">
        <v>45</v>
      </c>
      <c r="O1545" s="3" t="s">
        <v>74</v>
      </c>
      <c r="P1545" s="3" t="s">
        <v>45</v>
      </c>
      <c r="Q1545" s="3" t="s">
        <v>45</v>
      </c>
      <c r="R1545" s="3" t="s">
        <v>45</v>
      </c>
      <c r="S1545" s="3" t="s">
        <v>45</v>
      </c>
      <c r="T1545" s="3" t="s">
        <v>45</v>
      </c>
      <c r="U1545" s="3" t="s">
        <v>45</v>
      </c>
      <c r="V1545" s="4" t="s">
        <v>13030</v>
      </c>
      <c r="W1545" s="4" t="s">
        <v>13031</v>
      </c>
      <c r="X1545" s="3" t="s">
        <v>45</v>
      </c>
      <c r="Y1545" s="3" t="s">
        <v>45</v>
      </c>
      <c r="Z1545" s="3" t="s">
        <v>74</v>
      </c>
      <c r="AA1545" s="3" t="s">
        <v>45</v>
      </c>
      <c r="AB1545" s="3" t="s">
        <v>45</v>
      </c>
      <c r="AC1545" s="3" t="s">
        <v>45</v>
      </c>
      <c r="AD1545" s="3" t="s">
        <v>45</v>
      </c>
      <c r="AE1545" s="3" t="s">
        <v>45</v>
      </c>
      <c r="AF1545" s="3" t="s">
        <v>45</v>
      </c>
      <c r="AG1545" s="3" t="s">
        <v>45</v>
      </c>
      <c r="AH1545" s="3" t="s">
        <v>9906</v>
      </c>
      <c r="AI1545" s="5" t="s">
        <v>13032</v>
      </c>
      <c r="AJ1545" s="5" t="s">
        <v>13033</v>
      </c>
      <c r="AK1545" s="3" t="s">
        <v>45</v>
      </c>
      <c r="AL1545" s="3" t="s">
        <v>45</v>
      </c>
      <c r="AM1545" s="3" t="s">
        <v>45</v>
      </c>
      <c r="AN1545" s="3" t="s">
        <v>45</v>
      </c>
      <c r="AO1545" s="3" t="s">
        <v>45</v>
      </c>
      <c r="AP1545" s="3" t="s">
        <v>45</v>
      </c>
      <c r="AQ1545" s="4" t="s">
        <v>9934</v>
      </c>
      <c r="AR1545" s="4" t="s">
        <v>9908</v>
      </c>
    </row>
    <row r="1546">
      <c r="A1546" s="3" t="s">
        <v>13034</v>
      </c>
      <c r="B1546" s="3" t="s">
        <v>13035</v>
      </c>
      <c r="C1546" s="3" t="s">
        <v>13036</v>
      </c>
      <c r="D1546" s="3" t="s">
        <v>9900</v>
      </c>
      <c r="E1546" s="4" t="s">
        <v>9927</v>
      </c>
      <c r="F1546" s="3" t="s">
        <v>9928</v>
      </c>
      <c r="G1546" s="4" t="s">
        <v>13037</v>
      </c>
      <c r="H1546" s="4" t="s">
        <v>13038</v>
      </c>
      <c r="I1546" s="3" t="s">
        <v>49</v>
      </c>
      <c r="J1546" s="3" t="s">
        <v>126</v>
      </c>
      <c r="K1546" s="3" t="s">
        <v>45</v>
      </c>
      <c r="L1546" s="3" t="s">
        <v>479</v>
      </c>
      <c r="M1546" s="3" t="s">
        <v>45</v>
      </c>
      <c r="N1546" s="3" t="s">
        <v>45</v>
      </c>
      <c r="O1546" s="3" t="s">
        <v>74</v>
      </c>
      <c r="P1546" s="3" t="s">
        <v>45</v>
      </c>
      <c r="Q1546" s="3" t="s">
        <v>45</v>
      </c>
      <c r="R1546" s="3" t="s">
        <v>45</v>
      </c>
      <c r="S1546" s="3" t="s">
        <v>45</v>
      </c>
      <c r="T1546" s="3" t="s">
        <v>45</v>
      </c>
      <c r="U1546" s="3" t="s">
        <v>45</v>
      </c>
      <c r="V1546" s="4" t="s">
        <v>13039</v>
      </c>
      <c r="W1546" s="4" t="s">
        <v>6214</v>
      </c>
      <c r="X1546" s="3" t="s">
        <v>45</v>
      </c>
      <c r="Y1546" s="3" t="s">
        <v>45</v>
      </c>
      <c r="Z1546" s="3" t="s">
        <v>74</v>
      </c>
      <c r="AA1546" s="3" t="s">
        <v>45</v>
      </c>
      <c r="AB1546" s="3" t="s">
        <v>45</v>
      </c>
      <c r="AC1546" s="3" t="s">
        <v>45</v>
      </c>
      <c r="AD1546" s="3" t="s">
        <v>45</v>
      </c>
      <c r="AE1546" s="3" t="s">
        <v>45</v>
      </c>
      <c r="AF1546" s="3" t="s">
        <v>45</v>
      </c>
      <c r="AG1546" s="3" t="s">
        <v>13040</v>
      </c>
      <c r="AH1546" s="3" t="s">
        <v>9906</v>
      </c>
      <c r="AI1546" s="5" t="s">
        <v>13041</v>
      </c>
      <c r="AJ1546" s="5" t="s">
        <v>13042</v>
      </c>
      <c r="AK1546" s="3" t="s">
        <v>45</v>
      </c>
      <c r="AL1546" s="3" t="s">
        <v>45</v>
      </c>
      <c r="AM1546" s="3" t="s">
        <v>45</v>
      </c>
      <c r="AN1546" s="3" t="s">
        <v>45</v>
      </c>
      <c r="AO1546" s="3" t="s">
        <v>45</v>
      </c>
      <c r="AP1546" s="3" t="s">
        <v>45</v>
      </c>
      <c r="AQ1546" s="4" t="s">
        <v>9934</v>
      </c>
      <c r="AR1546" s="4" t="s">
        <v>9908</v>
      </c>
    </row>
    <row r="1547">
      <c r="A1547" s="3" t="s">
        <v>13043</v>
      </c>
      <c r="B1547" s="3" t="s">
        <v>13044</v>
      </c>
      <c r="C1547" s="3" t="s">
        <v>13036</v>
      </c>
      <c r="D1547" s="3" t="s">
        <v>9900</v>
      </c>
      <c r="E1547" s="4" t="s">
        <v>9927</v>
      </c>
      <c r="F1547" s="3" t="s">
        <v>9928</v>
      </c>
      <c r="G1547" s="4" t="s">
        <v>13045</v>
      </c>
      <c r="H1547" s="4" t="s">
        <v>13046</v>
      </c>
      <c r="I1547" s="3" t="s">
        <v>85</v>
      </c>
      <c r="J1547" s="3" t="s">
        <v>126</v>
      </c>
      <c r="K1547" s="3" t="s">
        <v>45</v>
      </c>
      <c r="L1547" s="3" t="s">
        <v>409</v>
      </c>
      <c r="M1547" s="3" t="s">
        <v>45</v>
      </c>
      <c r="N1547" s="3" t="s">
        <v>45</v>
      </c>
      <c r="O1547" s="3" t="s">
        <v>74</v>
      </c>
      <c r="P1547" s="3" t="s">
        <v>45</v>
      </c>
      <c r="Q1547" s="3" t="s">
        <v>45</v>
      </c>
      <c r="R1547" s="3" t="s">
        <v>45</v>
      </c>
      <c r="S1547" s="3" t="s">
        <v>45</v>
      </c>
      <c r="T1547" s="3" t="s">
        <v>45</v>
      </c>
      <c r="U1547" s="3" t="s">
        <v>45</v>
      </c>
      <c r="V1547" s="4" t="s">
        <v>13047</v>
      </c>
      <c r="W1547" s="4" t="s">
        <v>1012</v>
      </c>
      <c r="X1547" s="3" t="s">
        <v>45</v>
      </c>
      <c r="Y1547" s="3" t="s">
        <v>45</v>
      </c>
      <c r="Z1547" s="3" t="s">
        <v>74</v>
      </c>
      <c r="AA1547" s="3" t="s">
        <v>45</v>
      </c>
      <c r="AB1547" s="3" t="s">
        <v>45</v>
      </c>
      <c r="AC1547" s="3" t="s">
        <v>45</v>
      </c>
      <c r="AD1547" s="3" t="s">
        <v>45</v>
      </c>
      <c r="AE1547" s="3" t="s">
        <v>45</v>
      </c>
      <c r="AF1547" s="3" t="s">
        <v>45</v>
      </c>
      <c r="AG1547" s="3" t="s">
        <v>9932</v>
      </c>
      <c r="AH1547" s="3" t="s">
        <v>9906</v>
      </c>
      <c r="AI1547" s="5" t="s">
        <v>13048</v>
      </c>
      <c r="AJ1547" s="3" t="s">
        <v>45</v>
      </c>
      <c r="AK1547" s="3" t="s">
        <v>45</v>
      </c>
      <c r="AL1547" s="3" t="s">
        <v>45</v>
      </c>
      <c r="AM1547" s="3" t="s">
        <v>45</v>
      </c>
      <c r="AN1547" s="3" t="s">
        <v>45</v>
      </c>
      <c r="AO1547" s="3" t="s">
        <v>45</v>
      </c>
      <c r="AP1547" s="3" t="s">
        <v>45</v>
      </c>
      <c r="AQ1547" s="4" t="s">
        <v>9934</v>
      </c>
      <c r="AR1547" s="4" t="s">
        <v>9908</v>
      </c>
    </row>
    <row r="1548">
      <c r="A1548" s="3" t="s">
        <v>13049</v>
      </c>
      <c r="B1548" s="3" t="s">
        <v>13050</v>
      </c>
      <c r="C1548" s="3" t="s">
        <v>13036</v>
      </c>
      <c r="D1548" s="3" t="s">
        <v>9900</v>
      </c>
      <c r="E1548" s="4" t="s">
        <v>9927</v>
      </c>
      <c r="F1548" s="3" t="s">
        <v>9928</v>
      </c>
      <c r="G1548" s="4" t="s">
        <v>13051</v>
      </c>
      <c r="H1548" s="4" t="s">
        <v>13052</v>
      </c>
      <c r="I1548" s="3" t="s">
        <v>85</v>
      </c>
      <c r="J1548" s="3" t="s">
        <v>126</v>
      </c>
      <c r="K1548" s="3" t="s">
        <v>45</v>
      </c>
      <c r="L1548" s="3" t="s">
        <v>45</v>
      </c>
      <c r="M1548" s="3" t="s">
        <v>45</v>
      </c>
      <c r="N1548" s="3" t="s">
        <v>45</v>
      </c>
      <c r="O1548" s="3" t="s">
        <v>74</v>
      </c>
      <c r="P1548" s="3" t="s">
        <v>45</v>
      </c>
      <c r="Q1548" s="3" t="s">
        <v>45</v>
      </c>
      <c r="R1548" s="3" t="s">
        <v>45</v>
      </c>
      <c r="S1548" s="3" t="s">
        <v>45</v>
      </c>
      <c r="T1548" s="3" t="s">
        <v>45</v>
      </c>
      <c r="U1548" s="3" t="s">
        <v>45</v>
      </c>
      <c r="V1548" s="4" t="s">
        <v>13053</v>
      </c>
      <c r="W1548" s="4" t="s">
        <v>4563</v>
      </c>
      <c r="X1548" s="3" t="s">
        <v>45</v>
      </c>
      <c r="Y1548" s="3" t="s">
        <v>45</v>
      </c>
      <c r="Z1548" s="3" t="s">
        <v>74</v>
      </c>
      <c r="AA1548" s="3" t="s">
        <v>45</v>
      </c>
      <c r="AB1548" s="3" t="s">
        <v>45</v>
      </c>
      <c r="AC1548" s="3" t="s">
        <v>45</v>
      </c>
      <c r="AD1548" s="3" t="s">
        <v>45</v>
      </c>
      <c r="AE1548" s="3" t="s">
        <v>45</v>
      </c>
      <c r="AF1548" s="3" t="s">
        <v>45</v>
      </c>
      <c r="AG1548" s="3" t="s">
        <v>9932</v>
      </c>
      <c r="AH1548" s="3" t="s">
        <v>9906</v>
      </c>
      <c r="AI1548" s="5" t="s">
        <v>13054</v>
      </c>
      <c r="AJ1548" s="5" t="s">
        <v>13055</v>
      </c>
      <c r="AK1548" s="3" t="s">
        <v>45</v>
      </c>
      <c r="AL1548" s="3" t="s">
        <v>45</v>
      </c>
      <c r="AM1548" s="3" t="s">
        <v>45</v>
      </c>
      <c r="AN1548" s="3" t="s">
        <v>45</v>
      </c>
      <c r="AO1548" s="3" t="s">
        <v>45</v>
      </c>
      <c r="AP1548" s="3" t="s">
        <v>45</v>
      </c>
      <c r="AQ1548" s="4" t="s">
        <v>9934</v>
      </c>
      <c r="AR1548" s="4" t="s">
        <v>9908</v>
      </c>
    </row>
    <row r="1549">
      <c r="A1549" s="3" t="s">
        <v>13056</v>
      </c>
      <c r="B1549" s="3" t="s">
        <v>13057</v>
      </c>
      <c r="C1549" s="3" t="s">
        <v>13058</v>
      </c>
      <c r="D1549" s="3" t="s">
        <v>9900</v>
      </c>
      <c r="E1549" s="4" t="s">
        <v>13059</v>
      </c>
      <c r="F1549" s="3" t="s">
        <v>13060</v>
      </c>
      <c r="G1549" s="4" t="s">
        <v>13061</v>
      </c>
      <c r="H1549" s="4" t="s">
        <v>13062</v>
      </c>
      <c r="I1549" s="3" t="s">
        <v>49</v>
      </c>
      <c r="J1549" s="3" t="s">
        <v>126</v>
      </c>
      <c r="K1549" s="3" t="s">
        <v>45</v>
      </c>
      <c r="L1549" s="3" t="s">
        <v>13063</v>
      </c>
      <c r="M1549" s="3" t="s">
        <v>45</v>
      </c>
      <c r="N1549" s="4" t="s">
        <v>535</v>
      </c>
      <c r="O1549" s="3" t="s">
        <v>88</v>
      </c>
      <c r="P1549" s="3" t="s">
        <v>71</v>
      </c>
      <c r="Q1549" s="3" t="s">
        <v>45</v>
      </c>
      <c r="R1549" s="3" t="s">
        <v>45</v>
      </c>
      <c r="S1549" s="3" t="s">
        <v>45</v>
      </c>
      <c r="T1549" s="3" t="s">
        <v>105</v>
      </c>
      <c r="U1549" s="3" t="s">
        <v>221</v>
      </c>
      <c r="V1549" s="3" t="s">
        <v>45</v>
      </c>
      <c r="W1549" s="4" t="s">
        <v>11431</v>
      </c>
      <c r="X1549" s="3" t="s">
        <v>45</v>
      </c>
      <c r="Y1549" s="4" t="s">
        <v>957</v>
      </c>
      <c r="Z1549" s="3" t="s">
        <v>74</v>
      </c>
      <c r="AA1549" s="3" t="s">
        <v>45</v>
      </c>
      <c r="AB1549" s="3" t="s">
        <v>56</v>
      </c>
      <c r="AC1549" s="3" t="s">
        <v>45</v>
      </c>
      <c r="AD1549" s="3" t="s">
        <v>45</v>
      </c>
      <c r="AE1549" s="3" t="s">
        <v>45</v>
      </c>
      <c r="AF1549" s="5" t="s">
        <v>13064</v>
      </c>
      <c r="AG1549" s="3" t="s">
        <v>45</v>
      </c>
      <c r="AH1549" s="3" t="s">
        <v>57</v>
      </c>
      <c r="AI1549" s="5" t="s">
        <v>13065</v>
      </c>
      <c r="AJ1549" s="5" t="s">
        <v>13066</v>
      </c>
      <c r="AK1549" s="3" t="s">
        <v>45</v>
      </c>
      <c r="AL1549" s="3" t="s">
        <v>45</v>
      </c>
      <c r="AM1549" s="3" t="s">
        <v>45</v>
      </c>
      <c r="AN1549" s="3" t="s">
        <v>45</v>
      </c>
      <c r="AO1549" s="3" t="s">
        <v>45</v>
      </c>
      <c r="AP1549" s="3" t="s">
        <v>45</v>
      </c>
      <c r="AQ1549" s="4" t="s">
        <v>1050</v>
      </c>
      <c r="AR1549" s="4" t="s">
        <v>1050</v>
      </c>
    </row>
    <row r="1550">
      <c r="A1550" s="3" t="s">
        <v>169</v>
      </c>
      <c r="B1550" s="3" t="s">
        <v>13067</v>
      </c>
      <c r="C1550" s="3" t="s">
        <v>13068</v>
      </c>
      <c r="D1550" s="3" t="s">
        <v>9900</v>
      </c>
      <c r="E1550" s="4" t="s">
        <v>13069</v>
      </c>
      <c r="F1550" s="3" t="s">
        <v>10874</v>
      </c>
      <c r="G1550" s="4" t="s">
        <v>13070</v>
      </c>
      <c r="H1550" s="4" t="s">
        <v>13071</v>
      </c>
      <c r="I1550" s="3" t="s">
        <v>49</v>
      </c>
      <c r="J1550" s="3" t="s">
        <v>126</v>
      </c>
      <c r="K1550" s="3" t="s">
        <v>45</v>
      </c>
      <c r="L1550" s="3" t="s">
        <v>176</v>
      </c>
      <c r="M1550" s="3" t="s">
        <v>45</v>
      </c>
      <c r="N1550" s="3" t="s">
        <v>45</v>
      </c>
      <c r="O1550" s="3" t="s">
        <v>88</v>
      </c>
      <c r="P1550" s="3" t="s">
        <v>45</v>
      </c>
      <c r="Q1550" s="3" t="s">
        <v>45</v>
      </c>
      <c r="R1550" s="3" t="s">
        <v>45</v>
      </c>
      <c r="S1550" s="4" t="s">
        <v>835</v>
      </c>
      <c r="T1550" s="3" t="s">
        <v>45</v>
      </c>
      <c r="U1550" s="3" t="s">
        <v>45</v>
      </c>
      <c r="V1550" s="4" t="s">
        <v>13072</v>
      </c>
      <c r="W1550" s="4" t="s">
        <v>13073</v>
      </c>
      <c r="X1550" s="3" t="s">
        <v>13074</v>
      </c>
      <c r="Y1550" s="3" t="s">
        <v>45</v>
      </c>
      <c r="Z1550" s="3" t="s">
        <v>74</v>
      </c>
      <c r="AA1550" s="3" t="s">
        <v>45</v>
      </c>
      <c r="AB1550" s="3" t="s">
        <v>45</v>
      </c>
      <c r="AC1550" s="3" t="s">
        <v>45</v>
      </c>
      <c r="AD1550" s="3" t="s">
        <v>45</v>
      </c>
      <c r="AE1550" s="3" t="s">
        <v>45</v>
      </c>
      <c r="AF1550" s="3" t="s">
        <v>45</v>
      </c>
      <c r="AG1550" s="3" t="s">
        <v>45</v>
      </c>
      <c r="AH1550" s="3" t="s">
        <v>57</v>
      </c>
      <c r="AI1550" s="5" t="s">
        <v>13075</v>
      </c>
      <c r="AJ1550" s="5" t="s">
        <v>13076</v>
      </c>
      <c r="AK1550" s="5" t="s">
        <v>13077</v>
      </c>
      <c r="AL1550" s="3" t="s">
        <v>45</v>
      </c>
      <c r="AM1550" s="3" t="s">
        <v>45</v>
      </c>
      <c r="AN1550" s="3" t="s">
        <v>45</v>
      </c>
      <c r="AO1550" s="3" t="s">
        <v>45</v>
      </c>
      <c r="AP1550" s="3" t="s">
        <v>45</v>
      </c>
      <c r="AQ1550" s="4" t="s">
        <v>4487</v>
      </c>
      <c r="AR1550" s="4" t="s">
        <v>2649</v>
      </c>
    </row>
    <row r="1551">
      <c r="A1551" s="3" t="s">
        <v>13078</v>
      </c>
      <c r="B1551" s="3" t="s">
        <v>13079</v>
      </c>
      <c r="C1551" s="3" t="s">
        <v>13080</v>
      </c>
      <c r="D1551" s="3" t="s">
        <v>9900</v>
      </c>
      <c r="E1551" s="4" t="s">
        <v>12010</v>
      </c>
      <c r="F1551" s="3" t="s">
        <v>2850</v>
      </c>
      <c r="G1551" s="4" t="s">
        <v>13081</v>
      </c>
      <c r="H1551" s="4" t="s">
        <v>13082</v>
      </c>
      <c r="I1551" s="3" t="s">
        <v>85</v>
      </c>
      <c r="J1551" s="3" t="s">
        <v>126</v>
      </c>
      <c r="K1551" s="3" t="s">
        <v>45</v>
      </c>
      <c r="L1551" s="3" t="s">
        <v>13083</v>
      </c>
      <c r="M1551" s="3" t="s">
        <v>45</v>
      </c>
      <c r="N1551" s="3" t="s">
        <v>45</v>
      </c>
      <c r="O1551" s="3" t="s">
        <v>74</v>
      </c>
      <c r="P1551" s="3" t="s">
        <v>45</v>
      </c>
      <c r="Q1551" s="3" t="s">
        <v>45</v>
      </c>
      <c r="R1551" s="3" t="s">
        <v>45</v>
      </c>
      <c r="S1551" s="3" t="s">
        <v>45</v>
      </c>
      <c r="T1551" s="3" t="s">
        <v>45</v>
      </c>
      <c r="U1551" s="3" t="s">
        <v>45</v>
      </c>
      <c r="V1551" s="4" t="s">
        <v>13084</v>
      </c>
      <c r="W1551" s="4" t="s">
        <v>233</v>
      </c>
      <c r="X1551" s="3" t="s">
        <v>45</v>
      </c>
      <c r="Y1551" s="3" t="s">
        <v>45</v>
      </c>
      <c r="Z1551" s="3" t="s">
        <v>74</v>
      </c>
      <c r="AA1551" s="3" t="s">
        <v>45</v>
      </c>
      <c r="AB1551" s="3" t="s">
        <v>45</v>
      </c>
      <c r="AC1551" s="3" t="s">
        <v>45</v>
      </c>
      <c r="AD1551" s="3" t="s">
        <v>45</v>
      </c>
      <c r="AE1551" s="3" t="s">
        <v>45</v>
      </c>
      <c r="AF1551" s="3" t="s">
        <v>45</v>
      </c>
      <c r="AG1551" s="3" t="s">
        <v>45</v>
      </c>
      <c r="AH1551" s="3" t="s">
        <v>9906</v>
      </c>
      <c r="AI1551" s="5" t="s">
        <v>10655</v>
      </c>
      <c r="AJ1551" s="5" t="s">
        <v>13085</v>
      </c>
      <c r="AK1551" s="3" t="s">
        <v>45</v>
      </c>
      <c r="AL1551" s="3" t="s">
        <v>45</v>
      </c>
      <c r="AM1551" s="3" t="s">
        <v>45</v>
      </c>
      <c r="AN1551" s="3" t="s">
        <v>45</v>
      </c>
      <c r="AO1551" s="3" t="s">
        <v>45</v>
      </c>
      <c r="AP1551" s="3" t="s">
        <v>45</v>
      </c>
      <c r="AQ1551" s="4" t="s">
        <v>9934</v>
      </c>
      <c r="AR1551" s="4" t="s">
        <v>9908</v>
      </c>
    </row>
    <row r="1552">
      <c r="A1552" s="3" t="s">
        <v>13086</v>
      </c>
      <c r="B1552" s="3" t="s">
        <v>13087</v>
      </c>
      <c r="C1552" s="3" t="s">
        <v>13088</v>
      </c>
      <c r="D1552" s="3" t="s">
        <v>9900</v>
      </c>
      <c r="E1552" s="4" t="s">
        <v>13089</v>
      </c>
      <c r="F1552" s="3" t="s">
        <v>2850</v>
      </c>
      <c r="G1552" s="4" t="s">
        <v>13090</v>
      </c>
      <c r="H1552" s="4" t="s">
        <v>13091</v>
      </c>
      <c r="I1552" s="3" t="s">
        <v>408</v>
      </c>
      <c r="J1552" s="3" t="s">
        <v>126</v>
      </c>
      <c r="K1552" s="3" t="s">
        <v>45</v>
      </c>
      <c r="L1552" s="3" t="s">
        <v>855</v>
      </c>
      <c r="M1552" s="3" t="s">
        <v>45</v>
      </c>
      <c r="N1552" s="3" t="s">
        <v>45</v>
      </c>
      <c r="O1552" s="3" t="s">
        <v>74</v>
      </c>
      <c r="P1552" s="3" t="s">
        <v>45</v>
      </c>
      <c r="Q1552" s="3" t="s">
        <v>45</v>
      </c>
      <c r="R1552" s="3" t="s">
        <v>45</v>
      </c>
      <c r="S1552" s="3" t="s">
        <v>45</v>
      </c>
      <c r="T1552" s="3" t="s">
        <v>45</v>
      </c>
      <c r="U1552" s="3" t="s">
        <v>45</v>
      </c>
      <c r="V1552" s="4" t="s">
        <v>13092</v>
      </c>
      <c r="W1552" s="3" t="s">
        <v>45</v>
      </c>
      <c r="X1552" s="3" t="s">
        <v>45</v>
      </c>
      <c r="Y1552" s="3" t="s">
        <v>45</v>
      </c>
      <c r="Z1552" s="3" t="s">
        <v>74</v>
      </c>
      <c r="AA1552" s="3" t="s">
        <v>45</v>
      </c>
      <c r="AB1552" s="3" t="s">
        <v>45</v>
      </c>
      <c r="AC1552" s="3" t="s">
        <v>45</v>
      </c>
      <c r="AD1552" s="3" t="s">
        <v>45</v>
      </c>
      <c r="AE1552" s="3" t="s">
        <v>45</v>
      </c>
      <c r="AF1552" s="3" t="s">
        <v>45</v>
      </c>
      <c r="AG1552" s="3" t="s">
        <v>45</v>
      </c>
      <c r="AH1552" s="3" t="s">
        <v>9906</v>
      </c>
      <c r="AI1552" s="5" t="s">
        <v>10655</v>
      </c>
      <c r="AJ1552" s="5" t="s">
        <v>13093</v>
      </c>
      <c r="AK1552" s="3" t="s">
        <v>45</v>
      </c>
      <c r="AL1552" s="3" t="s">
        <v>45</v>
      </c>
      <c r="AM1552" s="3" t="s">
        <v>45</v>
      </c>
      <c r="AN1552" s="3" t="s">
        <v>45</v>
      </c>
      <c r="AO1552" s="3" t="s">
        <v>45</v>
      </c>
      <c r="AP1552" s="3" t="s">
        <v>45</v>
      </c>
      <c r="AQ1552" s="4" t="s">
        <v>9934</v>
      </c>
      <c r="AR1552" s="4" t="s">
        <v>1729</v>
      </c>
    </row>
    <row r="1553">
      <c r="A1553" s="3" t="s">
        <v>13094</v>
      </c>
      <c r="B1553" s="3" t="s">
        <v>13095</v>
      </c>
      <c r="C1553" s="3" t="s">
        <v>13096</v>
      </c>
      <c r="D1553" s="3" t="s">
        <v>9900</v>
      </c>
      <c r="E1553" s="4" t="s">
        <v>13097</v>
      </c>
      <c r="F1553" s="3" t="s">
        <v>13096</v>
      </c>
      <c r="G1553" s="4" t="s">
        <v>13098</v>
      </c>
      <c r="H1553" s="4" t="s">
        <v>13099</v>
      </c>
      <c r="I1553" s="3" t="s">
        <v>85</v>
      </c>
      <c r="J1553" s="3" t="s">
        <v>126</v>
      </c>
      <c r="K1553" s="3" t="s">
        <v>45</v>
      </c>
      <c r="L1553" s="3" t="s">
        <v>13100</v>
      </c>
      <c r="M1553" s="3" t="s">
        <v>45</v>
      </c>
      <c r="N1553" s="3" t="s">
        <v>45</v>
      </c>
      <c r="O1553" s="3" t="s">
        <v>74</v>
      </c>
      <c r="P1553" s="3" t="s">
        <v>45</v>
      </c>
      <c r="Q1553" s="3" t="s">
        <v>45</v>
      </c>
      <c r="R1553" s="3" t="s">
        <v>45</v>
      </c>
      <c r="S1553" s="3" t="s">
        <v>45</v>
      </c>
      <c r="T1553" s="3" t="s">
        <v>45</v>
      </c>
      <c r="U1553" s="3" t="s">
        <v>45</v>
      </c>
      <c r="V1553" s="4" t="s">
        <v>13101</v>
      </c>
      <c r="W1553" s="4" t="s">
        <v>1872</v>
      </c>
      <c r="X1553" s="3" t="s">
        <v>45</v>
      </c>
      <c r="Y1553" s="3" t="s">
        <v>45</v>
      </c>
      <c r="Z1553" s="3" t="s">
        <v>74</v>
      </c>
      <c r="AA1553" s="3" t="s">
        <v>45</v>
      </c>
      <c r="AB1553" s="3" t="s">
        <v>45</v>
      </c>
      <c r="AC1553" s="3" t="s">
        <v>45</v>
      </c>
      <c r="AD1553" s="3" t="s">
        <v>45</v>
      </c>
      <c r="AE1553" s="3" t="s">
        <v>45</v>
      </c>
      <c r="AF1553" s="3" t="s">
        <v>45</v>
      </c>
      <c r="AG1553" s="3" t="s">
        <v>45</v>
      </c>
      <c r="AH1553" s="3" t="s">
        <v>9906</v>
      </c>
      <c r="AI1553" s="5" t="s">
        <v>13102</v>
      </c>
      <c r="AJ1553" s="3" t="s">
        <v>45</v>
      </c>
      <c r="AK1553" s="3" t="s">
        <v>45</v>
      </c>
      <c r="AL1553" s="3" t="s">
        <v>45</v>
      </c>
      <c r="AM1553" s="3" t="s">
        <v>45</v>
      </c>
      <c r="AN1553" s="3" t="s">
        <v>45</v>
      </c>
      <c r="AO1553" s="3" t="s">
        <v>45</v>
      </c>
      <c r="AP1553" s="3" t="s">
        <v>45</v>
      </c>
      <c r="AQ1553" s="4" t="s">
        <v>9934</v>
      </c>
      <c r="AR1553" s="4" t="s">
        <v>9908</v>
      </c>
    </row>
    <row r="1554">
      <c r="A1554" s="3" t="s">
        <v>13103</v>
      </c>
      <c r="B1554" s="3" t="s">
        <v>13104</v>
      </c>
      <c r="C1554" s="3" t="s">
        <v>13096</v>
      </c>
      <c r="D1554" s="3" t="s">
        <v>9900</v>
      </c>
      <c r="E1554" s="4" t="s">
        <v>13097</v>
      </c>
      <c r="F1554" s="3" t="s">
        <v>13096</v>
      </c>
      <c r="G1554" s="4" t="s">
        <v>13105</v>
      </c>
      <c r="H1554" s="4" t="s">
        <v>13106</v>
      </c>
      <c r="I1554" s="3" t="s">
        <v>408</v>
      </c>
      <c r="J1554" s="3" t="s">
        <v>126</v>
      </c>
      <c r="K1554" s="3" t="s">
        <v>45</v>
      </c>
      <c r="L1554" s="3" t="s">
        <v>13107</v>
      </c>
      <c r="M1554" s="3" t="s">
        <v>45</v>
      </c>
      <c r="N1554" s="3" t="s">
        <v>45</v>
      </c>
      <c r="O1554" s="3" t="s">
        <v>74</v>
      </c>
      <c r="P1554" s="3" t="s">
        <v>45</v>
      </c>
      <c r="Q1554" s="3" t="s">
        <v>45</v>
      </c>
      <c r="R1554" s="3" t="s">
        <v>45</v>
      </c>
      <c r="S1554" s="3" t="s">
        <v>45</v>
      </c>
      <c r="T1554" s="3" t="s">
        <v>45</v>
      </c>
      <c r="U1554" s="3" t="s">
        <v>45</v>
      </c>
      <c r="V1554" s="4" t="s">
        <v>13108</v>
      </c>
      <c r="W1554" s="4" t="s">
        <v>472</v>
      </c>
      <c r="X1554" s="3" t="s">
        <v>45</v>
      </c>
      <c r="Y1554" s="3" t="s">
        <v>45</v>
      </c>
      <c r="Z1554" s="3" t="s">
        <v>74</v>
      </c>
      <c r="AA1554" s="3" t="s">
        <v>45</v>
      </c>
      <c r="AB1554" s="3" t="s">
        <v>45</v>
      </c>
      <c r="AC1554" s="3" t="s">
        <v>45</v>
      </c>
      <c r="AD1554" s="3" t="s">
        <v>45</v>
      </c>
      <c r="AE1554" s="3" t="s">
        <v>45</v>
      </c>
      <c r="AF1554" s="3" t="s">
        <v>45</v>
      </c>
      <c r="AG1554" s="3" t="s">
        <v>13109</v>
      </c>
      <c r="AH1554" s="3" t="s">
        <v>9906</v>
      </c>
      <c r="AI1554" s="5" t="s">
        <v>13110</v>
      </c>
      <c r="AJ1554" s="5" t="s">
        <v>13111</v>
      </c>
      <c r="AK1554" s="3" t="s">
        <v>45</v>
      </c>
      <c r="AL1554" s="3" t="s">
        <v>45</v>
      </c>
      <c r="AM1554" s="3" t="s">
        <v>45</v>
      </c>
      <c r="AN1554" s="3" t="s">
        <v>45</v>
      </c>
      <c r="AO1554" s="3" t="s">
        <v>45</v>
      </c>
      <c r="AP1554" s="3" t="s">
        <v>45</v>
      </c>
      <c r="AQ1554" s="4" t="s">
        <v>9934</v>
      </c>
      <c r="AR1554" s="4" t="s">
        <v>224</v>
      </c>
    </row>
    <row r="1555">
      <c r="A1555" s="3" t="s">
        <v>13112</v>
      </c>
      <c r="B1555" s="3" t="s">
        <v>13113</v>
      </c>
      <c r="C1555" s="3" t="s">
        <v>4931</v>
      </c>
      <c r="D1555" s="3" t="s">
        <v>9900</v>
      </c>
      <c r="E1555" s="4" t="s">
        <v>13114</v>
      </c>
      <c r="F1555" s="3" t="s">
        <v>10628</v>
      </c>
      <c r="G1555" s="4" t="s">
        <v>13115</v>
      </c>
      <c r="H1555" s="4" t="s">
        <v>13116</v>
      </c>
      <c r="I1555" s="3" t="s">
        <v>408</v>
      </c>
      <c r="J1555" s="3" t="s">
        <v>126</v>
      </c>
      <c r="K1555" s="3" t="s">
        <v>45</v>
      </c>
      <c r="L1555" s="3" t="s">
        <v>13117</v>
      </c>
      <c r="M1555" s="3" t="s">
        <v>45</v>
      </c>
      <c r="N1555" s="3" t="s">
        <v>45</v>
      </c>
      <c r="O1555" s="3" t="s">
        <v>74</v>
      </c>
      <c r="P1555" s="3" t="s">
        <v>45</v>
      </c>
      <c r="Q1555" s="3" t="s">
        <v>45</v>
      </c>
      <c r="R1555" s="3" t="s">
        <v>45</v>
      </c>
      <c r="S1555" s="3" t="s">
        <v>45</v>
      </c>
      <c r="T1555" s="3" t="s">
        <v>45</v>
      </c>
      <c r="U1555" s="3" t="s">
        <v>45</v>
      </c>
      <c r="V1555" s="4" t="s">
        <v>13118</v>
      </c>
      <c r="W1555" s="4" t="s">
        <v>922</v>
      </c>
      <c r="X1555" s="3" t="s">
        <v>45</v>
      </c>
      <c r="Y1555" s="3" t="s">
        <v>45</v>
      </c>
      <c r="Z1555" s="3" t="s">
        <v>74</v>
      </c>
      <c r="AA1555" s="3" t="s">
        <v>45</v>
      </c>
      <c r="AB1555" s="3" t="s">
        <v>45</v>
      </c>
      <c r="AC1555" s="3" t="s">
        <v>45</v>
      </c>
      <c r="AD1555" s="3" t="s">
        <v>45</v>
      </c>
      <c r="AE1555" s="3" t="s">
        <v>45</v>
      </c>
      <c r="AF1555" s="3" t="s">
        <v>45</v>
      </c>
      <c r="AG1555" s="3" t="s">
        <v>45</v>
      </c>
      <c r="AH1555" s="3" t="s">
        <v>9906</v>
      </c>
      <c r="AI1555" s="5" t="s">
        <v>13119</v>
      </c>
      <c r="AJ1555" s="5" t="s">
        <v>13120</v>
      </c>
      <c r="AK1555" s="5" t="s">
        <v>13121</v>
      </c>
      <c r="AL1555" s="3" t="s">
        <v>45</v>
      </c>
      <c r="AM1555" s="3" t="s">
        <v>45</v>
      </c>
      <c r="AN1555" s="3" t="s">
        <v>45</v>
      </c>
      <c r="AO1555" s="3" t="s">
        <v>45</v>
      </c>
      <c r="AP1555" s="3" t="s">
        <v>45</v>
      </c>
      <c r="AQ1555" s="4" t="s">
        <v>9934</v>
      </c>
      <c r="AR1555" s="4" t="s">
        <v>224</v>
      </c>
    </row>
    <row r="1556">
      <c r="A1556" s="3" t="s">
        <v>13122</v>
      </c>
      <c r="B1556" s="3" t="s">
        <v>13123</v>
      </c>
      <c r="C1556" s="3" t="s">
        <v>4931</v>
      </c>
      <c r="D1556" s="3" t="s">
        <v>9900</v>
      </c>
      <c r="E1556" s="4" t="s">
        <v>13114</v>
      </c>
      <c r="F1556" s="3" t="s">
        <v>10628</v>
      </c>
      <c r="G1556" s="4" t="s">
        <v>13124</v>
      </c>
      <c r="H1556" s="4" t="s">
        <v>13125</v>
      </c>
      <c r="I1556" s="3" t="s">
        <v>49</v>
      </c>
      <c r="J1556" s="3" t="s">
        <v>126</v>
      </c>
      <c r="K1556" s="3" t="s">
        <v>45</v>
      </c>
      <c r="L1556" s="3" t="s">
        <v>45</v>
      </c>
      <c r="M1556" s="3" t="s">
        <v>45</v>
      </c>
      <c r="N1556" s="3" t="s">
        <v>45</v>
      </c>
      <c r="O1556" s="3" t="s">
        <v>74</v>
      </c>
      <c r="P1556" s="3" t="s">
        <v>45</v>
      </c>
      <c r="Q1556" s="3" t="s">
        <v>45</v>
      </c>
      <c r="R1556" s="3" t="s">
        <v>45</v>
      </c>
      <c r="S1556" s="3" t="s">
        <v>45</v>
      </c>
      <c r="T1556" s="3" t="s">
        <v>45</v>
      </c>
      <c r="U1556" s="3" t="s">
        <v>45</v>
      </c>
      <c r="V1556" s="3" t="s">
        <v>45</v>
      </c>
      <c r="W1556" s="4" t="s">
        <v>487</v>
      </c>
      <c r="X1556" s="3" t="s">
        <v>45</v>
      </c>
      <c r="Y1556" s="3" t="s">
        <v>45</v>
      </c>
      <c r="Z1556" s="3" t="s">
        <v>74</v>
      </c>
      <c r="AA1556" s="3" t="s">
        <v>45</v>
      </c>
      <c r="AB1556" s="3" t="s">
        <v>45</v>
      </c>
      <c r="AC1556" s="3" t="s">
        <v>45</v>
      </c>
      <c r="AD1556" s="3" t="s">
        <v>45</v>
      </c>
      <c r="AE1556" s="3" t="s">
        <v>45</v>
      </c>
      <c r="AF1556" s="3" t="s">
        <v>45</v>
      </c>
      <c r="AG1556" s="3" t="s">
        <v>13126</v>
      </c>
      <c r="AH1556" s="3" t="s">
        <v>9906</v>
      </c>
      <c r="AI1556" s="5" t="s">
        <v>13127</v>
      </c>
      <c r="AJ1556" s="3" t="s">
        <v>45</v>
      </c>
      <c r="AK1556" s="3" t="s">
        <v>45</v>
      </c>
      <c r="AL1556" s="3" t="s">
        <v>45</v>
      </c>
      <c r="AM1556" s="3" t="s">
        <v>45</v>
      </c>
      <c r="AN1556" s="3" t="s">
        <v>45</v>
      </c>
      <c r="AO1556" s="3" t="s">
        <v>45</v>
      </c>
      <c r="AP1556" s="3" t="s">
        <v>45</v>
      </c>
      <c r="AQ1556" s="4" t="s">
        <v>9934</v>
      </c>
      <c r="AR1556" s="4" t="s">
        <v>9908</v>
      </c>
    </row>
    <row r="1557">
      <c r="A1557" s="3" t="s">
        <v>13128</v>
      </c>
      <c r="B1557" s="3" t="s">
        <v>13129</v>
      </c>
      <c r="C1557" s="3" t="s">
        <v>4931</v>
      </c>
      <c r="D1557" s="3" t="s">
        <v>9900</v>
      </c>
      <c r="E1557" s="4" t="s">
        <v>13130</v>
      </c>
      <c r="F1557" s="3" t="s">
        <v>10628</v>
      </c>
      <c r="G1557" s="4" t="s">
        <v>13131</v>
      </c>
      <c r="H1557" s="4" t="s">
        <v>13132</v>
      </c>
      <c r="I1557" s="3" t="s">
        <v>49</v>
      </c>
      <c r="J1557" s="3" t="s">
        <v>50</v>
      </c>
      <c r="K1557" s="3" t="s">
        <v>45</v>
      </c>
      <c r="L1557" s="3" t="s">
        <v>13133</v>
      </c>
      <c r="M1557" s="3" t="s">
        <v>45</v>
      </c>
      <c r="N1557" s="3" t="s">
        <v>45</v>
      </c>
      <c r="O1557" s="3" t="s">
        <v>74</v>
      </c>
      <c r="P1557" s="3" t="s">
        <v>45</v>
      </c>
      <c r="Q1557" s="3" t="s">
        <v>45</v>
      </c>
      <c r="R1557" s="3" t="s">
        <v>45</v>
      </c>
      <c r="S1557" s="3" t="s">
        <v>45</v>
      </c>
      <c r="T1557" s="3" t="s">
        <v>45</v>
      </c>
      <c r="U1557" s="3" t="s">
        <v>45</v>
      </c>
      <c r="V1557" s="4" t="s">
        <v>9330</v>
      </c>
      <c r="W1557" s="4" t="s">
        <v>879</v>
      </c>
      <c r="X1557" s="3" t="s">
        <v>45</v>
      </c>
      <c r="Y1557" s="3" t="s">
        <v>45</v>
      </c>
      <c r="Z1557" s="3" t="s">
        <v>74</v>
      </c>
      <c r="AA1557" s="3" t="s">
        <v>45</v>
      </c>
      <c r="AB1557" s="3" t="s">
        <v>45</v>
      </c>
      <c r="AC1557" s="3" t="s">
        <v>45</v>
      </c>
      <c r="AD1557" s="3" t="s">
        <v>45</v>
      </c>
      <c r="AE1557" s="3" t="s">
        <v>45</v>
      </c>
      <c r="AF1557" s="3" t="s">
        <v>45</v>
      </c>
      <c r="AG1557" s="3" t="s">
        <v>9916</v>
      </c>
      <c r="AH1557" s="3" t="s">
        <v>9906</v>
      </c>
      <c r="AI1557" s="5" t="s">
        <v>13134</v>
      </c>
      <c r="AJ1557" s="5" t="s">
        <v>13135</v>
      </c>
      <c r="AK1557" s="3" t="s">
        <v>45</v>
      </c>
      <c r="AL1557" s="3" t="s">
        <v>45</v>
      </c>
      <c r="AM1557" s="3" t="s">
        <v>45</v>
      </c>
      <c r="AN1557" s="3" t="s">
        <v>45</v>
      </c>
      <c r="AO1557" s="3" t="s">
        <v>45</v>
      </c>
      <c r="AP1557" s="3" t="s">
        <v>45</v>
      </c>
      <c r="AQ1557" s="4" t="s">
        <v>13136</v>
      </c>
      <c r="AR1557" s="4" t="s">
        <v>9908</v>
      </c>
    </row>
    <row r="1558">
      <c r="A1558" s="3" t="s">
        <v>13137</v>
      </c>
      <c r="B1558" s="3" t="s">
        <v>13138</v>
      </c>
      <c r="C1558" s="3" t="s">
        <v>13139</v>
      </c>
      <c r="D1558" s="3" t="s">
        <v>9900</v>
      </c>
      <c r="E1558" s="4" t="s">
        <v>13114</v>
      </c>
      <c r="F1558" s="3" t="s">
        <v>10628</v>
      </c>
      <c r="G1558" s="4" t="s">
        <v>13140</v>
      </c>
      <c r="H1558" s="4" t="s">
        <v>13141</v>
      </c>
      <c r="I1558" s="3" t="s">
        <v>49</v>
      </c>
      <c r="J1558" s="3" t="s">
        <v>126</v>
      </c>
      <c r="K1558" s="3" t="s">
        <v>45</v>
      </c>
      <c r="L1558" s="3" t="s">
        <v>13142</v>
      </c>
      <c r="M1558" s="3" t="s">
        <v>45</v>
      </c>
      <c r="N1558" s="3" t="s">
        <v>45</v>
      </c>
      <c r="O1558" s="3" t="s">
        <v>74</v>
      </c>
      <c r="P1558" s="3" t="s">
        <v>45</v>
      </c>
      <c r="Q1558" s="3" t="s">
        <v>45</v>
      </c>
      <c r="R1558" s="3" t="s">
        <v>45</v>
      </c>
      <c r="S1558" s="3" t="s">
        <v>45</v>
      </c>
      <c r="T1558" s="3" t="s">
        <v>45</v>
      </c>
      <c r="U1558" s="3" t="s">
        <v>45</v>
      </c>
      <c r="V1558" s="4" t="s">
        <v>9524</v>
      </c>
      <c r="W1558" s="4" t="s">
        <v>2826</v>
      </c>
      <c r="X1558" s="3" t="s">
        <v>45</v>
      </c>
      <c r="Y1558" s="3" t="s">
        <v>45</v>
      </c>
      <c r="Z1558" s="3" t="s">
        <v>74</v>
      </c>
      <c r="AA1558" s="3" t="s">
        <v>45</v>
      </c>
      <c r="AB1558" s="3" t="s">
        <v>45</v>
      </c>
      <c r="AC1558" s="3" t="s">
        <v>45</v>
      </c>
      <c r="AD1558" s="3" t="s">
        <v>45</v>
      </c>
      <c r="AE1558" s="3" t="s">
        <v>45</v>
      </c>
      <c r="AF1558" s="3" t="s">
        <v>45</v>
      </c>
      <c r="AG1558" s="3" t="s">
        <v>13143</v>
      </c>
      <c r="AH1558" s="3" t="s">
        <v>9906</v>
      </c>
      <c r="AI1558" s="5" t="s">
        <v>13144</v>
      </c>
      <c r="AJ1558" s="5" t="s">
        <v>13145</v>
      </c>
      <c r="AK1558" s="3" t="s">
        <v>45</v>
      </c>
      <c r="AL1558" s="3" t="s">
        <v>45</v>
      </c>
      <c r="AM1558" s="3" t="s">
        <v>45</v>
      </c>
      <c r="AN1558" s="3" t="s">
        <v>45</v>
      </c>
      <c r="AO1558" s="3" t="s">
        <v>45</v>
      </c>
      <c r="AP1558" s="3" t="s">
        <v>45</v>
      </c>
      <c r="AQ1558" s="4" t="s">
        <v>12048</v>
      </c>
      <c r="AR1558" s="4" t="s">
        <v>9908</v>
      </c>
    </row>
    <row r="1559">
      <c r="A1559" s="3" t="s">
        <v>13146</v>
      </c>
      <c r="B1559" s="3" t="s">
        <v>13147</v>
      </c>
      <c r="C1559" s="3" t="s">
        <v>13148</v>
      </c>
      <c r="D1559" s="3" t="s">
        <v>9900</v>
      </c>
      <c r="E1559" s="4" t="s">
        <v>13149</v>
      </c>
      <c r="F1559" s="3" t="s">
        <v>13148</v>
      </c>
      <c r="G1559" s="4" t="s">
        <v>13150</v>
      </c>
      <c r="H1559" s="4" t="s">
        <v>13151</v>
      </c>
      <c r="I1559" s="3" t="s">
        <v>408</v>
      </c>
      <c r="J1559" s="3" t="s">
        <v>126</v>
      </c>
      <c r="K1559" s="3" t="s">
        <v>45</v>
      </c>
      <c r="L1559" s="3" t="s">
        <v>13152</v>
      </c>
      <c r="M1559" s="3" t="s">
        <v>45</v>
      </c>
      <c r="N1559" s="3" t="s">
        <v>45</v>
      </c>
      <c r="O1559" s="3" t="s">
        <v>74</v>
      </c>
      <c r="P1559" s="3" t="s">
        <v>45</v>
      </c>
      <c r="Q1559" s="3" t="s">
        <v>45</v>
      </c>
      <c r="R1559" s="3" t="s">
        <v>45</v>
      </c>
      <c r="S1559" s="3" t="s">
        <v>45</v>
      </c>
      <c r="T1559" s="3" t="s">
        <v>45</v>
      </c>
      <c r="U1559" s="3" t="s">
        <v>45</v>
      </c>
      <c r="V1559" s="4" t="s">
        <v>12211</v>
      </c>
      <c r="W1559" s="4" t="s">
        <v>1043</v>
      </c>
      <c r="X1559" s="3" t="s">
        <v>45</v>
      </c>
      <c r="Y1559" s="3" t="s">
        <v>45</v>
      </c>
      <c r="Z1559" s="3" t="s">
        <v>74</v>
      </c>
      <c r="AA1559" s="3" t="s">
        <v>45</v>
      </c>
      <c r="AB1559" s="3" t="s">
        <v>45</v>
      </c>
      <c r="AC1559" s="3" t="s">
        <v>45</v>
      </c>
      <c r="AD1559" s="3" t="s">
        <v>45</v>
      </c>
      <c r="AE1559" s="3" t="s">
        <v>45</v>
      </c>
      <c r="AF1559" s="3" t="s">
        <v>45</v>
      </c>
      <c r="AG1559" s="3" t="s">
        <v>13153</v>
      </c>
      <c r="AH1559" s="3" t="s">
        <v>9906</v>
      </c>
      <c r="AI1559" s="5" t="s">
        <v>13154</v>
      </c>
      <c r="AJ1559" s="5" t="s">
        <v>13155</v>
      </c>
      <c r="AK1559" s="3" t="s">
        <v>45</v>
      </c>
      <c r="AL1559" s="3" t="s">
        <v>45</v>
      </c>
      <c r="AM1559" s="3" t="s">
        <v>45</v>
      </c>
      <c r="AN1559" s="3" t="s">
        <v>45</v>
      </c>
      <c r="AO1559" s="3" t="s">
        <v>45</v>
      </c>
      <c r="AP1559" s="3" t="s">
        <v>45</v>
      </c>
      <c r="AQ1559" s="4" t="s">
        <v>9934</v>
      </c>
      <c r="AR1559" s="4" t="s">
        <v>224</v>
      </c>
    </row>
    <row r="1560">
      <c r="A1560" s="3" t="s">
        <v>13156</v>
      </c>
      <c r="B1560" s="3" t="s">
        <v>13157</v>
      </c>
      <c r="C1560" s="3" t="s">
        <v>13158</v>
      </c>
      <c r="D1560" s="3" t="s">
        <v>9900</v>
      </c>
      <c r="E1560" s="4" t="s">
        <v>11086</v>
      </c>
      <c r="F1560" s="3" t="s">
        <v>11019</v>
      </c>
      <c r="G1560" s="4" t="s">
        <v>13159</v>
      </c>
      <c r="H1560" s="4" t="s">
        <v>13160</v>
      </c>
      <c r="I1560" s="3" t="s">
        <v>49</v>
      </c>
      <c r="J1560" s="3" t="s">
        <v>50</v>
      </c>
      <c r="K1560" s="3" t="s">
        <v>45</v>
      </c>
      <c r="L1560" s="3" t="s">
        <v>479</v>
      </c>
      <c r="M1560" s="3" t="s">
        <v>45</v>
      </c>
      <c r="N1560" s="3" t="s">
        <v>45</v>
      </c>
      <c r="O1560" s="3" t="s">
        <v>88</v>
      </c>
      <c r="P1560" s="3" t="s">
        <v>45</v>
      </c>
      <c r="Q1560" s="3" t="s">
        <v>45</v>
      </c>
      <c r="R1560" s="3" t="s">
        <v>45</v>
      </c>
      <c r="S1560" s="3" t="s">
        <v>45</v>
      </c>
      <c r="T1560" s="3" t="s">
        <v>45</v>
      </c>
      <c r="U1560" s="3" t="s">
        <v>45</v>
      </c>
      <c r="V1560" s="4" t="s">
        <v>130</v>
      </c>
      <c r="W1560" s="4" t="s">
        <v>359</v>
      </c>
      <c r="X1560" s="3" t="s">
        <v>45</v>
      </c>
      <c r="Y1560" s="3" t="s">
        <v>45</v>
      </c>
      <c r="Z1560" s="3" t="s">
        <v>74</v>
      </c>
      <c r="AA1560" s="3" t="s">
        <v>45</v>
      </c>
      <c r="AB1560" s="3" t="s">
        <v>45</v>
      </c>
      <c r="AC1560" s="3" t="s">
        <v>45</v>
      </c>
      <c r="AD1560" s="3" t="s">
        <v>45</v>
      </c>
      <c r="AE1560" s="3" t="s">
        <v>45</v>
      </c>
      <c r="AF1560" s="3" t="s">
        <v>45</v>
      </c>
      <c r="AG1560" s="3" t="s">
        <v>45</v>
      </c>
      <c r="AH1560" s="3" t="s">
        <v>57</v>
      </c>
      <c r="AI1560" s="5" t="s">
        <v>11022</v>
      </c>
      <c r="AJ1560" s="3" t="s">
        <v>45</v>
      </c>
      <c r="AK1560" s="3" t="s">
        <v>45</v>
      </c>
      <c r="AL1560" s="3" t="s">
        <v>45</v>
      </c>
      <c r="AM1560" s="3" t="s">
        <v>45</v>
      </c>
      <c r="AN1560" s="3" t="s">
        <v>45</v>
      </c>
      <c r="AO1560" s="3" t="s">
        <v>45</v>
      </c>
      <c r="AP1560" s="3" t="s">
        <v>45</v>
      </c>
      <c r="AQ1560" s="4" t="s">
        <v>948</v>
      </c>
      <c r="AR1560" s="4" t="s">
        <v>948</v>
      </c>
    </row>
    <row r="1561">
      <c r="A1561" s="3" t="s">
        <v>13161</v>
      </c>
      <c r="B1561" s="3" t="s">
        <v>45</v>
      </c>
      <c r="C1561" s="3" t="s">
        <v>13158</v>
      </c>
      <c r="D1561" s="3" t="s">
        <v>9900</v>
      </c>
      <c r="E1561" s="4" t="s">
        <v>11086</v>
      </c>
      <c r="F1561" s="3" t="s">
        <v>11019</v>
      </c>
      <c r="G1561" s="4" t="s">
        <v>11087</v>
      </c>
      <c r="H1561" s="4" t="s">
        <v>11088</v>
      </c>
      <c r="I1561" s="3" t="s">
        <v>49</v>
      </c>
      <c r="J1561" s="3" t="s">
        <v>50</v>
      </c>
      <c r="K1561" s="3" t="s">
        <v>45</v>
      </c>
      <c r="L1561" s="3" t="s">
        <v>479</v>
      </c>
      <c r="M1561" s="3" t="s">
        <v>45</v>
      </c>
      <c r="N1561" s="3" t="s">
        <v>45</v>
      </c>
      <c r="O1561" s="3" t="s">
        <v>74</v>
      </c>
      <c r="P1561" s="3" t="s">
        <v>45</v>
      </c>
      <c r="Q1561" s="3" t="s">
        <v>45</v>
      </c>
      <c r="R1561" s="3" t="s">
        <v>45</v>
      </c>
      <c r="S1561" s="3" t="s">
        <v>45</v>
      </c>
      <c r="T1561" s="3" t="s">
        <v>45</v>
      </c>
      <c r="U1561" s="3" t="s">
        <v>45</v>
      </c>
      <c r="V1561" s="3" t="s">
        <v>45</v>
      </c>
      <c r="W1561" s="4" t="s">
        <v>8037</v>
      </c>
      <c r="X1561" s="3" t="s">
        <v>45</v>
      </c>
      <c r="Y1561" s="3" t="s">
        <v>45</v>
      </c>
      <c r="Z1561" s="3" t="s">
        <v>74</v>
      </c>
      <c r="AA1561" s="3" t="s">
        <v>45</v>
      </c>
      <c r="AB1561" s="3" t="s">
        <v>45</v>
      </c>
      <c r="AC1561" s="3" t="s">
        <v>45</v>
      </c>
      <c r="AD1561" s="3" t="s">
        <v>45</v>
      </c>
      <c r="AE1561" s="3" t="s">
        <v>45</v>
      </c>
      <c r="AF1561" s="3" t="s">
        <v>45</v>
      </c>
      <c r="AG1561" s="3" t="s">
        <v>13162</v>
      </c>
      <c r="AH1561" s="3" t="s">
        <v>9906</v>
      </c>
      <c r="AI1561" s="5" t="s">
        <v>13163</v>
      </c>
      <c r="AJ1561" s="3" t="s">
        <v>45</v>
      </c>
      <c r="AK1561" s="3" t="s">
        <v>45</v>
      </c>
      <c r="AL1561" s="3" t="s">
        <v>45</v>
      </c>
      <c r="AM1561" s="3" t="s">
        <v>45</v>
      </c>
      <c r="AN1561" s="3" t="s">
        <v>45</v>
      </c>
      <c r="AO1561" s="3" t="s">
        <v>45</v>
      </c>
      <c r="AP1561" s="3" t="s">
        <v>45</v>
      </c>
      <c r="AQ1561" s="4" t="s">
        <v>7223</v>
      </c>
      <c r="AR1561" s="4" t="s">
        <v>9908</v>
      </c>
    </row>
    <row r="1562">
      <c r="A1562" s="3" t="s">
        <v>13161</v>
      </c>
      <c r="B1562" s="3" t="s">
        <v>13164</v>
      </c>
      <c r="C1562" s="3" t="s">
        <v>13158</v>
      </c>
      <c r="D1562" s="3" t="s">
        <v>9900</v>
      </c>
      <c r="E1562" s="4" t="s">
        <v>11086</v>
      </c>
      <c r="F1562" s="3" t="s">
        <v>9902</v>
      </c>
      <c r="G1562" s="4" t="s">
        <v>13165</v>
      </c>
      <c r="H1562" s="4" t="s">
        <v>13166</v>
      </c>
      <c r="I1562" s="3" t="s">
        <v>49</v>
      </c>
      <c r="J1562" s="3" t="s">
        <v>50</v>
      </c>
      <c r="K1562" s="3" t="s">
        <v>45</v>
      </c>
      <c r="L1562" s="3" t="s">
        <v>479</v>
      </c>
      <c r="M1562" s="3" t="s">
        <v>45</v>
      </c>
      <c r="N1562" s="3" t="s">
        <v>45</v>
      </c>
      <c r="O1562" s="3" t="s">
        <v>74</v>
      </c>
      <c r="P1562" s="3" t="s">
        <v>45</v>
      </c>
      <c r="Q1562" s="3" t="s">
        <v>45</v>
      </c>
      <c r="R1562" s="3" t="s">
        <v>45</v>
      </c>
      <c r="S1562" s="3" t="s">
        <v>45</v>
      </c>
      <c r="T1562" s="3" t="s">
        <v>45</v>
      </c>
      <c r="U1562" s="3" t="s">
        <v>45</v>
      </c>
      <c r="V1562" s="4" t="s">
        <v>130</v>
      </c>
      <c r="W1562" s="4" t="s">
        <v>13167</v>
      </c>
      <c r="X1562" s="3" t="s">
        <v>45</v>
      </c>
      <c r="Y1562" s="3" t="s">
        <v>45</v>
      </c>
      <c r="Z1562" s="3" t="s">
        <v>74</v>
      </c>
      <c r="AA1562" s="3" t="s">
        <v>45</v>
      </c>
      <c r="AB1562" s="3" t="s">
        <v>45</v>
      </c>
      <c r="AC1562" s="3" t="s">
        <v>45</v>
      </c>
      <c r="AD1562" s="3" t="s">
        <v>45</v>
      </c>
      <c r="AE1562" s="3" t="s">
        <v>45</v>
      </c>
      <c r="AF1562" s="3" t="s">
        <v>45</v>
      </c>
      <c r="AG1562" s="3" t="s">
        <v>13168</v>
      </c>
      <c r="AH1562" s="3" t="s">
        <v>9906</v>
      </c>
      <c r="AI1562" s="5" t="s">
        <v>13169</v>
      </c>
      <c r="AJ1562" s="3" t="s">
        <v>45</v>
      </c>
      <c r="AK1562" s="3" t="s">
        <v>45</v>
      </c>
      <c r="AL1562" s="3" t="s">
        <v>45</v>
      </c>
      <c r="AM1562" s="3" t="s">
        <v>45</v>
      </c>
      <c r="AN1562" s="3" t="s">
        <v>45</v>
      </c>
      <c r="AO1562" s="3" t="s">
        <v>45</v>
      </c>
      <c r="AP1562" s="3" t="s">
        <v>45</v>
      </c>
      <c r="AQ1562" s="4" t="s">
        <v>9934</v>
      </c>
      <c r="AR1562" s="4" t="s">
        <v>9908</v>
      </c>
    </row>
    <row r="1563">
      <c r="A1563" s="3" t="s">
        <v>12463</v>
      </c>
      <c r="B1563" s="3" t="s">
        <v>13170</v>
      </c>
      <c r="C1563" s="3" t="s">
        <v>13171</v>
      </c>
      <c r="D1563" s="3" t="s">
        <v>13172</v>
      </c>
      <c r="E1563" s="4" t="s">
        <v>13173</v>
      </c>
      <c r="F1563" s="3" t="s">
        <v>10747</v>
      </c>
      <c r="G1563" s="4" t="s">
        <v>13174</v>
      </c>
      <c r="H1563" s="4" t="s">
        <v>13175</v>
      </c>
      <c r="I1563" s="3" t="s">
        <v>49</v>
      </c>
      <c r="J1563" s="3" t="s">
        <v>126</v>
      </c>
      <c r="K1563" s="3" t="s">
        <v>45</v>
      </c>
      <c r="L1563" s="3" t="s">
        <v>6964</v>
      </c>
      <c r="M1563" s="3" t="s">
        <v>45</v>
      </c>
      <c r="N1563" s="4" t="s">
        <v>13176</v>
      </c>
      <c r="O1563" s="3" t="s">
        <v>88</v>
      </c>
      <c r="P1563" s="3" t="s">
        <v>45</v>
      </c>
      <c r="Q1563" s="3" t="s">
        <v>45</v>
      </c>
      <c r="R1563" s="3" t="s">
        <v>45</v>
      </c>
      <c r="S1563" s="3" t="s">
        <v>45</v>
      </c>
      <c r="T1563" s="3" t="s">
        <v>45</v>
      </c>
      <c r="U1563" s="3" t="s">
        <v>45</v>
      </c>
      <c r="V1563" s="3" t="s">
        <v>45</v>
      </c>
      <c r="W1563" s="4" t="s">
        <v>13177</v>
      </c>
      <c r="X1563" s="3" t="s">
        <v>13178</v>
      </c>
      <c r="Y1563" s="4" t="s">
        <v>13179</v>
      </c>
      <c r="Z1563" s="3" t="s">
        <v>74</v>
      </c>
      <c r="AA1563" s="3" t="s">
        <v>45</v>
      </c>
      <c r="AB1563" s="3" t="s">
        <v>45</v>
      </c>
      <c r="AC1563" s="3" t="s">
        <v>45</v>
      </c>
      <c r="AD1563" s="3" t="s">
        <v>45</v>
      </c>
      <c r="AE1563" s="3" t="s">
        <v>45</v>
      </c>
      <c r="AF1563" s="3" t="s">
        <v>45</v>
      </c>
      <c r="AG1563" s="3" t="s">
        <v>45</v>
      </c>
      <c r="AH1563" s="3" t="s">
        <v>57</v>
      </c>
      <c r="AI1563" s="5" t="s">
        <v>13180</v>
      </c>
      <c r="AJ1563" s="3" t="s">
        <v>45</v>
      </c>
      <c r="AK1563" s="3" t="s">
        <v>45</v>
      </c>
      <c r="AL1563" s="3" t="s">
        <v>45</v>
      </c>
      <c r="AM1563" s="3" t="s">
        <v>45</v>
      </c>
      <c r="AN1563" s="3" t="s">
        <v>45</v>
      </c>
      <c r="AO1563" s="3" t="s">
        <v>45</v>
      </c>
      <c r="AP1563" s="3" t="s">
        <v>45</v>
      </c>
      <c r="AQ1563" s="4" t="s">
        <v>77</v>
      </c>
      <c r="AR1563" s="4" t="s">
        <v>77</v>
      </c>
    </row>
    <row r="1564">
      <c r="A1564" s="3" t="s">
        <v>13181</v>
      </c>
      <c r="B1564" s="3" t="s">
        <v>13182</v>
      </c>
      <c r="C1564" s="3" t="s">
        <v>13183</v>
      </c>
      <c r="D1564" s="3" t="s">
        <v>13184</v>
      </c>
      <c r="E1564" s="4" t="s">
        <v>13185</v>
      </c>
      <c r="F1564" s="3" t="s">
        <v>1948</v>
      </c>
      <c r="G1564" s="4" t="s">
        <v>13186</v>
      </c>
      <c r="H1564" s="4" t="s">
        <v>13187</v>
      </c>
      <c r="I1564" s="3" t="s">
        <v>85</v>
      </c>
      <c r="J1564" s="3" t="s">
        <v>126</v>
      </c>
      <c r="K1564" s="3" t="s">
        <v>45</v>
      </c>
      <c r="L1564" s="3" t="s">
        <v>45</v>
      </c>
      <c r="M1564" s="3" t="s">
        <v>45</v>
      </c>
      <c r="N1564" s="3" t="s">
        <v>45</v>
      </c>
      <c r="O1564" s="3" t="s">
        <v>74</v>
      </c>
      <c r="P1564" s="3" t="s">
        <v>45</v>
      </c>
      <c r="Q1564" s="3" t="s">
        <v>45</v>
      </c>
      <c r="R1564" s="3" t="s">
        <v>45</v>
      </c>
      <c r="S1564" s="3" t="s">
        <v>45</v>
      </c>
      <c r="T1564" s="3" t="s">
        <v>45</v>
      </c>
      <c r="U1564" s="3" t="s">
        <v>45</v>
      </c>
      <c r="V1564" s="3" t="s">
        <v>45</v>
      </c>
      <c r="W1564" s="3" t="s">
        <v>45</v>
      </c>
      <c r="X1564" s="3" t="s">
        <v>45</v>
      </c>
      <c r="Y1564" s="3" t="s">
        <v>45</v>
      </c>
      <c r="Z1564" s="3" t="s">
        <v>74</v>
      </c>
      <c r="AA1564" s="3" t="s">
        <v>45</v>
      </c>
      <c r="AB1564" s="3" t="s">
        <v>45</v>
      </c>
      <c r="AC1564" s="3" t="s">
        <v>45</v>
      </c>
      <c r="AD1564" s="3" t="s">
        <v>45</v>
      </c>
      <c r="AE1564" s="3" t="s">
        <v>45</v>
      </c>
      <c r="AF1564" s="3" t="s">
        <v>45</v>
      </c>
      <c r="AG1564" s="3" t="s">
        <v>45</v>
      </c>
      <c r="AH1564" s="3" t="s">
        <v>57</v>
      </c>
      <c r="AI1564" s="3" t="s">
        <v>45</v>
      </c>
      <c r="AJ1564" s="3" t="s">
        <v>45</v>
      </c>
      <c r="AK1564" s="3" t="s">
        <v>45</v>
      </c>
      <c r="AL1564" s="3" t="s">
        <v>45</v>
      </c>
      <c r="AM1564" s="3" t="s">
        <v>45</v>
      </c>
      <c r="AN1564" s="3" t="s">
        <v>45</v>
      </c>
      <c r="AO1564" s="3" t="s">
        <v>45</v>
      </c>
      <c r="AP1564" s="3" t="s">
        <v>45</v>
      </c>
      <c r="AQ1564" s="4" t="s">
        <v>465</v>
      </c>
      <c r="AR1564" s="4" t="s">
        <v>465</v>
      </c>
    </row>
    <row r="1565">
      <c r="A1565" s="3" t="s">
        <v>8583</v>
      </c>
      <c r="B1565" s="3" t="s">
        <v>13188</v>
      </c>
      <c r="C1565" s="3" t="s">
        <v>4258</v>
      </c>
      <c r="D1565" s="3" t="s">
        <v>13184</v>
      </c>
      <c r="E1565" s="4" t="s">
        <v>13189</v>
      </c>
      <c r="F1565" s="3" t="s">
        <v>13190</v>
      </c>
      <c r="G1565" s="4" t="s">
        <v>13191</v>
      </c>
      <c r="H1565" s="4" t="s">
        <v>13192</v>
      </c>
      <c r="I1565" s="3" t="s">
        <v>85</v>
      </c>
      <c r="J1565" s="3" t="s">
        <v>126</v>
      </c>
      <c r="K1565" s="3" t="s">
        <v>45</v>
      </c>
      <c r="L1565" s="3" t="s">
        <v>45</v>
      </c>
      <c r="M1565" s="3" t="s">
        <v>45</v>
      </c>
      <c r="N1565" s="3" t="s">
        <v>45</v>
      </c>
      <c r="O1565" s="3" t="s">
        <v>74</v>
      </c>
      <c r="P1565" s="3" t="s">
        <v>45</v>
      </c>
      <c r="Q1565" s="3" t="s">
        <v>45</v>
      </c>
      <c r="R1565" s="3" t="s">
        <v>45</v>
      </c>
      <c r="S1565" s="3" t="s">
        <v>45</v>
      </c>
      <c r="T1565" s="3" t="s">
        <v>45</v>
      </c>
      <c r="U1565" s="3" t="s">
        <v>45</v>
      </c>
      <c r="V1565" s="3" t="s">
        <v>45</v>
      </c>
      <c r="W1565" s="3" t="s">
        <v>45</v>
      </c>
      <c r="X1565" s="3" t="s">
        <v>45</v>
      </c>
      <c r="Y1565" s="3" t="s">
        <v>45</v>
      </c>
      <c r="Z1565" s="3" t="s">
        <v>74</v>
      </c>
      <c r="AA1565" s="3" t="s">
        <v>45</v>
      </c>
      <c r="AB1565" s="3" t="s">
        <v>45</v>
      </c>
      <c r="AC1565" s="3" t="s">
        <v>45</v>
      </c>
      <c r="AD1565" s="3" t="s">
        <v>45</v>
      </c>
      <c r="AE1565" s="3" t="s">
        <v>45</v>
      </c>
      <c r="AF1565" s="3" t="s">
        <v>45</v>
      </c>
      <c r="AG1565" s="3" t="s">
        <v>45</v>
      </c>
      <c r="AH1565" s="3" t="s">
        <v>57</v>
      </c>
      <c r="AI1565" s="3" t="s">
        <v>45</v>
      </c>
      <c r="AJ1565" s="3" t="s">
        <v>45</v>
      </c>
      <c r="AK1565" s="3" t="s">
        <v>45</v>
      </c>
      <c r="AL1565" s="3" t="s">
        <v>45</v>
      </c>
      <c r="AM1565" s="3" t="s">
        <v>45</v>
      </c>
      <c r="AN1565" s="3" t="s">
        <v>45</v>
      </c>
      <c r="AO1565" s="3" t="s">
        <v>45</v>
      </c>
      <c r="AP1565" s="3" t="s">
        <v>45</v>
      </c>
      <c r="AQ1565" s="4" t="s">
        <v>465</v>
      </c>
      <c r="AR1565" s="4" t="s">
        <v>465</v>
      </c>
    </row>
    <row r="1566">
      <c r="A1566" s="3" t="s">
        <v>13193</v>
      </c>
      <c r="B1566" s="3" t="s">
        <v>13194</v>
      </c>
      <c r="C1566" s="3" t="s">
        <v>13195</v>
      </c>
      <c r="D1566" s="3" t="s">
        <v>13184</v>
      </c>
      <c r="E1566" s="4" t="s">
        <v>13196</v>
      </c>
      <c r="F1566" s="3" t="s">
        <v>13197</v>
      </c>
      <c r="G1566" s="4" t="s">
        <v>13198</v>
      </c>
      <c r="H1566" s="4" t="s">
        <v>13199</v>
      </c>
      <c r="I1566" s="3" t="s">
        <v>85</v>
      </c>
      <c r="J1566" s="3" t="s">
        <v>126</v>
      </c>
      <c r="K1566" s="3" t="s">
        <v>45</v>
      </c>
      <c r="L1566" s="3" t="s">
        <v>45</v>
      </c>
      <c r="M1566" s="3" t="s">
        <v>45</v>
      </c>
      <c r="N1566" s="3" t="s">
        <v>45</v>
      </c>
      <c r="O1566" s="3" t="s">
        <v>74</v>
      </c>
      <c r="P1566" s="3" t="s">
        <v>45</v>
      </c>
      <c r="Q1566" s="3" t="s">
        <v>45</v>
      </c>
      <c r="R1566" s="3" t="s">
        <v>45</v>
      </c>
      <c r="S1566" s="3" t="s">
        <v>45</v>
      </c>
      <c r="T1566" s="3" t="s">
        <v>45</v>
      </c>
      <c r="U1566" s="3" t="s">
        <v>45</v>
      </c>
      <c r="V1566" s="3" t="s">
        <v>45</v>
      </c>
      <c r="W1566" s="3" t="s">
        <v>45</v>
      </c>
      <c r="X1566" s="3" t="s">
        <v>45</v>
      </c>
      <c r="Y1566" s="3" t="s">
        <v>45</v>
      </c>
      <c r="Z1566" s="3" t="s">
        <v>74</v>
      </c>
      <c r="AA1566" s="3" t="s">
        <v>45</v>
      </c>
      <c r="AB1566" s="3" t="s">
        <v>45</v>
      </c>
      <c r="AC1566" s="3" t="s">
        <v>45</v>
      </c>
      <c r="AD1566" s="3" t="s">
        <v>45</v>
      </c>
      <c r="AE1566" s="3" t="s">
        <v>45</v>
      </c>
      <c r="AF1566" s="3" t="s">
        <v>45</v>
      </c>
      <c r="AG1566" s="3" t="s">
        <v>45</v>
      </c>
      <c r="AH1566" s="3" t="s">
        <v>57</v>
      </c>
      <c r="AI1566" s="3" t="s">
        <v>45</v>
      </c>
      <c r="AJ1566" s="3" t="s">
        <v>45</v>
      </c>
      <c r="AK1566" s="3" t="s">
        <v>45</v>
      </c>
      <c r="AL1566" s="3" t="s">
        <v>45</v>
      </c>
      <c r="AM1566" s="3" t="s">
        <v>45</v>
      </c>
      <c r="AN1566" s="3" t="s">
        <v>45</v>
      </c>
      <c r="AO1566" s="3" t="s">
        <v>45</v>
      </c>
      <c r="AP1566" s="3" t="s">
        <v>45</v>
      </c>
      <c r="AQ1566" s="4" t="s">
        <v>465</v>
      </c>
      <c r="AR1566" s="4" t="s">
        <v>465</v>
      </c>
    </row>
    <row r="1567">
      <c r="A1567" s="3" t="s">
        <v>13200</v>
      </c>
      <c r="B1567" s="3" t="s">
        <v>13201</v>
      </c>
      <c r="C1567" s="3" t="s">
        <v>13202</v>
      </c>
      <c r="D1567" s="3" t="s">
        <v>13184</v>
      </c>
      <c r="E1567" s="4" t="s">
        <v>13203</v>
      </c>
      <c r="F1567" s="3" t="s">
        <v>13204</v>
      </c>
      <c r="G1567" s="4" t="s">
        <v>13205</v>
      </c>
      <c r="H1567" s="4" t="s">
        <v>13206</v>
      </c>
      <c r="I1567" s="3" t="s">
        <v>85</v>
      </c>
      <c r="J1567" s="3" t="s">
        <v>126</v>
      </c>
      <c r="K1567" s="3" t="s">
        <v>45</v>
      </c>
      <c r="L1567" s="3" t="s">
        <v>45</v>
      </c>
      <c r="M1567" s="3" t="s">
        <v>45</v>
      </c>
      <c r="N1567" s="3" t="s">
        <v>45</v>
      </c>
      <c r="O1567" s="3" t="s">
        <v>74</v>
      </c>
      <c r="P1567" s="3" t="s">
        <v>45</v>
      </c>
      <c r="Q1567" s="3" t="s">
        <v>45</v>
      </c>
      <c r="R1567" s="3" t="s">
        <v>45</v>
      </c>
      <c r="S1567" s="3" t="s">
        <v>45</v>
      </c>
      <c r="T1567" s="3" t="s">
        <v>45</v>
      </c>
      <c r="U1567" s="3" t="s">
        <v>45</v>
      </c>
      <c r="V1567" s="3" t="s">
        <v>45</v>
      </c>
      <c r="W1567" s="3" t="s">
        <v>45</v>
      </c>
      <c r="X1567" s="3" t="s">
        <v>45</v>
      </c>
      <c r="Y1567" s="3" t="s">
        <v>45</v>
      </c>
      <c r="Z1567" s="3" t="s">
        <v>74</v>
      </c>
      <c r="AA1567" s="3" t="s">
        <v>45</v>
      </c>
      <c r="AB1567" s="3" t="s">
        <v>45</v>
      </c>
      <c r="AC1567" s="3" t="s">
        <v>45</v>
      </c>
      <c r="AD1567" s="3" t="s">
        <v>45</v>
      </c>
      <c r="AE1567" s="3" t="s">
        <v>45</v>
      </c>
      <c r="AF1567" s="3" t="s">
        <v>45</v>
      </c>
      <c r="AG1567" s="3" t="s">
        <v>45</v>
      </c>
      <c r="AH1567" s="3" t="s">
        <v>57</v>
      </c>
      <c r="AI1567" s="3" t="s">
        <v>45</v>
      </c>
      <c r="AJ1567" s="3" t="s">
        <v>45</v>
      </c>
      <c r="AK1567" s="3" t="s">
        <v>45</v>
      </c>
      <c r="AL1567" s="3" t="s">
        <v>45</v>
      </c>
      <c r="AM1567" s="3" t="s">
        <v>45</v>
      </c>
      <c r="AN1567" s="3" t="s">
        <v>45</v>
      </c>
      <c r="AO1567" s="3" t="s">
        <v>45</v>
      </c>
      <c r="AP1567" s="3" t="s">
        <v>45</v>
      </c>
      <c r="AQ1567" s="4" t="s">
        <v>465</v>
      </c>
      <c r="AR1567" s="4" t="s">
        <v>465</v>
      </c>
    </row>
    <row r="1568">
      <c r="A1568" s="3" t="s">
        <v>13207</v>
      </c>
      <c r="B1568" s="3" t="s">
        <v>13208</v>
      </c>
      <c r="C1568" s="3" t="s">
        <v>13202</v>
      </c>
      <c r="D1568" s="3" t="s">
        <v>13184</v>
      </c>
      <c r="E1568" s="4" t="s">
        <v>13209</v>
      </c>
      <c r="F1568" s="3" t="s">
        <v>13204</v>
      </c>
      <c r="G1568" s="4" t="s">
        <v>13210</v>
      </c>
      <c r="H1568" s="4" t="s">
        <v>13211</v>
      </c>
      <c r="I1568" s="3" t="s">
        <v>85</v>
      </c>
      <c r="J1568" s="3" t="s">
        <v>126</v>
      </c>
      <c r="K1568" s="3" t="s">
        <v>45</v>
      </c>
      <c r="L1568" s="3" t="s">
        <v>45</v>
      </c>
      <c r="M1568" s="3" t="s">
        <v>45</v>
      </c>
      <c r="N1568" s="3" t="s">
        <v>45</v>
      </c>
      <c r="O1568" s="3" t="s">
        <v>74</v>
      </c>
      <c r="P1568" s="3" t="s">
        <v>45</v>
      </c>
      <c r="Q1568" s="3" t="s">
        <v>45</v>
      </c>
      <c r="R1568" s="3" t="s">
        <v>45</v>
      </c>
      <c r="S1568" s="3" t="s">
        <v>45</v>
      </c>
      <c r="T1568" s="3" t="s">
        <v>45</v>
      </c>
      <c r="U1568" s="3" t="s">
        <v>45</v>
      </c>
      <c r="V1568" s="3" t="s">
        <v>45</v>
      </c>
      <c r="W1568" s="3" t="s">
        <v>45</v>
      </c>
      <c r="X1568" s="3" t="s">
        <v>45</v>
      </c>
      <c r="Y1568" s="3" t="s">
        <v>45</v>
      </c>
      <c r="Z1568" s="3" t="s">
        <v>74</v>
      </c>
      <c r="AA1568" s="3" t="s">
        <v>45</v>
      </c>
      <c r="AB1568" s="3" t="s">
        <v>45</v>
      </c>
      <c r="AC1568" s="3" t="s">
        <v>45</v>
      </c>
      <c r="AD1568" s="3" t="s">
        <v>45</v>
      </c>
      <c r="AE1568" s="3" t="s">
        <v>45</v>
      </c>
      <c r="AF1568" s="3" t="s">
        <v>45</v>
      </c>
      <c r="AG1568" s="3" t="s">
        <v>45</v>
      </c>
      <c r="AH1568" s="3" t="s">
        <v>57</v>
      </c>
      <c r="AI1568" s="3" t="s">
        <v>45</v>
      </c>
      <c r="AJ1568" s="3" t="s">
        <v>45</v>
      </c>
      <c r="AK1568" s="3" t="s">
        <v>45</v>
      </c>
      <c r="AL1568" s="3" t="s">
        <v>45</v>
      </c>
      <c r="AM1568" s="3" t="s">
        <v>45</v>
      </c>
      <c r="AN1568" s="3" t="s">
        <v>45</v>
      </c>
      <c r="AO1568" s="3" t="s">
        <v>45</v>
      </c>
      <c r="AP1568" s="3" t="s">
        <v>45</v>
      </c>
      <c r="AQ1568" s="4" t="s">
        <v>465</v>
      </c>
      <c r="AR1568" s="4" t="s">
        <v>465</v>
      </c>
    </row>
    <row r="1569">
      <c r="A1569" s="3" t="s">
        <v>409</v>
      </c>
      <c r="B1569" s="3" t="s">
        <v>13212</v>
      </c>
      <c r="C1569" s="3" t="s">
        <v>13213</v>
      </c>
      <c r="D1569" s="3" t="s">
        <v>13184</v>
      </c>
      <c r="E1569" s="4" t="s">
        <v>13214</v>
      </c>
      <c r="F1569" s="3" t="s">
        <v>13215</v>
      </c>
      <c r="G1569" s="4" t="s">
        <v>13216</v>
      </c>
      <c r="H1569" s="4" t="s">
        <v>13217</v>
      </c>
      <c r="I1569" s="3" t="s">
        <v>85</v>
      </c>
      <c r="J1569" s="3" t="s">
        <v>126</v>
      </c>
      <c r="K1569" s="3" t="s">
        <v>45</v>
      </c>
      <c r="L1569" s="3" t="s">
        <v>409</v>
      </c>
      <c r="M1569" s="3" t="s">
        <v>45</v>
      </c>
      <c r="N1569" s="3" t="s">
        <v>45</v>
      </c>
      <c r="O1569" s="3" t="s">
        <v>74</v>
      </c>
      <c r="P1569" s="3" t="s">
        <v>45</v>
      </c>
      <c r="Q1569" s="3" t="s">
        <v>45</v>
      </c>
      <c r="R1569" s="3" t="s">
        <v>45</v>
      </c>
      <c r="S1569" s="3" t="s">
        <v>45</v>
      </c>
      <c r="T1569" s="3" t="s">
        <v>45</v>
      </c>
      <c r="U1569" s="3" t="s">
        <v>45</v>
      </c>
      <c r="V1569" s="3" t="s">
        <v>45</v>
      </c>
      <c r="W1569" s="4" t="s">
        <v>2818</v>
      </c>
      <c r="X1569" s="3" t="s">
        <v>45</v>
      </c>
      <c r="Y1569" s="3" t="s">
        <v>45</v>
      </c>
      <c r="Z1569" s="3" t="s">
        <v>74</v>
      </c>
      <c r="AA1569" s="3" t="s">
        <v>45</v>
      </c>
      <c r="AB1569" s="3" t="s">
        <v>45</v>
      </c>
      <c r="AC1569" s="3" t="s">
        <v>45</v>
      </c>
      <c r="AD1569" s="3" t="s">
        <v>45</v>
      </c>
      <c r="AE1569" s="3" t="s">
        <v>45</v>
      </c>
      <c r="AF1569" s="3" t="s">
        <v>45</v>
      </c>
      <c r="AG1569" s="3" t="s">
        <v>45</v>
      </c>
      <c r="AH1569" s="3" t="s">
        <v>57</v>
      </c>
      <c r="AI1569" s="5" t="s">
        <v>13218</v>
      </c>
      <c r="AJ1569" s="5" t="s">
        <v>13219</v>
      </c>
      <c r="AK1569" s="3" t="s">
        <v>45</v>
      </c>
      <c r="AL1569" s="3" t="s">
        <v>45</v>
      </c>
      <c r="AM1569" s="3" t="s">
        <v>45</v>
      </c>
      <c r="AN1569" s="3" t="s">
        <v>45</v>
      </c>
      <c r="AO1569" s="3" t="s">
        <v>45</v>
      </c>
      <c r="AP1569" s="3" t="s">
        <v>45</v>
      </c>
      <c r="AQ1569" s="4" t="s">
        <v>661</v>
      </c>
      <c r="AR1569" s="4" t="s">
        <v>661</v>
      </c>
    </row>
    <row r="1570">
      <c r="A1570" s="3" t="s">
        <v>13220</v>
      </c>
      <c r="B1570" s="3" t="s">
        <v>13221</v>
      </c>
      <c r="C1570" s="3" t="s">
        <v>13222</v>
      </c>
      <c r="D1570" s="3" t="s">
        <v>13184</v>
      </c>
      <c r="E1570" s="4" t="s">
        <v>13223</v>
      </c>
      <c r="F1570" s="3" t="s">
        <v>96</v>
      </c>
      <c r="G1570" s="4" t="s">
        <v>13224</v>
      </c>
      <c r="H1570" s="4" t="s">
        <v>13225</v>
      </c>
      <c r="I1570" s="3" t="s">
        <v>85</v>
      </c>
      <c r="J1570" s="3" t="s">
        <v>126</v>
      </c>
      <c r="K1570" s="3" t="s">
        <v>45</v>
      </c>
      <c r="L1570" s="3" t="s">
        <v>45</v>
      </c>
      <c r="M1570" s="3" t="s">
        <v>45</v>
      </c>
      <c r="N1570" s="4" t="s">
        <v>129</v>
      </c>
      <c r="O1570" s="3" t="s">
        <v>390</v>
      </c>
      <c r="P1570" s="3" t="s">
        <v>45</v>
      </c>
      <c r="Q1570" s="3" t="s">
        <v>45</v>
      </c>
      <c r="R1570" s="3" t="s">
        <v>45</v>
      </c>
      <c r="S1570" s="3" t="s">
        <v>45</v>
      </c>
      <c r="T1570" s="3" t="s">
        <v>45</v>
      </c>
      <c r="U1570" s="3" t="s">
        <v>45</v>
      </c>
      <c r="V1570" s="3" t="s">
        <v>45</v>
      </c>
      <c r="W1570" s="4" t="s">
        <v>582</v>
      </c>
      <c r="X1570" s="3" t="s">
        <v>45</v>
      </c>
      <c r="Y1570" s="3" t="s">
        <v>45</v>
      </c>
      <c r="Z1570" s="3" t="s">
        <v>74</v>
      </c>
      <c r="AA1570" s="3" t="s">
        <v>45</v>
      </c>
      <c r="AB1570" s="3" t="s">
        <v>45</v>
      </c>
      <c r="AC1570" s="3" t="s">
        <v>45</v>
      </c>
      <c r="AD1570" s="3" t="s">
        <v>45</v>
      </c>
      <c r="AE1570" s="3" t="s">
        <v>45</v>
      </c>
      <c r="AF1570" s="3" t="s">
        <v>45</v>
      </c>
      <c r="AG1570" s="3" t="s">
        <v>13226</v>
      </c>
      <c r="AH1570" s="3" t="s">
        <v>57</v>
      </c>
      <c r="AI1570" s="5" t="s">
        <v>7435</v>
      </c>
      <c r="AJ1570" s="5" t="s">
        <v>7436</v>
      </c>
      <c r="AK1570" s="5" t="s">
        <v>7832</v>
      </c>
      <c r="AL1570" s="3" t="s">
        <v>45</v>
      </c>
      <c r="AM1570" s="3" t="s">
        <v>45</v>
      </c>
      <c r="AN1570" s="3" t="s">
        <v>45</v>
      </c>
      <c r="AO1570" s="3" t="s">
        <v>45</v>
      </c>
      <c r="AP1570" s="3" t="s">
        <v>45</v>
      </c>
      <c r="AQ1570" s="4" t="s">
        <v>6079</v>
      </c>
      <c r="AR1570" s="4" t="s">
        <v>1113</v>
      </c>
    </row>
    <row r="1571">
      <c r="A1571" s="3" t="s">
        <v>13227</v>
      </c>
      <c r="B1571" s="3" t="s">
        <v>13228</v>
      </c>
      <c r="C1571" s="3" t="s">
        <v>13229</v>
      </c>
      <c r="D1571" s="3" t="s">
        <v>13184</v>
      </c>
      <c r="E1571" s="4" t="s">
        <v>13230</v>
      </c>
      <c r="F1571" s="3" t="s">
        <v>13231</v>
      </c>
      <c r="G1571" s="4" t="s">
        <v>13232</v>
      </c>
      <c r="H1571" s="4" t="s">
        <v>13233</v>
      </c>
      <c r="I1571" s="3" t="s">
        <v>85</v>
      </c>
      <c r="J1571" s="3" t="s">
        <v>126</v>
      </c>
      <c r="K1571" s="3" t="s">
        <v>45</v>
      </c>
      <c r="L1571" s="3" t="s">
        <v>45</v>
      </c>
      <c r="M1571" s="3" t="s">
        <v>45</v>
      </c>
      <c r="N1571" s="3" t="s">
        <v>45</v>
      </c>
      <c r="O1571" s="3" t="s">
        <v>74</v>
      </c>
      <c r="P1571" s="3" t="s">
        <v>45</v>
      </c>
      <c r="Q1571" s="3" t="s">
        <v>45</v>
      </c>
      <c r="R1571" s="3" t="s">
        <v>45</v>
      </c>
      <c r="S1571" s="3" t="s">
        <v>45</v>
      </c>
      <c r="T1571" s="3" t="s">
        <v>45</v>
      </c>
      <c r="U1571" s="3" t="s">
        <v>45</v>
      </c>
      <c r="V1571" s="3" t="s">
        <v>45</v>
      </c>
      <c r="W1571" s="3" t="s">
        <v>45</v>
      </c>
      <c r="X1571" s="3" t="s">
        <v>45</v>
      </c>
      <c r="Y1571" s="3" t="s">
        <v>45</v>
      </c>
      <c r="Z1571" s="3" t="s">
        <v>74</v>
      </c>
      <c r="AA1571" s="3" t="s">
        <v>45</v>
      </c>
      <c r="AB1571" s="3" t="s">
        <v>45</v>
      </c>
      <c r="AC1571" s="3" t="s">
        <v>45</v>
      </c>
      <c r="AD1571" s="3" t="s">
        <v>45</v>
      </c>
      <c r="AE1571" s="3" t="s">
        <v>45</v>
      </c>
      <c r="AF1571" s="3" t="s">
        <v>45</v>
      </c>
      <c r="AG1571" s="3" t="s">
        <v>45</v>
      </c>
      <c r="AH1571" s="3" t="s">
        <v>57</v>
      </c>
      <c r="AI1571" s="3" t="s">
        <v>45</v>
      </c>
      <c r="AJ1571" s="3" t="s">
        <v>45</v>
      </c>
      <c r="AK1571" s="3" t="s">
        <v>45</v>
      </c>
      <c r="AL1571" s="3" t="s">
        <v>45</v>
      </c>
      <c r="AM1571" s="3" t="s">
        <v>45</v>
      </c>
      <c r="AN1571" s="3" t="s">
        <v>45</v>
      </c>
      <c r="AO1571" s="3" t="s">
        <v>45</v>
      </c>
      <c r="AP1571" s="3" t="s">
        <v>45</v>
      </c>
      <c r="AQ1571" s="4" t="s">
        <v>465</v>
      </c>
      <c r="AR1571" s="4" t="s">
        <v>465</v>
      </c>
    </row>
    <row r="1572">
      <c r="A1572" s="3" t="s">
        <v>13234</v>
      </c>
      <c r="B1572" s="3" t="s">
        <v>13235</v>
      </c>
      <c r="C1572" s="3" t="s">
        <v>13236</v>
      </c>
      <c r="D1572" s="3" t="s">
        <v>13184</v>
      </c>
      <c r="E1572" s="4" t="s">
        <v>13237</v>
      </c>
      <c r="F1572" s="3" t="s">
        <v>123</v>
      </c>
      <c r="G1572" s="4" t="s">
        <v>13238</v>
      </c>
      <c r="H1572" s="4" t="s">
        <v>13239</v>
      </c>
      <c r="I1572" s="3" t="s">
        <v>85</v>
      </c>
      <c r="J1572" s="3" t="s">
        <v>126</v>
      </c>
      <c r="K1572" s="3" t="s">
        <v>45</v>
      </c>
      <c r="L1572" s="3" t="s">
        <v>45</v>
      </c>
      <c r="M1572" s="3" t="s">
        <v>45</v>
      </c>
      <c r="N1572" s="3" t="s">
        <v>45</v>
      </c>
      <c r="O1572" s="3" t="s">
        <v>74</v>
      </c>
      <c r="P1572" s="3" t="s">
        <v>45</v>
      </c>
      <c r="Q1572" s="3" t="s">
        <v>45</v>
      </c>
      <c r="R1572" s="3" t="s">
        <v>45</v>
      </c>
      <c r="S1572" s="3" t="s">
        <v>45</v>
      </c>
      <c r="T1572" s="3" t="s">
        <v>45</v>
      </c>
      <c r="U1572" s="3" t="s">
        <v>45</v>
      </c>
      <c r="V1572" s="3" t="s">
        <v>45</v>
      </c>
      <c r="W1572" s="3" t="s">
        <v>45</v>
      </c>
      <c r="X1572" s="3" t="s">
        <v>45</v>
      </c>
      <c r="Y1572" s="3" t="s">
        <v>45</v>
      </c>
      <c r="Z1572" s="3" t="s">
        <v>74</v>
      </c>
      <c r="AA1572" s="3" t="s">
        <v>45</v>
      </c>
      <c r="AB1572" s="3" t="s">
        <v>45</v>
      </c>
      <c r="AC1572" s="3" t="s">
        <v>45</v>
      </c>
      <c r="AD1572" s="3" t="s">
        <v>45</v>
      </c>
      <c r="AE1572" s="3" t="s">
        <v>45</v>
      </c>
      <c r="AF1572" s="3" t="s">
        <v>45</v>
      </c>
      <c r="AG1572" s="3" t="s">
        <v>45</v>
      </c>
      <c r="AH1572" s="3" t="s">
        <v>57</v>
      </c>
      <c r="AI1572" s="3" t="s">
        <v>45</v>
      </c>
      <c r="AJ1572" s="3" t="s">
        <v>45</v>
      </c>
      <c r="AK1572" s="3" t="s">
        <v>45</v>
      </c>
      <c r="AL1572" s="3" t="s">
        <v>45</v>
      </c>
      <c r="AM1572" s="3" t="s">
        <v>45</v>
      </c>
      <c r="AN1572" s="3" t="s">
        <v>45</v>
      </c>
      <c r="AO1572" s="3" t="s">
        <v>45</v>
      </c>
      <c r="AP1572" s="3" t="s">
        <v>45</v>
      </c>
      <c r="AQ1572" s="4" t="s">
        <v>465</v>
      </c>
      <c r="AR1572" s="4" t="s">
        <v>465</v>
      </c>
    </row>
    <row r="1573">
      <c r="A1573" s="3" t="s">
        <v>13240</v>
      </c>
      <c r="B1573" s="3" t="s">
        <v>13241</v>
      </c>
      <c r="C1573" s="3" t="s">
        <v>13242</v>
      </c>
      <c r="D1573" s="3" t="s">
        <v>13184</v>
      </c>
      <c r="E1573" s="4" t="s">
        <v>13243</v>
      </c>
      <c r="F1573" s="3" t="s">
        <v>96</v>
      </c>
      <c r="G1573" s="4" t="s">
        <v>13244</v>
      </c>
      <c r="H1573" s="4" t="s">
        <v>13245</v>
      </c>
      <c r="I1573" s="3" t="s">
        <v>85</v>
      </c>
      <c r="J1573" s="3" t="s">
        <v>126</v>
      </c>
      <c r="K1573" s="3" t="s">
        <v>45</v>
      </c>
      <c r="L1573" s="3" t="s">
        <v>45</v>
      </c>
      <c r="M1573" s="3" t="s">
        <v>45</v>
      </c>
      <c r="N1573" s="3" t="s">
        <v>45</v>
      </c>
      <c r="O1573" s="3" t="s">
        <v>74</v>
      </c>
      <c r="P1573" s="3" t="s">
        <v>45</v>
      </c>
      <c r="Q1573" s="3" t="s">
        <v>45</v>
      </c>
      <c r="R1573" s="3" t="s">
        <v>45</v>
      </c>
      <c r="S1573" s="3" t="s">
        <v>45</v>
      </c>
      <c r="T1573" s="3" t="s">
        <v>45</v>
      </c>
      <c r="U1573" s="3" t="s">
        <v>45</v>
      </c>
      <c r="V1573" s="3" t="s">
        <v>45</v>
      </c>
      <c r="W1573" s="3" t="s">
        <v>45</v>
      </c>
      <c r="X1573" s="3" t="s">
        <v>45</v>
      </c>
      <c r="Y1573" s="3" t="s">
        <v>45</v>
      </c>
      <c r="Z1573" s="3" t="s">
        <v>74</v>
      </c>
      <c r="AA1573" s="3" t="s">
        <v>45</v>
      </c>
      <c r="AB1573" s="3" t="s">
        <v>45</v>
      </c>
      <c r="AC1573" s="3" t="s">
        <v>45</v>
      </c>
      <c r="AD1573" s="3" t="s">
        <v>45</v>
      </c>
      <c r="AE1573" s="3" t="s">
        <v>45</v>
      </c>
      <c r="AF1573" s="3" t="s">
        <v>45</v>
      </c>
      <c r="AG1573" s="3" t="s">
        <v>45</v>
      </c>
      <c r="AH1573" s="3" t="s">
        <v>57</v>
      </c>
      <c r="AI1573" s="3" t="s">
        <v>45</v>
      </c>
      <c r="AJ1573" s="3" t="s">
        <v>45</v>
      </c>
      <c r="AK1573" s="3" t="s">
        <v>45</v>
      </c>
      <c r="AL1573" s="3" t="s">
        <v>45</v>
      </c>
      <c r="AM1573" s="3" t="s">
        <v>45</v>
      </c>
      <c r="AN1573" s="3" t="s">
        <v>45</v>
      </c>
      <c r="AO1573" s="3" t="s">
        <v>45</v>
      </c>
      <c r="AP1573" s="3" t="s">
        <v>45</v>
      </c>
      <c r="AQ1573" s="4" t="s">
        <v>465</v>
      </c>
      <c r="AR1573" s="4" t="s">
        <v>465</v>
      </c>
    </row>
    <row r="1574">
      <c r="A1574" s="3" t="s">
        <v>381</v>
      </c>
      <c r="B1574" s="3" t="s">
        <v>13246</v>
      </c>
      <c r="C1574" s="3" t="s">
        <v>13242</v>
      </c>
      <c r="D1574" s="3" t="s">
        <v>13184</v>
      </c>
      <c r="E1574" s="4" t="s">
        <v>13243</v>
      </c>
      <c r="F1574" s="3" t="s">
        <v>96</v>
      </c>
      <c r="G1574" s="4" t="s">
        <v>13247</v>
      </c>
      <c r="H1574" s="4" t="s">
        <v>13248</v>
      </c>
      <c r="I1574" s="3" t="s">
        <v>85</v>
      </c>
      <c r="J1574" s="3" t="s">
        <v>126</v>
      </c>
      <c r="K1574" s="3" t="s">
        <v>45</v>
      </c>
      <c r="L1574" s="3" t="s">
        <v>387</v>
      </c>
      <c r="M1574" s="3" t="s">
        <v>45</v>
      </c>
      <c r="N1574" s="4" t="s">
        <v>7320</v>
      </c>
      <c r="O1574" s="3" t="s">
        <v>722</v>
      </c>
      <c r="P1574" s="3" t="s">
        <v>45</v>
      </c>
      <c r="Q1574" s="3" t="s">
        <v>45</v>
      </c>
      <c r="R1574" s="3" t="s">
        <v>45</v>
      </c>
      <c r="S1574" s="3" t="s">
        <v>45</v>
      </c>
      <c r="T1574" s="3" t="s">
        <v>45</v>
      </c>
      <c r="U1574" s="3" t="s">
        <v>45</v>
      </c>
      <c r="V1574" s="4" t="s">
        <v>13249</v>
      </c>
      <c r="W1574" s="4" t="s">
        <v>437</v>
      </c>
      <c r="X1574" s="3" t="s">
        <v>45</v>
      </c>
      <c r="Y1574" s="3" t="s">
        <v>45</v>
      </c>
      <c r="Z1574" s="3" t="s">
        <v>74</v>
      </c>
      <c r="AA1574" s="3" t="s">
        <v>45</v>
      </c>
      <c r="AB1574" s="3" t="s">
        <v>45</v>
      </c>
      <c r="AC1574" s="3" t="s">
        <v>45</v>
      </c>
      <c r="AD1574" s="3" t="s">
        <v>45</v>
      </c>
      <c r="AE1574" s="3" t="s">
        <v>45</v>
      </c>
      <c r="AF1574" s="3" t="s">
        <v>45</v>
      </c>
      <c r="AG1574" s="3" t="s">
        <v>45</v>
      </c>
      <c r="AH1574" s="3" t="s">
        <v>57</v>
      </c>
      <c r="AI1574" s="5" t="s">
        <v>5456</v>
      </c>
      <c r="AJ1574" s="3" t="s">
        <v>45</v>
      </c>
      <c r="AK1574" s="3" t="s">
        <v>45</v>
      </c>
      <c r="AL1574" s="3" t="s">
        <v>45</v>
      </c>
      <c r="AM1574" s="3" t="s">
        <v>45</v>
      </c>
      <c r="AN1574" s="3" t="s">
        <v>45</v>
      </c>
      <c r="AO1574" s="3" t="s">
        <v>45</v>
      </c>
      <c r="AP1574" s="3" t="s">
        <v>45</v>
      </c>
      <c r="AQ1574" s="4" t="s">
        <v>465</v>
      </c>
      <c r="AR1574" s="4" t="s">
        <v>5457</v>
      </c>
    </row>
    <row r="1575">
      <c r="A1575" s="3" t="s">
        <v>422</v>
      </c>
      <c r="B1575" s="3" t="s">
        <v>13250</v>
      </c>
      <c r="C1575" s="3" t="s">
        <v>13242</v>
      </c>
      <c r="D1575" s="3" t="s">
        <v>13184</v>
      </c>
      <c r="E1575" s="4" t="s">
        <v>13243</v>
      </c>
      <c r="F1575" s="3" t="s">
        <v>96</v>
      </c>
      <c r="G1575" s="4" t="s">
        <v>13251</v>
      </c>
      <c r="H1575" s="4" t="s">
        <v>13252</v>
      </c>
      <c r="I1575" s="3" t="s">
        <v>85</v>
      </c>
      <c r="J1575" s="3" t="s">
        <v>126</v>
      </c>
      <c r="K1575" s="3" t="s">
        <v>45</v>
      </c>
      <c r="L1575" s="3" t="s">
        <v>45</v>
      </c>
      <c r="M1575" s="3" t="s">
        <v>45</v>
      </c>
      <c r="N1575" s="3" t="s">
        <v>45</v>
      </c>
      <c r="O1575" s="3" t="s">
        <v>74</v>
      </c>
      <c r="P1575" s="3" t="s">
        <v>45</v>
      </c>
      <c r="Q1575" s="3" t="s">
        <v>45</v>
      </c>
      <c r="R1575" s="3" t="s">
        <v>45</v>
      </c>
      <c r="S1575" s="3" t="s">
        <v>45</v>
      </c>
      <c r="T1575" s="3" t="s">
        <v>45</v>
      </c>
      <c r="U1575" s="3" t="s">
        <v>45</v>
      </c>
      <c r="V1575" s="3" t="s">
        <v>45</v>
      </c>
      <c r="W1575" s="3" t="s">
        <v>45</v>
      </c>
      <c r="X1575" s="3" t="s">
        <v>45</v>
      </c>
      <c r="Y1575" s="3" t="s">
        <v>45</v>
      </c>
      <c r="Z1575" s="3" t="s">
        <v>74</v>
      </c>
      <c r="AA1575" s="3" t="s">
        <v>45</v>
      </c>
      <c r="AB1575" s="3" t="s">
        <v>45</v>
      </c>
      <c r="AC1575" s="3" t="s">
        <v>45</v>
      </c>
      <c r="AD1575" s="3" t="s">
        <v>45</v>
      </c>
      <c r="AE1575" s="3" t="s">
        <v>45</v>
      </c>
      <c r="AF1575" s="3" t="s">
        <v>45</v>
      </c>
      <c r="AG1575" s="3" t="s">
        <v>45</v>
      </c>
      <c r="AH1575" s="3" t="s">
        <v>57</v>
      </c>
      <c r="AI1575" s="3" t="s">
        <v>45</v>
      </c>
      <c r="AJ1575" s="3" t="s">
        <v>45</v>
      </c>
      <c r="AK1575" s="3" t="s">
        <v>45</v>
      </c>
      <c r="AL1575" s="3" t="s">
        <v>45</v>
      </c>
      <c r="AM1575" s="3" t="s">
        <v>45</v>
      </c>
      <c r="AN1575" s="3" t="s">
        <v>45</v>
      </c>
      <c r="AO1575" s="3" t="s">
        <v>45</v>
      </c>
      <c r="AP1575" s="3" t="s">
        <v>45</v>
      </c>
      <c r="AQ1575" s="4" t="s">
        <v>465</v>
      </c>
      <c r="AR1575" s="4" t="s">
        <v>465</v>
      </c>
    </row>
    <row r="1576">
      <c r="A1576" s="3" t="s">
        <v>13253</v>
      </c>
      <c r="B1576" s="3" t="s">
        <v>13254</v>
      </c>
      <c r="C1576" s="3" t="s">
        <v>3926</v>
      </c>
      <c r="D1576" s="3" t="s">
        <v>13184</v>
      </c>
      <c r="E1576" s="4" t="s">
        <v>13255</v>
      </c>
      <c r="F1576" s="3" t="s">
        <v>13256</v>
      </c>
      <c r="G1576" s="4" t="s">
        <v>13257</v>
      </c>
      <c r="H1576" s="4" t="s">
        <v>13258</v>
      </c>
      <c r="I1576" s="3" t="s">
        <v>49</v>
      </c>
      <c r="J1576" s="3" t="s">
        <v>126</v>
      </c>
      <c r="K1576" s="3" t="s">
        <v>45</v>
      </c>
      <c r="L1576" s="3" t="s">
        <v>45</v>
      </c>
      <c r="M1576" s="3" t="s">
        <v>45</v>
      </c>
      <c r="N1576" s="3" t="s">
        <v>45</v>
      </c>
      <c r="O1576" s="3" t="s">
        <v>88</v>
      </c>
      <c r="P1576" s="3" t="s">
        <v>45</v>
      </c>
      <c r="Q1576" s="3" t="s">
        <v>45</v>
      </c>
      <c r="R1576" s="3" t="s">
        <v>45</v>
      </c>
      <c r="S1576" s="4" t="s">
        <v>582</v>
      </c>
      <c r="T1576" s="3" t="s">
        <v>45</v>
      </c>
      <c r="U1576" s="3" t="s">
        <v>45</v>
      </c>
      <c r="V1576" s="4" t="s">
        <v>2565</v>
      </c>
      <c r="W1576" s="4" t="s">
        <v>989</v>
      </c>
      <c r="X1576" s="3" t="s">
        <v>13259</v>
      </c>
      <c r="Y1576" s="3" t="s">
        <v>45</v>
      </c>
      <c r="Z1576" s="3" t="s">
        <v>74</v>
      </c>
      <c r="AA1576" s="3" t="s">
        <v>45</v>
      </c>
      <c r="AB1576" s="3" t="s">
        <v>45</v>
      </c>
      <c r="AC1576" s="3" t="s">
        <v>45</v>
      </c>
      <c r="AD1576" s="3" t="s">
        <v>45</v>
      </c>
      <c r="AE1576" s="3" t="s">
        <v>45</v>
      </c>
      <c r="AF1576" s="3" t="s">
        <v>45</v>
      </c>
      <c r="AG1576" s="3" t="s">
        <v>45</v>
      </c>
      <c r="AH1576" s="3" t="s">
        <v>57</v>
      </c>
      <c r="AI1576" s="5" t="s">
        <v>13260</v>
      </c>
      <c r="AJ1576" s="3" t="s">
        <v>45</v>
      </c>
      <c r="AK1576" s="3" t="s">
        <v>45</v>
      </c>
      <c r="AL1576" s="3" t="s">
        <v>45</v>
      </c>
      <c r="AM1576" s="3" t="s">
        <v>45</v>
      </c>
      <c r="AN1576" s="3" t="s">
        <v>45</v>
      </c>
      <c r="AO1576" s="3" t="s">
        <v>45</v>
      </c>
      <c r="AP1576" s="3" t="s">
        <v>45</v>
      </c>
      <c r="AQ1576" s="4" t="s">
        <v>1728</v>
      </c>
      <c r="AR1576" s="4" t="s">
        <v>1728</v>
      </c>
    </row>
    <row r="1577">
      <c r="A1577" s="3" t="s">
        <v>13261</v>
      </c>
      <c r="B1577" s="3" t="s">
        <v>13262</v>
      </c>
      <c r="C1577" s="3" t="s">
        <v>13263</v>
      </c>
      <c r="D1577" s="3" t="s">
        <v>13184</v>
      </c>
      <c r="E1577" s="4" t="s">
        <v>13264</v>
      </c>
      <c r="F1577" s="3" t="s">
        <v>13190</v>
      </c>
      <c r="G1577" s="4" t="s">
        <v>13265</v>
      </c>
      <c r="H1577" s="4" t="s">
        <v>13266</v>
      </c>
      <c r="I1577" s="3" t="s">
        <v>85</v>
      </c>
      <c r="J1577" s="3" t="s">
        <v>126</v>
      </c>
      <c r="K1577" s="3" t="s">
        <v>45</v>
      </c>
      <c r="L1577" s="3" t="s">
        <v>45</v>
      </c>
      <c r="M1577" s="3" t="s">
        <v>45</v>
      </c>
      <c r="N1577" s="3" t="s">
        <v>45</v>
      </c>
      <c r="O1577" s="3" t="s">
        <v>74</v>
      </c>
      <c r="P1577" s="3" t="s">
        <v>45</v>
      </c>
      <c r="Q1577" s="3" t="s">
        <v>45</v>
      </c>
      <c r="R1577" s="3" t="s">
        <v>45</v>
      </c>
      <c r="S1577" s="3" t="s">
        <v>45</v>
      </c>
      <c r="T1577" s="3" t="s">
        <v>45</v>
      </c>
      <c r="U1577" s="3" t="s">
        <v>45</v>
      </c>
      <c r="V1577" s="3" t="s">
        <v>45</v>
      </c>
      <c r="W1577" s="3" t="s">
        <v>45</v>
      </c>
      <c r="X1577" s="3" t="s">
        <v>45</v>
      </c>
      <c r="Y1577" s="3" t="s">
        <v>45</v>
      </c>
      <c r="Z1577" s="3" t="s">
        <v>74</v>
      </c>
      <c r="AA1577" s="3" t="s">
        <v>45</v>
      </c>
      <c r="AB1577" s="3" t="s">
        <v>45</v>
      </c>
      <c r="AC1577" s="3" t="s">
        <v>45</v>
      </c>
      <c r="AD1577" s="3" t="s">
        <v>45</v>
      </c>
      <c r="AE1577" s="3" t="s">
        <v>45</v>
      </c>
      <c r="AF1577" s="3" t="s">
        <v>45</v>
      </c>
      <c r="AG1577" s="3" t="s">
        <v>45</v>
      </c>
      <c r="AH1577" s="3" t="s">
        <v>57</v>
      </c>
      <c r="AI1577" s="3" t="s">
        <v>45</v>
      </c>
      <c r="AJ1577" s="3" t="s">
        <v>45</v>
      </c>
      <c r="AK1577" s="3" t="s">
        <v>45</v>
      </c>
      <c r="AL1577" s="3" t="s">
        <v>45</v>
      </c>
      <c r="AM1577" s="3" t="s">
        <v>45</v>
      </c>
      <c r="AN1577" s="3" t="s">
        <v>45</v>
      </c>
      <c r="AO1577" s="3" t="s">
        <v>45</v>
      </c>
      <c r="AP1577" s="3" t="s">
        <v>45</v>
      </c>
      <c r="AQ1577" s="4" t="s">
        <v>465</v>
      </c>
      <c r="AR1577" s="4" t="s">
        <v>465</v>
      </c>
    </row>
    <row r="1578">
      <c r="A1578" s="3" t="s">
        <v>13267</v>
      </c>
      <c r="B1578" s="3" t="s">
        <v>13268</v>
      </c>
      <c r="C1578" s="3" t="s">
        <v>13263</v>
      </c>
      <c r="D1578" s="3" t="s">
        <v>13184</v>
      </c>
      <c r="E1578" s="4" t="s">
        <v>13269</v>
      </c>
      <c r="F1578" s="3" t="s">
        <v>13190</v>
      </c>
      <c r="G1578" s="4" t="s">
        <v>13270</v>
      </c>
      <c r="H1578" s="4" t="s">
        <v>13271</v>
      </c>
      <c r="I1578" s="3" t="s">
        <v>85</v>
      </c>
      <c r="J1578" s="3" t="s">
        <v>126</v>
      </c>
      <c r="K1578" s="3" t="s">
        <v>45</v>
      </c>
      <c r="L1578" s="3" t="s">
        <v>13272</v>
      </c>
      <c r="M1578" s="3" t="s">
        <v>45</v>
      </c>
      <c r="N1578" s="4" t="s">
        <v>1843</v>
      </c>
      <c r="O1578" s="3" t="s">
        <v>390</v>
      </c>
      <c r="P1578" s="3" t="s">
        <v>45</v>
      </c>
      <c r="Q1578" s="3" t="s">
        <v>45</v>
      </c>
      <c r="R1578" s="3" t="s">
        <v>45</v>
      </c>
      <c r="S1578" s="3" t="s">
        <v>45</v>
      </c>
      <c r="T1578" s="3" t="s">
        <v>45</v>
      </c>
      <c r="U1578" s="3" t="s">
        <v>45</v>
      </c>
      <c r="V1578" s="4" t="s">
        <v>13273</v>
      </c>
      <c r="W1578" s="3" t="s">
        <v>45</v>
      </c>
      <c r="X1578" s="3" t="s">
        <v>45</v>
      </c>
      <c r="Y1578" s="3" t="s">
        <v>45</v>
      </c>
      <c r="Z1578" s="3" t="s">
        <v>74</v>
      </c>
      <c r="AA1578" s="3" t="s">
        <v>45</v>
      </c>
      <c r="AB1578" s="3" t="s">
        <v>45</v>
      </c>
      <c r="AC1578" s="3" t="s">
        <v>45</v>
      </c>
      <c r="AD1578" s="3" t="s">
        <v>45</v>
      </c>
      <c r="AE1578" s="3" t="s">
        <v>45</v>
      </c>
      <c r="AF1578" s="3" t="s">
        <v>45</v>
      </c>
      <c r="AG1578" s="3" t="s">
        <v>45</v>
      </c>
      <c r="AH1578" s="3" t="s">
        <v>57</v>
      </c>
      <c r="AI1578" s="5" t="s">
        <v>13274</v>
      </c>
      <c r="AJ1578" s="3" t="s">
        <v>45</v>
      </c>
      <c r="AK1578" s="3" t="s">
        <v>45</v>
      </c>
      <c r="AL1578" s="3" t="s">
        <v>45</v>
      </c>
      <c r="AM1578" s="3" t="s">
        <v>45</v>
      </c>
      <c r="AN1578" s="3" t="s">
        <v>45</v>
      </c>
      <c r="AO1578" s="3" t="s">
        <v>45</v>
      </c>
      <c r="AP1578" s="3" t="s">
        <v>45</v>
      </c>
      <c r="AQ1578" s="4" t="s">
        <v>3183</v>
      </c>
      <c r="AR1578" s="4" t="s">
        <v>3183</v>
      </c>
    </row>
    <row r="1579">
      <c r="A1579" s="3" t="s">
        <v>13267</v>
      </c>
      <c r="B1579" s="3" t="s">
        <v>13275</v>
      </c>
      <c r="C1579" s="3" t="s">
        <v>13263</v>
      </c>
      <c r="D1579" s="3" t="s">
        <v>13184</v>
      </c>
      <c r="E1579" s="4" t="s">
        <v>13276</v>
      </c>
      <c r="F1579" s="3" t="s">
        <v>13190</v>
      </c>
      <c r="G1579" s="4" t="s">
        <v>13277</v>
      </c>
      <c r="H1579" s="4" t="s">
        <v>13278</v>
      </c>
      <c r="I1579" s="3" t="s">
        <v>49</v>
      </c>
      <c r="J1579" s="3" t="s">
        <v>126</v>
      </c>
      <c r="K1579" s="3" t="s">
        <v>45</v>
      </c>
      <c r="L1579" s="3" t="s">
        <v>13272</v>
      </c>
      <c r="M1579" s="3" t="s">
        <v>45</v>
      </c>
      <c r="N1579" s="3" t="s">
        <v>45</v>
      </c>
      <c r="O1579" s="3" t="s">
        <v>53</v>
      </c>
      <c r="P1579" s="3" t="s">
        <v>45</v>
      </c>
      <c r="Q1579" s="3" t="s">
        <v>45</v>
      </c>
      <c r="R1579" s="3" t="s">
        <v>45</v>
      </c>
      <c r="S1579" s="3" t="s">
        <v>45</v>
      </c>
      <c r="T1579" s="3" t="s">
        <v>45</v>
      </c>
      <c r="U1579" s="3" t="s">
        <v>45</v>
      </c>
      <c r="V1579" s="4" t="s">
        <v>13279</v>
      </c>
      <c r="W1579" s="3" t="s">
        <v>45</v>
      </c>
      <c r="X1579" s="3" t="s">
        <v>45</v>
      </c>
      <c r="Y1579" s="3" t="s">
        <v>45</v>
      </c>
      <c r="Z1579" s="3" t="s">
        <v>74</v>
      </c>
      <c r="AA1579" s="3" t="s">
        <v>45</v>
      </c>
      <c r="AB1579" s="3" t="s">
        <v>45</v>
      </c>
      <c r="AC1579" s="3" t="s">
        <v>45</v>
      </c>
      <c r="AD1579" s="3" t="s">
        <v>45</v>
      </c>
      <c r="AE1579" s="3" t="s">
        <v>45</v>
      </c>
      <c r="AF1579" s="3" t="s">
        <v>45</v>
      </c>
      <c r="AG1579" s="3" t="s">
        <v>45</v>
      </c>
      <c r="AH1579" s="3" t="s">
        <v>57</v>
      </c>
      <c r="AI1579" s="5" t="s">
        <v>13274</v>
      </c>
      <c r="AJ1579" s="3" t="s">
        <v>45</v>
      </c>
      <c r="AK1579" s="3" t="s">
        <v>45</v>
      </c>
      <c r="AL1579" s="3" t="s">
        <v>45</v>
      </c>
      <c r="AM1579" s="3" t="s">
        <v>45</v>
      </c>
      <c r="AN1579" s="3" t="s">
        <v>45</v>
      </c>
      <c r="AO1579" s="3" t="s">
        <v>45</v>
      </c>
      <c r="AP1579" s="3" t="s">
        <v>45</v>
      </c>
      <c r="AQ1579" s="4" t="s">
        <v>3183</v>
      </c>
      <c r="AR1579" s="4" t="s">
        <v>3183</v>
      </c>
    </row>
    <row r="1580">
      <c r="A1580" s="3" t="s">
        <v>387</v>
      </c>
      <c r="B1580" s="3" t="s">
        <v>13280</v>
      </c>
      <c r="C1580" s="3" t="s">
        <v>13263</v>
      </c>
      <c r="D1580" s="3" t="s">
        <v>13184</v>
      </c>
      <c r="E1580" s="4" t="s">
        <v>13281</v>
      </c>
      <c r="F1580" s="3" t="s">
        <v>13190</v>
      </c>
      <c r="G1580" s="4" t="s">
        <v>13282</v>
      </c>
      <c r="H1580" s="4" t="s">
        <v>13283</v>
      </c>
      <c r="I1580" s="3" t="s">
        <v>85</v>
      </c>
      <c r="J1580" s="3" t="s">
        <v>126</v>
      </c>
      <c r="K1580" s="3" t="s">
        <v>45</v>
      </c>
      <c r="L1580" s="3" t="s">
        <v>45</v>
      </c>
      <c r="M1580" s="3" t="s">
        <v>45</v>
      </c>
      <c r="N1580" s="3" t="s">
        <v>45</v>
      </c>
      <c r="O1580" s="3" t="s">
        <v>74</v>
      </c>
      <c r="P1580" s="3" t="s">
        <v>45</v>
      </c>
      <c r="Q1580" s="3" t="s">
        <v>45</v>
      </c>
      <c r="R1580" s="3" t="s">
        <v>45</v>
      </c>
      <c r="S1580" s="3" t="s">
        <v>45</v>
      </c>
      <c r="T1580" s="3" t="s">
        <v>45</v>
      </c>
      <c r="U1580" s="3" t="s">
        <v>45</v>
      </c>
      <c r="V1580" s="3" t="s">
        <v>45</v>
      </c>
      <c r="W1580" s="3" t="s">
        <v>45</v>
      </c>
      <c r="X1580" s="3" t="s">
        <v>45</v>
      </c>
      <c r="Y1580" s="3" t="s">
        <v>45</v>
      </c>
      <c r="Z1580" s="3" t="s">
        <v>74</v>
      </c>
      <c r="AA1580" s="3" t="s">
        <v>45</v>
      </c>
      <c r="AB1580" s="3" t="s">
        <v>45</v>
      </c>
      <c r="AC1580" s="3" t="s">
        <v>45</v>
      </c>
      <c r="AD1580" s="3" t="s">
        <v>45</v>
      </c>
      <c r="AE1580" s="3" t="s">
        <v>45</v>
      </c>
      <c r="AF1580" s="3" t="s">
        <v>45</v>
      </c>
      <c r="AG1580" s="3" t="s">
        <v>45</v>
      </c>
      <c r="AH1580" s="3" t="s">
        <v>57</v>
      </c>
      <c r="AI1580" s="3" t="s">
        <v>45</v>
      </c>
      <c r="AJ1580" s="3" t="s">
        <v>45</v>
      </c>
      <c r="AK1580" s="3" t="s">
        <v>45</v>
      </c>
      <c r="AL1580" s="3" t="s">
        <v>45</v>
      </c>
      <c r="AM1580" s="3" t="s">
        <v>45</v>
      </c>
      <c r="AN1580" s="3" t="s">
        <v>45</v>
      </c>
      <c r="AO1580" s="3" t="s">
        <v>45</v>
      </c>
      <c r="AP1580" s="3" t="s">
        <v>45</v>
      </c>
      <c r="AQ1580" s="4" t="s">
        <v>465</v>
      </c>
      <c r="AR1580" s="4" t="s">
        <v>465</v>
      </c>
    </row>
    <row r="1581">
      <c r="A1581" s="3" t="s">
        <v>13284</v>
      </c>
      <c r="B1581" s="3" t="s">
        <v>13285</v>
      </c>
      <c r="C1581" s="3" t="s">
        <v>13263</v>
      </c>
      <c r="D1581" s="3" t="s">
        <v>13184</v>
      </c>
      <c r="E1581" s="4" t="s">
        <v>13264</v>
      </c>
      <c r="F1581" s="3" t="s">
        <v>13190</v>
      </c>
      <c r="G1581" s="4" t="s">
        <v>13286</v>
      </c>
      <c r="H1581" s="4" t="s">
        <v>13287</v>
      </c>
      <c r="I1581" s="3" t="s">
        <v>85</v>
      </c>
      <c r="J1581" s="3" t="s">
        <v>126</v>
      </c>
      <c r="K1581" s="3" t="s">
        <v>45</v>
      </c>
      <c r="L1581" s="3" t="s">
        <v>45</v>
      </c>
      <c r="M1581" s="3" t="s">
        <v>45</v>
      </c>
      <c r="N1581" s="4" t="s">
        <v>13288</v>
      </c>
      <c r="O1581" s="3" t="s">
        <v>53</v>
      </c>
      <c r="P1581" s="3" t="s">
        <v>45</v>
      </c>
      <c r="Q1581" s="3" t="s">
        <v>45</v>
      </c>
      <c r="R1581" s="3" t="s">
        <v>45</v>
      </c>
      <c r="S1581" s="3" t="s">
        <v>45</v>
      </c>
      <c r="T1581" s="3" t="s">
        <v>45</v>
      </c>
      <c r="U1581" s="3" t="s">
        <v>45</v>
      </c>
      <c r="V1581" s="4" t="s">
        <v>13289</v>
      </c>
      <c r="W1581" s="3" t="s">
        <v>45</v>
      </c>
      <c r="X1581" s="3" t="s">
        <v>45</v>
      </c>
      <c r="Y1581" s="3" t="s">
        <v>45</v>
      </c>
      <c r="Z1581" s="3" t="s">
        <v>74</v>
      </c>
      <c r="AA1581" s="3" t="s">
        <v>45</v>
      </c>
      <c r="AB1581" s="3" t="s">
        <v>45</v>
      </c>
      <c r="AC1581" s="3" t="s">
        <v>45</v>
      </c>
      <c r="AD1581" s="3" t="s">
        <v>45</v>
      </c>
      <c r="AE1581" s="3" t="s">
        <v>45</v>
      </c>
      <c r="AF1581" s="3" t="s">
        <v>45</v>
      </c>
      <c r="AG1581" s="3" t="s">
        <v>45</v>
      </c>
      <c r="AH1581" s="3" t="s">
        <v>57</v>
      </c>
      <c r="AI1581" s="5" t="s">
        <v>13290</v>
      </c>
      <c r="AJ1581" s="3" t="s">
        <v>45</v>
      </c>
      <c r="AK1581" s="3" t="s">
        <v>45</v>
      </c>
      <c r="AL1581" s="3" t="s">
        <v>45</v>
      </c>
      <c r="AM1581" s="3" t="s">
        <v>45</v>
      </c>
      <c r="AN1581" s="3" t="s">
        <v>45</v>
      </c>
      <c r="AO1581" s="3" t="s">
        <v>45</v>
      </c>
      <c r="AP1581" s="3" t="s">
        <v>45</v>
      </c>
      <c r="AQ1581" s="4" t="s">
        <v>854</v>
      </c>
      <c r="AR1581" s="4" t="s">
        <v>854</v>
      </c>
    </row>
    <row r="1582">
      <c r="A1582" s="3" t="s">
        <v>13291</v>
      </c>
      <c r="B1582" s="3" t="s">
        <v>13292</v>
      </c>
      <c r="C1582" s="3" t="s">
        <v>13263</v>
      </c>
      <c r="D1582" s="3" t="s">
        <v>13184</v>
      </c>
      <c r="E1582" s="4" t="s">
        <v>13293</v>
      </c>
      <c r="F1582" s="3" t="s">
        <v>13190</v>
      </c>
      <c r="G1582" s="4" t="s">
        <v>13294</v>
      </c>
      <c r="H1582" s="4" t="s">
        <v>13295</v>
      </c>
      <c r="I1582" s="3" t="s">
        <v>49</v>
      </c>
      <c r="J1582" s="3" t="s">
        <v>126</v>
      </c>
      <c r="K1582" s="3" t="s">
        <v>45</v>
      </c>
      <c r="L1582" s="3" t="s">
        <v>13296</v>
      </c>
      <c r="M1582" s="3" t="s">
        <v>45</v>
      </c>
      <c r="N1582" s="4" t="s">
        <v>2982</v>
      </c>
      <c r="O1582" s="3" t="s">
        <v>390</v>
      </c>
      <c r="P1582" s="3" t="s">
        <v>45</v>
      </c>
      <c r="Q1582" s="3" t="s">
        <v>45</v>
      </c>
      <c r="R1582" s="3" t="s">
        <v>45</v>
      </c>
      <c r="S1582" s="3" t="s">
        <v>45</v>
      </c>
      <c r="T1582" s="3" t="s">
        <v>45</v>
      </c>
      <c r="U1582" s="3" t="s">
        <v>45</v>
      </c>
      <c r="V1582" s="4" t="s">
        <v>2888</v>
      </c>
      <c r="W1582" s="3" t="s">
        <v>45</v>
      </c>
      <c r="X1582" s="3" t="s">
        <v>45</v>
      </c>
      <c r="Y1582" s="3" t="s">
        <v>45</v>
      </c>
      <c r="Z1582" s="3" t="s">
        <v>74</v>
      </c>
      <c r="AA1582" s="3" t="s">
        <v>45</v>
      </c>
      <c r="AB1582" s="3" t="s">
        <v>45</v>
      </c>
      <c r="AC1582" s="3" t="s">
        <v>45</v>
      </c>
      <c r="AD1582" s="3" t="s">
        <v>45</v>
      </c>
      <c r="AE1582" s="3" t="s">
        <v>45</v>
      </c>
      <c r="AF1582" s="3" t="s">
        <v>45</v>
      </c>
      <c r="AG1582" s="3" t="s">
        <v>45</v>
      </c>
      <c r="AH1582" s="3" t="s">
        <v>57</v>
      </c>
      <c r="AI1582" s="5" t="s">
        <v>13297</v>
      </c>
      <c r="AJ1582" s="3" t="s">
        <v>45</v>
      </c>
      <c r="AK1582" s="3" t="s">
        <v>45</v>
      </c>
      <c r="AL1582" s="3" t="s">
        <v>45</v>
      </c>
      <c r="AM1582" s="3" t="s">
        <v>45</v>
      </c>
      <c r="AN1582" s="3" t="s">
        <v>45</v>
      </c>
      <c r="AO1582" s="3" t="s">
        <v>45</v>
      </c>
      <c r="AP1582" s="3" t="s">
        <v>45</v>
      </c>
      <c r="AQ1582" s="4" t="s">
        <v>78</v>
      </c>
      <c r="AR1582" s="4" t="s">
        <v>78</v>
      </c>
    </row>
    <row r="1583">
      <c r="A1583" s="3" t="s">
        <v>13298</v>
      </c>
      <c r="B1583" s="3" t="s">
        <v>13299</v>
      </c>
      <c r="C1583" s="3" t="s">
        <v>13263</v>
      </c>
      <c r="D1583" s="3" t="s">
        <v>13184</v>
      </c>
      <c r="E1583" s="4" t="s">
        <v>13281</v>
      </c>
      <c r="F1583" s="3" t="s">
        <v>13190</v>
      </c>
      <c r="G1583" s="4" t="s">
        <v>13300</v>
      </c>
      <c r="H1583" s="4" t="s">
        <v>13301</v>
      </c>
      <c r="I1583" s="3" t="s">
        <v>85</v>
      </c>
      <c r="J1583" s="3" t="s">
        <v>126</v>
      </c>
      <c r="K1583" s="3" t="s">
        <v>45</v>
      </c>
      <c r="L1583" s="3" t="s">
        <v>45</v>
      </c>
      <c r="M1583" s="3" t="s">
        <v>45</v>
      </c>
      <c r="N1583" s="3" t="s">
        <v>45</v>
      </c>
      <c r="O1583" s="3" t="s">
        <v>74</v>
      </c>
      <c r="P1583" s="3" t="s">
        <v>45</v>
      </c>
      <c r="Q1583" s="3" t="s">
        <v>45</v>
      </c>
      <c r="R1583" s="3" t="s">
        <v>45</v>
      </c>
      <c r="S1583" s="3" t="s">
        <v>45</v>
      </c>
      <c r="T1583" s="3" t="s">
        <v>45</v>
      </c>
      <c r="U1583" s="3" t="s">
        <v>45</v>
      </c>
      <c r="V1583" s="3" t="s">
        <v>45</v>
      </c>
      <c r="W1583" s="3" t="s">
        <v>45</v>
      </c>
      <c r="X1583" s="3" t="s">
        <v>45</v>
      </c>
      <c r="Y1583" s="3" t="s">
        <v>45</v>
      </c>
      <c r="Z1583" s="3" t="s">
        <v>74</v>
      </c>
      <c r="AA1583" s="3" t="s">
        <v>45</v>
      </c>
      <c r="AB1583" s="3" t="s">
        <v>45</v>
      </c>
      <c r="AC1583" s="3" t="s">
        <v>45</v>
      </c>
      <c r="AD1583" s="3" t="s">
        <v>45</v>
      </c>
      <c r="AE1583" s="3" t="s">
        <v>45</v>
      </c>
      <c r="AF1583" s="3" t="s">
        <v>45</v>
      </c>
      <c r="AG1583" s="3" t="s">
        <v>45</v>
      </c>
      <c r="AH1583" s="3" t="s">
        <v>57</v>
      </c>
      <c r="AI1583" s="3" t="s">
        <v>45</v>
      </c>
      <c r="AJ1583" s="3" t="s">
        <v>45</v>
      </c>
      <c r="AK1583" s="3" t="s">
        <v>45</v>
      </c>
      <c r="AL1583" s="3" t="s">
        <v>45</v>
      </c>
      <c r="AM1583" s="3" t="s">
        <v>45</v>
      </c>
      <c r="AN1583" s="3" t="s">
        <v>45</v>
      </c>
      <c r="AO1583" s="3" t="s">
        <v>45</v>
      </c>
      <c r="AP1583" s="3" t="s">
        <v>45</v>
      </c>
      <c r="AQ1583" s="4" t="s">
        <v>465</v>
      </c>
      <c r="AR1583" s="4" t="s">
        <v>465</v>
      </c>
    </row>
    <row r="1584">
      <c r="A1584" s="3" t="s">
        <v>13302</v>
      </c>
      <c r="B1584" s="3" t="s">
        <v>13303</v>
      </c>
      <c r="C1584" s="3" t="s">
        <v>13304</v>
      </c>
      <c r="D1584" s="3" t="s">
        <v>13184</v>
      </c>
      <c r="E1584" s="4" t="s">
        <v>13305</v>
      </c>
      <c r="F1584" s="3" t="s">
        <v>13190</v>
      </c>
      <c r="G1584" s="4" t="s">
        <v>13306</v>
      </c>
      <c r="H1584" s="4" t="s">
        <v>13307</v>
      </c>
      <c r="I1584" s="3" t="s">
        <v>85</v>
      </c>
      <c r="J1584" s="3" t="s">
        <v>126</v>
      </c>
      <c r="K1584" s="3" t="s">
        <v>45</v>
      </c>
      <c r="L1584" s="3" t="s">
        <v>45</v>
      </c>
      <c r="M1584" s="3" t="s">
        <v>45</v>
      </c>
      <c r="N1584" s="3" t="s">
        <v>45</v>
      </c>
      <c r="O1584" s="3" t="s">
        <v>74</v>
      </c>
      <c r="P1584" s="3" t="s">
        <v>45</v>
      </c>
      <c r="Q1584" s="3" t="s">
        <v>45</v>
      </c>
      <c r="R1584" s="3" t="s">
        <v>45</v>
      </c>
      <c r="S1584" s="3" t="s">
        <v>45</v>
      </c>
      <c r="T1584" s="3" t="s">
        <v>45</v>
      </c>
      <c r="U1584" s="3" t="s">
        <v>45</v>
      </c>
      <c r="V1584" s="3" t="s">
        <v>45</v>
      </c>
      <c r="W1584" s="3" t="s">
        <v>45</v>
      </c>
      <c r="X1584" s="3" t="s">
        <v>45</v>
      </c>
      <c r="Y1584" s="3" t="s">
        <v>45</v>
      </c>
      <c r="Z1584" s="3" t="s">
        <v>74</v>
      </c>
      <c r="AA1584" s="3" t="s">
        <v>45</v>
      </c>
      <c r="AB1584" s="3" t="s">
        <v>45</v>
      </c>
      <c r="AC1584" s="3" t="s">
        <v>45</v>
      </c>
      <c r="AD1584" s="3" t="s">
        <v>45</v>
      </c>
      <c r="AE1584" s="3" t="s">
        <v>45</v>
      </c>
      <c r="AF1584" s="3" t="s">
        <v>45</v>
      </c>
      <c r="AG1584" s="3" t="s">
        <v>45</v>
      </c>
      <c r="AH1584" s="3" t="s">
        <v>57</v>
      </c>
      <c r="AI1584" s="3" t="s">
        <v>45</v>
      </c>
      <c r="AJ1584" s="3" t="s">
        <v>45</v>
      </c>
      <c r="AK1584" s="3" t="s">
        <v>45</v>
      </c>
      <c r="AL1584" s="3" t="s">
        <v>45</v>
      </c>
      <c r="AM1584" s="3" t="s">
        <v>45</v>
      </c>
      <c r="AN1584" s="3" t="s">
        <v>45</v>
      </c>
      <c r="AO1584" s="3" t="s">
        <v>45</v>
      </c>
      <c r="AP1584" s="3" t="s">
        <v>45</v>
      </c>
      <c r="AQ1584" s="4" t="s">
        <v>465</v>
      </c>
      <c r="AR1584" s="4" t="s">
        <v>465</v>
      </c>
    </row>
    <row r="1585">
      <c r="A1585" s="3" t="s">
        <v>13308</v>
      </c>
      <c r="B1585" s="3" t="s">
        <v>13309</v>
      </c>
      <c r="C1585" s="3" t="s">
        <v>13310</v>
      </c>
      <c r="D1585" s="3" t="s">
        <v>13311</v>
      </c>
      <c r="E1585" s="4" t="s">
        <v>13312</v>
      </c>
      <c r="F1585" s="3" t="s">
        <v>13313</v>
      </c>
      <c r="G1585" s="4" t="s">
        <v>13314</v>
      </c>
      <c r="H1585" s="4" t="s">
        <v>13315</v>
      </c>
      <c r="I1585" s="3" t="s">
        <v>218</v>
      </c>
      <c r="J1585" s="3" t="s">
        <v>50</v>
      </c>
      <c r="K1585" s="3" t="s">
        <v>743</v>
      </c>
      <c r="L1585" s="3" t="s">
        <v>210</v>
      </c>
      <c r="M1585" s="3" t="s">
        <v>45</v>
      </c>
      <c r="N1585" s="3" t="s">
        <v>45</v>
      </c>
      <c r="O1585" s="3" t="s">
        <v>88</v>
      </c>
      <c r="P1585" s="3" t="s">
        <v>220</v>
      </c>
      <c r="Q1585" s="3" t="s">
        <v>45</v>
      </c>
      <c r="R1585" s="3" t="s">
        <v>45</v>
      </c>
      <c r="S1585" s="3" t="s">
        <v>45</v>
      </c>
      <c r="T1585" s="3" t="s">
        <v>89</v>
      </c>
      <c r="U1585" s="3" t="s">
        <v>45</v>
      </c>
      <c r="V1585" s="4" t="s">
        <v>2937</v>
      </c>
      <c r="W1585" s="4" t="s">
        <v>8941</v>
      </c>
      <c r="X1585" s="3" t="s">
        <v>13316</v>
      </c>
      <c r="Y1585" s="4" t="s">
        <v>317</v>
      </c>
      <c r="Z1585" s="3" t="s">
        <v>55</v>
      </c>
      <c r="AA1585" s="3" t="s">
        <v>45</v>
      </c>
      <c r="AB1585" s="3" t="s">
        <v>45</v>
      </c>
      <c r="AC1585" s="3" t="s">
        <v>45</v>
      </c>
      <c r="AD1585" s="5" t="s">
        <v>13317</v>
      </c>
      <c r="AE1585" s="3" t="s">
        <v>45</v>
      </c>
      <c r="AF1585" s="3" t="s">
        <v>45</v>
      </c>
      <c r="AG1585" s="3" t="s">
        <v>45</v>
      </c>
      <c r="AH1585" s="3" t="s">
        <v>57</v>
      </c>
      <c r="AI1585" s="5" t="s">
        <v>13318</v>
      </c>
      <c r="AJ1585" s="5" t="s">
        <v>13319</v>
      </c>
      <c r="AK1585" s="5" t="s">
        <v>13320</v>
      </c>
      <c r="AL1585" s="5" t="s">
        <v>13321</v>
      </c>
      <c r="AM1585" s="5" t="s">
        <v>13322</v>
      </c>
      <c r="AN1585" s="5" t="s">
        <v>13323</v>
      </c>
      <c r="AO1585" s="5" t="s">
        <v>13324</v>
      </c>
      <c r="AP1585" s="3" t="s">
        <v>45</v>
      </c>
      <c r="AQ1585" s="4" t="s">
        <v>393</v>
      </c>
      <c r="AR1585" s="4" t="s">
        <v>77</v>
      </c>
    </row>
    <row r="1586">
      <c r="A1586" s="3" t="s">
        <v>13325</v>
      </c>
      <c r="B1586" s="3" t="s">
        <v>13326</v>
      </c>
      <c r="C1586" s="3" t="s">
        <v>13310</v>
      </c>
      <c r="D1586" s="3" t="s">
        <v>13311</v>
      </c>
      <c r="E1586" s="4" t="s">
        <v>13312</v>
      </c>
      <c r="F1586" s="3" t="s">
        <v>13313</v>
      </c>
      <c r="G1586" s="4" t="s">
        <v>13327</v>
      </c>
      <c r="H1586" s="4" t="s">
        <v>13328</v>
      </c>
      <c r="I1586" s="3" t="s">
        <v>49</v>
      </c>
      <c r="J1586" s="3" t="s">
        <v>50</v>
      </c>
      <c r="K1586" s="3" t="s">
        <v>45</v>
      </c>
      <c r="L1586" s="3" t="s">
        <v>45</v>
      </c>
      <c r="M1586" s="3" t="s">
        <v>45</v>
      </c>
      <c r="N1586" s="3" t="s">
        <v>45</v>
      </c>
      <c r="O1586" s="3" t="s">
        <v>74</v>
      </c>
      <c r="P1586" s="3" t="s">
        <v>45</v>
      </c>
      <c r="Q1586" s="3" t="s">
        <v>45</v>
      </c>
      <c r="R1586" s="3" t="s">
        <v>45</v>
      </c>
      <c r="S1586" s="3" t="s">
        <v>45</v>
      </c>
      <c r="T1586" s="3" t="s">
        <v>45</v>
      </c>
      <c r="U1586" s="3" t="s">
        <v>45</v>
      </c>
      <c r="V1586" s="4" t="s">
        <v>10862</v>
      </c>
      <c r="W1586" s="4" t="s">
        <v>1843</v>
      </c>
      <c r="X1586" s="3" t="s">
        <v>45</v>
      </c>
      <c r="Y1586" s="3" t="s">
        <v>45</v>
      </c>
      <c r="Z1586" s="3" t="s">
        <v>74</v>
      </c>
      <c r="AA1586" s="3" t="s">
        <v>45</v>
      </c>
      <c r="AB1586" s="3" t="s">
        <v>45</v>
      </c>
      <c r="AC1586" s="3" t="s">
        <v>45</v>
      </c>
      <c r="AD1586" s="3" t="s">
        <v>45</v>
      </c>
      <c r="AE1586" s="3" t="s">
        <v>45</v>
      </c>
      <c r="AF1586" s="3" t="s">
        <v>45</v>
      </c>
      <c r="AG1586" s="3" t="s">
        <v>45</v>
      </c>
      <c r="AH1586" s="3" t="s">
        <v>57</v>
      </c>
      <c r="AI1586" s="5" t="s">
        <v>13329</v>
      </c>
      <c r="AJ1586" s="3" t="s">
        <v>45</v>
      </c>
      <c r="AK1586" s="3" t="s">
        <v>45</v>
      </c>
      <c r="AL1586" s="3" t="s">
        <v>45</v>
      </c>
      <c r="AM1586" s="3" t="s">
        <v>45</v>
      </c>
      <c r="AN1586" s="3" t="s">
        <v>45</v>
      </c>
      <c r="AO1586" s="3" t="s">
        <v>45</v>
      </c>
      <c r="AP1586" s="3" t="s">
        <v>45</v>
      </c>
      <c r="AQ1586" s="4" t="s">
        <v>1113</v>
      </c>
      <c r="AR1586" s="4" t="s">
        <v>1113</v>
      </c>
    </row>
    <row r="1587">
      <c r="A1587" s="3" t="s">
        <v>205</v>
      </c>
      <c r="B1587" s="3" t="s">
        <v>13330</v>
      </c>
      <c r="C1587" s="3" t="s">
        <v>13331</v>
      </c>
      <c r="D1587" s="3" t="s">
        <v>13311</v>
      </c>
      <c r="E1587" s="4" t="s">
        <v>13332</v>
      </c>
      <c r="F1587" s="3" t="s">
        <v>13333</v>
      </c>
      <c r="G1587" s="4" t="s">
        <v>13334</v>
      </c>
      <c r="H1587" s="4" t="s">
        <v>13335</v>
      </c>
      <c r="I1587" s="3" t="s">
        <v>49</v>
      </c>
      <c r="J1587" s="3" t="s">
        <v>126</v>
      </c>
      <c r="K1587" s="3" t="s">
        <v>45</v>
      </c>
      <c r="L1587" s="3" t="s">
        <v>210</v>
      </c>
      <c r="M1587" s="3" t="s">
        <v>45</v>
      </c>
      <c r="N1587" s="3" t="s">
        <v>45</v>
      </c>
      <c r="O1587" s="3" t="s">
        <v>74</v>
      </c>
      <c r="P1587" s="3" t="s">
        <v>45</v>
      </c>
      <c r="Q1587" s="3" t="s">
        <v>45</v>
      </c>
      <c r="R1587" s="3" t="s">
        <v>45</v>
      </c>
      <c r="S1587" s="3" t="s">
        <v>45</v>
      </c>
      <c r="T1587" s="3" t="s">
        <v>45</v>
      </c>
      <c r="U1587" s="3" t="s">
        <v>45</v>
      </c>
      <c r="V1587" s="3" t="s">
        <v>45</v>
      </c>
      <c r="W1587" s="4" t="s">
        <v>8157</v>
      </c>
      <c r="X1587" s="3" t="s">
        <v>45</v>
      </c>
      <c r="Y1587" s="3" t="s">
        <v>45</v>
      </c>
      <c r="Z1587" s="3" t="s">
        <v>55</v>
      </c>
      <c r="AA1587" s="3" t="s">
        <v>45</v>
      </c>
      <c r="AB1587" s="3" t="s">
        <v>56</v>
      </c>
      <c r="AC1587" s="3" t="s">
        <v>45</v>
      </c>
      <c r="AD1587" s="5" t="s">
        <v>13336</v>
      </c>
      <c r="AE1587" s="3" t="s">
        <v>45</v>
      </c>
      <c r="AF1587" s="3" t="s">
        <v>45</v>
      </c>
      <c r="AG1587" s="3" t="s">
        <v>45</v>
      </c>
      <c r="AH1587" s="3" t="s">
        <v>57</v>
      </c>
      <c r="AI1587" s="5" t="s">
        <v>13337</v>
      </c>
      <c r="AJ1587" s="3" t="s">
        <v>45</v>
      </c>
      <c r="AK1587" s="3" t="s">
        <v>45</v>
      </c>
      <c r="AL1587" s="3" t="s">
        <v>45</v>
      </c>
      <c r="AM1587" s="3" t="s">
        <v>45</v>
      </c>
      <c r="AN1587" s="3" t="s">
        <v>45</v>
      </c>
      <c r="AO1587" s="3" t="s">
        <v>45</v>
      </c>
      <c r="AP1587" s="3" t="s">
        <v>45</v>
      </c>
      <c r="AQ1587" s="4" t="s">
        <v>380</v>
      </c>
      <c r="AR1587" s="4" t="s">
        <v>380</v>
      </c>
    </row>
    <row r="1588">
      <c r="A1588" s="3" t="s">
        <v>13338</v>
      </c>
      <c r="B1588" s="3" t="s">
        <v>45</v>
      </c>
      <c r="C1588" s="3" t="s">
        <v>13339</v>
      </c>
      <c r="D1588" s="3" t="s">
        <v>13311</v>
      </c>
      <c r="E1588" s="3" t="s">
        <v>45</v>
      </c>
      <c r="F1588" s="3" t="s">
        <v>13340</v>
      </c>
      <c r="G1588" s="4" t="s">
        <v>13341</v>
      </c>
      <c r="H1588" s="4" t="s">
        <v>13342</v>
      </c>
      <c r="I1588" s="3" t="s">
        <v>436</v>
      </c>
      <c r="J1588" s="3" t="s">
        <v>50</v>
      </c>
      <c r="K1588" s="3" t="s">
        <v>45</v>
      </c>
      <c r="L1588" s="3" t="s">
        <v>3208</v>
      </c>
      <c r="M1588" s="3" t="s">
        <v>45</v>
      </c>
      <c r="N1588" s="4" t="s">
        <v>90</v>
      </c>
      <c r="O1588" s="3" t="s">
        <v>88</v>
      </c>
      <c r="P1588" s="3" t="s">
        <v>45</v>
      </c>
      <c r="Q1588" s="3" t="s">
        <v>45</v>
      </c>
      <c r="R1588" s="3" t="s">
        <v>45</v>
      </c>
      <c r="S1588" s="3" t="s">
        <v>45</v>
      </c>
      <c r="T1588" s="3" t="s">
        <v>45</v>
      </c>
      <c r="U1588" s="3" t="s">
        <v>45</v>
      </c>
      <c r="V1588" s="3" t="s">
        <v>45</v>
      </c>
      <c r="W1588" s="4" t="s">
        <v>4277</v>
      </c>
      <c r="X1588" s="3" t="s">
        <v>45</v>
      </c>
      <c r="Y1588" s="3" t="s">
        <v>45</v>
      </c>
      <c r="Z1588" s="3" t="s">
        <v>55</v>
      </c>
      <c r="AA1588" s="3" t="s">
        <v>45</v>
      </c>
      <c r="AB1588" s="3" t="s">
        <v>45</v>
      </c>
      <c r="AC1588" s="3" t="s">
        <v>45</v>
      </c>
      <c r="AD1588" s="3" t="s">
        <v>45</v>
      </c>
      <c r="AE1588" s="3" t="s">
        <v>45</v>
      </c>
      <c r="AF1588" s="3" t="s">
        <v>45</v>
      </c>
      <c r="AG1588" s="3" t="s">
        <v>45</v>
      </c>
      <c r="AH1588" s="3" t="s">
        <v>57</v>
      </c>
      <c r="AI1588" s="5" t="s">
        <v>13343</v>
      </c>
      <c r="AJ1588" s="5" t="s">
        <v>13344</v>
      </c>
      <c r="AK1588" s="3" t="s">
        <v>45</v>
      </c>
      <c r="AL1588" s="3" t="s">
        <v>45</v>
      </c>
      <c r="AM1588" s="3" t="s">
        <v>45</v>
      </c>
      <c r="AN1588" s="3" t="s">
        <v>45</v>
      </c>
      <c r="AO1588" s="3" t="s">
        <v>45</v>
      </c>
      <c r="AP1588" s="3" t="s">
        <v>45</v>
      </c>
      <c r="AQ1588" s="4" t="s">
        <v>379</v>
      </c>
      <c r="AR1588" s="4" t="s">
        <v>379</v>
      </c>
    </row>
    <row r="1589">
      <c r="A1589" s="3" t="s">
        <v>13345</v>
      </c>
      <c r="B1589" s="3" t="s">
        <v>45</v>
      </c>
      <c r="C1589" s="3" t="s">
        <v>13346</v>
      </c>
      <c r="D1589" s="3" t="s">
        <v>13311</v>
      </c>
      <c r="E1589" s="4" t="s">
        <v>13347</v>
      </c>
      <c r="F1589" s="3" t="s">
        <v>96</v>
      </c>
      <c r="G1589" s="4" t="s">
        <v>13348</v>
      </c>
      <c r="H1589" s="4" t="s">
        <v>13349</v>
      </c>
      <c r="I1589" s="3" t="s">
        <v>436</v>
      </c>
      <c r="J1589" s="3" t="s">
        <v>50</v>
      </c>
      <c r="K1589" s="3" t="s">
        <v>45</v>
      </c>
      <c r="L1589" s="3" t="s">
        <v>45</v>
      </c>
      <c r="M1589" s="3" t="s">
        <v>45</v>
      </c>
      <c r="N1589" s="4" t="s">
        <v>3595</v>
      </c>
      <c r="O1589" s="3" t="s">
        <v>88</v>
      </c>
      <c r="P1589" s="3" t="s">
        <v>220</v>
      </c>
      <c r="Q1589" s="3" t="s">
        <v>45</v>
      </c>
      <c r="R1589" s="3" t="s">
        <v>45</v>
      </c>
      <c r="S1589" s="3" t="s">
        <v>45</v>
      </c>
      <c r="T1589" s="3" t="s">
        <v>45</v>
      </c>
      <c r="U1589" s="3" t="s">
        <v>45</v>
      </c>
      <c r="V1589" s="3" t="s">
        <v>45</v>
      </c>
      <c r="W1589" s="4" t="s">
        <v>102</v>
      </c>
      <c r="X1589" s="3" t="s">
        <v>2963</v>
      </c>
      <c r="Y1589" s="3" t="s">
        <v>45</v>
      </c>
      <c r="Z1589" s="3" t="s">
        <v>55</v>
      </c>
      <c r="AA1589" s="3" t="s">
        <v>45</v>
      </c>
      <c r="AB1589" s="3" t="s">
        <v>109</v>
      </c>
      <c r="AC1589" s="3" t="s">
        <v>45</v>
      </c>
      <c r="AD1589" s="3" t="s">
        <v>45</v>
      </c>
      <c r="AE1589" s="3" t="s">
        <v>45</v>
      </c>
      <c r="AF1589" s="3" t="s">
        <v>45</v>
      </c>
      <c r="AG1589" s="3" t="s">
        <v>45</v>
      </c>
      <c r="AH1589" s="3" t="s">
        <v>57</v>
      </c>
      <c r="AI1589" s="5" t="s">
        <v>13350</v>
      </c>
      <c r="AJ1589" s="5" t="s">
        <v>13351</v>
      </c>
      <c r="AK1589" s="5" t="s">
        <v>13352</v>
      </c>
      <c r="AL1589" s="3" t="s">
        <v>45</v>
      </c>
      <c r="AM1589" s="3" t="s">
        <v>45</v>
      </c>
      <c r="AN1589" s="3" t="s">
        <v>45</v>
      </c>
      <c r="AO1589" s="3" t="s">
        <v>45</v>
      </c>
      <c r="AP1589" s="3" t="s">
        <v>45</v>
      </c>
      <c r="AQ1589" s="4" t="s">
        <v>13353</v>
      </c>
      <c r="AR1589" s="4" t="s">
        <v>13353</v>
      </c>
    </row>
    <row r="1590">
      <c r="A1590" s="3" t="s">
        <v>13354</v>
      </c>
      <c r="B1590" s="3" t="s">
        <v>45</v>
      </c>
      <c r="C1590" s="3" t="s">
        <v>13355</v>
      </c>
      <c r="D1590" s="3" t="s">
        <v>13311</v>
      </c>
      <c r="E1590" s="4" t="s">
        <v>13356</v>
      </c>
      <c r="F1590" s="3" t="s">
        <v>13357</v>
      </c>
      <c r="G1590" s="4" t="s">
        <v>13358</v>
      </c>
      <c r="H1590" s="4" t="s">
        <v>13359</v>
      </c>
      <c r="I1590" s="3" t="s">
        <v>436</v>
      </c>
      <c r="J1590" s="3" t="s">
        <v>50</v>
      </c>
      <c r="K1590" s="3" t="s">
        <v>45</v>
      </c>
      <c r="L1590" s="3" t="s">
        <v>45</v>
      </c>
      <c r="M1590" s="3" t="s">
        <v>45</v>
      </c>
      <c r="N1590" s="3" t="s">
        <v>45</v>
      </c>
      <c r="O1590" s="3" t="s">
        <v>88</v>
      </c>
      <c r="P1590" s="3" t="s">
        <v>45</v>
      </c>
      <c r="Q1590" s="3" t="s">
        <v>45</v>
      </c>
      <c r="R1590" s="3" t="s">
        <v>45</v>
      </c>
      <c r="S1590" s="4" t="s">
        <v>582</v>
      </c>
      <c r="T1590" s="3" t="s">
        <v>45</v>
      </c>
      <c r="U1590" s="3" t="s">
        <v>45</v>
      </c>
      <c r="V1590" s="3" t="s">
        <v>45</v>
      </c>
      <c r="W1590" s="4" t="s">
        <v>1219</v>
      </c>
      <c r="X1590" s="3" t="s">
        <v>2867</v>
      </c>
      <c r="Y1590" s="3" t="s">
        <v>45</v>
      </c>
      <c r="Z1590" s="3" t="s">
        <v>55</v>
      </c>
      <c r="AA1590" s="3" t="s">
        <v>13360</v>
      </c>
      <c r="AB1590" s="3" t="s">
        <v>45</v>
      </c>
      <c r="AC1590" s="3" t="s">
        <v>45</v>
      </c>
      <c r="AD1590" s="5" t="s">
        <v>13361</v>
      </c>
      <c r="AE1590" s="5" t="s">
        <v>13362</v>
      </c>
      <c r="AF1590" s="3" t="s">
        <v>45</v>
      </c>
      <c r="AG1590" s="3" t="s">
        <v>13363</v>
      </c>
      <c r="AH1590" s="3" t="s">
        <v>57</v>
      </c>
      <c r="AI1590" s="5" t="s">
        <v>13364</v>
      </c>
      <c r="AJ1590" s="5" t="s">
        <v>13365</v>
      </c>
      <c r="AK1590" s="5" t="s">
        <v>13366</v>
      </c>
      <c r="AL1590" s="5" t="s">
        <v>13367</v>
      </c>
      <c r="AM1590" s="5" t="s">
        <v>13368</v>
      </c>
      <c r="AN1590" s="5" t="s">
        <v>13368</v>
      </c>
      <c r="AO1590" s="5" t="s">
        <v>13369</v>
      </c>
      <c r="AP1590" s="3" t="s">
        <v>45</v>
      </c>
      <c r="AQ1590" s="4" t="s">
        <v>365</v>
      </c>
      <c r="AR1590" s="4" t="s">
        <v>2630</v>
      </c>
    </row>
    <row r="1591">
      <c r="A1591" s="3" t="s">
        <v>13370</v>
      </c>
      <c r="B1591" s="3" t="s">
        <v>13371</v>
      </c>
      <c r="C1591" s="3" t="s">
        <v>3772</v>
      </c>
      <c r="D1591" s="3" t="s">
        <v>13311</v>
      </c>
      <c r="E1591" s="4" t="s">
        <v>13372</v>
      </c>
      <c r="F1591" s="3" t="s">
        <v>13373</v>
      </c>
      <c r="G1591" s="4" t="s">
        <v>13374</v>
      </c>
      <c r="H1591" s="4" t="s">
        <v>13375</v>
      </c>
      <c r="I1591" s="3" t="s">
        <v>85</v>
      </c>
      <c r="J1591" s="3" t="s">
        <v>126</v>
      </c>
      <c r="K1591" s="3" t="s">
        <v>45</v>
      </c>
      <c r="L1591" s="3" t="s">
        <v>45</v>
      </c>
      <c r="M1591" s="3" t="s">
        <v>45</v>
      </c>
      <c r="N1591" s="4" t="s">
        <v>6698</v>
      </c>
      <c r="O1591" s="3" t="s">
        <v>53</v>
      </c>
      <c r="P1591" s="3" t="s">
        <v>45</v>
      </c>
      <c r="Q1591" s="3" t="s">
        <v>45</v>
      </c>
      <c r="R1591" s="3" t="s">
        <v>45</v>
      </c>
      <c r="S1591" s="3" t="s">
        <v>45</v>
      </c>
      <c r="T1591" s="3" t="s">
        <v>45</v>
      </c>
      <c r="U1591" s="3" t="s">
        <v>45</v>
      </c>
      <c r="V1591" s="4" t="s">
        <v>5572</v>
      </c>
      <c r="W1591" s="3" t="s">
        <v>45</v>
      </c>
      <c r="X1591" s="3" t="s">
        <v>45</v>
      </c>
      <c r="Y1591" s="3" t="s">
        <v>45</v>
      </c>
      <c r="Z1591" s="3" t="s">
        <v>74</v>
      </c>
      <c r="AA1591" s="3" t="s">
        <v>45</v>
      </c>
      <c r="AB1591" s="3" t="s">
        <v>45</v>
      </c>
      <c r="AC1591" s="3" t="s">
        <v>45</v>
      </c>
      <c r="AD1591" s="3" t="s">
        <v>45</v>
      </c>
      <c r="AE1591" s="3" t="s">
        <v>45</v>
      </c>
      <c r="AF1591" s="3" t="s">
        <v>45</v>
      </c>
      <c r="AG1591" s="3" t="s">
        <v>45</v>
      </c>
      <c r="AH1591" s="3" t="s">
        <v>57</v>
      </c>
      <c r="AI1591" s="5" t="s">
        <v>13376</v>
      </c>
      <c r="AJ1591" s="3" t="s">
        <v>45</v>
      </c>
      <c r="AK1591" s="3" t="s">
        <v>45</v>
      </c>
      <c r="AL1591" s="3" t="s">
        <v>45</v>
      </c>
      <c r="AM1591" s="3" t="s">
        <v>45</v>
      </c>
      <c r="AN1591" s="3" t="s">
        <v>45</v>
      </c>
      <c r="AO1591" s="3" t="s">
        <v>45</v>
      </c>
      <c r="AP1591" s="3" t="s">
        <v>45</v>
      </c>
      <c r="AQ1591" s="4" t="s">
        <v>3252</v>
      </c>
      <c r="AR1591" s="4" t="s">
        <v>3252</v>
      </c>
    </row>
    <row r="1592">
      <c r="A1592" s="3" t="s">
        <v>13377</v>
      </c>
      <c r="B1592" s="3" t="s">
        <v>13378</v>
      </c>
      <c r="C1592" s="3" t="s">
        <v>13379</v>
      </c>
      <c r="D1592" s="3" t="s">
        <v>13311</v>
      </c>
      <c r="E1592" s="4" t="s">
        <v>13380</v>
      </c>
      <c r="F1592" s="3" t="s">
        <v>13381</v>
      </c>
      <c r="G1592" s="4" t="s">
        <v>13382</v>
      </c>
      <c r="H1592" s="4" t="s">
        <v>13383</v>
      </c>
      <c r="I1592" s="3" t="s">
        <v>49</v>
      </c>
      <c r="J1592" s="3" t="s">
        <v>126</v>
      </c>
      <c r="K1592" s="3" t="s">
        <v>45</v>
      </c>
      <c r="L1592" s="3" t="s">
        <v>45</v>
      </c>
      <c r="M1592" s="3" t="s">
        <v>45</v>
      </c>
      <c r="N1592" s="3" t="s">
        <v>45</v>
      </c>
      <c r="O1592" s="3" t="s">
        <v>74</v>
      </c>
      <c r="P1592" s="3" t="s">
        <v>45</v>
      </c>
      <c r="Q1592" s="3" t="s">
        <v>45</v>
      </c>
      <c r="R1592" s="3" t="s">
        <v>45</v>
      </c>
      <c r="S1592" s="3" t="s">
        <v>45</v>
      </c>
      <c r="T1592" s="3" t="s">
        <v>45</v>
      </c>
      <c r="U1592" s="3" t="s">
        <v>45</v>
      </c>
      <c r="V1592" s="3" t="s">
        <v>45</v>
      </c>
      <c r="W1592" s="3" t="s">
        <v>45</v>
      </c>
      <c r="X1592" s="3" t="s">
        <v>45</v>
      </c>
      <c r="Y1592" s="3" t="s">
        <v>45</v>
      </c>
      <c r="Z1592" s="3" t="s">
        <v>74</v>
      </c>
      <c r="AA1592" s="3" t="s">
        <v>45</v>
      </c>
      <c r="AB1592" s="3" t="s">
        <v>45</v>
      </c>
      <c r="AC1592" s="3" t="s">
        <v>45</v>
      </c>
      <c r="AD1592" s="3" t="s">
        <v>45</v>
      </c>
      <c r="AE1592" s="3" t="s">
        <v>45</v>
      </c>
      <c r="AF1592" s="3" t="s">
        <v>45</v>
      </c>
      <c r="AG1592" s="3" t="s">
        <v>45</v>
      </c>
      <c r="AH1592" s="3" t="s">
        <v>57</v>
      </c>
      <c r="AI1592" s="5" t="s">
        <v>13384</v>
      </c>
      <c r="AJ1592" s="5" t="s">
        <v>13385</v>
      </c>
      <c r="AK1592" s="3" t="s">
        <v>45</v>
      </c>
      <c r="AL1592" s="3" t="s">
        <v>45</v>
      </c>
      <c r="AM1592" s="3" t="s">
        <v>45</v>
      </c>
      <c r="AN1592" s="3" t="s">
        <v>45</v>
      </c>
      <c r="AO1592" s="3" t="s">
        <v>45</v>
      </c>
      <c r="AP1592" s="3" t="s">
        <v>45</v>
      </c>
      <c r="AQ1592" s="4" t="s">
        <v>3335</v>
      </c>
      <c r="AR1592" s="4" t="s">
        <v>3335</v>
      </c>
    </row>
    <row r="1593">
      <c r="A1593" s="3" t="s">
        <v>13386</v>
      </c>
      <c r="B1593" s="3" t="s">
        <v>13387</v>
      </c>
      <c r="C1593" s="3" t="s">
        <v>13388</v>
      </c>
      <c r="D1593" s="3" t="s">
        <v>13311</v>
      </c>
      <c r="E1593" s="4" t="s">
        <v>13389</v>
      </c>
      <c r="F1593" s="3" t="s">
        <v>13390</v>
      </c>
      <c r="G1593" s="4" t="s">
        <v>13391</v>
      </c>
      <c r="H1593" s="4" t="s">
        <v>13392</v>
      </c>
      <c r="I1593" s="3" t="s">
        <v>436</v>
      </c>
      <c r="J1593" s="3" t="s">
        <v>50</v>
      </c>
      <c r="K1593" s="3" t="s">
        <v>45</v>
      </c>
      <c r="L1593" s="3" t="s">
        <v>45</v>
      </c>
      <c r="M1593" s="3" t="s">
        <v>45</v>
      </c>
      <c r="N1593" s="3" t="s">
        <v>45</v>
      </c>
      <c r="O1593" s="3" t="s">
        <v>74</v>
      </c>
      <c r="P1593" s="3" t="s">
        <v>45</v>
      </c>
      <c r="Q1593" s="3" t="s">
        <v>45</v>
      </c>
      <c r="R1593" s="3" t="s">
        <v>45</v>
      </c>
      <c r="S1593" s="3" t="s">
        <v>45</v>
      </c>
      <c r="T1593" s="3" t="s">
        <v>45</v>
      </c>
      <c r="U1593" s="3" t="s">
        <v>45</v>
      </c>
      <c r="V1593" s="3" t="s">
        <v>45</v>
      </c>
      <c r="W1593" s="4" t="s">
        <v>102</v>
      </c>
      <c r="X1593" s="3" t="s">
        <v>45</v>
      </c>
      <c r="Y1593" s="3" t="s">
        <v>45</v>
      </c>
      <c r="Z1593" s="3" t="s">
        <v>55</v>
      </c>
      <c r="AA1593" s="3" t="s">
        <v>45</v>
      </c>
      <c r="AB1593" s="3" t="s">
        <v>45</v>
      </c>
      <c r="AC1593" s="3" t="s">
        <v>45</v>
      </c>
      <c r="AD1593" s="5" t="s">
        <v>13393</v>
      </c>
      <c r="AE1593" s="3" t="s">
        <v>45</v>
      </c>
      <c r="AF1593" s="3" t="s">
        <v>45</v>
      </c>
      <c r="AG1593" s="3" t="s">
        <v>13394</v>
      </c>
      <c r="AH1593" s="3" t="s">
        <v>57</v>
      </c>
      <c r="AI1593" s="5" t="s">
        <v>13395</v>
      </c>
      <c r="AJ1593" s="5" t="s">
        <v>13396</v>
      </c>
      <c r="AK1593" s="5" t="s">
        <v>13397</v>
      </c>
      <c r="AL1593" s="3" t="s">
        <v>45</v>
      </c>
      <c r="AM1593" s="3" t="s">
        <v>45</v>
      </c>
      <c r="AN1593" s="3" t="s">
        <v>45</v>
      </c>
      <c r="AO1593" s="3" t="s">
        <v>45</v>
      </c>
      <c r="AP1593" s="3" t="s">
        <v>45</v>
      </c>
      <c r="AQ1593" s="4" t="s">
        <v>3574</v>
      </c>
      <c r="AR1593" s="4" t="s">
        <v>6070</v>
      </c>
    </row>
    <row r="1594">
      <c r="A1594" s="3" t="s">
        <v>13398</v>
      </c>
      <c r="B1594" s="3" t="s">
        <v>13399</v>
      </c>
      <c r="C1594" s="3" t="s">
        <v>13400</v>
      </c>
      <c r="D1594" s="3" t="s">
        <v>13311</v>
      </c>
      <c r="E1594" s="4" t="s">
        <v>13401</v>
      </c>
      <c r="F1594" s="3" t="s">
        <v>13333</v>
      </c>
      <c r="G1594" s="4" t="s">
        <v>13402</v>
      </c>
      <c r="H1594" s="4" t="s">
        <v>13403</v>
      </c>
      <c r="I1594" s="3" t="s">
        <v>49</v>
      </c>
      <c r="J1594" s="3" t="s">
        <v>126</v>
      </c>
      <c r="K1594" s="3" t="s">
        <v>45</v>
      </c>
      <c r="L1594" s="3" t="s">
        <v>45</v>
      </c>
      <c r="M1594" s="3" t="s">
        <v>45</v>
      </c>
      <c r="N1594" s="3" t="s">
        <v>9391</v>
      </c>
      <c r="O1594" s="3" t="s">
        <v>88</v>
      </c>
      <c r="P1594" s="3" t="s">
        <v>45</v>
      </c>
      <c r="Q1594" s="3" t="s">
        <v>45</v>
      </c>
      <c r="R1594" s="3" t="s">
        <v>45</v>
      </c>
      <c r="S1594" s="3" t="s">
        <v>45</v>
      </c>
      <c r="T1594" s="3" t="s">
        <v>45</v>
      </c>
      <c r="U1594" s="3" t="s">
        <v>45</v>
      </c>
      <c r="V1594" s="4" t="s">
        <v>13404</v>
      </c>
      <c r="W1594" s="4" t="s">
        <v>499</v>
      </c>
      <c r="X1594" s="3" t="s">
        <v>45</v>
      </c>
      <c r="Y1594" s="3" t="s">
        <v>45</v>
      </c>
      <c r="Z1594" s="3" t="s">
        <v>55</v>
      </c>
      <c r="AA1594" s="3" t="s">
        <v>13405</v>
      </c>
      <c r="AB1594" s="3" t="s">
        <v>45</v>
      </c>
      <c r="AC1594" s="3" t="s">
        <v>45</v>
      </c>
      <c r="AD1594" s="3" t="s">
        <v>45</v>
      </c>
      <c r="AE1594" s="3" t="s">
        <v>45</v>
      </c>
      <c r="AF1594" s="5" t="s">
        <v>13406</v>
      </c>
      <c r="AG1594" s="3" t="s">
        <v>45</v>
      </c>
      <c r="AH1594" s="3" t="s">
        <v>57</v>
      </c>
      <c r="AI1594" s="5" t="s">
        <v>13407</v>
      </c>
      <c r="AJ1594" s="5" t="s">
        <v>13408</v>
      </c>
      <c r="AK1594" s="3" t="s">
        <v>45</v>
      </c>
      <c r="AL1594" s="3" t="s">
        <v>45</v>
      </c>
      <c r="AM1594" s="3" t="s">
        <v>45</v>
      </c>
      <c r="AN1594" s="3" t="s">
        <v>45</v>
      </c>
      <c r="AO1594" s="3" t="s">
        <v>45</v>
      </c>
      <c r="AP1594" s="3" t="s">
        <v>45</v>
      </c>
      <c r="AQ1594" s="4" t="s">
        <v>5820</v>
      </c>
      <c r="AR1594" s="4" t="s">
        <v>2988</v>
      </c>
    </row>
    <row r="1595">
      <c r="A1595" s="3" t="s">
        <v>13409</v>
      </c>
      <c r="B1595" s="3" t="s">
        <v>45</v>
      </c>
      <c r="C1595" s="3" t="s">
        <v>13400</v>
      </c>
      <c r="D1595" s="3" t="s">
        <v>13311</v>
      </c>
      <c r="E1595" s="4" t="s">
        <v>13401</v>
      </c>
      <c r="F1595" s="3" t="s">
        <v>13333</v>
      </c>
      <c r="G1595" s="4" t="s">
        <v>13334</v>
      </c>
      <c r="H1595" s="4" t="s">
        <v>13410</v>
      </c>
      <c r="I1595" s="3" t="s">
        <v>49</v>
      </c>
      <c r="J1595" s="3" t="s">
        <v>126</v>
      </c>
      <c r="K1595" s="3" t="s">
        <v>45</v>
      </c>
      <c r="L1595" s="3" t="s">
        <v>13411</v>
      </c>
      <c r="M1595" s="3" t="s">
        <v>45</v>
      </c>
      <c r="N1595" s="3" t="s">
        <v>45</v>
      </c>
      <c r="O1595" s="3" t="s">
        <v>74</v>
      </c>
      <c r="P1595" s="3" t="s">
        <v>45</v>
      </c>
      <c r="Q1595" s="3" t="s">
        <v>45</v>
      </c>
      <c r="R1595" s="3" t="s">
        <v>45</v>
      </c>
      <c r="S1595" s="3" t="s">
        <v>45</v>
      </c>
      <c r="T1595" s="3" t="s">
        <v>45</v>
      </c>
      <c r="U1595" s="3" t="s">
        <v>221</v>
      </c>
      <c r="V1595" s="3" t="s">
        <v>45</v>
      </c>
      <c r="W1595" s="4" t="s">
        <v>8157</v>
      </c>
      <c r="X1595" s="3" t="s">
        <v>45</v>
      </c>
      <c r="Y1595" s="3" t="s">
        <v>45</v>
      </c>
      <c r="Z1595" s="3" t="s">
        <v>74</v>
      </c>
      <c r="AA1595" s="3" t="s">
        <v>45</v>
      </c>
      <c r="AB1595" s="3" t="s">
        <v>45</v>
      </c>
      <c r="AC1595" s="3" t="s">
        <v>45</v>
      </c>
      <c r="AD1595" s="5" t="s">
        <v>13412</v>
      </c>
      <c r="AE1595" s="3" t="s">
        <v>45</v>
      </c>
      <c r="AF1595" s="5" t="s">
        <v>13336</v>
      </c>
      <c r="AG1595" s="3" t="s">
        <v>13413</v>
      </c>
      <c r="AH1595" s="3" t="s">
        <v>57</v>
      </c>
      <c r="AI1595" s="5" t="s">
        <v>13414</v>
      </c>
      <c r="AJ1595" s="3" t="s">
        <v>45</v>
      </c>
      <c r="AK1595" s="3" t="s">
        <v>45</v>
      </c>
      <c r="AL1595" s="3" t="s">
        <v>45</v>
      </c>
      <c r="AM1595" s="3" t="s">
        <v>45</v>
      </c>
      <c r="AN1595" s="3" t="s">
        <v>45</v>
      </c>
      <c r="AO1595" s="3" t="s">
        <v>45</v>
      </c>
      <c r="AP1595" s="3" t="s">
        <v>45</v>
      </c>
      <c r="AQ1595" s="4" t="s">
        <v>3183</v>
      </c>
      <c r="AR1595" s="4" t="s">
        <v>3183</v>
      </c>
    </row>
    <row r="1596">
      <c r="A1596" s="3" t="s">
        <v>13415</v>
      </c>
      <c r="B1596" s="3" t="s">
        <v>13416</v>
      </c>
      <c r="C1596" s="3" t="s">
        <v>13417</v>
      </c>
      <c r="D1596" s="3" t="s">
        <v>13311</v>
      </c>
      <c r="E1596" s="4" t="s">
        <v>13418</v>
      </c>
      <c r="F1596" s="3" t="s">
        <v>13417</v>
      </c>
      <c r="G1596" s="4" t="s">
        <v>13419</v>
      </c>
      <c r="H1596" s="4" t="s">
        <v>13420</v>
      </c>
      <c r="I1596" s="3" t="s">
        <v>49</v>
      </c>
      <c r="J1596" s="3" t="s">
        <v>126</v>
      </c>
      <c r="K1596" s="3" t="s">
        <v>45</v>
      </c>
      <c r="L1596" s="3" t="s">
        <v>409</v>
      </c>
      <c r="M1596" s="3" t="s">
        <v>45</v>
      </c>
      <c r="N1596" s="3" t="s">
        <v>45</v>
      </c>
      <c r="O1596" s="3" t="s">
        <v>88</v>
      </c>
      <c r="P1596" s="3" t="s">
        <v>45</v>
      </c>
      <c r="Q1596" s="3" t="s">
        <v>45</v>
      </c>
      <c r="R1596" s="3" t="s">
        <v>45</v>
      </c>
      <c r="S1596" s="3" t="s">
        <v>45</v>
      </c>
      <c r="T1596" s="3" t="s">
        <v>45</v>
      </c>
      <c r="U1596" s="3" t="s">
        <v>45</v>
      </c>
      <c r="V1596" s="4" t="s">
        <v>106</v>
      </c>
      <c r="W1596" s="4" t="s">
        <v>499</v>
      </c>
      <c r="X1596" s="3" t="s">
        <v>13421</v>
      </c>
      <c r="Y1596" s="3" t="s">
        <v>45</v>
      </c>
      <c r="Z1596" s="3" t="s">
        <v>55</v>
      </c>
      <c r="AA1596" s="3" t="s">
        <v>13422</v>
      </c>
      <c r="AB1596" s="3" t="s">
        <v>45</v>
      </c>
      <c r="AC1596" s="3" t="s">
        <v>45</v>
      </c>
      <c r="AD1596" s="5" t="s">
        <v>13423</v>
      </c>
      <c r="AE1596" s="3" t="s">
        <v>45</v>
      </c>
      <c r="AF1596" s="5" t="s">
        <v>13424</v>
      </c>
      <c r="AG1596" s="3" t="s">
        <v>13425</v>
      </c>
      <c r="AH1596" s="3" t="s">
        <v>57</v>
      </c>
      <c r="AI1596" s="5" t="s">
        <v>13426</v>
      </c>
      <c r="AJ1596" s="5" t="s">
        <v>13427</v>
      </c>
      <c r="AK1596" s="3" t="s">
        <v>45</v>
      </c>
      <c r="AL1596" s="3" t="s">
        <v>45</v>
      </c>
      <c r="AM1596" s="3" t="s">
        <v>45</v>
      </c>
      <c r="AN1596" s="3" t="s">
        <v>45</v>
      </c>
      <c r="AO1596" s="3" t="s">
        <v>45</v>
      </c>
      <c r="AP1596" s="3" t="s">
        <v>45</v>
      </c>
      <c r="AQ1596" s="4" t="s">
        <v>2787</v>
      </c>
      <c r="AR1596" s="4" t="s">
        <v>8164</v>
      </c>
    </row>
    <row r="1597">
      <c r="A1597" s="3" t="s">
        <v>1937</v>
      </c>
      <c r="B1597" s="3" t="s">
        <v>13428</v>
      </c>
      <c r="C1597" s="3" t="s">
        <v>13373</v>
      </c>
      <c r="D1597" s="3" t="s">
        <v>13311</v>
      </c>
      <c r="E1597" s="4" t="s">
        <v>13429</v>
      </c>
      <c r="F1597" s="3" t="s">
        <v>13373</v>
      </c>
      <c r="G1597" s="4" t="s">
        <v>13430</v>
      </c>
      <c r="H1597" s="4" t="s">
        <v>13431</v>
      </c>
      <c r="I1597" s="3" t="s">
        <v>436</v>
      </c>
      <c r="J1597" s="3" t="s">
        <v>126</v>
      </c>
      <c r="K1597" s="3" t="s">
        <v>45</v>
      </c>
      <c r="L1597" s="3" t="s">
        <v>45</v>
      </c>
      <c r="M1597" s="3" t="s">
        <v>45</v>
      </c>
      <c r="N1597" s="3" t="s">
        <v>45</v>
      </c>
      <c r="O1597" s="3" t="s">
        <v>74</v>
      </c>
      <c r="P1597" s="3" t="s">
        <v>45</v>
      </c>
      <c r="Q1597" s="3" t="s">
        <v>45</v>
      </c>
      <c r="R1597" s="3" t="s">
        <v>45</v>
      </c>
      <c r="S1597" s="3" t="s">
        <v>45</v>
      </c>
      <c r="T1597" s="3" t="s">
        <v>45</v>
      </c>
      <c r="U1597" s="3" t="s">
        <v>45</v>
      </c>
      <c r="V1597" s="4" t="s">
        <v>13432</v>
      </c>
      <c r="W1597" s="3" t="s">
        <v>45</v>
      </c>
      <c r="X1597" s="3" t="s">
        <v>45</v>
      </c>
      <c r="Y1597" s="3" t="s">
        <v>45</v>
      </c>
      <c r="Z1597" s="3" t="s">
        <v>74</v>
      </c>
      <c r="AA1597" s="3" t="s">
        <v>45</v>
      </c>
      <c r="AB1597" s="3" t="s">
        <v>45</v>
      </c>
      <c r="AC1597" s="3" t="s">
        <v>45</v>
      </c>
      <c r="AD1597" s="3" t="s">
        <v>45</v>
      </c>
      <c r="AE1597" s="3" t="s">
        <v>45</v>
      </c>
      <c r="AF1597" s="3" t="s">
        <v>45</v>
      </c>
      <c r="AG1597" s="3" t="s">
        <v>13433</v>
      </c>
      <c r="AH1597" s="3" t="s">
        <v>57</v>
      </c>
      <c r="AI1597" s="5" t="s">
        <v>13434</v>
      </c>
      <c r="AJ1597" s="5" t="s">
        <v>13435</v>
      </c>
      <c r="AK1597" s="3" t="s">
        <v>45</v>
      </c>
      <c r="AL1597" s="3" t="s">
        <v>45</v>
      </c>
      <c r="AM1597" s="3" t="s">
        <v>45</v>
      </c>
      <c r="AN1597" s="3" t="s">
        <v>45</v>
      </c>
      <c r="AO1597" s="3" t="s">
        <v>45</v>
      </c>
      <c r="AP1597" s="3" t="s">
        <v>45</v>
      </c>
      <c r="AQ1597" s="4" t="s">
        <v>3382</v>
      </c>
      <c r="AR1597" s="4" t="s">
        <v>898</v>
      </c>
    </row>
    <row r="1598">
      <c r="A1598" s="3" t="s">
        <v>13436</v>
      </c>
      <c r="B1598" s="3" t="s">
        <v>13437</v>
      </c>
      <c r="C1598" s="3" t="s">
        <v>13438</v>
      </c>
      <c r="D1598" s="3" t="s">
        <v>13311</v>
      </c>
      <c r="E1598" s="4" t="s">
        <v>13439</v>
      </c>
      <c r="F1598" s="3" t="s">
        <v>13440</v>
      </c>
      <c r="G1598" s="4" t="s">
        <v>13441</v>
      </c>
      <c r="H1598" s="4" t="s">
        <v>13442</v>
      </c>
      <c r="I1598" s="3" t="s">
        <v>85</v>
      </c>
      <c r="J1598" s="3" t="s">
        <v>126</v>
      </c>
      <c r="K1598" s="3" t="s">
        <v>45</v>
      </c>
      <c r="L1598" s="3" t="s">
        <v>409</v>
      </c>
      <c r="M1598" s="3" t="s">
        <v>45</v>
      </c>
      <c r="N1598" s="3" t="s">
        <v>13443</v>
      </c>
      <c r="O1598" s="3" t="s">
        <v>70</v>
      </c>
      <c r="P1598" s="3" t="s">
        <v>45</v>
      </c>
      <c r="Q1598" s="3" t="s">
        <v>45</v>
      </c>
      <c r="R1598" s="3" t="s">
        <v>45</v>
      </c>
      <c r="S1598" s="3" t="s">
        <v>45</v>
      </c>
      <c r="T1598" s="3" t="s">
        <v>45</v>
      </c>
      <c r="U1598" s="3" t="s">
        <v>221</v>
      </c>
      <c r="V1598" s="4" t="s">
        <v>2044</v>
      </c>
      <c r="W1598" s="4" t="s">
        <v>2045</v>
      </c>
      <c r="X1598" s="3" t="s">
        <v>45</v>
      </c>
      <c r="Y1598" s="4" t="s">
        <v>727</v>
      </c>
      <c r="Z1598" s="3" t="s">
        <v>74</v>
      </c>
      <c r="AA1598" s="3" t="s">
        <v>45</v>
      </c>
      <c r="AB1598" s="3" t="s">
        <v>45</v>
      </c>
      <c r="AC1598" s="3" t="s">
        <v>45</v>
      </c>
      <c r="AD1598" s="3" t="s">
        <v>45</v>
      </c>
      <c r="AE1598" s="3" t="s">
        <v>45</v>
      </c>
      <c r="AF1598" s="3" t="s">
        <v>45</v>
      </c>
      <c r="AG1598" s="3" t="s">
        <v>13444</v>
      </c>
      <c r="AH1598" s="3" t="s">
        <v>57</v>
      </c>
      <c r="AI1598" s="5" t="s">
        <v>13445</v>
      </c>
      <c r="AJ1598" s="5" t="s">
        <v>13446</v>
      </c>
      <c r="AK1598" s="5" t="s">
        <v>13447</v>
      </c>
      <c r="AL1598" s="5" t="s">
        <v>362</v>
      </c>
      <c r="AM1598" s="5" t="s">
        <v>13448</v>
      </c>
      <c r="AN1598" s="5" t="s">
        <v>13449</v>
      </c>
      <c r="AO1598" s="5" t="s">
        <v>13450</v>
      </c>
      <c r="AP1598" s="5" t="s">
        <v>13451</v>
      </c>
      <c r="AQ1598" s="4" t="s">
        <v>147</v>
      </c>
      <c r="AR1598" s="4" t="s">
        <v>78</v>
      </c>
    </row>
    <row r="1599">
      <c r="A1599" s="3" t="s">
        <v>13452</v>
      </c>
      <c r="B1599" s="3" t="s">
        <v>13453</v>
      </c>
      <c r="C1599" s="3" t="s">
        <v>13454</v>
      </c>
      <c r="D1599" s="3" t="s">
        <v>13311</v>
      </c>
      <c r="E1599" s="4" t="s">
        <v>13380</v>
      </c>
      <c r="F1599" s="3" t="s">
        <v>13381</v>
      </c>
      <c r="G1599" s="4" t="s">
        <v>13455</v>
      </c>
      <c r="H1599" s="4" t="s">
        <v>13456</v>
      </c>
      <c r="I1599" s="3" t="s">
        <v>218</v>
      </c>
      <c r="J1599" s="3" t="s">
        <v>50</v>
      </c>
      <c r="K1599" s="3" t="s">
        <v>743</v>
      </c>
      <c r="L1599" s="3" t="s">
        <v>13457</v>
      </c>
      <c r="M1599" s="3" t="s">
        <v>45</v>
      </c>
      <c r="N1599" s="3" t="s">
        <v>13458</v>
      </c>
      <c r="O1599" s="3" t="s">
        <v>70</v>
      </c>
      <c r="P1599" s="3" t="s">
        <v>45</v>
      </c>
      <c r="Q1599" s="3" t="s">
        <v>45</v>
      </c>
      <c r="R1599" s="3" t="s">
        <v>45</v>
      </c>
      <c r="S1599" s="4" t="s">
        <v>104</v>
      </c>
      <c r="T1599" s="3" t="s">
        <v>45</v>
      </c>
      <c r="U1599" s="3" t="s">
        <v>45</v>
      </c>
      <c r="V1599" s="3" t="s">
        <v>45</v>
      </c>
      <c r="W1599" s="4" t="s">
        <v>1094</v>
      </c>
      <c r="X1599" s="3" t="s">
        <v>45</v>
      </c>
      <c r="Y1599" s="4" t="s">
        <v>73</v>
      </c>
      <c r="Z1599" s="3" t="s">
        <v>55</v>
      </c>
      <c r="AA1599" s="3" t="s">
        <v>45</v>
      </c>
      <c r="AB1599" s="3" t="s">
        <v>45</v>
      </c>
      <c r="AC1599" s="3" t="s">
        <v>45</v>
      </c>
      <c r="AD1599" s="5" t="s">
        <v>13459</v>
      </c>
      <c r="AE1599" s="3" t="s">
        <v>45</v>
      </c>
      <c r="AF1599" s="5" t="s">
        <v>13460</v>
      </c>
      <c r="AG1599" s="3" t="s">
        <v>13461</v>
      </c>
      <c r="AH1599" s="3" t="s">
        <v>57</v>
      </c>
      <c r="AI1599" s="5" t="s">
        <v>13462</v>
      </c>
      <c r="AJ1599" s="5" t="s">
        <v>13463</v>
      </c>
      <c r="AK1599" s="5" t="s">
        <v>13464</v>
      </c>
      <c r="AL1599" s="5" t="s">
        <v>13465</v>
      </c>
      <c r="AM1599" s="5" t="s">
        <v>13466</v>
      </c>
      <c r="AN1599" s="5" t="s">
        <v>13467</v>
      </c>
      <c r="AO1599" s="5" t="s">
        <v>13468</v>
      </c>
      <c r="AP1599" s="5" t="s">
        <v>13469</v>
      </c>
      <c r="AQ1599" s="4" t="s">
        <v>807</v>
      </c>
      <c r="AR1599" s="4" t="s">
        <v>1016</v>
      </c>
    </row>
    <row r="1600">
      <c r="A1600" s="3" t="s">
        <v>13470</v>
      </c>
      <c r="B1600" s="3" t="s">
        <v>13471</v>
      </c>
      <c r="C1600" s="3" t="s">
        <v>13472</v>
      </c>
      <c r="D1600" s="3" t="s">
        <v>13311</v>
      </c>
      <c r="E1600" s="4" t="s">
        <v>13473</v>
      </c>
      <c r="F1600" s="3" t="s">
        <v>13440</v>
      </c>
      <c r="G1600" s="4" t="s">
        <v>13474</v>
      </c>
      <c r="H1600" s="4" t="s">
        <v>13475</v>
      </c>
      <c r="I1600" s="3" t="s">
        <v>245</v>
      </c>
      <c r="J1600" s="3" t="s">
        <v>50</v>
      </c>
      <c r="K1600" s="3" t="s">
        <v>45</v>
      </c>
      <c r="L1600" s="3" t="s">
        <v>409</v>
      </c>
      <c r="M1600" s="3" t="s">
        <v>45</v>
      </c>
      <c r="N1600" s="3" t="s">
        <v>45</v>
      </c>
      <c r="O1600" s="3" t="s">
        <v>74</v>
      </c>
      <c r="P1600" s="3" t="s">
        <v>45</v>
      </c>
      <c r="Q1600" s="3" t="s">
        <v>45</v>
      </c>
      <c r="R1600" s="3" t="s">
        <v>45</v>
      </c>
      <c r="S1600" s="4" t="s">
        <v>835</v>
      </c>
      <c r="T1600" s="3" t="s">
        <v>45</v>
      </c>
      <c r="U1600" s="3" t="s">
        <v>45</v>
      </c>
      <c r="V1600" s="3" t="s">
        <v>45</v>
      </c>
      <c r="W1600" s="4" t="s">
        <v>13476</v>
      </c>
      <c r="X1600" s="3" t="s">
        <v>45</v>
      </c>
      <c r="Y1600" s="3" t="s">
        <v>45</v>
      </c>
      <c r="Z1600" s="3" t="s">
        <v>55</v>
      </c>
      <c r="AA1600" s="3" t="s">
        <v>45</v>
      </c>
      <c r="AB1600" s="3" t="s">
        <v>45</v>
      </c>
      <c r="AC1600" s="3" t="s">
        <v>45</v>
      </c>
      <c r="AD1600" s="5" t="s">
        <v>13477</v>
      </c>
      <c r="AE1600" s="3" t="s">
        <v>45</v>
      </c>
      <c r="AF1600" s="3" t="s">
        <v>45</v>
      </c>
      <c r="AG1600" s="3" t="s">
        <v>13478</v>
      </c>
      <c r="AH1600" s="3" t="s">
        <v>57</v>
      </c>
      <c r="AI1600" s="5" t="s">
        <v>13479</v>
      </c>
      <c r="AJ1600" s="5" t="s">
        <v>13480</v>
      </c>
      <c r="AK1600" s="5" t="s">
        <v>13481</v>
      </c>
      <c r="AL1600" s="3" t="s">
        <v>45</v>
      </c>
      <c r="AM1600" s="3" t="s">
        <v>45</v>
      </c>
      <c r="AN1600" s="3" t="s">
        <v>45</v>
      </c>
      <c r="AO1600" s="3" t="s">
        <v>45</v>
      </c>
      <c r="AP1600" s="3" t="s">
        <v>45</v>
      </c>
      <c r="AQ1600" s="4" t="s">
        <v>603</v>
      </c>
      <c r="AR1600" s="4" t="s">
        <v>8164</v>
      </c>
    </row>
    <row r="1601">
      <c r="A1601" s="3" t="s">
        <v>13482</v>
      </c>
      <c r="B1601" s="3" t="s">
        <v>13483</v>
      </c>
      <c r="C1601" s="3" t="s">
        <v>13484</v>
      </c>
      <c r="D1601" s="3" t="s">
        <v>13311</v>
      </c>
      <c r="E1601" s="4" t="s">
        <v>13485</v>
      </c>
      <c r="F1601" s="3" t="s">
        <v>13486</v>
      </c>
      <c r="G1601" s="4" t="s">
        <v>13487</v>
      </c>
      <c r="H1601" s="4" t="s">
        <v>13488</v>
      </c>
      <c r="I1601" s="3" t="s">
        <v>245</v>
      </c>
      <c r="J1601" s="3" t="s">
        <v>50</v>
      </c>
      <c r="K1601" s="3" t="s">
        <v>45</v>
      </c>
      <c r="L1601" s="3" t="s">
        <v>45</v>
      </c>
      <c r="M1601" s="3" t="s">
        <v>45</v>
      </c>
      <c r="N1601" s="3" t="s">
        <v>45</v>
      </c>
      <c r="O1601" s="3" t="s">
        <v>88</v>
      </c>
      <c r="P1601" s="3" t="s">
        <v>45</v>
      </c>
      <c r="Q1601" s="3" t="s">
        <v>45</v>
      </c>
      <c r="R1601" s="3" t="s">
        <v>45</v>
      </c>
      <c r="S1601" s="3" t="s">
        <v>45</v>
      </c>
      <c r="T1601" s="3" t="s">
        <v>45</v>
      </c>
      <c r="U1601" s="3" t="s">
        <v>45</v>
      </c>
      <c r="V1601" s="3" t="s">
        <v>45</v>
      </c>
      <c r="W1601" s="4" t="s">
        <v>1574</v>
      </c>
      <c r="X1601" s="3" t="s">
        <v>6287</v>
      </c>
      <c r="Y1601" s="3" t="s">
        <v>45</v>
      </c>
      <c r="Z1601" s="3" t="s">
        <v>55</v>
      </c>
      <c r="AA1601" s="3" t="s">
        <v>45</v>
      </c>
      <c r="AB1601" s="3" t="s">
        <v>45</v>
      </c>
      <c r="AC1601" s="3" t="s">
        <v>45</v>
      </c>
      <c r="AD1601" s="5" t="s">
        <v>13489</v>
      </c>
      <c r="AE1601" s="3" t="s">
        <v>45</v>
      </c>
      <c r="AF1601" s="3" t="s">
        <v>45</v>
      </c>
      <c r="AG1601" s="3" t="s">
        <v>13490</v>
      </c>
      <c r="AH1601" s="3" t="s">
        <v>840</v>
      </c>
      <c r="AI1601" s="5" t="s">
        <v>13491</v>
      </c>
      <c r="AJ1601" s="5" t="s">
        <v>13492</v>
      </c>
      <c r="AK1601" s="5" t="s">
        <v>13493</v>
      </c>
      <c r="AL1601" s="5" t="s">
        <v>13494</v>
      </c>
      <c r="AM1601" s="5" t="s">
        <v>13495</v>
      </c>
      <c r="AN1601" s="5" t="s">
        <v>13496</v>
      </c>
      <c r="AO1601" s="3" t="s">
        <v>45</v>
      </c>
      <c r="AP1601" s="3" t="s">
        <v>45</v>
      </c>
      <c r="AQ1601" s="4" t="s">
        <v>3233</v>
      </c>
      <c r="AR1601" s="4" t="s">
        <v>3552</v>
      </c>
    </row>
    <row r="1602">
      <c r="A1602" s="3" t="s">
        <v>404</v>
      </c>
      <c r="B1602" s="3" t="s">
        <v>13497</v>
      </c>
      <c r="C1602" s="3" t="s">
        <v>13498</v>
      </c>
      <c r="D1602" s="3" t="s">
        <v>13311</v>
      </c>
      <c r="E1602" s="4" t="s">
        <v>13499</v>
      </c>
      <c r="F1602" s="3" t="s">
        <v>13440</v>
      </c>
      <c r="G1602" s="4" t="s">
        <v>13500</v>
      </c>
      <c r="H1602" s="4" t="s">
        <v>13501</v>
      </c>
      <c r="I1602" s="3" t="s">
        <v>49</v>
      </c>
      <c r="J1602" s="3" t="s">
        <v>126</v>
      </c>
      <c r="K1602" s="3" t="s">
        <v>45</v>
      </c>
      <c r="L1602" s="3" t="s">
        <v>409</v>
      </c>
      <c r="M1602" s="3" t="s">
        <v>45</v>
      </c>
      <c r="N1602" s="3" t="s">
        <v>45</v>
      </c>
      <c r="O1602" s="3" t="s">
        <v>74</v>
      </c>
      <c r="P1602" s="3" t="s">
        <v>45</v>
      </c>
      <c r="Q1602" s="3" t="s">
        <v>45</v>
      </c>
      <c r="R1602" s="3" t="s">
        <v>45</v>
      </c>
      <c r="S1602" s="3" t="s">
        <v>45</v>
      </c>
      <c r="T1602" s="3" t="s">
        <v>45</v>
      </c>
      <c r="U1602" s="3" t="s">
        <v>45</v>
      </c>
      <c r="V1602" s="4" t="s">
        <v>1182</v>
      </c>
      <c r="W1602" s="4" t="s">
        <v>13502</v>
      </c>
      <c r="X1602" s="3" t="s">
        <v>45</v>
      </c>
      <c r="Y1602" s="3" t="s">
        <v>45</v>
      </c>
      <c r="Z1602" s="3" t="s">
        <v>74</v>
      </c>
      <c r="AA1602" s="3" t="s">
        <v>45</v>
      </c>
      <c r="AB1602" s="3" t="s">
        <v>45</v>
      </c>
      <c r="AC1602" s="3" t="s">
        <v>45</v>
      </c>
      <c r="AD1602" s="3" t="s">
        <v>45</v>
      </c>
      <c r="AE1602" s="3" t="s">
        <v>45</v>
      </c>
      <c r="AF1602" s="3" t="s">
        <v>45</v>
      </c>
      <c r="AG1602" s="3" t="s">
        <v>45</v>
      </c>
      <c r="AH1602" s="3" t="s">
        <v>57</v>
      </c>
      <c r="AI1602" s="5" t="s">
        <v>13503</v>
      </c>
      <c r="AJ1602" s="3" t="s">
        <v>45</v>
      </c>
      <c r="AK1602" s="3" t="s">
        <v>45</v>
      </c>
      <c r="AL1602" s="3" t="s">
        <v>45</v>
      </c>
      <c r="AM1602" s="3" t="s">
        <v>45</v>
      </c>
      <c r="AN1602" s="3" t="s">
        <v>45</v>
      </c>
      <c r="AO1602" s="3" t="s">
        <v>45</v>
      </c>
      <c r="AP1602" s="3" t="s">
        <v>45</v>
      </c>
      <c r="AQ1602" s="4" t="s">
        <v>3419</v>
      </c>
      <c r="AR1602" s="4" t="s">
        <v>3419</v>
      </c>
    </row>
    <row r="1603">
      <c r="A1603" s="3" t="s">
        <v>404</v>
      </c>
      <c r="B1603" s="3" t="s">
        <v>13504</v>
      </c>
      <c r="C1603" s="3" t="s">
        <v>13498</v>
      </c>
      <c r="D1603" s="3" t="s">
        <v>13311</v>
      </c>
      <c r="E1603" s="4" t="s">
        <v>13439</v>
      </c>
      <c r="F1603" s="3" t="s">
        <v>13440</v>
      </c>
      <c r="G1603" s="4" t="s">
        <v>13505</v>
      </c>
      <c r="H1603" s="4" t="s">
        <v>13506</v>
      </c>
      <c r="I1603" s="3" t="s">
        <v>49</v>
      </c>
      <c r="J1603" s="3" t="s">
        <v>126</v>
      </c>
      <c r="K1603" s="3" t="s">
        <v>45</v>
      </c>
      <c r="L1603" s="3" t="s">
        <v>409</v>
      </c>
      <c r="M1603" s="3" t="s">
        <v>45</v>
      </c>
      <c r="N1603" s="3" t="s">
        <v>45</v>
      </c>
      <c r="O1603" s="3" t="s">
        <v>74</v>
      </c>
      <c r="P1603" s="3" t="s">
        <v>45</v>
      </c>
      <c r="Q1603" s="3" t="s">
        <v>45</v>
      </c>
      <c r="R1603" s="3" t="s">
        <v>45</v>
      </c>
      <c r="S1603" s="3" t="s">
        <v>45</v>
      </c>
      <c r="T1603" s="3" t="s">
        <v>45</v>
      </c>
      <c r="U1603" s="3" t="s">
        <v>45</v>
      </c>
      <c r="V1603" s="3" t="s">
        <v>45</v>
      </c>
      <c r="W1603" s="4" t="s">
        <v>10492</v>
      </c>
      <c r="X1603" s="3" t="s">
        <v>45</v>
      </c>
      <c r="Y1603" s="3" t="s">
        <v>45</v>
      </c>
      <c r="Z1603" s="3" t="s">
        <v>74</v>
      </c>
      <c r="AA1603" s="3" t="s">
        <v>45</v>
      </c>
      <c r="AB1603" s="3" t="s">
        <v>45</v>
      </c>
      <c r="AC1603" s="3" t="s">
        <v>45</v>
      </c>
      <c r="AD1603" s="3" t="s">
        <v>45</v>
      </c>
      <c r="AE1603" s="3" t="s">
        <v>45</v>
      </c>
      <c r="AF1603" s="3" t="s">
        <v>45</v>
      </c>
      <c r="AG1603" s="3" t="s">
        <v>45</v>
      </c>
      <c r="AH1603" s="3" t="s">
        <v>57</v>
      </c>
      <c r="AI1603" s="5" t="s">
        <v>13507</v>
      </c>
      <c r="AJ1603" s="5" t="s">
        <v>13508</v>
      </c>
      <c r="AK1603" s="5" t="s">
        <v>13509</v>
      </c>
      <c r="AL1603" s="3" t="s">
        <v>45</v>
      </c>
      <c r="AM1603" s="3" t="s">
        <v>45</v>
      </c>
      <c r="AN1603" s="3" t="s">
        <v>45</v>
      </c>
      <c r="AO1603" s="3" t="s">
        <v>45</v>
      </c>
      <c r="AP1603" s="3" t="s">
        <v>45</v>
      </c>
      <c r="AQ1603" s="4" t="s">
        <v>5805</v>
      </c>
      <c r="AR1603" s="4" t="s">
        <v>5805</v>
      </c>
    </row>
    <row r="1604">
      <c r="A1604" s="3" t="s">
        <v>13510</v>
      </c>
      <c r="B1604" s="3" t="s">
        <v>13511</v>
      </c>
      <c r="C1604" s="3" t="s">
        <v>13512</v>
      </c>
      <c r="D1604" s="3" t="s">
        <v>13311</v>
      </c>
      <c r="E1604" s="4" t="s">
        <v>13513</v>
      </c>
      <c r="F1604" s="3" t="s">
        <v>6226</v>
      </c>
      <c r="G1604" s="4" t="s">
        <v>13514</v>
      </c>
      <c r="H1604" s="4" t="s">
        <v>13515</v>
      </c>
      <c r="I1604" s="3" t="s">
        <v>436</v>
      </c>
      <c r="J1604" s="3" t="s">
        <v>50</v>
      </c>
      <c r="K1604" s="3" t="s">
        <v>45</v>
      </c>
      <c r="L1604" s="3" t="s">
        <v>45</v>
      </c>
      <c r="M1604" s="3" t="s">
        <v>45</v>
      </c>
      <c r="N1604" s="4" t="s">
        <v>2982</v>
      </c>
      <c r="O1604" s="3" t="s">
        <v>390</v>
      </c>
      <c r="P1604" s="3" t="s">
        <v>45</v>
      </c>
      <c r="Q1604" s="3" t="s">
        <v>45</v>
      </c>
      <c r="R1604" s="3" t="s">
        <v>45</v>
      </c>
      <c r="S1604" s="3" t="s">
        <v>45</v>
      </c>
      <c r="T1604" s="3" t="s">
        <v>45</v>
      </c>
      <c r="U1604" s="3" t="s">
        <v>45</v>
      </c>
      <c r="V1604" s="3" t="s">
        <v>45</v>
      </c>
      <c r="W1604" s="4" t="s">
        <v>247</v>
      </c>
      <c r="X1604" s="3" t="s">
        <v>9473</v>
      </c>
      <c r="Y1604" s="3" t="s">
        <v>45</v>
      </c>
      <c r="Z1604" s="3" t="s">
        <v>74</v>
      </c>
      <c r="AA1604" s="3" t="s">
        <v>45</v>
      </c>
      <c r="AB1604" s="3" t="s">
        <v>45</v>
      </c>
      <c r="AC1604" s="3" t="s">
        <v>45</v>
      </c>
      <c r="AD1604" s="3" t="s">
        <v>45</v>
      </c>
      <c r="AE1604" s="3" t="s">
        <v>45</v>
      </c>
      <c r="AF1604" s="3" t="s">
        <v>45</v>
      </c>
      <c r="AG1604" s="3" t="s">
        <v>45</v>
      </c>
      <c r="AH1604" s="3" t="s">
        <v>57</v>
      </c>
      <c r="AI1604" s="5" t="s">
        <v>13516</v>
      </c>
      <c r="AJ1604" s="5" t="s">
        <v>13517</v>
      </c>
      <c r="AK1604" s="5" t="s">
        <v>13518</v>
      </c>
      <c r="AL1604" s="3" t="s">
        <v>45</v>
      </c>
      <c r="AM1604" s="3" t="s">
        <v>45</v>
      </c>
      <c r="AN1604" s="3" t="s">
        <v>45</v>
      </c>
      <c r="AO1604" s="3" t="s">
        <v>45</v>
      </c>
      <c r="AP1604" s="3" t="s">
        <v>45</v>
      </c>
      <c r="AQ1604" s="4" t="s">
        <v>1134</v>
      </c>
      <c r="AR1604" s="4" t="s">
        <v>1134</v>
      </c>
    </row>
    <row r="1605">
      <c r="A1605" s="3" t="s">
        <v>13519</v>
      </c>
      <c r="B1605" s="3" t="s">
        <v>13520</v>
      </c>
      <c r="C1605" s="3" t="s">
        <v>5445</v>
      </c>
      <c r="D1605" s="3" t="s">
        <v>13521</v>
      </c>
      <c r="E1605" s="4" t="s">
        <v>13522</v>
      </c>
      <c r="F1605" s="3" t="s">
        <v>13523</v>
      </c>
      <c r="G1605" s="4" t="s">
        <v>13524</v>
      </c>
      <c r="H1605" s="4" t="s">
        <v>13525</v>
      </c>
      <c r="I1605" s="3" t="s">
        <v>49</v>
      </c>
      <c r="J1605" s="3" t="s">
        <v>50</v>
      </c>
      <c r="K1605" s="3" t="s">
        <v>45</v>
      </c>
      <c r="L1605" s="3" t="s">
        <v>176</v>
      </c>
      <c r="M1605" s="3" t="s">
        <v>45</v>
      </c>
      <c r="N1605" s="3" t="s">
        <v>45</v>
      </c>
      <c r="O1605" s="3" t="s">
        <v>74</v>
      </c>
      <c r="P1605" s="3" t="s">
        <v>45</v>
      </c>
      <c r="Q1605" s="3" t="s">
        <v>45</v>
      </c>
      <c r="R1605" s="3" t="s">
        <v>45</v>
      </c>
      <c r="S1605" s="3" t="s">
        <v>45</v>
      </c>
      <c r="T1605" s="3" t="s">
        <v>45</v>
      </c>
      <c r="U1605" s="3" t="s">
        <v>45</v>
      </c>
      <c r="V1605" s="3" t="s">
        <v>45</v>
      </c>
      <c r="W1605" s="4" t="s">
        <v>4980</v>
      </c>
      <c r="X1605" s="3" t="s">
        <v>45</v>
      </c>
      <c r="Y1605" s="3" t="s">
        <v>45</v>
      </c>
      <c r="Z1605" s="3" t="s">
        <v>74</v>
      </c>
      <c r="AA1605" s="3" t="s">
        <v>45</v>
      </c>
      <c r="AB1605" s="3" t="s">
        <v>45</v>
      </c>
      <c r="AC1605" s="3" t="s">
        <v>45</v>
      </c>
      <c r="AD1605" s="3" t="s">
        <v>45</v>
      </c>
      <c r="AE1605" s="3" t="s">
        <v>45</v>
      </c>
      <c r="AF1605" s="3" t="s">
        <v>45</v>
      </c>
      <c r="AG1605" s="3" t="s">
        <v>13526</v>
      </c>
      <c r="AH1605" s="3" t="s">
        <v>57</v>
      </c>
      <c r="AI1605" s="5" t="s">
        <v>13527</v>
      </c>
      <c r="AJ1605" s="5" t="s">
        <v>13528</v>
      </c>
      <c r="AK1605" s="5" t="s">
        <v>13529</v>
      </c>
      <c r="AL1605" s="3" t="s">
        <v>45</v>
      </c>
      <c r="AM1605" s="3" t="s">
        <v>45</v>
      </c>
      <c r="AN1605" s="3" t="s">
        <v>45</v>
      </c>
      <c r="AO1605" s="3" t="s">
        <v>45</v>
      </c>
      <c r="AP1605" s="3" t="s">
        <v>45</v>
      </c>
      <c r="AQ1605" s="4" t="s">
        <v>3866</v>
      </c>
      <c r="AR1605" s="4" t="s">
        <v>3866</v>
      </c>
    </row>
    <row r="1606">
      <c r="A1606" s="3" t="s">
        <v>13530</v>
      </c>
      <c r="B1606" s="3" t="s">
        <v>13531</v>
      </c>
      <c r="C1606" s="3" t="s">
        <v>13532</v>
      </c>
      <c r="D1606" s="3" t="s">
        <v>13521</v>
      </c>
      <c r="E1606" s="4" t="s">
        <v>13533</v>
      </c>
      <c r="F1606" s="3" t="s">
        <v>13534</v>
      </c>
      <c r="G1606" s="4" t="s">
        <v>13535</v>
      </c>
      <c r="H1606" s="4" t="s">
        <v>13536</v>
      </c>
      <c r="I1606" s="3" t="s">
        <v>218</v>
      </c>
      <c r="J1606" s="3" t="s">
        <v>50</v>
      </c>
      <c r="K1606" s="3" t="s">
        <v>45</v>
      </c>
      <c r="L1606" s="3" t="s">
        <v>13537</v>
      </c>
      <c r="M1606" s="3" t="s">
        <v>45</v>
      </c>
      <c r="N1606" s="4" t="s">
        <v>13538</v>
      </c>
      <c r="O1606" s="3" t="s">
        <v>70</v>
      </c>
      <c r="P1606" s="3" t="s">
        <v>71</v>
      </c>
      <c r="Q1606" s="3" t="s">
        <v>55</v>
      </c>
      <c r="R1606" s="3" t="s">
        <v>45</v>
      </c>
      <c r="S1606" s="3" t="s">
        <v>45</v>
      </c>
      <c r="T1606" s="3" t="s">
        <v>45</v>
      </c>
      <c r="U1606" s="3" t="s">
        <v>45</v>
      </c>
      <c r="V1606" s="3" t="s">
        <v>45</v>
      </c>
      <c r="W1606" s="4" t="s">
        <v>5697</v>
      </c>
      <c r="X1606" s="3" t="s">
        <v>45</v>
      </c>
      <c r="Y1606" s="3" t="s">
        <v>45</v>
      </c>
      <c r="Z1606" s="3" t="s">
        <v>55</v>
      </c>
      <c r="AA1606" s="3" t="s">
        <v>13539</v>
      </c>
      <c r="AB1606" s="3" t="s">
        <v>109</v>
      </c>
      <c r="AC1606" s="3" t="s">
        <v>45</v>
      </c>
      <c r="AD1606" s="5" t="s">
        <v>13540</v>
      </c>
      <c r="AE1606" s="5" t="s">
        <v>13541</v>
      </c>
      <c r="AF1606" s="3" t="s">
        <v>13542</v>
      </c>
      <c r="AG1606" s="3" t="s">
        <v>13543</v>
      </c>
      <c r="AH1606" s="3" t="s">
        <v>840</v>
      </c>
      <c r="AI1606" s="5" t="s">
        <v>13544</v>
      </c>
      <c r="AJ1606" s="5" t="s">
        <v>13545</v>
      </c>
      <c r="AK1606" s="5" t="s">
        <v>13546</v>
      </c>
      <c r="AL1606" s="5" t="s">
        <v>13547</v>
      </c>
      <c r="AM1606" s="5" t="s">
        <v>13548</v>
      </c>
      <c r="AN1606" s="5" t="s">
        <v>13549</v>
      </c>
      <c r="AO1606" s="3" t="s">
        <v>45</v>
      </c>
      <c r="AP1606" s="3" t="s">
        <v>45</v>
      </c>
      <c r="AQ1606" s="4" t="s">
        <v>13550</v>
      </c>
      <c r="AR1606" s="4" t="s">
        <v>1728</v>
      </c>
    </row>
    <row r="1607">
      <c r="A1607" s="3" t="s">
        <v>13551</v>
      </c>
      <c r="B1607" s="3" t="s">
        <v>13552</v>
      </c>
      <c r="C1607" s="3" t="s">
        <v>13553</v>
      </c>
      <c r="D1607" s="3" t="s">
        <v>13521</v>
      </c>
      <c r="E1607" s="4" t="s">
        <v>13554</v>
      </c>
      <c r="F1607" s="3" t="s">
        <v>3299</v>
      </c>
      <c r="G1607" s="4" t="s">
        <v>13555</v>
      </c>
      <c r="H1607" s="4" t="s">
        <v>13556</v>
      </c>
      <c r="I1607" s="3" t="s">
        <v>49</v>
      </c>
      <c r="J1607" s="3" t="s">
        <v>126</v>
      </c>
      <c r="K1607" s="3" t="s">
        <v>45</v>
      </c>
      <c r="L1607" s="3" t="s">
        <v>13557</v>
      </c>
      <c r="M1607" s="3" t="s">
        <v>45</v>
      </c>
      <c r="N1607" s="4" t="s">
        <v>419</v>
      </c>
      <c r="O1607" s="3" t="s">
        <v>88</v>
      </c>
      <c r="P1607" s="3" t="s">
        <v>71</v>
      </c>
      <c r="Q1607" s="3" t="s">
        <v>13558</v>
      </c>
      <c r="R1607" s="3" t="s">
        <v>45</v>
      </c>
      <c r="S1607" s="4" t="s">
        <v>259</v>
      </c>
      <c r="T1607" s="3" t="s">
        <v>45</v>
      </c>
      <c r="U1607" s="3" t="s">
        <v>221</v>
      </c>
      <c r="V1607" s="4" t="s">
        <v>13559</v>
      </c>
      <c r="W1607" s="4" t="s">
        <v>13560</v>
      </c>
      <c r="X1607" s="3" t="s">
        <v>45</v>
      </c>
      <c r="Y1607" s="3" t="s">
        <v>45</v>
      </c>
      <c r="Z1607" s="3" t="s">
        <v>74</v>
      </c>
      <c r="AA1607" s="3" t="s">
        <v>45</v>
      </c>
      <c r="AB1607" s="3" t="s">
        <v>45</v>
      </c>
      <c r="AC1607" s="3" t="s">
        <v>45</v>
      </c>
      <c r="AD1607" s="3" t="s">
        <v>45</v>
      </c>
      <c r="AE1607" s="3" t="s">
        <v>45</v>
      </c>
      <c r="AF1607" s="3" t="s">
        <v>45</v>
      </c>
      <c r="AG1607" s="3" t="s">
        <v>13561</v>
      </c>
      <c r="AH1607" s="3" t="s">
        <v>840</v>
      </c>
      <c r="AI1607" s="5" t="s">
        <v>13562</v>
      </c>
      <c r="AJ1607" s="5" t="s">
        <v>13563</v>
      </c>
      <c r="AK1607" s="5" t="s">
        <v>13564</v>
      </c>
      <c r="AL1607" s="5" t="s">
        <v>13565</v>
      </c>
      <c r="AM1607" s="3" t="s">
        <v>45</v>
      </c>
      <c r="AN1607" s="3" t="s">
        <v>45</v>
      </c>
      <c r="AO1607" s="3" t="s">
        <v>45</v>
      </c>
      <c r="AP1607" s="3" t="s">
        <v>45</v>
      </c>
      <c r="AQ1607" s="4" t="s">
        <v>5150</v>
      </c>
      <c r="AR1607" s="4" t="s">
        <v>5150</v>
      </c>
    </row>
    <row r="1608">
      <c r="A1608" s="3" t="s">
        <v>13566</v>
      </c>
      <c r="B1608" s="3" t="s">
        <v>13567</v>
      </c>
      <c r="C1608" s="3" t="s">
        <v>13553</v>
      </c>
      <c r="D1608" s="3" t="s">
        <v>13521</v>
      </c>
      <c r="E1608" s="4" t="s">
        <v>13554</v>
      </c>
      <c r="F1608" s="3" t="s">
        <v>3299</v>
      </c>
      <c r="G1608" s="4" t="s">
        <v>13568</v>
      </c>
      <c r="H1608" s="4" t="s">
        <v>13569</v>
      </c>
      <c r="I1608" s="3" t="s">
        <v>49</v>
      </c>
      <c r="J1608" s="3" t="s">
        <v>50</v>
      </c>
      <c r="K1608" s="3" t="s">
        <v>45</v>
      </c>
      <c r="L1608" s="3" t="s">
        <v>45</v>
      </c>
      <c r="M1608" s="3" t="s">
        <v>45</v>
      </c>
      <c r="N1608" s="3" t="s">
        <v>45</v>
      </c>
      <c r="O1608" s="3" t="s">
        <v>74</v>
      </c>
      <c r="P1608" s="3" t="s">
        <v>45</v>
      </c>
      <c r="Q1608" s="3" t="s">
        <v>45</v>
      </c>
      <c r="R1608" s="3" t="s">
        <v>45</v>
      </c>
      <c r="S1608" s="3" t="s">
        <v>45</v>
      </c>
      <c r="T1608" s="3" t="s">
        <v>45</v>
      </c>
      <c r="U1608" s="3" t="s">
        <v>45</v>
      </c>
      <c r="V1608" s="3" t="s">
        <v>45</v>
      </c>
      <c r="W1608" s="3" t="s">
        <v>45</v>
      </c>
      <c r="X1608" s="3" t="s">
        <v>13570</v>
      </c>
      <c r="Y1608" s="4" t="s">
        <v>727</v>
      </c>
      <c r="Z1608" s="3" t="s">
        <v>74</v>
      </c>
      <c r="AA1608" s="3" t="s">
        <v>45</v>
      </c>
      <c r="AB1608" s="3" t="s">
        <v>45</v>
      </c>
      <c r="AC1608" s="3" t="s">
        <v>45</v>
      </c>
      <c r="AD1608" s="3" t="s">
        <v>45</v>
      </c>
      <c r="AE1608" s="3" t="s">
        <v>45</v>
      </c>
      <c r="AF1608" s="3" t="s">
        <v>45</v>
      </c>
      <c r="AG1608" s="3" t="s">
        <v>45</v>
      </c>
      <c r="AH1608" s="3" t="s">
        <v>840</v>
      </c>
      <c r="AI1608" s="5" t="s">
        <v>13565</v>
      </c>
      <c r="AJ1608" s="3" t="s">
        <v>45</v>
      </c>
      <c r="AK1608" s="3" t="s">
        <v>45</v>
      </c>
      <c r="AL1608" s="3" t="s">
        <v>45</v>
      </c>
      <c r="AM1608" s="3" t="s">
        <v>45</v>
      </c>
      <c r="AN1608" s="3" t="s">
        <v>45</v>
      </c>
      <c r="AO1608" s="3" t="s">
        <v>45</v>
      </c>
      <c r="AP1608" s="3" t="s">
        <v>45</v>
      </c>
      <c r="AQ1608" s="4" t="s">
        <v>5150</v>
      </c>
      <c r="AR1608" s="4" t="s">
        <v>5150</v>
      </c>
    </row>
    <row r="1609">
      <c r="A1609" s="3" t="s">
        <v>13571</v>
      </c>
      <c r="B1609" s="3" t="s">
        <v>13572</v>
      </c>
      <c r="C1609" s="3" t="s">
        <v>13573</v>
      </c>
      <c r="D1609" s="3" t="s">
        <v>13521</v>
      </c>
      <c r="E1609" s="4" t="s">
        <v>13574</v>
      </c>
      <c r="F1609" s="3" t="s">
        <v>13575</v>
      </c>
      <c r="G1609" s="4" t="s">
        <v>13576</v>
      </c>
      <c r="H1609" s="4" t="s">
        <v>13577</v>
      </c>
      <c r="I1609" s="3" t="s">
        <v>49</v>
      </c>
      <c r="J1609" s="3" t="s">
        <v>126</v>
      </c>
      <c r="K1609" s="3" t="s">
        <v>45</v>
      </c>
      <c r="L1609" s="3" t="s">
        <v>13578</v>
      </c>
      <c r="M1609" s="3" t="s">
        <v>45</v>
      </c>
      <c r="N1609" s="4" t="s">
        <v>13579</v>
      </c>
      <c r="O1609" s="3" t="s">
        <v>70</v>
      </c>
      <c r="P1609" s="3" t="s">
        <v>71</v>
      </c>
      <c r="Q1609" s="3" t="s">
        <v>13580</v>
      </c>
      <c r="R1609" s="3" t="s">
        <v>45</v>
      </c>
      <c r="S1609" s="3" t="s">
        <v>45</v>
      </c>
      <c r="T1609" s="3" t="s">
        <v>45</v>
      </c>
      <c r="U1609" s="3" t="s">
        <v>45</v>
      </c>
      <c r="V1609" s="3" t="s">
        <v>45</v>
      </c>
      <c r="W1609" s="3" t="s">
        <v>45</v>
      </c>
      <c r="X1609" s="3" t="s">
        <v>45</v>
      </c>
      <c r="Y1609" s="3" t="s">
        <v>45</v>
      </c>
      <c r="Z1609" s="3" t="s">
        <v>55</v>
      </c>
      <c r="AA1609" s="3" t="s">
        <v>13581</v>
      </c>
      <c r="AB1609" s="3" t="s">
        <v>109</v>
      </c>
      <c r="AC1609" s="3" t="s">
        <v>45</v>
      </c>
      <c r="AD1609" s="5" t="s">
        <v>13582</v>
      </c>
      <c r="AE1609" s="5" t="s">
        <v>13583</v>
      </c>
      <c r="AF1609" s="3" t="s">
        <v>45</v>
      </c>
      <c r="AG1609" s="3" t="s">
        <v>13584</v>
      </c>
      <c r="AH1609" s="3" t="s">
        <v>840</v>
      </c>
      <c r="AI1609" s="5" t="s">
        <v>13585</v>
      </c>
      <c r="AJ1609" s="5" t="s">
        <v>13586</v>
      </c>
      <c r="AK1609" s="5" t="s">
        <v>13587</v>
      </c>
      <c r="AL1609" s="3" t="s">
        <v>45</v>
      </c>
      <c r="AM1609" s="3" t="s">
        <v>45</v>
      </c>
      <c r="AN1609" s="3" t="s">
        <v>45</v>
      </c>
      <c r="AO1609" s="3" t="s">
        <v>45</v>
      </c>
      <c r="AP1609" s="3" t="s">
        <v>45</v>
      </c>
      <c r="AQ1609" s="4" t="s">
        <v>8335</v>
      </c>
      <c r="AR1609" s="4" t="s">
        <v>2459</v>
      </c>
    </row>
    <row r="1610">
      <c r="A1610" s="3" t="s">
        <v>13588</v>
      </c>
      <c r="B1610" s="3" t="s">
        <v>13589</v>
      </c>
      <c r="C1610" s="3" t="s">
        <v>13590</v>
      </c>
      <c r="D1610" s="3" t="s">
        <v>13521</v>
      </c>
      <c r="E1610" s="4" t="s">
        <v>13591</v>
      </c>
      <c r="F1610" s="3" t="s">
        <v>13592</v>
      </c>
      <c r="G1610" s="4" t="s">
        <v>13593</v>
      </c>
      <c r="H1610" s="4" t="s">
        <v>13594</v>
      </c>
      <c r="I1610" s="3" t="s">
        <v>218</v>
      </c>
      <c r="J1610" s="3" t="s">
        <v>126</v>
      </c>
      <c r="K1610" s="3" t="s">
        <v>45</v>
      </c>
      <c r="L1610" s="3" t="s">
        <v>45</v>
      </c>
      <c r="M1610" s="3" t="s">
        <v>45</v>
      </c>
      <c r="N1610" s="3" t="s">
        <v>45</v>
      </c>
      <c r="O1610" s="3" t="s">
        <v>74</v>
      </c>
      <c r="P1610" s="3" t="s">
        <v>45</v>
      </c>
      <c r="Q1610" s="3" t="s">
        <v>45</v>
      </c>
      <c r="R1610" s="3" t="s">
        <v>45</v>
      </c>
      <c r="S1610" s="3" t="s">
        <v>45</v>
      </c>
      <c r="T1610" s="3" t="s">
        <v>45</v>
      </c>
      <c r="U1610" s="3" t="s">
        <v>45</v>
      </c>
      <c r="V1610" s="4" t="s">
        <v>3260</v>
      </c>
      <c r="W1610" s="3" t="s">
        <v>45</v>
      </c>
      <c r="X1610" s="3" t="s">
        <v>45</v>
      </c>
      <c r="Y1610" s="3" t="s">
        <v>45</v>
      </c>
      <c r="Z1610" s="3" t="s">
        <v>74</v>
      </c>
      <c r="AA1610" s="3" t="s">
        <v>45</v>
      </c>
      <c r="AB1610" s="3" t="s">
        <v>45</v>
      </c>
      <c r="AC1610" s="3" t="s">
        <v>45</v>
      </c>
      <c r="AD1610" s="3" t="s">
        <v>45</v>
      </c>
      <c r="AE1610" s="3" t="s">
        <v>45</v>
      </c>
      <c r="AF1610" s="3" t="s">
        <v>45</v>
      </c>
      <c r="AG1610" s="3" t="s">
        <v>45</v>
      </c>
      <c r="AH1610" s="3" t="s">
        <v>57</v>
      </c>
      <c r="AI1610" s="5" t="s">
        <v>13595</v>
      </c>
      <c r="AJ1610" s="3" t="s">
        <v>45</v>
      </c>
      <c r="AK1610" s="3" t="s">
        <v>45</v>
      </c>
      <c r="AL1610" s="3" t="s">
        <v>45</v>
      </c>
      <c r="AM1610" s="3" t="s">
        <v>45</v>
      </c>
      <c r="AN1610" s="3" t="s">
        <v>45</v>
      </c>
      <c r="AO1610" s="3" t="s">
        <v>45</v>
      </c>
      <c r="AP1610" s="3" t="s">
        <v>45</v>
      </c>
      <c r="AQ1610" s="4" t="s">
        <v>8335</v>
      </c>
      <c r="AR1610" s="4" t="s">
        <v>8335</v>
      </c>
    </row>
    <row r="1611">
      <c r="A1611" s="3" t="s">
        <v>13596</v>
      </c>
      <c r="B1611" s="3" t="s">
        <v>13597</v>
      </c>
      <c r="C1611" s="3" t="s">
        <v>13598</v>
      </c>
      <c r="D1611" s="3" t="s">
        <v>13521</v>
      </c>
      <c r="E1611" s="4" t="s">
        <v>13599</v>
      </c>
      <c r="F1611" s="3" t="s">
        <v>123</v>
      </c>
      <c r="G1611" s="4" t="s">
        <v>13600</v>
      </c>
      <c r="H1611" s="4" t="s">
        <v>13601</v>
      </c>
      <c r="I1611" s="3" t="s">
        <v>49</v>
      </c>
      <c r="J1611" s="3" t="s">
        <v>50</v>
      </c>
      <c r="K1611" s="3" t="s">
        <v>45</v>
      </c>
      <c r="L1611" s="3" t="s">
        <v>557</v>
      </c>
      <c r="M1611" s="3" t="s">
        <v>45</v>
      </c>
      <c r="N1611" s="3" t="s">
        <v>45</v>
      </c>
      <c r="O1611" s="3" t="s">
        <v>74</v>
      </c>
      <c r="P1611" s="3" t="s">
        <v>45</v>
      </c>
      <c r="Q1611" s="3" t="s">
        <v>45</v>
      </c>
      <c r="R1611" s="3" t="s">
        <v>45</v>
      </c>
      <c r="S1611" s="4" t="s">
        <v>233</v>
      </c>
      <c r="T1611" s="3" t="s">
        <v>45</v>
      </c>
      <c r="U1611" s="3" t="s">
        <v>45</v>
      </c>
      <c r="V1611" s="3" t="s">
        <v>45</v>
      </c>
      <c r="W1611" s="4" t="s">
        <v>6214</v>
      </c>
      <c r="X1611" s="3" t="s">
        <v>45</v>
      </c>
      <c r="Y1611" s="3" t="s">
        <v>45</v>
      </c>
      <c r="Z1611" s="3" t="s">
        <v>74</v>
      </c>
      <c r="AA1611" s="3" t="s">
        <v>45</v>
      </c>
      <c r="AB1611" s="3" t="s">
        <v>45</v>
      </c>
      <c r="AC1611" s="3" t="s">
        <v>45</v>
      </c>
      <c r="AD1611" s="3" t="s">
        <v>45</v>
      </c>
      <c r="AE1611" s="3" t="s">
        <v>45</v>
      </c>
      <c r="AF1611" s="3" t="s">
        <v>45</v>
      </c>
      <c r="AG1611" s="3" t="s">
        <v>45</v>
      </c>
      <c r="AH1611" s="3" t="s">
        <v>7025</v>
      </c>
      <c r="AI1611" s="5" t="s">
        <v>13602</v>
      </c>
      <c r="AJ1611" s="3" t="s">
        <v>45</v>
      </c>
      <c r="AK1611" s="3" t="s">
        <v>45</v>
      </c>
      <c r="AL1611" s="3" t="s">
        <v>45</v>
      </c>
      <c r="AM1611" s="3" t="s">
        <v>45</v>
      </c>
      <c r="AN1611" s="3" t="s">
        <v>45</v>
      </c>
      <c r="AO1611" s="3" t="s">
        <v>45</v>
      </c>
      <c r="AP1611" s="3" t="s">
        <v>45</v>
      </c>
      <c r="AQ1611" s="4" t="s">
        <v>1059</v>
      </c>
      <c r="AR1611" s="4" t="s">
        <v>1059</v>
      </c>
    </row>
    <row r="1612">
      <c r="A1612" s="3" t="s">
        <v>13603</v>
      </c>
      <c r="B1612" s="3" t="s">
        <v>13604</v>
      </c>
      <c r="C1612" s="3" t="s">
        <v>13605</v>
      </c>
      <c r="D1612" s="3" t="s">
        <v>13521</v>
      </c>
      <c r="E1612" s="4" t="s">
        <v>13606</v>
      </c>
      <c r="F1612" s="3" t="s">
        <v>8093</v>
      </c>
      <c r="G1612" s="4" t="s">
        <v>13607</v>
      </c>
      <c r="H1612" s="4" t="s">
        <v>13608</v>
      </c>
      <c r="I1612" s="3" t="s">
        <v>49</v>
      </c>
      <c r="J1612" s="3" t="s">
        <v>50</v>
      </c>
      <c r="K1612" s="3" t="s">
        <v>45</v>
      </c>
      <c r="L1612" s="3" t="s">
        <v>45</v>
      </c>
      <c r="M1612" s="3" t="s">
        <v>45</v>
      </c>
      <c r="N1612" s="4" t="s">
        <v>2222</v>
      </c>
      <c r="O1612" s="3" t="s">
        <v>88</v>
      </c>
      <c r="P1612" s="3" t="s">
        <v>45</v>
      </c>
      <c r="Q1612" s="3" t="s">
        <v>45</v>
      </c>
      <c r="R1612" s="3" t="s">
        <v>45</v>
      </c>
      <c r="S1612" s="3" t="s">
        <v>45</v>
      </c>
      <c r="T1612" s="3" t="s">
        <v>45</v>
      </c>
      <c r="U1612" s="3" t="s">
        <v>45</v>
      </c>
      <c r="V1612" s="4" t="s">
        <v>2081</v>
      </c>
      <c r="W1612" s="4" t="s">
        <v>13609</v>
      </c>
      <c r="X1612" s="3" t="s">
        <v>3303</v>
      </c>
      <c r="Y1612" s="3" t="s">
        <v>45</v>
      </c>
      <c r="Z1612" s="3" t="s">
        <v>74</v>
      </c>
      <c r="AA1612" s="3" t="s">
        <v>45</v>
      </c>
      <c r="AB1612" s="3" t="s">
        <v>45</v>
      </c>
      <c r="AC1612" s="3" t="s">
        <v>45</v>
      </c>
      <c r="AD1612" s="3" t="s">
        <v>45</v>
      </c>
      <c r="AE1612" s="3" t="s">
        <v>45</v>
      </c>
      <c r="AF1612" s="3" t="s">
        <v>45</v>
      </c>
      <c r="AG1612" s="3" t="s">
        <v>45</v>
      </c>
      <c r="AH1612" s="3" t="s">
        <v>57</v>
      </c>
      <c r="AI1612" s="5" t="s">
        <v>13610</v>
      </c>
      <c r="AJ1612" s="3" t="s">
        <v>45</v>
      </c>
      <c r="AK1612" s="3" t="s">
        <v>45</v>
      </c>
      <c r="AL1612" s="3" t="s">
        <v>45</v>
      </c>
      <c r="AM1612" s="3" t="s">
        <v>45</v>
      </c>
      <c r="AN1612" s="3" t="s">
        <v>45</v>
      </c>
      <c r="AO1612" s="3" t="s">
        <v>45</v>
      </c>
      <c r="AP1612" s="3" t="s">
        <v>45</v>
      </c>
      <c r="AQ1612" s="4" t="s">
        <v>380</v>
      </c>
      <c r="AR1612" s="4" t="s">
        <v>380</v>
      </c>
    </row>
    <row r="1613">
      <c r="A1613" s="3" t="s">
        <v>13611</v>
      </c>
      <c r="B1613" s="3" t="s">
        <v>13612</v>
      </c>
      <c r="C1613" s="3" t="s">
        <v>13613</v>
      </c>
      <c r="D1613" s="3" t="s">
        <v>13521</v>
      </c>
      <c r="E1613" s="4" t="s">
        <v>13614</v>
      </c>
      <c r="F1613" s="3" t="s">
        <v>13615</v>
      </c>
      <c r="G1613" s="4" t="s">
        <v>13616</v>
      </c>
      <c r="H1613" s="4" t="s">
        <v>13617</v>
      </c>
      <c r="I1613" s="3" t="s">
        <v>218</v>
      </c>
      <c r="J1613" s="3" t="s">
        <v>126</v>
      </c>
      <c r="K1613" s="3" t="s">
        <v>743</v>
      </c>
      <c r="L1613" s="3" t="s">
        <v>13618</v>
      </c>
      <c r="M1613" s="3" t="s">
        <v>45</v>
      </c>
      <c r="N1613" s="3" t="s">
        <v>45</v>
      </c>
      <c r="O1613" s="3" t="s">
        <v>74</v>
      </c>
      <c r="P1613" s="3" t="s">
        <v>45</v>
      </c>
      <c r="Q1613" s="3" t="s">
        <v>45</v>
      </c>
      <c r="R1613" s="3" t="s">
        <v>45</v>
      </c>
      <c r="S1613" s="3" t="s">
        <v>45</v>
      </c>
      <c r="T1613" s="3" t="s">
        <v>45</v>
      </c>
      <c r="U1613" s="3" t="s">
        <v>45</v>
      </c>
      <c r="V1613" s="3" t="s">
        <v>45</v>
      </c>
      <c r="W1613" s="4" t="s">
        <v>709</v>
      </c>
      <c r="X1613" s="3" t="s">
        <v>45</v>
      </c>
      <c r="Y1613" s="3" t="s">
        <v>45</v>
      </c>
      <c r="Z1613" s="3" t="s">
        <v>74</v>
      </c>
      <c r="AA1613" s="3" t="s">
        <v>45</v>
      </c>
      <c r="AB1613" s="3" t="s">
        <v>45</v>
      </c>
      <c r="AC1613" s="3" t="s">
        <v>45</v>
      </c>
      <c r="AD1613" s="3" t="s">
        <v>45</v>
      </c>
      <c r="AE1613" s="3" t="s">
        <v>45</v>
      </c>
      <c r="AF1613" s="3" t="s">
        <v>45</v>
      </c>
      <c r="AG1613" s="3" t="s">
        <v>13619</v>
      </c>
      <c r="AH1613" s="3" t="s">
        <v>7025</v>
      </c>
      <c r="AI1613" s="5" t="s">
        <v>13620</v>
      </c>
      <c r="AJ1613" s="5" t="s">
        <v>13621</v>
      </c>
      <c r="AK1613" s="3" t="s">
        <v>45</v>
      </c>
      <c r="AL1613" s="3" t="s">
        <v>45</v>
      </c>
      <c r="AM1613" s="3" t="s">
        <v>45</v>
      </c>
      <c r="AN1613" s="3" t="s">
        <v>45</v>
      </c>
      <c r="AO1613" s="3" t="s">
        <v>45</v>
      </c>
      <c r="AP1613" s="3" t="s">
        <v>45</v>
      </c>
      <c r="AQ1613" s="4" t="s">
        <v>1059</v>
      </c>
      <c r="AR1613" s="4" t="s">
        <v>1059</v>
      </c>
    </row>
    <row r="1614">
      <c r="A1614" s="3" t="s">
        <v>13622</v>
      </c>
      <c r="B1614" s="3" t="s">
        <v>13623</v>
      </c>
      <c r="C1614" s="3" t="s">
        <v>13624</v>
      </c>
      <c r="D1614" s="3" t="s">
        <v>13521</v>
      </c>
      <c r="E1614" s="4" t="s">
        <v>13625</v>
      </c>
      <c r="F1614" s="3" t="s">
        <v>3859</v>
      </c>
      <c r="G1614" s="4" t="s">
        <v>13626</v>
      </c>
      <c r="H1614" s="4" t="s">
        <v>13627</v>
      </c>
      <c r="I1614" s="3" t="s">
        <v>49</v>
      </c>
      <c r="J1614" s="3" t="s">
        <v>126</v>
      </c>
      <c r="K1614" s="3" t="s">
        <v>45</v>
      </c>
      <c r="L1614" s="3" t="s">
        <v>13628</v>
      </c>
      <c r="M1614" s="3" t="s">
        <v>45</v>
      </c>
      <c r="N1614" s="3" t="s">
        <v>13629</v>
      </c>
      <c r="O1614" s="3" t="s">
        <v>70</v>
      </c>
      <c r="P1614" s="3" t="s">
        <v>13630</v>
      </c>
      <c r="Q1614" s="3" t="s">
        <v>13631</v>
      </c>
      <c r="R1614" s="3" t="s">
        <v>45</v>
      </c>
      <c r="S1614" s="3" t="s">
        <v>45</v>
      </c>
      <c r="T1614" s="3" t="s">
        <v>45</v>
      </c>
      <c r="U1614" s="3" t="s">
        <v>45</v>
      </c>
      <c r="V1614" s="3" t="s">
        <v>45</v>
      </c>
      <c r="W1614" s="4" t="s">
        <v>13632</v>
      </c>
      <c r="X1614" s="3" t="s">
        <v>1977</v>
      </c>
      <c r="Y1614" s="4" t="s">
        <v>73</v>
      </c>
      <c r="Z1614" s="3" t="s">
        <v>74</v>
      </c>
      <c r="AA1614" s="3" t="s">
        <v>45</v>
      </c>
      <c r="AB1614" s="3" t="s">
        <v>45</v>
      </c>
      <c r="AC1614" s="3" t="s">
        <v>45</v>
      </c>
      <c r="AD1614" s="3" t="s">
        <v>45</v>
      </c>
      <c r="AE1614" s="3" t="s">
        <v>45</v>
      </c>
      <c r="AF1614" s="3" t="s">
        <v>45</v>
      </c>
      <c r="AG1614" s="3" t="s">
        <v>13633</v>
      </c>
      <c r="AH1614" s="3" t="s">
        <v>840</v>
      </c>
      <c r="AI1614" s="5" t="s">
        <v>13634</v>
      </c>
      <c r="AJ1614" s="5" t="s">
        <v>13635</v>
      </c>
      <c r="AK1614" s="5" t="s">
        <v>13636</v>
      </c>
      <c r="AL1614" s="5" t="s">
        <v>13637</v>
      </c>
      <c r="AM1614" s="5" t="s">
        <v>13638</v>
      </c>
      <c r="AN1614" s="5" t="s">
        <v>13639</v>
      </c>
      <c r="AO1614" s="3" t="s">
        <v>45</v>
      </c>
      <c r="AP1614" s="3" t="s">
        <v>45</v>
      </c>
      <c r="AQ1614" s="4" t="s">
        <v>8335</v>
      </c>
      <c r="AR1614" s="4" t="s">
        <v>2459</v>
      </c>
    </row>
    <row r="1615">
      <c r="A1615" s="3" t="s">
        <v>13640</v>
      </c>
      <c r="B1615" s="3" t="s">
        <v>13641</v>
      </c>
      <c r="C1615" s="3" t="s">
        <v>13642</v>
      </c>
      <c r="D1615" s="3" t="s">
        <v>13521</v>
      </c>
      <c r="E1615" s="4" t="s">
        <v>13643</v>
      </c>
      <c r="F1615" s="3" t="s">
        <v>13575</v>
      </c>
      <c r="G1615" s="4" t="s">
        <v>13644</v>
      </c>
      <c r="H1615" s="4" t="s">
        <v>13645</v>
      </c>
      <c r="I1615" s="3" t="s">
        <v>49</v>
      </c>
      <c r="J1615" s="3" t="s">
        <v>126</v>
      </c>
      <c r="K1615" s="3" t="s">
        <v>45</v>
      </c>
      <c r="L1615" s="3" t="s">
        <v>13578</v>
      </c>
      <c r="M1615" s="3" t="s">
        <v>45</v>
      </c>
      <c r="N1615" s="4" t="s">
        <v>13579</v>
      </c>
      <c r="O1615" s="3" t="s">
        <v>70</v>
      </c>
      <c r="P1615" s="3" t="s">
        <v>71</v>
      </c>
      <c r="Q1615" s="3" t="s">
        <v>13646</v>
      </c>
      <c r="R1615" s="3" t="s">
        <v>45</v>
      </c>
      <c r="S1615" s="3" t="s">
        <v>45</v>
      </c>
      <c r="T1615" s="3" t="s">
        <v>45</v>
      </c>
      <c r="U1615" s="3" t="s">
        <v>45</v>
      </c>
      <c r="V1615" s="3" t="s">
        <v>45</v>
      </c>
      <c r="W1615" s="3" t="s">
        <v>45</v>
      </c>
      <c r="X1615" s="3" t="s">
        <v>45</v>
      </c>
      <c r="Y1615" s="3" t="s">
        <v>45</v>
      </c>
      <c r="Z1615" s="3" t="s">
        <v>55</v>
      </c>
      <c r="AA1615" s="3" t="s">
        <v>45</v>
      </c>
      <c r="AB1615" s="3" t="s">
        <v>109</v>
      </c>
      <c r="AC1615" s="3" t="s">
        <v>45</v>
      </c>
      <c r="AD1615" s="5" t="s">
        <v>13582</v>
      </c>
      <c r="AE1615" s="5" t="s">
        <v>13583</v>
      </c>
      <c r="AF1615" s="3" t="s">
        <v>45</v>
      </c>
      <c r="AG1615" s="3" t="s">
        <v>13647</v>
      </c>
      <c r="AH1615" s="3" t="s">
        <v>840</v>
      </c>
      <c r="AI1615" s="5" t="s">
        <v>13648</v>
      </c>
      <c r="AJ1615" s="5" t="s">
        <v>13649</v>
      </c>
      <c r="AK1615" s="5" t="s">
        <v>13586</v>
      </c>
      <c r="AL1615" s="5" t="s">
        <v>13587</v>
      </c>
      <c r="AM1615" s="3" t="s">
        <v>45</v>
      </c>
      <c r="AN1615" s="3" t="s">
        <v>45</v>
      </c>
      <c r="AO1615" s="3" t="s">
        <v>45</v>
      </c>
      <c r="AP1615" s="3" t="s">
        <v>45</v>
      </c>
      <c r="AQ1615" s="4" t="s">
        <v>854</v>
      </c>
      <c r="AR1615" s="4" t="s">
        <v>2459</v>
      </c>
    </row>
    <row r="1616">
      <c r="A1616" s="3" t="s">
        <v>13650</v>
      </c>
      <c r="B1616" s="3" t="s">
        <v>13651</v>
      </c>
      <c r="C1616" s="3" t="s">
        <v>13652</v>
      </c>
      <c r="D1616" s="3" t="s">
        <v>13521</v>
      </c>
      <c r="E1616" s="4" t="s">
        <v>13653</v>
      </c>
      <c r="F1616" s="3" t="s">
        <v>13654</v>
      </c>
      <c r="G1616" s="4" t="s">
        <v>13655</v>
      </c>
      <c r="H1616" s="4" t="s">
        <v>13656</v>
      </c>
      <c r="I1616" s="3" t="s">
        <v>49</v>
      </c>
      <c r="J1616" s="3" t="s">
        <v>126</v>
      </c>
      <c r="K1616" s="3" t="s">
        <v>45</v>
      </c>
      <c r="L1616" s="3" t="s">
        <v>45</v>
      </c>
      <c r="M1616" s="3" t="s">
        <v>45</v>
      </c>
      <c r="N1616" s="4" t="s">
        <v>90</v>
      </c>
      <c r="O1616" s="3" t="s">
        <v>88</v>
      </c>
      <c r="P1616" s="3" t="s">
        <v>45</v>
      </c>
      <c r="Q1616" s="3" t="s">
        <v>45</v>
      </c>
      <c r="R1616" s="3" t="s">
        <v>45</v>
      </c>
      <c r="S1616" s="3" t="s">
        <v>45</v>
      </c>
      <c r="T1616" s="3" t="s">
        <v>45</v>
      </c>
      <c r="U1616" s="3" t="s">
        <v>45</v>
      </c>
      <c r="V1616" s="4" t="s">
        <v>13657</v>
      </c>
      <c r="W1616" s="4" t="s">
        <v>247</v>
      </c>
      <c r="X1616" s="3" t="s">
        <v>45</v>
      </c>
      <c r="Y1616" s="4" t="s">
        <v>727</v>
      </c>
      <c r="Z1616" s="3" t="s">
        <v>74</v>
      </c>
      <c r="AA1616" s="3" t="s">
        <v>45</v>
      </c>
      <c r="AB1616" s="3" t="s">
        <v>45</v>
      </c>
      <c r="AC1616" s="3" t="s">
        <v>45</v>
      </c>
      <c r="AD1616" s="3" t="s">
        <v>45</v>
      </c>
      <c r="AE1616" s="3" t="s">
        <v>45</v>
      </c>
      <c r="AF1616" s="3" t="s">
        <v>45</v>
      </c>
      <c r="AG1616" s="3" t="s">
        <v>45</v>
      </c>
      <c r="AH1616" s="3" t="s">
        <v>57</v>
      </c>
      <c r="AI1616" s="5" t="s">
        <v>13658</v>
      </c>
      <c r="AJ1616" s="5" t="s">
        <v>13659</v>
      </c>
      <c r="AK1616" s="3" t="s">
        <v>45</v>
      </c>
      <c r="AL1616" s="3" t="s">
        <v>45</v>
      </c>
      <c r="AM1616" s="3" t="s">
        <v>45</v>
      </c>
      <c r="AN1616" s="3" t="s">
        <v>45</v>
      </c>
      <c r="AO1616" s="3" t="s">
        <v>45</v>
      </c>
      <c r="AP1616" s="3" t="s">
        <v>45</v>
      </c>
      <c r="AQ1616" s="4" t="s">
        <v>78</v>
      </c>
      <c r="AR1616" s="4" t="s">
        <v>78</v>
      </c>
    </row>
    <row r="1617">
      <c r="A1617" s="3" t="s">
        <v>205</v>
      </c>
      <c r="B1617" s="3" t="s">
        <v>13660</v>
      </c>
      <c r="C1617" s="3" t="s">
        <v>13661</v>
      </c>
      <c r="D1617" s="3" t="s">
        <v>13662</v>
      </c>
      <c r="E1617" s="4" t="s">
        <v>13663</v>
      </c>
      <c r="F1617" s="3" t="s">
        <v>13664</v>
      </c>
      <c r="G1617" s="4" t="s">
        <v>13665</v>
      </c>
      <c r="H1617" s="4" t="s">
        <v>13666</v>
      </c>
      <c r="I1617" s="3" t="s">
        <v>49</v>
      </c>
      <c r="J1617" s="3" t="s">
        <v>50</v>
      </c>
      <c r="K1617" s="3" t="s">
        <v>45</v>
      </c>
      <c r="L1617" s="3" t="s">
        <v>210</v>
      </c>
      <c r="M1617" s="3" t="s">
        <v>45</v>
      </c>
      <c r="N1617" s="3" t="s">
        <v>45</v>
      </c>
      <c r="O1617" s="3" t="s">
        <v>74</v>
      </c>
      <c r="P1617" s="3" t="s">
        <v>45</v>
      </c>
      <c r="Q1617" s="3" t="s">
        <v>45</v>
      </c>
      <c r="R1617" s="3" t="s">
        <v>45</v>
      </c>
      <c r="S1617" s="3" t="s">
        <v>45</v>
      </c>
      <c r="T1617" s="3" t="s">
        <v>45</v>
      </c>
      <c r="U1617" s="3" t="s">
        <v>45</v>
      </c>
      <c r="V1617" s="4" t="s">
        <v>4276</v>
      </c>
      <c r="W1617" s="4" t="s">
        <v>13667</v>
      </c>
      <c r="X1617" s="3" t="s">
        <v>45</v>
      </c>
      <c r="Y1617" s="3" t="s">
        <v>45</v>
      </c>
      <c r="Z1617" s="3" t="s">
        <v>74</v>
      </c>
      <c r="AA1617" s="3" t="s">
        <v>45</v>
      </c>
      <c r="AB1617" s="3" t="s">
        <v>45</v>
      </c>
      <c r="AC1617" s="3" t="s">
        <v>45</v>
      </c>
      <c r="AD1617" s="3" t="s">
        <v>45</v>
      </c>
      <c r="AE1617" s="3" t="s">
        <v>45</v>
      </c>
      <c r="AF1617" s="3" t="s">
        <v>45</v>
      </c>
      <c r="AG1617" s="3" t="s">
        <v>45</v>
      </c>
      <c r="AH1617" s="3" t="s">
        <v>57</v>
      </c>
      <c r="AI1617" s="5" t="s">
        <v>13668</v>
      </c>
      <c r="AJ1617" s="3" t="s">
        <v>45</v>
      </c>
      <c r="AK1617" s="3" t="s">
        <v>45</v>
      </c>
      <c r="AL1617" s="3" t="s">
        <v>45</v>
      </c>
      <c r="AM1617" s="3" t="s">
        <v>45</v>
      </c>
      <c r="AN1617" s="3" t="s">
        <v>45</v>
      </c>
      <c r="AO1617" s="3" t="s">
        <v>45</v>
      </c>
      <c r="AP1617" s="3" t="s">
        <v>45</v>
      </c>
      <c r="AQ1617" s="4" t="s">
        <v>212</v>
      </c>
      <c r="AR1617" s="4" t="s">
        <v>212</v>
      </c>
    </row>
    <row r="1618">
      <c r="A1618" s="3" t="s">
        <v>13669</v>
      </c>
      <c r="B1618" s="3" t="s">
        <v>13670</v>
      </c>
      <c r="C1618" s="3" t="s">
        <v>13661</v>
      </c>
      <c r="D1618" s="3" t="s">
        <v>13662</v>
      </c>
      <c r="E1618" s="4" t="s">
        <v>13671</v>
      </c>
      <c r="F1618" s="3" t="s">
        <v>13664</v>
      </c>
      <c r="G1618" s="4" t="s">
        <v>13672</v>
      </c>
      <c r="H1618" s="4" t="s">
        <v>13673</v>
      </c>
      <c r="I1618" s="3" t="s">
        <v>218</v>
      </c>
      <c r="J1618" s="3" t="s">
        <v>126</v>
      </c>
      <c r="K1618" s="3" t="s">
        <v>45</v>
      </c>
      <c r="L1618" s="3" t="s">
        <v>409</v>
      </c>
      <c r="M1618" s="3" t="s">
        <v>45</v>
      </c>
      <c r="N1618" s="3" t="s">
        <v>45</v>
      </c>
      <c r="O1618" s="3" t="s">
        <v>74</v>
      </c>
      <c r="P1618" s="3" t="s">
        <v>45</v>
      </c>
      <c r="Q1618" s="3" t="s">
        <v>45</v>
      </c>
      <c r="R1618" s="3" t="s">
        <v>45</v>
      </c>
      <c r="S1618" s="3" t="s">
        <v>45</v>
      </c>
      <c r="T1618" s="3" t="s">
        <v>45</v>
      </c>
      <c r="U1618" s="3" t="s">
        <v>45</v>
      </c>
      <c r="V1618" s="3" t="s">
        <v>45</v>
      </c>
      <c r="W1618" s="3" t="s">
        <v>45</v>
      </c>
      <c r="X1618" s="3" t="s">
        <v>45</v>
      </c>
      <c r="Y1618" s="3" t="s">
        <v>45</v>
      </c>
      <c r="Z1618" s="3" t="s">
        <v>74</v>
      </c>
      <c r="AA1618" s="3" t="s">
        <v>45</v>
      </c>
      <c r="AB1618" s="3" t="s">
        <v>45</v>
      </c>
      <c r="AC1618" s="3" t="s">
        <v>45</v>
      </c>
      <c r="AD1618" s="3" t="s">
        <v>45</v>
      </c>
      <c r="AE1618" s="3" t="s">
        <v>45</v>
      </c>
      <c r="AF1618" s="3" t="s">
        <v>45</v>
      </c>
      <c r="AG1618" s="3" t="s">
        <v>45</v>
      </c>
      <c r="AH1618" s="3" t="s">
        <v>57</v>
      </c>
      <c r="AI1618" s="3" t="s">
        <v>45</v>
      </c>
      <c r="AJ1618" s="3" t="s">
        <v>45</v>
      </c>
      <c r="AK1618" s="3" t="s">
        <v>45</v>
      </c>
      <c r="AL1618" s="3" t="s">
        <v>45</v>
      </c>
      <c r="AM1618" s="3" t="s">
        <v>45</v>
      </c>
      <c r="AN1618" s="3" t="s">
        <v>45</v>
      </c>
      <c r="AO1618" s="3" t="s">
        <v>45</v>
      </c>
      <c r="AP1618" s="3" t="s">
        <v>45</v>
      </c>
      <c r="AQ1618" s="4" t="s">
        <v>212</v>
      </c>
      <c r="AR1618" s="4" t="s">
        <v>212</v>
      </c>
    </row>
    <row r="1619">
      <c r="A1619" s="3" t="s">
        <v>13674</v>
      </c>
      <c r="B1619" s="3" t="s">
        <v>13675</v>
      </c>
      <c r="C1619" s="3" t="s">
        <v>13661</v>
      </c>
      <c r="D1619" s="3" t="s">
        <v>13662</v>
      </c>
      <c r="E1619" s="4" t="s">
        <v>13663</v>
      </c>
      <c r="F1619" s="3" t="s">
        <v>13664</v>
      </c>
      <c r="G1619" s="4" t="s">
        <v>13676</v>
      </c>
      <c r="H1619" s="4" t="s">
        <v>13677</v>
      </c>
      <c r="I1619" s="3" t="s">
        <v>49</v>
      </c>
      <c r="J1619" s="3" t="s">
        <v>50</v>
      </c>
      <c r="K1619" s="3" t="s">
        <v>45</v>
      </c>
      <c r="L1619" s="3" t="s">
        <v>409</v>
      </c>
      <c r="M1619" s="3" t="s">
        <v>45</v>
      </c>
      <c r="N1619" s="3" t="s">
        <v>45</v>
      </c>
      <c r="O1619" s="3" t="s">
        <v>88</v>
      </c>
      <c r="P1619" s="3" t="s">
        <v>45</v>
      </c>
      <c r="Q1619" s="3" t="s">
        <v>45</v>
      </c>
      <c r="R1619" s="3" t="s">
        <v>45</v>
      </c>
      <c r="S1619" s="3" t="s">
        <v>45</v>
      </c>
      <c r="T1619" s="3" t="s">
        <v>45</v>
      </c>
      <c r="U1619" s="3" t="s">
        <v>45</v>
      </c>
      <c r="V1619" s="3" t="s">
        <v>45</v>
      </c>
      <c r="W1619" s="4" t="s">
        <v>7381</v>
      </c>
      <c r="X1619" s="3" t="s">
        <v>45</v>
      </c>
      <c r="Y1619" s="3" t="s">
        <v>45</v>
      </c>
      <c r="Z1619" s="3" t="s">
        <v>74</v>
      </c>
      <c r="AA1619" s="3" t="s">
        <v>45</v>
      </c>
      <c r="AB1619" s="3" t="s">
        <v>45</v>
      </c>
      <c r="AC1619" s="3" t="s">
        <v>45</v>
      </c>
      <c r="AD1619" s="3" t="s">
        <v>45</v>
      </c>
      <c r="AE1619" s="3" t="s">
        <v>45</v>
      </c>
      <c r="AF1619" s="3" t="s">
        <v>45</v>
      </c>
      <c r="AG1619" s="3" t="s">
        <v>45</v>
      </c>
      <c r="AH1619" s="3" t="s">
        <v>57</v>
      </c>
      <c r="AI1619" s="5" t="s">
        <v>13678</v>
      </c>
      <c r="AJ1619" s="3" t="s">
        <v>45</v>
      </c>
      <c r="AK1619" s="3" t="s">
        <v>45</v>
      </c>
      <c r="AL1619" s="3" t="s">
        <v>45</v>
      </c>
      <c r="AM1619" s="3" t="s">
        <v>45</v>
      </c>
      <c r="AN1619" s="3" t="s">
        <v>45</v>
      </c>
      <c r="AO1619" s="3" t="s">
        <v>45</v>
      </c>
      <c r="AP1619" s="3" t="s">
        <v>45</v>
      </c>
      <c r="AQ1619" s="4" t="s">
        <v>474</v>
      </c>
      <c r="AR1619" s="4" t="s">
        <v>474</v>
      </c>
    </row>
    <row r="1620">
      <c r="A1620" s="3" t="s">
        <v>13679</v>
      </c>
      <c r="B1620" s="3" t="s">
        <v>13680</v>
      </c>
      <c r="C1620" s="3" t="s">
        <v>13661</v>
      </c>
      <c r="D1620" s="3" t="s">
        <v>13662</v>
      </c>
      <c r="E1620" s="4" t="s">
        <v>13663</v>
      </c>
      <c r="F1620" s="3" t="s">
        <v>13664</v>
      </c>
      <c r="G1620" s="4" t="s">
        <v>13681</v>
      </c>
      <c r="H1620" s="4" t="s">
        <v>13682</v>
      </c>
      <c r="I1620" s="3" t="s">
        <v>245</v>
      </c>
      <c r="J1620" s="3" t="s">
        <v>126</v>
      </c>
      <c r="K1620" s="3" t="s">
        <v>45</v>
      </c>
      <c r="L1620" s="3" t="s">
        <v>4918</v>
      </c>
      <c r="M1620" s="3" t="s">
        <v>176</v>
      </c>
      <c r="N1620" s="4" t="s">
        <v>1514</v>
      </c>
      <c r="O1620" s="3" t="s">
        <v>70</v>
      </c>
      <c r="P1620" s="3" t="s">
        <v>71</v>
      </c>
      <c r="Q1620" s="3" t="s">
        <v>45</v>
      </c>
      <c r="R1620" s="3" t="s">
        <v>45</v>
      </c>
      <c r="S1620" s="4" t="s">
        <v>582</v>
      </c>
      <c r="T1620" s="3" t="s">
        <v>45</v>
      </c>
      <c r="U1620" s="3" t="s">
        <v>221</v>
      </c>
      <c r="V1620" s="3" t="s">
        <v>45</v>
      </c>
      <c r="W1620" s="4" t="s">
        <v>13683</v>
      </c>
      <c r="X1620" s="3" t="s">
        <v>45</v>
      </c>
      <c r="Y1620" s="4" t="s">
        <v>317</v>
      </c>
      <c r="Z1620" s="3" t="s">
        <v>55</v>
      </c>
      <c r="AA1620" s="3" t="s">
        <v>45</v>
      </c>
      <c r="AB1620" s="3" t="s">
        <v>45</v>
      </c>
      <c r="AC1620" s="3" t="s">
        <v>45</v>
      </c>
      <c r="AD1620" s="3" t="s">
        <v>45</v>
      </c>
      <c r="AE1620" s="3" t="s">
        <v>45</v>
      </c>
      <c r="AF1620" s="3" t="s">
        <v>45</v>
      </c>
      <c r="AG1620" s="3" t="s">
        <v>45</v>
      </c>
      <c r="AH1620" s="3" t="s">
        <v>840</v>
      </c>
      <c r="AI1620" s="5" t="s">
        <v>13684</v>
      </c>
      <c r="AJ1620" s="5" t="s">
        <v>13685</v>
      </c>
      <c r="AK1620" s="5" t="s">
        <v>13686</v>
      </c>
      <c r="AL1620" s="5" t="s">
        <v>13687</v>
      </c>
      <c r="AM1620" s="5" t="s">
        <v>13688</v>
      </c>
      <c r="AN1620" s="5" t="s">
        <v>13689</v>
      </c>
      <c r="AO1620" s="5" t="s">
        <v>13690</v>
      </c>
      <c r="AP1620" s="3" t="s">
        <v>45</v>
      </c>
      <c r="AQ1620" s="4" t="s">
        <v>1728</v>
      </c>
      <c r="AR1620" s="4" t="s">
        <v>1016</v>
      </c>
    </row>
    <row r="1621">
      <c r="A1621" s="3" t="s">
        <v>13691</v>
      </c>
      <c r="B1621" s="3" t="s">
        <v>13692</v>
      </c>
      <c r="C1621" s="3" t="s">
        <v>13661</v>
      </c>
      <c r="D1621" s="3" t="s">
        <v>13662</v>
      </c>
      <c r="E1621" s="4" t="s">
        <v>13663</v>
      </c>
      <c r="F1621" s="3" t="s">
        <v>13664</v>
      </c>
      <c r="G1621" s="4" t="s">
        <v>13693</v>
      </c>
      <c r="H1621" s="4" t="s">
        <v>13694</v>
      </c>
      <c r="I1621" s="3" t="s">
        <v>49</v>
      </c>
      <c r="J1621" s="3" t="s">
        <v>50</v>
      </c>
      <c r="K1621" s="3" t="s">
        <v>45</v>
      </c>
      <c r="L1621" s="3" t="s">
        <v>13695</v>
      </c>
      <c r="M1621" s="3" t="s">
        <v>45</v>
      </c>
      <c r="N1621" s="4" t="s">
        <v>410</v>
      </c>
      <c r="O1621" s="3" t="s">
        <v>88</v>
      </c>
      <c r="P1621" s="3" t="s">
        <v>71</v>
      </c>
      <c r="Q1621" s="3" t="s">
        <v>45</v>
      </c>
      <c r="R1621" s="3" t="s">
        <v>45</v>
      </c>
      <c r="S1621" s="3" t="s">
        <v>45</v>
      </c>
      <c r="T1621" s="3" t="s">
        <v>45</v>
      </c>
      <c r="U1621" s="3" t="s">
        <v>45</v>
      </c>
      <c r="V1621" s="3" t="s">
        <v>45</v>
      </c>
      <c r="W1621" s="4" t="s">
        <v>2575</v>
      </c>
      <c r="X1621" s="3" t="s">
        <v>2091</v>
      </c>
      <c r="Y1621" s="3" t="s">
        <v>45</v>
      </c>
      <c r="Z1621" s="3" t="s">
        <v>74</v>
      </c>
      <c r="AA1621" s="3" t="s">
        <v>45</v>
      </c>
      <c r="AB1621" s="3" t="s">
        <v>45</v>
      </c>
      <c r="AC1621" s="3" t="s">
        <v>45</v>
      </c>
      <c r="AD1621" s="3" t="s">
        <v>45</v>
      </c>
      <c r="AE1621" s="3" t="s">
        <v>45</v>
      </c>
      <c r="AF1621" s="3" t="s">
        <v>45</v>
      </c>
      <c r="AG1621" s="3" t="s">
        <v>13696</v>
      </c>
      <c r="AH1621" s="3" t="s">
        <v>840</v>
      </c>
      <c r="AI1621" s="5" t="s">
        <v>13697</v>
      </c>
      <c r="AJ1621" s="5" t="s">
        <v>13698</v>
      </c>
      <c r="AK1621" s="5" t="s">
        <v>13699</v>
      </c>
      <c r="AL1621" s="3" t="s">
        <v>45</v>
      </c>
      <c r="AM1621" s="3" t="s">
        <v>45</v>
      </c>
      <c r="AN1621" s="3" t="s">
        <v>45</v>
      </c>
      <c r="AO1621" s="3" t="s">
        <v>45</v>
      </c>
      <c r="AP1621" s="3" t="s">
        <v>45</v>
      </c>
      <c r="AQ1621" s="4" t="s">
        <v>1728</v>
      </c>
      <c r="AR1621" s="4" t="s">
        <v>1728</v>
      </c>
    </row>
    <row r="1622">
      <c r="A1622" s="3" t="s">
        <v>13700</v>
      </c>
      <c r="B1622" s="3" t="s">
        <v>13701</v>
      </c>
      <c r="C1622" s="3" t="s">
        <v>13702</v>
      </c>
      <c r="D1622" s="3" t="s">
        <v>13662</v>
      </c>
      <c r="E1622" s="4" t="s">
        <v>13703</v>
      </c>
      <c r="F1622" s="3" t="s">
        <v>13704</v>
      </c>
      <c r="G1622" s="4" t="s">
        <v>13705</v>
      </c>
      <c r="H1622" s="4" t="s">
        <v>13706</v>
      </c>
      <c r="I1622" s="3" t="s">
        <v>218</v>
      </c>
      <c r="J1622" s="3" t="s">
        <v>50</v>
      </c>
      <c r="K1622" s="3" t="s">
        <v>45</v>
      </c>
      <c r="L1622" s="3" t="s">
        <v>13707</v>
      </c>
      <c r="M1622" s="3" t="s">
        <v>45</v>
      </c>
      <c r="N1622" s="4" t="s">
        <v>2453</v>
      </c>
      <c r="O1622" s="3" t="s">
        <v>70</v>
      </c>
      <c r="P1622" s="3" t="s">
        <v>45</v>
      </c>
      <c r="Q1622" s="3" t="s">
        <v>45</v>
      </c>
      <c r="R1622" s="3" t="s">
        <v>45</v>
      </c>
      <c r="S1622" s="3" t="s">
        <v>45</v>
      </c>
      <c r="T1622" s="3" t="s">
        <v>45</v>
      </c>
      <c r="U1622" s="3" t="s">
        <v>45</v>
      </c>
      <c r="V1622" s="3" t="s">
        <v>45</v>
      </c>
      <c r="W1622" s="4" t="s">
        <v>6857</v>
      </c>
      <c r="X1622" s="3" t="s">
        <v>45</v>
      </c>
      <c r="Y1622" s="4" t="s">
        <v>957</v>
      </c>
      <c r="Z1622" s="3" t="s">
        <v>74</v>
      </c>
      <c r="AA1622" s="3" t="s">
        <v>45</v>
      </c>
      <c r="AB1622" s="3" t="s">
        <v>45</v>
      </c>
      <c r="AC1622" s="3" t="s">
        <v>45</v>
      </c>
      <c r="AD1622" s="3" t="s">
        <v>45</v>
      </c>
      <c r="AE1622" s="3" t="s">
        <v>45</v>
      </c>
      <c r="AF1622" s="3" t="s">
        <v>45</v>
      </c>
      <c r="AG1622" s="3" t="s">
        <v>45</v>
      </c>
      <c r="AH1622" s="3" t="s">
        <v>57</v>
      </c>
      <c r="AI1622" s="5" t="s">
        <v>13708</v>
      </c>
      <c r="AJ1622" s="5" t="s">
        <v>13709</v>
      </c>
      <c r="AK1622" s="3" t="s">
        <v>45</v>
      </c>
      <c r="AL1622" s="3" t="s">
        <v>45</v>
      </c>
      <c r="AM1622" s="3" t="s">
        <v>45</v>
      </c>
      <c r="AN1622" s="3" t="s">
        <v>45</v>
      </c>
      <c r="AO1622" s="3" t="s">
        <v>45</v>
      </c>
      <c r="AP1622" s="3" t="s">
        <v>45</v>
      </c>
      <c r="AQ1622" s="4" t="s">
        <v>1050</v>
      </c>
      <c r="AR1622" s="4" t="s">
        <v>1050</v>
      </c>
    </row>
  </sheetData>
  <hyperlinks>
    <hyperlink r:id="rId1" ref="AI2"/>
    <hyperlink r:id="rId2" ref="AJ2"/>
    <hyperlink r:id="rId3" ref="AI3"/>
    <hyperlink r:id="rId4" ref="AJ3"/>
    <hyperlink r:id="rId5" ref="AI4"/>
    <hyperlink r:id="rId6" ref="AJ4"/>
    <hyperlink r:id="rId7" ref="AD5"/>
    <hyperlink r:id="rId8" ref="AF5"/>
    <hyperlink r:id="rId9" ref="AI5"/>
    <hyperlink r:id="rId10" ref="AJ5"/>
    <hyperlink r:id="rId11" location=":~:text=In%20October%2C%20the%20Grant%20County,be%20built%20in%20West%20Memphis" ref="AK5"/>
    <hyperlink r:id="rId12" ref="AL5"/>
    <hyperlink r:id="rId13" location=":~:text=Pruitt%20emphasized%20that%20the%20resolution,large%20names%2C%E2%80%9D%20Pruitt%20said." ref="AM5"/>
    <hyperlink r:id="rId14" ref="AD6"/>
    <hyperlink r:id="rId15" ref="AE6"/>
    <hyperlink r:id="rId16" ref="AI6"/>
    <hyperlink r:id="rId17" ref="AJ6"/>
    <hyperlink r:id="rId18" ref="AK6"/>
    <hyperlink r:id="rId19" ref="AL6"/>
    <hyperlink r:id="rId20" ref="AM6"/>
    <hyperlink r:id="rId21" ref="AN6"/>
    <hyperlink r:id="rId22" ref="AO6"/>
    <hyperlink r:id="rId23" ref="AP6"/>
    <hyperlink r:id="rId24" ref="AI7"/>
    <hyperlink r:id="rId25" ref="AJ7"/>
    <hyperlink r:id="rId26" ref="AI9"/>
    <hyperlink r:id="rId27" ref="AJ9"/>
    <hyperlink r:id="rId28" ref="AD10"/>
    <hyperlink r:id="rId29" ref="AI10"/>
    <hyperlink r:id="rId30" ref="AJ10"/>
    <hyperlink r:id="rId31" ref="AK10"/>
    <hyperlink r:id="rId32" ref="AI12"/>
    <hyperlink r:id="rId33" ref="AI13"/>
    <hyperlink r:id="rId34" ref="AI14"/>
    <hyperlink r:id="rId35" ref="AI15"/>
    <hyperlink r:id="rId36" ref="AD16"/>
    <hyperlink r:id="rId37" ref="AI16"/>
    <hyperlink r:id="rId38" ref="AJ16"/>
    <hyperlink r:id="rId39" ref="AF17"/>
    <hyperlink r:id="rId40" ref="AI17"/>
    <hyperlink r:id="rId41" ref="AI18"/>
    <hyperlink r:id="rId42" ref="AI19"/>
    <hyperlink r:id="rId43" ref="AJ19"/>
    <hyperlink r:id="rId44" ref="AD20"/>
    <hyperlink r:id="rId45" ref="AE20"/>
    <hyperlink r:id="rId46" ref="AF20"/>
    <hyperlink r:id="rId47" ref="AI20"/>
    <hyperlink r:id="rId48" ref="AJ20"/>
    <hyperlink r:id="rId49" ref="AK20"/>
    <hyperlink r:id="rId50" ref="AI21"/>
    <hyperlink r:id="rId51" ref="AJ21"/>
    <hyperlink r:id="rId52" ref="AK21"/>
    <hyperlink r:id="rId53" ref="AL21"/>
    <hyperlink r:id="rId54" ref="AI22"/>
    <hyperlink r:id="rId55" ref="AI23"/>
    <hyperlink r:id="rId56" ref="AJ23"/>
    <hyperlink r:id="rId57" ref="AK23"/>
    <hyperlink r:id="rId58" ref="AF24"/>
    <hyperlink r:id="rId59" ref="AI24"/>
    <hyperlink r:id="rId60" ref="AI25"/>
    <hyperlink r:id="rId61" ref="AI26"/>
    <hyperlink r:id="rId62" ref="AJ26"/>
    <hyperlink r:id="rId63" ref="AI27"/>
    <hyperlink r:id="rId64" ref="AJ27"/>
    <hyperlink r:id="rId65" ref="AI28"/>
    <hyperlink r:id="rId66" ref="AI29"/>
    <hyperlink r:id="rId67" ref="AJ29"/>
    <hyperlink r:id="rId68" ref="AI30"/>
    <hyperlink r:id="rId69" ref="AD31"/>
    <hyperlink r:id="rId70" ref="AI31"/>
    <hyperlink r:id="rId71" ref="AJ31"/>
    <hyperlink r:id="rId72" ref="AK31"/>
    <hyperlink r:id="rId73" ref="AL31"/>
    <hyperlink r:id="rId74" ref="AM31"/>
    <hyperlink r:id="rId75" ref="AI32"/>
    <hyperlink r:id="rId76" ref="AI33"/>
    <hyperlink r:id="rId77" ref="AI34"/>
    <hyperlink r:id="rId78" ref="AJ34"/>
    <hyperlink r:id="rId79" ref="AI35"/>
    <hyperlink r:id="rId80" ref="AI36"/>
    <hyperlink r:id="rId81" ref="AI37"/>
    <hyperlink r:id="rId82" ref="AJ37"/>
    <hyperlink r:id="rId83" ref="AK37"/>
    <hyperlink r:id="rId84" ref="AI38"/>
    <hyperlink r:id="rId85" ref="AJ38"/>
    <hyperlink r:id="rId86" ref="AD39"/>
    <hyperlink r:id="rId87" ref="AE39"/>
    <hyperlink r:id="rId88" ref="AF39"/>
    <hyperlink r:id="rId89" ref="AI39"/>
    <hyperlink r:id="rId90" ref="AJ39"/>
    <hyperlink r:id="rId91" ref="AK39"/>
    <hyperlink r:id="rId92" ref="AI40"/>
    <hyperlink r:id="rId93" ref="AI41"/>
    <hyperlink r:id="rId94" ref="AI42"/>
    <hyperlink r:id="rId95" ref="AI43"/>
    <hyperlink r:id="rId96" ref="AI44"/>
    <hyperlink r:id="rId97" ref="AI45"/>
    <hyperlink r:id="rId98" ref="AJ45"/>
    <hyperlink r:id="rId99" ref="AD46"/>
    <hyperlink r:id="rId100" ref="AI46"/>
    <hyperlink r:id="rId101" ref="AJ46"/>
    <hyperlink r:id="rId102" ref="AI47"/>
    <hyperlink r:id="rId103" ref="AJ47"/>
    <hyperlink r:id="rId104" ref="AK47"/>
    <hyperlink r:id="rId105" ref="AL47"/>
    <hyperlink r:id="rId106" ref="AI48"/>
    <hyperlink r:id="rId107" ref="AJ48"/>
    <hyperlink r:id="rId108" ref="AI49"/>
    <hyperlink r:id="rId109" ref="AJ49"/>
    <hyperlink r:id="rId110" ref="AI50"/>
    <hyperlink r:id="rId111" ref="AJ50"/>
    <hyperlink r:id="rId112" ref="AI51"/>
    <hyperlink r:id="rId113" ref="AJ51"/>
    <hyperlink r:id="rId114" ref="AK51"/>
    <hyperlink r:id="rId115" ref="AL51"/>
    <hyperlink r:id="rId116" ref="AM51"/>
    <hyperlink r:id="rId117" ref="AN51"/>
    <hyperlink r:id="rId118" ref="AI52"/>
    <hyperlink r:id="rId119" ref="AD53"/>
    <hyperlink r:id="rId120" ref="AI53"/>
    <hyperlink r:id="rId121" ref="AJ53"/>
    <hyperlink r:id="rId122" ref="AI54"/>
    <hyperlink r:id="rId123" ref="AF55"/>
    <hyperlink r:id="rId124" ref="AI55"/>
    <hyperlink r:id="rId125" ref="AJ55"/>
    <hyperlink r:id="rId126" ref="AI56"/>
    <hyperlink r:id="rId127" ref="AI57"/>
    <hyperlink r:id="rId128" ref="AD58"/>
    <hyperlink r:id="rId129" ref="AE58"/>
    <hyperlink r:id="rId130" ref="AF58"/>
    <hyperlink r:id="rId131" ref="AI58"/>
    <hyperlink r:id="rId132" ref="AJ58"/>
    <hyperlink r:id="rId133" ref="AK58"/>
    <hyperlink r:id="rId134" ref="AD59"/>
    <hyperlink r:id="rId135" ref="AF59"/>
    <hyperlink r:id="rId136" ref="AI59"/>
    <hyperlink r:id="rId137" ref="AJ59"/>
    <hyperlink r:id="rId138" ref="AK59"/>
    <hyperlink r:id="rId139" ref="AL59"/>
    <hyperlink r:id="rId140" ref="AF60"/>
    <hyperlink r:id="rId141" ref="AI60"/>
    <hyperlink r:id="rId142" ref="AI61"/>
    <hyperlink r:id="rId143" ref="AD62"/>
    <hyperlink r:id="rId144" ref="AE62"/>
    <hyperlink r:id="rId145" ref="AF62"/>
    <hyperlink r:id="rId146" ref="AI62"/>
    <hyperlink r:id="rId147" ref="AJ62"/>
    <hyperlink r:id="rId148" ref="AK62"/>
    <hyperlink r:id="rId149" ref="AL62"/>
    <hyperlink r:id="rId150" ref="AM62"/>
    <hyperlink r:id="rId151" ref="AI64"/>
    <hyperlink r:id="rId152" ref="AJ64"/>
    <hyperlink r:id="rId153" ref="AK64"/>
    <hyperlink r:id="rId154" ref="AI65"/>
    <hyperlink r:id="rId155" ref="AF66"/>
    <hyperlink r:id="rId156" ref="AI66"/>
    <hyperlink r:id="rId157" ref="AJ66"/>
    <hyperlink r:id="rId158" ref="AK66"/>
    <hyperlink r:id="rId159" ref="AI67"/>
    <hyperlink r:id="rId160" ref="AI68"/>
    <hyperlink r:id="rId161" ref="AI69"/>
    <hyperlink r:id="rId162" ref="AJ69"/>
    <hyperlink r:id="rId163" ref="AI70"/>
    <hyperlink r:id="rId164" ref="AI71"/>
    <hyperlink r:id="rId165" ref="AI72"/>
    <hyperlink r:id="rId166" ref="AI73"/>
    <hyperlink r:id="rId167" ref="AI74"/>
    <hyperlink r:id="rId168" ref="AI75"/>
    <hyperlink r:id="rId169" ref="AI76"/>
    <hyperlink r:id="rId170" ref="AI77"/>
    <hyperlink r:id="rId171" ref="AJ77"/>
    <hyperlink r:id="rId172" ref="AI78"/>
    <hyperlink r:id="rId173" ref="AI79"/>
    <hyperlink r:id="rId174" ref="AI80"/>
    <hyperlink r:id="rId175" ref="AI81"/>
    <hyperlink r:id="rId176" ref="AI82"/>
    <hyperlink r:id="rId177" ref="AJ82"/>
    <hyperlink r:id="rId178" ref="AI83"/>
    <hyperlink r:id="rId179" ref="AI84"/>
    <hyperlink r:id="rId180" ref="AI85"/>
    <hyperlink r:id="rId181" ref="AI86"/>
    <hyperlink r:id="rId182" ref="AJ86"/>
    <hyperlink r:id="rId183" ref="AK86"/>
    <hyperlink r:id="rId184" ref="AI87"/>
    <hyperlink r:id="rId185" ref="AI88"/>
    <hyperlink r:id="rId186" ref="AJ88"/>
    <hyperlink r:id="rId187" ref="AA89"/>
    <hyperlink r:id="rId188" ref="AD89"/>
    <hyperlink r:id="rId189" ref="AE89"/>
    <hyperlink r:id="rId190" ref="AI89"/>
    <hyperlink r:id="rId191" ref="AJ89"/>
    <hyperlink r:id="rId192" ref="AI90"/>
    <hyperlink r:id="rId193" ref="AI91"/>
    <hyperlink r:id="rId194" ref="AD92"/>
    <hyperlink r:id="rId195" ref="AI92"/>
    <hyperlink r:id="rId196" ref="AJ92"/>
    <hyperlink r:id="rId197" ref="AK92"/>
    <hyperlink r:id="rId198" ref="AL92"/>
    <hyperlink r:id="rId199" ref="AI93"/>
    <hyperlink r:id="rId200" ref="AD94"/>
    <hyperlink r:id="rId201" ref="AI94"/>
    <hyperlink r:id="rId202" ref="AJ94"/>
    <hyperlink r:id="rId203" ref="AI95"/>
    <hyperlink r:id="rId204" ref="AI96"/>
    <hyperlink r:id="rId205" ref="AI97"/>
    <hyperlink r:id="rId206" ref="AJ97"/>
    <hyperlink r:id="rId207" ref="AF98"/>
    <hyperlink r:id="rId208" ref="AI98"/>
    <hyperlink r:id="rId209" ref="AJ98"/>
    <hyperlink r:id="rId210" ref="AI99"/>
    <hyperlink r:id="rId211" ref="AJ99"/>
    <hyperlink r:id="rId212" ref="AI100"/>
    <hyperlink r:id="rId213" ref="AJ100"/>
    <hyperlink r:id="rId214" ref="AK100"/>
    <hyperlink r:id="rId215" ref="AL100"/>
    <hyperlink r:id="rId216" ref="AM100"/>
    <hyperlink r:id="rId217" ref="AD101"/>
    <hyperlink r:id="rId218" ref="AE101"/>
    <hyperlink r:id="rId219" ref="AI101"/>
    <hyperlink r:id="rId220" ref="AJ101"/>
    <hyperlink r:id="rId221" ref="AI102"/>
    <hyperlink r:id="rId222" ref="AJ102"/>
    <hyperlink r:id="rId223" ref="AK102"/>
    <hyperlink r:id="rId224" ref="AI103"/>
    <hyperlink r:id="rId225" ref="AJ103"/>
    <hyperlink r:id="rId226" ref="AI104"/>
    <hyperlink r:id="rId227" ref="AI105"/>
    <hyperlink r:id="rId228" ref="AD106"/>
    <hyperlink r:id="rId229" ref="AE106"/>
    <hyperlink r:id="rId230" ref="AF106"/>
    <hyperlink r:id="rId231" ref="AI106"/>
    <hyperlink r:id="rId232" ref="AJ106"/>
    <hyperlink r:id="rId233" ref="AK106"/>
    <hyperlink r:id="rId234" ref="AI107"/>
    <hyperlink r:id="rId235" ref="AI108"/>
    <hyperlink r:id="rId236" ref="AI109"/>
    <hyperlink r:id="rId237" ref="AJ109"/>
    <hyperlink r:id="rId238" ref="AK109"/>
    <hyperlink r:id="rId239" ref="AI110"/>
    <hyperlink r:id="rId240" ref="AD111"/>
    <hyperlink r:id="rId241" ref="AI111"/>
    <hyperlink r:id="rId242" ref="AI112"/>
    <hyperlink r:id="rId243" ref="AD113"/>
    <hyperlink r:id="rId244" ref="AI113"/>
    <hyperlink r:id="rId245" ref="AJ113"/>
    <hyperlink r:id="rId246" ref="AK113"/>
    <hyperlink r:id="rId247" ref="AI114"/>
    <hyperlink r:id="rId248" ref="AI115"/>
    <hyperlink r:id="rId249" ref="AI116"/>
    <hyperlink r:id="rId250" ref="AI117"/>
    <hyperlink r:id="rId251" ref="AI118"/>
    <hyperlink r:id="rId252" ref="AI119"/>
    <hyperlink r:id="rId253" ref="AF120"/>
    <hyperlink r:id="rId254" ref="AI120"/>
    <hyperlink r:id="rId255" ref="AE121"/>
    <hyperlink r:id="rId256" location="h.yivmfousiz5i" ref="AF121"/>
    <hyperlink r:id="rId257" ref="AI121"/>
    <hyperlink r:id="rId258" ref="AI123"/>
    <hyperlink r:id="rId259" ref="AI124"/>
    <hyperlink r:id="rId260" ref="AI125"/>
    <hyperlink r:id="rId261" ref="AI126"/>
    <hyperlink r:id="rId262" ref="AI127"/>
    <hyperlink r:id="rId263" ref="AI128"/>
    <hyperlink r:id="rId264" ref="AJ128"/>
    <hyperlink r:id="rId265" ref="AK128"/>
    <hyperlink r:id="rId266" ref="AI129"/>
    <hyperlink r:id="rId267" ref="AJ129"/>
    <hyperlink r:id="rId268" ref="AI130"/>
    <hyperlink r:id="rId269" ref="AJ130"/>
    <hyperlink r:id="rId270" ref="AI131"/>
    <hyperlink r:id="rId271" ref="AJ131"/>
    <hyperlink r:id="rId272" ref="AI132"/>
    <hyperlink r:id="rId273" ref="AJ132"/>
    <hyperlink r:id="rId274" ref="AI133"/>
    <hyperlink r:id="rId275" ref="AJ133"/>
    <hyperlink r:id="rId276" ref="AI134"/>
    <hyperlink r:id="rId277" ref="AI135"/>
    <hyperlink r:id="rId278" ref="AI136"/>
    <hyperlink r:id="rId279" ref="AI139"/>
    <hyperlink r:id="rId280" ref="AI140"/>
    <hyperlink r:id="rId281" ref="AI141"/>
    <hyperlink r:id="rId282" ref="AI142"/>
    <hyperlink r:id="rId283" ref="AI143"/>
    <hyperlink r:id="rId284" ref="AI144"/>
    <hyperlink r:id="rId285" ref="AI145"/>
    <hyperlink r:id="rId286" ref="AI146"/>
    <hyperlink r:id="rId287" ref="AI147"/>
    <hyperlink r:id="rId288" ref="AI148"/>
    <hyperlink r:id="rId289" ref="AI149"/>
    <hyperlink r:id="rId290" ref="AI150"/>
    <hyperlink r:id="rId291" ref="AJ150"/>
    <hyperlink r:id="rId292" ref="AI151"/>
    <hyperlink r:id="rId293" ref="AI152"/>
    <hyperlink r:id="rId294" ref="AJ152"/>
    <hyperlink r:id="rId295" ref="AK152"/>
    <hyperlink r:id="rId296" ref="AI153"/>
    <hyperlink r:id="rId297" ref="AI154"/>
    <hyperlink r:id="rId298" ref="AI156"/>
    <hyperlink r:id="rId299" ref="AI157"/>
    <hyperlink r:id="rId300" ref="AI159"/>
    <hyperlink r:id="rId301" ref="AI160"/>
    <hyperlink r:id="rId302" ref="AI161"/>
    <hyperlink r:id="rId303" ref="AI162"/>
    <hyperlink r:id="rId304" ref="AI164"/>
    <hyperlink r:id="rId305" ref="AI165"/>
    <hyperlink r:id="rId306" ref="AI166"/>
    <hyperlink r:id="rId307" ref="AI168"/>
    <hyperlink r:id="rId308" ref="AI169"/>
    <hyperlink r:id="rId309" ref="AI170"/>
    <hyperlink r:id="rId310" ref="AI172"/>
    <hyperlink r:id="rId311" ref="AI173"/>
    <hyperlink r:id="rId312" ref="AJ173"/>
    <hyperlink r:id="rId313" ref="AI174"/>
    <hyperlink r:id="rId314" ref="AJ174"/>
    <hyperlink r:id="rId315" ref="AI175"/>
    <hyperlink r:id="rId316" ref="AJ175"/>
    <hyperlink r:id="rId317" ref="AK175"/>
    <hyperlink r:id="rId318" ref="AL175"/>
    <hyperlink r:id="rId319" ref="AI176"/>
    <hyperlink r:id="rId320" ref="AJ176"/>
    <hyperlink r:id="rId321" ref="AI177"/>
    <hyperlink r:id="rId322" ref="AJ177"/>
    <hyperlink r:id="rId323" ref="AI179"/>
    <hyperlink r:id="rId324" ref="AJ179"/>
    <hyperlink r:id="rId325" ref="AK179"/>
    <hyperlink r:id="rId326" ref="AI180"/>
    <hyperlink r:id="rId327" ref="AI181"/>
    <hyperlink r:id="rId328" ref="AJ181"/>
    <hyperlink r:id="rId329" ref="AK181"/>
    <hyperlink r:id="rId330" ref="AI184"/>
    <hyperlink r:id="rId331" ref="AJ184"/>
    <hyperlink r:id="rId332" ref="AK184"/>
    <hyperlink r:id="rId333" ref="AI185"/>
    <hyperlink r:id="rId334" ref="AI187"/>
    <hyperlink r:id="rId335" ref="AJ187"/>
    <hyperlink r:id="rId336" ref="AI188"/>
    <hyperlink r:id="rId337" ref="AI189"/>
    <hyperlink r:id="rId338" ref="AI190"/>
    <hyperlink r:id="rId339" ref="AJ190"/>
    <hyperlink r:id="rId340" ref="AK190"/>
    <hyperlink r:id="rId341" ref="AI191"/>
    <hyperlink r:id="rId342" ref="AJ191"/>
    <hyperlink r:id="rId343" ref="AK191"/>
    <hyperlink r:id="rId344" ref="AI192"/>
    <hyperlink r:id="rId345" ref="AJ192"/>
    <hyperlink r:id="rId346" ref="AI193"/>
    <hyperlink r:id="rId347" ref="AD194"/>
    <hyperlink r:id="rId348" ref="AI194"/>
    <hyperlink r:id="rId349" ref="AI195"/>
    <hyperlink r:id="rId350" ref="AI196"/>
    <hyperlink r:id="rId351" ref="AI197"/>
    <hyperlink r:id="rId352" ref="AI200"/>
    <hyperlink r:id="rId353" ref="AI201"/>
    <hyperlink r:id="rId354" ref="AI202"/>
    <hyperlink r:id="rId355" ref="AJ202"/>
    <hyperlink r:id="rId356" ref="AK202"/>
    <hyperlink r:id="rId357" ref="AL202"/>
    <hyperlink r:id="rId358" ref="AM202"/>
    <hyperlink r:id="rId359" ref="AN202"/>
    <hyperlink r:id="rId360" ref="AO202"/>
    <hyperlink r:id="rId361" ref="AP202"/>
    <hyperlink r:id="rId362" ref="AI203"/>
    <hyperlink r:id="rId363" ref="AI204"/>
    <hyperlink r:id="rId364" ref="AJ204"/>
    <hyperlink r:id="rId365" ref="AF205"/>
    <hyperlink r:id="rId366" ref="AI205"/>
    <hyperlink r:id="rId367" ref="AJ205"/>
    <hyperlink r:id="rId368" ref="AK205"/>
    <hyperlink r:id="rId369" ref="AI206"/>
    <hyperlink r:id="rId370" ref="AI207"/>
    <hyperlink r:id="rId371" ref="AI208"/>
    <hyperlink r:id="rId372" ref="AI209"/>
    <hyperlink r:id="rId373" ref="AJ209"/>
    <hyperlink r:id="rId374" ref="AK209"/>
    <hyperlink r:id="rId375" ref="AL209"/>
    <hyperlink r:id="rId376" ref="AM209"/>
    <hyperlink r:id="rId377" ref="AI210"/>
    <hyperlink r:id="rId378" ref="AJ210"/>
    <hyperlink r:id="rId379" ref="AK210"/>
    <hyperlink r:id="rId380" ref="AL210"/>
    <hyperlink r:id="rId381" ref="AI211"/>
    <hyperlink r:id="rId382" ref="AJ211"/>
    <hyperlink r:id="rId383" ref="AI213"/>
    <hyperlink r:id="rId384" ref="AJ213"/>
    <hyperlink r:id="rId385" ref="AK213"/>
    <hyperlink r:id="rId386" location=":~:text=A%20company%20called%20Project%20Turbo,relied%20substantially%20on%20evaporative%20cooling." ref="AD214"/>
    <hyperlink r:id="rId387" ref="AI214"/>
    <hyperlink r:id="rId388" ref="AJ214"/>
    <hyperlink r:id="rId389" ref="AK214"/>
    <hyperlink r:id="rId390" ref="AI215"/>
    <hyperlink r:id="rId391" ref="AD216"/>
    <hyperlink r:id="rId392" ref="AI216"/>
    <hyperlink r:id="rId393" ref="AJ216"/>
    <hyperlink r:id="rId394" ref="AI217"/>
    <hyperlink r:id="rId395" ref="AJ217"/>
    <hyperlink r:id="rId396" ref="AK217"/>
    <hyperlink r:id="rId397" ref="AI218"/>
    <hyperlink r:id="rId398" ref="AJ218"/>
    <hyperlink r:id="rId399" ref="AK218"/>
    <hyperlink r:id="rId400" ref="AL218"/>
    <hyperlink r:id="rId401" ref="AI219"/>
    <hyperlink r:id="rId402" ref="AI220"/>
    <hyperlink r:id="rId403" ref="AJ220"/>
    <hyperlink r:id="rId404" ref="AI221"/>
    <hyperlink r:id="rId405" ref="AF222"/>
    <hyperlink r:id="rId406" ref="AI222"/>
    <hyperlink r:id="rId407" ref="AF223"/>
    <hyperlink r:id="rId408" ref="AD224"/>
    <hyperlink r:id="rId409" ref="AE224"/>
    <hyperlink r:id="rId410" ref="AI224"/>
    <hyperlink r:id="rId411" ref="AD225"/>
    <hyperlink r:id="rId412" ref="AI225"/>
    <hyperlink r:id="rId413" ref="AJ225"/>
    <hyperlink r:id="rId414" ref="AK225"/>
    <hyperlink r:id="rId415" ref="AI226"/>
    <hyperlink r:id="rId416" ref="AI227"/>
    <hyperlink r:id="rId417" ref="AJ227"/>
    <hyperlink r:id="rId418" ref="AK227"/>
    <hyperlink r:id="rId419" ref="AI228"/>
    <hyperlink r:id="rId420" ref="AI229"/>
    <hyperlink r:id="rId421" ref="AI230"/>
    <hyperlink r:id="rId422" ref="AI232"/>
    <hyperlink r:id="rId423" ref="AI235"/>
    <hyperlink r:id="rId424" ref="AJ235"/>
    <hyperlink r:id="rId425" ref="AI236"/>
    <hyperlink r:id="rId426" ref="AI237"/>
    <hyperlink r:id="rId427" ref="AI238"/>
    <hyperlink r:id="rId428" ref="AI239"/>
    <hyperlink r:id="rId429" ref="AJ239"/>
    <hyperlink r:id="rId430" ref="AI240"/>
    <hyperlink r:id="rId431" ref="AJ240"/>
    <hyperlink r:id="rId432" ref="AK240"/>
    <hyperlink r:id="rId433" ref="AI241"/>
    <hyperlink r:id="rId434" ref="AI242"/>
    <hyperlink r:id="rId435" ref="AJ242"/>
    <hyperlink r:id="rId436" ref="AI243"/>
    <hyperlink r:id="rId437" ref="AJ243"/>
    <hyperlink r:id="rId438" ref="AK243"/>
    <hyperlink r:id="rId439" ref="AI245"/>
    <hyperlink r:id="rId440" ref="AI246"/>
    <hyperlink r:id="rId441" ref="AI247"/>
    <hyperlink r:id="rId442" ref="AI248"/>
    <hyperlink r:id="rId443" ref="AD249"/>
    <hyperlink r:id="rId444" ref="AE249"/>
    <hyperlink r:id="rId445" ref="AI249"/>
    <hyperlink r:id="rId446" ref="AJ249"/>
    <hyperlink r:id="rId447" ref="AK249"/>
    <hyperlink r:id="rId448" ref="AI250"/>
    <hyperlink r:id="rId449" ref="AD251"/>
    <hyperlink r:id="rId450" ref="AI251"/>
    <hyperlink r:id="rId451" ref="AJ251"/>
    <hyperlink r:id="rId452" ref="AK251"/>
    <hyperlink r:id="rId453" ref="AI252"/>
    <hyperlink r:id="rId454" ref="AI253"/>
    <hyperlink r:id="rId455" ref="AI255"/>
    <hyperlink r:id="rId456" ref="AJ255"/>
    <hyperlink r:id="rId457" ref="AK255"/>
    <hyperlink r:id="rId458" ref="AI256"/>
    <hyperlink r:id="rId459" ref="AI257"/>
    <hyperlink r:id="rId460" ref="AI258"/>
    <hyperlink r:id="rId461" ref="AJ258"/>
    <hyperlink r:id="rId462" ref="AI259"/>
    <hyperlink r:id="rId463" ref="AD260"/>
    <hyperlink r:id="rId464" ref="AI260"/>
    <hyperlink r:id="rId465" ref="AJ260"/>
    <hyperlink r:id="rId466" ref="AK260"/>
    <hyperlink r:id="rId467" ref="AI261"/>
    <hyperlink r:id="rId468" ref="AI262"/>
    <hyperlink r:id="rId469" ref="AI263"/>
    <hyperlink r:id="rId470" ref="AI264"/>
    <hyperlink r:id="rId471" ref="AI265"/>
    <hyperlink r:id="rId472" ref="AI266"/>
    <hyperlink r:id="rId473" ref="AI267"/>
    <hyperlink r:id="rId474" ref="AI270"/>
    <hyperlink r:id="rId475" ref="AJ270"/>
    <hyperlink r:id="rId476" ref="AI271"/>
    <hyperlink r:id="rId477" ref="AI273"/>
    <hyperlink r:id="rId478" ref="AI274"/>
    <hyperlink r:id="rId479" ref="AJ274"/>
    <hyperlink r:id="rId480" ref="AI275"/>
    <hyperlink r:id="rId481" ref="AJ275"/>
    <hyperlink r:id="rId482" ref="AI276"/>
    <hyperlink r:id="rId483" ref="AD277"/>
    <hyperlink r:id="rId484" ref="AE277"/>
    <hyperlink r:id="rId485" ref="AF277"/>
    <hyperlink r:id="rId486" ref="AI277"/>
    <hyperlink r:id="rId487" ref="AJ277"/>
    <hyperlink r:id="rId488" ref="AK277"/>
    <hyperlink r:id="rId489" ref="AI278"/>
    <hyperlink r:id="rId490" ref="AI279"/>
    <hyperlink r:id="rId491" ref="AJ279"/>
    <hyperlink r:id="rId492" ref="AI280"/>
    <hyperlink r:id="rId493" ref="AI281"/>
    <hyperlink r:id="rId494" ref="AI282"/>
    <hyperlink r:id="rId495" ref="AJ282"/>
    <hyperlink r:id="rId496" ref="AI283"/>
    <hyperlink r:id="rId497" ref="AI285"/>
    <hyperlink r:id="rId498" ref="AI286"/>
    <hyperlink r:id="rId499" ref="AJ286"/>
    <hyperlink r:id="rId500" ref="AI287"/>
    <hyperlink r:id="rId501" ref="AJ287"/>
    <hyperlink r:id="rId502" ref="AI288"/>
    <hyperlink r:id="rId503" ref="AI289"/>
    <hyperlink r:id="rId504" ref="AI290"/>
    <hyperlink r:id="rId505" ref="AJ290"/>
    <hyperlink r:id="rId506" ref="AI291"/>
    <hyperlink r:id="rId507" ref="AI292"/>
    <hyperlink r:id="rId508" ref="AI293"/>
    <hyperlink r:id="rId509" ref="AJ293"/>
    <hyperlink r:id="rId510" ref="AI294"/>
    <hyperlink r:id="rId511" ref="AI295"/>
    <hyperlink r:id="rId512" ref="AI296"/>
    <hyperlink r:id="rId513" ref="AJ296"/>
    <hyperlink r:id="rId514" ref="AI297"/>
    <hyperlink r:id="rId515" ref="AI298"/>
    <hyperlink r:id="rId516" ref="AI300"/>
    <hyperlink r:id="rId517" ref="AJ300"/>
    <hyperlink r:id="rId518" ref="AI301"/>
    <hyperlink r:id="rId519" ref="AJ301"/>
    <hyperlink r:id="rId520" ref="AI302"/>
    <hyperlink r:id="rId521" ref="AI303"/>
    <hyperlink r:id="rId522" ref="AI304"/>
    <hyperlink r:id="rId523" ref="AJ304"/>
    <hyperlink r:id="rId524" ref="AI305"/>
    <hyperlink r:id="rId525" ref="AJ305"/>
    <hyperlink r:id="rId526" ref="AK305"/>
    <hyperlink r:id="rId527" ref="AI306"/>
    <hyperlink r:id="rId528" ref="AJ306"/>
    <hyperlink r:id="rId529" ref="AF307"/>
    <hyperlink r:id="rId530" ref="AI307"/>
    <hyperlink r:id="rId531" ref="AI308"/>
    <hyperlink r:id="rId532" ref="AJ308"/>
    <hyperlink r:id="rId533" ref="AK308"/>
    <hyperlink r:id="rId534" ref="AI309"/>
    <hyperlink r:id="rId535" ref="AJ309"/>
    <hyperlink r:id="rId536" ref="AI310"/>
    <hyperlink r:id="rId537" ref="AI311"/>
    <hyperlink r:id="rId538" ref="AJ311"/>
    <hyperlink r:id="rId539" ref="AI312"/>
    <hyperlink r:id="rId540" ref="AJ312"/>
    <hyperlink r:id="rId541" ref="AI313"/>
    <hyperlink r:id="rId542" ref="AF314"/>
    <hyperlink r:id="rId543" ref="AI314"/>
    <hyperlink r:id="rId544" ref="AI315"/>
    <hyperlink r:id="rId545" ref="AI316"/>
    <hyperlink r:id="rId546" ref="AI317"/>
    <hyperlink r:id="rId547" ref="AD318"/>
    <hyperlink r:id="rId548" ref="AF318"/>
    <hyperlink r:id="rId549" ref="AI318"/>
    <hyperlink r:id="rId550" ref="AJ318"/>
    <hyperlink r:id="rId551" ref="AI319"/>
    <hyperlink r:id="rId552" ref="AF320"/>
    <hyperlink r:id="rId553" ref="AI320"/>
    <hyperlink r:id="rId554" ref="AI321"/>
    <hyperlink r:id="rId555" ref="AI322"/>
    <hyperlink r:id="rId556" ref="AI323"/>
    <hyperlink r:id="rId557" ref="AJ323"/>
    <hyperlink r:id="rId558" ref="AI324"/>
    <hyperlink r:id="rId559" ref="AI325"/>
    <hyperlink r:id="rId560" ref="AJ325"/>
    <hyperlink r:id="rId561" ref="AK325"/>
    <hyperlink r:id="rId562" ref="AI326"/>
    <hyperlink r:id="rId563" ref="AJ326"/>
    <hyperlink r:id="rId564" ref="AI327"/>
    <hyperlink r:id="rId565" ref="AI328"/>
    <hyperlink r:id="rId566" ref="AI329"/>
    <hyperlink r:id="rId567" ref="AI330"/>
    <hyperlink r:id="rId568" ref="AI331"/>
    <hyperlink r:id="rId569" ref="AI332"/>
    <hyperlink r:id="rId570" ref="AI333"/>
    <hyperlink r:id="rId571" ref="AI334"/>
    <hyperlink r:id="rId572" ref="AJ334"/>
    <hyperlink r:id="rId573" ref="AK334"/>
    <hyperlink r:id="rId574" ref="AI335"/>
    <hyperlink r:id="rId575" ref="AI336"/>
    <hyperlink r:id="rId576" ref="AI337"/>
    <hyperlink r:id="rId577" ref="AJ337"/>
    <hyperlink r:id="rId578" ref="AK337"/>
    <hyperlink r:id="rId579" ref="AI338"/>
    <hyperlink r:id="rId580" ref="AJ338"/>
    <hyperlink r:id="rId581" ref="AI339"/>
    <hyperlink r:id="rId582" ref="AI340"/>
    <hyperlink r:id="rId583" ref="AI341"/>
    <hyperlink r:id="rId584" ref="AJ341"/>
    <hyperlink r:id="rId585" ref="AF342"/>
    <hyperlink r:id="rId586" ref="AI342"/>
    <hyperlink r:id="rId587" ref="AJ342"/>
    <hyperlink r:id="rId588" ref="AK342"/>
    <hyperlink r:id="rId589" ref="AL342"/>
    <hyperlink r:id="rId590" ref="AI343"/>
    <hyperlink r:id="rId591" ref="AI344"/>
    <hyperlink r:id="rId592" ref="AI345"/>
    <hyperlink r:id="rId593" ref="AI346"/>
    <hyperlink r:id="rId594" ref="AI347"/>
    <hyperlink r:id="rId595" ref="AI348"/>
    <hyperlink r:id="rId596" ref="AI349"/>
    <hyperlink r:id="rId597" ref="AF350"/>
    <hyperlink r:id="rId598" ref="AI350"/>
    <hyperlink r:id="rId599" ref="AJ350"/>
    <hyperlink r:id="rId600" ref="AI351"/>
    <hyperlink r:id="rId601" ref="AJ351"/>
    <hyperlink r:id="rId602" ref="AI352"/>
    <hyperlink r:id="rId603" ref="AI353"/>
    <hyperlink r:id="rId604" ref="AI354"/>
    <hyperlink r:id="rId605" ref="AI355"/>
    <hyperlink r:id="rId606" ref="AJ355"/>
    <hyperlink r:id="rId607" ref="AI356"/>
    <hyperlink r:id="rId608" ref="AJ356"/>
    <hyperlink r:id="rId609" ref="AI358"/>
    <hyperlink r:id="rId610" ref="AJ358"/>
    <hyperlink r:id="rId611" ref="AI359"/>
    <hyperlink r:id="rId612" ref="AI360"/>
    <hyperlink r:id="rId613" ref="AI361"/>
    <hyperlink r:id="rId614" ref="AJ361"/>
    <hyperlink r:id="rId615" ref="AK361"/>
    <hyperlink r:id="rId616" ref="AL361"/>
    <hyperlink r:id="rId617" ref="AI362"/>
    <hyperlink r:id="rId618" ref="AI363"/>
    <hyperlink r:id="rId619" ref="AD364"/>
    <hyperlink r:id="rId620" ref="AF364"/>
    <hyperlink r:id="rId621" ref="AI364"/>
    <hyperlink r:id="rId622" ref="AJ364"/>
    <hyperlink r:id="rId623" ref="AK364"/>
    <hyperlink r:id="rId624" ref="AI365"/>
    <hyperlink r:id="rId625" ref="AI366"/>
    <hyperlink r:id="rId626" ref="AI367"/>
    <hyperlink r:id="rId627" ref="AI368"/>
    <hyperlink r:id="rId628" ref="AJ368"/>
    <hyperlink r:id="rId629" ref="AK368"/>
    <hyperlink r:id="rId630" ref="AD369"/>
    <hyperlink r:id="rId631" ref="AE369"/>
    <hyperlink r:id="rId632" ref="AF369"/>
    <hyperlink r:id="rId633" ref="AI369"/>
    <hyperlink r:id="rId634" ref="AJ369"/>
    <hyperlink r:id="rId635" ref="AK369"/>
    <hyperlink r:id="rId636" ref="AL369"/>
    <hyperlink r:id="rId637" ref="AD370"/>
    <hyperlink r:id="rId638" ref="AI370"/>
    <hyperlink r:id="rId639" ref="AD371"/>
    <hyperlink r:id="rId640" ref="AI371"/>
    <hyperlink r:id="rId641" ref="AJ371"/>
    <hyperlink r:id="rId642" ref="AK371"/>
    <hyperlink r:id="rId643" ref="AL371"/>
    <hyperlink r:id="rId644" ref="AI372"/>
    <hyperlink r:id="rId645" ref="AI373"/>
    <hyperlink r:id="rId646" ref="AF374"/>
    <hyperlink r:id="rId647" ref="AI374"/>
    <hyperlink r:id="rId648" ref="AJ374"/>
    <hyperlink r:id="rId649" ref="AI375"/>
    <hyperlink r:id="rId650" ref="AI376"/>
    <hyperlink r:id="rId651" ref="AJ376"/>
    <hyperlink r:id="rId652" ref="AI377"/>
    <hyperlink r:id="rId653" ref="AJ377"/>
    <hyperlink r:id="rId654" ref="AK377"/>
    <hyperlink r:id="rId655" ref="AI378"/>
    <hyperlink r:id="rId656" ref="AJ378"/>
    <hyperlink r:id="rId657" ref="AK378"/>
    <hyperlink r:id="rId658" ref="AI379"/>
    <hyperlink r:id="rId659" ref="AJ379"/>
    <hyperlink r:id="rId660" ref="AI380"/>
    <hyperlink r:id="rId661" ref="AJ380"/>
    <hyperlink r:id="rId662" ref="AI381"/>
    <hyperlink r:id="rId663" ref="AJ381"/>
    <hyperlink r:id="rId664" ref="AI382"/>
    <hyperlink r:id="rId665" ref="AJ382"/>
    <hyperlink r:id="rId666" ref="AI383"/>
    <hyperlink r:id="rId667" ref="AJ383"/>
    <hyperlink r:id="rId668" ref="AK383"/>
    <hyperlink r:id="rId669" ref="AL383"/>
    <hyperlink r:id="rId670" ref="AM383"/>
    <hyperlink r:id="rId671" ref="AI384"/>
    <hyperlink r:id="rId672" ref="AJ384"/>
    <hyperlink r:id="rId673" ref="AI385"/>
    <hyperlink r:id="rId674" ref="AJ385"/>
    <hyperlink r:id="rId675" ref="AK385"/>
    <hyperlink r:id="rId676" ref="AL385"/>
    <hyperlink r:id="rId677" ref="AM385"/>
    <hyperlink r:id="rId678" ref="AN385"/>
    <hyperlink r:id="rId679" ref="AI386"/>
    <hyperlink r:id="rId680" ref="AJ386"/>
    <hyperlink r:id="rId681" ref="AK386"/>
    <hyperlink r:id="rId682" ref="AL386"/>
    <hyperlink r:id="rId683" ref="AM386"/>
    <hyperlink r:id="rId684" ref="AN386"/>
    <hyperlink r:id="rId685" ref="AI387"/>
    <hyperlink r:id="rId686" ref="AJ387"/>
    <hyperlink r:id="rId687" ref="AK387"/>
    <hyperlink r:id="rId688" ref="AL387"/>
    <hyperlink r:id="rId689" ref="AM387"/>
    <hyperlink r:id="rId690" ref="AN387"/>
    <hyperlink r:id="rId691" ref="AF388"/>
    <hyperlink r:id="rId692" ref="AI388"/>
    <hyperlink r:id="rId693" ref="AJ388"/>
    <hyperlink r:id="rId694" ref="AI389"/>
    <hyperlink r:id="rId695" ref="AF390"/>
    <hyperlink r:id="rId696" ref="AI390"/>
    <hyperlink r:id="rId697" ref="AI391"/>
    <hyperlink r:id="rId698" ref="AJ391"/>
    <hyperlink r:id="rId699" ref="AI392"/>
    <hyperlink r:id="rId700" ref="AJ392"/>
    <hyperlink r:id="rId701" ref="AI393"/>
    <hyperlink r:id="rId702" ref="AJ393"/>
    <hyperlink r:id="rId703" ref="AI394"/>
    <hyperlink r:id="rId704" ref="AI395"/>
    <hyperlink r:id="rId705" ref="AJ395"/>
    <hyperlink r:id="rId706" ref="AK395"/>
    <hyperlink r:id="rId707" ref="AI396"/>
    <hyperlink r:id="rId708" ref="AI397"/>
    <hyperlink r:id="rId709" ref="AJ397"/>
    <hyperlink r:id="rId710" ref="AK397"/>
    <hyperlink r:id="rId711" ref="AL397"/>
    <hyperlink r:id="rId712" ref="AI398"/>
    <hyperlink r:id="rId713" ref="AJ398"/>
    <hyperlink r:id="rId714" ref="AI399"/>
    <hyperlink r:id="rId715" ref="AD400"/>
    <hyperlink r:id="rId716" ref="AI400"/>
    <hyperlink r:id="rId717" ref="AJ400"/>
    <hyperlink r:id="rId718" ref="AK400"/>
    <hyperlink r:id="rId719" ref="AI401"/>
    <hyperlink r:id="rId720" ref="AI402"/>
    <hyperlink r:id="rId721" ref="AJ402"/>
    <hyperlink r:id="rId722" ref="AI403"/>
    <hyperlink r:id="rId723" ref="AI404"/>
    <hyperlink r:id="rId724" ref="AI405"/>
    <hyperlink r:id="rId725" ref="AJ405"/>
    <hyperlink r:id="rId726" ref="AK405"/>
    <hyperlink r:id="rId727" ref="AI406"/>
    <hyperlink r:id="rId728" ref="AJ406"/>
    <hyperlink r:id="rId729" ref="AK406"/>
    <hyperlink r:id="rId730" ref="AI407"/>
    <hyperlink r:id="rId731" ref="AF408"/>
    <hyperlink r:id="rId732" ref="AI408"/>
    <hyperlink r:id="rId733" ref="AI409"/>
    <hyperlink r:id="rId734" ref="AJ409"/>
    <hyperlink r:id="rId735" ref="AK409"/>
    <hyperlink r:id="rId736" ref="AD410"/>
    <hyperlink r:id="rId737" ref="AF410"/>
    <hyperlink r:id="rId738" ref="AI410"/>
    <hyperlink r:id="rId739" ref="AJ410"/>
    <hyperlink r:id="rId740" ref="AK410"/>
    <hyperlink r:id="rId741" ref="AL410"/>
    <hyperlink r:id="rId742" ref="AI411"/>
    <hyperlink r:id="rId743" ref="AJ411"/>
    <hyperlink r:id="rId744" ref="AK411"/>
    <hyperlink r:id="rId745" ref="AD412"/>
    <hyperlink r:id="rId746" ref="AI412"/>
    <hyperlink r:id="rId747" ref="AI413"/>
    <hyperlink r:id="rId748" ref="AJ413"/>
    <hyperlink r:id="rId749" ref="AK413"/>
    <hyperlink r:id="rId750" ref="AL413"/>
    <hyperlink r:id="rId751" ref="AM413"/>
    <hyperlink r:id="rId752" ref="AN413"/>
    <hyperlink r:id="rId753" ref="AI414"/>
    <hyperlink r:id="rId754" ref="AI415"/>
    <hyperlink r:id="rId755" ref="AJ415"/>
    <hyperlink r:id="rId756" ref="AK415"/>
    <hyperlink r:id="rId757" ref="AI416"/>
    <hyperlink r:id="rId758" ref="AJ416"/>
    <hyperlink r:id="rId759" ref="AK416"/>
    <hyperlink r:id="rId760" ref="AI417"/>
    <hyperlink r:id="rId761" ref="AJ417"/>
    <hyperlink r:id="rId762" ref="AK417"/>
    <hyperlink r:id="rId763" ref="AL417"/>
    <hyperlink r:id="rId764" ref="AI418"/>
    <hyperlink r:id="rId765" ref="AJ418"/>
    <hyperlink r:id="rId766" ref="AI419"/>
    <hyperlink r:id="rId767" ref="AJ419"/>
    <hyperlink r:id="rId768" ref="AI420"/>
    <hyperlink r:id="rId769" ref="AI421"/>
    <hyperlink r:id="rId770" ref="AI422"/>
    <hyperlink r:id="rId771" ref="AD423"/>
    <hyperlink r:id="rId772" ref="AI423"/>
    <hyperlink r:id="rId773" ref="AJ423"/>
    <hyperlink r:id="rId774" ref="AK423"/>
    <hyperlink r:id="rId775" ref="AL423"/>
    <hyperlink r:id="rId776" ref="AE424"/>
    <hyperlink r:id="rId777" ref="AI424"/>
    <hyperlink r:id="rId778" ref="AJ424"/>
    <hyperlink r:id="rId779" ref="AK424"/>
    <hyperlink r:id="rId780" ref="AL424"/>
    <hyperlink r:id="rId781" ref="AM424"/>
    <hyperlink r:id="rId782" ref="AN424"/>
    <hyperlink r:id="rId783" ref="AO424"/>
    <hyperlink r:id="rId784" ref="AP424"/>
    <hyperlink r:id="rId785" ref="AI425"/>
    <hyperlink r:id="rId786" ref="AI426"/>
    <hyperlink r:id="rId787" ref="AI427"/>
    <hyperlink r:id="rId788" ref="AJ427"/>
    <hyperlink r:id="rId789" ref="AK427"/>
    <hyperlink r:id="rId790" ref="AI428"/>
    <hyperlink r:id="rId791" ref="AI429"/>
    <hyperlink r:id="rId792" ref="AJ429"/>
    <hyperlink r:id="rId793" ref="AI430"/>
    <hyperlink r:id="rId794" ref="AI431"/>
    <hyperlink r:id="rId795" ref="AJ431"/>
    <hyperlink r:id="rId796" ref="AK431"/>
    <hyperlink r:id="rId797" ref="AL431"/>
    <hyperlink r:id="rId798" ref="AM431"/>
    <hyperlink r:id="rId799" ref="AN431"/>
    <hyperlink r:id="rId800" ref="AI432"/>
    <hyperlink r:id="rId801" ref="AI433"/>
    <hyperlink r:id="rId802" ref="AJ433"/>
    <hyperlink r:id="rId803" ref="AI434"/>
    <hyperlink r:id="rId804" ref="AI435"/>
    <hyperlink r:id="rId805" ref="AD436"/>
    <hyperlink r:id="rId806" ref="AE436"/>
    <hyperlink r:id="rId807" ref="AI436"/>
    <hyperlink r:id="rId808" ref="AJ436"/>
    <hyperlink r:id="rId809" ref="AI437"/>
    <hyperlink r:id="rId810" ref="AD438"/>
    <hyperlink r:id="rId811" ref="AF438"/>
    <hyperlink r:id="rId812" ref="AI438"/>
    <hyperlink r:id="rId813" ref="AJ438"/>
    <hyperlink r:id="rId814" ref="AK438"/>
    <hyperlink r:id="rId815" ref="AF439"/>
    <hyperlink r:id="rId816" ref="AI439"/>
    <hyperlink r:id="rId817" ref="AJ439"/>
    <hyperlink r:id="rId818" ref="AK439"/>
    <hyperlink r:id="rId819" ref="AL439"/>
    <hyperlink r:id="rId820" ref="AI440"/>
    <hyperlink r:id="rId821" ref="AI441"/>
    <hyperlink r:id="rId822" ref="AD442"/>
    <hyperlink r:id="rId823" ref="AF442"/>
    <hyperlink r:id="rId824" ref="AI442"/>
    <hyperlink r:id="rId825" ref="AI443"/>
    <hyperlink r:id="rId826" ref="AI444"/>
    <hyperlink r:id="rId827" ref="AI445"/>
    <hyperlink r:id="rId828" ref="AI446"/>
    <hyperlink r:id="rId829" ref="AI447"/>
    <hyperlink r:id="rId830" ref="AD448"/>
    <hyperlink r:id="rId831" ref="AI448"/>
    <hyperlink r:id="rId832" ref="AD449"/>
    <hyperlink r:id="rId833" ref="AI449"/>
    <hyperlink r:id="rId834" ref="AJ449"/>
    <hyperlink r:id="rId835" ref="AK449"/>
    <hyperlink r:id="rId836" ref="AI450"/>
    <hyperlink r:id="rId837" ref="AI451"/>
    <hyperlink r:id="rId838" ref="AD452"/>
    <hyperlink r:id="rId839" ref="AF452"/>
    <hyperlink r:id="rId840" ref="AI452"/>
    <hyperlink r:id="rId841" location="collapse23880b2" ref="AJ452"/>
    <hyperlink r:id="rId842" ref="AK452"/>
    <hyperlink r:id="rId843" ref="AL452"/>
    <hyperlink r:id="rId844" ref="AM452"/>
    <hyperlink r:id="rId845" ref="AI453"/>
    <hyperlink r:id="rId846" ref="AI454"/>
    <hyperlink r:id="rId847" ref="AJ454"/>
    <hyperlink r:id="rId848" ref="AK454"/>
    <hyperlink r:id="rId849" ref="AL454"/>
    <hyperlink r:id="rId850" ref="AI455"/>
    <hyperlink r:id="rId851" ref="AJ455"/>
    <hyperlink r:id="rId852" ref="AK455"/>
    <hyperlink r:id="rId853" ref="AI456"/>
    <hyperlink r:id="rId854" ref="AI457"/>
    <hyperlink r:id="rId855" ref="AI458"/>
    <hyperlink r:id="rId856" ref="AD459"/>
    <hyperlink r:id="rId857" ref="AI459"/>
    <hyperlink r:id="rId858" ref="AJ459"/>
    <hyperlink r:id="rId859" ref="AK459"/>
    <hyperlink r:id="rId860" ref="AI460"/>
    <hyperlink r:id="rId861" ref="AI461"/>
    <hyperlink r:id="rId862" ref="AJ461"/>
    <hyperlink r:id="rId863" ref="AK461"/>
    <hyperlink r:id="rId864" ref="AL461"/>
    <hyperlink r:id="rId865" ref="AM461"/>
    <hyperlink r:id="rId866" ref="AF462"/>
    <hyperlink r:id="rId867" ref="AI462"/>
    <hyperlink r:id="rId868" ref="AI463"/>
    <hyperlink r:id="rId869" ref="AJ463"/>
    <hyperlink r:id="rId870" ref="AK463"/>
    <hyperlink r:id="rId871" ref="AL463"/>
    <hyperlink r:id="rId872" ref="AD464"/>
    <hyperlink r:id="rId873" ref="AE464"/>
    <hyperlink r:id="rId874" ref="AF464"/>
    <hyperlink r:id="rId875" ref="AI464"/>
    <hyperlink r:id="rId876" ref="AJ464"/>
    <hyperlink r:id="rId877" ref="AK464"/>
    <hyperlink r:id="rId878" ref="AL464"/>
    <hyperlink r:id="rId879" ref="AM464"/>
    <hyperlink r:id="rId880" ref="AN464"/>
    <hyperlink r:id="rId881" ref="AO464"/>
    <hyperlink r:id="rId882" ref="AP464"/>
    <hyperlink r:id="rId883" ref="AI465"/>
    <hyperlink r:id="rId884" ref="AI466"/>
    <hyperlink r:id="rId885" ref="AD467"/>
    <hyperlink r:id="rId886" ref="AI467"/>
    <hyperlink r:id="rId887" ref="AJ467"/>
    <hyperlink r:id="rId888" ref="AI468"/>
    <hyperlink r:id="rId889" ref="AJ468"/>
    <hyperlink r:id="rId890" ref="AK468"/>
    <hyperlink r:id="rId891" ref="AI469"/>
    <hyperlink r:id="rId892" ref="AJ469"/>
    <hyperlink r:id="rId893" ref="AK469"/>
    <hyperlink r:id="rId894" ref="AL469"/>
    <hyperlink r:id="rId895" ref="AD470"/>
    <hyperlink r:id="rId896" ref="AE470"/>
    <hyperlink r:id="rId897" ref="AF470"/>
    <hyperlink r:id="rId898" ref="AI470"/>
    <hyperlink r:id="rId899" ref="AJ470"/>
    <hyperlink r:id="rId900" ref="AK470"/>
    <hyperlink r:id="rId901" ref="AL470"/>
    <hyperlink r:id="rId902" ref="AM470"/>
    <hyperlink r:id="rId903" ref="AI471"/>
    <hyperlink r:id="rId904" ref="AI472"/>
    <hyperlink r:id="rId905" ref="AJ472"/>
    <hyperlink r:id="rId906" ref="AD473"/>
    <hyperlink r:id="rId907" ref="AI473"/>
    <hyperlink r:id="rId908" ref="AJ473"/>
    <hyperlink r:id="rId909" ref="AK473"/>
    <hyperlink r:id="rId910" ref="AL473"/>
    <hyperlink r:id="rId911" ref="AM473"/>
    <hyperlink r:id="rId912" ref="AN473"/>
    <hyperlink r:id="rId913" ref="AO473"/>
    <hyperlink r:id="rId914" ref="AI474"/>
    <hyperlink r:id="rId915" ref="AJ474"/>
    <hyperlink r:id="rId916" ref="AD475"/>
    <hyperlink r:id="rId917" ref="AE475"/>
    <hyperlink r:id="rId918" ref="AI475"/>
    <hyperlink r:id="rId919" ref="AJ475"/>
    <hyperlink r:id="rId920" ref="AK475"/>
    <hyperlink r:id="rId921" ref="AL475"/>
    <hyperlink r:id="rId922" ref="AM475"/>
    <hyperlink r:id="rId923" ref="AN475"/>
    <hyperlink r:id="rId924" ref="AO475"/>
    <hyperlink r:id="rId925" ref="AF476"/>
    <hyperlink r:id="rId926" ref="AI476"/>
    <hyperlink r:id="rId927" ref="AJ476"/>
    <hyperlink r:id="rId928" ref="AK476"/>
    <hyperlink r:id="rId929" ref="AL476"/>
    <hyperlink r:id="rId930" ref="AM476"/>
    <hyperlink r:id="rId931" ref="AN476"/>
    <hyperlink r:id="rId932" ref="AO476"/>
    <hyperlink r:id="rId933" ref="AD477"/>
    <hyperlink r:id="rId934" ref="AI477"/>
    <hyperlink r:id="rId935" ref="AI478"/>
    <hyperlink r:id="rId936" ref="AJ478"/>
    <hyperlink r:id="rId937" ref="AK478"/>
    <hyperlink r:id="rId938" ref="AL478"/>
    <hyperlink r:id="rId939" ref="AM478"/>
    <hyperlink r:id="rId940" ref="AI479"/>
    <hyperlink r:id="rId941" ref="AJ479"/>
    <hyperlink r:id="rId942" ref="AK479"/>
    <hyperlink r:id="rId943" ref="AI480"/>
    <hyperlink r:id="rId944" ref="AJ480"/>
    <hyperlink r:id="rId945" ref="AI481"/>
    <hyperlink r:id="rId946" ref="AI482"/>
    <hyperlink r:id="rId947" ref="AI483"/>
    <hyperlink r:id="rId948" ref="AI484"/>
    <hyperlink r:id="rId949" ref="AD485"/>
    <hyperlink r:id="rId950" ref="AF485"/>
    <hyperlink r:id="rId951" ref="AI485"/>
    <hyperlink r:id="rId952" location="1760042903195-d604f6bd-60cc" ref="AJ485"/>
    <hyperlink r:id="rId953" ref="AK485"/>
    <hyperlink r:id="rId954" ref="AL485"/>
    <hyperlink r:id="rId955" ref="AM485"/>
    <hyperlink r:id="rId956" ref="AN485"/>
    <hyperlink r:id="rId957" ref="AO485"/>
    <hyperlink r:id="rId958" ref="AP485"/>
    <hyperlink r:id="rId959" ref="AI486"/>
    <hyperlink r:id="rId960" ref="AF487"/>
    <hyperlink r:id="rId961" ref="AI487"/>
    <hyperlink r:id="rId962" ref="AJ487"/>
    <hyperlink r:id="rId963" ref="AD488"/>
    <hyperlink r:id="rId964" ref="AF488"/>
    <hyperlink r:id="rId965" ref="AI488"/>
    <hyperlink r:id="rId966" ref="AJ488"/>
    <hyperlink r:id="rId967" ref="AK488"/>
    <hyperlink r:id="rId968" ref="AL488"/>
    <hyperlink r:id="rId969" ref="AI489"/>
    <hyperlink r:id="rId970" ref="AJ489"/>
    <hyperlink r:id="rId971" ref="AI490"/>
    <hyperlink r:id="rId972" ref="AJ490"/>
    <hyperlink r:id="rId973" ref="AI491"/>
    <hyperlink r:id="rId974" ref="AJ491"/>
    <hyperlink r:id="rId975" ref="AK491"/>
    <hyperlink r:id="rId976" ref="AF492"/>
    <hyperlink r:id="rId977" ref="AI492"/>
    <hyperlink r:id="rId978" ref="AJ492"/>
    <hyperlink r:id="rId979" ref="AK492"/>
    <hyperlink r:id="rId980" ref="AL492"/>
    <hyperlink r:id="rId981" ref="AM492"/>
    <hyperlink r:id="rId982" ref="AI493"/>
    <hyperlink r:id="rId983" ref="AF494"/>
    <hyperlink r:id="rId984" ref="AI494"/>
    <hyperlink r:id="rId985" ref="AI495"/>
    <hyperlink r:id="rId986" ref="AI496"/>
    <hyperlink r:id="rId987" ref="AJ496"/>
    <hyperlink r:id="rId988" ref="AK496"/>
    <hyperlink r:id="rId989" ref="AI497"/>
    <hyperlink r:id="rId990" ref="AJ497"/>
    <hyperlink r:id="rId991" ref="AK497"/>
    <hyperlink r:id="rId992" ref="AL497"/>
    <hyperlink r:id="rId993" ref="AI498"/>
    <hyperlink r:id="rId994" ref="AJ498"/>
    <hyperlink r:id="rId995" ref="AK498"/>
    <hyperlink r:id="rId996" ref="AL498"/>
    <hyperlink r:id="rId997" ref="AM498"/>
    <hyperlink r:id="rId998" ref="AI499"/>
    <hyperlink r:id="rId999" ref="AI500"/>
    <hyperlink r:id="rId1000" ref="AI501"/>
    <hyperlink r:id="rId1001" ref="AI502"/>
    <hyperlink r:id="rId1002" ref="AJ502"/>
    <hyperlink r:id="rId1003" ref="AI503"/>
    <hyperlink r:id="rId1004" ref="AJ503"/>
    <hyperlink r:id="rId1005" ref="AI504"/>
    <hyperlink r:id="rId1006" ref="AF505"/>
    <hyperlink r:id="rId1007" ref="AI505"/>
    <hyperlink r:id="rId1008" ref="AJ505"/>
    <hyperlink r:id="rId1009" ref="AI506"/>
    <hyperlink r:id="rId1010" ref="AJ506"/>
    <hyperlink r:id="rId1011" ref="AF507"/>
    <hyperlink r:id="rId1012" ref="AI507"/>
    <hyperlink r:id="rId1013" ref="AJ507"/>
    <hyperlink r:id="rId1014" ref="AK507"/>
    <hyperlink r:id="rId1015" ref="AL507"/>
    <hyperlink r:id="rId1016" ref="AM507"/>
    <hyperlink r:id="rId1017" ref="AI508"/>
    <hyperlink r:id="rId1018" ref="AJ508"/>
    <hyperlink r:id="rId1019" ref="AK508"/>
    <hyperlink r:id="rId1020" ref="AF509"/>
    <hyperlink r:id="rId1021" ref="AI509"/>
    <hyperlink r:id="rId1022" ref="AJ509"/>
    <hyperlink r:id="rId1023" ref="AK509"/>
    <hyperlink r:id="rId1024" ref="AI510"/>
    <hyperlink r:id="rId1025" ref="AJ510"/>
    <hyperlink r:id="rId1026" ref="AK510"/>
    <hyperlink r:id="rId1027" ref="AD511"/>
    <hyperlink r:id="rId1028" ref="AI511"/>
    <hyperlink r:id="rId1029" ref="AJ511"/>
    <hyperlink r:id="rId1030" ref="AK511"/>
    <hyperlink r:id="rId1031" ref="AI512"/>
    <hyperlink r:id="rId1032" ref="AJ512"/>
    <hyperlink r:id="rId1033" ref="AK512"/>
    <hyperlink r:id="rId1034" ref="AI513"/>
    <hyperlink r:id="rId1035" ref="AI514"/>
    <hyperlink r:id="rId1036" ref="AJ514"/>
    <hyperlink r:id="rId1037" ref="AI515"/>
    <hyperlink r:id="rId1038" ref="AI516"/>
    <hyperlink r:id="rId1039" ref="AI517"/>
    <hyperlink r:id="rId1040" ref="AI518"/>
    <hyperlink r:id="rId1041" ref="AI519"/>
    <hyperlink r:id="rId1042" ref="AI520"/>
    <hyperlink r:id="rId1043" ref="AF521"/>
    <hyperlink r:id="rId1044" ref="AI521"/>
    <hyperlink r:id="rId1045" ref="AJ521"/>
    <hyperlink r:id="rId1046" ref="AK521"/>
    <hyperlink r:id="rId1047" ref="AI522"/>
    <hyperlink r:id="rId1048" ref="AF523"/>
    <hyperlink r:id="rId1049" ref="AI523"/>
    <hyperlink r:id="rId1050" ref="AJ523"/>
    <hyperlink r:id="rId1051" ref="AK523"/>
    <hyperlink r:id="rId1052" ref="AI524"/>
    <hyperlink r:id="rId1053" ref="AI525"/>
    <hyperlink r:id="rId1054" ref="AI526"/>
    <hyperlink r:id="rId1055" ref="AI527"/>
    <hyperlink r:id="rId1056" ref="AJ527"/>
    <hyperlink r:id="rId1057" ref="AK527"/>
    <hyperlink r:id="rId1058" ref="AL527"/>
    <hyperlink r:id="rId1059" ref="AI528"/>
    <hyperlink r:id="rId1060" ref="AJ528"/>
    <hyperlink r:id="rId1061" ref="AF529"/>
    <hyperlink r:id="rId1062" ref="AI529"/>
    <hyperlink r:id="rId1063" ref="AJ529"/>
    <hyperlink r:id="rId1064" ref="AF530"/>
    <hyperlink r:id="rId1065" ref="AI530"/>
    <hyperlink r:id="rId1066" ref="AI531"/>
    <hyperlink r:id="rId1067" ref="AJ531"/>
    <hyperlink r:id="rId1068" ref="AF532"/>
    <hyperlink r:id="rId1069" ref="AI532"/>
    <hyperlink r:id="rId1070" ref="AI533"/>
    <hyperlink r:id="rId1071" ref="AJ533"/>
    <hyperlink r:id="rId1072" ref="AK533"/>
    <hyperlink r:id="rId1073" ref="AD534"/>
    <hyperlink r:id="rId1074" ref="AI534"/>
    <hyperlink r:id="rId1075" ref="AJ534"/>
    <hyperlink r:id="rId1076" ref="AI535"/>
    <hyperlink r:id="rId1077" ref="AI536"/>
    <hyperlink r:id="rId1078" ref="AJ536"/>
    <hyperlink r:id="rId1079" ref="AK536"/>
    <hyperlink r:id="rId1080" ref="AI537"/>
    <hyperlink r:id="rId1081" ref="AJ537"/>
    <hyperlink r:id="rId1082" ref="AK537"/>
    <hyperlink r:id="rId1083" ref="AI538"/>
    <hyperlink r:id="rId1084" ref="AI539"/>
    <hyperlink r:id="rId1085" ref="AI540"/>
    <hyperlink r:id="rId1086" ref="AJ540"/>
    <hyperlink r:id="rId1087" ref="AI541"/>
    <hyperlink r:id="rId1088" ref="AI543"/>
    <hyperlink r:id="rId1089" ref="AI544"/>
    <hyperlink r:id="rId1090" ref="AI545"/>
    <hyperlink r:id="rId1091" ref="AJ545"/>
    <hyperlink r:id="rId1092" ref="AF546"/>
    <hyperlink r:id="rId1093" ref="AI546"/>
    <hyperlink r:id="rId1094" ref="AI548"/>
    <hyperlink r:id="rId1095" ref="AI549"/>
    <hyperlink r:id="rId1096" ref="AJ549"/>
    <hyperlink r:id="rId1097" ref="AI551"/>
    <hyperlink r:id="rId1098" ref="AJ551"/>
    <hyperlink r:id="rId1099" ref="AI552"/>
    <hyperlink r:id="rId1100" ref="AI553"/>
    <hyperlink r:id="rId1101" ref="AJ553"/>
    <hyperlink r:id="rId1102" ref="AK553"/>
    <hyperlink r:id="rId1103" ref="AL553"/>
    <hyperlink r:id="rId1104" ref="AI554"/>
    <hyperlink r:id="rId1105" ref="AJ554"/>
    <hyperlink r:id="rId1106" ref="AI555"/>
    <hyperlink r:id="rId1107" ref="AJ555"/>
    <hyperlink r:id="rId1108" ref="AK555"/>
    <hyperlink r:id="rId1109" ref="AD556"/>
    <hyperlink r:id="rId1110" ref="AI556"/>
    <hyperlink r:id="rId1111" ref="AI557"/>
    <hyperlink r:id="rId1112" ref="AI558"/>
    <hyperlink r:id="rId1113" ref="AI559"/>
    <hyperlink r:id="rId1114" ref="AJ559"/>
    <hyperlink r:id="rId1115" ref="AI560"/>
    <hyperlink r:id="rId1116" ref="AJ560"/>
    <hyperlink r:id="rId1117" ref="AK560"/>
    <hyperlink r:id="rId1118" ref="AI561"/>
    <hyperlink r:id="rId1119" ref="AF562"/>
    <hyperlink r:id="rId1120" ref="AI562"/>
    <hyperlink r:id="rId1121" ref="AI563"/>
    <hyperlink r:id="rId1122" ref="AJ563"/>
    <hyperlink r:id="rId1123" ref="AF564"/>
    <hyperlink r:id="rId1124" ref="AI564"/>
    <hyperlink r:id="rId1125" ref="AJ564"/>
    <hyperlink r:id="rId1126" ref="AK564"/>
    <hyperlink r:id="rId1127" ref="AL564"/>
    <hyperlink r:id="rId1128" ref="AD565"/>
    <hyperlink r:id="rId1129" ref="AE565"/>
    <hyperlink r:id="rId1130" ref="AF565"/>
    <hyperlink r:id="rId1131" ref="AI565"/>
    <hyperlink r:id="rId1132" ref="AJ565"/>
    <hyperlink r:id="rId1133" ref="AK565"/>
    <hyperlink r:id="rId1134" ref="AL565"/>
    <hyperlink r:id="rId1135" ref="AM565"/>
    <hyperlink r:id="rId1136" ref="AD566"/>
    <hyperlink r:id="rId1137" ref="AE566"/>
    <hyperlink r:id="rId1138" ref="AF566"/>
    <hyperlink r:id="rId1139" ref="AI566"/>
    <hyperlink r:id="rId1140" ref="AJ566"/>
    <hyperlink r:id="rId1141" ref="AI567"/>
    <hyperlink r:id="rId1142" ref="AI568"/>
    <hyperlink r:id="rId1143" ref="AJ568"/>
    <hyperlink r:id="rId1144" ref="AK568"/>
    <hyperlink r:id="rId1145" ref="AL568"/>
    <hyperlink r:id="rId1146" ref="AM568"/>
    <hyperlink r:id="rId1147" ref="AI569"/>
    <hyperlink r:id="rId1148" ref="AI570"/>
    <hyperlink r:id="rId1149" ref="AJ570"/>
    <hyperlink r:id="rId1150" ref="AK570"/>
    <hyperlink r:id="rId1151" ref="AL570"/>
    <hyperlink r:id="rId1152" ref="AI571"/>
    <hyperlink r:id="rId1153" ref="AI572"/>
    <hyperlink r:id="rId1154" ref="AJ572"/>
    <hyperlink r:id="rId1155" ref="AK572"/>
    <hyperlink r:id="rId1156" ref="AL572"/>
    <hyperlink r:id="rId1157" ref="AI573"/>
    <hyperlink r:id="rId1158" ref="AI575"/>
    <hyperlink r:id="rId1159" ref="AI576"/>
    <hyperlink r:id="rId1160" location="gid=1159825851" ref="AJ576"/>
    <hyperlink r:id="rId1161" ref="AI577"/>
    <hyperlink r:id="rId1162" ref="AI578"/>
    <hyperlink r:id="rId1163" ref="AJ578"/>
    <hyperlink r:id="rId1164" ref="AI580"/>
    <hyperlink r:id="rId1165" ref="AI583"/>
    <hyperlink r:id="rId1166" ref="AF584"/>
    <hyperlink r:id="rId1167" ref="AI584"/>
    <hyperlink r:id="rId1168" ref="AI585"/>
    <hyperlink r:id="rId1169" ref="AD586"/>
    <hyperlink r:id="rId1170" location=":~:text=company%20Blackstone%20had%20plans%20to,CMBSs%20deals%20combined%20in%202024." ref="AE586"/>
    <hyperlink r:id="rId1171" ref="AI586"/>
    <hyperlink r:id="rId1172" ref="AJ586"/>
    <hyperlink r:id="rId1173" ref="AK586"/>
    <hyperlink r:id="rId1174" ref="AL586"/>
    <hyperlink r:id="rId1175" ref="AI587"/>
    <hyperlink r:id="rId1176" ref="AI588"/>
    <hyperlink r:id="rId1177" ref="AI589"/>
    <hyperlink r:id="rId1178" ref="AI590"/>
    <hyperlink r:id="rId1179" ref="AF591"/>
    <hyperlink r:id="rId1180" ref="AI591"/>
    <hyperlink r:id="rId1181" ref="AD592"/>
    <hyperlink r:id="rId1182" ref="AI592"/>
    <hyperlink r:id="rId1183" ref="AI593"/>
    <hyperlink r:id="rId1184" ref="AJ593"/>
    <hyperlink r:id="rId1185" ref="AK593"/>
    <hyperlink r:id="rId1186" ref="AI594"/>
    <hyperlink r:id="rId1187" ref="AI595"/>
    <hyperlink r:id="rId1188" ref="AF596"/>
    <hyperlink r:id="rId1189" ref="AI596"/>
    <hyperlink r:id="rId1190" ref="AJ596"/>
    <hyperlink r:id="rId1191" ref="AK596"/>
    <hyperlink r:id="rId1192" ref="AL596"/>
    <hyperlink r:id="rId1193" ref="AI597"/>
    <hyperlink r:id="rId1194" ref="AI601"/>
    <hyperlink r:id="rId1195" ref="AI603"/>
    <hyperlink r:id="rId1196" ref="AI604"/>
    <hyperlink r:id="rId1197" ref="AD605"/>
    <hyperlink r:id="rId1198" ref="AE605"/>
    <hyperlink r:id="rId1199" ref="AF605"/>
    <hyperlink r:id="rId1200" ref="AI605"/>
    <hyperlink r:id="rId1201" ref="AJ605"/>
    <hyperlink r:id="rId1202" ref="AK605"/>
    <hyperlink r:id="rId1203" ref="AL605"/>
    <hyperlink r:id="rId1204" ref="AM605"/>
    <hyperlink r:id="rId1205" ref="AN605"/>
    <hyperlink r:id="rId1206" ref="AO605"/>
    <hyperlink r:id="rId1207" ref="AP605"/>
    <hyperlink r:id="rId1208" ref="AE606"/>
    <hyperlink r:id="rId1209" ref="AF606"/>
    <hyperlink r:id="rId1210" ref="AI606"/>
    <hyperlink r:id="rId1211" ref="AJ606"/>
    <hyperlink r:id="rId1212" ref="AF607"/>
    <hyperlink r:id="rId1213" ref="AI607"/>
    <hyperlink r:id="rId1214" ref="AJ607"/>
    <hyperlink r:id="rId1215" ref="AI608"/>
    <hyperlink r:id="rId1216" ref="AI609"/>
    <hyperlink r:id="rId1217" ref="AJ609"/>
    <hyperlink r:id="rId1218" ref="AI610"/>
    <hyperlink r:id="rId1219" ref="AI612"/>
    <hyperlink r:id="rId1220" ref="A613"/>
    <hyperlink r:id="rId1221" ref="AI613"/>
    <hyperlink r:id="rId1222" ref="AI614"/>
    <hyperlink r:id="rId1223" ref="AI615"/>
    <hyperlink r:id="rId1224" ref="AI616"/>
    <hyperlink r:id="rId1225" ref="AI617"/>
    <hyperlink r:id="rId1226" ref="AJ617"/>
    <hyperlink r:id="rId1227" ref="AI618"/>
    <hyperlink r:id="rId1228" ref="AJ618"/>
    <hyperlink r:id="rId1229" ref="AK618"/>
    <hyperlink r:id="rId1230" ref="AI619"/>
    <hyperlink r:id="rId1231" ref="AI621"/>
    <hyperlink r:id="rId1232" ref="AI622"/>
    <hyperlink r:id="rId1233" ref="AJ622"/>
    <hyperlink r:id="rId1234" ref="AK622"/>
    <hyperlink r:id="rId1235" ref="AL622"/>
    <hyperlink r:id="rId1236" ref="AM622"/>
    <hyperlink r:id="rId1237" ref="AI623"/>
    <hyperlink r:id="rId1238" ref="AJ623"/>
    <hyperlink r:id="rId1239" ref="AD624"/>
    <hyperlink r:id="rId1240" ref="AF624"/>
    <hyperlink r:id="rId1241" ref="AI624"/>
    <hyperlink r:id="rId1242" ref="AJ624"/>
    <hyperlink r:id="rId1243" ref="AK624"/>
    <hyperlink r:id="rId1244" ref="AL624"/>
    <hyperlink r:id="rId1245" ref="AM624"/>
    <hyperlink r:id="rId1246" ref="AN624"/>
    <hyperlink r:id="rId1247" ref="AO624"/>
    <hyperlink r:id="rId1248" ref="AP624"/>
    <hyperlink r:id="rId1249" ref="AI625"/>
    <hyperlink r:id="rId1250" ref="AI626"/>
    <hyperlink r:id="rId1251" ref="AJ626"/>
    <hyperlink r:id="rId1252" ref="AK626"/>
    <hyperlink r:id="rId1253" ref="AL626"/>
    <hyperlink r:id="rId1254" ref="AM626"/>
    <hyperlink r:id="rId1255" ref="AN626"/>
    <hyperlink r:id="rId1256" ref="AI627"/>
    <hyperlink r:id="rId1257" ref="AI628"/>
    <hyperlink r:id="rId1258" ref="AI629"/>
    <hyperlink r:id="rId1259" ref="AJ629"/>
    <hyperlink r:id="rId1260" ref="AI630"/>
    <hyperlink r:id="rId1261" ref="AJ630"/>
    <hyperlink r:id="rId1262" ref="AK630"/>
    <hyperlink r:id="rId1263" ref="AI631"/>
    <hyperlink r:id="rId1264" ref="AJ631"/>
    <hyperlink r:id="rId1265" ref="AD632"/>
    <hyperlink r:id="rId1266" ref="AI632"/>
    <hyperlink r:id="rId1267" ref="AJ632"/>
    <hyperlink r:id="rId1268" ref="AK632"/>
    <hyperlink r:id="rId1269" ref="AI633"/>
    <hyperlink r:id="rId1270" ref="AI634"/>
    <hyperlink r:id="rId1271" ref="AJ634"/>
    <hyperlink r:id="rId1272" ref="AK634"/>
    <hyperlink r:id="rId1273" ref="AL634"/>
    <hyperlink r:id="rId1274" ref="AF635"/>
    <hyperlink r:id="rId1275" ref="AI635"/>
    <hyperlink r:id="rId1276" ref="AD636"/>
    <hyperlink r:id="rId1277" ref="AF636"/>
    <hyperlink r:id="rId1278" ref="AI636"/>
    <hyperlink r:id="rId1279" location="page=25" ref="AJ636"/>
    <hyperlink r:id="rId1280" ref="AK636"/>
    <hyperlink r:id="rId1281" ref="AL636"/>
    <hyperlink r:id="rId1282" ref="AM636"/>
    <hyperlink r:id="rId1283" ref="AN636"/>
    <hyperlink r:id="rId1284" ref="AO636"/>
    <hyperlink r:id="rId1285" ref="AI637"/>
    <hyperlink r:id="rId1286" ref="AF638"/>
    <hyperlink r:id="rId1287" ref="AI638"/>
    <hyperlink r:id="rId1288" ref="AJ638"/>
    <hyperlink r:id="rId1289" ref="AK638"/>
    <hyperlink r:id="rId1290" ref="AI639"/>
    <hyperlink r:id="rId1291" ref="AJ639"/>
    <hyperlink r:id="rId1292" ref="AK639"/>
    <hyperlink r:id="rId1293" ref="AI640"/>
    <hyperlink r:id="rId1294" ref="AI641"/>
    <hyperlink r:id="rId1295" ref="AJ641"/>
    <hyperlink r:id="rId1296" ref="AK641"/>
    <hyperlink r:id="rId1297" ref="AI642"/>
    <hyperlink r:id="rId1298" ref="AJ642"/>
    <hyperlink r:id="rId1299" ref="AI643"/>
    <hyperlink r:id="rId1300" ref="AI644"/>
    <hyperlink r:id="rId1301" ref="AI645"/>
    <hyperlink r:id="rId1302" ref="AI647"/>
    <hyperlink r:id="rId1303" ref="AI648"/>
    <hyperlink r:id="rId1304" ref="AJ648"/>
    <hyperlink r:id="rId1305" ref="AI649"/>
    <hyperlink r:id="rId1306" ref="AJ649"/>
    <hyperlink r:id="rId1307" ref="AK649"/>
    <hyperlink r:id="rId1308" ref="AL649"/>
    <hyperlink r:id="rId1309" ref="AM649"/>
    <hyperlink r:id="rId1310" ref="AD650"/>
    <hyperlink r:id="rId1311" ref="AF650"/>
    <hyperlink r:id="rId1312" ref="AI650"/>
    <hyperlink r:id="rId1313" ref="AJ650"/>
    <hyperlink r:id="rId1314" ref="AD651"/>
    <hyperlink r:id="rId1315" ref="AE651"/>
    <hyperlink r:id="rId1316" ref="AI651"/>
    <hyperlink r:id="rId1317" ref="AI652"/>
    <hyperlink r:id="rId1318" ref="AJ652"/>
    <hyperlink r:id="rId1319" ref="AI653"/>
    <hyperlink r:id="rId1320" ref="AJ653"/>
    <hyperlink r:id="rId1321" ref="AK653"/>
    <hyperlink r:id="rId1322" ref="AI655"/>
    <hyperlink r:id="rId1323" ref="AD657"/>
    <hyperlink r:id="rId1324" ref="AE657"/>
    <hyperlink r:id="rId1325" ref="AI657"/>
    <hyperlink r:id="rId1326" ref="AJ657"/>
    <hyperlink r:id="rId1327" ref="AK657"/>
    <hyperlink r:id="rId1328" ref="AI658"/>
    <hyperlink r:id="rId1329" ref="AI659"/>
    <hyperlink r:id="rId1330" ref="AJ659"/>
    <hyperlink r:id="rId1331" ref="AI660"/>
    <hyperlink r:id="rId1332" ref="AA661"/>
    <hyperlink r:id="rId1333" ref="AI661"/>
    <hyperlink r:id="rId1334" ref="AJ661"/>
    <hyperlink r:id="rId1335" ref="AK661"/>
    <hyperlink r:id="rId1336" ref="AF662"/>
    <hyperlink r:id="rId1337" ref="AI662"/>
    <hyperlink r:id="rId1338" ref="AJ662"/>
    <hyperlink r:id="rId1339" ref="AK662"/>
    <hyperlink r:id="rId1340" ref="AL662"/>
    <hyperlink r:id="rId1341" ref="AM662"/>
    <hyperlink r:id="rId1342" ref="AI663"/>
    <hyperlink r:id="rId1343" ref="AJ663"/>
    <hyperlink r:id="rId1344" ref="AK663"/>
    <hyperlink r:id="rId1345" ref="AL663"/>
    <hyperlink r:id="rId1346" ref="AM663"/>
    <hyperlink r:id="rId1347" ref="AN663"/>
    <hyperlink r:id="rId1348" ref="AO663"/>
    <hyperlink r:id="rId1349" ref="AP663"/>
    <hyperlink r:id="rId1350" ref="AF664"/>
    <hyperlink r:id="rId1351" ref="AI664"/>
    <hyperlink r:id="rId1352" ref="AJ664"/>
    <hyperlink r:id="rId1353" ref="AI665"/>
    <hyperlink r:id="rId1354" ref="AI666"/>
    <hyperlink r:id="rId1355" ref="AI667"/>
    <hyperlink r:id="rId1356" ref="AI668"/>
    <hyperlink r:id="rId1357" ref="AI669"/>
    <hyperlink r:id="rId1358" ref="AJ669"/>
    <hyperlink r:id="rId1359" ref="AI670"/>
    <hyperlink r:id="rId1360" ref="AJ670"/>
    <hyperlink r:id="rId1361" ref="AI671"/>
    <hyperlink r:id="rId1362" ref="AJ671"/>
    <hyperlink r:id="rId1363" ref="AK671"/>
    <hyperlink r:id="rId1364" ref="AI672"/>
    <hyperlink r:id="rId1365" ref="AI673"/>
    <hyperlink r:id="rId1366" ref="AI674"/>
    <hyperlink r:id="rId1367" ref="AI675"/>
    <hyperlink r:id="rId1368" ref="AI676"/>
    <hyperlink r:id="rId1369" ref="AJ676"/>
    <hyperlink r:id="rId1370" ref="AI677"/>
    <hyperlink r:id="rId1371" ref="AJ677"/>
    <hyperlink r:id="rId1372" ref="AI678"/>
    <hyperlink r:id="rId1373" ref="AJ678"/>
    <hyperlink r:id="rId1374" ref="AI679"/>
    <hyperlink r:id="rId1375" ref="AI680"/>
    <hyperlink r:id="rId1376" ref="AI681"/>
    <hyperlink r:id="rId1377" ref="AJ681"/>
    <hyperlink r:id="rId1378" ref="AF682"/>
    <hyperlink r:id="rId1379" ref="AI682"/>
    <hyperlink r:id="rId1380" ref="AI683"/>
    <hyperlink r:id="rId1381" ref="AA684"/>
    <hyperlink r:id="rId1382" ref="AI684"/>
    <hyperlink r:id="rId1383" ref="AJ684"/>
    <hyperlink r:id="rId1384" ref="AK684"/>
    <hyperlink r:id="rId1385" ref="AL684"/>
    <hyperlink r:id="rId1386" ref="AM684"/>
    <hyperlink r:id="rId1387" ref="AN684"/>
    <hyperlink r:id="rId1388" ref="AO684"/>
    <hyperlink r:id="rId1389" ref="AP684"/>
    <hyperlink r:id="rId1390" ref="AI685"/>
    <hyperlink r:id="rId1391" ref="AD686"/>
    <hyperlink r:id="rId1392" ref="AI686"/>
    <hyperlink r:id="rId1393" ref="AJ686"/>
    <hyperlink r:id="rId1394" ref="AK686"/>
    <hyperlink r:id="rId1395" ref="AL686"/>
    <hyperlink r:id="rId1396" ref="AF687"/>
    <hyperlink r:id="rId1397" ref="AI687"/>
    <hyperlink r:id="rId1398" ref="AI688"/>
    <hyperlink r:id="rId1399" ref="AJ688"/>
    <hyperlink r:id="rId1400" ref="AK688"/>
    <hyperlink r:id="rId1401" ref="AL688"/>
    <hyperlink r:id="rId1402" ref="AI689"/>
    <hyperlink r:id="rId1403" ref="AI690"/>
    <hyperlink r:id="rId1404" ref="AJ690"/>
    <hyperlink r:id="rId1405" ref="AI691"/>
    <hyperlink r:id="rId1406" ref="AI692"/>
    <hyperlink r:id="rId1407" ref="AI693"/>
    <hyperlink r:id="rId1408" ref="AI694"/>
    <hyperlink r:id="rId1409" ref="AI695"/>
    <hyperlink r:id="rId1410" ref="AI696"/>
    <hyperlink r:id="rId1411" ref="AI697"/>
    <hyperlink r:id="rId1412" ref="AI698"/>
    <hyperlink r:id="rId1413" ref="AI699"/>
    <hyperlink r:id="rId1414" ref="AI700"/>
    <hyperlink r:id="rId1415" ref="AI701"/>
    <hyperlink r:id="rId1416" ref="AJ701"/>
    <hyperlink r:id="rId1417" ref="AK701"/>
    <hyperlink r:id="rId1418" ref="AI702"/>
    <hyperlink r:id="rId1419" ref="AJ702"/>
    <hyperlink r:id="rId1420" ref="AF703"/>
    <hyperlink r:id="rId1421" ref="AI703"/>
    <hyperlink r:id="rId1422" ref="AI704"/>
    <hyperlink r:id="rId1423" ref="AI705"/>
    <hyperlink r:id="rId1424" ref="AJ705"/>
    <hyperlink r:id="rId1425" ref="AK705"/>
    <hyperlink r:id="rId1426" ref="AL705"/>
    <hyperlink r:id="rId1427" ref="AD706"/>
    <hyperlink r:id="rId1428" location=":~:text=Monclova%20Township%20residents%20wary%20of,data%20centers%20in%20their%20backyard&amp;text=To%20continue%20reading%2C%20try%20unlimited" ref="AI706"/>
    <hyperlink r:id="rId1429" ref="AD707"/>
    <hyperlink r:id="rId1430" ref="AI707"/>
    <hyperlink r:id="rId1431" ref="AI708"/>
    <hyperlink r:id="rId1432" ref="AI709"/>
    <hyperlink r:id="rId1433" ref="AJ709"/>
    <hyperlink r:id="rId1434" ref="AK709"/>
    <hyperlink r:id="rId1435" ref="AL709"/>
    <hyperlink r:id="rId1436" ref="AM709"/>
    <hyperlink r:id="rId1437" ref="AN709"/>
    <hyperlink r:id="rId1438" ref="AO709"/>
    <hyperlink r:id="rId1439" ref="AI710"/>
    <hyperlink r:id="rId1440" ref="AI711"/>
    <hyperlink r:id="rId1441" ref="AI712"/>
    <hyperlink r:id="rId1442" ref="AI713"/>
    <hyperlink r:id="rId1443" ref="AJ713"/>
    <hyperlink r:id="rId1444" ref="AK713"/>
    <hyperlink r:id="rId1445" ref="AL713"/>
    <hyperlink r:id="rId1446" ref="AM713"/>
    <hyperlink r:id="rId1447" ref="AI714"/>
    <hyperlink r:id="rId1448" ref="AJ714"/>
    <hyperlink r:id="rId1449" ref="AK714"/>
    <hyperlink r:id="rId1450" ref="AI715"/>
    <hyperlink r:id="rId1451" ref="AI716"/>
    <hyperlink r:id="rId1452" ref="AJ716"/>
    <hyperlink r:id="rId1453" ref="AD717"/>
    <hyperlink r:id="rId1454" ref="AI717"/>
    <hyperlink r:id="rId1455" ref="AJ717"/>
    <hyperlink r:id="rId1456" ref="AK717"/>
    <hyperlink r:id="rId1457" ref="AL717"/>
    <hyperlink r:id="rId1458" ref="AI718"/>
    <hyperlink r:id="rId1459" ref="AF719"/>
    <hyperlink r:id="rId1460" ref="AI719"/>
    <hyperlink r:id="rId1461" location="fact-vs-fiction" ref="AJ719"/>
    <hyperlink r:id="rId1462" ref="AA720"/>
    <hyperlink r:id="rId1463" ref="AI720"/>
    <hyperlink r:id="rId1464" ref="AJ720"/>
    <hyperlink r:id="rId1465" ref="AK720"/>
    <hyperlink r:id="rId1466" ref="AL720"/>
    <hyperlink r:id="rId1467" ref="AD721"/>
    <hyperlink r:id="rId1468" ref="AE721"/>
    <hyperlink r:id="rId1469" ref="AI721"/>
    <hyperlink r:id="rId1470" ref="AJ721"/>
    <hyperlink r:id="rId1471" ref="AK721"/>
    <hyperlink r:id="rId1472" ref="AM721"/>
    <hyperlink r:id="rId1473" ref="AI722"/>
    <hyperlink r:id="rId1474" ref="AD723"/>
    <hyperlink r:id="rId1475" ref="AI723"/>
    <hyperlink r:id="rId1476" ref="AI724"/>
    <hyperlink r:id="rId1477" ref="AI725"/>
    <hyperlink r:id="rId1478" ref="AJ725"/>
    <hyperlink r:id="rId1479" ref="AK725"/>
    <hyperlink r:id="rId1480" ref="AL725"/>
    <hyperlink r:id="rId1481" ref="AD726"/>
    <hyperlink r:id="rId1482" ref="AF726"/>
    <hyperlink r:id="rId1483" ref="AI726"/>
    <hyperlink r:id="rId1484" ref="AJ726"/>
    <hyperlink r:id="rId1485" ref="AK726"/>
    <hyperlink r:id="rId1486" ref="AI727"/>
    <hyperlink r:id="rId1487" location="gid=2132985834" ref="AJ727"/>
    <hyperlink r:id="rId1488" ref="AA728"/>
    <hyperlink r:id="rId1489" ref="AI728"/>
    <hyperlink r:id="rId1490" ref="AJ728"/>
    <hyperlink r:id="rId1491" ref="AK728"/>
    <hyperlink r:id="rId1492" ref="AI729"/>
    <hyperlink r:id="rId1493" ref="AI730"/>
    <hyperlink r:id="rId1494" ref="AJ730"/>
    <hyperlink r:id="rId1495" ref="AA731"/>
    <hyperlink r:id="rId1496" ref="AD731"/>
    <hyperlink r:id="rId1497" ref="AF731"/>
    <hyperlink r:id="rId1498" ref="AI731"/>
    <hyperlink r:id="rId1499" ref="AJ731"/>
    <hyperlink r:id="rId1500" ref="AK731"/>
    <hyperlink r:id="rId1501" ref="AD732"/>
    <hyperlink r:id="rId1502" ref="AF732"/>
    <hyperlink r:id="rId1503" ref="AI732"/>
    <hyperlink r:id="rId1504" ref="AJ732"/>
    <hyperlink r:id="rId1505" location=":~:text=SAND%20SPRINGS%2C%20Okla.,showing%20up%20made%20a%20difference." ref="AK732"/>
    <hyperlink r:id="rId1506" ref="AL732"/>
    <hyperlink r:id="rId1507" ref="AM732"/>
    <hyperlink r:id="rId1508" ref="AI733"/>
    <hyperlink r:id="rId1509" ref="AJ733"/>
    <hyperlink r:id="rId1510" ref="AK733"/>
    <hyperlink r:id="rId1511" ref="AL733"/>
    <hyperlink r:id="rId1512" ref="AI735"/>
    <hyperlink r:id="rId1513" ref="AI736"/>
    <hyperlink r:id="rId1514" ref="AI737"/>
    <hyperlink r:id="rId1515" ref="AJ737"/>
    <hyperlink r:id="rId1516" ref="AA738"/>
    <hyperlink r:id="rId1517" ref="AI738"/>
    <hyperlink r:id="rId1518" ref="AJ738"/>
    <hyperlink r:id="rId1519" ref="AK738"/>
    <hyperlink r:id="rId1520" ref="AI739"/>
    <hyperlink r:id="rId1521" ref="AJ739"/>
    <hyperlink r:id="rId1522" ref="AI740"/>
    <hyperlink r:id="rId1523" ref="AJ740"/>
    <hyperlink r:id="rId1524" ref="AI742"/>
    <hyperlink r:id="rId1525" ref="AI743"/>
    <hyperlink r:id="rId1526" ref="AI744"/>
    <hyperlink r:id="rId1527" ref="AI745"/>
    <hyperlink r:id="rId1528" ref="AI746"/>
    <hyperlink r:id="rId1529" ref="AI747"/>
    <hyperlink r:id="rId1530" ref="AI748"/>
    <hyperlink r:id="rId1531" ref="AI749"/>
    <hyperlink r:id="rId1532" ref="AI750"/>
    <hyperlink r:id="rId1533" ref="AJ750"/>
    <hyperlink r:id="rId1534" ref="AI751"/>
    <hyperlink r:id="rId1535" ref="AJ751"/>
    <hyperlink r:id="rId1536" ref="AK751"/>
    <hyperlink r:id="rId1537" ref="AI753"/>
    <hyperlink r:id="rId1538" ref="AI754"/>
    <hyperlink r:id="rId1539" ref="AI755"/>
    <hyperlink r:id="rId1540" ref="AI756"/>
    <hyperlink r:id="rId1541" ref="AJ756"/>
    <hyperlink r:id="rId1542" ref="AD757"/>
    <hyperlink r:id="rId1543" ref="AF757"/>
    <hyperlink r:id="rId1544" ref="AI757"/>
    <hyperlink r:id="rId1545" ref="AJ757"/>
    <hyperlink r:id="rId1546" ref="AK757"/>
    <hyperlink r:id="rId1547" ref="AF758"/>
    <hyperlink r:id="rId1548" ref="AI758"/>
    <hyperlink r:id="rId1549" ref="AJ758"/>
    <hyperlink r:id="rId1550" ref="AI759"/>
    <hyperlink r:id="rId1551" ref="AA760"/>
    <hyperlink r:id="rId1552" ref="AI760"/>
    <hyperlink r:id="rId1553" ref="AJ760"/>
    <hyperlink r:id="rId1554" ref="AK760"/>
    <hyperlink r:id="rId1555" ref="AL760"/>
    <hyperlink r:id="rId1556" ref="AM760"/>
    <hyperlink r:id="rId1557" ref="AN760"/>
    <hyperlink r:id="rId1558" ref="AO760"/>
    <hyperlink r:id="rId1559" ref="AP760"/>
    <hyperlink r:id="rId1560" ref="AI761"/>
    <hyperlink r:id="rId1561" ref="AJ761"/>
    <hyperlink r:id="rId1562" ref="AI762"/>
    <hyperlink r:id="rId1563" ref="AJ762"/>
    <hyperlink r:id="rId1564" ref="AJ763"/>
    <hyperlink r:id="rId1565" ref="AK763"/>
    <hyperlink r:id="rId1566" ref="AA764"/>
    <hyperlink r:id="rId1567" ref="AI764"/>
    <hyperlink r:id="rId1568" ref="AJ764"/>
    <hyperlink r:id="rId1569" ref="AK764"/>
    <hyperlink r:id="rId1570" ref="AL764"/>
    <hyperlink r:id="rId1571" ref="AM764"/>
    <hyperlink r:id="rId1572" ref="AN764"/>
    <hyperlink r:id="rId1573" ref="AO764"/>
    <hyperlink r:id="rId1574" ref="AI765"/>
    <hyperlink r:id="rId1575" ref="AI766"/>
    <hyperlink r:id="rId1576" location="BET" ref="AI767"/>
    <hyperlink r:id="rId1577" ref="AI768"/>
    <hyperlink r:id="rId1578" ref="AI769"/>
    <hyperlink r:id="rId1579" ref="AJ769"/>
    <hyperlink r:id="rId1580" ref="AK769"/>
    <hyperlink r:id="rId1581" ref="AL769"/>
    <hyperlink r:id="rId1582" ref="AM769"/>
    <hyperlink r:id="rId1583" ref="AN769"/>
    <hyperlink r:id="rId1584" ref="AO769"/>
    <hyperlink r:id="rId1585" ref="AI770"/>
    <hyperlink r:id="rId1586" ref="AJ770"/>
    <hyperlink r:id="rId1587" ref="AI771"/>
    <hyperlink r:id="rId1588" ref="AI772"/>
    <hyperlink r:id="rId1589" ref="AJ772"/>
    <hyperlink r:id="rId1590" ref="AK772"/>
    <hyperlink r:id="rId1591" ref="AI773"/>
    <hyperlink r:id="rId1592" ref="AJ773"/>
    <hyperlink r:id="rId1593" ref="AK773"/>
    <hyperlink r:id="rId1594" ref="AL773"/>
    <hyperlink r:id="rId1595" ref="AM773"/>
    <hyperlink r:id="rId1596" ref="AN773"/>
    <hyperlink r:id="rId1597" ref="AO773"/>
    <hyperlink r:id="rId1598" ref="AI774"/>
    <hyperlink r:id="rId1599" ref="AJ774"/>
    <hyperlink r:id="rId1600" ref="AD775"/>
    <hyperlink r:id="rId1601" ref="AI775"/>
    <hyperlink r:id="rId1602" ref="AJ775"/>
    <hyperlink r:id="rId1603" ref="AK775"/>
    <hyperlink r:id="rId1604" ref="AI776"/>
    <hyperlink r:id="rId1605" ref="AF777"/>
    <hyperlink r:id="rId1606" ref="AI777"/>
    <hyperlink r:id="rId1607" ref="AJ777"/>
    <hyperlink r:id="rId1608" ref="AK777"/>
    <hyperlink r:id="rId1609" ref="AL777"/>
    <hyperlink r:id="rId1610" ref="AM777"/>
    <hyperlink r:id="rId1611" ref="AI778"/>
    <hyperlink r:id="rId1612" ref="AJ778"/>
    <hyperlink r:id="rId1613" ref="AI779"/>
    <hyperlink r:id="rId1614" ref="AF780"/>
    <hyperlink r:id="rId1615" ref="AI780"/>
    <hyperlink r:id="rId1616" ref="AJ780"/>
    <hyperlink r:id="rId1617" ref="AI781"/>
    <hyperlink r:id="rId1618" ref="AI782"/>
    <hyperlink r:id="rId1619" ref="AA783"/>
    <hyperlink r:id="rId1620" ref="AI783"/>
    <hyperlink r:id="rId1621" ref="AJ783"/>
    <hyperlink r:id="rId1622" ref="AK783"/>
    <hyperlink r:id="rId1623" ref="AI784"/>
    <hyperlink r:id="rId1624" ref="AJ784"/>
    <hyperlink r:id="rId1625" ref="AK784"/>
    <hyperlink r:id="rId1626" ref="AL784"/>
    <hyperlink r:id="rId1627" ref="AI785"/>
    <hyperlink r:id="rId1628" ref="AI786"/>
    <hyperlink r:id="rId1629" ref="AI787"/>
    <hyperlink r:id="rId1630" ref="AJ787"/>
    <hyperlink r:id="rId1631" ref="AK787"/>
    <hyperlink r:id="rId1632" ref="AA788"/>
    <hyperlink r:id="rId1633" ref="AD788"/>
    <hyperlink r:id="rId1634" ref="AG788"/>
    <hyperlink r:id="rId1635" ref="AI788"/>
    <hyperlink r:id="rId1636" ref="AJ788"/>
    <hyperlink r:id="rId1637" ref="AK788"/>
    <hyperlink r:id="rId1638" ref="AL788"/>
    <hyperlink r:id="rId1639" ref="AD789"/>
    <hyperlink r:id="rId1640" ref="AE789"/>
    <hyperlink r:id="rId1641" ref="AI789"/>
    <hyperlink r:id="rId1642" ref="AJ789"/>
    <hyperlink r:id="rId1643" ref="AK789"/>
    <hyperlink r:id="rId1644" ref="AL789"/>
    <hyperlink r:id="rId1645" ref="AM789"/>
    <hyperlink r:id="rId1646" ref="AN789"/>
    <hyperlink r:id="rId1647" ref="AO789"/>
    <hyperlink r:id="rId1648" ref="AI790"/>
    <hyperlink r:id="rId1649" ref="AI791"/>
    <hyperlink r:id="rId1650" ref="AJ791"/>
    <hyperlink r:id="rId1651" ref="AK791"/>
    <hyperlink r:id="rId1652" ref="AI792"/>
    <hyperlink r:id="rId1653" ref="AD793"/>
    <hyperlink r:id="rId1654" ref="AI793"/>
    <hyperlink r:id="rId1655" ref="AJ793"/>
    <hyperlink r:id="rId1656" ref="AI794"/>
    <hyperlink r:id="rId1657" ref="AJ794"/>
    <hyperlink r:id="rId1658" location="horizon" ref="AI795"/>
    <hyperlink r:id="rId1659" ref="AI796"/>
    <hyperlink r:id="rId1660" ref="AJ796"/>
    <hyperlink r:id="rId1661" ref="AK796"/>
    <hyperlink r:id="rId1662" ref="AI797"/>
    <hyperlink r:id="rId1663" ref="AJ797"/>
    <hyperlink r:id="rId1664" ref="AI799"/>
    <hyperlink r:id="rId1665" ref="AI800"/>
    <hyperlink r:id="rId1666" ref="AD801"/>
    <hyperlink r:id="rId1667" ref="AE801"/>
    <hyperlink r:id="rId1668" ref="AI801"/>
    <hyperlink r:id="rId1669" ref="AJ801"/>
    <hyperlink r:id="rId1670" ref="AI802"/>
    <hyperlink r:id="rId1671" ref="AI803"/>
    <hyperlink r:id="rId1672" ref="AJ803"/>
    <hyperlink r:id="rId1673" ref="AK803"/>
    <hyperlink r:id="rId1674" ref="AD804"/>
    <hyperlink r:id="rId1675" ref="AI804"/>
    <hyperlink r:id="rId1676" ref="AJ804"/>
    <hyperlink r:id="rId1677" ref="AK804"/>
    <hyperlink r:id="rId1678" ref="AI805"/>
    <hyperlink r:id="rId1679" ref="AJ805"/>
    <hyperlink r:id="rId1680" ref="AK805"/>
    <hyperlink r:id="rId1681" ref="AD806"/>
    <hyperlink r:id="rId1682" ref="AI806"/>
    <hyperlink r:id="rId1683" ref="AJ806"/>
    <hyperlink r:id="rId1684" ref="AK806"/>
    <hyperlink r:id="rId1685" location="google_vignette" ref="AI807"/>
    <hyperlink r:id="rId1686" ref="AJ807"/>
    <hyperlink r:id="rId1687" ref="AK807"/>
    <hyperlink r:id="rId1688" ref="AI808"/>
    <hyperlink r:id="rId1689" ref="AJ808"/>
    <hyperlink r:id="rId1690" ref="AK808"/>
    <hyperlink r:id="rId1691" ref="AL808"/>
    <hyperlink r:id="rId1692" ref="AI809"/>
    <hyperlink r:id="rId1693" ref="AF810"/>
    <hyperlink r:id="rId1694" ref="AI810"/>
    <hyperlink r:id="rId1695" ref="AI811"/>
    <hyperlink r:id="rId1696" ref="AD812"/>
    <hyperlink r:id="rId1697" ref="AI812"/>
    <hyperlink r:id="rId1698" ref="AJ812"/>
    <hyperlink r:id="rId1699" ref="AK812"/>
    <hyperlink r:id="rId1700" ref="AL812"/>
    <hyperlink r:id="rId1701" location="solutions-newkensington" ref="AM812"/>
    <hyperlink r:id="rId1702" ref="AN812"/>
    <hyperlink r:id="rId1703" ref="AI813"/>
    <hyperlink r:id="rId1704" ref="AI814"/>
    <hyperlink r:id="rId1705" ref="AI815"/>
    <hyperlink r:id="rId1706" ref="AJ815"/>
    <hyperlink r:id="rId1707" ref="AI816"/>
    <hyperlink r:id="rId1708" ref="AI817"/>
    <hyperlink r:id="rId1709" ref="AI818"/>
    <hyperlink r:id="rId1710" ref="AI819"/>
    <hyperlink r:id="rId1711" ref="AI820"/>
    <hyperlink r:id="rId1712" ref="AI821"/>
    <hyperlink r:id="rId1713" ref="AI822"/>
    <hyperlink r:id="rId1714" location="PHI" ref="AI823"/>
    <hyperlink r:id="rId1715" ref="AI824"/>
    <hyperlink r:id="rId1716" ref="AI826"/>
    <hyperlink r:id="rId1717" ref="AI827"/>
    <hyperlink r:id="rId1718" ref="AI828"/>
    <hyperlink r:id="rId1719" ref="AI829"/>
    <hyperlink r:id="rId1720" ref="AI830"/>
    <hyperlink r:id="rId1721" ref="AI831"/>
    <hyperlink r:id="rId1722" ref="AI834"/>
    <hyperlink r:id="rId1723" ref="AJ834"/>
    <hyperlink r:id="rId1724" ref="AF835"/>
    <hyperlink r:id="rId1725" ref="AI835"/>
    <hyperlink r:id="rId1726" ref="AJ835"/>
    <hyperlink r:id="rId1727" ref="AD836"/>
    <hyperlink r:id="rId1728" ref="AI836"/>
    <hyperlink r:id="rId1729" ref="AI837"/>
    <hyperlink r:id="rId1730" ref="AI838"/>
    <hyperlink r:id="rId1731" ref="AI839"/>
    <hyperlink r:id="rId1732" ref="AI840"/>
    <hyperlink r:id="rId1733" ref="AJ840"/>
    <hyperlink r:id="rId1734" ref="AI841"/>
    <hyperlink r:id="rId1735" ref="AJ841"/>
    <hyperlink r:id="rId1736" ref="AK841"/>
    <hyperlink r:id="rId1737" ref="AI842"/>
    <hyperlink r:id="rId1738" ref="AJ842"/>
    <hyperlink r:id="rId1739" ref="AI843"/>
    <hyperlink r:id="rId1740" ref="AJ843"/>
    <hyperlink r:id="rId1741" ref="AK843"/>
    <hyperlink r:id="rId1742" ref="AL843"/>
    <hyperlink r:id="rId1743" ref="AD844"/>
    <hyperlink r:id="rId1744" ref="AI844"/>
    <hyperlink r:id="rId1745" ref="AJ844"/>
    <hyperlink r:id="rId1746" ref="AK844"/>
    <hyperlink r:id="rId1747" ref="AL844"/>
    <hyperlink r:id="rId1748" ref="AM844"/>
    <hyperlink r:id="rId1749" ref="AN844"/>
    <hyperlink r:id="rId1750" ref="AO844"/>
    <hyperlink r:id="rId1751" ref="AP844"/>
    <hyperlink r:id="rId1752" ref="AI845"/>
    <hyperlink r:id="rId1753" ref="AJ845"/>
    <hyperlink r:id="rId1754" ref="AD846"/>
    <hyperlink r:id="rId1755" ref="AI846"/>
    <hyperlink r:id="rId1756" ref="AJ846"/>
    <hyperlink r:id="rId1757" ref="AK846"/>
    <hyperlink r:id="rId1758" ref="AL846"/>
    <hyperlink r:id="rId1759" ref="AF847"/>
    <hyperlink r:id="rId1760" ref="AI847"/>
    <hyperlink r:id="rId1761" ref="AJ847"/>
    <hyperlink r:id="rId1762" ref="AK847"/>
    <hyperlink r:id="rId1763" ref="AL847"/>
    <hyperlink r:id="rId1764" ref="AD848"/>
    <hyperlink r:id="rId1765" ref="AI848"/>
    <hyperlink r:id="rId1766" ref="AJ848"/>
    <hyperlink r:id="rId1767" ref="AK848"/>
    <hyperlink r:id="rId1768" ref="AL848"/>
    <hyperlink r:id="rId1769" ref="AM848"/>
    <hyperlink r:id="rId1770" ref="AN848"/>
    <hyperlink r:id="rId1771" ref="AO848"/>
    <hyperlink r:id="rId1772" ref="AI850"/>
    <hyperlink r:id="rId1773" ref="AI851"/>
    <hyperlink r:id="rId1774" ref="AI852"/>
    <hyperlink r:id="rId1775" ref="AI853"/>
    <hyperlink r:id="rId1776" ref="AI854"/>
    <hyperlink r:id="rId1777" ref="AJ854"/>
    <hyperlink r:id="rId1778" ref="AK854"/>
    <hyperlink r:id="rId1779" ref="AL854"/>
    <hyperlink r:id="rId1780" ref="AF855"/>
    <hyperlink r:id="rId1781" ref="AI855"/>
    <hyperlink r:id="rId1782" ref="AJ855"/>
    <hyperlink r:id="rId1783" ref="AK855"/>
    <hyperlink r:id="rId1784" ref="AD856"/>
    <hyperlink r:id="rId1785" ref="AI856"/>
    <hyperlink r:id="rId1786" ref="AJ856"/>
    <hyperlink r:id="rId1787" ref="AK856"/>
    <hyperlink r:id="rId1788" ref="AL856"/>
    <hyperlink r:id="rId1789" ref="AM856"/>
    <hyperlink r:id="rId1790" ref="AN856"/>
    <hyperlink r:id="rId1791" ref="AA857"/>
    <hyperlink r:id="rId1792" ref="AD857"/>
    <hyperlink r:id="rId1793" ref="AI857"/>
    <hyperlink r:id="rId1794" ref="AJ857"/>
    <hyperlink r:id="rId1795" ref="AI858"/>
    <hyperlink r:id="rId1796" ref="AI859"/>
    <hyperlink r:id="rId1797" ref="AJ859"/>
    <hyperlink r:id="rId1798" ref="AI861"/>
    <hyperlink r:id="rId1799" ref="AJ861"/>
    <hyperlink r:id="rId1800" ref="AK861"/>
    <hyperlink r:id="rId1801" ref="AI862"/>
    <hyperlink r:id="rId1802" ref="AI863"/>
    <hyperlink r:id="rId1803" ref="AI864"/>
    <hyperlink r:id="rId1804" ref="AJ864"/>
    <hyperlink r:id="rId1805" ref="AK864"/>
    <hyperlink r:id="rId1806" ref="AD865"/>
    <hyperlink r:id="rId1807" ref="AD866"/>
    <hyperlink r:id="rId1808" ref="AI866"/>
    <hyperlink r:id="rId1809" ref="AJ866"/>
    <hyperlink r:id="rId1810" ref="AK866"/>
    <hyperlink r:id="rId1811" ref="AL866"/>
    <hyperlink r:id="rId1812" ref="AM866"/>
    <hyperlink r:id="rId1813" ref="AD867"/>
    <hyperlink r:id="rId1814" ref="AF867"/>
    <hyperlink r:id="rId1815" ref="AI867"/>
    <hyperlink r:id="rId1816" ref="AJ867"/>
    <hyperlink r:id="rId1817" ref="AK867"/>
    <hyperlink r:id="rId1818" ref="AL867"/>
    <hyperlink r:id="rId1819" ref="AM867"/>
    <hyperlink r:id="rId1820" ref="AI868"/>
    <hyperlink r:id="rId1821" ref="AF870"/>
    <hyperlink r:id="rId1822" ref="AI870"/>
    <hyperlink r:id="rId1823" ref="AJ870"/>
    <hyperlink r:id="rId1824" ref="AK870"/>
    <hyperlink r:id="rId1825" ref="AF871"/>
    <hyperlink r:id="rId1826" ref="AI871"/>
    <hyperlink r:id="rId1827" ref="AJ871"/>
    <hyperlink r:id="rId1828" ref="AK871"/>
    <hyperlink r:id="rId1829" ref="AL871"/>
    <hyperlink r:id="rId1830" ref="AI872"/>
    <hyperlink r:id="rId1831" ref="AI873"/>
    <hyperlink r:id="rId1832" ref="AJ873"/>
    <hyperlink r:id="rId1833" ref="AK873"/>
    <hyperlink r:id="rId1834" ref="AD874"/>
    <hyperlink r:id="rId1835" ref="AI874"/>
    <hyperlink r:id="rId1836" ref="AJ874"/>
    <hyperlink r:id="rId1837" ref="AF876"/>
    <hyperlink r:id="rId1838" ref="AI876"/>
    <hyperlink r:id="rId1839" ref="AJ876"/>
    <hyperlink r:id="rId1840" ref="AK876"/>
    <hyperlink r:id="rId1841" ref="AI877"/>
    <hyperlink r:id="rId1842" ref="AI879"/>
    <hyperlink r:id="rId1843" ref="AI880"/>
    <hyperlink r:id="rId1844" ref="AI881"/>
    <hyperlink r:id="rId1845" ref="AJ881"/>
    <hyperlink r:id="rId1846" ref="AK881"/>
    <hyperlink r:id="rId1847" ref="AI882"/>
    <hyperlink r:id="rId1848" ref="AJ882"/>
    <hyperlink r:id="rId1849" ref="AK882"/>
    <hyperlink r:id="rId1850" ref="AD883"/>
    <hyperlink r:id="rId1851" ref="AE883"/>
    <hyperlink r:id="rId1852" ref="AF883"/>
    <hyperlink r:id="rId1853" ref="AI883"/>
    <hyperlink r:id="rId1854" ref="AJ883"/>
    <hyperlink r:id="rId1855" ref="AK883"/>
    <hyperlink r:id="rId1856" ref="AL883"/>
    <hyperlink r:id="rId1857" ref="AM883"/>
    <hyperlink r:id="rId1858" ref="AF884"/>
    <hyperlink r:id="rId1859" ref="AI884"/>
    <hyperlink r:id="rId1860" ref="AJ884"/>
    <hyperlink r:id="rId1861" ref="AK884"/>
    <hyperlink r:id="rId1862" ref="AI885"/>
    <hyperlink r:id="rId1863" ref="AI886"/>
    <hyperlink r:id="rId1864" ref="AI887"/>
    <hyperlink r:id="rId1865" ref="AJ887"/>
    <hyperlink r:id="rId1866" ref="AI888"/>
    <hyperlink r:id="rId1867" ref="AJ888"/>
    <hyperlink r:id="rId1868" ref="AI889"/>
    <hyperlink r:id="rId1869" ref="AJ889"/>
    <hyperlink r:id="rId1870" ref="AK889"/>
    <hyperlink r:id="rId1871" ref="AL889"/>
    <hyperlink r:id="rId1872" ref="AM889"/>
    <hyperlink r:id="rId1873" ref="AI890"/>
    <hyperlink r:id="rId1874" ref="AJ890"/>
    <hyperlink r:id="rId1875" ref="AK890"/>
    <hyperlink r:id="rId1876" ref="AL890"/>
    <hyperlink r:id="rId1877" ref="AM890"/>
    <hyperlink r:id="rId1878" ref="AN890"/>
    <hyperlink r:id="rId1879" ref="AO890"/>
    <hyperlink r:id="rId1880" ref="AI891"/>
    <hyperlink r:id="rId1881" ref="AJ891"/>
    <hyperlink r:id="rId1882" ref="AK891"/>
    <hyperlink r:id="rId1883" ref="AL891"/>
    <hyperlink r:id="rId1884" ref="AM891"/>
    <hyperlink r:id="rId1885" ref="AN891"/>
    <hyperlink r:id="rId1886" ref="AI892"/>
    <hyperlink r:id="rId1887" ref="AI893"/>
    <hyperlink r:id="rId1888" ref="AF894"/>
    <hyperlink r:id="rId1889" ref="AI894"/>
    <hyperlink r:id="rId1890" ref="AJ894"/>
    <hyperlink r:id="rId1891" ref="AK894"/>
    <hyperlink r:id="rId1892" ref="AL894"/>
    <hyperlink r:id="rId1893" ref="AM894"/>
    <hyperlink r:id="rId1894" ref="AN894"/>
    <hyperlink r:id="rId1895" ref="AI895"/>
    <hyperlink r:id="rId1896" ref="AI896"/>
    <hyperlink r:id="rId1897" ref="AI898"/>
    <hyperlink r:id="rId1898" ref="AI899"/>
    <hyperlink r:id="rId1899" ref="AJ899"/>
    <hyperlink r:id="rId1900" ref="AI900"/>
    <hyperlink r:id="rId1901" ref="AI901"/>
    <hyperlink r:id="rId1902" ref="AI902"/>
    <hyperlink r:id="rId1903" ref="AI903"/>
    <hyperlink r:id="rId1904" ref="AI904"/>
    <hyperlink r:id="rId1905" ref="AF905"/>
    <hyperlink r:id="rId1906" ref="AI905"/>
    <hyperlink r:id="rId1907" ref="AI906"/>
    <hyperlink r:id="rId1908" ref="AJ906"/>
    <hyperlink r:id="rId1909" ref="AK906"/>
    <hyperlink r:id="rId1910" ref="AI907"/>
    <hyperlink r:id="rId1911" ref="AI908"/>
    <hyperlink r:id="rId1912" ref="AI909"/>
    <hyperlink r:id="rId1913" ref="AI910"/>
    <hyperlink r:id="rId1914" ref="AI911"/>
    <hyperlink r:id="rId1915" ref="AI912"/>
    <hyperlink r:id="rId1916" ref="AJ912"/>
    <hyperlink r:id="rId1917" ref="AK912"/>
    <hyperlink r:id="rId1918" ref="AI913"/>
    <hyperlink r:id="rId1919" ref="AJ913"/>
    <hyperlink r:id="rId1920" ref="AK913"/>
    <hyperlink r:id="rId1921" ref="AI914"/>
    <hyperlink r:id="rId1922" ref="AJ914"/>
    <hyperlink r:id="rId1923" ref="AI915"/>
    <hyperlink r:id="rId1924" ref="AJ915"/>
    <hyperlink r:id="rId1925" ref="AI916"/>
    <hyperlink r:id="rId1926" ref="AI917"/>
    <hyperlink r:id="rId1927" ref="AJ917"/>
    <hyperlink r:id="rId1928" ref="AI918"/>
    <hyperlink r:id="rId1929" ref="AJ918"/>
    <hyperlink r:id="rId1930" ref="AK918"/>
    <hyperlink r:id="rId1931" ref="AL918"/>
    <hyperlink r:id="rId1932" ref="AM918"/>
    <hyperlink r:id="rId1933" ref="AN918"/>
    <hyperlink r:id="rId1934" ref="AO918"/>
    <hyperlink r:id="rId1935" ref="AP918"/>
    <hyperlink r:id="rId1936" ref="AI919"/>
    <hyperlink r:id="rId1937" ref="AI922"/>
    <hyperlink r:id="rId1938" ref="AI923"/>
    <hyperlink r:id="rId1939" ref="AI926"/>
    <hyperlink r:id="rId1940" ref="AI927"/>
    <hyperlink r:id="rId1941" ref="AI929"/>
    <hyperlink r:id="rId1942" ref="AJ929"/>
    <hyperlink r:id="rId1943" ref="AK929"/>
    <hyperlink r:id="rId1944" ref="AI930"/>
    <hyperlink r:id="rId1945" ref="AJ930"/>
    <hyperlink r:id="rId1946" ref="AI931"/>
    <hyperlink r:id="rId1947" ref="AI932"/>
    <hyperlink r:id="rId1948" ref="AI933"/>
    <hyperlink r:id="rId1949" ref="AI934"/>
    <hyperlink r:id="rId1950" ref="AJ934"/>
    <hyperlink r:id="rId1951" ref="AI935"/>
    <hyperlink r:id="rId1952" ref="AI936"/>
    <hyperlink r:id="rId1953" ref="AI937"/>
    <hyperlink r:id="rId1954" ref="AJ937"/>
    <hyperlink r:id="rId1955" ref="AK937"/>
    <hyperlink r:id="rId1956" ref="AI938"/>
    <hyperlink r:id="rId1957" ref="AJ938"/>
    <hyperlink r:id="rId1958" ref="AF940"/>
    <hyperlink r:id="rId1959" ref="AI940"/>
    <hyperlink r:id="rId1960" ref="AI941"/>
    <hyperlink r:id="rId1961" ref="AI942"/>
    <hyperlink r:id="rId1962" ref="AI943"/>
    <hyperlink r:id="rId1963" ref="AI944"/>
    <hyperlink r:id="rId1964" ref="AI946"/>
    <hyperlink r:id="rId1965" ref="AJ946"/>
    <hyperlink r:id="rId1966" ref="AI947"/>
    <hyperlink r:id="rId1967" ref="AI948"/>
    <hyperlink r:id="rId1968" ref="AI949"/>
    <hyperlink r:id="rId1969" ref="AD950"/>
    <hyperlink r:id="rId1970" ref="AI950"/>
    <hyperlink r:id="rId1971" ref="AI951"/>
    <hyperlink r:id="rId1972" ref="AJ951"/>
    <hyperlink r:id="rId1973" ref="AK951"/>
    <hyperlink r:id="rId1974" ref="AI952"/>
    <hyperlink r:id="rId1975" ref="AI953"/>
    <hyperlink r:id="rId1976" ref="AJ953"/>
    <hyperlink r:id="rId1977" ref="AI954"/>
    <hyperlink r:id="rId1978" ref="AJ954"/>
    <hyperlink r:id="rId1979" ref="AI955"/>
    <hyperlink r:id="rId1980" ref="AI956"/>
    <hyperlink r:id="rId1981" ref="AJ956"/>
    <hyperlink r:id="rId1982" ref="AI957"/>
    <hyperlink r:id="rId1983" ref="AI958"/>
    <hyperlink r:id="rId1984" ref="AJ958"/>
    <hyperlink r:id="rId1985" ref="AK958"/>
    <hyperlink r:id="rId1986" ref="AI959"/>
    <hyperlink r:id="rId1987" ref="AI960"/>
    <hyperlink r:id="rId1988" ref="AJ960"/>
    <hyperlink r:id="rId1989" ref="AK960"/>
    <hyperlink r:id="rId1990" ref="AI961"/>
    <hyperlink r:id="rId1991" ref="AF962"/>
    <hyperlink r:id="rId1992" ref="AI962"/>
    <hyperlink r:id="rId1993" ref="AJ962"/>
    <hyperlink r:id="rId1994" ref="AI963"/>
    <hyperlink r:id="rId1995" ref="AI964"/>
    <hyperlink r:id="rId1996" ref="AA965"/>
    <hyperlink r:id="rId1997" ref="AF965"/>
    <hyperlink r:id="rId1998" ref="AI965"/>
    <hyperlink r:id="rId1999" ref="AJ965"/>
    <hyperlink r:id="rId2000" ref="AK965"/>
    <hyperlink r:id="rId2001" ref="AI966"/>
    <hyperlink r:id="rId2002" ref="AJ966"/>
    <hyperlink r:id="rId2003" ref="AI967"/>
    <hyperlink r:id="rId2004" ref="AJ967"/>
    <hyperlink r:id="rId2005" ref="AK967"/>
    <hyperlink r:id="rId2006" ref="AL967"/>
    <hyperlink r:id="rId2007" ref="AA968"/>
    <hyperlink r:id="rId2008" ref="AF968"/>
    <hyperlink r:id="rId2009" ref="AI968"/>
    <hyperlink r:id="rId2010" ref="AJ968"/>
    <hyperlink r:id="rId2011" ref="AI969"/>
    <hyperlink r:id="rId2012" ref="AI970"/>
    <hyperlink r:id="rId2013" ref="AJ970"/>
    <hyperlink r:id="rId2014" ref="AI971"/>
    <hyperlink r:id="rId2015" ref="AI972"/>
    <hyperlink r:id="rId2016" ref="AI973"/>
    <hyperlink r:id="rId2017" ref="AI975"/>
    <hyperlink r:id="rId2018" ref="AJ976"/>
    <hyperlink r:id="rId2019" ref="AK976"/>
    <hyperlink r:id="rId2020" ref="AI978"/>
    <hyperlink r:id="rId2021" ref="AI979"/>
    <hyperlink r:id="rId2022" ref="AI980"/>
    <hyperlink r:id="rId2023" ref="AJ980"/>
    <hyperlink r:id="rId2024" ref="AI981"/>
    <hyperlink r:id="rId2025" ref="AJ981"/>
    <hyperlink r:id="rId2026" ref="AI982"/>
    <hyperlink r:id="rId2027" ref="AI983"/>
    <hyperlink r:id="rId2028" ref="AJ983"/>
    <hyperlink r:id="rId2029" ref="AI984"/>
    <hyperlink r:id="rId2030" ref="AJ984"/>
    <hyperlink r:id="rId2031" ref="AI985"/>
    <hyperlink r:id="rId2032" ref="AI986"/>
    <hyperlink r:id="rId2033" ref="AI987"/>
    <hyperlink r:id="rId2034" ref="AI988"/>
    <hyperlink r:id="rId2035" ref="AI989"/>
    <hyperlink r:id="rId2036" ref="AI990"/>
    <hyperlink r:id="rId2037" ref="AI991"/>
    <hyperlink r:id="rId2038" ref="AJ991"/>
    <hyperlink r:id="rId2039" ref="AK991"/>
    <hyperlink r:id="rId2040" ref="AI992"/>
    <hyperlink r:id="rId2041" ref="AI993"/>
    <hyperlink r:id="rId2042" ref="AJ993"/>
    <hyperlink r:id="rId2043" ref="AI994"/>
    <hyperlink r:id="rId2044" ref="AJ994"/>
    <hyperlink r:id="rId2045" ref="AK994"/>
    <hyperlink r:id="rId2046" ref="AI995"/>
    <hyperlink r:id="rId2047" ref="AI996"/>
    <hyperlink r:id="rId2048" ref="AJ996"/>
    <hyperlink r:id="rId2049" ref="AI997"/>
    <hyperlink r:id="rId2050" ref="AI998"/>
    <hyperlink r:id="rId2051" ref="AI999"/>
    <hyperlink r:id="rId2052" ref="AI1000"/>
    <hyperlink r:id="rId2053" ref="AI1001"/>
    <hyperlink r:id="rId2054" ref="AI1002"/>
    <hyperlink r:id="rId2055" ref="AI1003"/>
    <hyperlink r:id="rId2056" ref="AJ1003"/>
    <hyperlink r:id="rId2057" ref="AK1003"/>
    <hyperlink r:id="rId2058" ref="AI1004"/>
    <hyperlink r:id="rId2059" ref="AI1005"/>
    <hyperlink r:id="rId2060" ref="AJ1005"/>
    <hyperlink r:id="rId2061" ref="AI1006"/>
    <hyperlink r:id="rId2062" ref="AI1007"/>
    <hyperlink r:id="rId2063" ref="AJ1007"/>
    <hyperlink r:id="rId2064" ref="AK1007"/>
    <hyperlink r:id="rId2065" ref="AI1008"/>
    <hyperlink r:id="rId2066" ref="AJ1008"/>
    <hyperlink r:id="rId2067" ref="AI1009"/>
    <hyperlink r:id="rId2068" ref="AI1010"/>
    <hyperlink r:id="rId2069" ref="AI1011"/>
    <hyperlink r:id="rId2070" ref="AI1013"/>
    <hyperlink r:id="rId2071" ref="AJ1013"/>
    <hyperlink r:id="rId2072" ref="AK1013"/>
    <hyperlink r:id="rId2073" ref="AI1017"/>
    <hyperlink r:id="rId2074" ref="AI1018"/>
    <hyperlink r:id="rId2075" ref="AI1019"/>
    <hyperlink r:id="rId2076" ref="AI1020"/>
    <hyperlink r:id="rId2077" ref="AI1021"/>
    <hyperlink r:id="rId2078" ref="AJ1021"/>
    <hyperlink r:id="rId2079" ref="AI1022"/>
    <hyperlink r:id="rId2080" ref="AJ1022"/>
    <hyperlink r:id="rId2081" ref="AI1027"/>
    <hyperlink r:id="rId2082" ref="AI1028"/>
    <hyperlink r:id="rId2083" ref="AI1029"/>
    <hyperlink r:id="rId2084" ref="AI1030"/>
    <hyperlink r:id="rId2085" ref="AD1033"/>
    <hyperlink r:id="rId2086" ref="AI1033"/>
    <hyperlink r:id="rId2087" ref="AJ1033"/>
    <hyperlink r:id="rId2088" ref="AI1034"/>
    <hyperlink r:id="rId2089" ref="AI1035"/>
    <hyperlink r:id="rId2090" ref="AI1036"/>
    <hyperlink r:id="rId2091" ref="AI1037"/>
    <hyperlink r:id="rId2092" ref="AJ1037"/>
    <hyperlink r:id="rId2093" ref="AI1038"/>
    <hyperlink r:id="rId2094" ref="AI1040"/>
    <hyperlink r:id="rId2095" ref="AI1043"/>
    <hyperlink r:id="rId2096" ref="AI1044"/>
    <hyperlink r:id="rId2097" ref="AI1045"/>
    <hyperlink r:id="rId2098" ref="AI1046"/>
    <hyperlink r:id="rId2099" ref="AI1047"/>
    <hyperlink r:id="rId2100" ref="AJ1047"/>
    <hyperlink r:id="rId2101" ref="AK1047"/>
    <hyperlink r:id="rId2102" ref="AI1048"/>
    <hyperlink r:id="rId2103" ref="AI1049"/>
    <hyperlink r:id="rId2104" ref="AI1052"/>
    <hyperlink r:id="rId2105" ref="AI1054"/>
    <hyperlink r:id="rId2106" ref="AJ1054"/>
    <hyperlink r:id="rId2107" ref="AI1055"/>
    <hyperlink r:id="rId2108" ref="AI1056"/>
    <hyperlink r:id="rId2109" ref="AI1057"/>
    <hyperlink r:id="rId2110" ref="AJ1057"/>
    <hyperlink r:id="rId2111" ref="AI1058"/>
    <hyperlink r:id="rId2112" ref="AI1059"/>
    <hyperlink r:id="rId2113" ref="AJ1059"/>
    <hyperlink r:id="rId2114" ref="AI1060"/>
    <hyperlink r:id="rId2115" ref="AJ1060"/>
    <hyperlink r:id="rId2116" ref="AI1061"/>
    <hyperlink r:id="rId2117" ref="AI1062"/>
    <hyperlink r:id="rId2118" ref="AI1063"/>
    <hyperlink r:id="rId2119" ref="AI1064"/>
    <hyperlink r:id="rId2120" ref="AI1065"/>
    <hyperlink r:id="rId2121" ref="AJ1065"/>
    <hyperlink r:id="rId2122" ref="AI1066"/>
    <hyperlink r:id="rId2123" ref="AI1067"/>
    <hyperlink r:id="rId2124" ref="AJ1067"/>
    <hyperlink r:id="rId2125" ref="AK1067"/>
    <hyperlink r:id="rId2126" ref="AL1067"/>
    <hyperlink r:id="rId2127" ref="AI1068"/>
    <hyperlink r:id="rId2128" ref="AJ1068"/>
    <hyperlink r:id="rId2129" ref="AI1069"/>
    <hyperlink r:id="rId2130" ref="AJ1069"/>
    <hyperlink r:id="rId2131" ref="AK1069"/>
    <hyperlink r:id="rId2132" ref="AI1070"/>
    <hyperlink r:id="rId2133" ref="AJ1070"/>
    <hyperlink r:id="rId2134" ref="AI1071"/>
    <hyperlink r:id="rId2135" ref="AJ1071"/>
    <hyperlink r:id="rId2136" ref="AK1071"/>
    <hyperlink r:id="rId2137" ref="AL1071"/>
    <hyperlink r:id="rId2138" ref="AM1071"/>
    <hyperlink r:id="rId2139" ref="AI1072"/>
    <hyperlink r:id="rId2140" ref="AJ1072"/>
    <hyperlink r:id="rId2141" ref="AI1073"/>
    <hyperlink r:id="rId2142" ref="AI1074"/>
    <hyperlink r:id="rId2143" ref="AI1075"/>
    <hyperlink r:id="rId2144" ref="AJ1075"/>
    <hyperlink r:id="rId2145" ref="AK1075"/>
    <hyperlink r:id="rId2146" ref="AL1075"/>
    <hyperlink r:id="rId2147" ref="AI1076"/>
    <hyperlink r:id="rId2148" ref="AI1077"/>
    <hyperlink r:id="rId2149" ref="AJ1077"/>
    <hyperlink r:id="rId2150" ref="AI1078"/>
    <hyperlink r:id="rId2151" ref="AI1079"/>
    <hyperlink r:id="rId2152" ref="AI1080"/>
    <hyperlink r:id="rId2153" ref="AI1081"/>
    <hyperlink r:id="rId2154" ref="AI1082"/>
    <hyperlink r:id="rId2155" ref="AI1083"/>
    <hyperlink r:id="rId2156" ref="AI1084"/>
    <hyperlink r:id="rId2157" ref="AI1085"/>
    <hyperlink r:id="rId2158" ref="AI1086"/>
    <hyperlink r:id="rId2159" ref="AI1087"/>
    <hyperlink r:id="rId2160" ref="AJ1087"/>
    <hyperlink r:id="rId2161" ref="AI1088"/>
    <hyperlink r:id="rId2162" ref="AJ1088"/>
    <hyperlink r:id="rId2163" ref="AK1088"/>
    <hyperlink r:id="rId2164" ref="AI1089"/>
    <hyperlink r:id="rId2165" ref="AJ1089"/>
    <hyperlink r:id="rId2166" ref="AI1090"/>
    <hyperlink r:id="rId2167" ref="AJ1090"/>
    <hyperlink r:id="rId2168" ref="AI1091"/>
    <hyperlink r:id="rId2169" ref="AJ1091"/>
    <hyperlink r:id="rId2170" ref="AK1091"/>
    <hyperlink r:id="rId2171" ref="AL1091"/>
    <hyperlink r:id="rId2172" ref="AI1092"/>
    <hyperlink r:id="rId2173" ref="AI1093"/>
    <hyperlink r:id="rId2174" ref="AJ1093"/>
    <hyperlink r:id="rId2175" ref="AI1094"/>
    <hyperlink r:id="rId2176" ref="AI1095"/>
    <hyperlink r:id="rId2177" ref="AJ1095"/>
    <hyperlink r:id="rId2178" ref="AK1095"/>
    <hyperlink r:id="rId2179" ref="AI1096"/>
    <hyperlink r:id="rId2180" location=":~:text=A%20proposed%20artificial%20intelligence%20data,concern%2C%20as%20reported%20by%20ABC4." ref="AA1098"/>
    <hyperlink r:id="rId2181" ref="AF1098"/>
    <hyperlink r:id="rId2182" location=":~:text=4%2C000%20acres%20owned%2C%20located%20in%20Millard%20County%2C,Buildings%20Phase%20I:%206%20facilities%20%C2%B7%20Power" ref="AI1098"/>
    <hyperlink r:id="rId2183" ref="AJ1098"/>
    <hyperlink r:id="rId2184" ref="AK1098"/>
    <hyperlink r:id="rId2185" ref="AI1099"/>
    <hyperlink r:id="rId2186" ref="AJ1099"/>
    <hyperlink r:id="rId2187" ref="AI1100"/>
    <hyperlink r:id="rId2188" ref="AI1101"/>
    <hyperlink r:id="rId2189" ref="AJ1101"/>
    <hyperlink r:id="rId2190" ref="AK1101"/>
    <hyperlink r:id="rId2191" ref="AL1101"/>
    <hyperlink r:id="rId2192" ref="AM1101"/>
    <hyperlink r:id="rId2193" ref="AI1102"/>
    <hyperlink r:id="rId2194" ref="AJ1102"/>
    <hyperlink r:id="rId2195" ref="AK1102"/>
    <hyperlink r:id="rId2196" ref="AL1102"/>
    <hyperlink r:id="rId2197" ref="AM1102"/>
    <hyperlink r:id="rId2198" ref="AI1103"/>
    <hyperlink r:id="rId2199" ref="AJ1103"/>
    <hyperlink r:id="rId2200" ref="AI1104"/>
    <hyperlink r:id="rId2201" ref="AI1105"/>
    <hyperlink r:id="rId2202" ref="AI1106"/>
    <hyperlink r:id="rId2203" ref="AJ1107"/>
    <hyperlink r:id="rId2204" location="/plan/c8b47962-6627-4998-a318-03e49ce25ef7?tab=locations" ref="AI1108"/>
    <hyperlink r:id="rId2205" ref="AJ1108"/>
    <hyperlink r:id="rId2206" ref="AJ1109"/>
    <hyperlink r:id="rId2207" ref="AI1110"/>
    <hyperlink r:id="rId2208" ref="AJ1110"/>
    <hyperlink r:id="rId2209" location="projects" ref="AG1111"/>
    <hyperlink r:id="rId2210" ref="AI1111"/>
    <hyperlink r:id="rId2211" location="/mwl?location=-78.823814_37.355265&amp;zoom=18" ref="AJ1111"/>
    <hyperlink r:id="rId2212" ref="AI1112"/>
    <hyperlink r:id="rId2213" ref="AJ1112"/>
    <hyperlink r:id="rId2214" ref="AJ1113"/>
    <hyperlink r:id="rId2215" ref="AK1113"/>
    <hyperlink r:id="rId2216" ref="AI1114"/>
    <hyperlink r:id="rId2217" ref="AJ1114"/>
    <hyperlink r:id="rId2218" ref="AI1115"/>
    <hyperlink r:id="rId2219" ref="AJ1115"/>
    <hyperlink r:id="rId2220" ref="AJ1116"/>
    <hyperlink r:id="rId2221" ref="AK1116"/>
    <hyperlink r:id="rId2222" ref="AJ1117"/>
    <hyperlink r:id="rId2223" ref="AJ1118"/>
    <hyperlink r:id="rId2224" ref="AJ1119"/>
    <hyperlink r:id="rId2225" ref="AJ1120"/>
    <hyperlink r:id="rId2226" ref="AJ1121"/>
    <hyperlink r:id="rId2227" ref="AJ1122"/>
    <hyperlink r:id="rId2228" ref="AJ1123"/>
    <hyperlink r:id="rId2229" location="/plan/72E98EAA-F26D-4639-B064-77C8BF2DFEA6?tab=attachments" ref="AI1124"/>
    <hyperlink r:id="rId2230" ref="AJ1124"/>
    <hyperlink r:id="rId2231" ref="AJ1125"/>
    <hyperlink r:id="rId2232" ref="AJ1126"/>
    <hyperlink r:id="rId2233" ref="AJ1127"/>
    <hyperlink r:id="rId2234" location="/plan/bb5f1aed-1eda-4c62-8c86-d8e940d94a8c?tab=locations" ref="AI1128"/>
    <hyperlink r:id="rId2235" ref="AJ1128"/>
    <hyperlink r:id="rId2236" ref="AK1128"/>
    <hyperlink r:id="rId2237" ref="AJ1129"/>
    <hyperlink r:id="rId2238" ref="AJ1130"/>
    <hyperlink r:id="rId2239" location="/plan/4501aa59-679f-4081-89ab-1b1324e19725?tab=attachments" ref="AI1131"/>
    <hyperlink r:id="rId2240" ref="AJ1131"/>
    <hyperlink r:id="rId2241" ref="AJ1132"/>
    <hyperlink r:id="rId2242" location="/plan/f2ea6049-532c-4cf9-b48c-f45534a9f87d?tab=attachments" ref="AI1133"/>
    <hyperlink r:id="rId2243" ref="AJ1133"/>
    <hyperlink r:id="rId2244" ref="AJ1134"/>
    <hyperlink r:id="rId2245" ref="AJ1135"/>
    <hyperlink r:id="rId2246" ref="AI1136"/>
    <hyperlink r:id="rId2247" ref="AJ1136"/>
    <hyperlink r:id="rId2248" ref="AJ1137"/>
    <hyperlink r:id="rId2249" location="/plan/3ABB5C2A-93A6-4300-92BE-548EFC9CF34C?tab=attachments" ref="AI1138"/>
    <hyperlink r:id="rId2250" ref="AJ1138"/>
    <hyperlink r:id="rId2251" ref="AI1139"/>
    <hyperlink r:id="rId2252" location="/plan/A3CFB06B-5F39-4218-A8C5-D494E4ABAB9B?tab=locations" ref="AI1140"/>
    <hyperlink r:id="rId2253" ref="AJ1140"/>
    <hyperlink r:id="rId2254" location="/plan/CE0FA648-33FE-41A8-AFF4-5DD4C9FAB100" ref="AI1141"/>
    <hyperlink r:id="rId2255" ref="AJ1141"/>
    <hyperlink r:id="rId2256" ref="AI1142"/>
    <hyperlink r:id="rId2257" ref="AI1143"/>
    <hyperlink r:id="rId2258" location="/plan/f74213d7-0302-43fe-be04-0b7241e37af4?tab=attachments" ref="AI1144"/>
    <hyperlink r:id="rId2259" ref="AJ1144"/>
    <hyperlink r:id="rId2260" ref="AI1145"/>
    <hyperlink r:id="rId2261" ref="AI1146"/>
    <hyperlink r:id="rId2262" ref="AI1147"/>
    <hyperlink r:id="rId2263" ref="AI1148"/>
    <hyperlink r:id="rId2264" location="/plan/bd36a7c3-e836-4275-a899-347180318c33?tab=attachments" ref="AI1149"/>
    <hyperlink r:id="rId2265" ref="AJ1149"/>
    <hyperlink r:id="rId2266" ref="AJ1150"/>
    <hyperlink r:id="rId2267" ref="AI1151"/>
    <hyperlink r:id="rId2268" ref="AI1152"/>
    <hyperlink r:id="rId2269" ref="AI1153"/>
    <hyperlink r:id="rId2270" ref="AJ1153"/>
    <hyperlink r:id="rId2271" ref="AI1154"/>
    <hyperlink r:id="rId2272" ref="AI1155"/>
    <hyperlink r:id="rId2273" ref="AI1156"/>
    <hyperlink r:id="rId2274" ref="AI1157"/>
    <hyperlink r:id="rId2275" ref="AI1158"/>
    <hyperlink r:id="rId2276" ref="AI1159"/>
    <hyperlink r:id="rId2277" ref="AI1160"/>
    <hyperlink r:id="rId2278" ref="AI1161"/>
    <hyperlink r:id="rId2279" ref="AI1162"/>
    <hyperlink r:id="rId2280" ref="AI1163"/>
    <hyperlink r:id="rId2281" location="/plan/D44DB647-CD20-4FAD-8BEF-A0CDEBD6372B?tab=attachments" ref="AI1164"/>
    <hyperlink r:id="rId2282" ref="AJ1164"/>
    <hyperlink r:id="rId2283" ref="AI1165"/>
    <hyperlink r:id="rId2284" ref="AJ1166"/>
    <hyperlink r:id="rId2285" ref="AJ1167"/>
    <hyperlink r:id="rId2286" ref="AJ1168"/>
    <hyperlink r:id="rId2287" ref="AI1169"/>
    <hyperlink r:id="rId2288" ref="AI1170"/>
    <hyperlink r:id="rId2289" ref="AJ1170"/>
    <hyperlink r:id="rId2290" ref="AK1170"/>
    <hyperlink r:id="rId2291" location="/plan/0cdca2e2-c29e-4a7a-ab35-862bad8566e3?tab=attachments" ref="AI1171"/>
    <hyperlink r:id="rId2292" ref="AJ1171"/>
    <hyperlink r:id="rId2293" location="/plan/3e234d9f-412a-41f5-94e3-475b94214980?tab=attachments" ref="AI1172"/>
    <hyperlink r:id="rId2294" ref="AJ1172"/>
    <hyperlink r:id="rId2295" location="/plan/3e234d9f-412a-41f5-94e3-475b94214980?tab=attachments" ref="AI1173"/>
    <hyperlink r:id="rId2296" ref="AJ1173"/>
    <hyperlink r:id="rId2297" location="/plan/3e234d9f-412a-41f5-94e3-475b94214980?tab=attachments" ref="AI1174"/>
    <hyperlink r:id="rId2298" ref="AJ1174"/>
    <hyperlink r:id="rId2299" ref="AI1175"/>
    <hyperlink r:id="rId2300" ref="AJ1175"/>
    <hyperlink r:id="rId2301" location="/plan/D476DA12-5225-4CDE-B20E-0115B3DEC520?tab=locations" ref="AI1176"/>
    <hyperlink r:id="rId2302" location="/plan/950F3AEF-A90A-44A7-9963-3B20A7A8A394?tab=attachments" ref="AI1177"/>
    <hyperlink r:id="rId2303" ref="AJ1177"/>
    <hyperlink r:id="rId2304" ref="AI1178"/>
    <hyperlink r:id="rId2305" ref="AI1179"/>
    <hyperlink r:id="rId2306" location="/plan/BD994C24-2C84-49FF-8D7B-B619C548E517?tab=attachments" ref="AI1180"/>
    <hyperlink r:id="rId2307" ref="AJ1180"/>
    <hyperlink r:id="rId2308" location="/plan/c34be238-7d4b-4f9b-9b80-152afd7a05d4?tab=locations" ref="AI1181"/>
    <hyperlink r:id="rId2309" ref="AJ1181"/>
    <hyperlink r:id="rId2310" ref="AI1182"/>
    <hyperlink r:id="rId2311" ref="AJ1182"/>
    <hyperlink r:id="rId2312" ref="AI1183"/>
    <hyperlink r:id="rId2313" ref="AJ1183"/>
    <hyperlink r:id="rId2314" ref="AI1184"/>
    <hyperlink r:id="rId2315" ref="AI1185"/>
    <hyperlink r:id="rId2316" ref="AI1186"/>
    <hyperlink r:id="rId2317" ref="AI1187"/>
    <hyperlink r:id="rId2318" ref="AI1188"/>
    <hyperlink r:id="rId2319" ref="AI1189"/>
    <hyperlink r:id="rId2320" location="/plan/1f301435-5cb5-4515-95c7-0dc1844362ea?tab=moreinfo" ref="AI1192"/>
    <hyperlink r:id="rId2321" ref="AJ1192"/>
    <hyperlink r:id="rId2322" location="/plan/323d298e-a0ad-4dc7-accd-f6b27b404c50" ref="AI1193"/>
    <hyperlink r:id="rId2323" ref="AJ1193"/>
    <hyperlink r:id="rId2324" location="/plan/01fffe17-1fdc-46e3-bd5c-f5795320e7e6?tab=attachments" ref="AI1194"/>
    <hyperlink r:id="rId2325" ref="AJ1194"/>
    <hyperlink r:id="rId2326" ref="AI1195"/>
    <hyperlink r:id="rId2327" ref="AJ1195"/>
    <hyperlink r:id="rId2328" location="/plan/99b2ba0d-f246-4c99-b44a-b4b2ccda56bf" ref="AI1196"/>
    <hyperlink r:id="rId2329" ref="AJ1196"/>
    <hyperlink r:id="rId2330" ref="AI1197"/>
    <hyperlink r:id="rId2331" location="/plan/71a5c10e-0a22-4286-a5c9-b05bff0d3e5f?tab=attachments" ref="AI1198"/>
    <hyperlink r:id="rId2332" ref="AJ1198"/>
    <hyperlink r:id="rId2333" ref="AI1199"/>
    <hyperlink r:id="rId2334" ref="AI1200"/>
    <hyperlink r:id="rId2335" ref="AJ1200"/>
    <hyperlink r:id="rId2336" ref="AI1201"/>
    <hyperlink r:id="rId2337" ref="AI1202"/>
    <hyperlink r:id="rId2338" location="/plan/30cd92af-9b69-425c-924d-b7653f1e009e?tab=attachments" ref="AI1203"/>
    <hyperlink r:id="rId2339" ref="AJ1203"/>
    <hyperlink r:id="rId2340" ref="AI1204"/>
    <hyperlink r:id="rId2341" location="/plan/8f168f14-7317-41b8-9a51-0fb7fc218ac1?tab=attachments" ref="AI1205"/>
    <hyperlink r:id="rId2342" ref="AJ1205"/>
    <hyperlink r:id="rId2343" ref="AI1206"/>
    <hyperlink r:id="rId2344" ref="AF1207"/>
    <hyperlink r:id="rId2345" ref="AI1207"/>
    <hyperlink r:id="rId2346" ref="AJ1207"/>
    <hyperlink r:id="rId2347" location="page=1" ref="AI1208"/>
    <hyperlink r:id="rId2348" ref="AJ1208"/>
    <hyperlink r:id="rId2349" ref="AK1208"/>
    <hyperlink r:id="rId2350" ref="AI1209"/>
    <hyperlink r:id="rId2351" ref="AI1210"/>
    <hyperlink r:id="rId2352" ref="AJ1210"/>
    <hyperlink r:id="rId2353" ref="AI1211"/>
    <hyperlink r:id="rId2354" ref="AJ1211"/>
    <hyperlink r:id="rId2355" ref="AI1212"/>
    <hyperlink r:id="rId2356" ref="AJ1212"/>
    <hyperlink r:id="rId2357" ref="AI1213"/>
    <hyperlink r:id="rId2358" ref="AI1214"/>
    <hyperlink r:id="rId2359" ref="AI1215"/>
    <hyperlink r:id="rId2360" location="page=1" ref="AI1216"/>
    <hyperlink r:id="rId2361" ref="AJ1216"/>
    <hyperlink r:id="rId2362" location="page=1" ref="AI1217"/>
    <hyperlink r:id="rId2363" ref="AJ1217"/>
    <hyperlink r:id="rId2364" ref="AI1218"/>
    <hyperlink r:id="rId2365" ref="AI1219"/>
    <hyperlink r:id="rId2366" ref="AI1220"/>
    <hyperlink r:id="rId2367" ref="AJ1220"/>
    <hyperlink r:id="rId2368" ref="AA1221"/>
    <hyperlink r:id="rId2369" ref="AI1221"/>
    <hyperlink r:id="rId2370" ref="AJ1221"/>
    <hyperlink r:id="rId2371" location="google_vignette" ref="AI1222"/>
    <hyperlink r:id="rId2372" ref="AJ1222"/>
    <hyperlink r:id="rId2373" ref="AK1222"/>
    <hyperlink r:id="rId2374" ref="AL1222"/>
    <hyperlink r:id="rId2375" ref="AM1222"/>
    <hyperlink r:id="rId2376" ref="AN1222"/>
    <hyperlink r:id="rId2377" ref="AI1223"/>
    <hyperlink r:id="rId2378" location="/Details/823657720300000" ref="AI1224"/>
    <hyperlink r:id="rId2379" ref="AI1225"/>
    <hyperlink r:id="rId2380" location="/Details/830651308400000" ref="AJ1225"/>
    <hyperlink r:id="rId2381" ref="AI1226"/>
    <hyperlink r:id="rId2382" location="/Details/822656429800000" ref="AI1227"/>
    <hyperlink r:id="rId2383" ref="AI1228"/>
    <hyperlink r:id="rId2384" ref="AI1229"/>
    <hyperlink r:id="rId2385" ref="AJ1229"/>
    <hyperlink r:id="rId2386" location=":~:text=CloudHQ%2C%20a%20global%20data%20center,of%20critical%20IT%20load%20power." ref="AI1230"/>
    <hyperlink r:id="rId2387" ref="AJ1230"/>
    <hyperlink r:id="rId2388" ref="AI1231"/>
    <hyperlink r:id="rId2389" ref="AJ1231"/>
    <hyperlink r:id="rId2390" ref="AI1232"/>
    <hyperlink r:id="rId2391" ref="AI1233"/>
    <hyperlink r:id="rId2392" ref="AJ1233"/>
    <hyperlink r:id="rId2393" ref="AI1234"/>
    <hyperlink r:id="rId2394" ref="AJ1234"/>
    <hyperlink r:id="rId2395" ref="AI1235"/>
    <hyperlink r:id="rId2396" ref="AI1236"/>
    <hyperlink r:id="rId2397" ref="AI1237"/>
    <hyperlink r:id="rId2398" ref="AI1238"/>
    <hyperlink r:id="rId2399" ref="AI1239"/>
    <hyperlink r:id="rId2400" ref="AJ1239"/>
    <hyperlink r:id="rId2401" ref="AI1240"/>
    <hyperlink r:id="rId2402" ref="AJ1240"/>
    <hyperlink r:id="rId2403" ref="AI1241"/>
    <hyperlink r:id="rId2404" ref="AJ1241"/>
    <hyperlink r:id="rId2405" ref="AI1242"/>
    <hyperlink r:id="rId2406" ref="AI1243"/>
    <hyperlink r:id="rId2407" location="/plan/67e8f7f1-74de-4d91-8514-f6be79d00e61?tab=locations" ref="AI1244"/>
    <hyperlink r:id="rId2408" ref="AJ1244"/>
    <hyperlink r:id="rId2409" ref="AI1245"/>
    <hyperlink r:id="rId2410" location="/plan/3399a93f-9e75-48d2-a377-ecd0d9be35c1?tab=attachments" ref="AI1246"/>
    <hyperlink r:id="rId2411" ref="AJ1246"/>
    <hyperlink r:id="rId2412" ref="AI1247"/>
    <hyperlink r:id="rId2413" ref="AI1248"/>
    <hyperlink r:id="rId2414" location="/plan/ceb6d3e2-f4d6-4a2f-a791-50cd5a6d03f3?tab=attachments" ref="AI1249"/>
    <hyperlink r:id="rId2415" ref="AJ1249"/>
    <hyperlink r:id="rId2416" ref="AI1250"/>
    <hyperlink r:id="rId2417" ref="AJ1250"/>
    <hyperlink r:id="rId2418" ref="AI1251"/>
    <hyperlink r:id="rId2419" ref="AI1252"/>
    <hyperlink r:id="rId2420" ref="AI1253"/>
    <hyperlink r:id="rId2421" ref="AI1254"/>
    <hyperlink r:id="rId2422" ref="AI1255"/>
    <hyperlink r:id="rId2423" ref="AI1256"/>
    <hyperlink r:id="rId2424" ref="AJ1256"/>
    <hyperlink r:id="rId2425" ref="AI1257"/>
    <hyperlink r:id="rId2426" ref="AI1258"/>
    <hyperlink r:id="rId2427" ref="AI1259"/>
    <hyperlink r:id="rId2428" ref="AI1260"/>
    <hyperlink r:id="rId2429" ref="AJ1260"/>
    <hyperlink r:id="rId2430" ref="AI1261"/>
    <hyperlink r:id="rId2431" ref="AI1262"/>
    <hyperlink r:id="rId2432" ref="AI1263"/>
    <hyperlink r:id="rId2433" ref="AJ1263"/>
    <hyperlink r:id="rId2434" ref="AI1264"/>
    <hyperlink r:id="rId2435" ref="AJ1264"/>
    <hyperlink r:id="rId2436" ref="AI1265"/>
    <hyperlink r:id="rId2437" location="/folder/45768/share/528-njPyo32MePFy87Z5AbBoo0pC540" ref="AJ1265"/>
    <hyperlink r:id="rId2438" ref="AK1265"/>
    <hyperlink r:id="rId2439" ref="AI1266"/>
    <hyperlink r:id="rId2440" ref="AJ1266"/>
    <hyperlink r:id="rId2441" ref="AI1267"/>
    <hyperlink r:id="rId2442" ref="AI1268"/>
    <hyperlink r:id="rId2443" location="/mwl?zoom=16&amp;location=-77.475132_38.214893" ref="AJ1268"/>
    <hyperlink r:id="rId2444" ref="AI1269"/>
    <hyperlink r:id="rId2445" ref="AJ1269"/>
    <hyperlink r:id="rId2446" ref="AI1270"/>
    <hyperlink r:id="rId2447" location="/mwl?zoom=16&amp;location=-77.515419_38.317444" ref="AJ1270"/>
    <hyperlink r:id="rId2448" ref="AI1271"/>
    <hyperlink r:id="rId2449" ref="AJ1271"/>
    <hyperlink r:id="rId2450" ref="AI1272"/>
    <hyperlink r:id="rId2451" ref="AI1273"/>
    <hyperlink r:id="rId2452" location="/mwl?zoom=15&amp;location=-77.473518_38.223581" ref="AJ1273"/>
    <hyperlink r:id="rId2453" ref="AK1273"/>
    <hyperlink r:id="rId2454" ref="AL1273"/>
    <hyperlink r:id="rId2455" location="/folder/25961/share/528-yQozqmn5XpbUDzV-NPVaxs9--JIo" ref="AI1274"/>
    <hyperlink r:id="rId2456" ref="AJ1274"/>
    <hyperlink r:id="rId2457" ref="AI1275"/>
    <hyperlink r:id="rId2458" ref="AI1276"/>
    <hyperlink r:id="rId2459" ref="AJ1276"/>
    <hyperlink r:id="rId2460" ref="AI1277"/>
    <hyperlink r:id="rId2461" location="/mwl?zoom=15&amp;location=-77.432007_38.188576" ref="AJ1277"/>
    <hyperlink r:id="rId2462" ref="AI1278"/>
    <hyperlink r:id="rId2463" location="/mwl?zoom=16&amp;location=-77.428204_38.194825" ref="AJ1278"/>
    <hyperlink r:id="rId2464" ref="AI1279"/>
    <hyperlink r:id="rId2465" ref="AI1280"/>
    <hyperlink r:id="rId2466" ref="AI1281"/>
    <hyperlink r:id="rId2467" ref="AJ1281"/>
    <hyperlink r:id="rId2468" ref="AI1282"/>
    <hyperlink r:id="rId2469" ref="AJ1282"/>
    <hyperlink r:id="rId2470" ref="AJ1283"/>
    <hyperlink r:id="rId2471" ref="AI1284"/>
    <hyperlink r:id="rId2472" ref="AI1285"/>
    <hyperlink r:id="rId2473" ref="AJ1285"/>
    <hyperlink r:id="rId2474" location="/plan/823a2554-aa0a-47c1-8c5f-010ff3d947ce" ref="AI1286"/>
    <hyperlink r:id="rId2475" ref="AJ1286"/>
    <hyperlink r:id="rId2476" ref="AI1287"/>
    <hyperlink r:id="rId2477" ref="AI1288"/>
    <hyperlink r:id="rId2478" location="/plan/b0fcafed-a7f4-4ea1-8f83-e71a94ebf4f9?tab=attachments" ref="AI1289"/>
    <hyperlink r:id="rId2479" ref="AJ1289"/>
    <hyperlink r:id="rId2480" ref="AK1289"/>
    <hyperlink r:id="rId2481" ref="AL1289"/>
    <hyperlink r:id="rId2482" ref="AM1289"/>
    <hyperlink r:id="rId2483" ref="AN1289"/>
    <hyperlink r:id="rId2484" location="/plan/dba835c0-d92e-4f81-aca7-df3546eddf60" ref="AI1290"/>
    <hyperlink r:id="rId2485" ref="AJ1290"/>
    <hyperlink r:id="rId2486" ref="AI1291"/>
    <hyperlink r:id="rId2487" ref="AJ1291"/>
    <hyperlink r:id="rId2488" ref="AI1292"/>
    <hyperlink r:id="rId2489" ref="AD1293"/>
    <hyperlink r:id="rId2490" ref="AE1293"/>
    <hyperlink r:id="rId2491" ref="AI1293"/>
    <hyperlink r:id="rId2492" ref="AJ1293"/>
    <hyperlink r:id="rId2493" ref="AK1293"/>
    <hyperlink r:id="rId2494" ref="AD1294"/>
    <hyperlink r:id="rId2495" ref="AI1294"/>
    <hyperlink r:id="rId2496" location="data_s=id%3AdataSource_4-18e66caa3c0-layer-48%3A1299%2Cid%3Awidget_251_output_config_9%3A0&amp;widget_101=active_datasource_id:dataSource_4,center:-8833175.170597687%2C4436226.724131098%2C102100,scale:3328.2265114471415,rotation:0,viewpoint:%7B%22rotation%22%3A0%2C%22scale%22%3A3328.2265114471415%2C%22targetGeometry%22%3A%7B%22spatialReference%22%3A%7B%22latestWkid%22%3A3857%2C%22wkid%22%3A102100%7D%2C%22x%22%3A-8833175.170597687%2C%22y%22%3A4436226.724131098%7D%7D" ref="AI1295"/>
    <hyperlink r:id="rId2497" location="data_s=id%3AdataSource_4-18e66caa3c0-layer-48%3A1299%2Cid%3Awidget_251_output_config_9%3A0&amp;widget_101=active_datasource_id:dataSource_4,center:-8833175.170597687%2C4436226.724131098%2C102100,scale:3328.2265114471415,rotation:0,viewpoint:%7B%22rotation%22%3A0%2C%22scale%22%3A3328.2265114471415%2C%22targetGeometry%22%3A%7B%22spatialReference%22%3A%7B%22latestWkid%22%3A3857%2C%22wkid%22%3A102100%7D%2C%22x%22%3A-8833175.170597687%2C%22y%22%3A4436226.724131098%7D%7D" ref="AJ1295"/>
    <hyperlink r:id="rId2498" ref="AI1296"/>
    <hyperlink r:id="rId2499" ref="AI1297"/>
    <hyperlink r:id="rId2500" ref="AJ1297"/>
    <hyperlink r:id="rId2501" ref="AI1298"/>
    <hyperlink r:id="rId2502" ref="AI1299"/>
    <hyperlink r:id="rId2503" ref="AI1300"/>
    <hyperlink r:id="rId2504" ref="AI1301"/>
    <hyperlink r:id="rId2505" ref="AJ1301"/>
    <hyperlink r:id="rId2506" ref="AI1302"/>
    <hyperlink r:id="rId2507" location="page=1" ref="AI1303"/>
    <hyperlink r:id="rId2508" ref="AJ1303"/>
    <hyperlink r:id="rId2509" ref="AI1304"/>
    <hyperlink r:id="rId2510" location="/project/323efe8c-4e6b-4a44-87b8-c7cd7e5487ba" ref="AI1305"/>
    <hyperlink r:id="rId2511" ref="AJ1305"/>
    <hyperlink r:id="rId2512" ref="AI1306"/>
    <hyperlink r:id="rId2513" ref="AI1307"/>
    <hyperlink r:id="rId2514" ref="AI1308"/>
    <hyperlink r:id="rId2515" location="/plan/308CC962-0022-4914-AE51-DC263552E62C?tab=attachments" ref="AI1309"/>
    <hyperlink r:id="rId2516" ref="AI1310"/>
    <hyperlink r:id="rId2517" location="/plan/CD62CC69-C15B-4904-B924-014D7E4659E6" ref="AI1311"/>
    <hyperlink r:id="rId2518" ref="AJ1311"/>
    <hyperlink r:id="rId2519" ref="AI1312"/>
    <hyperlink r:id="rId2520" ref="AJ1312"/>
    <hyperlink r:id="rId2521" ref="AI1313"/>
    <hyperlink r:id="rId2522" location="/plan/F4C18E37-B411-4D35-8027-7822DF69FCE9?tab=attachments" ref="AI1314"/>
    <hyperlink r:id="rId2523" ref="AJ1314"/>
    <hyperlink r:id="rId2524" location="/plan/e48043e8-fdbb-4e91-aa87-60d35cb71173?tab=attachments" ref="AI1315"/>
    <hyperlink r:id="rId2525" ref="AJ1315"/>
    <hyperlink r:id="rId2526" ref="AI1316"/>
    <hyperlink r:id="rId2527" ref="AI1317"/>
    <hyperlink r:id="rId2528" ref="AI1318"/>
    <hyperlink r:id="rId2529" ref="AJ1318"/>
    <hyperlink r:id="rId2530" ref="AD1319"/>
    <hyperlink r:id="rId2531" ref="AI1319"/>
    <hyperlink r:id="rId2532" location="/permit/c5987365-88d6-4775-92c7-1ee4c5fdc8d3?tab=attachments" ref="AI1320"/>
    <hyperlink r:id="rId2533" ref="AJ1320"/>
    <hyperlink r:id="rId2534" location="/permit/c5987365-88d6-4775-92c7-1ee4c5fdc8d3?tab=attachments" ref="AI1321"/>
    <hyperlink r:id="rId2535" ref="AJ1321"/>
    <hyperlink r:id="rId2536" ref="AI1322"/>
    <hyperlink r:id="rId2537" ref="AJ1322"/>
    <hyperlink r:id="rId2538" location="/plan/1E44BC95-A7BA-4323-86B8-C41ADFE4A88E?tab=attachments" ref="AI1323"/>
    <hyperlink r:id="rId2539" ref="AJ1323"/>
    <hyperlink r:id="rId2540" location="/plan/4b096fd7-53cd-49a4-a1c0-32e42413c3c9?tab=attachments" ref="AI1324"/>
    <hyperlink r:id="rId2541" ref="AJ1324"/>
    <hyperlink r:id="rId2542" location="/plan/4b096fd7-53cd-49a4-a1c0-32e42413c3c9?tab=attachments" ref="AI1325"/>
    <hyperlink r:id="rId2543" ref="AJ1325"/>
    <hyperlink r:id="rId2544" ref="AI1326"/>
    <hyperlink r:id="rId2545" ref="AJ1326"/>
    <hyperlink r:id="rId2546" ref="AK1326"/>
    <hyperlink r:id="rId2547" location=":~:text=0-,A%20map%20shows%20the%2034%2Dacre%20property%20in%20the%20Village,by%20the%20Leesburg%20Town%20Council.&amp;text=The%20Leesburg%20Town%20Council%20voted%206%2D1%20Feb." ref="AI1327"/>
    <hyperlink r:id="rId2548" ref="AJ1327"/>
    <hyperlink r:id="rId2549" location="/plan/0167b7d9-e074-4e2e-bf05-e0599cdea1f5?tab=attachments" ref="AI1328"/>
    <hyperlink r:id="rId2550" ref="AJ1328"/>
    <hyperlink r:id="rId2551" ref="AI1329"/>
    <hyperlink r:id="rId2552" ref="AJ1329"/>
    <hyperlink r:id="rId2553" ref="AI1330"/>
    <hyperlink r:id="rId2554" ref="AI1331"/>
    <hyperlink r:id="rId2555" ref="AI1332"/>
    <hyperlink r:id="rId2556" ref="AJ1332"/>
    <hyperlink r:id="rId2557" ref="AK1332"/>
    <hyperlink r:id="rId2558" ref="AI1333"/>
    <hyperlink r:id="rId2559" ref="AI1334"/>
    <hyperlink r:id="rId2560" ref="AJ1334"/>
    <hyperlink r:id="rId2561" ref="AK1334"/>
    <hyperlink r:id="rId2562" location="/plan/a0b0e2d0-2ccb-47b1-ab3f-3275db071d01?tab=attachments" ref="AI1335"/>
    <hyperlink r:id="rId2563" ref="AJ1335"/>
    <hyperlink r:id="rId2564" ref="AI1336"/>
    <hyperlink r:id="rId2565" ref="AI1337"/>
    <hyperlink r:id="rId2566" ref="AJ1337"/>
    <hyperlink r:id="rId2567" location="/project/a44840d1-befb-4b5c-93ee-0485a9dc4f84" ref="AI1338"/>
    <hyperlink r:id="rId2568" ref="AI1339"/>
    <hyperlink r:id="rId2569" ref="AJ1339"/>
    <hyperlink r:id="rId2570" location="/plan/5c7da087-98bf-4549-8e76-1e6eb1934083?tab=attachments" ref="AI1340"/>
    <hyperlink r:id="rId2571" ref="AJ1340"/>
    <hyperlink r:id="rId2572" ref="AI1341"/>
    <hyperlink r:id="rId2573" ref="AJ1341"/>
    <hyperlink r:id="rId2574" ref="AI1342"/>
    <hyperlink r:id="rId2575" ref="AJ1342"/>
    <hyperlink r:id="rId2576" ref="AI1343"/>
    <hyperlink r:id="rId2577" ref="AI1344"/>
    <hyperlink r:id="rId2578" ref="AI1345"/>
    <hyperlink r:id="rId2579" ref="AI1346"/>
    <hyperlink r:id="rId2580" ref="AI1347"/>
    <hyperlink r:id="rId2581" ref="AI1348"/>
    <hyperlink r:id="rId2582" ref="AI1349"/>
    <hyperlink r:id="rId2583" ref="AJ1349"/>
    <hyperlink r:id="rId2584" ref="AI1350"/>
    <hyperlink r:id="rId2585" ref="AI1351"/>
    <hyperlink r:id="rId2586" ref="AI1352"/>
    <hyperlink r:id="rId2587" ref="AI1353"/>
    <hyperlink r:id="rId2588" ref="AI1354"/>
    <hyperlink r:id="rId2589" ref="AJ1354"/>
    <hyperlink r:id="rId2590" ref="AI1355"/>
    <hyperlink r:id="rId2591" ref="AI1356"/>
    <hyperlink r:id="rId2592" location="/project/aa699c84-7dd0-4bb1-aaec-7712d020a74b" ref="AI1357"/>
    <hyperlink r:id="rId2593" ref="AI1358"/>
    <hyperlink r:id="rId2594" ref="AJ1358"/>
    <hyperlink r:id="rId2595" ref="AI1359"/>
    <hyperlink r:id="rId2596" ref="AJ1359"/>
    <hyperlink r:id="rId2597" ref="AI1360"/>
    <hyperlink r:id="rId2598" ref="AJ1360"/>
    <hyperlink r:id="rId2599" ref="AK1360"/>
    <hyperlink r:id="rId2600" ref="AI1361"/>
    <hyperlink r:id="rId2601" ref="AJ1361"/>
    <hyperlink r:id="rId2602" ref="AI1362"/>
    <hyperlink r:id="rId2603" location="/plan/96c7aacf-964e-419b-ae82-f9f97a86808d?tab=attachments" ref="AI1363"/>
    <hyperlink r:id="rId2604" ref="AD1364"/>
    <hyperlink r:id="rId2605" ref="AI1364"/>
    <hyperlink r:id="rId2606" ref="AJ1364"/>
    <hyperlink r:id="rId2607" location="/plan/005eaa9c-a822-4dad-b14e-35d804a4f532" ref="AK1364"/>
    <hyperlink r:id="rId2608" ref="AL1364"/>
    <hyperlink r:id="rId2609" ref="AI1365"/>
    <hyperlink r:id="rId2610" location="/plan/112446d3-3458-4c10-9081-42d87805d421?tab=attachments" ref="AI1366"/>
    <hyperlink r:id="rId2611" ref="AJ1366"/>
    <hyperlink r:id="rId2612" ref="AI1367"/>
    <hyperlink r:id="rId2613" ref="AI1368"/>
    <hyperlink r:id="rId2614" ref="AJ1368"/>
    <hyperlink r:id="rId2615" ref="AI1369"/>
    <hyperlink r:id="rId2616" location="/plan/3dd0c08d-d7fa-483c-8e0f-1913eb303cd0" ref="AI1370"/>
    <hyperlink r:id="rId2617" ref="AJ1370"/>
    <hyperlink r:id="rId2618" location="/plan/19004ff1-7e88-4661-9d3f-ad33ecaa1da2" ref="AI1371"/>
    <hyperlink r:id="rId2619" ref="AJ1371"/>
    <hyperlink r:id="rId2620" ref="AI1372"/>
    <hyperlink r:id="rId2621" ref="AJ1372"/>
    <hyperlink r:id="rId2622" ref="AI1373"/>
    <hyperlink r:id="rId2623" ref="AJ1373"/>
    <hyperlink r:id="rId2624" location="/plan/f202a52f-d21d-48eb-ab3e-8577eaaaff93?tab=attachments" ref="AI1374"/>
    <hyperlink r:id="rId2625" ref="AJ1374"/>
    <hyperlink r:id="rId2626" location="/plan/a6ee77bc-ded4-40cd-ab62-1a962feb18a1?tab=attachments" ref="AI1375"/>
    <hyperlink r:id="rId2627" ref="AJ1375"/>
    <hyperlink r:id="rId2628" ref="AK1375"/>
    <hyperlink r:id="rId2629" ref="AI1376"/>
    <hyperlink r:id="rId2630" location="/plan/f91d05d2-9f16-4321-8d9d-8c28831b0c2d?tab=attachments" ref="AI1377"/>
    <hyperlink r:id="rId2631" ref="AJ1377"/>
    <hyperlink r:id="rId2632" ref="AI1378"/>
    <hyperlink r:id="rId2633" ref="AI1379"/>
    <hyperlink r:id="rId2634" ref="AI1380"/>
    <hyperlink r:id="rId2635" ref="AJ1380"/>
    <hyperlink r:id="rId2636" location="/project/bf056fe5-a489-4e3f-ac62-1a4449179c33?tab=locations" ref="AK1380"/>
    <hyperlink r:id="rId2637" location="/project/0c44cca2-aaaa-4c97-8b2b-e2bb17ee1980?tab=moreinfo" ref="AI1381"/>
    <hyperlink r:id="rId2638" ref="AJ1381"/>
    <hyperlink r:id="rId2639" ref="AI1382"/>
    <hyperlink r:id="rId2640" ref="AI1383"/>
    <hyperlink r:id="rId2641" ref="AI1384"/>
    <hyperlink r:id="rId2642" ref="AI1385"/>
    <hyperlink r:id="rId2643" ref="AI1386"/>
    <hyperlink r:id="rId2644" ref="AI1387"/>
    <hyperlink r:id="rId2645" ref="AI1388"/>
    <hyperlink r:id="rId2646" ref="AI1389"/>
    <hyperlink r:id="rId2647" ref="AJ1389"/>
    <hyperlink r:id="rId2648" location="/plan/3f012be5-4a81-4341-8710-e239efdb3b1e" ref="AI1390"/>
    <hyperlink r:id="rId2649" ref="AJ1390"/>
    <hyperlink r:id="rId2650" location="/project/d91b5451-7721-4963-b450-05f269c503e5" ref="AI1391"/>
    <hyperlink r:id="rId2651" ref="AJ1391"/>
    <hyperlink r:id="rId2652" location="/project/e9a346de-2f59-4bf0-97e6-98b81a0869e6" ref="AI1392"/>
    <hyperlink r:id="rId2653" ref="AJ1392"/>
    <hyperlink r:id="rId2654" location="/plan/f322379d-0301-4028-9ba5-e23724a6cb51" ref="AI1393"/>
    <hyperlink r:id="rId2655" ref="AJ1393"/>
    <hyperlink r:id="rId2656" location="/plan/c31952ca-2934-4acc-ab29-9db4ec01e339?tab=attachments" ref="AI1394"/>
    <hyperlink r:id="rId2657" location="/plan/55087cda-4790-4f98-be5d-2a054fe2c464?tab=attachments" ref="AI1395"/>
    <hyperlink r:id="rId2658" ref="AI1396"/>
    <hyperlink r:id="rId2659" ref="AJ1396"/>
    <hyperlink r:id="rId2660" location="/plan/ec71ba9b-8783-4bd2-ab90-57a68d5f7d0c?tab=locations" ref="AI1397"/>
    <hyperlink r:id="rId2661" location="page=1" ref="AI1398"/>
    <hyperlink r:id="rId2662" ref="AJ1398"/>
    <hyperlink r:id="rId2663" ref="AI1399"/>
    <hyperlink r:id="rId2664" ref="AI1400"/>
    <hyperlink r:id="rId2665" location="/Details/716706972000002" ref="AJ1400"/>
    <hyperlink r:id="rId2666" ref="AI1401"/>
    <hyperlink r:id="rId2667" ref="AJ1401"/>
    <hyperlink r:id="rId2668" ref="AK1401"/>
    <hyperlink r:id="rId2669" ref="AL1401"/>
    <hyperlink r:id="rId2670" ref="AM1401"/>
    <hyperlink r:id="rId2671" ref="AI1402"/>
    <hyperlink r:id="rId2672" ref="AJ1402"/>
    <hyperlink r:id="rId2673" ref="AI1403"/>
    <hyperlink r:id="rId2674" ref="AI1404"/>
    <hyperlink r:id="rId2675" ref="AJ1404"/>
    <hyperlink r:id="rId2676" ref="AI1405"/>
    <hyperlink r:id="rId2677" location="/Details/698680060200000" ref="AJ1405"/>
    <hyperlink r:id="rId2678" ref="AI1406"/>
    <hyperlink r:id="rId2679" location="/Details/693685201900000" ref="AJ1406"/>
    <hyperlink r:id="rId2680" location="/property/46178100" ref="AI1407"/>
    <hyperlink r:id="rId2681" location="page=1" ref="AI1408"/>
    <hyperlink r:id="rId2682" ref="AJ1408"/>
    <hyperlink r:id="rId2683" location="/plan/4370817a-ce39-47d9-994b-1a0548fa9fa2?tab=attachments" ref="AI1409"/>
    <hyperlink r:id="rId2684" location="/plan/4370817a-ce39-47d9-994b-1a0548fa9fa2?tab=attachments" ref="AJ1409"/>
    <hyperlink r:id="rId2685" ref="AI1410"/>
    <hyperlink r:id="rId2686" ref="AJ1410"/>
    <hyperlink r:id="rId2687" location="tncms-source=Front%20Page%20Top%20Headlines%201-4" ref="AI1411"/>
    <hyperlink r:id="rId2688" ref="AJ1411"/>
    <hyperlink r:id="rId2689" location="/plan/418c4f35-ec88-4631-97e8-6b53bf810a32" ref="AI1412"/>
    <hyperlink r:id="rId2690" ref="AJ1412"/>
    <hyperlink r:id="rId2691" location="/plan/e3d99e5d-0689-4369-9a48-015f450b6517" ref="AI1413"/>
    <hyperlink r:id="rId2692" ref="AJ1413"/>
    <hyperlink r:id="rId2693" location="/plan/e900e88c-2070-4bb5-81ff-23e7be27ca04?tab=locations" ref="AI1414"/>
    <hyperlink r:id="rId2694" ref="AJ1414"/>
    <hyperlink r:id="rId2695" location="page=1" ref="AI1415"/>
    <hyperlink r:id="rId2696" ref="AJ1415"/>
    <hyperlink r:id="rId2697" location="page=1" ref="AI1416"/>
    <hyperlink r:id="rId2698" ref="AJ1416"/>
    <hyperlink r:id="rId2699" ref="AI1417"/>
    <hyperlink r:id="rId2700" ref="AI1418"/>
    <hyperlink r:id="rId2701" location="page=1" ref="AI1419"/>
    <hyperlink r:id="rId2702" ref="AJ1419"/>
    <hyperlink r:id="rId2703" ref="AI1420"/>
    <hyperlink r:id="rId2704" ref="AJ1420"/>
    <hyperlink r:id="rId2705" ref="AI1421"/>
    <hyperlink r:id="rId2706" ref="AI1422"/>
    <hyperlink r:id="rId2707" ref="AI1423"/>
    <hyperlink r:id="rId2708" ref="AI1424"/>
    <hyperlink r:id="rId2709" ref="AI1425"/>
    <hyperlink r:id="rId2710" ref="AJ1425"/>
    <hyperlink r:id="rId2711" ref="AI1426"/>
    <hyperlink r:id="rId2712" ref="AJ1426"/>
    <hyperlink r:id="rId2713" ref="AK1426"/>
    <hyperlink r:id="rId2714" ref="AI1427"/>
    <hyperlink r:id="rId2715" ref="AI1428"/>
    <hyperlink r:id="rId2716" ref="AI1429"/>
    <hyperlink r:id="rId2717" ref="AI1430"/>
    <hyperlink r:id="rId2718" ref="AI1431"/>
    <hyperlink r:id="rId2719" ref="AI1432"/>
    <hyperlink r:id="rId2720" ref="AI1433"/>
    <hyperlink r:id="rId2721" ref="AI1434"/>
    <hyperlink r:id="rId2722" ref="AJ1434"/>
    <hyperlink r:id="rId2723" ref="AK1434"/>
    <hyperlink r:id="rId2724" ref="AI1435"/>
    <hyperlink r:id="rId2725" ref="AI1436"/>
    <hyperlink r:id="rId2726" ref="AI1437"/>
    <hyperlink r:id="rId2727" ref="AI1438"/>
    <hyperlink r:id="rId2728" ref="AI1439"/>
    <hyperlink r:id="rId2729" ref="AI1440"/>
    <hyperlink r:id="rId2730" ref="AJ1440"/>
    <hyperlink r:id="rId2731" ref="AI1441"/>
    <hyperlink r:id="rId2732" ref="AI1442"/>
    <hyperlink r:id="rId2733" ref="AI1443"/>
    <hyperlink r:id="rId2734" ref="AI1444"/>
    <hyperlink r:id="rId2735" ref="AJ1444"/>
    <hyperlink r:id="rId2736" ref="AI1445"/>
    <hyperlink r:id="rId2737" ref="AJ1445"/>
    <hyperlink r:id="rId2738" ref="AI1446"/>
    <hyperlink r:id="rId2739" ref="AJ1446"/>
    <hyperlink r:id="rId2740" ref="AK1446"/>
    <hyperlink r:id="rId2741" ref="AI1447"/>
    <hyperlink r:id="rId2742" ref="AJ1447"/>
    <hyperlink r:id="rId2743" ref="AI1448"/>
    <hyperlink r:id="rId2744" ref="AI1449"/>
    <hyperlink r:id="rId2745" ref="AI1450"/>
    <hyperlink r:id="rId2746" ref="AJ1450"/>
    <hyperlink r:id="rId2747" location="/plan/4922d1ce-97e0-4321-ade6-f449aace6208?tab=moreinfo" ref="AK1450"/>
    <hyperlink r:id="rId2748" location="/plan/78E3A554-EEDF-454D-B64F-9980B4A2E471?tab=attachments" ref="AI1451"/>
    <hyperlink r:id="rId2749" ref="AJ1451"/>
    <hyperlink r:id="rId2750" ref="AI1452"/>
    <hyperlink r:id="rId2751" ref="AI1453"/>
    <hyperlink r:id="rId2752" location="/mwl?zoom=16&amp;location=-77.529108_38.165611" ref="AJ1453"/>
    <hyperlink r:id="rId2753" ref="AI1454"/>
    <hyperlink r:id="rId2754" ref="AJ1454"/>
    <hyperlink r:id="rId2755" location="page=1" ref="AI1455"/>
    <hyperlink r:id="rId2756" ref="AJ1455"/>
    <hyperlink r:id="rId2757" ref="AI1456"/>
    <hyperlink r:id="rId2758" ref="AI1457"/>
    <hyperlink r:id="rId2759" ref="AJ1457"/>
    <hyperlink r:id="rId2760" ref="AI1458"/>
    <hyperlink r:id="rId2761" ref="AJ1458"/>
    <hyperlink r:id="rId2762" ref="AI1459"/>
    <hyperlink r:id="rId2763" ref="AJ1459"/>
    <hyperlink r:id="rId2764" ref="AI1460"/>
    <hyperlink r:id="rId2765" ref="AI1461"/>
    <hyperlink r:id="rId2766" ref="AI1462"/>
    <hyperlink r:id="rId2767" ref="AI1463"/>
    <hyperlink r:id="rId2768" ref="AJ1463"/>
    <hyperlink r:id="rId2769" ref="AI1464"/>
    <hyperlink r:id="rId2770" ref="AJ1464"/>
    <hyperlink r:id="rId2771" location="/plan/49535f6c-c976-4052-b47c-bc3f6488a7aa?tab=attachments" ref="AI1465"/>
    <hyperlink r:id="rId2772" ref="AJ1465"/>
    <hyperlink r:id="rId2773" ref="AI1466"/>
    <hyperlink r:id="rId2774" ref="AI1467"/>
    <hyperlink r:id="rId2775" ref="AI1468"/>
    <hyperlink r:id="rId2776" ref="AI1469"/>
    <hyperlink r:id="rId2777" ref="AJ1469"/>
    <hyperlink r:id="rId2778" ref="AI1470"/>
    <hyperlink r:id="rId2779" ref="AI1471"/>
    <hyperlink r:id="rId2780" ref="AI1472"/>
    <hyperlink r:id="rId2781" ref="AJ1472"/>
    <hyperlink r:id="rId2782" ref="AI1473"/>
    <hyperlink r:id="rId2783" location="/plan/1EA54DC9-FFF0-40F8-AF9A-F9F78538C9FA?tab=locations" ref="AJ1473"/>
    <hyperlink r:id="rId2784" ref="AK1473"/>
    <hyperlink r:id="rId2785" ref="AI1474"/>
    <hyperlink r:id="rId2786" ref="AJ1474"/>
    <hyperlink r:id="rId2787" ref="AI1475"/>
    <hyperlink r:id="rId2788" location="/plan/F79A57A3-38E2-4887-BD02-B5B691CD8ABF?tab=attachments" ref="AI1476"/>
    <hyperlink r:id="rId2789" ref="AJ1476"/>
    <hyperlink r:id="rId2790" ref="AI1477"/>
    <hyperlink r:id="rId2791" ref="AI1478"/>
    <hyperlink r:id="rId2792" ref="AJ1478"/>
    <hyperlink r:id="rId2793" ref="AI1479"/>
    <hyperlink r:id="rId2794" ref="AJ1479"/>
    <hyperlink r:id="rId2795" ref="AI1480"/>
    <hyperlink r:id="rId2796" ref="AI1481"/>
    <hyperlink r:id="rId2797" location="/plan/dd507a64-937f-48d0-9d28-0357c26a6a7e?tab=attachments" ref="AI1482"/>
    <hyperlink r:id="rId2798" ref="AJ1482"/>
    <hyperlink r:id="rId2799" location="/plan/dd507a64-937f-48d0-9d28-0357c26a6a7e?tab=attachments" ref="AI1483"/>
    <hyperlink r:id="rId2800" ref="AJ1483"/>
    <hyperlink r:id="rId2801" ref="AI1484"/>
    <hyperlink r:id="rId2802" ref="AI1485"/>
    <hyperlink r:id="rId2803" ref="AI1486"/>
    <hyperlink r:id="rId2804" location="/plan/06089816-10BD-4D2E-8A91-826D008AA2C4?tab=attachments" ref="AI1487"/>
    <hyperlink r:id="rId2805" ref="AJ1487"/>
    <hyperlink r:id="rId2806" ref="AI1488"/>
    <hyperlink r:id="rId2807" ref="AJ1488"/>
    <hyperlink r:id="rId2808" location="/plan/f6c352b4-2c45-42eb-8aa1-1f4aa98da3b9?tab=attachments" ref="AI1489"/>
    <hyperlink r:id="rId2809" ref="AJ1489"/>
    <hyperlink r:id="rId2810" ref="AI1490"/>
    <hyperlink r:id="rId2811" ref="AI1491"/>
    <hyperlink r:id="rId2812" ref="AJ1491"/>
    <hyperlink r:id="rId2813" location="/plan/1623A063-96C6-448D-91CC-B7B3E9DA7B8B?tab=attachments" ref="AI1492"/>
    <hyperlink r:id="rId2814" ref="AJ1492"/>
    <hyperlink r:id="rId2815" ref="AI1493"/>
    <hyperlink r:id="rId2816" ref="AI1494"/>
    <hyperlink r:id="rId2817" location="/plan/8628ddc2-6e18-48aa-af54-fec33b62c2c2?tab=attachments" ref="AI1495"/>
    <hyperlink r:id="rId2818" ref="AJ1495"/>
    <hyperlink r:id="rId2819" ref="AI1496"/>
    <hyperlink r:id="rId2820" ref="AJ1496"/>
    <hyperlink r:id="rId2821" ref="AI1497"/>
    <hyperlink r:id="rId2822" ref="AI1498"/>
    <hyperlink r:id="rId2823" ref="AJ1498"/>
    <hyperlink r:id="rId2824" ref="AI1499"/>
    <hyperlink r:id="rId2825" ref="AI1500"/>
    <hyperlink r:id="rId2826" ref="AI1501"/>
    <hyperlink r:id="rId2827" location="/plan/c87c4b0c-a3aa-4261-9954-8cc95f06f912?tab=locations" ref="AI1502"/>
    <hyperlink r:id="rId2828" ref="AJ1502"/>
    <hyperlink r:id="rId2829" ref="AI1503"/>
    <hyperlink r:id="rId2830" ref="AJ1503"/>
    <hyperlink r:id="rId2831" ref="AI1504"/>
    <hyperlink r:id="rId2832" ref="AJ1504"/>
    <hyperlink r:id="rId2833" ref="AI1505"/>
    <hyperlink r:id="rId2834" ref="AI1506"/>
    <hyperlink r:id="rId2835" ref="AJ1506"/>
    <hyperlink r:id="rId2836" ref="AI1507"/>
    <hyperlink r:id="rId2837" ref="AJ1507"/>
    <hyperlink r:id="rId2838" ref="AI1508"/>
    <hyperlink r:id="rId2839" ref="AJ1508"/>
    <hyperlink r:id="rId2840" ref="AI1509"/>
    <hyperlink r:id="rId2841" ref="AJ1509"/>
    <hyperlink r:id="rId2842" location="/plan/ec1e84d1-de53-45a8-917e-34be6c131039?tab=attachments" ref="AI1510"/>
    <hyperlink r:id="rId2843" ref="AJ1510"/>
    <hyperlink r:id="rId2844" ref="AI1511"/>
    <hyperlink r:id="rId2845" ref="AI1512"/>
    <hyperlink r:id="rId2846" location="/plan/E6B940CA-E483-458E-A83C-1C54477A8FA5?tab=attachments" ref="AI1513"/>
    <hyperlink r:id="rId2847" ref="AJ1513"/>
    <hyperlink r:id="rId2848" ref="AI1514"/>
    <hyperlink r:id="rId2849" location="/plan/D175A1D3-E983-41D9-B593-3D5C69B1B3E4?tab=attachments" ref="AI1515"/>
    <hyperlink r:id="rId2850" ref="AJ1515"/>
    <hyperlink r:id="rId2851" location="/plan/f6c352b4-2c45-42eb-8aa1-1f4aa98da3b9?tab=attachments" ref="AI1516"/>
    <hyperlink r:id="rId2852" ref="AJ1516"/>
    <hyperlink r:id="rId2853" ref="AI1517"/>
    <hyperlink r:id="rId2854" ref="AI1518"/>
    <hyperlink r:id="rId2855" ref="AJ1518"/>
    <hyperlink r:id="rId2856" ref="AI1519"/>
    <hyperlink r:id="rId2857" ref="AJ1519"/>
    <hyperlink r:id="rId2858" ref="AI1520"/>
    <hyperlink r:id="rId2859" ref="AI1521"/>
    <hyperlink r:id="rId2860" ref="AI1522"/>
    <hyperlink r:id="rId2861" ref="AI1523"/>
    <hyperlink r:id="rId2862" location="/plan/4A8DECD0-B1EF-4677-B44F-A8C04C863B62?tab=locations" ref="AI1524"/>
    <hyperlink r:id="rId2863" ref="AJ1524"/>
    <hyperlink r:id="rId2864" location="/plan/61643009-52F9-4C98-9F52-3FB4D2263170?tab=attachments" ref="AI1525"/>
    <hyperlink r:id="rId2865" ref="AJ1525"/>
    <hyperlink r:id="rId2866" ref="AI1526"/>
    <hyperlink r:id="rId2867" ref="AI1527"/>
    <hyperlink r:id="rId2868" location="/plan/93bd1580-f8d3-4bb1-845e-4b6d0c970645?tab=locations" ref="AI1528"/>
    <hyperlink r:id="rId2869" ref="AJ1528"/>
    <hyperlink r:id="rId2870" ref="AK1528"/>
    <hyperlink r:id="rId2871" ref="AI1529"/>
    <hyperlink r:id="rId2872" ref="AJ1529"/>
    <hyperlink r:id="rId2873" ref="AI1530"/>
    <hyperlink r:id="rId2874" ref="AI1531"/>
    <hyperlink r:id="rId2875" ref="AJ1531"/>
    <hyperlink r:id="rId2876" ref="AI1532"/>
    <hyperlink r:id="rId2877" ref="AI1533"/>
    <hyperlink r:id="rId2878" ref="AJ1533"/>
    <hyperlink r:id="rId2879" location="/plan/c649938c-a42c-43c1-af23-ac3e7ece8a37?tab=locations" ref="AI1534"/>
    <hyperlink r:id="rId2880" ref="AJ1534"/>
    <hyperlink r:id="rId2881" location="/plan/5A916D29-F069-42AE-A0B4-5181165CB8A7" ref="AI1535"/>
    <hyperlink r:id="rId2882" ref="AJ1535"/>
    <hyperlink r:id="rId2883" ref="AI1536"/>
    <hyperlink r:id="rId2884" ref="AJ1536"/>
    <hyperlink r:id="rId2885" location="/plan/5a05cbbe-77b4-40ec-a02a-df67cd82d9dc?tab=locations" ref="AI1537"/>
    <hyperlink r:id="rId2886" ref="AJ1537"/>
    <hyperlink r:id="rId2887" location="/plan/5a05cbbe-77b4-40ec-a02a-df67cd82d9dc?tab=locations" ref="AI1538"/>
    <hyperlink r:id="rId2888" ref="AJ1538"/>
    <hyperlink r:id="rId2889" location="/plan/4cd42209-0022-4472-aa5c-9cc46413da23?tab=locations" ref="AI1539"/>
    <hyperlink r:id="rId2890" ref="AJ1539"/>
    <hyperlink r:id="rId2891" location="/plan/0c62c1ce-2e62-4e22-9dd0-a540956ff321?tab=locations" ref="AI1540"/>
    <hyperlink r:id="rId2892" ref="AJ1540"/>
    <hyperlink r:id="rId2893" location="/plan/a037a799-691c-42c4-a3fa-dd41c9dfa911?tab=attachments" ref="AI1541"/>
    <hyperlink r:id="rId2894" ref="AJ1541"/>
    <hyperlink r:id="rId2895" location="/plan/78825fb5-186a-4f08-ad04-930ece5b609e?tab=attachments" ref="AI1542"/>
    <hyperlink r:id="rId2896" ref="AJ1542"/>
    <hyperlink r:id="rId2897" location="/plan/306dbd90-969b-4e70-ac97-be032ae24344?tab=attachments" ref="AI1543"/>
    <hyperlink r:id="rId2898" ref="AJ1543"/>
    <hyperlink r:id="rId2899" location="/plan/16f9b8bf-7683-4adb-8ad2-f46dda6fda9f?tab=locations" ref="AI1544"/>
    <hyperlink r:id="rId2900" ref="AJ1544"/>
    <hyperlink r:id="rId2901" ref="AI1545"/>
    <hyperlink r:id="rId2902" ref="AJ1545"/>
    <hyperlink r:id="rId2903" location="/plan/d3a1ae33-a03c-43b5-9b3f-6918ec841049?tab=attachments" ref="AI1546"/>
    <hyperlink r:id="rId2904" ref="AJ1546"/>
    <hyperlink r:id="rId2905" ref="AI1547"/>
    <hyperlink r:id="rId2906" ref="AI1548"/>
    <hyperlink r:id="rId2907" ref="AJ1548"/>
    <hyperlink r:id="rId2908" ref="AF1549"/>
    <hyperlink r:id="rId2909" ref="AI1549"/>
    <hyperlink r:id="rId2910" ref="AJ1549"/>
    <hyperlink r:id="rId2911" ref="AI1550"/>
    <hyperlink r:id="rId2912" ref="AJ1550"/>
    <hyperlink r:id="rId2913" ref="AK1550"/>
    <hyperlink r:id="rId2914" location="page=1" ref="AI1551"/>
    <hyperlink r:id="rId2915" ref="AJ1551"/>
    <hyperlink r:id="rId2916" location="page=1" ref="AI1552"/>
    <hyperlink r:id="rId2917" ref="AJ1552"/>
    <hyperlink r:id="rId2918" location="/property/24152434460000" ref="AI1553"/>
    <hyperlink r:id="rId2919" ref="AI1554"/>
    <hyperlink r:id="rId2920" location="/property/24152291580000" ref="AJ1554"/>
    <hyperlink r:id="rId2921" ref="AI1555"/>
    <hyperlink r:id="rId2922" ref="AJ1555"/>
    <hyperlink r:id="rId2923" location="/map?search=7915-88-3261-000" ref="AK1555"/>
    <hyperlink r:id="rId2924" ref="AI1556"/>
    <hyperlink r:id="rId2925" ref="AI1557"/>
    <hyperlink r:id="rId2926" ref="AJ1557"/>
    <hyperlink r:id="rId2927" location="/plan/ff86bd94-573b-462d-bf75-777ee3093d58?tab=attachments" ref="AI1558"/>
    <hyperlink r:id="rId2928" location="/map?search=7915-53-3758-000" ref="AJ1558"/>
    <hyperlink r:id="rId2929" ref="AI1559"/>
    <hyperlink r:id="rId2930" ref="AJ1559"/>
    <hyperlink r:id="rId2931" ref="AI1560"/>
    <hyperlink r:id="rId2932" ref="AI1561"/>
    <hyperlink r:id="rId2933" ref="AI1562"/>
    <hyperlink r:id="rId2934" ref="AI1563"/>
    <hyperlink r:id="rId2935" ref="AI1569"/>
    <hyperlink r:id="rId2936" ref="AJ1569"/>
    <hyperlink r:id="rId2937" ref="AI1570"/>
    <hyperlink r:id="rId2938" ref="AJ1570"/>
    <hyperlink r:id="rId2939" ref="AK1570"/>
    <hyperlink r:id="rId2940" ref="AI1574"/>
    <hyperlink r:id="rId2941" ref="AI1576"/>
    <hyperlink r:id="rId2942" ref="AI1578"/>
    <hyperlink r:id="rId2943" ref="AI1579"/>
    <hyperlink r:id="rId2944" ref="AI1581"/>
    <hyperlink r:id="rId2945" ref="AI1582"/>
    <hyperlink r:id="rId2946" ref="AD1585"/>
    <hyperlink r:id="rId2947" ref="AI1585"/>
    <hyperlink r:id="rId2948" ref="AJ1585"/>
    <hyperlink r:id="rId2949" ref="AK1585"/>
    <hyperlink r:id="rId2950" ref="AL1585"/>
    <hyperlink r:id="rId2951" ref="AM1585"/>
    <hyperlink r:id="rId2952" ref="AN1585"/>
    <hyperlink r:id="rId2953" ref="AO1585"/>
    <hyperlink r:id="rId2954" ref="AI1586"/>
    <hyperlink r:id="rId2955" ref="AD1587"/>
    <hyperlink r:id="rId2956" ref="AI1587"/>
    <hyperlink r:id="rId2957" ref="AI1588"/>
    <hyperlink r:id="rId2958" ref="AJ1588"/>
    <hyperlink r:id="rId2959" ref="AI1589"/>
    <hyperlink r:id="rId2960" ref="AJ1589"/>
    <hyperlink r:id="rId2961" ref="AK1589"/>
    <hyperlink r:id="rId2962" ref="AD1590"/>
    <hyperlink r:id="rId2963" ref="AE1590"/>
    <hyperlink r:id="rId2964" ref="AI1590"/>
    <hyperlink r:id="rId2965" ref="AJ1590"/>
    <hyperlink r:id="rId2966" ref="AK1590"/>
    <hyperlink r:id="rId2967" ref="AL1590"/>
    <hyperlink r:id="rId2968" ref="AM1590"/>
    <hyperlink r:id="rId2969" ref="AN1590"/>
    <hyperlink r:id="rId2970" ref="AO1590"/>
    <hyperlink r:id="rId2971" ref="AI1591"/>
    <hyperlink r:id="rId2972" ref="AI1592"/>
    <hyperlink r:id="rId2973" ref="AJ1592"/>
    <hyperlink r:id="rId2974" ref="AD1593"/>
    <hyperlink r:id="rId2975" ref="AI1593"/>
    <hyperlink r:id="rId2976" ref="AJ1593"/>
    <hyperlink r:id="rId2977" ref="AK1593"/>
    <hyperlink r:id="rId2978" ref="AF1594"/>
    <hyperlink r:id="rId2979" ref="AI1594"/>
    <hyperlink r:id="rId2980" ref="AJ1594"/>
    <hyperlink r:id="rId2981" ref="AD1595"/>
    <hyperlink r:id="rId2982" ref="AF1595"/>
    <hyperlink r:id="rId2983" ref="AI1595"/>
    <hyperlink r:id="rId2984" ref="AD1596"/>
    <hyperlink r:id="rId2985" ref="AF1596"/>
    <hyperlink r:id="rId2986" ref="AI1596"/>
    <hyperlink r:id="rId2987" ref="AJ1596"/>
    <hyperlink r:id="rId2988" ref="AI1597"/>
    <hyperlink r:id="rId2989" ref="AJ1597"/>
    <hyperlink r:id="rId2990" ref="AI1598"/>
    <hyperlink r:id="rId2991" ref="AJ1598"/>
    <hyperlink r:id="rId2992" ref="AK1598"/>
    <hyperlink r:id="rId2993" ref="AL1598"/>
    <hyperlink r:id="rId2994" ref="AM1598"/>
    <hyperlink r:id="rId2995" ref="AN1598"/>
    <hyperlink r:id="rId2996" ref="AO1598"/>
    <hyperlink r:id="rId2997" ref="AP1598"/>
    <hyperlink r:id="rId2998" ref="AD1599"/>
    <hyperlink r:id="rId2999" ref="AF1599"/>
    <hyperlink r:id="rId3000" ref="AI1599"/>
    <hyperlink r:id="rId3001" ref="AJ1599"/>
    <hyperlink r:id="rId3002" ref="AK1599"/>
    <hyperlink r:id="rId3003" ref="AL1599"/>
    <hyperlink r:id="rId3004" ref="AM1599"/>
    <hyperlink r:id="rId3005" ref="AN1599"/>
    <hyperlink r:id="rId3006" ref="AO1599"/>
    <hyperlink r:id="rId3007" ref="AP1599"/>
    <hyperlink r:id="rId3008" ref="AD1600"/>
    <hyperlink r:id="rId3009" ref="AI1600"/>
    <hyperlink r:id="rId3010" ref="AJ1600"/>
    <hyperlink r:id="rId3011" ref="AK1600"/>
    <hyperlink r:id="rId3012" ref="AD1601"/>
    <hyperlink r:id="rId3013" ref="AI1601"/>
    <hyperlink r:id="rId3014" ref="AJ1601"/>
    <hyperlink r:id="rId3015" ref="AK1601"/>
    <hyperlink r:id="rId3016" ref="AL1601"/>
    <hyperlink r:id="rId3017" ref="AM1601"/>
    <hyperlink r:id="rId3018" ref="AN1601"/>
    <hyperlink r:id="rId3019" ref="AI1602"/>
    <hyperlink r:id="rId3020" ref="AI1603"/>
    <hyperlink r:id="rId3021" ref="AJ1603"/>
    <hyperlink r:id="rId3022" ref="AK1603"/>
    <hyperlink r:id="rId3023" ref="AI1604"/>
    <hyperlink r:id="rId3024" ref="AJ1604"/>
    <hyperlink r:id="rId3025" ref="AK1604"/>
    <hyperlink r:id="rId3026" ref="AI1605"/>
    <hyperlink r:id="rId3027" ref="AJ1605"/>
    <hyperlink r:id="rId3028" ref="AK1605"/>
    <hyperlink r:id="rId3029" ref="AD1606"/>
    <hyperlink r:id="rId3030" ref="AE1606"/>
    <hyperlink r:id="rId3031" ref="AI1606"/>
    <hyperlink r:id="rId3032" ref="AJ1606"/>
    <hyperlink r:id="rId3033" ref="AK1606"/>
    <hyperlink r:id="rId3034" ref="AL1606"/>
    <hyperlink r:id="rId3035" ref="AM1606"/>
    <hyperlink r:id="rId3036" ref="AN1606"/>
    <hyperlink r:id="rId3037" ref="AI1607"/>
    <hyperlink r:id="rId3038" ref="AJ1607"/>
    <hyperlink r:id="rId3039" ref="AK1607"/>
    <hyperlink r:id="rId3040" ref="AL1607"/>
    <hyperlink r:id="rId3041" ref="AI1608"/>
    <hyperlink r:id="rId3042" ref="AD1609"/>
    <hyperlink r:id="rId3043" ref="AE1609"/>
    <hyperlink r:id="rId3044" ref="AI1609"/>
    <hyperlink r:id="rId3045" ref="AJ1609"/>
    <hyperlink r:id="rId3046" ref="AK1609"/>
    <hyperlink r:id="rId3047" ref="AI1610"/>
    <hyperlink r:id="rId3048" ref="AI1611"/>
    <hyperlink r:id="rId3049" ref="AI1612"/>
    <hyperlink r:id="rId3050" ref="AI1613"/>
    <hyperlink r:id="rId3051" ref="AJ1613"/>
    <hyperlink r:id="rId3052" ref="AI1614"/>
    <hyperlink r:id="rId3053" ref="AJ1614"/>
    <hyperlink r:id="rId3054" ref="AK1614"/>
    <hyperlink r:id="rId3055" ref="AL1614"/>
    <hyperlink r:id="rId3056" ref="AM1614"/>
    <hyperlink r:id="rId3057" ref="AN1614"/>
    <hyperlink r:id="rId3058" ref="AD1615"/>
    <hyperlink r:id="rId3059" ref="AE1615"/>
    <hyperlink r:id="rId3060" ref="AI1615"/>
    <hyperlink r:id="rId3061" ref="AJ1615"/>
    <hyperlink r:id="rId3062" ref="AK1615"/>
    <hyperlink r:id="rId3063" ref="AL1615"/>
    <hyperlink r:id="rId3064" ref="AI1616"/>
    <hyperlink r:id="rId3065" ref="AJ1616"/>
    <hyperlink r:id="rId3066" ref="AI1617"/>
    <hyperlink r:id="rId3067" ref="AI1619"/>
    <hyperlink r:id="rId3068" ref="AI1620"/>
    <hyperlink r:id="rId3069" ref="AJ1620"/>
    <hyperlink r:id="rId3070" ref="AK1620"/>
    <hyperlink r:id="rId3071" ref="AL1620"/>
    <hyperlink r:id="rId3072" ref="AM1620"/>
    <hyperlink r:id="rId3073" ref="AN1620"/>
    <hyperlink r:id="rId3074" ref="AO1620"/>
    <hyperlink r:id="rId3075" ref="AI1621"/>
    <hyperlink r:id="rId3076" ref="AJ1621"/>
    <hyperlink r:id="rId3077" ref="AK1621"/>
    <hyperlink r:id="rId3078" ref="AI1622"/>
    <hyperlink r:id="rId3079" ref="AJ1622"/>
  </hyperlinks>
  <drawing r:id="rId3080"/>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54.75"/>
  </cols>
  <sheetData>
    <row r="1">
      <c r="A1" s="6" t="s">
        <v>13710</v>
      </c>
    </row>
    <row r="2">
      <c r="A2" s="7"/>
    </row>
    <row r="3">
      <c r="A3" s="7"/>
    </row>
    <row r="4">
      <c r="A4" s="7"/>
    </row>
    <row r="5">
      <c r="A5" s="7"/>
    </row>
    <row r="6">
      <c r="A6" s="7"/>
    </row>
    <row r="7">
      <c r="A7" s="7"/>
    </row>
    <row r="8">
      <c r="A8" s="7"/>
    </row>
    <row r="9">
      <c r="A9" s="7"/>
    </row>
    <row r="10">
      <c r="A10" s="7"/>
    </row>
    <row r="11">
      <c r="A11" s="7"/>
    </row>
    <row r="12">
      <c r="A12" s="7"/>
    </row>
    <row r="13">
      <c r="A13" s="7"/>
    </row>
    <row r="14">
      <c r="A14" s="7"/>
    </row>
    <row r="15">
      <c r="A15" s="7"/>
    </row>
    <row r="16">
      <c r="A16" s="7"/>
    </row>
    <row r="17">
      <c r="A17" s="7"/>
    </row>
    <row r="18">
      <c r="A18" s="7"/>
    </row>
    <row r="19">
      <c r="A19" s="7"/>
    </row>
    <row r="20">
      <c r="A20" s="7"/>
    </row>
    <row r="21">
      <c r="A21" s="7"/>
    </row>
    <row r="22">
      <c r="A22" s="7"/>
    </row>
    <row r="23">
      <c r="A23" s="7"/>
    </row>
    <row r="24">
      <c r="A24" s="7"/>
    </row>
    <row r="25">
      <c r="A25" s="7"/>
    </row>
    <row r="26">
      <c r="A26" s="7"/>
    </row>
    <row r="27">
      <c r="A27" s="7"/>
    </row>
    <row r="28">
      <c r="A28" s="7"/>
    </row>
    <row r="29">
      <c r="A29" s="7"/>
    </row>
    <row r="30">
      <c r="A30" s="7"/>
    </row>
    <row r="31">
      <c r="A31" s="7"/>
    </row>
    <row r="32">
      <c r="A32" s="7"/>
    </row>
    <row r="33">
      <c r="A33" s="7"/>
    </row>
    <row r="34">
      <c r="A34" s="7"/>
    </row>
    <row r="35">
      <c r="A35" s="7"/>
    </row>
    <row r="36">
      <c r="A36" s="7"/>
    </row>
    <row r="37">
      <c r="A37" s="7"/>
    </row>
    <row r="38">
      <c r="A38" s="7"/>
    </row>
    <row r="39">
      <c r="A39" s="7"/>
    </row>
    <row r="40">
      <c r="A40" s="7"/>
    </row>
    <row r="41">
      <c r="A41" s="7"/>
    </row>
    <row r="42">
      <c r="A42" s="7"/>
    </row>
    <row r="43">
      <c r="A43" s="7"/>
    </row>
    <row r="44">
      <c r="A44" s="7"/>
    </row>
    <row r="45">
      <c r="A45" s="7"/>
    </row>
    <row r="46">
      <c r="A46" s="7"/>
    </row>
    <row r="47">
      <c r="A47" s="7"/>
    </row>
    <row r="48">
      <c r="A48" s="7"/>
    </row>
    <row r="49">
      <c r="A49" s="7"/>
    </row>
    <row r="50">
      <c r="A50" s="7"/>
    </row>
    <row r="51">
      <c r="A51" s="7"/>
    </row>
    <row r="52">
      <c r="A52" s="7"/>
    </row>
    <row r="53">
      <c r="A53" s="7"/>
    </row>
    <row r="54">
      <c r="A54" s="7"/>
    </row>
    <row r="55">
      <c r="A55" s="7"/>
    </row>
    <row r="56">
      <c r="A56" s="7"/>
    </row>
    <row r="57">
      <c r="A57" s="7"/>
    </row>
    <row r="58">
      <c r="A58" s="7"/>
    </row>
    <row r="59">
      <c r="A59" s="7"/>
    </row>
    <row r="60">
      <c r="A60" s="7"/>
    </row>
    <row r="61">
      <c r="A61" s="7"/>
    </row>
    <row r="62">
      <c r="A62" s="7"/>
    </row>
    <row r="63">
      <c r="A63" s="7"/>
    </row>
    <row r="64">
      <c r="A64" s="7"/>
    </row>
    <row r="65">
      <c r="A65" s="7"/>
    </row>
    <row r="66">
      <c r="A66" s="7"/>
    </row>
    <row r="67">
      <c r="A67" s="7"/>
    </row>
    <row r="68">
      <c r="A68" s="7"/>
    </row>
    <row r="69">
      <c r="A69" s="7"/>
    </row>
    <row r="70">
      <c r="A70" s="7"/>
    </row>
    <row r="71">
      <c r="A71" s="7"/>
    </row>
    <row r="72">
      <c r="A72" s="7"/>
    </row>
    <row r="73">
      <c r="A73" s="7"/>
    </row>
    <row r="74">
      <c r="A74" s="7"/>
    </row>
    <row r="75">
      <c r="A75" s="7"/>
    </row>
    <row r="76">
      <c r="A76" s="7"/>
    </row>
    <row r="77">
      <c r="A77" s="7"/>
    </row>
    <row r="78">
      <c r="A78" s="7"/>
    </row>
    <row r="79">
      <c r="A79" s="7"/>
    </row>
    <row r="80">
      <c r="A80" s="7"/>
    </row>
    <row r="81">
      <c r="A81" s="7"/>
    </row>
    <row r="82">
      <c r="A82" s="7"/>
    </row>
    <row r="83">
      <c r="A83" s="7"/>
    </row>
    <row r="84">
      <c r="A84" s="7"/>
    </row>
    <row r="85">
      <c r="A85" s="7"/>
    </row>
    <row r="86">
      <c r="A86" s="7"/>
    </row>
    <row r="87">
      <c r="A87" s="7"/>
    </row>
    <row r="88">
      <c r="A88" s="7"/>
    </row>
    <row r="89">
      <c r="A89" s="7"/>
    </row>
    <row r="90">
      <c r="A90" s="7"/>
    </row>
    <row r="91">
      <c r="A91" s="7"/>
    </row>
    <row r="92">
      <c r="A92" s="7"/>
    </row>
    <row r="93">
      <c r="A93" s="7"/>
    </row>
    <row r="94">
      <c r="A94" s="7"/>
    </row>
    <row r="95">
      <c r="A95" s="7"/>
    </row>
    <row r="96">
      <c r="A96" s="7"/>
    </row>
    <row r="97">
      <c r="A97" s="7"/>
    </row>
    <row r="98">
      <c r="A98" s="7"/>
    </row>
    <row r="99">
      <c r="A99" s="7"/>
    </row>
    <row r="100">
      <c r="A100" s="7"/>
    </row>
    <row r="101">
      <c r="A101" s="7"/>
    </row>
    <row r="102">
      <c r="A102" s="7"/>
    </row>
    <row r="103">
      <c r="A103" s="7"/>
    </row>
    <row r="104">
      <c r="A104" s="7"/>
    </row>
    <row r="105">
      <c r="A105" s="7"/>
    </row>
    <row r="106">
      <c r="A106" s="7"/>
    </row>
    <row r="107">
      <c r="A107" s="7"/>
    </row>
    <row r="108">
      <c r="A108" s="7"/>
    </row>
    <row r="109">
      <c r="A109" s="7"/>
    </row>
    <row r="110">
      <c r="A110" s="7"/>
    </row>
    <row r="111">
      <c r="A111" s="7"/>
    </row>
    <row r="112">
      <c r="A112" s="7"/>
    </row>
    <row r="113">
      <c r="A113" s="7"/>
    </row>
    <row r="114">
      <c r="A114" s="7"/>
    </row>
    <row r="115">
      <c r="A115" s="7"/>
    </row>
    <row r="116">
      <c r="A116" s="7"/>
    </row>
    <row r="117">
      <c r="A117" s="7"/>
    </row>
    <row r="118">
      <c r="A118" s="7"/>
    </row>
    <row r="119">
      <c r="A119" s="7"/>
    </row>
    <row r="120">
      <c r="A120" s="7"/>
    </row>
    <row r="121">
      <c r="A121" s="7"/>
    </row>
    <row r="122">
      <c r="A122" s="7"/>
    </row>
    <row r="123">
      <c r="A123" s="7"/>
    </row>
    <row r="124">
      <c r="A124" s="7"/>
    </row>
    <row r="125">
      <c r="A125" s="7"/>
    </row>
    <row r="126">
      <c r="A126" s="7"/>
    </row>
    <row r="127">
      <c r="A127" s="7"/>
    </row>
    <row r="128">
      <c r="A128" s="7"/>
    </row>
    <row r="129">
      <c r="A129" s="7"/>
    </row>
    <row r="130">
      <c r="A130" s="7"/>
    </row>
    <row r="131">
      <c r="A131" s="7"/>
    </row>
    <row r="132">
      <c r="A132" s="7"/>
    </row>
    <row r="133">
      <c r="A133" s="7"/>
    </row>
    <row r="134">
      <c r="A134" s="7"/>
    </row>
    <row r="135">
      <c r="A135" s="7"/>
    </row>
    <row r="136">
      <c r="A136" s="7"/>
    </row>
    <row r="137">
      <c r="A137" s="7"/>
    </row>
    <row r="138">
      <c r="A138" s="7"/>
    </row>
    <row r="139">
      <c r="A139" s="7"/>
    </row>
    <row r="140">
      <c r="A140" s="7"/>
    </row>
    <row r="141">
      <c r="A141" s="7"/>
    </row>
    <row r="142">
      <c r="A142" s="7"/>
    </row>
    <row r="143">
      <c r="A143" s="7"/>
    </row>
    <row r="144">
      <c r="A144" s="7"/>
    </row>
    <row r="145">
      <c r="A145" s="7"/>
    </row>
    <row r="146">
      <c r="A146" s="7"/>
    </row>
    <row r="147">
      <c r="A147" s="7"/>
    </row>
    <row r="148">
      <c r="A148" s="7"/>
    </row>
    <row r="149">
      <c r="A149" s="7"/>
    </row>
    <row r="150">
      <c r="A150" s="7"/>
    </row>
    <row r="151">
      <c r="A151" s="7"/>
    </row>
    <row r="152">
      <c r="A152" s="7"/>
    </row>
    <row r="153">
      <c r="A153" s="7"/>
    </row>
    <row r="154">
      <c r="A154" s="7"/>
    </row>
    <row r="155">
      <c r="A155" s="7"/>
    </row>
    <row r="156">
      <c r="A156" s="7"/>
    </row>
    <row r="157">
      <c r="A157" s="7"/>
    </row>
    <row r="158">
      <c r="A158" s="7"/>
    </row>
    <row r="159">
      <c r="A159" s="7"/>
    </row>
    <row r="160">
      <c r="A160" s="7"/>
    </row>
    <row r="161">
      <c r="A161" s="7"/>
    </row>
    <row r="162">
      <c r="A162" s="7"/>
    </row>
    <row r="163">
      <c r="A163" s="7"/>
    </row>
    <row r="164">
      <c r="A164" s="7"/>
    </row>
    <row r="165">
      <c r="A165" s="7"/>
    </row>
    <row r="166">
      <c r="A166" s="7"/>
    </row>
    <row r="167">
      <c r="A167" s="7"/>
    </row>
    <row r="168">
      <c r="A168" s="7"/>
    </row>
    <row r="169">
      <c r="A169" s="7"/>
    </row>
    <row r="170">
      <c r="A170" s="7"/>
    </row>
    <row r="171">
      <c r="A171" s="7"/>
    </row>
    <row r="172">
      <c r="A172" s="7"/>
    </row>
    <row r="173">
      <c r="A173" s="7"/>
    </row>
    <row r="174">
      <c r="A174" s="7"/>
    </row>
    <row r="175">
      <c r="A175" s="7"/>
    </row>
    <row r="176">
      <c r="A176" s="7"/>
    </row>
    <row r="177">
      <c r="A177" s="7"/>
    </row>
    <row r="178">
      <c r="A178" s="7"/>
    </row>
    <row r="179">
      <c r="A179" s="7"/>
    </row>
    <row r="180">
      <c r="A180" s="7"/>
    </row>
    <row r="181">
      <c r="A181" s="7"/>
    </row>
    <row r="182">
      <c r="A182" s="7"/>
    </row>
    <row r="183">
      <c r="A183" s="7"/>
    </row>
    <row r="184">
      <c r="A184" s="7"/>
    </row>
    <row r="185">
      <c r="A185" s="7"/>
    </row>
    <row r="186">
      <c r="A186" s="7"/>
    </row>
    <row r="187">
      <c r="A187" s="7"/>
    </row>
    <row r="188">
      <c r="A188" s="7"/>
    </row>
    <row r="189">
      <c r="A189" s="7"/>
    </row>
    <row r="190">
      <c r="A190" s="7"/>
    </row>
    <row r="191">
      <c r="A191" s="7"/>
    </row>
    <row r="192">
      <c r="A192" s="7"/>
    </row>
    <row r="193">
      <c r="A193" s="7"/>
    </row>
    <row r="194">
      <c r="A194" s="7"/>
    </row>
    <row r="195">
      <c r="A195" s="7"/>
    </row>
    <row r="196">
      <c r="A196" s="7"/>
    </row>
    <row r="197">
      <c r="A197" s="7"/>
    </row>
    <row r="198">
      <c r="A198" s="7"/>
    </row>
    <row r="199">
      <c r="A199" s="7"/>
    </row>
    <row r="200">
      <c r="A200" s="7"/>
    </row>
    <row r="201">
      <c r="A201" s="7"/>
    </row>
    <row r="202">
      <c r="A202" s="7"/>
    </row>
    <row r="203">
      <c r="A203" s="7"/>
    </row>
    <row r="204">
      <c r="A204" s="7"/>
    </row>
    <row r="205">
      <c r="A205" s="7"/>
    </row>
    <row r="206">
      <c r="A206" s="7"/>
    </row>
    <row r="207">
      <c r="A207" s="7"/>
    </row>
    <row r="208">
      <c r="A208" s="7"/>
    </row>
    <row r="209">
      <c r="A209" s="7"/>
    </row>
    <row r="210">
      <c r="A210" s="7"/>
    </row>
    <row r="211">
      <c r="A211" s="7"/>
    </row>
    <row r="212">
      <c r="A212" s="7"/>
    </row>
    <row r="213">
      <c r="A213" s="7"/>
    </row>
    <row r="214">
      <c r="A214" s="7"/>
    </row>
    <row r="215">
      <c r="A215" s="7"/>
    </row>
    <row r="216">
      <c r="A216" s="7"/>
    </row>
    <row r="217">
      <c r="A217" s="7"/>
    </row>
    <row r="218">
      <c r="A218" s="7"/>
    </row>
    <row r="219">
      <c r="A219" s="7"/>
    </row>
    <row r="220">
      <c r="A220" s="7"/>
    </row>
    <row r="221">
      <c r="A221" s="7"/>
    </row>
    <row r="222">
      <c r="A222" s="7"/>
    </row>
    <row r="223">
      <c r="A223" s="7"/>
    </row>
    <row r="224">
      <c r="A224" s="7"/>
    </row>
    <row r="225">
      <c r="A225" s="7"/>
    </row>
    <row r="226">
      <c r="A226" s="7"/>
    </row>
    <row r="227">
      <c r="A227" s="7"/>
    </row>
    <row r="228">
      <c r="A228" s="7"/>
    </row>
    <row r="229">
      <c r="A229" s="7"/>
    </row>
    <row r="230">
      <c r="A230" s="7"/>
    </row>
    <row r="231">
      <c r="A231" s="7"/>
    </row>
    <row r="232">
      <c r="A232" s="7"/>
    </row>
    <row r="233">
      <c r="A233" s="7"/>
    </row>
    <row r="234">
      <c r="A234" s="7"/>
    </row>
    <row r="235">
      <c r="A235" s="7"/>
    </row>
    <row r="236">
      <c r="A236" s="7"/>
    </row>
    <row r="237">
      <c r="A237" s="7"/>
    </row>
    <row r="238">
      <c r="A238" s="7"/>
    </row>
    <row r="239">
      <c r="A239" s="7"/>
    </row>
    <row r="240">
      <c r="A240" s="7"/>
    </row>
    <row r="241">
      <c r="A241" s="7"/>
    </row>
    <row r="242">
      <c r="A242" s="7"/>
    </row>
    <row r="243">
      <c r="A243" s="7"/>
    </row>
    <row r="244">
      <c r="A244" s="7"/>
    </row>
    <row r="245">
      <c r="A245" s="7"/>
    </row>
    <row r="246">
      <c r="A246" s="7"/>
    </row>
    <row r="247">
      <c r="A247" s="7"/>
    </row>
    <row r="248">
      <c r="A248" s="7"/>
    </row>
    <row r="249">
      <c r="A249" s="7"/>
    </row>
    <row r="250">
      <c r="A250" s="7"/>
    </row>
    <row r="251">
      <c r="A251" s="7"/>
    </row>
    <row r="252">
      <c r="A252" s="7"/>
    </row>
    <row r="253">
      <c r="A253" s="7"/>
    </row>
    <row r="254">
      <c r="A254" s="7"/>
    </row>
    <row r="255">
      <c r="A255" s="7"/>
    </row>
    <row r="256">
      <c r="A256" s="7"/>
    </row>
    <row r="257">
      <c r="A257" s="7"/>
    </row>
    <row r="258">
      <c r="A258" s="7"/>
    </row>
    <row r="259">
      <c r="A259" s="7"/>
    </row>
    <row r="260">
      <c r="A260" s="7"/>
    </row>
    <row r="261">
      <c r="A261" s="7"/>
    </row>
    <row r="262">
      <c r="A262" s="7"/>
    </row>
    <row r="263">
      <c r="A263" s="7"/>
    </row>
    <row r="264">
      <c r="A264" s="7"/>
    </row>
    <row r="265">
      <c r="A265" s="7"/>
    </row>
    <row r="266">
      <c r="A266" s="7"/>
    </row>
    <row r="267">
      <c r="A267" s="7"/>
    </row>
    <row r="268">
      <c r="A268" s="7"/>
    </row>
    <row r="269">
      <c r="A269" s="7"/>
    </row>
    <row r="270">
      <c r="A270" s="7"/>
    </row>
    <row r="271">
      <c r="A271" s="7"/>
    </row>
    <row r="272">
      <c r="A272" s="7"/>
    </row>
    <row r="273">
      <c r="A273" s="7"/>
    </row>
    <row r="274">
      <c r="A274" s="7"/>
    </row>
    <row r="275">
      <c r="A275" s="7"/>
    </row>
    <row r="276">
      <c r="A276" s="7"/>
    </row>
    <row r="277">
      <c r="A277" s="7"/>
    </row>
    <row r="278">
      <c r="A278" s="7"/>
    </row>
    <row r="279">
      <c r="A279" s="7"/>
    </row>
    <row r="280">
      <c r="A280" s="7"/>
    </row>
    <row r="281">
      <c r="A281" s="7"/>
    </row>
    <row r="282">
      <c r="A282" s="7"/>
    </row>
    <row r="283">
      <c r="A283" s="7"/>
    </row>
    <row r="284">
      <c r="A284" s="7"/>
    </row>
    <row r="285">
      <c r="A285" s="7"/>
    </row>
    <row r="286">
      <c r="A286" s="7"/>
    </row>
    <row r="287">
      <c r="A287" s="7"/>
    </row>
    <row r="288">
      <c r="A288" s="7"/>
    </row>
    <row r="289">
      <c r="A289" s="7"/>
    </row>
    <row r="290">
      <c r="A290" s="7"/>
    </row>
    <row r="291">
      <c r="A291" s="7"/>
    </row>
    <row r="292">
      <c r="A292" s="7"/>
    </row>
    <row r="293">
      <c r="A293" s="7"/>
    </row>
    <row r="294">
      <c r="A294" s="7"/>
    </row>
    <row r="295">
      <c r="A295" s="7"/>
    </row>
    <row r="296">
      <c r="A296" s="7"/>
    </row>
    <row r="297">
      <c r="A297" s="7"/>
    </row>
    <row r="298">
      <c r="A298" s="7"/>
    </row>
    <row r="299">
      <c r="A299" s="7"/>
    </row>
    <row r="300">
      <c r="A300" s="7"/>
    </row>
    <row r="301">
      <c r="A301" s="7"/>
    </row>
    <row r="302">
      <c r="A302" s="7"/>
    </row>
    <row r="303">
      <c r="A303" s="7"/>
    </row>
    <row r="304">
      <c r="A304" s="7"/>
    </row>
    <row r="305">
      <c r="A305" s="7"/>
    </row>
    <row r="306">
      <c r="A306" s="7"/>
    </row>
    <row r="307">
      <c r="A307" s="7"/>
    </row>
    <row r="308">
      <c r="A308" s="7"/>
    </row>
    <row r="309">
      <c r="A309" s="7"/>
    </row>
    <row r="310">
      <c r="A310" s="7"/>
    </row>
    <row r="311">
      <c r="A311" s="7"/>
    </row>
    <row r="312">
      <c r="A312" s="7"/>
    </row>
    <row r="313">
      <c r="A313" s="7"/>
    </row>
    <row r="314">
      <c r="A314" s="7"/>
    </row>
    <row r="315">
      <c r="A315" s="7"/>
    </row>
    <row r="316">
      <c r="A316" s="7"/>
    </row>
    <row r="317">
      <c r="A317" s="7"/>
    </row>
    <row r="318">
      <c r="A318" s="7"/>
    </row>
    <row r="319">
      <c r="A319" s="7"/>
    </row>
    <row r="320">
      <c r="A320" s="7"/>
    </row>
    <row r="321">
      <c r="A321" s="7"/>
    </row>
    <row r="322">
      <c r="A322" s="7"/>
    </row>
    <row r="323">
      <c r="A323" s="7"/>
    </row>
    <row r="324">
      <c r="A324" s="7"/>
    </row>
    <row r="325">
      <c r="A325" s="7"/>
    </row>
    <row r="326">
      <c r="A326" s="7"/>
    </row>
    <row r="327">
      <c r="A327" s="7"/>
    </row>
    <row r="328">
      <c r="A328" s="7"/>
    </row>
    <row r="329">
      <c r="A329" s="7"/>
    </row>
    <row r="330">
      <c r="A330" s="7"/>
    </row>
    <row r="331">
      <c r="A331" s="7"/>
    </row>
    <row r="332">
      <c r="A332" s="7"/>
    </row>
    <row r="333">
      <c r="A333" s="7"/>
    </row>
    <row r="334">
      <c r="A334" s="7"/>
    </row>
    <row r="335">
      <c r="A335" s="7"/>
    </row>
    <row r="336">
      <c r="A336" s="7"/>
    </row>
    <row r="337">
      <c r="A337" s="7"/>
    </row>
    <row r="338">
      <c r="A338" s="7"/>
    </row>
    <row r="339">
      <c r="A339" s="7"/>
    </row>
    <row r="340">
      <c r="A340" s="7"/>
    </row>
    <row r="341">
      <c r="A341" s="7"/>
    </row>
    <row r="342">
      <c r="A342" s="7"/>
    </row>
    <row r="343">
      <c r="A343" s="7"/>
    </row>
    <row r="344">
      <c r="A344" s="7"/>
    </row>
    <row r="345">
      <c r="A345" s="7"/>
    </row>
    <row r="346">
      <c r="A346" s="7"/>
    </row>
    <row r="347">
      <c r="A347" s="7"/>
    </row>
    <row r="348">
      <c r="A348" s="7"/>
    </row>
    <row r="349">
      <c r="A349" s="7"/>
    </row>
    <row r="350">
      <c r="A350" s="7"/>
    </row>
    <row r="351">
      <c r="A351" s="7"/>
    </row>
    <row r="352">
      <c r="A352" s="7"/>
    </row>
    <row r="353">
      <c r="A353" s="7"/>
    </row>
    <row r="354">
      <c r="A354" s="7"/>
    </row>
    <row r="355">
      <c r="A355" s="7"/>
    </row>
    <row r="356">
      <c r="A356" s="7"/>
    </row>
    <row r="357">
      <c r="A357" s="7"/>
    </row>
    <row r="358">
      <c r="A358" s="7"/>
    </row>
    <row r="359">
      <c r="A359" s="7"/>
    </row>
    <row r="360">
      <c r="A360" s="7"/>
    </row>
    <row r="361">
      <c r="A361" s="7"/>
    </row>
    <row r="362">
      <c r="A362" s="7"/>
    </row>
    <row r="363">
      <c r="A363" s="7"/>
    </row>
    <row r="364">
      <c r="A364" s="7"/>
    </row>
    <row r="365">
      <c r="A365" s="7"/>
    </row>
    <row r="366">
      <c r="A366" s="7"/>
    </row>
    <row r="367">
      <c r="A367" s="7"/>
    </row>
    <row r="368">
      <c r="A368" s="7"/>
    </row>
    <row r="369">
      <c r="A369" s="7"/>
    </row>
    <row r="370">
      <c r="A370" s="7"/>
    </row>
    <row r="371">
      <c r="A371" s="7"/>
    </row>
    <row r="372">
      <c r="A372" s="7"/>
    </row>
    <row r="373">
      <c r="A373" s="7"/>
    </row>
    <row r="374">
      <c r="A374" s="7"/>
    </row>
    <row r="375">
      <c r="A375" s="7"/>
    </row>
    <row r="376">
      <c r="A376" s="7"/>
    </row>
    <row r="377">
      <c r="A377" s="7"/>
    </row>
    <row r="378">
      <c r="A378" s="7"/>
    </row>
    <row r="379">
      <c r="A379" s="7"/>
    </row>
    <row r="380">
      <c r="A380" s="7"/>
    </row>
    <row r="381">
      <c r="A381" s="7"/>
    </row>
    <row r="382">
      <c r="A382" s="7"/>
    </row>
    <row r="383">
      <c r="A383" s="7"/>
    </row>
    <row r="384">
      <c r="A384" s="7"/>
    </row>
    <row r="385">
      <c r="A385" s="7"/>
    </row>
    <row r="386">
      <c r="A386" s="7"/>
    </row>
    <row r="387">
      <c r="A387" s="7"/>
    </row>
    <row r="388">
      <c r="A388" s="7"/>
    </row>
    <row r="389">
      <c r="A389" s="7"/>
    </row>
    <row r="390">
      <c r="A390" s="7"/>
    </row>
    <row r="391">
      <c r="A391" s="7"/>
    </row>
    <row r="392">
      <c r="A392" s="7"/>
    </row>
    <row r="393">
      <c r="A393" s="7"/>
    </row>
    <row r="394">
      <c r="A394" s="7"/>
    </row>
    <row r="395">
      <c r="A395" s="7"/>
    </row>
    <row r="396">
      <c r="A396" s="7"/>
    </row>
    <row r="397">
      <c r="A397" s="7"/>
    </row>
    <row r="398">
      <c r="A398" s="7"/>
    </row>
    <row r="399">
      <c r="A399" s="7"/>
    </row>
    <row r="400">
      <c r="A400" s="7"/>
    </row>
    <row r="401">
      <c r="A401" s="7"/>
    </row>
    <row r="402">
      <c r="A402" s="7"/>
    </row>
    <row r="403">
      <c r="A403" s="7"/>
    </row>
    <row r="404">
      <c r="A404" s="7"/>
    </row>
    <row r="405">
      <c r="A405" s="7"/>
    </row>
    <row r="406">
      <c r="A406" s="7"/>
    </row>
    <row r="407">
      <c r="A407" s="7"/>
    </row>
    <row r="408">
      <c r="A408" s="7"/>
    </row>
    <row r="409">
      <c r="A409" s="7"/>
    </row>
    <row r="410">
      <c r="A410" s="7"/>
    </row>
    <row r="411">
      <c r="A411" s="7"/>
    </row>
    <row r="412">
      <c r="A412" s="7"/>
    </row>
    <row r="413">
      <c r="A413" s="7"/>
    </row>
    <row r="414">
      <c r="A414" s="7"/>
    </row>
    <row r="415">
      <c r="A415" s="7"/>
    </row>
    <row r="416">
      <c r="A416" s="7"/>
    </row>
    <row r="417">
      <c r="A417" s="7"/>
    </row>
    <row r="418">
      <c r="A418" s="7"/>
    </row>
    <row r="419">
      <c r="A419" s="7"/>
    </row>
    <row r="420">
      <c r="A420" s="7"/>
    </row>
    <row r="421">
      <c r="A421" s="7"/>
    </row>
    <row r="422">
      <c r="A422" s="7"/>
    </row>
    <row r="423">
      <c r="A423" s="7"/>
    </row>
    <row r="424">
      <c r="A424" s="7"/>
    </row>
    <row r="425">
      <c r="A425" s="7"/>
    </row>
    <row r="426">
      <c r="A426" s="7"/>
    </row>
    <row r="427">
      <c r="A427" s="7"/>
    </row>
    <row r="428">
      <c r="A428" s="7"/>
    </row>
    <row r="429">
      <c r="A429" s="7"/>
    </row>
    <row r="430">
      <c r="A430" s="7"/>
    </row>
    <row r="431">
      <c r="A431" s="7"/>
    </row>
    <row r="432">
      <c r="A432" s="7"/>
    </row>
    <row r="433">
      <c r="A433" s="7"/>
    </row>
    <row r="434">
      <c r="A434" s="7"/>
    </row>
    <row r="435">
      <c r="A435" s="7"/>
    </row>
    <row r="436">
      <c r="A436" s="7"/>
    </row>
    <row r="437">
      <c r="A437" s="7"/>
    </row>
    <row r="438">
      <c r="A438" s="7"/>
    </row>
    <row r="439">
      <c r="A439" s="7"/>
    </row>
    <row r="440">
      <c r="A440" s="7"/>
    </row>
    <row r="441">
      <c r="A441" s="7"/>
    </row>
    <row r="442">
      <c r="A442" s="7"/>
    </row>
    <row r="443">
      <c r="A443" s="7"/>
    </row>
    <row r="444">
      <c r="A444" s="7"/>
    </row>
    <row r="445">
      <c r="A445" s="7"/>
    </row>
    <row r="446">
      <c r="A446" s="7"/>
    </row>
    <row r="447">
      <c r="A447" s="7"/>
    </row>
    <row r="448">
      <c r="A448" s="7"/>
    </row>
    <row r="449">
      <c r="A449" s="7"/>
    </row>
    <row r="450">
      <c r="A450" s="7"/>
    </row>
    <row r="451">
      <c r="A451" s="7"/>
    </row>
    <row r="452">
      <c r="A452" s="7"/>
    </row>
    <row r="453">
      <c r="A453" s="7"/>
    </row>
    <row r="454">
      <c r="A454" s="7"/>
    </row>
    <row r="455">
      <c r="A455" s="7"/>
    </row>
    <row r="456">
      <c r="A456" s="7"/>
    </row>
    <row r="457">
      <c r="A457" s="7"/>
    </row>
    <row r="458">
      <c r="A458" s="7"/>
    </row>
    <row r="459">
      <c r="A459" s="7"/>
    </row>
    <row r="460">
      <c r="A460" s="7"/>
    </row>
    <row r="461">
      <c r="A461" s="7"/>
    </row>
    <row r="462">
      <c r="A462" s="7"/>
    </row>
    <row r="463">
      <c r="A463" s="7"/>
    </row>
    <row r="464">
      <c r="A464" s="7"/>
    </row>
    <row r="465">
      <c r="A465" s="7"/>
    </row>
    <row r="466">
      <c r="A466" s="7"/>
    </row>
    <row r="467">
      <c r="A467" s="7"/>
    </row>
    <row r="468">
      <c r="A468" s="7"/>
    </row>
    <row r="469">
      <c r="A469" s="7"/>
    </row>
    <row r="470">
      <c r="A470" s="7"/>
    </row>
    <row r="471">
      <c r="A471" s="7"/>
    </row>
    <row r="472">
      <c r="A472" s="7"/>
    </row>
    <row r="473">
      <c r="A473" s="7"/>
    </row>
    <row r="474">
      <c r="A474" s="7"/>
    </row>
    <row r="475">
      <c r="A475" s="7"/>
    </row>
    <row r="476">
      <c r="A476" s="7"/>
    </row>
    <row r="477">
      <c r="A477" s="7"/>
    </row>
    <row r="478">
      <c r="A478" s="7"/>
    </row>
    <row r="479">
      <c r="A479" s="7"/>
    </row>
    <row r="480">
      <c r="A480" s="7"/>
    </row>
    <row r="481">
      <c r="A481" s="7"/>
    </row>
    <row r="482">
      <c r="A482" s="7"/>
    </row>
    <row r="483">
      <c r="A483" s="7"/>
    </row>
    <row r="484">
      <c r="A484" s="7"/>
    </row>
    <row r="485">
      <c r="A485" s="7"/>
    </row>
    <row r="486">
      <c r="A486" s="7"/>
    </row>
    <row r="487">
      <c r="A487" s="7"/>
    </row>
    <row r="488">
      <c r="A488" s="7"/>
    </row>
    <row r="489">
      <c r="A489" s="7"/>
    </row>
    <row r="490">
      <c r="A490" s="7"/>
    </row>
    <row r="491">
      <c r="A491" s="7"/>
    </row>
    <row r="492">
      <c r="A492" s="7"/>
    </row>
    <row r="493">
      <c r="A493" s="7"/>
    </row>
    <row r="494">
      <c r="A494" s="7"/>
    </row>
    <row r="495">
      <c r="A495" s="7"/>
    </row>
    <row r="496">
      <c r="A496" s="7"/>
    </row>
    <row r="497">
      <c r="A497" s="7"/>
    </row>
    <row r="498">
      <c r="A498" s="7"/>
    </row>
    <row r="499">
      <c r="A499" s="7"/>
    </row>
    <row r="500">
      <c r="A500" s="7"/>
    </row>
    <row r="501">
      <c r="A501" s="7"/>
    </row>
    <row r="502">
      <c r="A502" s="7"/>
    </row>
    <row r="503">
      <c r="A503" s="7"/>
    </row>
    <row r="504">
      <c r="A504" s="7"/>
    </row>
    <row r="505">
      <c r="A505" s="7"/>
    </row>
    <row r="506">
      <c r="A506" s="7"/>
    </row>
    <row r="507">
      <c r="A507" s="7"/>
    </row>
    <row r="508">
      <c r="A508" s="7"/>
    </row>
    <row r="509">
      <c r="A509" s="7"/>
    </row>
    <row r="510">
      <c r="A510" s="7"/>
    </row>
    <row r="511">
      <c r="A511" s="7"/>
    </row>
    <row r="512">
      <c r="A512" s="7"/>
    </row>
    <row r="513">
      <c r="A513" s="7"/>
    </row>
    <row r="514">
      <c r="A514" s="7"/>
    </row>
    <row r="515">
      <c r="A515" s="7"/>
    </row>
    <row r="516">
      <c r="A516" s="7"/>
    </row>
    <row r="517">
      <c r="A517" s="7"/>
    </row>
    <row r="518">
      <c r="A518" s="7"/>
    </row>
    <row r="519">
      <c r="A519" s="7"/>
    </row>
    <row r="520">
      <c r="A520" s="7"/>
    </row>
    <row r="521">
      <c r="A521" s="7"/>
    </row>
    <row r="522">
      <c r="A522" s="7"/>
    </row>
    <row r="523">
      <c r="A523" s="7"/>
    </row>
    <row r="524">
      <c r="A524" s="7"/>
    </row>
    <row r="525">
      <c r="A525" s="7"/>
    </row>
    <row r="526">
      <c r="A526" s="7"/>
    </row>
    <row r="527">
      <c r="A527" s="7"/>
    </row>
    <row r="528">
      <c r="A528" s="7"/>
    </row>
    <row r="529">
      <c r="A529" s="7"/>
    </row>
    <row r="530">
      <c r="A530" s="7"/>
    </row>
    <row r="531">
      <c r="A531" s="7"/>
    </row>
    <row r="532">
      <c r="A532" s="7"/>
    </row>
    <row r="533">
      <c r="A533" s="7"/>
    </row>
    <row r="534">
      <c r="A534" s="7"/>
    </row>
    <row r="535">
      <c r="A535" s="7"/>
    </row>
    <row r="536">
      <c r="A536" s="7"/>
    </row>
    <row r="537">
      <c r="A537" s="7"/>
    </row>
    <row r="538">
      <c r="A538" s="7"/>
    </row>
    <row r="539">
      <c r="A539" s="7"/>
    </row>
    <row r="540">
      <c r="A540" s="7"/>
    </row>
    <row r="541">
      <c r="A541" s="7"/>
    </row>
    <row r="542">
      <c r="A542" s="7"/>
    </row>
    <row r="543">
      <c r="A543" s="7"/>
    </row>
    <row r="544">
      <c r="A544" s="7"/>
    </row>
    <row r="545">
      <c r="A545" s="7"/>
    </row>
    <row r="546">
      <c r="A546" s="7"/>
    </row>
    <row r="547">
      <c r="A547" s="7"/>
    </row>
    <row r="548">
      <c r="A548" s="7"/>
    </row>
    <row r="549">
      <c r="A549" s="7"/>
    </row>
    <row r="550">
      <c r="A550" s="7"/>
    </row>
    <row r="551">
      <c r="A551" s="7"/>
    </row>
    <row r="552">
      <c r="A552" s="7"/>
    </row>
    <row r="553">
      <c r="A553" s="7"/>
    </row>
    <row r="554">
      <c r="A554" s="7"/>
    </row>
    <row r="555">
      <c r="A555" s="7"/>
    </row>
    <row r="556">
      <c r="A556" s="7"/>
    </row>
    <row r="557">
      <c r="A557" s="7"/>
    </row>
    <row r="558">
      <c r="A558" s="7"/>
    </row>
    <row r="559">
      <c r="A559" s="7"/>
    </row>
    <row r="560">
      <c r="A560" s="7"/>
    </row>
    <row r="561">
      <c r="A561" s="7"/>
    </row>
    <row r="562">
      <c r="A562" s="7"/>
    </row>
    <row r="563">
      <c r="A563" s="7"/>
    </row>
    <row r="564">
      <c r="A564" s="7"/>
    </row>
    <row r="565">
      <c r="A565" s="7"/>
    </row>
    <row r="566">
      <c r="A566" s="7"/>
    </row>
    <row r="567">
      <c r="A567" s="7"/>
    </row>
    <row r="568">
      <c r="A568" s="7"/>
    </row>
    <row r="569">
      <c r="A569" s="7"/>
    </row>
    <row r="570">
      <c r="A570" s="7"/>
    </row>
    <row r="571">
      <c r="A571" s="7"/>
    </row>
    <row r="572">
      <c r="A572" s="7"/>
    </row>
    <row r="573">
      <c r="A573" s="7"/>
    </row>
    <row r="574">
      <c r="A574" s="7"/>
    </row>
    <row r="575">
      <c r="A575" s="7"/>
    </row>
    <row r="576">
      <c r="A576" s="7"/>
    </row>
    <row r="577">
      <c r="A577" s="7"/>
    </row>
    <row r="578">
      <c r="A578" s="7"/>
    </row>
    <row r="579">
      <c r="A579" s="7"/>
    </row>
    <row r="580">
      <c r="A580" s="7"/>
    </row>
    <row r="581">
      <c r="A581" s="7"/>
    </row>
    <row r="582">
      <c r="A582" s="7"/>
    </row>
    <row r="583">
      <c r="A583" s="7"/>
    </row>
    <row r="584">
      <c r="A584" s="7"/>
    </row>
    <row r="585">
      <c r="A585" s="7"/>
    </row>
    <row r="586">
      <c r="A586" s="7"/>
    </row>
    <row r="587">
      <c r="A587" s="7"/>
    </row>
    <row r="588">
      <c r="A588" s="7"/>
    </row>
    <row r="589">
      <c r="A589" s="7"/>
    </row>
    <row r="590">
      <c r="A590" s="7"/>
    </row>
    <row r="591">
      <c r="A591" s="7"/>
    </row>
    <row r="592">
      <c r="A592" s="7"/>
    </row>
    <row r="593">
      <c r="A593" s="7"/>
    </row>
    <row r="594">
      <c r="A594" s="7"/>
    </row>
    <row r="595">
      <c r="A595" s="7"/>
    </row>
    <row r="596">
      <c r="A596" s="7"/>
    </row>
    <row r="597">
      <c r="A597" s="7"/>
    </row>
    <row r="598">
      <c r="A598" s="7"/>
    </row>
    <row r="599">
      <c r="A599" s="7"/>
    </row>
    <row r="600">
      <c r="A600" s="7"/>
    </row>
    <row r="601">
      <c r="A601" s="7"/>
    </row>
    <row r="602">
      <c r="A602" s="7"/>
    </row>
    <row r="603">
      <c r="A603" s="7"/>
    </row>
    <row r="604">
      <c r="A604" s="7"/>
    </row>
    <row r="605">
      <c r="A605" s="7"/>
    </row>
    <row r="606">
      <c r="A606" s="7"/>
    </row>
    <row r="607">
      <c r="A607" s="7"/>
    </row>
    <row r="608">
      <c r="A608" s="7"/>
    </row>
    <row r="609">
      <c r="A609" s="7"/>
    </row>
    <row r="610">
      <c r="A610" s="7"/>
    </row>
    <row r="611">
      <c r="A611" s="7"/>
    </row>
    <row r="612">
      <c r="A612" s="7"/>
    </row>
    <row r="613">
      <c r="A613" s="7"/>
    </row>
    <row r="614">
      <c r="A614" s="7"/>
    </row>
    <row r="615">
      <c r="A615" s="7"/>
    </row>
    <row r="616">
      <c r="A616" s="7"/>
    </row>
    <row r="617">
      <c r="A617" s="7"/>
    </row>
    <row r="618">
      <c r="A618" s="7"/>
    </row>
    <row r="619">
      <c r="A619" s="7"/>
    </row>
    <row r="620">
      <c r="A620" s="7"/>
    </row>
    <row r="621">
      <c r="A621" s="7"/>
    </row>
    <row r="622">
      <c r="A622" s="7"/>
    </row>
    <row r="623">
      <c r="A623" s="7"/>
    </row>
    <row r="624">
      <c r="A624" s="7"/>
    </row>
    <row r="625">
      <c r="A625" s="7"/>
    </row>
    <row r="626">
      <c r="A626" s="7"/>
    </row>
    <row r="627">
      <c r="A627" s="7"/>
    </row>
    <row r="628">
      <c r="A628" s="7"/>
    </row>
    <row r="629">
      <c r="A629" s="7"/>
    </row>
    <row r="630">
      <c r="A630" s="7"/>
    </row>
    <row r="631">
      <c r="A631" s="7"/>
    </row>
    <row r="632">
      <c r="A632" s="7"/>
    </row>
    <row r="633">
      <c r="A633" s="7"/>
    </row>
    <row r="634">
      <c r="A634" s="7"/>
    </row>
    <row r="635">
      <c r="A635" s="7"/>
    </row>
    <row r="636">
      <c r="A636" s="7"/>
    </row>
    <row r="637">
      <c r="A637" s="7"/>
    </row>
    <row r="638">
      <c r="A638" s="7"/>
    </row>
    <row r="639">
      <c r="A639" s="7"/>
    </row>
    <row r="640">
      <c r="A640" s="7"/>
    </row>
    <row r="641">
      <c r="A641" s="7"/>
    </row>
    <row r="642">
      <c r="A642" s="7"/>
    </row>
    <row r="643">
      <c r="A643" s="7"/>
    </row>
    <row r="644">
      <c r="A644" s="7"/>
    </row>
    <row r="645">
      <c r="A645" s="7"/>
    </row>
    <row r="646">
      <c r="A646" s="7"/>
    </row>
    <row r="647">
      <c r="A647" s="7"/>
    </row>
    <row r="648">
      <c r="A648" s="7"/>
    </row>
    <row r="649">
      <c r="A649" s="7"/>
    </row>
    <row r="650">
      <c r="A650" s="7"/>
    </row>
    <row r="651">
      <c r="A651" s="7"/>
    </row>
    <row r="652">
      <c r="A652" s="7"/>
    </row>
    <row r="653">
      <c r="A653" s="7"/>
    </row>
    <row r="654">
      <c r="A654" s="7"/>
    </row>
    <row r="655">
      <c r="A655" s="7"/>
    </row>
    <row r="656">
      <c r="A656" s="7"/>
    </row>
    <row r="657">
      <c r="A657" s="7"/>
    </row>
    <row r="658">
      <c r="A658" s="7"/>
    </row>
    <row r="659">
      <c r="A659" s="7"/>
    </row>
    <row r="660">
      <c r="A660" s="7"/>
    </row>
    <row r="661">
      <c r="A661" s="7"/>
    </row>
    <row r="662">
      <c r="A662" s="7"/>
    </row>
    <row r="663">
      <c r="A663" s="7"/>
    </row>
    <row r="664">
      <c r="A664" s="7"/>
    </row>
    <row r="665">
      <c r="A665" s="7"/>
    </row>
    <row r="666">
      <c r="A666" s="7"/>
    </row>
    <row r="667">
      <c r="A667" s="7"/>
    </row>
    <row r="668">
      <c r="A668" s="7"/>
    </row>
    <row r="669">
      <c r="A669" s="7"/>
    </row>
    <row r="670">
      <c r="A670" s="7"/>
    </row>
    <row r="671">
      <c r="A671" s="7"/>
    </row>
    <row r="672">
      <c r="A672" s="7"/>
    </row>
    <row r="673">
      <c r="A673" s="7"/>
    </row>
    <row r="674">
      <c r="A674" s="7"/>
    </row>
    <row r="675">
      <c r="A675" s="7"/>
    </row>
    <row r="676">
      <c r="A676" s="7"/>
    </row>
    <row r="677">
      <c r="A677" s="7"/>
    </row>
    <row r="678">
      <c r="A678" s="7"/>
    </row>
    <row r="679">
      <c r="A679" s="7"/>
    </row>
    <row r="680">
      <c r="A680" s="7"/>
    </row>
    <row r="681">
      <c r="A681" s="7"/>
    </row>
    <row r="682">
      <c r="A682" s="7"/>
    </row>
    <row r="683">
      <c r="A683" s="7"/>
    </row>
    <row r="684">
      <c r="A684" s="7"/>
    </row>
    <row r="685">
      <c r="A685" s="7"/>
    </row>
    <row r="686">
      <c r="A686" s="7"/>
    </row>
    <row r="687">
      <c r="A687" s="7"/>
    </row>
    <row r="688">
      <c r="A688" s="7"/>
    </row>
    <row r="689">
      <c r="A689" s="7"/>
    </row>
    <row r="690">
      <c r="A690" s="7"/>
    </row>
    <row r="691">
      <c r="A691" s="7"/>
    </row>
    <row r="692">
      <c r="A692" s="7"/>
    </row>
    <row r="693">
      <c r="A693" s="7"/>
    </row>
    <row r="694">
      <c r="A694" s="7"/>
    </row>
    <row r="695">
      <c r="A695" s="7"/>
    </row>
    <row r="696">
      <c r="A696" s="7"/>
    </row>
    <row r="697">
      <c r="A697" s="7"/>
    </row>
    <row r="698">
      <c r="A698" s="7"/>
    </row>
    <row r="699">
      <c r="A699" s="7"/>
    </row>
    <row r="700">
      <c r="A700" s="7"/>
    </row>
    <row r="701">
      <c r="A701" s="7"/>
    </row>
    <row r="702">
      <c r="A702" s="7"/>
    </row>
    <row r="703">
      <c r="A703" s="7"/>
    </row>
    <row r="704">
      <c r="A704" s="7"/>
    </row>
    <row r="705">
      <c r="A705" s="7"/>
    </row>
    <row r="706">
      <c r="A706" s="7"/>
    </row>
    <row r="707">
      <c r="A707" s="7"/>
    </row>
    <row r="708">
      <c r="A708" s="7"/>
    </row>
    <row r="709">
      <c r="A709" s="7"/>
    </row>
    <row r="710">
      <c r="A710" s="7"/>
    </row>
    <row r="711">
      <c r="A711" s="7"/>
    </row>
    <row r="712">
      <c r="A712" s="7"/>
    </row>
    <row r="713">
      <c r="A713" s="7"/>
    </row>
    <row r="714">
      <c r="A714" s="7"/>
    </row>
    <row r="715">
      <c r="A715" s="7"/>
    </row>
    <row r="716">
      <c r="A716" s="7"/>
    </row>
    <row r="717">
      <c r="A717" s="7"/>
    </row>
    <row r="718">
      <c r="A718" s="7"/>
    </row>
    <row r="719">
      <c r="A719" s="7"/>
    </row>
    <row r="720">
      <c r="A720" s="7"/>
    </row>
    <row r="721">
      <c r="A721" s="7"/>
    </row>
    <row r="722">
      <c r="A722" s="7"/>
    </row>
    <row r="723">
      <c r="A723" s="7"/>
    </row>
    <row r="724">
      <c r="A724" s="7"/>
    </row>
    <row r="725">
      <c r="A725" s="7"/>
    </row>
    <row r="726">
      <c r="A726" s="7"/>
    </row>
    <row r="727">
      <c r="A727" s="7"/>
    </row>
    <row r="728">
      <c r="A728" s="7"/>
    </row>
    <row r="729">
      <c r="A729" s="7"/>
    </row>
    <row r="730">
      <c r="A730" s="7"/>
    </row>
    <row r="731">
      <c r="A731" s="7"/>
    </row>
    <row r="732">
      <c r="A732" s="7"/>
    </row>
    <row r="733">
      <c r="A733" s="7"/>
    </row>
    <row r="734">
      <c r="A734" s="7"/>
    </row>
    <row r="735">
      <c r="A735" s="7"/>
    </row>
    <row r="736">
      <c r="A736" s="7"/>
    </row>
    <row r="737">
      <c r="A737" s="7"/>
    </row>
    <row r="738">
      <c r="A738" s="7"/>
    </row>
    <row r="739">
      <c r="A739" s="7"/>
    </row>
    <row r="740">
      <c r="A740" s="7"/>
    </row>
    <row r="741">
      <c r="A741" s="7"/>
    </row>
    <row r="742">
      <c r="A742" s="7"/>
    </row>
    <row r="743">
      <c r="A743" s="7"/>
    </row>
    <row r="744">
      <c r="A744" s="7"/>
    </row>
    <row r="745">
      <c r="A745" s="7"/>
    </row>
    <row r="746">
      <c r="A746" s="7"/>
    </row>
    <row r="747">
      <c r="A747" s="7"/>
    </row>
    <row r="748">
      <c r="A748" s="7"/>
    </row>
    <row r="749">
      <c r="A749" s="7"/>
    </row>
    <row r="750">
      <c r="A750" s="7"/>
    </row>
    <row r="751">
      <c r="A751" s="7"/>
    </row>
    <row r="752">
      <c r="A752" s="7"/>
    </row>
    <row r="753">
      <c r="A753" s="7"/>
    </row>
    <row r="754">
      <c r="A754" s="7"/>
    </row>
    <row r="755">
      <c r="A755" s="7"/>
    </row>
    <row r="756">
      <c r="A756" s="7"/>
    </row>
    <row r="757">
      <c r="A757" s="7"/>
    </row>
    <row r="758">
      <c r="A758" s="7"/>
    </row>
    <row r="759">
      <c r="A759" s="7"/>
    </row>
    <row r="760">
      <c r="A760" s="7"/>
    </row>
    <row r="761">
      <c r="A761" s="7"/>
    </row>
    <row r="762">
      <c r="A762" s="7"/>
    </row>
    <row r="763">
      <c r="A763" s="7"/>
    </row>
    <row r="764">
      <c r="A764" s="7"/>
    </row>
    <row r="765">
      <c r="A765" s="7"/>
    </row>
    <row r="766">
      <c r="A766" s="7"/>
    </row>
    <row r="767">
      <c r="A767" s="7"/>
    </row>
    <row r="768">
      <c r="A768" s="7"/>
    </row>
    <row r="769">
      <c r="A769" s="7"/>
    </row>
    <row r="770">
      <c r="A770" s="7"/>
    </row>
    <row r="771">
      <c r="A771" s="7"/>
    </row>
    <row r="772">
      <c r="A772" s="7"/>
    </row>
    <row r="773">
      <c r="A773" s="7"/>
    </row>
    <row r="774">
      <c r="A774" s="7"/>
    </row>
    <row r="775">
      <c r="A775" s="7"/>
    </row>
    <row r="776">
      <c r="A776" s="7"/>
    </row>
    <row r="777">
      <c r="A777" s="7"/>
    </row>
    <row r="778">
      <c r="A778" s="7"/>
    </row>
    <row r="779">
      <c r="A779" s="7"/>
    </row>
    <row r="780">
      <c r="A780" s="7"/>
    </row>
    <row r="781">
      <c r="A781" s="7"/>
    </row>
    <row r="782">
      <c r="A782" s="7"/>
    </row>
    <row r="783">
      <c r="A783" s="7"/>
    </row>
    <row r="784">
      <c r="A784" s="7"/>
    </row>
    <row r="785">
      <c r="A785" s="7"/>
    </row>
    <row r="786">
      <c r="A786" s="7"/>
    </row>
    <row r="787">
      <c r="A787" s="7"/>
    </row>
    <row r="788">
      <c r="A788" s="7"/>
    </row>
    <row r="789">
      <c r="A789" s="7"/>
    </row>
    <row r="790">
      <c r="A790" s="7"/>
    </row>
    <row r="791">
      <c r="A791" s="7"/>
    </row>
    <row r="792">
      <c r="A792" s="7"/>
    </row>
    <row r="793">
      <c r="A793" s="7"/>
    </row>
    <row r="794">
      <c r="A794" s="7"/>
    </row>
    <row r="795">
      <c r="A795" s="7"/>
    </row>
    <row r="796">
      <c r="A796" s="7"/>
    </row>
    <row r="797">
      <c r="A797" s="7"/>
    </row>
    <row r="798">
      <c r="A798" s="7"/>
    </row>
    <row r="799">
      <c r="A799" s="7"/>
    </row>
    <row r="800">
      <c r="A800" s="7"/>
    </row>
    <row r="801">
      <c r="A801" s="7"/>
    </row>
    <row r="802">
      <c r="A802" s="7"/>
    </row>
    <row r="803">
      <c r="A803" s="7"/>
    </row>
    <row r="804">
      <c r="A804" s="7"/>
    </row>
    <row r="805">
      <c r="A805" s="7"/>
    </row>
    <row r="806">
      <c r="A806" s="7"/>
    </row>
    <row r="807">
      <c r="A807" s="7"/>
    </row>
    <row r="808">
      <c r="A808" s="7"/>
    </row>
    <row r="809">
      <c r="A809" s="7"/>
    </row>
    <row r="810">
      <c r="A810" s="7"/>
    </row>
    <row r="811">
      <c r="A811" s="7"/>
    </row>
    <row r="812">
      <c r="A812" s="7"/>
    </row>
    <row r="813">
      <c r="A813" s="7"/>
    </row>
    <row r="814">
      <c r="A814" s="7"/>
    </row>
    <row r="815">
      <c r="A815" s="7"/>
    </row>
    <row r="816">
      <c r="A816" s="7"/>
    </row>
    <row r="817">
      <c r="A817" s="7"/>
    </row>
    <row r="818">
      <c r="A818" s="7"/>
    </row>
    <row r="819">
      <c r="A819" s="7"/>
    </row>
    <row r="820">
      <c r="A820" s="7"/>
    </row>
    <row r="821">
      <c r="A821" s="7"/>
    </row>
    <row r="822">
      <c r="A822" s="7"/>
    </row>
    <row r="823">
      <c r="A823" s="7"/>
    </row>
    <row r="824">
      <c r="A824" s="7"/>
    </row>
    <row r="825">
      <c r="A825" s="7"/>
    </row>
    <row r="826">
      <c r="A826" s="7"/>
    </row>
    <row r="827">
      <c r="A827" s="7"/>
    </row>
    <row r="828">
      <c r="A828" s="7"/>
    </row>
    <row r="829">
      <c r="A829" s="7"/>
    </row>
    <row r="830">
      <c r="A830" s="7"/>
    </row>
    <row r="831">
      <c r="A831" s="7"/>
    </row>
    <row r="832">
      <c r="A832" s="7"/>
    </row>
    <row r="833">
      <c r="A833" s="7"/>
    </row>
    <row r="834">
      <c r="A834" s="7"/>
    </row>
    <row r="835">
      <c r="A835" s="7"/>
    </row>
    <row r="836">
      <c r="A836" s="7"/>
    </row>
    <row r="837">
      <c r="A837" s="7"/>
    </row>
    <row r="838">
      <c r="A838" s="7"/>
    </row>
    <row r="839">
      <c r="A839" s="7"/>
    </row>
    <row r="840">
      <c r="A840" s="7"/>
    </row>
    <row r="841">
      <c r="A841" s="7"/>
    </row>
    <row r="842">
      <c r="A842" s="7"/>
    </row>
    <row r="843">
      <c r="A843" s="7"/>
    </row>
    <row r="844">
      <c r="A844" s="7"/>
    </row>
    <row r="845">
      <c r="A845" s="7"/>
    </row>
    <row r="846">
      <c r="A846" s="7"/>
    </row>
    <row r="847">
      <c r="A847" s="7"/>
    </row>
    <row r="848">
      <c r="A848" s="7"/>
    </row>
    <row r="849">
      <c r="A849" s="7"/>
    </row>
    <row r="850">
      <c r="A850" s="7"/>
    </row>
    <row r="851">
      <c r="A851" s="7"/>
    </row>
    <row r="852">
      <c r="A852" s="7"/>
    </row>
    <row r="853">
      <c r="A853" s="7"/>
    </row>
    <row r="854">
      <c r="A854" s="7"/>
    </row>
    <row r="855">
      <c r="A855" s="7"/>
    </row>
    <row r="856">
      <c r="A856" s="7"/>
    </row>
    <row r="857">
      <c r="A857" s="7"/>
    </row>
    <row r="858">
      <c r="A858" s="7"/>
    </row>
    <row r="859">
      <c r="A859" s="7"/>
    </row>
    <row r="860">
      <c r="A860" s="7"/>
    </row>
    <row r="861">
      <c r="A861" s="7"/>
    </row>
    <row r="862">
      <c r="A862" s="7"/>
    </row>
    <row r="863">
      <c r="A863" s="7"/>
    </row>
    <row r="864">
      <c r="A864" s="7"/>
    </row>
    <row r="865">
      <c r="A865" s="7"/>
    </row>
    <row r="866">
      <c r="A866" s="7"/>
    </row>
    <row r="867">
      <c r="A867" s="7"/>
    </row>
    <row r="868">
      <c r="A868" s="7"/>
    </row>
    <row r="869">
      <c r="A869" s="7"/>
    </row>
    <row r="870">
      <c r="A870" s="7"/>
    </row>
    <row r="871">
      <c r="A871" s="7"/>
    </row>
    <row r="872">
      <c r="A872" s="7"/>
    </row>
    <row r="873">
      <c r="A873" s="7"/>
    </row>
    <row r="874">
      <c r="A874" s="7"/>
    </row>
    <row r="875">
      <c r="A875" s="7"/>
    </row>
    <row r="876">
      <c r="A876" s="7"/>
    </row>
    <row r="877">
      <c r="A877" s="7"/>
    </row>
    <row r="878">
      <c r="A878" s="7"/>
    </row>
    <row r="879">
      <c r="A879" s="7"/>
    </row>
    <row r="880">
      <c r="A880" s="7"/>
    </row>
    <row r="881">
      <c r="A881" s="7"/>
    </row>
    <row r="882">
      <c r="A882" s="7"/>
    </row>
    <row r="883">
      <c r="A883" s="7"/>
    </row>
    <row r="884">
      <c r="A884" s="7"/>
    </row>
    <row r="885">
      <c r="A885" s="7"/>
    </row>
    <row r="886">
      <c r="A886" s="7"/>
    </row>
    <row r="887">
      <c r="A887" s="7"/>
    </row>
    <row r="888">
      <c r="A888" s="7"/>
    </row>
    <row r="889">
      <c r="A889" s="7"/>
    </row>
    <row r="890">
      <c r="A890" s="7"/>
    </row>
    <row r="891">
      <c r="A891" s="7"/>
    </row>
    <row r="892">
      <c r="A892" s="7"/>
    </row>
    <row r="893">
      <c r="A893" s="7"/>
    </row>
    <row r="894">
      <c r="A894" s="7"/>
    </row>
    <row r="895">
      <c r="A895" s="7"/>
    </row>
    <row r="896">
      <c r="A896" s="7"/>
    </row>
    <row r="897">
      <c r="A897" s="7"/>
    </row>
    <row r="898">
      <c r="A898" s="7"/>
    </row>
    <row r="899">
      <c r="A899" s="7"/>
    </row>
    <row r="900">
      <c r="A900" s="7"/>
    </row>
    <row r="901">
      <c r="A901" s="7"/>
    </row>
    <row r="902">
      <c r="A902" s="7"/>
    </row>
    <row r="903">
      <c r="A903" s="7"/>
    </row>
    <row r="904">
      <c r="A904" s="7"/>
    </row>
    <row r="905">
      <c r="A905" s="7"/>
    </row>
    <row r="906">
      <c r="A906" s="7"/>
    </row>
    <row r="907">
      <c r="A907" s="7"/>
    </row>
    <row r="908">
      <c r="A908" s="7"/>
    </row>
    <row r="909">
      <c r="A909" s="7"/>
    </row>
    <row r="910">
      <c r="A910" s="7"/>
    </row>
    <row r="911">
      <c r="A911" s="7"/>
    </row>
    <row r="912">
      <c r="A912" s="7"/>
    </row>
    <row r="913">
      <c r="A913" s="7"/>
    </row>
    <row r="914">
      <c r="A914" s="7"/>
    </row>
    <row r="915">
      <c r="A915" s="7"/>
    </row>
    <row r="916">
      <c r="A916" s="7"/>
    </row>
    <row r="917">
      <c r="A917" s="7"/>
    </row>
    <row r="918">
      <c r="A918" s="7"/>
    </row>
    <row r="919">
      <c r="A919" s="7"/>
    </row>
    <row r="920">
      <c r="A920" s="7"/>
    </row>
    <row r="921">
      <c r="A921" s="7"/>
    </row>
    <row r="922">
      <c r="A922" s="7"/>
    </row>
    <row r="923">
      <c r="A923" s="7"/>
    </row>
    <row r="924">
      <c r="A924" s="7"/>
    </row>
    <row r="925">
      <c r="A925" s="7"/>
    </row>
    <row r="926">
      <c r="A926" s="7"/>
    </row>
    <row r="927">
      <c r="A927" s="7"/>
    </row>
    <row r="928">
      <c r="A928" s="7"/>
    </row>
    <row r="929">
      <c r="A929" s="7"/>
    </row>
    <row r="930">
      <c r="A930" s="7"/>
    </row>
    <row r="931">
      <c r="A931" s="7"/>
    </row>
    <row r="932">
      <c r="A932" s="7"/>
    </row>
    <row r="933">
      <c r="A933" s="7"/>
    </row>
    <row r="934">
      <c r="A934" s="7"/>
    </row>
    <row r="935">
      <c r="A935" s="7"/>
    </row>
    <row r="936">
      <c r="A936" s="7"/>
    </row>
    <row r="937">
      <c r="A937" s="7"/>
    </row>
    <row r="938">
      <c r="A938" s="7"/>
    </row>
    <row r="939">
      <c r="A939" s="7"/>
    </row>
    <row r="940">
      <c r="A940" s="7"/>
    </row>
    <row r="941">
      <c r="A941" s="7"/>
    </row>
    <row r="942">
      <c r="A942" s="7"/>
    </row>
    <row r="943">
      <c r="A943" s="7"/>
    </row>
    <row r="944">
      <c r="A944" s="7"/>
    </row>
    <row r="945">
      <c r="A945" s="7"/>
    </row>
    <row r="946">
      <c r="A946" s="7"/>
    </row>
    <row r="947">
      <c r="A947" s="7"/>
    </row>
    <row r="948">
      <c r="A948" s="7"/>
    </row>
    <row r="949">
      <c r="A949" s="7"/>
    </row>
    <row r="950">
      <c r="A950" s="7"/>
    </row>
    <row r="951">
      <c r="A951" s="7"/>
    </row>
    <row r="952">
      <c r="A952" s="7"/>
    </row>
    <row r="953">
      <c r="A953" s="7"/>
    </row>
    <row r="954">
      <c r="A954" s="7"/>
    </row>
    <row r="955">
      <c r="A955" s="7"/>
    </row>
    <row r="956">
      <c r="A956" s="7"/>
    </row>
    <row r="957">
      <c r="A957" s="7"/>
    </row>
    <row r="958">
      <c r="A958" s="7"/>
    </row>
    <row r="959">
      <c r="A959" s="7"/>
    </row>
    <row r="960">
      <c r="A960" s="7"/>
    </row>
    <row r="961">
      <c r="A961" s="7"/>
    </row>
    <row r="962">
      <c r="A962" s="7"/>
    </row>
    <row r="963">
      <c r="A963" s="7"/>
    </row>
    <row r="964">
      <c r="A964" s="7"/>
    </row>
    <row r="965">
      <c r="A965" s="7"/>
    </row>
    <row r="966">
      <c r="A966" s="7"/>
    </row>
    <row r="967">
      <c r="A967" s="7"/>
    </row>
    <row r="968">
      <c r="A968" s="7"/>
    </row>
    <row r="969">
      <c r="A969" s="7"/>
    </row>
    <row r="970">
      <c r="A970" s="7"/>
    </row>
    <row r="971">
      <c r="A971" s="7"/>
    </row>
    <row r="972">
      <c r="A972" s="7"/>
    </row>
    <row r="973">
      <c r="A973" s="7"/>
    </row>
    <row r="974">
      <c r="A974" s="7"/>
    </row>
    <row r="975">
      <c r="A975" s="7"/>
    </row>
    <row r="976">
      <c r="A976" s="7"/>
    </row>
    <row r="977">
      <c r="A977" s="7"/>
    </row>
    <row r="978">
      <c r="A978" s="7"/>
    </row>
    <row r="979">
      <c r="A979" s="7"/>
    </row>
    <row r="980">
      <c r="A980" s="7"/>
    </row>
    <row r="981">
      <c r="A981" s="7"/>
    </row>
    <row r="982">
      <c r="A982" s="7"/>
    </row>
    <row r="983">
      <c r="A983" s="7"/>
    </row>
    <row r="984">
      <c r="A984" s="7"/>
    </row>
    <row r="985">
      <c r="A985" s="7"/>
    </row>
    <row r="986">
      <c r="A986" s="7"/>
    </row>
    <row r="987">
      <c r="A987" s="7"/>
    </row>
    <row r="988">
      <c r="A988" s="7"/>
    </row>
    <row r="989">
      <c r="A989" s="7"/>
    </row>
    <row r="990">
      <c r="A990" s="7"/>
    </row>
    <row r="991">
      <c r="A991" s="7"/>
    </row>
    <row r="992">
      <c r="A992" s="7"/>
    </row>
    <row r="993">
      <c r="A993" s="7"/>
    </row>
    <row r="994">
      <c r="A994" s="7"/>
    </row>
    <row r="995">
      <c r="A995" s="7"/>
    </row>
    <row r="996">
      <c r="A996" s="7"/>
    </row>
    <row r="997">
      <c r="A997" s="7"/>
    </row>
    <row r="998">
      <c r="A998" s="7"/>
    </row>
    <row r="999">
      <c r="A999" s="7"/>
    </row>
    <row r="1000">
      <c r="A1000" s="7"/>
    </row>
  </sheetData>
  <drawing r:id="rId1"/>
</worksheet>
</file>